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bb_\Downloads\Hoved oppgave\Fungerende excel arm for endring av materialer\"/>
    </mc:Choice>
  </mc:AlternateContent>
  <xr:revisionPtr revIDLastSave="0" documentId="13_ncr:1_{27096E48-70C2-4C8C-96F0-35959C789F6A}" xr6:coauthVersionLast="47" xr6:coauthVersionMax="47" xr10:uidLastSave="{00000000-0000-0000-0000-000000000000}"/>
  <bookViews>
    <workbookView xWindow="-108" yWindow="-108" windowWidth="23256" windowHeight="13896" firstSheet="1" activeTab="7" xr2:uid="{00000000-000D-0000-FFFF-FFFF00000000}"/>
  </bookViews>
  <sheets>
    <sheet name="Knutepunkter" sheetId="1" r:id="rId1"/>
    <sheet name="Segmenter" sheetId="2" r:id="rId2"/>
    <sheet name="Punktrandbetingelser" sheetId="3" r:id="rId3"/>
    <sheet name="Lasttilfeller" sheetId="4" r:id="rId4"/>
    <sheet name="Linjelaster" sheetId="5" r:id="rId5"/>
    <sheet name="Info" sheetId="6" r:id="rId6"/>
    <sheet name="QA_IFC_kontroll" sheetId="7" r:id="rId7"/>
    <sheet name="FORSIDE" sheetId="8" r:id="rId8"/>
    <sheet name="MENGDER" sheetId="9" state="hidden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9" l="1"/>
  <c r="Q5" i="9"/>
  <c r="A9" i="6"/>
  <c r="A8" i="6"/>
  <c r="A7" i="6"/>
  <c r="A6" i="6"/>
  <c r="A5" i="6"/>
  <c r="A4" i="6"/>
  <c r="B6611" i="2"/>
  <c r="B6611" i="9" s="1"/>
  <c r="A6611" i="2"/>
  <c r="A6611" i="9" s="1"/>
  <c r="B6610" i="2"/>
  <c r="B6610" i="9" s="1"/>
  <c r="A6610" i="2"/>
  <c r="A6610" i="9" s="1"/>
  <c r="B6609" i="2"/>
  <c r="B6609" i="9" s="1"/>
  <c r="A6609" i="2"/>
  <c r="A6609" i="9" s="1"/>
  <c r="B6608" i="2"/>
  <c r="B6608" i="9" s="1"/>
  <c r="A6608" i="2"/>
  <c r="A6608" i="9" s="1"/>
  <c r="B6607" i="2"/>
  <c r="B6607" i="9" s="1"/>
  <c r="A6607" i="2"/>
  <c r="A6607" i="9" s="1"/>
  <c r="B6606" i="2"/>
  <c r="B6606" i="9" s="1"/>
  <c r="A6606" i="2"/>
  <c r="A6606" i="9" s="1"/>
  <c r="B6605" i="2"/>
  <c r="B6605" i="9" s="1"/>
  <c r="A6605" i="2"/>
  <c r="A6605" i="9" s="1"/>
  <c r="B6604" i="2"/>
  <c r="B6604" i="9" s="1"/>
  <c r="A6604" i="2"/>
  <c r="A6604" i="9" s="1"/>
  <c r="B6603" i="2"/>
  <c r="B6603" i="9" s="1"/>
  <c r="A6603" i="2"/>
  <c r="A6603" i="9" s="1"/>
  <c r="B6602" i="2"/>
  <c r="B6602" i="9" s="1"/>
  <c r="A6602" i="2"/>
  <c r="A6602" i="9" s="1"/>
  <c r="B6601" i="2"/>
  <c r="B6601" i="9" s="1"/>
  <c r="A6601" i="2"/>
  <c r="A6601" i="9" s="1"/>
  <c r="B6600" i="2"/>
  <c r="B6600" i="9" s="1"/>
  <c r="A6600" i="2"/>
  <c r="A6600" i="9" s="1"/>
  <c r="B6599" i="2"/>
  <c r="B6599" i="9" s="1"/>
  <c r="A6599" i="2"/>
  <c r="A6599" i="9" s="1"/>
  <c r="B6598" i="2"/>
  <c r="B6598" i="9" s="1"/>
  <c r="A6598" i="2"/>
  <c r="A6598" i="9" s="1"/>
  <c r="B6597" i="2"/>
  <c r="B6597" i="9" s="1"/>
  <c r="A6597" i="2"/>
  <c r="A6597" i="9" s="1"/>
  <c r="B6596" i="2"/>
  <c r="B6596" i="9" s="1"/>
  <c r="A6596" i="2"/>
  <c r="A6596" i="9" s="1"/>
  <c r="B6595" i="2"/>
  <c r="B6595" i="9" s="1"/>
  <c r="A6595" i="2"/>
  <c r="A6595" i="9" s="1"/>
  <c r="B6594" i="2"/>
  <c r="B6594" i="9" s="1"/>
  <c r="A6594" i="2"/>
  <c r="A6594" i="9" s="1"/>
  <c r="B6593" i="2"/>
  <c r="B6593" i="9" s="1"/>
  <c r="A6593" i="2"/>
  <c r="A6593" i="9" s="1"/>
  <c r="B6592" i="2"/>
  <c r="B6592" i="9" s="1"/>
  <c r="A6592" i="2"/>
  <c r="A6592" i="9" s="1"/>
  <c r="B6591" i="2"/>
  <c r="B6591" i="9" s="1"/>
  <c r="A6591" i="2"/>
  <c r="A6591" i="9" s="1"/>
  <c r="B6590" i="2"/>
  <c r="B6590" i="9" s="1"/>
  <c r="A6590" i="2"/>
  <c r="A6590" i="9" s="1"/>
  <c r="B6589" i="2"/>
  <c r="B6589" i="9" s="1"/>
  <c r="A6589" i="2"/>
  <c r="A6589" i="9" s="1"/>
  <c r="B6588" i="2"/>
  <c r="B6588" i="9" s="1"/>
  <c r="A6588" i="2"/>
  <c r="A6588" i="9" s="1"/>
  <c r="B6587" i="2"/>
  <c r="B6587" i="9" s="1"/>
  <c r="A6587" i="2"/>
  <c r="A6587" i="9" s="1"/>
  <c r="B6586" i="2"/>
  <c r="B6586" i="9" s="1"/>
  <c r="A6586" i="2"/>
  <c r="A6586" i="9" s="1"/>
  <c r="B6585" i="2"/>
  <c r="B6585" i="9" s="1"/>
  <c r="A6585" i="2"/>
  <c r="A6585" i="9" s="1"/>
  <c r="B6584" i="2"/>
  <c r="B6584" i="9" s="1"/>
  <c r="A6584" i="2"/>
  <c r="A6584" i="9" s="1"/>
  <c r="B6583" i="2"/>
  <c r="B6583" i="9" s="1"/>
  <c r="A6583" i="2"/>
  <c r="A6583" i="9" s="1"/>
  <c r="B6582" i="2"/>
  <c r="B6582" i="9" s="1"/>
  <c r="A6582" i="2"/>
  <c r="A6582" i="9" s="1"/>
  <c r="B6581" i="2"/>
  <c r="B6581" i="9" s="1"/>
  <c r="A6581" i="2"/>
  <c r="A6581" i="9" s="1"/>
  <c r="B6580" i="2"/>
  <c r="B6580" i="9" s="1"/>
  <c r="A6580" i="2"/>
  <c r="A6580" i="9" s="1"/>
  <c r="B6579" i="2"/>
  <c r="B6579" i="9" s="1"/>
  <c r="A6579" i="2"/>
  <c r="A6579" i="9" s="1"/>
  <c r="B6578" i="2"/>
  <c r="B6578" i="9" s="1"/>
  <c r="A6578" i="2"/>
  <c r="A6578" i="9" s="1"/>
  <c r="B6577" i="2"/>
  <c r="B6577" i="9" s="1"/>
  <c r="A6577" i="2"/>
  <c r="A6577" i="9" s="1"/>
  <c r="B6576" i="2"/>
  <c r="B6576" i="9" s="1"/>
  <c r="A6576" i="2"/>
  <c r="A6576" i="9" s="1"/>
  <c r="B6575" i="2"/>
  <c r="B6575" i="9" s="1"/>
  <c r="A6575" i="2"/>
  <c r="A6575" i="9" s="1"/>
  <c r="B6574" i="2"/>
  <c r="B6574" i="9" s="1"/>
  <c r="A6574" i="2"/>
  <c r="A6574" i="9" s="1"/>
  <c r="B6573" i="2"/>
  <c r="B6573" i="9" s="1"/>
  <c r="A6573" i="2"/>
  <c r="A6573" i="9" s="1"/>
  <c r="B6572" i="2"/>
  <c r="B6572" i="9" s="1"/>
  <c r="A6572" i="2"/>
  <c r="A6572" i="9" s="1"/>
  <c r="B6571" i="2"/>
  <c r="B6571" i="9" s="1"/>
  <c r="A6571" i="2"/>
  <c r="A6571" i="9" s="1"/>
  <c r="B6570" i="2"/>
  <c r="B6570" i="9" s="1"/>
  <c r="A6570" i="2"/>
  <c r="A6570" i="9" s="1"/>
  <c r="B6569" i="2"/>
  <c r="B6569" i="9" s="1"/>
  <c r="A6569" i="2"/>
  <c r="A6569" i="9" s="1"/>
  <c r="B6568" i="2"/>
  <c r="B6568" i="9" s="1"/>
  <c r="A6568" i="2"/>
  <c r="A6568" i="9" s="1"/>
  <c r="B6567" i="2"/>
  <c r="B6567" i="9" s="1"/>
  <c r="A6567" i="2"/>
  <c r="A6567" i="9" s="1"/>
  <c r="B6566" i="2"/>
  <c r="B6566" i="9" s="1"/>
  <c r="A6566" i="2"/>
  <c r="A6566" i="9" s="1"/>
  <c r="B6565" i="2"/>
  <c r="B6565" i="9" s="1"/>
  <c r="A6565" i="2"/>
  <c r="A6565" i="9" s="1"/>
  <c r="B6564" i="2"/>
  <c r="B6564" i="9" s="1"/>
  <c r="A6564" i="2"/>
  <c r="A6564" i="9" s="1"/>
  <c r="B6563" i="2"/>
  <c r="B6563" i="9" s="1"/>
  <c r="A6563" i="2"/>
  <c r="A6563" i="9" s="1"/>
  <c r="B6562" i="2"/>
  <c r="B6562" i="9" s="1"/>
  <c r="A6562" i="2"/>
  <c r="A6562" i="9" s="1"/>
  <c r="B6561" i="2"/>
  <c r="B6561" i="9" s="1"/>
  <c r="A6561" i="2"/>
  <c r="A6561" i="9" s="1"/>
  <c r="B6560" i="2"/>
  <c r="B6560" i="9" s="1"/>
  <c r="A6560" i="2"/>
  <c r="A6560" i="9" s="1"/>
  <c r="B6559" i="2"/>
  <c r="B6559" i="9" s="1"/>
  <c r="A6559" i="2"/>
  <c r="A6559" i="9" s="1"/>
  <c r="B6558" i="2"/>
  <c r="B6558" i="9" s="1"/>
  <c r="A6558" i="2"/>
  <c r="A6558" i="9" s="1"/>
  <c r="B6557" i="2"/>
  <c r="B6557" i="9" s="1"/>
  <c r="A6557" i="2"/>
  <c r="A6557" i="9" s="1"/>
  <c r="B6556" i="2"/>
  <c r="B6556" i="9" s="1"/>
  <c r="A6556" i="2"/>
  <c r="A6556" i="9" s="1"/>
  <c r="B6555" i="2"/>
  <c r="B6555" i="9" s="1"/>
  <c r="A6555" i="2"/>
  <c r="A6555" i="9" s="1"/>
  <c r="B6554" i="2"/>
  <c r="B6554" i="9" s="1"/>
  <c r="A6554" i="2"/>
  <c r="A6554" i="9" s="1"/>
  <c r="B6553" i="2"/>
  <c r="B6553" i="9" s="1"/>
  <c r="A6553" i="2"/>
  <c r="A6553" i="9" s="1"/>
  <c r="B6552" i="2"/>
  <c r="B6552" i="9" s="1"/>
  <c r="A6552" i="2"/>
  <c r="A6552" i="9" s="1"/>
  <c r="B6551" i="2"/>
  <c r="B6551" i="9" s="1"/>
  <c r="A6551" i="2"/>
  <c r="A6551" i="9" s="1"/>
  <c r="B6550" i="2"/>
  <c r="B6550" i="9" s="1"/>
  <c r="A6550" i="2"/>
  <c r="A6550" i="9" s="1"/>
  <c r="B6549" i="2"/>
  <c r="B6549" i="9" s="1"/>
  <c r="A6549" i="2"/>
  <c r="A6549" i="9" s="1"/>
  <c r="B6548" i="2"/>
  <c r="B6548" i="9" s="1"/>
  <c r="A6548" i="2"/>
  <c r="A6548" i="9" s="1"/>
  <c r="B6547" i="2"/>
  <c r="B6547" i="9" s="1"/>
  <c r="A6547" i="2"/>
  <c r="A6547" i="9" s="1"/>
  <c r="B6546" i="2"/>
  <c r="B6546" i="9" s="1"/>
  <c r="A6546" i="2"/>
  <c r="A6546" i="9" s="1"/>
  <c r="B6545" i="2"/>
  <c r="B6545" i="9" s="1"/>
  <c r="A6545" i="2"/>
  <c r="A6545" i="9" s="1"/>
  <c r="B6544" i="2"/>
  <c r="B6544" i="9" s="1"/>
  <c r="A6544" i="2"/>
  <c r="A6544" i="9" s="1"/>
  <c r="B6543" i="2"/>
  <c r="B6543" i="9" s="1"/>
  <c r="A6543" i="2"/>
  <c r="A6543" i="9" s="1"/>
  <c r="B6542" i="2"/>
  <c r="B6542" i="9" s="1"/>
  <c r="A6542" i="2"/>
  <c r="A6542" i="9" s="1"/>
  <c r="B6541" i="2"/>
  <c r="B6541" i="9" s="1"/>
  <c r="A6541" i="2"/>
  <c r="A6541" i="9" s="1"/>
  <c r="B6540" i="2"/>
  <c r="B6540" i="9" s="1"/>
  <c r="A6540" i="2"/>
  <c r="A6540" i="9" s="1"/>
  <c r="B6539" i="2"/>
  <c r="B6539" i="9" s="1"/>
  <c r="A6539" i="2"/>
  <c r="A6539" i="9" s="1"/>
  <c r="B6538" i="2"/>
  <c r="B6538" i="9" s="1"/>
  <c r="A6538" i="2"/>
  <c r="A6538" i="9" s="1"/>
  <c r="B6537" i="2"/>
  <c r="B6537" i="9" s="1"/>
  <c r="A6537" i="2"/>
  <c r="A6537" i="9" s="1"/>
  <c r="B6536" i="2"/>
  <c r="B6536" i="9" s="1"/>
  <c r="A6536" i="2"/>
  <c r="A6536" i="9" s="1"/>
  <c r="B6535" i="2"/>
  <c r="B6535" i="9" s="1"/>
  <c r="A6535" i="2"/>
  <c r="A6535" i="9" s="1"/>
  <c r="B6534" i="2"/>
  <c r="B6534" i="9" s="1"/>
  <c r="A6534" i="2"/>
  <c r="A6534" i="9" s="1"/>
  <c r="B6533" i="2"/>
  <c r="B6533" i="9" s="1"/>
  <c r="A6533" i="2"/>
  <c r="A6533" i="9" s="1"/>
  <c r="B6532" i="2"/>
  <c r="B6532" i="9" s="1"/>
  <c r="A6532" i="2"/>
  <c r="A6532" i="9" s="1"/>
  <c r="B6531" i="2"/>
  <c r="B6531" i="9" s="1"/>
  <c r="A6531" i="2"/>
  <c r="A6531" i="9" s="1"/>
  <c r="B6530" i="2"/>
  <c r="B6530" i="9" s="1"/>
  <c r="A6530" i="2"/>
  <c r="A6530" i="9" s="1"/>
  <c r="B6529" i="2"/>
  <c r="B6529" i="9" s="1"/>
  <c r="A6529" i="2"/>
  <c r="A6529" i="9" s="1"/>
  <c r="B6528" i="2"/>
  <c r="B6528" i="9" s="1"/>
  <c r="A6528" i="2"/>
  <c r="A6528" i="9" s="1"/>
  <c r="B6527" i="2"/>
  <c r="B6527" i="9" s="1"/>
  <c r="A6527" i="2"/>
  <c r="A6527" i="9" s="1"/>
  <c r="B6526" i="2"/>
  <c r="B6526" i="9" s="1"/>
  <c r="A6526" i="2"/>
  <c r="A6526" i="9" s="1"/>
  <c r="B6525" i="2"/>
  <c r="B6525" i="9" s="1"/>
  <c r="A6525" i="2"/>
  <c r="A6525" i="9" s="1"/>
  <c r="B6524" i="2"/>
  <c r="B6524" i="9" s="1"/>
  <c r="A6524" i="2"/>
  <c r="A6524" i="9" s="1"/>
  <c r="B6523" i="2"/>
  <c r="B6523" i="9" s="1"/>
  <c r="A6523" i="2"/>
  <c r="A6523" i="9" s="1"/>
  <c r="B6522" i="2"/>
  <c r="B6522" i="9" s="1"/>
  <c r="A6522" i="2"/>
  <c r="A6522" i="9" s="1"/>
  <c r="B6521" i="2"/>
  <c r="B6521" i="9" s="1"/>
  <c r="A6521" i="2"/>
  <c r="A6521" i="9" s="1"/>
  <c r="B6520" i="2"/>
  <c r="B6520" i="9" s="1"/>
  <c r="A6520" i="2"/>
  <c r="A6520" i="9" s="1"/>
  <c r="B6519" i="2"/>
  <c r="B6519" i="9" s="1"/>
  <c r="A6519" i="2"/>
  <c r="A6519" i="9" s="1"/>
  <c r="B6518" i="2"/>
  <c r="B6518" i="9" s="1"/>
  <c r="A6518" i="2"/>
  <c r="A6518" i="9" s="1"/>
  <c r="B6517" i="2"/>
  <c r="B6517" i="9" s="1"/>
  <c r="A6517" i="2"/>
  <c r="A6517" i="9" s="1"/>
  <c r="B6516" i="2"/>
  <c r="B6516" i="9" s="1"/>
  <c r="A6516" i="2"/>
  <c r="A6516" i="9" s="1"/>
  <c r="B6515" i="2"/>
  <c r="B6515" i="9" s="1"/>
  <c r="A6515" i="2"/>
  <c r="A6515" i="9" s="1"/>
  <c r="B6514" i="2"/>
  <c r="B6514" i="9" s="1"/>
  <c r="A6514" i="2"/>
  <c r="A6514" i="9" s="1"/>
  <c r="B6513" i="2"/>
  <c r="B6513" i="9" s="1"/>
  <c r="A6513" i="2"/>
  <c r="A6513" i="9" s="1"/>
  <c r="B6512" i="2"/>
  <c r="B6512" i="9" s="1"/>
  <c r="A6512" i="2"/>
  <c r="A6512" i="9" s="1"/>
  <c r="B6511" i="2"/>
  <c r="B6511" i="9" s="1"/>
  <c r="A6511" i="2"/>
  <c r="A6511" i="9" s="1"/>
  <c r="B6510" i="2"/>
  <c r="B6510" i="9" s="1"/>
  <c r="A6510" i="2"/>
  <c r="A6510" i="9" s="1"/>
  <c r="B6509" i="2"/>
  <c r="B6509" i="9" s="1"/>
  <c r="A6509" i="2"/>
  <c r="A6509" i="9" s="1"/>
  <c r="B6508" i="2"/>
  <c r="B6508" i="9" s="1"/>
  <c r="A6508" i="2"/>
  <c r="A6508" i="9" s="1"/>
  <c r="B6507" i="2"/>
  <c r="B6507" i="9" s="1"/>
  <c r="A6507" i="2"/>
  <c r="A6507" i="9" s="1"/>
  <c r="B6506" i="2"/>
  <c r="B6506" i="9" s="1"/>
  <c r="A6506" i="2"/>
  <c r="A6506" i="9" s="1"/>
  <c r="B6505" i="2"/>
  <c r="B6505" i="9" s="1"/>
  <c r="A6505" i="2"/>
  <c r="A6505" i="9" s="1"/>
  <c r="B6504" i="2"/>
  <c r="B6504" i="9" s="1"/>
  <c r="A6504" i="2"/>
  <c r="A6504" i="9" s="1"/>
  <c r="B6503" i="2"/>
  <c r="B6503" i="9" s="1"/>
  <c r="A6503" i="2"/>
  <c r="A6503" i="9" s="1"/>
  <c r="B6502" i="2"/>
  <c r="B6502" i="9" s="1"/>
  <c r="A6502" i="2"/>
  <c r="A6502" i="9" s="1"/>
  <c r="B6501" i="2"/>
  <c r="B6501" i="9" s="1"/>
  <c r="A6501" i="2"/>
  <c r="A6501" i="9" s="1"/>
  <c r="B6500" i="2"/>
  <c r="B6500" i="9" s="1"/>
  <c r="A6500" i="2"/>
  <c r="A6500" i="9" s="1"/>
  <c r="B6499" i="2"/>
  <c r="B6499" i="9" s="1"/>
  <c r="A6499" i="2"/>
  <c r="A6499" i="9" s="1"/>
  <c r="B6498" i="2"/>
  <c r="B6498" i="9" s="1"/>
  <c r="A6498" i="2"/>
  <c r="A6498" i="9" s="1"/>
  <c r="B6497" i="2"/>
  <c r="B6497" i="9" s="1"/>
  <c r="A6497" i="2"/>
  <c r="A6497" i="9" s="1"/>
  <c r="B6496" i="2"/>
  <c r="B6496" i="9" s="1"/>
  <c r="A6496" i="2"/>
  <c r="A6496" i="9" s="1"/>
  <c r="B6495" i="2"/>
  <c r="B6495" i="9" s="1"/>
  <c r="A6495" i="2"/>
  <c r="A6495" i="9" s="1"/>
  <c r="B6494" i="2"/>
  <c r="B6494" i="9" s="1"/>
  <c r="A6494" i="2"/>
  <c r="A6494" i="9" s="1"/>
  <c r="B6493" i="2"/>
  <c r="B6493" i="9" s="1"/>
  <c r="A6493" i="2"/>
  <c r="A6493" i="9" s="1"/>
  <c r="B6492" i="2"/>
  <c r="B6492" i="9" s="1"/>
  <c r="A6492" i="2"/>
  <c r="A6492" i="9" s="1"/>
  <c r="B6491" i="2"/>
  <c r="B6491" i="9" s="1"/>
  <c r="A6491" i="2"/>
  <c r="A6491" i="9" s="1"/>
  <c r="B6490" i="2"/>
  <c r="B6490" i="9" s="1"/>
  <c r="A6490" i="2"/>
  <c r="A6490" i="9" s="1"/>
  <c r="B6489" i="2"/>
  <c r="B6489" i="9" s="1"/>
  <c r="A6489" i="2"/>
  <c r="A6489" i="9" s="1"/>
  <c r="B6488" i="2"/>
  <c r="B6488" i="9" s="1"/>
  <c r="A6488" i="2"/>
  <c r="A6488" i="9" s="1"/>
  <c r="B6487" i="2"/>
  <c r="B6487" i="9" s="1"/>
  <c r="A6487" i="2"/>
  <c r="A6487" i="9" s="1"/>
  <c r="B6486" i="2"/>
  <c r="B6486" i="9" s="1"/>
  <c r="A6486" i="2"/>
  <c r="A6486" i="9" s="1"/>
  <c r="B6485" i="2"/>
  <c r="B6485" i="9" s="1"/>
  <c r="A6485" i="2"/>
  <c r="A6485" i="9" s="1"/>
  <c r="B6484" i="2"/>
  <c r="B6484" i="9" s="1"/>
  <c r="A6484" i="2"/>
  <c r="A6484" i="9" s="1"/>
  <c r="B6483" i="2"/>
  <c r="B6483" i="9" s="1"/>
  <c r="A6483" i="2"/>
  <c r="A6483" i="9" s="1"/>
  <c r="B6482" i="2"/>
  <c r="B6482" i="9" s="1"/>
  <c r="A6482" i="2"/>
  <c r="A6482" i="9" s="1"/>
  <c r="B6481" i="2"/>
  <c r="B6481" i="9" s="1"/>
  <c r="A6481" i="2"/>
  <c r="A6481" i="9" s="1"/>
  <c r="B6480" i="2"/>
  <c r="B6480" i="9" s="1"/>
  <c r="A6480" i="2"/>
  <c r="A6480" i="9" s="1"/>
  <c r="B6479" i="2"/>
  <c r="B6479" i="9" s="1"/>
  <c r="A6479" i="2"/>
  <c r="A6479" i="9" s="1"/>
  <c r="B6478" i="2"/>
  <c r="B6478" i="9" s="1"/>
  <c r="A6478" i="2"/>
  <c r="A6478" i="9" s="1"/>
  <c r="B6477" i="2"/>
  <c r="B6477" i="9" s="1"/>
  <c r="A6477" i="2"/>
  <c r="A6477" i="9" s="1"/>
  <c r="B6476" i="2"/>
  <c r="B6476" i="9" s="1"/>
  <c r="A6476" i="2"/>
  <c r="A6476" i="9" s="1"/>
  <c r="B6475" i="2"/>
  <c r="B6475" i="9" s="1"/>
  <c r="A6475" i="2"/>
  <c r="A6475" i="9" s="1"/>
  <c r="B6474" i="2"/>
  <c r="B6474" i="9" s="1"/>
  <c r="A6474" i="2"/>
  <c r="A6474" i="9" s="1"/>
  <c r="B6473" i="2"/>
  <c r="B6473" i="9" s="1"/>
  <c r="A6473" i="2"/>
  <c r="A6473" i="9" s="1"/>
  <c r="B6472" i="2"/>
  <c r="B6472" i="9" s="1"/>
  <c r="A6472" i="2"/>
  <c r="A6472" i="9" s="1"/>
  <c r="B6471" i="2"/>
  <c r="B6471" i="9" s="1"/>
  <c r="A6471" i="2"/>
  <c r="A6471" i="9" s="1"/>
  <c r="B6470" i="2"/>
  <c r="B6470" i="9" s="1"/>
  <c r="A6470" i="2"/>
  <c r="A6470" i="9" s="1"/>
  <c r="B6469" i="2"/>
  <c r="B6469" i="9" s="1"/>
  <c r="A6469" i="2"/>
  <c r="A6469" i="9" s="1"/>
  <c r="B6468" i="2"/>
  <c r="B6468" i="9" s="1"/>
  <c r="A6468" i="2"/>
  <c r="A6468" i="9" s="1"/>
  <c r="B6467" i="2"/>
  <c r="B6467" i="9" s="1"/>
  <c r="A6467" i="2"/>
  <c r="A6467" i="9" s="1"/>
  <c r="B6466" i="2"/>
  <c r="B6466" i="9" s="1"/>
  <c r="A6466" i="2"/>
  <c r="A6466" i="9" s="1"/>
  <c r="B6465" i="2"/>
  <c r="B6465" i="9" s="1"/>
  <c r="A6465" i="2"/>
  <c r="A6465" i="9" s="1"/>
  <c r="B6464" i="2"/>
  <c r="B6464" i="9" s="1"/>
  <c r="A6464" i="2"/>
  <c r="A6464" i="9" s="1"/>
  <c r="B6463" i="2"/>
  <c r="B6463" i="9" s="1"/>
  <c r="A6463" i="2"/>
  <c r="A6463" i="9" s="1"/>
  <c r="B6462" i="2"/>
  <c r="B6462" i="9" s="1"/>
  <c r="A6462" i="2"/>
  <c r="A6462" i="9" s="1"/>
  <c r="B6461" i="2"/>
  <c r="B6461" i="9" s="1"/>
  <c r="A6461" i="2"/>
  <c r="A6461" i="9" s="1"/>
  <c r="B6460" i="2"/>
  <c r="B6460" i="9" s="1"/>
  <c r="A6460" i="2"/>
  <c r="A6460" i="9" s="1"/>
  <c r="B6459" i="2"/>
  <c r="B6459" i="9" s="1"/>
  <c r="A6459" i="2"/>
  <c r="A6459" i="9" s="1"/>
  <c r="B6458" i="2"/>
  <c r="B6458" i="9" s="1"/>
  <c r="A6458" i="2"/>
  <c r="A6458" i="9" s="1"/>
  <c r="B6457" i="2"/>
  <c r="B6457" i="9" s="1"/>
  <c r="A6457" i="2"/>
  <c r="A6457" i="9" s="1"/>
  <c r="B6456" i="2"/>
  <c r="B6456" i="9" s="1"/>
  <c r="A6456" i="2"/>
  <c r="A6456" i="9" s="1"/>
  <c r="B6455" i="2"/>
  <c r="B6455" i="9" s="1"/>
  <c r="A6455" i="2"/>
  <c r="A6455" i="9" s="1"/>
  <c r="B6454" i="2"/>
  <c r="B6454" i="9" s="1"/>
  <c r="A6454" i="2"/>
  <c r="A6454" i="9" s="1"/>
  <c r="B6453" i="2"/>
  <c r="B6453" i="9" s="1"/>
  <c r="A6453" i="2"/>
  <c r="A6453" i="9" s="1"/>
  <c r="B6452" i="2"/>
  <c r="B6452" i="9" s="1"/>
  <c r="A6452" i="2"/>
  <c r="A6452" i="9" s="1"/>
  <c r="B6451" i="2"/>
  <c r="B6451" i="9" s="1"/>
  <c r="A6451" i="2"/>
  <c r="A6451" i="9" s="1"/>
  <c r="B6450" i="2"/>
  <c r="B6450" i="9" s="1"/>
  <c r="A6450" i="2"/>
  <c r="A6450" i="9" s="1"/>
  <c r="B6449" i="2"/>
  <c r="B6449" i="9" s="1"/>
  <c r="A6449" i="2"/>
  <c r="A6449" i="9" s="1"/>
  <c r="B6448" i="2"/>
  <c r="B6448" i="9" s="1"/>
  <c r="A6448" i="2"/>
  <c r="A6448" i="9" s="1"/>
  <c r="B6447" i="2"/>
  <c r="B6447" i="9" s="1"/>
  <c r="A6447" i="2"/>
  <c r="A6447" i="9" s="1"/>
  <c r="B6446" i="2"/>
  <c r="B6446" i="9" s="1"/>
  <c r="A6446" i="2"/>
  <c r="A6446" i="9" s="1"/>
  <c r="B6445" i="2"/>
  <c r="B6445" i="9" s="1"/>
  <c r="A6445" i="2"/>
  <c r="A6445" i="9" s="1"/>
  <c r="B6444" i="2"/>
  <c r="B6444" i="9" s="1"/>
  <c r="A6444" i="2"/>
  <c r="A6444" i="9" s="1"/>
  <c r="B6443" i="2"/>
  <c r="B6443" i="9" s="1"/>
  <c r="A6443" i="2"/>
  <c r="A6443" i="9" s="1"/>
  <c r="B6442" i="2"/>
  <c r="B6442" i="9" s="1"/>
  <c r="A6442" i="2"/>
  <c r="A6442" i="9" s="1"/>
  <c r="B6441" i="2"/>
  <c r="B6441" i="9" s="1"/>
  <c r="A6441" i="2"/>
  <c r="A6441" i="9" s="1"/>
  <c r="B6440" i="2"/>
  <c r="B6440" i="9" s="1"/>
  <c r="A6440" i="2"/>
  <c r="A6440" i="9" s="1"/>
  <c r="B6439" i="2"/>
  <c r="B6439" i="9" s="1"/>
  <c r="A6439" i="2"/>
  <c r="A6439" i="9" s="1"/>
  <c r="B6438" i="2"/>
  <c r="B6438" i="9" s="1"/>
  <c r="A6438" i="2"/>
  <c r="A6438" i="9" s="1"/>
  <c r="B6437" i="2"/>
  <c r="B6437" i="9" s="1"/>
  <c r="A6437" i="2"/>
  <c r="A6437" i="9" s="1"/>
  <c r="B6436" i="2"/>
  <c r="B6436" i="9" s="1"/>
  <c r="A6436" i="2"/>
  <c r="A6436" i="9" s="1"/>
  <c r="B6435" i="2"/>
  <c r="B6435" i="9" s="1"/>
  <c r="A6435" i="2"/>
  <c r="A6435" i="9" s="1"/>
  <c r="B6434" i="2"/>
  <c r="B6434" i="9" s="1"/>
  <c r="A6434" i="2"/>
  <c r="A6434" i="9" s="1"/>
  <c r="B6433" i="2"/>
  <c r="B6433" i="9" s="1"/>
  <c r="A6433" i="2"/>
  <c r="A6433" i="9" s="1"/>
  <c r="B6432" i="2"/>
  <c r="B6432" i="9" s="1"/>
  <c r="A6432" i="2"/>
  <c r="A6432" i="9" s="1"/>
  <c r="B6431" i="2"/>
  <c r="B6431" i="9" s="1"/>
  <c r="A6431" i="2"/>
  <c r="A6431" i="9" s="1"/>
  <c r="B6430" i="2"/>
  <c r="B6430" i="9" s="1"/>
  <c r="A6430" i="2"/>
  <c r="A6430" i="9" s="1"/>
  <c r="B6429" i="2"/>
  <c r="B6429" i="9" s="1"/>
  <c r="A6429" i="2"/>
  <c r="A6429" i="9" s="1"/>
  <c r="B6428" i="2"/>
  <c r="B6428" i="9" s="1"/>
  <c r="A6428" i="2"/>
  <c r="A6428" i="9" s="1"/>
  <c r="B6427" i="2"/>
  <c r="B6427" i="9" s="1"/>
  <c r="A6427" i="2"/>
  <c r="A6427" i="9" s="1"/>
  <c r="B6426" i="2"/>
  <c r="B6426" i="9" s="1"/>
  <c r="A6426" i="2"/>
  <c r="A6426" i="9" s="1"/>
  <c r="B6425" i="2"/>
  <c r="B6425" i="9" s="1"/>
  <c r="A6425" i="2"/>
  <c r="A6425" i="9" s="1"/>
  <c r="B6424" i="2"/>
  <c r="B6424" i="9" s="1"/>
  <c r="A6424" i="2"/>
  <c r="A6424" i="9" s="1"/>
  <c r="B6423" i="2"/>
  <c r="B6423" i="9" s="1"/>
  <c r="A6423" i="2"/>
  <c r="A6423" i="9" s="1"/>
  <c r="B6422" i="2"/>
  <c r="B6422" i="9" s="1"/>
  <c r="A6422" i="2"/>
  <c r="A6422" i="9" s="1"/>
  <c r="B6421" i="2"/>
  <c r="B6421" i="9" s="1"/>
  <c r="A6421" i="2"/>
  <c r="A6421" i="9" s="1"/>
  <c r="B6420" i="2"/>
  <c r="B6420" i="9" s="1"/>
  <c r="A6420" i="2"/>
  <c r="A6420" i="9" s="1"/>
  <c r="B6419" i="2"/>
  <c r="B6419" i="9" s="1"/>
  <c r="A6419" i="2"/>
  <c r="A6419" i="9" s="1"/>
  <c r="B6418" i="2"/>
  <c r="B6418" i="9" s="1"/>
  <c r="A6418" i="2"/>
  <c r="A6418" i="9" s="1"/>
  <c r="B6417" i="2"/>
  <c r="B6417" i="9" s="1"/>
  <c r="A6417" i="2"/>
  <c r="A6417" i="9" s="1"/>
  <c r="B6416" i="2"/>
  <c r="B6416" i="9" s="1"/>
  <c r="A6416" i="2"/>
  <c r="A6416" i="9" s="1"/>
  <c r="B6415" i="2"/>
  <c r="B6415" i="9" s="1"/>
  <c r="A6415" i="2"/>
  <c r="A6415" i="9" s="1"/>
  <c r="B6414" i="2"/>
  <c r="B6414" i="9" s="1"/>
  <c r="A6414" i="2"/>
  <c r="A6414" i="9" s="1"/>
  <c r="B6413" i="2"/>
  <c r="B6413" i="9" s="1"/>
  <c r="A6413" i="2"/>
  <c r="A6413" i="9" s="1"/>
  <c r="B6412" i="2"/>
  <c r="B6412" i="9" s="1"/>
  <c r="A6412" i="2"/>
  <c r="A6412" i="9" s="1"/>
  <c r="B6411" i="2"/>
  <c r="B6411" i="9" s="1"/>
  <c r="A6411" i="2"/>
  <c r="A6411" i="9" s="1"/>
  <c r="B6410" i="2"/>
  <c r="B6410" i="9" s="1"/>
  <c r="A6410" i="2"/>
  <c r="A6410" i="9" s="1"/>
  <c r="B6409" i="2"/>
  <c r="B6409" i="9" s="1"/>
  <c r="A6409" i="2"/>
  <c r="A6409" i="9" s="1"/>
  <c r="B6408" i="2"/>
  <c r="B6408" i="9" s="1"/>
  <c r="A6408" i="2"/>
  <c r="A6408" i="9" s="1"/>
  <c r="B6407" i="2"/>
  <c r="B6407" i="9" s="1"/>
  <c r="A6407" i="2"/>
  <c r="A6407" i="9" s="1"/>
  <c r="B6406" i="2"/>
  <c r="B6406" i="9" s="1"/>
  <c r="A6406" i="2"/>
  <c r="A6406" i="9" s="1"/>
  <c r="B6405" i="2"/>
  <c r="B6405" i="9" s="1"/>
  <c r="A6405" i="2"/>
  <c r="A6405" i="9" s="1"/>
  <c r="B6404" i="2"/>
  <c r="B6404" i="9" s="1"/>
  <c r="A6404" i="2"/>
  <c r="A6404" i="9" s="1"/>
  <c r="B6403" i="2"/>
  <c r="B6403" i="9" s="1"/>
  <c r="A6403" i="2"/>
  <c r="A6403" i="9" s="1"/>
  <c r="B6402" i="2"/>
  <c r="B6402" i="9" s="1"/>
  <c r="A6402" i="2"/>
  <c r="A6402" i="9" s="1"/>
  <c r="B6401" i="2"/>
  <c r="B6401" i="9" s="1"/>
  <c r="A6401" i="2"/>
  <c r="A6401" i="9" s="1"/>
  <c r="B6400" i="2"/>
  <c r="B6400" i="9" s="1"/>
  <c r="A6400" i="2"/>
  <c r="A6400" i="9" s="1"/>
  <c r="B6399" i="2"/>
  <c r="B6399" i="9" s="1"/>
  <c r="A6399" i="2"/>
  <c r="A6399" i="9" s="1"/>
  <c r="B6398" i="2"/>
  <c r="B6398" i="9" s="1"/>
  <c r="A6398" i="2"/>
  <c r="A6398" i="9" s="1"/>
  <c r="B6397" i="2"/>
  <c r="B6397" i="9" s="1"/>
  <c r="A6397" i="2"/>
  <c r="A6397" i="9" s="1"/>
  <c r="B6396" i="2"/>
  <c r="B6396" i="9" s="1"/>
  <c r="A6396" i="2"/>
  <c r="A6396" i="9" s="1"/>
  <c r="B6395" i="2"/>
  <c r="B6395" i="9" s="1"/>
  <c r="A6395" i="2"/>
  <c r="A6395" i="9" s="1"/>
  <c r="B6394" i="2"/>
  <c r="B6394" i="9" s="1"/>
  <c r="A6394" i="2"/>
  <c r="A6394" i="9" s="1"/>
  <c r="B6393" i="2"/>
  <c r="B6393" i="9" s="1"/>
  <c r="A6393" i="2"/>
  <c r="A6393" i="9" s="1"/>
  <c r="B6392" i="2"/>
  <c r="B6392" i="9" s="1"/>
  <c r="A6392" i="2"/>
  <c r="A6392" i="9" s="1"/>
  <c r="B6391" i="2"/>
  <c r="B6391" i="9" s="1"/>
  <c r="A6391" i="2"/>
  <c r="A6391" i="9" s="1"/>
  <c r="B6390" i="2"/>
  <c r="B6390" i="9" s="1"/>
  <c r="A6390" i="2"/>
  <c r="A6390" i="9" s="1"/>
  <c r="B6389" i="2"/>
  <c r="B6389" i="9" s="1"/>
  <c r="A6389" i="2"/>
  <c r="A6389" i="9" s="1"/>
  <c r="B6388" i="2"/>
  <c r="B6388" i="9" s="1"/>
  <c r="A6388" i="2"/>
  <c r="A6388" i="9" s="1"/>
  <c r="B6387" i="2"/>
  <c r="B6387" i="9" s="1"/>
  <c r="A6387" i="2"/>
  <c r="A6387" i="9" s="1"/>
  <c r="B6386" i="2"/>
  <c r="B6386" i="9" s="1"/>
  <c r="A6386" i="2"/>
  <c r="A6386" i="9" s="1"/>
  <c r="B6385" i="2"/>
  <c r="B6385" i="9" s="1"/>
  <c r="A6385" i="2"/>
  <c r="A6385" i="9" s="1"/>
  <c r="B6384" i="2"/>
  <c r="B6384" i="9" s="1"/>
  <c r="A6384" i="2"/>
  <c r="A6384" i="9" s="1"/>
  <c r="B6383" i="2"/>
  <c r="B6383" i="9" s="1"/>
  <c r="A6383" i="2"/>
  <c r="A6383" i="9" s="1"/>
  <c r="B6382" i="2"/>
  <c r="B6382" i="9" s="1"/>
  <c r="A6382" i="2"/>
  <c r="A6382" i="9" s="1"/>
  <c r="B6381" i="2"/>
  <c r="B6381" i="9" s="1"/>
  <c r="A6381" i="2"/>
  <c r="A6381" i="9" s="1"/>
  <c r="B6380" i="2"/>
  <c r="B6380" i="9" s="1"/>
  <c r="A6380" i="2"/>
  <c r="A6380" i="9" s="1"/>
  <c r="B6379" i="2"/>
  <c r="B6379" i="9" s="1"/>
  <c r="A6379" i="2"/>
  <c r="A6379" i="9" s="1"/>
  <c r="B6378" i="2"/>
  <c r="B6378" i="9" s="1"/>
  <c r="A6378" i="2"/>
  <c r="A6378" i="9" s="1"/>
  <c r="B6377" i="2"/>
  <c r="B6377" i="9" s="1"/>
  <c r="A6377" i="2"/>
  <c r="A6377" i="9" s="1"/>
  <c r="B6376" i="2"/>
  <c r="B6376" i="9" s="1"/>
  <c r="A6376" i="2"/>
  <c r="A6376" i="9" s="1"/>
  <c r="B6375" i="2"/>
  <c r="B6375" i="9" s="1"/>
  <c r="A6375" i="2"/>
  <c r="A6375" i="9" s="1"/>
  <c r="B6374" i="2"/>
  <c r="B6374" i="9" s="1"/>
  <c r="A6374" i="2"/>
  <c r="A6374" i="9" s="1"/>
  <c r="B6373" i="2"/>
  <c r="B6373" i="9" s="1"/>
  <c r="A6373" i="2"/>
  <c r="A6373" i="9" s="1"/>
  <c r="B6372" i="2"/>
  <c r="B6372" i="9" s="1"/>
  <c r="A6372" i="2"/>
  <c r="A6372" i="9" s="1"/>
  <c r="B6371" i="2"/>
  <c r="B6371" i="9" s="1"/>
  <c r="A6371" i="2"/>
  <c r="A6371" i="9" s="1"/>
  <c r="B6370" i="2"/>
  <c r="B6370" i="9" s="1"/>
  <c r="A6370" i="2"/>
  <c r="A6370" i="9" s="1"/>
  <c r="B6369" i="2"/>
  <c r="B6369" i="9" s="1"/>
  <c r="A6369" i="2"/>
  <c r="A6369" i="9" s="1"/>
  <c r="B6368" i="2"/>
  <c r="B6368" i="9" s="1"/>
  <c r="A6368" i="2"/>
  <c r="A6368" i="9" s="1"/>
  <c r="B6367" i="2"/>
  <c r="B6367" i="9" s="1"/>
  <c r="A6367" i="2"/>
  <c r="A6367" i="9" s="1"/>
  <c r="B6366" i="2"/>
  <c r="B6366" i="9" s="1"/>
  <c r="A6366" i="2"/>
  <c r="A6366" i="9" s="1"/>
  <c r="B6365" i="2"/>
  <c r="B6365" i="9" s="1"/>
  <c r="A6365" i="2"/>
  <c r="A6365" i="9" s="1"/>
  <c r="B6364" i="2"/>
  <c r="B6364" i="9" s="1"/>
  <c r="A6364" i="2"/>
  <c r="A6364" i="9" s="1"/>
  <c r="B6363" i="2"/>
  <c r="B6363" i="9" s="1"/>
  <c r="A6363" i="2"/>
  <c r="A6363" i="9" s="1"/>
  <c r="B6362" i="2"/>
  <c r="B6362" i="9" s="1"/>
  <c r="A6362" i="2"/>
  <c r="A6362" i="9" s="1"/>
  <c r="B6361" i="2"/>
  <c r="B6361" i="9" s="1"/>
  <c r="A6361" i="2"/>
  <c r="A6361" i="9" s="1"/>
  <c r="B6360" i="2"/>
  <c r="B6360" i="9" s="1"/>
  <c r="A6360" i="2"/>
  <c r="A6360" i="9" s="1"/>
  <c r="B6359" i="2"/>
  <c r="B6359" i="9" s="1"/>
  <c r="A6359" i="2"/>
  <c r="A6359" i="9" s="1"/>
  <c r="B6358" i="2"/>
  <c r="B6358" i="9" s="1"/>
  <c r="A6358" i="2"/>
  <c r="A6358" i="9" s="1"/>
  <c r="B6357" i="2"/>
  <c r="B6357" i="9" s="1"/>
  <c r="A6357" i="2"/>
  <c r="A6357" i="9" s="1"/>
  <c r="B6356" i="2"/>
  <c r="B6356" i="9" s="1"/>
  <c r="A6356" i="2"/>
  <c r="A6356" i="9" s="1"/>
  <c r="B6355" i="2"/>
  <c r="B6355" i="9" s="1"/>
  <c r="A6355" i="2"/>
  <c r="A6355" i="9" s="1"/>
  <c r="B6354" i="2"/>
  <c r="B6354" i="9" s="1"/>
  <c r="A6354" i="2"/>
  <c r="A6354" i="9" s="1"/>
  <c r="B6353" i="2"/>
  <c r="B6353" i="9" s="1"/>
  <c r="A6353" i="2"/>
  <c r="A6353" i="9" s="1"/>
  <c r="B6352" i="2"/>
  <c r="B6352" i="9" s="1"/>
  <c r="A6352" i="2"/>
  <c r="A6352" i="9" s="1"/>
  <c r="B6351" i="2"/>
  <c r="B6351" i="9" s="1"/>
  <c r="A6351" i="2"/>
  <c r="A6351" i="9" s="1"/>
  <c r="B6350" i="2"/>
  <c r="B6350" i="9" s="1"/>
  <c r="A6350" i="2"/>
  <c r="A6350" i="9" s="1"/>
  <c r="B6349" i="2"/>
  <c r="B6349" i="9" s="1"/>
  <c r="A6349" i="2"/>
  <c r="A6349" i="9" s="1"/>
  <c r="B6348" i="2"/>
  <c r="B6348" i="9" s="1"/>
  <c r="A6348" i="2"/>
  <c r="A6348" i="9" s="1"/>
  <c r="B6347" i="2"/>
  <c r="B6347" i="9" s="1"/>
  <c r="A6347" i="2"/>
  <c r="A6347" i="9" s="1"/>
  <c r="B6346" i="2"/>
  <c r="B6346" i="9" s="1"/>
  <c r="A6346" i="2"/>
  <c r="A6346" i="9" s="1"/>
  <c r="B6345" i="2"/>
  <c r="B6345" i="9" s="1"/>
  <c r="A6345" i="2"/>
  <c r="A6345" i="9" s="1"/>
  <c r="B6344" i="2"/>
  <c r="B6344" i="9" s="1"/>
  <c r="A6344" i="2"/>
  <c r="A6344" i="9" s="1"/>
  <c r="B6343" i="2"/>
  <c r="B6343" i="9" s="1"/>
  <c r="A6343" i="2"/>
  <c r="A6343" i="9" s="1"/>
  <c r="B6342" i="2"/>
  <c r="B6342" i="9" s="1"/>
  <c r="A6342" i="2"/>
  <c r="A6342" i="9" s="1"/>
  <c r="B6341" i="2"/>
  <c r="B6341" i="9" s="1"/>
  <c r="A6341" i="2"/>
  <c r="A6341" i="9" s="1"/>
  <c r="B6340" i="2"/>
  <c r="B6340" i="9" s="1"/>
  <c r="A6340" i="2"/>
  <c r="A6340" i="9" s="1"/>
  <c r="B6339" i="2"/>
  <c r="B6339" i="9" s="1"/>
  <c r="A6339" i="2"/>
  <c r="A6339" i="9" s="1"/>
  <c r="B6338" i="2"/>
  <c r="B6338" i="9" s="1"/>
  <c r="A6338" i="2"/>
  <c r="A6338" i="9" s="1"/>
  <c r="B6337" i="2"/>
  <c r="B6337" i="9" s="1"/>
  <c r="A6337" i="2"/>
  <c r="A6337" i="9" s="1"/>
  <c r="B6336" i="2"/>
  <c r="B6336" i="9" s="1"/>
  <c r="A6336" i="2"/>
  <c r="A6336" i="9" s="1"/>
  <c r="B6335" i="2"/>
  <c r="B6335" i="9" s="1"/>
  <c r="A6335" i="2"/>
  <c r="A6335" i="9" s="1"/>
  <c r="B6334" i="2"/>
  <c r="B6334" i="9" s="1"/>
  <c r="A6334" i="2"/>
  <c r="A6334" i="9" s="1"/>
  <c r="B6333" i="2"/>
  <c r="B6333" i="9" s="1"/>
  <c r="A6333" i="2"/>
  <c r="A6333" i="9" s="1"/>
  <c r="B6332" i="2"/>
  <c r="B6332" i="9" s="1"/>
  <c r="A6332" i="2"/>
  <c r="A6332" i="9" s="1"/>
  <c r="B6331" i="2"/>
  <c r="B6331" i="9" s="1"/>
  <c r="A6331" i="2"/>
  <c r="A6331" i="9" s="1"/>
  <c r="B6330" i="2"/>
  <c r="B6330" i="9" s="1"/>
  <c r="A6330" i="2"/>
  <c r="A6330" i="9" s="1"/>
  <c r="B6329" i="2"/>
  <c r="B6329" i="9" s="1"/>
  <c r="A6329" i="2"/>
  <c r="A6329" i="9" s="1"/>
  <c r="B6328" i="2"/>
  <c r="B6328" i="9" s="1"/>
  <c r="A6328" i="2"/>
  <c r="A6328" i="9" s="1"/>
  <c r="B6327" i="2"/>
  <c r="B6327" i="9" s="1"/>
  <c r="A6327" i="2"/>
  <c r="A6327" i="9" s="1"/>
  <c r="B6326" i="2"/>
  <c r="B6326" i="9" s="1"/>
  <c r="A6326" i="2"/>
  <c r="A6326" i="9" s="1"/>
  <c r="B6325" i="2"/>
  <c r="B6325" i="9" s="1"/>
  <c r="A6325" i="2"/>
  <c r="A6325" i="9" s="1"/>
  <c r="B6324" i="2"/>
  <c r="B6324" i="9" s="1"/>
  <c r="A6324" i="2"/>
  <c r="A6324" i="9" s="1"/>
  <c r="B6323" i="2"/>
  <c r="B6323" i="9" s="1"/>
  <c r="A6323" i="2"/>
  <c r="A6323" i="9" s="1"/>
  <c r="B6322" i="2"/>
  <c r="B6322" i="9" s="1"/>
  <c r="A6322" i="2"/>
  <c r="A6322" i="9" s="1"/>
  <c r="B6321" i="2"/>
  <c r="B6321" i="9" s="1"/>
  <c r="A6321" i="2"/>
  <c r="A6321" i="9" s="1"/>
  <c r="B6320" i="2"/>
  <c r="B6320" i="9" s="1"/>
  <c r="A6320" i="2"/>
  <c r="A6320" i="9" s="1"/>
  <c r="B6319" i="2"/>
  <c r="B6319" i="9" s="1"/>
  <c r="A6319" i="2"/>
  <c r="A6319" i="9" s="1"/>
  <c r="B6318" i="2"/>
  <c r="B6318" i="9" s="1"/>
  <c r="A6318" i="2"/>
  <c r="A6318" i="9" s="1"/>
  <c r="B6317" i="2"/>
  <c r="B6317" i="9" s="1"/>
  <c r="A6317" i="2"/>
  <c r="A6317" i="9" s="1"/>
  <c r="B6316" i="2"/>
  <c r="B6316" i="9" s="1"/>
  <c r="A6316" i="2"/>
  <c r="A6316" i="9" s="1"/>
  <c r="B6315" i="2"/>
  <c r="B6315" i="9" s="1"/>
  <c r="A6315" i="2"/>
  <c r="A6315" i="9" s="1"/>
  <c r="B6314" i="2"/>
  <c r="B6314" i="9" s="1"/>
  <c r="A6314" i="2"/>
  <c r="A6314" i="9" s="1"/>
  <c r="B6313" i="2"/>
  <c r="B6313" i="9" s="1"/>
  <c r="A6313" i="2"/>
  <c r="A6313" i="9" s="1"/>
  <c r="B6312" i="2"/>
  <c r="B6312" i="9" s="1"/>
  <c r="A6312" i="2"/>
  <c r="A6312" i="9" s="1"/>
  <c r="B6311" i="2"/>
  <c r="B6311" i="9" s="1"/>
  <c r="A6311" i="2"/>
  <c r="A6311" i="9" s="1"/>
  <c r="B6310" i="2"/>
  <c r="B6310" i="9" s="1"/>
  <c r="A6310" i="2"/>
  <c r="A6310" i="9" s="1"/>
  <c r="B6309" i="2"/>
  <c r="B6309" i="9" s="1"/>
  <c r="A6309" i="2"/>
  <c r="A6309" i="9" s="1"/>
  <c r="B6308" i="2"/>
  <c r="B6308" i="9" s="1"/>
  <c r="A6308" i="2"/>
  <c r="A6308" i="9" s="1"/>
  <c r="B6307" i="2"/>
  <c r="B6307" i="9" s="1"/>
  <c r="A6307" i="2"/>
  <c r="A6307" i="9" s="1"/>
  <c r="B6306" i="2"/>
  <c r="B6306" i="9" s="1"/>
  <c r="A6306" i="2"/>
  <c r="A6306" i="9" s="1"/>
  <c r="B6305" i="2"/>
  <c r="B6305" i="9" s="1"/>
  <c r="A6305" i="2"/>
  <c r="A6305" i="9" s="1"/>
  <c r="B6304" i="2"/>
  <c r="B6304" i="9" s="1"/>
  <c r="A6304" i="2"/>
  <c r="A6304" i="9" s="1"/>
  <c r="B6303" i="2"/>
  <c r="B6303" i="9" s="1"/>
  <c r="A6303" i="2"/>
  <c r="A6303" i="9" s="1"/>
  <c r="B6302" i="2"/>
  <c r="B6302" i="9" s="1"/>
  <c r="A6302" i="2"/>
  <c r="A6302" i="9" s="1"/>
  <c r="B6301" i="2"/>
  <c r="B6301" i="9" s="1"/>
  <c r="A6301" i="2"/>
  <c r="A6301" i="9" s="1"/>
  <c r="B6300" i="2"/>
  <c r="B6300" i="9" s="1"/>
  <c r="A6300" i="2"/>
  <c r="A6300" i="9" s="1"/>
  <c r="B6299" i="2"/>
  <c r="B6299" i="9" s="1"/>
  <c r="A6299" i="2"/>
  <c r="A6299" i="9" s="1"/>
  <c r="B6298" i="2"/>
  <c r="B6298" i="9" s="1"/>
  <c r="A6298" i="2"/>
  <c r="A6298" i="9" s="1"/>
  <c r="B6297" i="2"/>
  <c r="B6297" i="9" s="1"/>
  <c r="A6297" i="2"/>
  <c r="A6297" i="9" s="1"/>
  <c r="B6296" i="2"/>
  <c r="B6296" i="9" s="1"/>
  <c r="A6296" i="2"/>
  <c r="A6296" i="9" s="1"/>
  <c r="B6295" i="2"/>
  <c r="B6295" i="9" s="1"/>
  <c r="A6295" i="2"/>
  <c r="A6295" i="9" s="1"/>
  <c r="B6294" i="2"/>
  <c r="B6294" i="9" s="1"/>
  <c r="A6294" i="2"/>
  <c r="A6294" i="9" s="1"/>
  <c r="B6293" i="2"/>
  <c r="B6293" i="9" s="1"/>
  <c r="A6293" i="2"/>
  <c r="A6293" i="9" s="1"/>
  <c r="B6292" i="2"/>
  <c r="B6292" i="9" s="1"/>
  <c r="A6292" i="2"/>
  <c r="A6292" i="9" s="1"/>
  <c r="B6291" i="2"/>
  <c r="B6291" i="9" s="1"/>
  <c r="A6291" i="2"/>
  <c r="A6291" i="9" s="1"/>
  <c r="B6290" i="2"/>
  <c r="B6290" i="9" s="1"/>
  <c r="A6290" i="2"/>
  <c r="A6290" i="9" s="1"/>
  <c r="B6289" i="2"/>
  <c r="B6289" i="9" s="1"/>
  <c r="A6289" i="2"/>
  <c r="A6289" i="9" s="1"/>
  <c r="B6288" i="2"/>
  <c r="B6288" i="9" s="1"/>
  <c r="A6288" i="2"/>
  <c r="A6288" i="9" s="1"/>
  <c r="B6287" i="2"/>
  <c r="B6287" i="9" s="1"/>
  <c r="A6287" i="2"/>
  <c r="A6287" i="9" s="1"/>
  <c r="B6286" i="2"/>
  <c r="B6286" i="9" s="1"/>
  <c r="A6286" i="2"/>
  <c r="A6286" i="9" s="1"/>
  <c r="B6285" i="2"/>
  <c r="B6285" i="9" s="1"/>
  <c r="A6285" i="2"/>
  <c r="A6285" i="9" s="1"/>
  <c r="B6284" i="2"/>
  <c r="B6284" i="9" s="1"/>
  <c r="A6284" i="2"/>
  <c r="A6284" i="9" s="1"/>
  <c r="B6283" i="2"/>
  <c r="B6283" i="9" s="1"/>
  <c r="A6283" i="2"/>
  <c r="A6283" i="9" s="1"/>
  <c r="B6282" i="2"/>
  <c r="B6282" i="9" s="1"/>
  <c r="A6282" i="2"/>
  <c r="A6282" i="9" s="1"/>
  <c r="B6281" i="2"/>
  <c r="B6281" i="9" s="1"/>
  <c r="A6281" i="2"/>
  <c r="A6281" i="9" s="1"/>
  <c r="B6280" i="2"/>
  <c r="B6280" i="9" s="1"/>
  <c r="A6280" i="2"/>
  <c r="A6280" i="9" s="1"/>
  <c r="B6279" i="2"/>
  <c r="B6279" i="9" s="1"/>
  <c r="A6279" i="2"/>
  <c r="A6279" i="9" s="1"/>
  <c r="B6278" i="2"/>
  <c r="B6278" i="9" s="1"/>
  <c r="A6278" i="2"/>
  <c r="A6278" i="9" s="1"/>
  <c r="B6277" i="2"/>
  <c r="B6277" i="9" s="1"/>
  <c r="A6277" i="2"/>
  <c r="A6277" i="9" s="1"/>
  <c r="B6276" i="2"/>
  <c r="B6276" i="9" s="1"/>
  <c r="A6276" i="2"/>
  <c r="A6276" i="9" s="1"/>
  <c r="B6275" i="2"/>
  <c r="B6275" i="9" s="1"/>
  <c r="A6275" i="2"/>
  <c r="A6275" i="9" s="1"/>
  <c r="B6274" i="2"/>
  <c r="B6274" i="9" s="1"/>
  <c r="A6274" i="2"/>
  <c r="A6274" i="9" s="1"/>
  <c r="B6273" i="2"/>
  <c r="B6273" i="9" s="1"/>
  <c r="A6273" i="2"/>
  <c r="A6273" i="9" s="1"/>
  <c r="B6272" i="2"/>
  <c r="B6272" i="9" s="1"/>
  <c r="A6272" i="2"/>
  <c r="A6272" i="9" s="1"/>
  <c r="B6271" i="2"/>
  <c r="B6271" i="9" s="1"/>
  <c r="A6271" i="2"/>
  <c r="A6271" i="9" s="1"/>
  <c r="B6270" i="2"/>
  <c r="B6270" i="9" s="1"/>
  <c r="A6270" i="2"/>
  <c r="A6270" i="9" s="1"/>
  <c r="B6269" i="2"/>
  <c r="B6269" i="9" s="1"/>
  <c r="A6269" i="2"/>
  <c r="A6269" i="9" s="1"/>
  <c r="B6268" i="2"/>
  <c r="B6268" i="9" s="1"/>
  <c r="A6268" i="2"/>
  <c r="A6268" i="9" s="1"/>
  <c r="B6267" i="2"/>
  <c r="B6267" i="9" s="1"/>
  <c r="A6267" i="2"/>
  <c r="A6267" i="9" s="1"/>
  <c r="B6266" i="2"/>
  <c r="B6266" i="9" s="1"/>
  <c r="A6266" i="2"/>
  <c r="A6266" i="9" s="1"/>
  <c r="B6265" i="2"/>
  <c r="B6265" i="9" s="1"/>
  <c r="A6265" i="2"/>
  <c r="A6265" i="9" s="1"/>
  <c r="B6264" i="2"/>
  <c r="B6264" i="9" s="1"/>
  <c r="A6264" i="2"/>
  <c r="A6264" i="9" s="1"/>
  <c r="B6263" i="2"/>
  <c r="B6263" i="9" s="1"/>
  <c r="A6263" i="2"/>
  <c r="A6263" i="9" s="1"/>
  <c r="B6262" i="2"/>
  <c r="B6262" i="9" s="1"/>
  <c r="A6262" i="2"/>
  <c r="A6262" i="9" s="1"/>
  <c r="B6261" i="2"/>
  <c r="B6261" i="9" s="1"/>
  <c r="A6261" i="2"/>
  <c r="A6261" i="9" s="1"/>
  <c r="B6260" i="2"/>
  <c r="B6260" i="9" s="1"/>
  <c r="A6260" i="2"/>
  <c r="A6260" i="9" s="1"/>
  <c r="B6259" i="2"/>
  <c r="B6259" i="9" s="1"/>
  <c r="A6259" i="2"/>
  <c r="A6259" i="9" s="1"/>
  <c r="B6258" i="2"/>
  <c r="B6258" i="9" s="1"/>
  <c r="A6258" i="2"/>
  <c r="A6258" i="9" s="1"/>
  <c r="B6257" i="2"/>
  <c r="B6257" i="9" s="1"/>
  <c r="A6257" i="2"/>
  <c r="A6257" i="9" s="1"/>
  <c r="B6256" i="2"/>
  <c r="B6256" i="9" s="1"/>
  <c r="A6256" i="2"/>
  <c r="A6256" i="9" s="1"/>
  <c r="B6255" i="2"/>
  <c r="B6255" i="9" s="1"/>
  <c r="A6255" i="2"/>
  <c r="A6255" i="9" s="1"/>
  <c r="B6254" i="2"/>
  <c r="B6254" i="9" s="1"/>
  <c r="A6254" i="2"/>
  <c r="A6254" i="9" s="1"/>
  <c r="B6253" i="2"/>
  <c r="B6253" i="9" s="1"/>
  <c r="A6253" i="2"/>
  <c r="A6253" i="9" s="1"/>
  <c r="B6252" i="2"/>
  <c r="B6252" i="9" s="1"/>
  <c r="A6252" i="2"/>
  <c r="A6252" i="9" s="1"/>
  <c r="B6251" i="2"/>
  <c r="B6251" i="9" s="1"/>
  <c r="A6251" i="2"/>
  <c r="A6251" i="9" s="1"/>
  <c r="B6250" i="2"/>
  <c r="B6250" i="9" s="1"/>
  <c r="A6250" i="2"/>
  <c r="A6250" i="9" s="1"/>
  <c r="B6249" i="2"/>
  <c r="B6249" i="9" s="1"/>
  <c r="A6249" i="2"/>
  <c r="A6249" i="9" s="1"/>
  <c r="B6248" i="2"/>
  <c r="B6248" i="9" s="1"/>
  <c r="A6248" i="2"/>
  <c r="A6248" i="9" s="1"/>
  <c r="B6247" i="2"/>
  <c r="B6247" i="9" s="1"/>
  <c r="A6247" i="2"/>
  <c r="A6247" i="9" s="1"/>
  <c r="B6246" i="2"/>
  <c r="B6246" i="9" s="1"/>
  <c r="A6246" i="2"/>
  <c r="A6246" i="9" s="1"/>
  <c r="B6245" i="2"/>
  <c r="B6245" i="9" s="1"/>
  <c r="A6245" i="2"/>
  <c r="A6245" i="9" s="1"/>
  <c r="B6244" i="2"/>
  <c r="B6244" i="9" s="1"/>
  <c r="A6244" i="2"/>
  <c r="A6244" i="9" s="1"/>
  <c r="B6243" i="2"/>
  <c r="B6243" i="9" s="1"/>
  <c r="A6243" i="2"/>
  <c r="A6243" i="9" s="1"/>
  <c r="B6242" i="2"/>
  <c r="B6242" i="9" s="1"/>
  <c r="A6242" i="2"/>
  <c r="A6242" i="9" s="1"/>
  <c r="B6241" i="2"/>
  <c r="B6241" i="9" s="1"/>
  <c r="A6241" i="2"/>
  <c r="A6241" i="9" s="1"/>
  <c r="B6240" i="2"/>
  <c r="B6240" i="9" s="1"/>
  <c r="A6240" i="2"/>
  <c r="A6240" i="9" s="1"/>
  <c r="B6239" i="2"/>
  <c r="B6239" i="9" s="1"/>
  <c r="A6239" i="2"/>
  <c r="A6239" i="9" s="1"/>
  <c r="B6238" i="2"/>
  <c r="B6238" i="9" s="1"/>
  <c r="A6238" i="2"/>
  <c r="A6238" i="9" s="1"/>
  <c r="B6237" i="2"/>
  <c r="B6237" i="9" s="1"/>
  <c r="A6237" i="2"/>
  <c r="A6237" i="9" s="1"/>
  <c r="B6236" i="2"/>
  <c r="B6236" i="9" s="1"/>
  <c r="A6236" i="2"/>
  <c r="A6236" i="9" s="1"/>
  <c r="B6235" i="2"/>
  <c r="B6235" i="9" s="1"/>
  <c r="A6235" i="2"/>
  <c r="A6235" i="9" s="1"/>
  <c r="B6234" i="2"/>
  <c r="B6234" i="9" s="1"/>
  <c r="A6234" i="2"/>
  <c r="A6234" i="9" s="1"/>
  <c r="B6233" i="2"/>
  <c r="B6233" i="9" s="1"/>
  <c r="A6233" i="2"/>
  <c r="A6233" i="9" s="1"/>
  <c r="B6232" i="2"/>
  <c r="B6232" i="9" s="1"/>
  <c r="A6232" i="2"/>
  <c r="A6232" i="9" s="1"/>
  <c r="B6231" i="2"/>
  <c r="B6231" i="9" s="1"/>
  <c r="A6231" i="2"/>
  <c r="A6231" i="9" s="1"/>
  <c r="B6230" i="2"/>
  <c r="B6230" i="9" s="1"/>
  <c r="A6230" i="2"/>
  <c r="A6230" i="9" s="1"/>
  <c r="B6229" i="2"/>
  <c r="B6229" i="9" s="1"/>
  <c r="A6229" i="2"/>
  <c r="A6229" i="9" s="1"/>
  <c r="B6228" i="2"/>
  <c r="B6228" i="9" s="1"/>
  <c r="A6228" i="2"/>
  <c r="A6228" i="9" s="1"/>
  <c r="B6227" i="2"/>
  <c r="B6227" i="9" s="1"/>
  <c r="A6227" i="2"/>
  <c r="A6227" i="9" s="1"/>
  <c r="B6226" i="2"/>
  <c r="B6226" i="9" s="1"/>
  <c r="A6226" i="2"/>
  <c r="A6226" i="9" s="1"/>
  <c r="B6225" i="2"/>
  <c r="B6225" i="9" s="1"/>
  <c r="A6225" i="2"/>
  <c r="A6225" i="9" s="1"/>
  <c r="B6224" i="2"/>
  <c r="B6224" i="9" s="1"/>
  <c r="A6224" i="2"/>
  <c r="A6224" i="9" s="1"/>
  <c r="B6223" i="2"/>
  <c r="B6223" i="9" s="1"/>
  <c r="A6223" i="2"/>
  <c r="A6223" i="9" s="1"/>
  <c r="B6222" i="2"/>
  <c r="B6222" i="9" s="1"/>
  <c r="A6222" i="2"/>
  <c r="A6222" i="9" s="1"/>
  <c r="B6221" i="2"/>
  <c r="B6221" i="9" s="1"/>
  <c r="A6221" i="2"/>
  <c r="A6221" i="9" s="1"/>
  <c r="B6220" i="2"/>
  <c r="B6220" i="9" s="1"/>
  <c r="A6220" i="2"/>
  <c r="A6220" i="9" s="1"/>
  <c r="B6219" i="2"/>
  <c r="B6219" i="9" s="1"/>
  <c r="A6219" i="2"/>
  <c r="A6219" i="9" s="1"/>
  <c r="B6218" i="2"/>
  <c r="B6218" i="9" s="1"/>
  <c r="A6218" i="2"/>
  <c r="A6218" i="9" s="1"/>
  <c r="B6217" i="2"/>
  <c r="B6217" i="9" s="1"/>
  <c r="A6217" i="2"/>
  <c r="A6217" i="9" s="1"/>
  <c r="B6216" i="2"/>
  <c r="B6216" i="9" s="1"/>
  <c r="A6216" i="2"/>
  <c r="A6216" i="9" s="1"/>
  <c r="B6215" i="2"/>
  <c r="B6215" i="9" s="1"/>
  <c r="A6215" i="2"/>
  <c r="A6215" i="9" s="1"/>
  <c r="B6214" i="2"/>
  <c r="B6214" i="9" s="1"/>
  <c r="A6214" i="2"/>
  <c r="A6214" i="9" s="1"/>
  <c r="B6213" i="2"/>
  <c r="B6213" i="9" s="1"/>
  <c r="A6213" i="2"/>
  <c r="A6213" i="9" s="1"/>
  <c r="B6212" i="2"/>
  <c r="B6212" i="9" s="1"/>
  <c r="A6212" i="2"/>
  <c r="A6212" i="9" s="1"/>
  <c r="B6211" i="2"/>
  <c r="B6211" i="9" s="1"/>
  <c r="A6211" i="2"/>
  <c r="A6211" i="9" s="1"/>
  <c r="B6210" i="2"/>
  <c r="B6210" i="9" s="1"/>
  <c r="A6210" i="2"/>
  <c r="A6210" i="9" s="1"/>
  <c r="B6209" i="2"/>
  <c r="B6209" i="9" s="1"/>
  <c r="A6209" i="2"/>
  <c r="A6209" i="9" s="1"/>
  <c r="B6208" i="2"/>
  <c r="B6208" i="9" s="1"/>
  <c r="A6208" i="2"/>
  <c r="A6208" i="9" s="1"/>
  <c r="B6207" i="2"/>
  <c r="B6207" i="9" s="1"/>
  <c r="A6207" i="2"/>
  <c r="A6207" i="9" s="1"/>
  <c r="B6206" i="2"/>
  <c r="B6206" i="9" s="1"/>
  <c r="A6206" i="2"/>
  <c r="A6206" i="9" s="1"/>
  <c r="B6205" i="2"/>
  <c r="B6205" i="9" s="1"/>
  <c r="A6205" i="2"/>
  <c r="A6205" i="9" s="1"/>
  <c r="B6204" i="2"/>
  <c r="B6204" i="9" s="1"/>
  <c r="A6204" i="2"/>
  <c r="A6204" i="9" s="1"/>
  <c r="B6203" i="2"/>
  <c r="B6203" i="9" s="1"/>
  <c r="A6203" i="2"/>
  <c r="A6203" i="9" s="1"/>
  <c r="B6202" i="2"/>
  <c r="B6202" i="9" s="1"/>
  <c r="A6202" i="2"/>
  <c r="A6202" i="9" s="1"/>
  <c r="B6201" i="2"/>
  <c r="B6201" i="9" s="1"/>
  <c r="A6201" i="2"/>
  <c r="A6201" i="9" s="1"/>
  <c r="B6200" i="2"/>
  <c r="B6200" i="9" s="1"/>
  <c r="A6200" i="2"/>
  <c r="A6200" i="9" s="1"/>
  <c r="B6199" i="2"/>
  <c r="B6199" i="9" s="1"/>
  <c r="A6199" i="2"/>
  <c r="A6199" i="9" s="1"/>
  <c r="B6198" i="2"/>
  <c r="B6198" i="9" s="1"/>
  <c r="A6198" i="2"/>
  <c r="A6198" i="9" s="1"/>
  <c r="B6197" i="2"/>
  <c r="B6197" i="9" s="1"/>
  <c r="A6197" i="2"/>
  <c r="A6197" i="9" s="1"/>
  <c r="B6196" i="2"/>
  <c r="B6196" i="9" s="1"/>
  <c r="A6196" i="2"/>
  <c r="A6196" i="9" s="1"/>
  <c r="B6195" i="2"/>
  <c r="B6195" i="9" s="1"/>
  <c r="A6195" i="2"/>
  <c r="A6195" i="9" s="1"/>
  <c r="B6194" i="2"/>
  <c r="B6194" i="9" s="1"/>
  <c r="A6194" i="2"/>
  <c r="A6194" i="9" s="1"/>
  <c r="B6193" i="2"/>
  <c r="B6193" i="9" s="1"/>
  <c r="A6193" i="2"/>
  <c r="A6193" i="9" s="1"/>
  <c r="B6192" i="2"/>
  <c r="B6192" i="9" s="1"/>
  <c r="A6192" i="2"/>
  <c r="A6192" i="9" s="1"/>
  <c r="B6191" i="2"/>
  <c r="B6191" i="9" s="1"/>
  <c r="A6191" i="2"/>
  <c r="A6191" i="9" s="1"/>
  <c r="B6190" i="2"/>
  <c r="B6190" i="9" s="1"/>
  <c r="A6190" i="2"/>
  <c r="A6190" i="9" s="1"/>
  <c r="B6189" i="2"/>
  <c r="B6189" i="9" s="1"/>
  <c r="A6189" i="2"/>
  <c r="A6189" i="9" s="1"/>
  <c r="B6188" i="2"/>
  <c r="B6188" i="9" s="1"/>
  <c r="A6188" i="2"/>
  <c r="A6188" i="9" s="1"/>
  <c r="B6187" i="2"/>
  <c r="B6187" i="9" s="1"/>
  <c r="A6187" i="2"/>
  <c r="A6187" i="9" s="1"/>
  <c r="B6186" i="2"/>
  <c r="B6186" i="9" s="1"/>
  <c r="A6186" i="2"/>
  <c r="A6186" i="9" s="1"/>
  <c r="B6185" i="2"/>
  <c r="B6185" i="9" s="1"/>
  <c r="A6185" i="2"/>
  <c r="A6185" i="9" s="1"/>
  <c r="B6184" i="2"/>
  <c r="B6184" i="9" s="1"/>
  <c r="A6184" i="2"/>
  <c r="A6184" i="9" s="1"/>
  <c r="B6183" i="2"/>
  <c r="B6183" i="9" s="1"/>
  <c r="A6183" i="2"/>
  <c r="A6183" i="9" s="1"/>
  <c r="B6182" i="2"/>
  <c r="B6182" i="9" s="1"/>
  <c r="A6182" i="2"/>
  <c r="A6182" i="9" s="1"/>
  <c r="B6181" i="2"/>
  <c r="B6181" i="9" s="1"/>
  <c r="A6181" i="2"/>
  <c r="A6181" i="9" s="1"/>
  <c r="B6180" i="2"/>
  <c r="B6180" i="9" s="1"/>
  <c r="A6180" i="2"/>
  <c r="A6180" i="9" s="1"/>
  <c r="B6179" i="2"/>
  <c r="B6179" i="9" s="1"/>
  <c r="A6179" i="2"/>
  <c r="A6179" i="9" s="1"/>
  <c r="B6178" i="2"/>
  <c r="B6178" i="9" s="1"/>
  <c r="A6178" i="2"/>
  <c r="A6178" i="9" s="1"/>
  <c r="B6177" i="2"/>
  <c r="B6177" i="9" s="1"/>
  <c r="A6177" i="2"/>
  <c r="A6177" i="9" s="1"/>
  <c r="B6176" i="2"/>
  <c r="B6176" i="9" s="1"/>
  <c r="A6176" i="2"/>
  <c r="A6176" i="9" s="1"/>
  <c r="B6175" i="2"/>
  <c r="B6175" i="9" s="1"/>
  <c r="A6175" i="2"/>
  <c r="A6175" i="9" s="1"/>
  <c r="B6174" i="2"/>
  <c r="B6174" i="9" s="1"/>
  <c r="A6174" i="2"/>
  <c r="A6174" i="9" s="1"/>
  <c r="B6173" i="2"/>
  <c r="B6173" i="9" s="1"/>
  <c r="A6173" i="2"/>
  <c r="A6173" i="9" s="1"/>
  <c r="B6172" i="2"/>
  <c r="B6172" i="9" s="1"/>
  <c r="A6172" i="2"/>
  <c r="A6172" i="9" s="1"/>
  <c r="B6171" i="2"/>
  <c r="B6171" i="9" s="1"/>
  <c r="A6171" i="2"/>
  <c r="A6171" i="9" s="1"/>
  <c r="B6170" i="2"/>
  <c r="B6170" i="9" s="1"/>
  <c r="A6170" i="2"/>
  <c r="A6170" i="9" s="1"/>
  <c r="B6169" i="2"/>
  <c r="B6169" i="9" s="1"/>
  <c r="A6169" i="2"/>
  <c r="A6169" i="9" s="1"/>
  <c r="B6168" i="2"/>
  <c r="B6168" i="9" s="1"/>
  <c r="A6168" i="2"/>
  <c r="A6168" i="9" s="1"/>
  <c r="B6167" i="2"/>
  <c r="B6167" i="9" s="1"/>
  <c r="A6167" i="2"/>
  <c r="A6167" i="9" s="1"/>
  <c r="B6166" i="2"/>
  <c r="B6166" i="9" s="1"/>
  <c r="A6166" i="2"/>
  <c r="A6166" i="9" s="1"/>
  <c r="B6165" i="2"/>
  <c r="B6165" i="9" s="1"/>
  <c r="A6165" i="2"/>
  <c r="A6165" i="9" s="1"/>
  <c r="B6164" i="2"/>
  <c r="B6164" i="9" s="1"/>
  <c r="A6164" i="2"/>
  <c r="A6164" i="9" s="1"/>
  <c r="B6163" i="2"/>
  <c r="B6163" i="9" s="1"/>
  <c r="A6163" i="2"/>
  <c r="A6163" i="9" s="1"/>
  <c r="B6162" i="2"/>
  <c r="B6162" i="9" s="1"/>
  <c r="A6162" i="2"/>
  <c r="A6162" i="9" s="1"/>
  <c r="B6161" i="2"/>
  <c r="B6161" i="9" s="1"/>
  <c r="A6161" i="2"/>
  <c r="A6161" i="9" s="1"/>
  <c r="B6160" i="2"/>
  <c r="B6160" i="9" s="1"/>
  <c r="A6160" i="2"/>
  <c r="A6160" i="9" s="1"/>
  <c r="B6159" i="2"/>
  <c r="B6159" i="9" s="1"/>
  <c r="A6159" i="2"/>
  <c r="A6159" i="9" s="1"/>
  <c r="B6158" i="2"/>
  <c r="B6158" i="9" s="1"/>
  <c r="A6158" i="2"/>
  <c r="A6158" i="9" s="1"/>
  <c r="B6157" i="2"/>
  <c r="B6157" i="9" s="1"/>
  <c r="A6157" i="2"/>
  <c r="A6157" i="9" s="1"/>
  <c r="B6156" i="2"/>
  <c r="B6156" i="9" s="1"/>
  <c r="A6156" i="2"/>
  <c r="A6156" i="9" s="1"/>
  <c r="B6155" i="2"/>
  <c r="B6155" i="9" s="1"/>
  <c r="A6155" i="2"/>
  <c r="A6155" i="9" s="1"/>
  <c r="B6154" i="2"/>
  <c r="B6154" i="9" s="1"/>
  <c r="A6154" i="2"/>
  <c r="A6154" i="9" s="1"/>
  <c r="B6153" i="2"/>
  <c r="B6153" i="9" s="1"/>
  <c r="A6153" i="2"/>
  <c r="A6153" i="9" s="1"/>
  <c r="B6152" i="2"/>
  <c r="B6152" i="9" s="1"/>
  <c r="A6152" i="2"/>
  <c r="A6152" i="9" s="1"/>
  <c r="B6151" i="2"/>
  <c r="B6151" i="9" s="1"/>
  <c r="A6151" i="2"/>
  <c r="A6151" i="9" s="1"/>
  <c r="B6150" i="2"/>
  <c r="B6150" i="9" s="1"/>
  <c r="A6150" i="2"/>
  <c r="A6150" i="9" s="1"/>
  <c r="B6149" i="2"/>
  <c r="B6149" i="9" s="1"/>
  <c r="A6149" i="2"/>
  <c r="A6149" i="9" s="1"/>
  <c r="B6148" i="2"/>
  <c r="B6148" i="9" s="1"/>
  <c r="A6148" i="2"/>
  <c r="A6148" i="9" s="1"/>
  <c r="B6147" i="2"/>
  <c r="B6147" i="9" s="1"/>
  <c r="A6147" i="2"/>
  <c r="A6147" i="9" s="1"/>
  <c r="B6146" i="2"/>
  <c r="B6146" i="9" s="1"/>
  <c r="A6146" i="2"/>
  <c r="A6146" i="9" s="1"/>
  <c r="B6145" i="2"/>
  <c r="B6145" i="9" s="1"/>
  <c r="A6145" i="2"/>
  <c r="A6145" i="9" s="1"/>
  <c r="B6144" i="2"/>
  <c r="B6144" i="9" s="1"/>
  <c r="A6144" i="2"/>
  <c r="A6144" i="9" s="1"/>
  <c r="B6143" i="2"/>
  <c r="B6143" i="9" s="1"/>
  <c r="A6143" i="2"/>
  <c r="A6143" i="9" s="1"/>
  <c r="B6142" i="2"/>
  <c r="B6142" i="9" s="1"/>
  <c r="A6142" i="2"/>
  <c r="A6142" i="9" s="1"/>
  <c r="B6141" i="2"/>
  <c r="B6141" i="9" s="1"/>
  <c r="A6141" i="2"/>
  <c r="A6141" i="9" s="1"/>
  <c r="B6140" i="2"/>
  <c r="B6140" i="9" s="1"/>
  <c r="A6140" i="2"/>
  <c r="A6140" i="9" s="1"/>
  <c r="B6139" i="2"/>
  <c r="B6139" i="9" s="1"/>
  <c r="A6139" i="2"/>
  <c r="A6139" i="9" s="1"/>
  <c r="B6138" i="2"/>
  <c r="B6138" i="9" s="1"/>
  <c r="A6138" i="2"/>
  <c r="A6138" i="9" s="1"/>
  <c r="B6137" i="2"/>
  <c r="B6137" i="9" s="1"/>
  <c r="A6137" i="2"/>
  <c r="A6137" i="9" s="1"/>
  <c r="B6136" i="2"/>
  <c r="B6136" i="9" s="1"/>
  <c r="A6136" i="2"/>
  <c r="A6136" i="9" s="1"/>
  <c r="B6135" i="2"/>
  <c r="B6135" i="9" s="1"/>
  <c r="A6135" i="2"/>
  <c r="A6135" i="9" s="1"/>
  <c r="B6134" i="2"/>
  <c r="B6134" i="9" s="1"/>
  <c r="A6134" i="2"/>
  <c r="A6134" i="9" s="1"/>
  <c r="B6133" i="2"/>
  <c r="B6133" i="9" s="1"/>
  <c r="A6133" i="2"/>
  <c r="A6133" i="9" s="1"/>
  <c r="B6132" i="2"/>
  <c r="B6132" i="9" s="1"/>
  <c r="A6132" i="2"/>
  <c r="A6132" i="9" s="1"/>
  <c r="B6131" i="2"/>
  <c r="B6131" i="9" s="1"/>
  <c r="A6131" i="2"/>
  <c r="A6131" i="9" s="1"/>
  <c r="B6130" i="2"/>
  <c r="B6130" i="9" s="1"/>
  <c r="A6130" i="2"/>
  <c r="A6130" i="9" s="1"/>
  <c r="B6129" i="2"/>
  <c r="B6129" i="9" s="1"/>
  <c r="A6129" i="2"/>
  <c r="A6129" i="9" s="1"/>
  <c r="B6128" i="2"/>
  <c r="B6128" i="9" s="1"/>
  <c r="A6128" i="2"/>
  <c r="A6128" i="9" s="1"/>
  <c r="B6127" i="2"/>
  <c r="B6127" i="9" s="1"/>
  <c r="A6127" i="2"/>
  <c r="A6127" i="9" s="1"/>
  <c r="B6126" i="2"/>
  <c r="B6126" i="9" s="1"/>
  <c r="A6126" i="2"/>
  <c r="A6126" i="9" s="1"/>
  <c r="B6125" i="2"/>
  <c r="B6125" i="9" s="1"/>
  <c r="A6125" i="2"/>
  <c r="A6125" i="9" s="1"/>
  <c r="B6124" i="2"/>
  <c r="B6124" i="9" s="1"/>
  <c r="A6124" i="2"/>
  <c r="A6124" i="9" s="1"/>
  <c r="B6123" i="2"/>
  <c r="B6123" i="9" s="1"/>
  <c r="A6123" i="2"/>
  <c r="A6123" i="9" s="1"/>
  <c r="B6122" i="2"/>
  <c r="B6122" i="9" s="1"/>
  <c r="A6122" i="2"/>
  <c r="A6122" i="9" s="1"/>
  <c r="B6121" i="2"/>
  <c r="B6121" i="9" s="1"/>
  <c r="A6121" i="2"/>
  <c r="A6121" i="9" s="1"/>
  <c r="B6120" i="2"/>
  <c r="B6120" i="9" s="1"/>
  <c r="A6120" i="2"/>
  <c r="A6120" i="9" s="1"/>
  <c r="B6119" i="2"/>
  <c r="B6119" i="9" s="1"/>
  <c r="A6119" i="2"/>
  <c r="A6119" i="9" s="1"/>
  <c r="B6118" i="2"/>
  <c r="B6118" i="9" s="1"/>
  <c r="A6118" i="2"/>
  <c r="A6118" i="9" s="1"/>
  <c r="B6117" i="2"/>
  <c r="B6117" i="9" s="1"/>
  <c r="A6117" i="2"/>
  <c r="A6117" i="9" s="1"/>
  <c r="B6116" i="2"/>
  <c r="B6116" i="9" s="1"/>
  <c r="A6116" i="2"/>
  <c r="A6116" i="9" s="1"/>
  <c r="B6115" i="2"/>
  <c r="B6115" i="9" s="1"/>
  <c r="A6115" i="2"/>
  <c r="A6115" i="9" s="1"/>
  <c r="B6114" i="2"/>
  <c r="B6114" i="9" s="1"/>
  <c r="A6114" i="2"/>
  <c r="A6114" i="9" s="1"/>
  <c r="B6113" i="2"/>
  <c r="B6113" i="9" s="1"/>
  <c r="A6113" i="2"/>
  <c r="A6113" i="9" s="1"/>
  <c r="B6112" i="2"/>
  <c r="B6112" i="9" s="1"/>
  <c r="A6112" i="2"/>
  <c r="A6112" i="9" s="1"/>
  <c r="B6111" i="2"/>
  <c r="B6111" i="9" s="1"/>
  <c r="A6111" i="2"/>
  <c r="A6111" i="9" s="1"/>
  <c r="B6110" i="2"/>
  <c r="B6110" i="9" s="1"/>
  <c r="A6110" i="2"/>
  <c r="A6110" i="9" s="1"/>
  <c r="B6109" i="2"/>
  <c r="B6109" i="9" s="1"/>
  <c r="A6109" i="2"/>
  <c r="A6109" i="9" s="1"/>
  <c r="B6108" i="2"/>
  <c r="B6108" i="9" s="1"/>
  <c r="A6108" i="2"/>
  <c r="A6108" i="9" s="1"/>
  <c r="B6107" i="2"/>
  <c r="B6107" i="9" s="1"/>
  <c r="A6107" i="2"/>
  <c r="A6107" i="9" s="1"/>
  <c r="B6106" i="2"/>
  <c r="B6106" i="9" s="1"/>
  <c r="A6106" i="2"/>
  <c r="A6106" i="9" s="1"/>
  <c r="B6105" i="2"/>
  <c r="B6105" i="9" s="1"/>
  <c r="A6105" i="2"/>
  <c r="A6105" i="9" s="1"/>
  <c r="B6104" i="2"/>
  <c r="B6104" i="9" s="1"/>
  <c r="A6104" i="2"/>
  <c r="A6104" i="9" s="1"/>
  <c r="B6103" i="2"/>
  <c r="B6103" i="9" s="1"/>
  <c r="A6103" i="2"/>
  <c r="A6103" i="9" s="1"/>
  <c r="B6102" i="2"/>
  <c r="B6102" i="9" s="1"/>
  <c r="A6102" i="2"/>
  <c r="A6102" i="9" s="1"/>
  <c r="B6101" i="2"/>
  <c r="B6101" i="9" s="1"/>
  <c r="A6101" i="2"/>
  <c r="A6101" i="9" s="1"/>
  <c r="B6100" i="2"/>
  <c r="B6100" i="9" s="1"/>
  <c r="A6100" i="2"/>
  <c r="A6100" i="9" s="1"/>
  <c r="B6099" i="2"/>
  <c r="B6099" i="9" s="1"/>
  <c r="A6099" i="2"/>
  <c r="A6099" i="9" s="1"/>
  <c r="B6098" i="2"/>
  <c r="B6098" i="9" s="1"/>
  <c r="A6098" i="2"/>
  <c r="A6098" i="9" s="1"/>
  <c r="B6097" i="2"/>
  <c r="B6097" i="9" s="1"/>
  <c r="A6097" i="2"/>
  <c r="A6097" i="9" s="1"/>
  <c r="B6096" i="2"/>
  <c r="B6096" i="9" s="1"/>
  <c r="A6096" i="2"/>
  <c r="A6096" i="9" s="1"/>
  <c r="B6095" i="2"/>
  <c r="B6095" i="9" s="1"/>
  <c r="A6095" i="2"/>
  <c r="A6095" i="9" s="1"/>
  <c r="B6094" i="2"/>
  <c r="B6094" i="9" s="1"/>
  <c r="A6094" i="2"/>
  <c r="A6094" i="9" s="1"/>
  <c r="B6093" i="2"/>
  <c r="B6093" i="9" s="1"/>
  <c r="A6093" i="2"/>
  <c r="A6093" i="9" s="1"/>
  <c r="B6092" i="2"/>
  <c r="B6092" i="9" s="1"/>
  <c r="A6092" i="2"/>
  <c r="A6092" i="9" s="1"/>
  <c r="B6091" i="2"/>
  <c r="B6091" i="9" s="1"/>
  <c r="A6091" i="2"/>
  <c r="A6091" i="9" s="1"/>
  <c r="B6090" i="2"/>
  <c r="B6090" i="9" s="1"/>
  <c r="A6090" i="2"/>
  <c r="A6090" i="9" s="1"/>
  <c r="B6089" i="2"/>
  <c r="B6089" i="9" s="1"/>
  <c r="A6089" i="2"/>
  <c r="A6089" i="9" s="1"/>
  <c r="B6088" i="2"/>
  <c r="B6088" i="9" s="1"/>
  <c r="A6088" i="2"/>
  <c r="A6088" i="9" s="1"/>
  <c r="B6087" i="2"/>
  <c r="B6087" i="9" s="1"/>
  <c r="A6087" i="2"/>
  <c r="A6087" i="9" s="1"/>
  <c r="B6086" i="2"/>
  <c r="B6086" i="9" s="1"/>
  <c r="A6086" i="2"/>
  <c r="A6086" i="9" s="1"/>
  <c r="B6085" i="2"/>
  <c r="B6085" i="9" s="1"/>
  <c r="A6085" i="2"/>
  <c r="A6085" i="9" s="1"/>
  <c r="B6084" i="2"/>
  <c r="B6084" i="9" s="1"/>
  <c r="A6084" i="2"/>
  <c r="A6084" i="9" s="1"/>
  <c r="B6083" i="2"/>
  <c r="B6083" i="9" s="1"/>
  <c r="A6083" i="2"/>
  <c r="A6083" i="9" s="1"/>
  <c r="B6082" i="2"/>
  <c r="B6082" i="9" s="1"/>
  <c r="A6082" i="2"/>
  <c r="A6082" i="9" s="1"/>
  <c r="B6081" i="2"/>
  <c r="B6081" i="9" s="1"/>
  <c r="A6081" i="2"/>
  <c r="A6081" i="9" s="1"/>
  <c r="B6080" i="2"/>
  <c r="B6080" i="9" s="1"/>
  <c r="A6080" i="2"/>
  <c r="A6080" i="9" s="1"/>
  <c r="B6079" i="2"/>
  <c r="B6079" i="9" s="1"/>
  <c r="A6079" i="2"/>
  <c r="A6079" i="9" s="1"/>
  <c r="B6078" i="2"/>
  <c r="B6078" i="9" s="1"/>
  <c r="A6078" i="2"/>
  <c r="A6078" i="9" s="1"/>
  <c r="B6077" i="2"/>
  <c r="B6077" i="9" s="1"/>
  <c r="A6077" i="2"/>
  <c r="A6077" i="9" s="1"/>
  <c r="B6076" i="2"/>
  <c r="B6076" i="9" s="1"/>
  <c r="A6076" i="2"/>
  <c r="A6076" i="9" s="1"/>
  <c r="B6075" i="2"/>
  <c r="B6075" i="9" s="1"/>
  <c r="A6075" i="2"/>
  <c r="A6075" i="9" s="1"/>
  <c r="B6074" i="2"/>
  <c r="B6074" i="9" s="1"/>
  <c r="A6074" i="2"/>
  <c r="A6074" i="9" s="1"/>
  <c r="B6073" i="2"/>
  <c r="B6073" i="9" s="1"/>
  <c r="A6073" i="2"/>
  <c r="A6073" i="9" s="1"/>
  <c r="B6072" i="2"/>
  <c r="B6072" i="9" s="1"/>
  <c r="A6072" i="2"/>
  <c r="A6072" i="9" s="1"/>
  <c r="B6071" i="2"/>
  <c r="B6071" i="9" s="1"/>
  <c r="A6071" i="2"/>
  <c r="A6071" i="9" s="1"/>
  <c r="B6070" i="2"/>
  <c r="B6070" i="9" s="1"/>
  <c r="A6070" i="2"/>
  <c r="A6070" i="9" s="1"/>
  <c r="B6069" i="2"/>
  <c r="B6069" i="9" s="1"/>
  <c r="A6069" i="2"/>
  <c r="A6069" i="9" s="1"/>
  <c r="B6068" i="2"/>
  <c r="B6068" i="9" s="1"/>
  <c r="A6068" i="2"/>
  <c r="A6068" i="9" s="1"/>
  <c r="B6067" i="2"/>
  <c r="B6067" i="9" s="1"/>
  <c r="A6067" i="2"/>
  <c r="A6067" i="9" s="1"/>
  <c r="B6066" i="2"/>
  <c r="B6066" i="9" s="1"/>
  <c r="A6066" i="2"/>
  <c r="A6066" i="9" s="1"/>
  <c r="B6065" i="2"/>
  <c r="B6065" i="9" s="1"/>
  <c r="A6065" i="2"/>
  <c r="A6065" i="9" s="1"/>
  <c r="B6064" i="2"/>
  <c r="B6064" i="9" s="1"/>
  <c r="A6064" i="2"/>
  <c r="A6064" i="9" s="1"/>
  <c r="B6063" i="2"/>
  <c r="B6063" i="9" s="1"/>
  <c r="A6063" i="2"/>
  <c r="A6063" i="9" s="1"/>
  <c r="B6062" i="2"/>
  <c r="B6062" i="9" s="1"/>
  <c r="A6062" i="2"/>
  <c r="A6062" i="9" s="1"/>
  <c r="B6061" i="2"/>
  <c r="B6061" i="9" s="1"/>
  <c r="A6061" i="2"/>
  <c r="A6061" i="9" s="1"/>
  <c r="B6060" i="2"/>
  <c r="B6060" i="9" s="1"/>
  <c r="A6060" i="2"/>
  <c r="A6060" i="9" s="1"/>
  <c r="B6059" i="2"/>
  <c r="B6059" i="9" s="1"/>
  <c r="A6059" i="2"/>
  <c r="A6059" i="9" s="1"/>
  <c r="B6058" i="2"/>
  <c r="B6058" i="9" s="1"/>
  <c r="A6058" i="2"/>
  <c r="A6058" i="9" s="1"/>
  <c r="B6057" i="2"/>
  <c r="B6057" i="9" s="1"/>
  <c r="A6057" i="2"/>
  <c r="A6057" i="9" s="1"/>
  <c r="B6056" i="2"/>
  <c r="B6056" i="9" s="1"/>
  <c r="A6056" i="2"/>
  <c r="A6056" i="9" s="1"/>
  <c r="B6055" i="2"/>
  <c r="B6055" i="9" s="1"/>
  <c r="A6055" i="2"/>
  <c r="A6055" i="9" s="1"/>
  <c r="B6054" i="2"/>
  <c r="B6054" i="9" s="1"/>
  <c r="A6054" i="2"/>
  <c r="A6054" i="9" s="1"/>
  <c r="B6053" i="2"/>
  <c r="B6053" i="9" s="1"/>
  <c r="A6053" i="2"/>
  <c r="A6053" i="9" s="1"/>
  <c r="B6052" i="2"/>
  <c r="B6052" i="9" s="1"/>
  <c r="A6052" i="2"/>
  <c r="A6052" i="9" s="1"/>
  <c r="B6051" i="2"/>
  <c r="B6051" i="9" s="1"/>
  <c r="A6051" i="2"/>
  <c r="A6051" i="9" s="1"/>
  <c r="B6050" i="2"/>
  <c r="B6050" i="9" s="1"/>
  <c r="A6050" i="2"/>
  <c r="A6050" i="9" s="1"/>
  <c r="B6049" i="2"/>
  <c r="B6049" i="9" s="1"/>
  <c r="A6049" i="2"/>
  <c r="A6049" i="9" s="1"/>
  <c r="B6048" i="2"/>
  <c r="B6048" i="9" s="1"/>
  <c r="A6048" i="2"/>
  <c r="A6048" i="9" s="1"/>
  <c r="B6047" i="2"/>
  <c r="B6047" i="9" s="1"/>
  <c r="A6047" i="2"/>
  <c r="A6047" i="9" s="1"/>
  <c r="B6046" i="2"/>
  <c r="B6046" i="9" s="1"/>
  <c r="A6046" i="2"/>
  <c r="A6046" i="9" s="1"/>
  <c r="B6045" i="2"/>
  <c r="B6045" i="9" s="1"/>
  <c r="A6045" i="2"/>
  <c r="A6045" i="9" s="1"/>
  <c r="B6044" i="2"/>
  <c r="B6044" i="9" s="1"/>
  <c r="A6044" i="2"/>
  <c r="A6044" i="9" s="1"/>
  <c r="B6043" i="2"/>
  <c r="B6043" i="9" s="1"/>
  <c r="A6043" i="2"/>
  <c r="A6043" i="9" s="1"/>
  <c r="B6042" i="2"/>
  <c r="B6042" i="9" s="1"/>
  <c r="A6042" i="2"/>
  <c r="A6042" i="9" s="1"/>
  <c r="B6041" i="2"/>
  <c r="B6041" i="9" s="1"/>
  <c r="A6041" i="2"/>
  <c r="A6041" i="9" s="1"/>
  <c r="B6040" i="2"/>
  <c r="B6040" i="9" s="1"/>
  <c r="A6040" i="2"/>
  <c r="A6040" i="9" s="1"/>
  <c r="B6039" i="2"/>
  <c r="B6039" i="9" s="1"/>
  <c r="A6039" i="2"/>
  <c r="A6039" i="9" s="1"/>
  <c r="B6038" i="2"/>
  <c r="B6038" i="9" s="1"/>
  <c r="A6038" i="2"/>
  <c r="A6038" i="9" s="1"/>
  <c r="B6037" i="2"/>
  <c r="B6037" i="9" s="1"/>
  <c r="A6037" i="2"/>
  <c r="A6037" i="9" s="1"/>
  <c r="B6036" i="2"/>
  <c r="B6036" i="9" s="1"/>
  <c r="A6036" i="2"/>
  <c r="A6036" i="9" s="1"/>
  <c r="B6035" i="2"/>
  <c r="B6035" i="9" s="1"/>
  <c r="A6035" i="2"/>
  <c r="A6035" i="9" s="1"/>
  <c r="B6034" i="2"/>
  <c r="B6034" i="9" s="1"/>
  <c r="A6034" i="2"/>
  <c r="A6034" i="9" s="1"/>
  <c r="B6033" i="2"/>
  <c r="B6033" i="9" s="1"/>
  <c r="A6033" i="2"/>
  <c r="A6033" i="9" s="1"/>
  <c r="B6032" i="2"/>
  <c r="B6032" i="9" s="1"/>
  <c r="A6032" i="2"/>
  <c r="A6032" i="9" s="1"/>
  <c r="B6031" i="2"/>
  <c r="B6031" i="9" s="1"/>
  <c r="A6031" i="2"/>
  <c r="A6031" i="9" s="1"/>
  <c r="B6030" i="2"/>
  <c r="B6030" i="9" s="1"/>
  <c r="A6030" i="2"/>
  <c r="A6030" i="9" s="1"/>
  <c r="B6029" i="2"/>
  <c r="B6029" i="9" s="1"/>
  <c r="A6029" i="2"/>
  <c r="A6029" i="9" s="1"/>
  <c r="B6028" i="2"/>
  <c r="B6028" i="9" s="1"/>
  <c r="A6028" i="2"/>
  <c r="A6028" i="9" s="1"/>
  <c r="B6027" i="2"/>
  <c r="B6027" i="9" s="1"/>
  <c r="A6027" i="2"/>
  <c r="A6027" i="9" s="1"/>
  <c r="B6026" i="2"/>
  <c r="B6026" i="9" s="1"/>
  <c r="A6026" i="2"/>
  <c r="A6026" i="9" s="1"/>
  <c r="B6025" i="2"/>
  <c r="B6025" i="9" s="1"/>
  <c r="A6025" i="2"/>
  <c r="A6025" i="9" s="1"/>
  <c r="B6024" i="2"/>
  <c r="B6024" i="9" s="1"/>
  <c r="A6024" i="2"/>
  <c r="A6024" i="9" s="1"/>
  <c r="B6023" i="2"/>
  <c r="B6023" i="9" s="1"/>
  <c r="A6023" i="2"/>
  <c r="A6023" i="9" s="1"/>
  <c r="B6022" i="2"/>
  <c r="B6022" i="9" s="1"/>
  <c r="A6022" i="2"/>
  <c r="A6022" i="9" s="1"/>
  <c r="B6021" i="2"/>
  <c r="B6021" i="9" s="1"/>
  <c r="A6021" i="2"/>
  <c r="A6021" i="9" s="1"/>
  <c r="B6020" i="2"/>
  <c r="B6020" i="9" s="1"/>
  <c r="A6020" i="2"/>
  <c r="A6020" i="9" s="1"/>
  <c r="B6019" i="2"/>
  <c r="B6019" i="9" s="1"/>
  <c r="A6019" i="2"/>
  <c r="A6019" i="9" s="1"/>
  <c r="B6018" i="2"/>
  <c r="B6018" i="9" s="1"/>
  <c r="A6018" i="2"/>
  <c r="A6018" i="9" s="1"/>
  <c r="B6017" i="2"/>
  <c r="B6017" i="9" s="1"/>
  <c r="A6017" i="2"/>
  <c r="A6017" i="9" s="1"/>
  <c r="B6016" i="2"/>
  <c r="B6016" i="9" s="1"/>
  <c r="A6016" i="2"/>
  <c r="A6016" i="9" s="1"/>
  <c r="B6015" i="2"/>
  <c r="B6015" i="9" s="1"/>
  <c r="A6015" i="2"/>
  <c r="A6015" i="9" s="1"/>
  <c r="B6014" i="2"/>
  <c r="B6014" i="9" s="1"/>
  <c r="A6014" i="2"/>
  <c r="A6014" i="9" s="1"/>
  <c r="B6013" i="2"/>
  <c r="B6013" i="9" s="1"/>
  <c r="A6013" i="2"/>
  <c r="A6013" i="9" s="1"/>
  <c r="B6012" i="2"/>
  <c r="B6012" i="9" s="1"/>
  <c r="A6012" i="2"/>
  <c r="A6012" i="9" s="1"/>
  <c r="B6011" i="2"/>
  <c r="B6011" i="9" s="1"/>
  <c r="A6011" i="2"/>
  <c r="A6011" i="9" s="1"/>
  <c r="B6010" i="2"/>
  <c r="B6010" i="9" s="1"/>
  <c r="A6010" i="2"/>
  <c r="A6010" i="9" s="1"/>
  <c r="B6009" i="2"/>
  <c r="B6009" i="9" s="1"/>
  <c r="A6009" i="2"/>
  <c r="A6009" i="9" s="1"/>
  <c r="B6008" i="2"/>
  <c r="B6008" i="9" s="1"/>
  <c r="A6008" i="2"/>
  <c r="A6008" i="9" s="1"/>
  <c r="B6007" i="2"/>
  <c r="B6007" i="9" s="1"/>
  <c r="A6007" i="2"/>
  <c r="A6007" i="9" s="1"/>
  <c r="B6006" i="2"/>
  <c r="B6006" i="9" s="1"/>
  <c r="A6006" i="2"/>
  <c r="A6006" i="9" s="1"/>
  <c r="B6005" i="2"/>
  <c r="B6005" i="9" s="1"/>
  <c r="A6005" i="2"/>
  <c r="A6005" i="9" s="1"/>
  <c r="B6004" i="2"/>
  <c r="B6004" i="9" s="1"/>
  <c r="A6004" i="2"/>
  <c r="A6004" i="9" s="1"/>
  <c r="B6003" i="2"/>
  <c r="B6003" i="9" s="1"/>
  <c r="A6003" i="2"/>
  <c r="A6003" i="9" s="1"/>
  <c r="B6002" i="2"/>
  <c r="B6002" i="9" s="1"/>
  <c r="A6002" i="2"/>
  <c r="A6002" i="9" s="1"/>
  <c r="B6001" i="2"/>
  <c r="B6001" i="9" s="1"/>
  <c r="A6001" i="2"/>
  <c r="A6001" i="9" s="1"/>
  <c r="B6000" i="2"/>
  <c r="B6000" i="9" s="1"/>
  <c r="A6000" i="2"/>
  <c r="A6000" i="9" s="1"/>
  <c r="B5999" i="2"/>
  <c r="B5999" i="9" s="1"/>
  <c r="A5999" i="2"/>
  <c r="A5999" i="9" s="1"/>
  <c r="B5998" i="2"/>
  <c r="B5998" i="9" s="1"/>
  <c r="A5998" i="2"/>
  <c r="A5998" i="9" s="1"/>
  <c r="B5997" i="2"/>
  <c r="B5997" i="9" s="1"/>
  <c r="A5997" i="2"/>
  <c r="A5997" i="9" s="1"/>
  <c r="B5996" i="2"/>
  <c r="B5996" i="9" s="1"/>
  <c r="A5996" i="2"/>
  <c r="A5996" i="9" s="1"/>
  <c r="B5995" i="2"/>
  <c r="B5995" i="9" s="1"/>
  <c r="A5995" i="2"/>
  <c r="A5995" i="9" s="1"/>
  <c r="B5994" i="2"/>
  <c r="B5994" i="9" s="1"/>
  <c r="A5994" i="2"/>
  <c r="A5994" i="9" s="1"/>
  <c r="B5993" i="2"/>
  <c r="B5993" i="9" s="1"/>
  <c r="A5993" i="2"/>
  <c r="A5993" i="9" s="1"/>
  <c r="B5992" i="2"/>
  <c r="B5992" i="9" s="1"/>
  <c r="A5992" i="2"/>
  <c r="A5992" i="9" s="1"/>
  <c r="B5991" i="2"/>
  <c r="B5991" i="9" s="1"/>
  <c r="A5991" i="2"/>
  <c r="A5991" i="9" s="1"/>
  <c r="B5990" i="2"/>
  <c r="B5990" i="9" s="1"/>
  <c r="A5990" i="2"/>
  <c r="A5990" i="9" s="1"/>
  <c r="B5989" i="2"/>
  <c r="B5989" i="9" s="1"/>
  <c r="A5989" i="2"/>
  <c r="A5989" i="9" s="1"/>
  <c r="B5988" i="2"/>
  <c r="B5988" i="9" s="1"/>
  <c r="A5988" i="2"/>
  <c r="A5988" i="9" s="1"/>
  <c r="B5987" i="2"/>
  <c r="B5987" i="9" s="1"/>
  <c r="A5987" i="2"/>
  <c r="A5987" i="9" s="1"/>
  <c r="B5986" i="2"/>
  <c r="B5986" i="9" s="1"/>
  <c r="A5986" i="2"/>
  <c r="A5986" i="9" s="1"/>
  <c r="B5985" i="2"/>
  <c r="B5985" i="9" s="1"/>
  <c r="A5985" i="2"/>
  <c r="A5985" i="9" s="1"/>
  <c r="B5984" i="2"/>
  <c r="B5984" i="9" s="1"/>
  <c r="A5984" i="2"/>
  <c r="A5984" i="9" s="1"/>
  <c r="B5983" i="2"/>
  <c r="B5983" i="9" s="1"/>
  <c r="A5983" i="2"/>
  <c r="A5983" i="9" s="1"/>
  <c r="B5982" i="2"/>
  <c r="B5982" i="9" s="1"/>
  <c r="A5982" i="2"/>
  <c r="A5982" i="9" s="1"/>
  <c r="B5981" i="2"/>
  <c r="B5981" i="9" s="1"/>
  <c r="A5981" i="2"/>
  <c r="A5981" i="9" s="1"/>
  <c r="B5980" i="2"/>
  <c r="B5980" i="9" s="1"/>
  <c r="A5980" i="2"/>
  <c r="A5980" i="9" s="1"/>
  <c r="B5979" i="2"/>
  <c r="B5979" i="9" s="1"/>
  <c r="A5979" i="2"/>
  <c r="A5979" i="9" s="1"/>
  <c r="B5978" i="2"/>
  <c r="B5978" i="9" s="1"/>
  <c r="A5978" i="2"/>
  <c r="A5978" i="9" s="1"/>
  <c r="B5977" i="2"/>
  <c r="B5977" i="9" s="1"/>
  <c r="A5977" i="2"/>
  <c r="A5977" i="9" s="1"/>
  <c r="B5976" i="2"/>
  <c r="B5976" i="9" s="1"/>
  <c r="A5976" i="2"/>
  <c r="A5976" i="9" s="1"/>
  <c r="B5975" i="2"/>
  <c r="B5975" i="9" s="1"/>
  <c r="A5975" i="2"/>
  <c r="A5975" i="9" s="1"/>
  <c r="B5974" i="2"/>
  <c r="B5974" i="9" s="1"/>
  <c r="A5974" i="2"/>
  <c r="A5974" i="9" s="1"/>
  <c r="B5973" i="2"/>
  <c r="B5973" i="9" s="1"/>
  <c r="A5973" i="2"/>
  <c r="A5973" i="9" s="1"/>
  <c r="B5972" i="2"/>
  <c r="B5972" i="9" s="1"/>
  <c r="A5972" i="2"/>
  <c r="A5972" i="9" s="1"/>
  <c r="B5971" i="2"/>
  <c r="B5971" i="9" s="1"/>
  <c r="A5971" i="2"/>
  <c r="A5971" i="9" s="1"/>
  <c r="B5970" i="2"/>
  <c r="B5970" i="9" s="1"/>
  <c r="A5970" i="2"/>
  <c r="A5970" i="9" s="1"/>
  <c r="B5969" i="2"/>
  <c r="B5969" i="9" s="1"/>
  <c r="A5969" i="2"/>
  <c r="A5969" i="9" s="1"/>
  <c r="B5968" i="2"/>
  <c r="B5968" i="9" s="1"/>
  <c r="A5968" i="2"/>
  <c r="A5968" i="9" s="1"/>
  <c r="B5967" i="2"/>
  <c r="B5967" i="9" s="1"/>
  <c r="A5967" i="2"/>
  <c r="A5967" i="9" s="1"/>
  <c r="B5966" i="2"/>
  <c r="B5966" i="9" s="1"/>
  <c r="A5966" i="2"/>
  <c r="A5966" i="9" s="1"/>
  <c r="B5965" i="2"/>
  <c r="B5965" i="9" s="1"/>
  <c r="A5965" i="2"/>
  <c r="A5965" i="9" s="1"/>
  <c r="B5964" i="2"/>
  <c r="B5964" i="9" s="1"/>
  <c r="A5964" i="2"/>
  <c r="A5964" i="9" s="1"/>
  <c r="B5963" i="2"/>
  <c r="B5963" i="9" s="1"/>
  <c r="A5963" i="2"/>
  <c r="A5963" i="9" s="1"/>
  <c r="B5962" i="2"/>
  <c r="B5962" i="9" s="1"/>
  <c r="A5962" i="2"/>
  <c r="A5962" i="9" s="1"/>
  <c r="B5961" i="2"/>
  <c r="B5961" i="9" s="1"/>
  <c r="A5961" i="2"/>
  <c r="A5961" i="9" s="1"/>
  <c r="B5960" i="2"/>
  <c r="B5960" i="9" s="1"/>
  <c r="A5960" i="2"/>
  <c r="A5960" i="9" s="1"/>
  <c r="B5959" i="2"/>
  <c r="B5959" i="9" s="1"/>
  <c r="A5959" i="2"/>
  <c r="A5959" i="9" s="1"/>
  <c r="B5958" i="2"/>
  <c r="B5958" i="9" s="1"/>
  <c r="A5958" i="2"/>
  <c r="A5958" i="9" s="1"/>
  <c r="B5957" i="2"/>
  <c r="B5957" i="9" s="1"/>
  <c r="A5957" i="2"/>
  <c r="A5957" i="9" s="1"/>
  <c r="B5956" i="2"/>
  <c r="B5956" i="9" s="1"/>
  <c r="A5956" i="2"/>
  <c r="A5956" i="9" s="1"/>
  <c r="B5955" i="2"/>
  <c r="B5955" i="9" s="1"/>
  <c r="A5955" i="2"/>
  <c r="A5955" i="9" s="1"/>
  <c r="B5954" i="2"/>
  <c r="B5954" i="9" s="1"/>
  <c r="A5954" i="2"/>
  <c r="A5954" i="9" s="1"/>
  <c r="B5953" i="2"/>
  <c r="B5953" i="9" s="1"/>
  <c r="A5953" i="2"/>
  <c r="A5953" i="9" s="1"/>
  <c r="B5952" i="2"/>
  <c r="B5952" i="9" s="1"/>
  <c r="A5952" i="2"/>
  <c r="A5952" i="9" s="1"/>
  <c r="B5951" i="2"/>
  <c r="B5951" i="9" s="1"/>
  <c r="A5951" i="2"/>
  <c r="A5951" i="9" s="1"/>
  <c r="B5950" i="2"/>
  <c r="B5950" i="9" s="1"/>
  <c r="A5950" i="2"/>
  <c r="A5950" i="9" s="1"/>
  <c r="B5949" i="2"/>
  <c r="B5949" i="9" s="1"/>
  <c r="A5949" i="2"/>
  <c r="A5949" i="9" s="1"/>
  <c r="B5948" i="2"/>
  <c r="B5948" i="9" s="1"/>
  <c r="A5948" i="2"/>
  <c r="A5948" i="9" s="1"/>
  <c r="B5947" i="2"/>
  <c r="B5947" i="9" s="1"/>
  <c r="A5947" i="2"/>
  <c r="A5947" i="9" s="1"/>
  <c r="B5946" i="2"/>
  <c r="B5946" i="9" s="1"/>
  <c r="A5946" i="2"/>
  <c r="A5946" i="9" s="1"/>
  <c r="B5945" i="2"/>
  <c r="B5945" i="9" s="1"/>
  <c r="A5945" i="2"/>
  <c r="A5945" i="9" s="1"/>
  <c r="B5944" i="2"/>
  <c r="B5944" i="9" s="1"/>
  <c r="A5944" i="2"/>
  <c r="A5944" i="9" s="1"/>
  <c r="B5943" i="2"/>
  <c r="B5943" i="9" s="1"/>
  <c r="A5943" i="2"/>
  <c r="A5943" i="9" s="1"/>
  <c r="B5942" i="2"/>
  <c r="B5942" i="9" s="1"/>
  <c r="A5942" i="2"/>
  <c r="A5942" i="9" s="1"/>
  <c r="B5941" i="2"/>
  <c r="B5941" i="9" s="1"/>
  <c r="A5941" i="2"/>
  <c r="A5941" i="9" s="1"/>
  <c r="B5940" i="2"/>
  <c r="B5940" i="9" s="1"/>
  <c r="A5940" i="2"/>
  <c r="A5940" i="9" s="1"/>
  <c r="B5939" i="2"/>
  <c r="B5939" i="9" s="1"/>
  <c r="A5939" i="2"/>
  <c r="A5939" i="9" s="1"/>
  <c r="B5938" i="2"/>
  <c r="B5938" i="9" s="1"/>
  <c r="A5938" i="2"/>
  <c r="A5938" i="9" s="1"/>
  <c r="B5937" i="2"/>
  <c r="B5937" i="9" s="1"/>
  <c r="A5937" i="2"/>
  <c r="A5937" i="9" s="1"/>
  <c r="B5936" i="2"/>
  <c r="B5936" i="9" s="1"/>
  <c r="A5936" i="2"/>
  <c r="A5936" i="9" s="1"/>
  <c r="B5935" i="2"/>
  <c r="B5935" i="9" s="1"/>
  <c r="A5935" i="2"/>
  <c r="A5935" i="9" s="1"/>
  <c r="B5934" i="2"/>
  <c r="B5934" i="9" s="1"/>
  <c r="A5934" i="2"/>
  <c r="A5934" i="9" s="1"/>
  <c r="B5933" i="2"/>
  <c r="B5933" i="9" s="1"/>
  <c r="A5933" i="2"/>
  <c r="A5933" i="9" s="1"/>
  <c r="B5932" i="2"/>
  <c r="B5932" i="9" s="1"/>
  <c r="A5932" i="2"/>
  <c r="A5932" i="9" s="1"/>
  <c r="B5931" i="2"/>
  <c r="B5931" i="9" s="1"/>
  <c r="A5931" i="2"/>
  <c r="A5931" i="9" s="1"/>
  <c r="B5930" i="2"/>
  <c r="B5930" i="9" s="1"/>
  <c r="A5930" i="2"/>
  <c r="A5930" i="9" s="1"/>
  <c r="B5929" i="2"/>
  <c r="B5929" i="9" s="1"/>
  <c r="A5929" i="2"/>
  <c r="A5929" i="9" s="1"/>
  <c r="B5928" i="2"/>
  <c r="B5928" i="9" s="1"/>
  <c r="A5928" i="2"/>
  <c r="A5928" i="9" s="1"/>
  <c r="B5927" i="2"/>
  <c r="B5927" i="9" s="1"/>
  <c r="A5927" i="2"/>
  <c r="A5927" i="9" s="1"/>
  <c r="B5926" i="2"/>
  <c r="B5926" i="9" s="1"/>
  <c r="A5926" i="2"/>
  <c r="A5926" i="9" s="1"/>
  <c r="B5925" i="2"/>
  <c r="B5925" i="9" s="1"/>
  <c r="A5925" i="2"/>
  <c r="A5925" i="9" s="1"/>
  <c r="B5924" i="2"/>
  <c r="B5924" i="9" s="1"/>
  <c r="A5924" i="2"/>
  <c r="A5924" i="9" s="1"/>
  <c r="B5923" i="2"/>
  <c r="B5923" i="9" s="1"/>
  <c r="A5923" i="2"/>
  <c r="A5923" i="9" s="1"/>
  <c r="B5922" i="2"/>
  <c r="B5922" i="9" s="1"/>
  <c r="A5922" i="2"/>
  <c r="A5922" i="9" s="1"/>
  <c r="B5921" i="2"/>
  <c r="B5921" i="9" s="1"/>
  <c r="A5921" i="2"/>
  <c r="A5921" i="9" s="1"/>
  <c r="B5920" i="2"/>
  <c r="B5920" i="9" s="1"/>
  <c r="A5920" i="2"/>
  <c r="A5920" i="9" s="1"/>
  <c r="B5919" i="2"/>
  <c r="B5919" i="9" s="1"/>
  <c r="A5919" i="2"/>
  <c r="A5919" i="9" s="1"/>
  <c r="B5918" i="2"/>
  <c r="B5918" i="9" s="1"/>
  <c r="A5918" i="2"/>
  <c r="A5918" i="9" s="1"/>
  <c r="B5917" i="2"/>
  <c r="B5917" i="9" s="1"/>
  <c r="A5917" i="2"/>
  <c r="A5917" i="9" s="1"/>
  <c r="B5916" i="2"/>
  <c r="B5916" i="9" s="1"/>
  <c r="A5916" i="2"/>
  <c r="A5916" i="9" s="1"/>
  <c r="B5915" i="2"/>
  <c r="B5915" i="9" s="1"/>
  <c r="A5915" i="2"/>
  <c r="A5915" i="9" s="1"/>
  <c r="B5914" i="2"/>
  <c r="B5914" i="9" s="1"/>
  <c r="A5914" i="2"/>
  <c r="A5914" i="9" s="1"/>
  <c r="B5913" i="2"/>
  <c r="B5913" i="9" s="1"/>
  <c r="A5913" i="2"/>
  <c r="A5913" i="9" s="1"/>
  <c r="B5912" i="2"/>
  <c r="B5912" i="9" s="1"/>
  <c r="A5912" i="2"/>
  <c r="A5912" i="9" s="1"/>
  <c r="B5911" i="2"/>
  <c r="B5911" i="9" s="1"/>
  <c r="A5911" i="2"/>
  <c r="A5911" i="9" s="1"/>
  <c r="B5910" i="2"/>
  <c r="B5910" i="9" s="1"/>
  <c r="A5910" i="2"/>
  <c r="A5910" i="9" s="1"/>
  <c r="B5909" i="2"/>
  <c r="B5909" i="9" s="1"/>
  <c r="A5909" i="2"/>
  <c r="A5909" i="9" s="1"/>
  <c r="B5908" i="2"/>
  <c r="B5908" i="9" s="1"/>
  <c r="A5908" i="2"/>
  <c r="A5908" i="9" s="1"/>
  <c r="B5907" i="2"/>
  <c r="B5907" i="9" s="1"/>
  <c r="A5907" i="2"/>
  <c r="A5907" i="9" s="1"/>
  <c r="B5906" i="2"/>
  <c r="B5906" i="9" s="1"/>
  <c r="A5906" i="2"/>
  <c r="A5906" i="9" s="1"/>
  <c r="B5905" i="2"/>
  <c r="B5905" i="9" s="1"/>
  <c r="A5905" i="2"/>
  <c r="A5905" i="9" s="1"/>
  <c r="B5904" i="2"/>
  <c r="B5904" i="9" s="1"/>
  <c r="A5904" i="2"/>
  <c r="A5904" i="9" s="1"/>
  <c r="B5903" i="2"/>
  <c r="B5903" i="9" s="1"/>
  <c r="A5903" i="2"/>
  <c r="A5903" i="9" s="1"/>
  <c r="B5902" i="2"/>
  <c r="B5902" i="9" s="1"/>
  <c r="A5902" i="2"/>
  <c r="A5902" i="9" s="1"/>
  <c r="B5901" i="2"/>
  <c r="B5901" i="9" s="1"/>
  <c r="A5901" i="2"/>
  <c r="A5901" i="9" s="1"/>
  <c r="B5900" i="2"/>
  <c r="B5900" i="9" s="1"/>
  <c r="A5900" i="2"/>
  <c r="A5900" i="9" s="1"/>
  <c r="B5899" i="2"/>
  <c r="B5899" i="9" s="1"/>
  <c r="A5899" i="2"/>
  <c r="A5899" i="9" s="1"/>
  <c r="B5898" i="2"/>
  <c r="B5898" i="9" s="1"/>
  <c r="A5898" i="2"/>
  <c r="A5898" i="9" s="1"/>
  <c r="B5897" i="2"/>
  <c r="B5897" i="9" s="1"/>
  <c r="A5897" i="2"/>
  <c r="A5897" i="9" s="1"/>
  <c r="B5896" i="2"/>
  <c r="B5896" i="9" s="1"/>
  <c r="A5896" i="2"/>
  <c r="A5896" i="9" s="1"/>
  <c r="B5895" i="2"/>
  <c r="B5895" i="9" s="1"/>
  <c r="A5895" i="2"/>
  <c r="A5895" i="9" s="1"/>
  <c r="B5894" i="2"/>
  <c r="B5894" i="9" s="1"/>
  <c r="A5894" i="2"/>
  <c r="A5894" i="9" s="1"/>
  <c r="B5893" i="2"/>
  <c r="B5893" i="9" s="1"/>
  <c r="A5893" i="2"/>
  <c r="A5893" i="9" s="1"/>
  <c r="B5892" i="2"/>
  <c r="B5892" i="9" s="1"/>
  <c r="A5892" i="2"/>
  <c r="A5892" i="9" s="1"/>
  <c r="B5891" i="2"/>
  <c r="B5891" i="9" s="1"/>
  <c r="A5891" i="2"/>
  <c r="A5891" i="9" s="1"/>
  <c r="B5890" i="2"/>
  <c r="B5890" i="9" s="1"/>
  <c r="A5890" i="2"/>
  <c r="A5890" i="9" s="1"/>
  <c r="B5889" i="2"/>
  <c r="B5889" i="9" s="1"/>
  <c r="A5889" i="2"/>
  <c r="A5889" i="9" s="1"/>
  <c r="B5888" i="2"/>
  <c r="B5888" i="9" s="1"/>
  <c r="A5888" i="2"/>
  <c r="A5888" i="9" s="1"/>
  <c r="B5887" i="2"/>
  <c r="B5887" i="9" s="1"/>
  <c r="A5887" i="2"/>
  <c r="A5887" i="9" s="1"/>
  <c r="B5886" i="2"/>
  <c r="B5886" i="9" s="1"/>
  <c r="A5886" i="2"/>
  <c r="A5886" i="9" s="1"/>
  <c r="B5885" i="2"/>
  <c r="B5885" i="9" s="1"/>
  <c r="A5885" i="2"/>
  <c r="A5885" i="9" s="1"/>
  <c r="B5884" i="2"/>
  <c r="B5884" i="9" s="1"/>
  <c r="A5884" i="2"/>
  <c r="A5884" i="9" s="1"/>
  <c r="B5883" i="2"/>
  <c r="B5883" i="9" s="1"/>
  <c r="A5883" i="2"/>
  <c r="A5883" i="9" s="1"/>
  <c r="B5882" i="2"/>
  <c r="B5882" i="9" s="1"/>
  <c r="A5882" i="2"/>
  <c r="A5882" i="9" s="1"/>
  <c r="B5881" i="2"/>
  <c r="B5881" i="9" s="1"/>
  <c r="A5881" i="2"/>
  <c r="A5881" i="9" s="1"/>
  <c r="B5880" i="2"/>
  <c r="B5880" i="9" s="1"/>
  <c r="A5880" i="2"/>
  <c r="A5880" i="9" s="1"/>
  <c r="B5879" i="2"/>
  <c r="B5879" i="9" s="1"/>
  <c r="A5879" i="2"/>
  <c r="A5879" i="9" s="1"/>
  <c r="B5878" i="2"/>
  <c r="B5878" i="9" s="1"/>
  <c r="A5878" i="2"/>
  <c r="A5878" i="9" s="1"/>
  <c r="B5877" i="2"/>
  <c r="B5877" i="9" s="1"/>
  <c r="A5877" i="2"/>
  <c r="A5877" i="9" s="1"/>
  <c r="B5876" i="2"/>
  <c r="B5876" i="9" s="1"/>
  <c r="A5876" i="2"/>
  <c r="A5876" i="9" s="1"/>
  <c r="B5875" i="2"/>
  <c r="B5875" i="9" s="1"/>
  <c r="A5875" i="2"/>
  <c r="A5875" i="9" s="1"/>
  <c r="B5874" i="2"/>
  <c r="B5874" i="9" s="1"/>
  <c r="A5874" i="2"/>
  <c r="A5874" i="9" s="1"/>
  <c r="B5873" i="2"/>
  <c r="B5873" i="9" s="1"/>
  <c r="A5873" i="2"/>
  <c r="A5873" i="9" s="1"/>
  <c r="B5872" i="2"/>
  <c r="B5872" i="9" s="1"/>
  <c r="A5872" i="2"/>
  <c r="A5872" i="9" s="1"/>
  <c r="B5871" i="2"/>
  <c r="B5871" i="9" s="1"/>
  <c r="A5871" i="2"/>
  <c r="A5871" i="9" s="1"/>
  <c r="B5870" i="2"/>
  <c r="B5870" i="9" s="1"/>
  <c r="A5870" i="2"/>
  <c r="A5870" i="9" s="1"/>
  <c r="B5869" i="2"/>
  <c r="B5869" i="9" s="1"/>
  <c r="A5869" i="2"/>
  <c r="A5869" i="9" s="1"/>
  <c r="B5868" i="2"/>
  <c r="B5868" i="9" s="1"/>
  <c r="A5868" i="2"/>
  <c r="A5868" i="9" s="1"/>
  <c r="B5867" i="2"/>
  <c r="B5867" i="9" s="1"/>
  <c r="A5867" i="2"/>
  <c r="A5867" i="9" s="1"/>
  <c r="B5866" i="2"/>
  <c r="B5866" i="9" s="1"/>
  <c r="A5866" i="2"/>
  <c r="A5866" i="9" s="1"/>
  <c r="B5865" i="2"/>
  <c r="B5865" i="9" s="1"/>
  <c r="A5865" i="2"/>
  <c r="A5865" i="9" s="1"/>
  <c r="B5864" i="2"/>
  <c r="B5864" i="9" s="1"/>
  <c r="A5864" i="2"/>
  <c r="A5864" i="9" s="1"/>
  <c r="B5863" i="2"/>
  <c r="B5863" i="9" s="1"/>
  <c r="A5863" i="2"/>
  <c r="A5863" i="9" s="1"/>
  <c r="B5862" i="2"/>
  <c r="B5862" i="9" s="1"/>
  <c r="A5862" i="2"/>
  <c r="A5862" i="9" s="1"/>
  <c r="B5861" i="2"/>
  <c r="B5861" i="9" s="1"/>
  <c r="A5861" i="2"/>
  <c r="A5861" i="9" s="1"/>
  <c r="B5860" i="2"/>
  <c r="B5860" i="9" s="1"/>
  <c r="A5860" i="2"/>
  <c r="A5860" i="9" s="1"/>
  <c r="B5859" i="2"/>
  <c r="B5859" i="9" s="1"/>
  <c r="A5859" i="2"/>
  <c r="A5859" i="9" s="1"/>
  <c r="B5858" i="2"/>
  <c r="B5858" i="9" s="1"/>
  <c r="A5858" i="2"/>
  <c r="A5858" i="9" s="1"/>
  <c r="B5857" i="2"/>
  <c r="B5857" i="9" s="1"/>
  <c r="A5857" i="2"/>
  <c r="A5857" i="9" s="1"/>
  <c r="B5856" i="2"/>
  <c r="B5856" i="9" s="1"/>
  <c r="A5856" i="2"/>
  <c r="A5856" i="9" s="1"/>
  <c r="B5855" i="2"/>
  <c r="B5855" i="9" s="1"/>
  <c r="A5855" i="2"/>
  <c r="A5855" i="9" s="1"/>
  <c r="B5854" i="2"/>
  <c r="B5854" i="9" s="1"/>
  <c r="A5854" i="2"/>
  <c r="A5854" i="9" s="1"/>
  <c r="B5853" i="2"/>
  <c r="B5853" i="9" s="1"/>
  <c r="A5853" i="2"/>
  <c r="A5853" i="9" s="1"/>
  <c r="B5852" i="2"/>
  <c r="B5852" i="9" s="1"/>
  <c r="A5852" i="2"/>
  <c r="A5852" i="9" s="1"/>
  <c r="B5851" i="2"/>
  <c r="B5851" i="9" s="1"/>
  <c r="A5851" i="2"/>
  <c r="A5851" i="9" s="1"/>
  <c r="B5850" i="2"/>
  <c r="B5850" i="9" s="1"/>
  <c r="A5850" i="2"/>
  <c r="A5850" i="9" s="1"/>
  <c r="B5849" i="2"/>
  <c r="B5849" i="9" s="1"/>
  <c r="A5849" i="2"/>
  <c r="A5849" i="9" s="1"/>
  <c r="B5848" i="2"/>
  <c r="B5848" i="9" s="1"/>
  <c r="A5848" i="2"/>
  <c r="A5848" i="9" s="1"/>
  <c r="B5847" i="2"/>
  <c r="B5847" i="9" s="1"/>
  <c r="A5847" i="2"/>
  <c r="A5847" i="9" s="1"/>
  <c r="B5846" i="2"/>
  <c r="B5846" i="9" s="1"/>
  <c r="A5846" i="2"/>
  <c r="A5846" i="9" s="1"/>
  <c r="B5845" i="2"/>
  <c r="B5845" i="9" s="1"/>
  <c r="A5845" i="2"/>
  <c r="A5845" i="9" s="1"/>
  <c r="B5844" i="2"/>
  <c r="B5844" i="9" s="1"/>
  <c r="A5844" i="2"/>
  <c r="A5844" i="9" s="1"/>
  <c r="B5843" i="2"/>
  <c r="B5843" i="9" s="1"/>
  <c r="A5843" i="2"/>
  <c r="A5843" i="9" s="1"/>
  <c r="B5842" i="2"/>
  <c r="B5842" i="9" s="1"/>
  <c r="A5842" i="2"/>
  <c r="A5842" i="9" s="1"/>
  <c r="B5841" i="2"/>
  <c r="B5841" i="9" s="1"/>
  <c r="A5841" i="2"/>
  <c r="A5841" i="9" s="1"/>
  <c r="B5840" i="2"/>
  <c r="B5840" i="9" s="1"/>
  <c r="A5840" i="2"/>
  <c r="A5840" i="9" s="1"/>
  <c r="B5839" i="2"/>
  <c r="B5839" i="9" s="1"/>
  <c r="A5839" i="2"/>
  <c r="A5839" i="9" s="1"/>
  <c r="B5838" i="2"/>
  <c r="B5838" i="9" s="1"/>
  <c r="A5838" i="2"/>
  <c r="A5838" i="9" s="1"/>
  <c r="B5837" i="2"/>
  <c r="B5837" i="9" s="1"/>
  <c r="A5837" i="2"/>
  <c r="A5837" i="9" s="1"/>
  <c r="B5836" i="2"/>
  <c r="B5836" i="9" s="1"/>
  <c r="A5836" i="2"/>
  <c r="A5836" i="9" s="1"/>
  <c r="B5835" i="2"/>
  <c r="B5835" i="9" s="1"/>
  <c r="A5835" i="2"/>
  <c r="A5835" i="9" s="1"/>
  <c r="B5834" i="2"/>
  <c r="B5834" i="9" s="1"/>
  <c r="A5834" i="2"/>
  <c r="A5834" i="9" s="1"/>
  <c r="B5833" i="2"/>
  <c r="B5833" i="9" s="1"/>
  <c r="A5833" i="2"/>
  <c r="A5833" i="9" s="1"/>
  <c r="B5832" i="2"/>
  <c r="B5832" i="9" s="1"/>
  <c r="A5832" i="2"/>
  <c r="A5832" i="9" s="1"/>
  <c r="B5831" i="2"/>
  <c r="B5831" i="9" s="1"/>
  <c r="A5831" i="2"/>
  <c r="A5831" i="9" s="1"/>
  <c r="B5830" i="2"/>
  <c r="B5830" i="9" s="1"/>
  <c r="A5830" i="2"/>
  <c r="A5830" i="9" s="1"/>
  <c r="B5829" i="2"/>
  <c r="B5829" i="9" s="1"/>
  <c r="A5829" i="2"/>
  <c r="A5829" i="9" s="1"/>
  <c r="B5828" i="2"/>
  <c r="B5828" i="9" s="1"/>
  <c r="A5828" i="2"/>
  <c r="A5828" i="9" s="1"/>
  <c r="B5827" i="2"/>
  <c r="B5827" i="9" s="1"/>
  <c r="A5827" i="2"/>
  <c r="A5827" i="9" s="1"/>
  <c r="B5826" i="2"/>
  <c r="B5826" i="9" s="1"/>
  <c r="A5826" i="2"/>
  <c r="A5826" i="9" s="1"/>
  <c r="B5825" i="2"/>
  <c r="B5825" i="9" s="1"/>
  <c r="A5825" i="2"/>
  <c r="A5825" i="9" s="1"/>
  <c r="B5824" i="2"/>
  <c r="B5824" i="9" s="1"/>
  <c r="A5824" i="2"/>
  <c r="A5824" i="9" s="1"/>
  <c r="B5823" i="2"/>
  <c r="B5823" i="9" s="1"/>
  <c r="A5823" i="2"/>
  <c r="A5823" i="9" s="1"/>
  <c r="B5822" i="2"/>
  <c r="B5822" i="9" s="1"/>
  <c r="A5822" i="2"/>
  <c r="A5822" i="9" s="1"/>
  <c r="B5821" i="2"/>
  <c r="B5821" i="9" s="1"/>
  <c r="A5821" i="2"/>
  <c r="A5821" i="9" s="1"/>
  <c r="B5820" i="2"/>
  <c r="B5820" i="9" s="1"/>
  <c r="A5820" i="2"/>
  <c r="A5820" i="9" s="1"/>
  <c r="B5819" i="2"/>
  <c r="B5819" i="9" s="1"/>
  <c r="A5819" i="2"/>
  <c r="A5819" i="9" s="1"/>
  <c r="B5818" i="2"/>
  <c r="B5818" i="9" s="1"/>
  <c r="A5818" i="2"/>
  <c r="A5818" i="9" s="1"/>
  <c r="B5817" i="2"/>
  <c r="B5817" i="9" s="1"/>
  <c r="A5817" i="2"/>
  <c r="A5817" i="9" s="1"/>
  <c r="B5816" i="2"/>
  <c r="B5816" i="9" s="1"/>
  <c r="A5816" i="2"/>
  <c r="A5816" i="9" s="1"/>
  <c r="B5815" i="2"/>
  <c r="B5815" i="9" s="1"/>
  <c r="A5815" i="2"/>
  <c r="A5815" i="9" s="1"/>
  <c r="B5814" i="2"/>
  <c r="B5814" i="9" s="1"/>
  <c r="A5814" i="2"/>
  <c r="A5814" i="9" s="1"/>
  <c r="B5813" i="2"/>
  <c r="B5813" i="9" s="1"/>
  <c r="A5813" i="2"/>
  <c r="A5813" i="9" s="1"/>
  <c r="B5812" i="2"/>
  <c r="B5812" i="9" s="1"/>
  <c r="A5812" i="2"/>
  <c r="A5812" i="9" s="1"/>
  <c r="B5811" i="2"/>
  <c r="B5811" i="9" s="1"/>
  <c r="A5811" i="2"/>
  <c r="A5811" i="9" s="1"/>
  <c r="B5810" i="2"/>
  <c r="B5810" i="9" s="1"/>
  <c r="A5810" i="2"/>
  <c r="A5810" i="9" s="1"/>
  <c r="B5809" i="2"/>
  <c r="B5809" i="9" s="1"/>
  <c r="A5809" i="2"/>
  <c r="A5809" i="9" s="1"/>
  <c r="B5808" i="2"/>
  <c r="B5808" i="9" s="1"/>
  <c r="A5808" i="2"/>
  <c r="A5808" i="9" s="1"/>
  <c r="B5807" i="2"/>
  <c r="B5807" i="9" s="1"/>
  <c r="A5807" i="2"/>
  <c r="A5807" i="9" s="1"/>
  <c r="B5806" i="2"/>
  <c r="B5806" i="9" s="1"/>
  <c r="A5806" i="2"/>
  <c r="A5806" i="9" s="1"/>
  <c r="B5805" i="2"/>
  <c r="B5805" i="9" s="1"/>
  <c r="A5805" i="2"/>
  <c r="A5805" i="9" s="1"/>
  <c r="B5804" i="2"/>
  <c r="B5804" i="9" s="1"/>
  <c r="A5804" i="2"/>
  <c r="A5804" i="9" s="1"/>
  <c r="B5803" i="2"/>
  <c r="B5803" i="9" s="1"/>
  <c r="A5803" i="2"/>
  <c r="A5803" i="9" s="1"/>
  <c r="B5802" i="2"/>
  <c r="B5802" i="9" s="1"/>
  <c r="A5802" i="2"/>
  <c r="A5802" i="9" s="1"/>
  <c r="B5801" i="2"/>
  <c r="B5801" i="9" s="1"/>
  <c r="A5801" i="2"/>
  <c r="A5801" i="9" s="1"/>
  <c r="B5800" i="2"/>
  <c r="B5800" i="9" s="1"/>
  <c r="A5800" i="2"/>
  <c r="A5800" i="9" s="1"/>
  <c r="B5799" i="2"/>
  <c r="B5799" i="9" s="1"/>
  <c r="A5799" i="2"/>
  <c r="A5799" i="9" s="1"/>
  <c r="B5798" i="2"/>
  <c r="B5798" i="9" s="1"/>
  <c r="A5798" i="2"/>
  <c r="A5798" i="9" s="1"/>
  <c r="B5797" i="2"/>
  <c r="B5797" i="9" s="1"/>
  <c r="A5797" i="2"/>
  <c r="A5797" i="9" s="1"/>
  <c r="B5796" i="2"/>
  <c r="B5796" i="9" s="1"/>
  <c r="A5796" i="2"/>
  <c r="A5796" i="9" s="1"/>
  <c r="B5795" i="2"/>
  <c r="B5795" i="9" s="1"/>
  <c r="A5795" i="2"/>
  <c r="A5795" i="9" s="1"/>
  <c r="B5794" i="2"/>
  <c r="B5794" i="9" s="1"/>
  <c r="A5794" i="2"/>
  <c r="A5794" i="9" s="1"/>
  <c r="B5793" i="2"/>
  <c r="B5793" i="9" s="1"/>
  <c r="A5793" i="2"/>
  <c r="A5793" i="9" s="1"/>
  <c r="B5792" i="2"/>
  <c r="B5792" i="9" s="1"/>
  <c r="A5792" i="2"/>
  <c r="A5792" i="9" s="1"/>
  <c r="B5791" i="2"/>
  <c r="B5791" i="9" s="1"/>
  <c r="A5791" i="2"/>
  <c r="A5791" i="9" s="1"/>
  <c r="B5790" i="2"/>
  <c r="B5790" i="9" s="1"/>
  <c r="A5790" i="2"/>
  <c r="A5790" i="9" s="1"/>
  <c r="B5789" i="2"/>
  <c r="B5789" i="9" s="1"/>
  <c r="A5789" i="2"/>
  <c r="A5789" i="9" s="1"/>
  <c r="B5788" i="2"/>
  <c r="B5788" i="9" s="1"/>
  <c r="A5788" i="2"/>
  <c r="A5788" i="9" s="1"/>
  <c r="B5787" i="2"/>
  <c r="B5787" i="9" s="1"/>
  <c r="A5787" i="2"/>
  <c r="A5787" i="9" s="1"/>
  <c r="B5786" i="2"/>
  <c r="B5786" i="9" s="1"/>
  <c r="A5786" i="2"/>
  <c r="A5786" i="9" s="1"/>
  <c r="B5785" i="2"/>
  <c r="B5785" i="9" s="1"/>
  <c r="A5785" i="2"/>
  <c r="A5785" i="9" s="1"/>
  <c r="B5784" i="2"/>
  <c r="B5784" i="9" s="1"/>
  <c r="A5784" i="2"/>
  <c r="A5784" i="9" s="1"/>
  <c r="B5783" i="2"/>
  <c r="B5783" i="9" s="1"/>
  <c r="A5783" i="2"/>
  <c r="A5783" i="9" s="1"/>
  <c r="B5782" i="2"/>
  <c r="B5782" i="9" s="1"/>
  <c r="A5782" i="2"/>
  <c r="A5782" i="9" s="1"/>
  <c r="B5781" i="2"/>
  <c r="B5781" i="9" s="1"/>
  <c r="A5781" i="2"/>
  <c r="A5781" i="9" s="1"/>
  <c r="B5780" i="2"/>
  <c r="B5780" i="9" s="1"/>
  <c r="A5780" i="2"/>
  <c r="A5780" i="9" s="1"/>
  <c r="B5779" i="2"/>
  <c r="B5779" i="9" s="1"/>
  <c r="A5779" i="2"/>
  <c r="A5779" i="9" s="1"/>
  <c r="B5778" i="2"/>
  <c r="B5778" i="9" s="1"/>
  <c r="A5778" i="2"/>
  <c r="A5778" i="9" s="1"/>
  <c r="B5777" i="2"/>
  <c r="B5777" i="9" s="1"/>
  <c r="A5777" i="2"/>
  <c r="A5777" i="9" s="1"/>
  <c r="B5776" i="2"/>
  <c r="B5776" i="9" s="1"/>
  <c r="A5776" i="2"/>
  <c r="A5776" i="9" s="1"/>
  <c r="B5775" i="2"/>
  <c r="B5775" i="9" s="1"/>
  <c r="A5775" i="2"/>
  <c r="A5775" i="9" s="1"/>
  <c r="B5774" i="2"/>
  <c r="B5774" i="9" s="1"/>
  <c r="A5774" i="2"/>
  <c r="A5774" i="9" s="1"/>
  <c r="B5773" i="2"/>
  <c r="B5773" i="9" s="1"/>
  <c r="A5773" i="2"/>
  <c r="A5773" i="9" s="1"/>
  <c r="B5772" i="2"/>
  <c r="B5772" i="9" s="1"/>
  <c r="A5772" i="2"/>
  <c r="A5772" i="9" s="1"/>
  <c r="B5771" i="2"/>
  <c r="B5771" i="9" s="1"/>
  <c r="A5771" i="2"/>
  <c r="A5771" i="9" s="1"/>
  <c r="B5770" i="2"/>
  <c r="B5770" i="9" s="1"/>
  <c r="A5770" i="2"/>
  <c r="A5770" i="9" s="1"/>
  <c r="B5769" i="2"/>
  <c r="B5769" i="9" s="1"/>
  <c r="A5769" i="2"/>
  <c r="A5769" i="9" s="1"/>
  <c r="B5768" i="2"/>
  <c r="B5768" i="9" s="1"/>
  <c r="A5768" i="2"/>
  <c r="A5768" i="9" s="1"/>
  <c r="B5767" i="2"/>
  <c r="B5767" i="9" s="1"/>
  <c r="A5767" i="2"/>
  <c r="A5767" i="9" s="1"/>
  <c r="B5766" i="2"/>
  <c r="B5766" i="9" s="1"/>
  <c r="A5766" i="2"/>
  <c r="A5766" i="9" s="1"/>
  <c r="B5765" i="2"/>
  <c r="B5765" i="9" s="1"/>
  <c r="A5765" i="2"/>
  <c r="A5765" i="9" s="1"/>
  <c r="B5764" i="2"/>
  <c r="B5764" i="9" s="1"/>
  <c r="A5764" i="2"/>
  <c r="A5764" i="9" s="1"/>
  <c r="B5763" i="2"/>
  <c r="B5763" i="9" s="1"/>
  <c r="A5763" i="2"/>
  <c r="A5763" i="9" s="1"/>
  <c r="B5762" i="2"/>
  <c r="B5762" i="9" s="1"/>
  <c r="A5762" i="2"/>
  <c r="A5762" i="9" s="1"/>
  <c r="B5761" i="2"/>
  <c r="B5761" i="9" s="1"/>
  <c r="A5761" i="2"/>
  <c r="A5761" i="9" s="1"/>
  <c r="B5760" i="2"/>
  <c r="B5760" i="9" s="1"/>
  <c r="A5760" i="2"/>
  <c r="A5760" i="9" s="1"/>
  <c r="B5759" i="2"/>
  <c r="B5759" i="9" s="1"/>
  <c r="A5759" i="2"/>
  <c r="A5759" i="9" s="1"/>
  <c r="B5758" i="2"/>
  <c r="B5758" i="9" s="1"/>
  <c r="A5758" i="2"/>
  <c r="A5758" i="9" s="1"/>
  <c r="B5757" i="2"/>
  <c r="B5757" i="9" s="1"/>
  <c r="A5757" i="2"/>
  <c r="A5757" i="9" s="1"/>
  <c r="B5756" i="2"/>
  <c r="B5756" i="9" s="1"/>
  <c r="A5756" i="2"/>
  <c r="A5756" i="9" s="1"/>
  <c r="B5755" i="2"/>
  <c r="B5755" i="9" s="1"/>
  <c r="A5755" i="2"/>
  <c r="A5755" i="9" s="1"/>
  <c r="B5754" i="2"/>
  <c r="B5754" i="9" s="1"/>
  <c r="A5754" i="2"/>
  <c r="A5754" i="9" s="1"/>
  <c r="B5753" i="2"/>
  <c r="B5753" i="9" s="1"/>
  <c r="A5753" i="2"/>
  <c r="A5753" i="9" s="1"/>
  <c r="B5752" i="2"/>
  <c r="B5752" i="9" s="1"/>
  <c r="A5752" i="2"/>
  <c r="A5752" i="9" s="1"/>
  <c r="B5751" i="2"/>
  <c r="B5751" i="9" s="1"/>
  <c r="A5751" i="2"/>
  <c r="A5751" i="9" s="1"/>
  <c r="B5750" i="2"/>
  <c r="B5750" i="9" s="1"/>
  <c r="A5750" i="2"/>
  <c r="A5750" i="9" s="1"/>
  <c r="B5749" i="2"/>
  <c r="B5749" i="9" s="1"/>
  <c r="A5749" i="2"/>
  <c r="A5749" i="9" s="1"/>
  <c r="B5748" i="2"/>
  <c r="B5748" i="9" s="1"/>
  <c r="A5748" i="2"/>
  <c r="A5748" i="9" s="1"/>
  <c r="B5747" i="2"/>
  <c r="B5747" i="9" s="1"/>
  <c r="A5747" i="2"/>
  <c r="A5747" i="9" s="1"/>
  <c r="B5746" i="2"/>
  <c r="B5746" i="9" s="1"/>
  <c r="A5746" i="2"/>
  <c r="A5746" i="9" s="1"/>
  <c r="B5745" i="2"/>
  <c r="B5745" i="9" s="1"/>
  <c r="A5745" i="2"/>
  <c r="A5745" i="9" s="1"/>
  <c r="B5744" i="2"/>
  <c r="B5744" i="9" s="1"/>
  <c r="A5744" i="2"/>
  <c r="A5744" i="9" s="1"/>
  <c r="B5743" i="2"/>
  <c r="B5743" i="9" s="1"/>
  <c r="A5743" i="2"/>
  <c r="A5743" i="9" s="1"/>
  <c r="B5742" i="2"/>
  <c r="B5742" i="9" s="1"/>
  <c r="A5742" i="2"/>
  <c r="A5742" i="9" s="1"/>
  <c r="B5741" i="2"/>
  <c r="B5741" i="9" s="1"/>
  <c r="A5741" i="2"/>
  <c r="A5741" i="9" s="1"/>
  <c r="B5740" i="2"/>
  <c r="B5740" i="9" s="1"/>
  <c r="A5740" i="2"/>
  <c r="A5740" i="9" s="1"/>
  <c r="B5739" i="2"/>
  <c r="B5739" i="9" s="1"/>
  <c r="A5739" i="2"/>
  <c r="A5739" i="9" s="1"/>
  <c r="B5738" i="2"/>
  <c r="B5738" i="9" s="1"/>
  <c r="A5738" i="2"/>
  <c r="A5738" i="9" s="1"/>
  <c r="B5737" i="2"/>
  <c r="B5737" i="9" s="1"/>
  <c r="A5737" i="2"/>
  <c r="A5737" i="9" s="1"/>
  <c r="B5736" i="2"/>
  <c r="B5736" i="9" s="1"/>
  <c r="A5736" i="2"/>
  <c r="A5736" i="9" s="1"/>
  <c r="B5735" i="2"/>
  <c r="B5735" i="9" s="1"/>
  <c r="A5735" i="2"/>
  <c r="A5735" i="9" s="1"/>
  <c r="B5734" i="2"/>
  <c r="B5734" i="9" s="1"/>
  <c r="A5734" i="2"/>
  <c r="A5734" i="9" s="1"/>
  <c r="B5733" i="2"/>
  <c r="B5733" i="9" s="1"/>
  <c r="A5733" i="2"/>
  <c r="A5733" i="9" s="1"/>
  <c r="B5732" i="2"/>
  <c r="B5732" i="9" s="1"/>
  <c r="A5732" i="2"/>
  <c r="A5732" i="9" s="1"/>
  <c r="B5731" i="2"/>
  <c r="B5731" i="9" s="1"/>
  <c r="A5731" i="2"/>
  <c r="A5731" i="9" s="1"/>
  <c r="B5730" i="2"/>
  <c r="B5730" i="9" s="1"/>
  <c r="A5730" i="2"/>
  <c r="A5730" i="9" s="1"/>
  <c r="B5729" i="2"/>
  <c r="B5729" i="9" s="1"/>
  <c r="A5729" i="2"/>
  <c r="A5729" i="9" s="1"/>
  <c r="B5728" i="2"/>
  <c r="B5728" i="9" s="1"/>
  <c r="A5728" i="2"/>
  <c r="A5728" i="9" s="1"/>
  <c r="B5727" i="2"/>
  <c r="B5727" i="9" s="1"/>
  <c r="A5727" i="2"/>
  <c r="A5727" i="9" s="1"/>
  <c r="B5726" i="2"/>
  <c r="B5726" i="9" s="1"/>
  <c r="A5726" i="2"/>
  <c r="A5726" i="9" s="1"/>
  <c r="B5725" i="2"/>
  <c r="B5725" i="9" s="1"/>
  <c r="A5725" i="2"/>
  <c r="A5725" i="9" s="1"/>
  <c r="B5724" i="2"/>
  <c r="B5724" i="9" s="1"/>
  <c r="A5724" i="2"/>
  <c r="A5724" i="9" s="1"/>
  <c r="B5723" i="2"/>
  <c r="B5723" i="9" s="1"/>
  <c r="A5723" i="2"/>
  <c r="A5723" i="9" s="1"/>
  <c r="B5722" i="2"/>
  <c r="B5722" i="9" s="1"/>
  <c r="A5722" i="2"/>
  <c r="A5722" i="9" s="1"/>
  <c r="B5721" i="2"/>
  <c r="B5721" i="9" s="1"/>
  <c r="A5721" i="2"/>
  <c r="A5721" i="9" s="1"/>
  <c r="B5720" i="2"/>
  <c r="B5720" i="9" s="1"/>
  <c r="A5720" i="2"/>
  <c r="A5720" i="9" s="1"/>
  <c r="B5719" i="2"/>
  <c r="B5719" i="9" s="1"/>
  <c r="A5719" i="2"/>
  <c r="A5719" i="9" s="1"/>
  <c r="B5718" i="2"/>
  <c r="B5718" i="9" s="1"/>
  <c r="A5718" i="2"/>
  <c r="A5718" i="9" s="1"/>
  <c r="B5717" i="2"/>
  <c r="B5717" i="9" s="1"/>
  <c r="A5717" i="2"/>
  <c r="A5717" i="9" s="1"/>
  <c r="B5716" i="2"/>
  <c r="B5716" i="9" s="1"/>
  <c r="A5716" i="2"/>
  <c r="A5716" i="9" s="1"/>
  <c r="B5715" i="2"/>
  <c r="B5715" i="9" s="1"/>
  <c r="A5715" i="2"/>
  <c r="A5715" i="9" s="1"/>
  <c r="B5714" i="2"/>
  <c r="B5714" i="9" s="1"/>
  <c r="A5714" i="2"/>
  <c r="A5714" i="9" s="1"/>
  <c r="B5713" i="2"/>
  <c r="B5713" i="9" s="1"/>
  <c r="A5713" i="2"/>
  <c r="A5713" i="9" s="1"/>
  <c r="B5712" i="2"/>
  <c r="B5712" i="9" s="1"/>
  <c r="A5712" i="2"/>
  <c r="A5712" i="9" s="1"/>
  <c r="B5711" i="2"/>
  <c r="B5711" i="9" s="1"/>
  <c r="A5711" i="2"/>
  <c r="A5711" i="9" s="1"/>
  <c r="B5710" i="2"/>
  <c r="B5710" i="9" s="1"/>
  <c r="A5710" i="2"/>
  <c r="A5710" i="9" s="1"/>
  <c r="B5709" i="2"/>
  <c r="B5709" i="9" s="1"/>
  <c r="A5709" i="2"/>
  <c r="A5709" i="9" s="1"/>
  <c r="B5708" i="2"/>
  <c r="B5708" i="9" s="1"/>
  <c r="A5708" i="2"/>
  <c r="A5708" i="9" s="1"/>
  <c r="B5707" i="2"/>
  <c r="B5707" i="9" s="1"/>
  <c r="A5707" i="2"/>
  <c r="A5707" i="9" s="1"/>
  <c r="B5706" i="2"/>
  <c r="B5706" i="9" s="1"/>
  <c r="A5706" i="2"/>
  <c r="A5706" i="9" s="1"/>
  <c r="B5705" i="2"/>
  <c r="B5705" i="9" s="1"/>
  <c r="A5705" i="2"/>
  <c r="A5705" i="9" s="1"/>
  <c r="B5704" i="2"/>
  <c r="B5704" i="9" s="1"/>
  <c r="A5704" i="2"/>
  <c r="A5704" i="9" s="1"/>
  <c r="B5703" i="2"/>
  <c r="B5703" i="9" s="1"/>
  <c r="A5703" i="2"/>
  <c r="A5703" i="9" s="1"/>
  <c r="B5702" i="2"/>
  <c r="B5702" i="9" s="1"/>
  <c r="A5702" i="2"/>
  <c r="A5702" i="9" s="1"/>
  <c r="B5701" i="2"/>
  <c r="B5701" i="9" s="1"/>
  <c r="A5701" i="2"/>
  <c r="A5701" i="9" s="1"/>
  <c r="B5700" i="2"/>
  <c r="B5700" i="9" s="1"/>
  <c r="A5700" i="2"/>
  <c r="A5700" i="9" s="1"/>
  <c r="B5699" i="2"/>
  <c r="B5699" i="9" s="1"/>
  <c r="A5699" i="2"/>
  <c r="A5699" i="9" s="1"/>
  <c r="B5698" i="2"/>
  <c r="B5698" i="9" s="1"/>
  <c r="A5698" i="2"/>
  <c r="A5698" i="9" s="1"/>
  <c r="B5697" i="2"/>
  <c r="B5697" i="9" s="1"/>
  <c r="A5697" i="2"/>
  <c r="A5697" i="9" s="1"/>
  <c r="B5696" i="2"/>
  <c r="B5696" i="9" s="1"/>
  <c r="A5696" i="2"/>
  <c r="A5696" i="9" s="1"/>
  <c r="B5695" i="2"/>
  <c r="B5695" i="9" s="1"/>
  <c r="A5695" i="2"/>
  <c r="A5695" i="9" s="1"/>
  <c r="B5694" i="2"/>
  <c r="B5694" i="9" s="1"/>
  <c r="A5694" i="2"/>
  <c r="A5694" i="9" s="1"/>
  <c r="B5693" i="2"/>
  <c r="B5693" i="9" s="1"/>
  <c r="A5693" i="2"/>
  <c r="A5693" i="9" s="1"/>
  <c r="B5692" i="2"/>
  <c r="B5692" i="9" s="1"/>
  <c r="A5692" i="2"/>
  <c r="A5692" i="9" s="1"/>
  <c r="B5691" i="2"/>
  <c r="B5691" i="9" s="1"/>
  <c r="A5691" i="2"/>
  <c r="A5691" i="9" s="1"/>
  <c r="B5690" i="2"/>
  <c r="B5690" i="9" s="1"/>
  <c r="A5690" i="2"/>
  <c r="A5690" i="9" s="1"/>
  <c r="B5689" i="2"/>
  <c r="B5689" i="9" s="1"/>
  <c r="A5689" i="2"/>
  <c r="A5689" i="9" s="1"/>
  <c r="B5688" i="2"/>
  <c r="B5688" i="9" s="1"/>
  <c r="A5688" i="2"/>
  <c r="A5688" i="9" s="1"/>
  <c r="B5687" i="2"/>
  <c r="B5687" i="9" s="1"/>
  <c r="A5687" i="2"/>
  <c r="A5687" i="9" s="1"/>
  <c r="B5686" i="2"/>
  <c r="B5686" i="9" s="1"/>
  <c r="A5686" i="2"/>
  <c r="A5686" i="9" s="1"/>
  <c r="B5685" i="2"/>
  <c r="B5685" i="9" s="1"/>
  <c r="A5685" i="2"/>
  <c r="A5685" i="9" s="1"/>
  <c r="B5684" i="2"/>
  <c r="B5684" i="9" s="1"/>
  <c r="A5684" i="2"/>
  <c r="A5684" i="9" s="1"/>
  <c r="B5683" i="2"/>
  <c r="B5683" i="9" s="1"/>
  <c r="A5683" i="2"/>
  <c r="A5683" i="9" s="1"/>
  <c r="B5682" i="2"/>
  <c r="B5682" i="9" s="1"/>
  <c r="A5682" i="2"/>
  <c r="A5682" i="9" s="1"/>
  <c r="B5681" i="2"/>
  <c r="B5681" i="9" s="1"/>
  <c r="A5681" i="2"/>
  <c r="A5681" i="9" s="1"/>
  <c r="B5680" i="2"/>
  <c r="B5680" i="9" s="1"/>
  <c r="A5680" i="2"/>
  <c r="A5680" i="9" s="1"/>
  <c r="B5679" i="2"/>
  <c r="B5679" i="9" s="1"/>
  <c r="A5679" i="2"/>
  <c r="A5679" i="9" s="1"/>
  <c r="B5678" i="2"/>
  <c r="B5678" i="9" s="1"/>
  <c r="A5678" i="2"/>
  <c r="A5678" i="9" s="1"/>
  <c r="B5677" i="2"/>
  <c r="B5677" i="9" s="1"/>
  <c r="A5677" i="2"/>
  <c r="A5677" i="9" s="1"/>
  <c r="B5676" i="2"/>
  <c r="B5676" i="9" s="1"/>
  <c r="A5676" i="2"/>
  <c r="A5676" i="9" s="1"/>
  <c r="B5675" i="2"/>
  <c r="B5675" i="9" s="1"/>
  <c r="A5675" i="2"/>
  <c r="A5675" i="9" s="1"/>
  <c r="B5674" i="2"/>
  <c r="B5674" i="9" s="1"/>
  <c r="A5674" i="2"/>
  <c r="A5674" i="9" s="1"/>
  <c r="B5673" i="2"/>
  <c r="B5673" i="9" s="1"/>
  <c r="A5673" i="2"/>
  <c r="A5673" i="9" s="1"/>
  <c r="B5672" i="2"/>
  <c r="B5672" i="9" s="1"/>
  <c r="A5672" i="2"/>
  <c r="A5672" i="9" s="1"/>
  <c r="B5671" i="2"/>
  <c r="B5671" i="9" s="1"/>
  <c r="A5671" i="2"/>
  <c r="A5671" i="9" s="1"/>
  <c r="B5670" i="2"/>
  <c r="B5670" i="9" s="1"/>
  <c r="A5670" i="2"/>
  <c r="A5670" i="9" s="1"/>
  <c r="B5669" i="2"/>
  <c r="B5669" i="9" s="1"/>
  <c r="A5669" i="2"/>
  <c r="A5669" i="9" s="1"/>
  <c r="B5668" i="2"/>
  <c r="B5668" i="9" s="1"/>
  <c r="A5668" i="2"/>
  <c r="A5668" i="9" s="1"/>
  <c r="B5667" i="2"/>
  <c r="B5667" i="9" s="1"/>
  <c r="A5667" i="2"/>
  <c r="A5667" i="9" s="1"/>
  <c r="B5666" i="2"/>
  <c r="B5666" i="9" s="1"/>
  <c r="A5666" i="2"/>
  <c r="A5666" i="9" s="1"/>
  <c r="B5665" i="2"/>
  <c r="B5665" i="9" s="1"/>
  <c r="A5665" i="2"/>
  <c r="A5665" i="9" s="1"/>
  <c r="B5664" i="2"/>
  <c r="B5664" i="9" s="1"/>
  <c r="A5664" i="2"/>
  <c r="A5664" i="9" s="1"/>
  <c r="B5663" i="2"/>
  <c r="B5663" i="9" s="1"/>
  <c r="A5663" i="2"/>
  <c r="A5663" i="9" s="1"/>
  <c r="B5662" i="2"/>
  <c r="B5662" i="9" s="1"/>
  <c r="A5662" i="2"/>
  <c r="A5662" i="9" s="1"/>
  <c r="B5661" i="2"/>
  <c r="B5661" i="9" s="1"/>
  <c r="A5661" i="2"/>
  <c r="A5661" i="9" s="1"/>
  <c r="B5660" i="2"/>
  <c r="B5660" i="9" s="1"/>
  <c r="A5660" i="2"/>
  <c r="A5660" i="9" s="1"/>
  <c r="B5659" i="2"/>
  <c r="B5659" i="9" s="1"/>
  <c r="A5659" i="2"/>
  <c r="A5659" i="9" s="1"/>
  <c r="B5658" i="2"/>
  <c r="B5658" i="9" s="1"/>
  <c r="A5658" i="2"/>
  <c r="A5658" i="9" s="1"/>
  <c r="B5657" i="2"/>
  <c r="B5657" i="9" s="1"/>
  <c r="A5657" i="2"/>
  <c r="A5657" i="9" s="1"/>
  <c r="B5656" i="2"/>
  <c r="B5656" i="9" s="1"/>
  <c r="A5656" i="2"/>
  <c r="A5656" i="9" s="1"/>
  <c r="B5655" i="2"/>
  <c r="B5655" i="9" s="1"/>
  <c r="A5655" i="2"/>
  <c r="A5655" i="9" s="1"/>
  <c r="B5654" i="2"/>
  <c r="B5654" i="9" s="1"/>
  <c r="A5654" i="2"/>
  <c r="A5654" i="9" s="1"/>
  <c r="B5653" i="2"/>
  <c r="B5653" i="9" s="1"/>
  <c r="A5653" i="2"/>
  <c r="A5653" i="9" s="1"/>
  <c r="B5652" i="2"/>
  <c r="B5652" i="9" s="1"/>
  <c r="A5652" i="2"/>
  <c r="A5652" i="9" s="1"/>
  <c r="B5651" i="2"/>
  <c r="B5651" i="9" s="1"/>
  <c r="A5651" i="2"/>
  <c r="A5651" i="9" s="1"/>
  <c r="B5650" i="2"/>
  <c r="B5650" i="9" s="1"/>
  <c r="A5650" i="2"/>
  <c r="A5650" i="9" s="1"/>
  <c r="B5649" i="2"/>
  <c r="B5649" i="9" s="1"/>
  <c r="A5649" i="2"/>
  <c r="A5649" i="9" s="1"/>
  <c r="B5648" i="2"/>
  <c r="B5648" i="9" s="1"/>
  <c r="A5648" i="2"/>
  <c r="A5648" i="9" s="1"/>
  <c r="B5647" i="2"/>
  <c r="B5647" i="9" s="1"/>
  <c r="A5647" i="2"/>
  <c r="A5647" i="9" s="1"/>
  <c r="B5646" i="2"/>
  <c r="B5646" i="9" s="1"/>
  <c r="A5646" i="2"/>
  <c r="A5646" i="9" s="1"/>
  <c r="B5645" i="2"/>
  <c r="B5645" i="9" s="1"/>
  <c r="A5645" i="2"/>
  <c r="A5645" i="9" s="1"/>
  <c r="B5644" i="2"/>
  <c r="B5644" i="9" s="1"/>
  <c r="A5644" i="2"/>
  <c r="A5644" i="9" s="1"/>
  <c r="B5643" i="2"/>
  <c r="B5643" i="9" s="1"/>
  <c r="A5643" i="2"/>
  <c r="A5643" i="9" s="1"/>
  <c r="B5642" i="2"/>
  <c r="B5642" i="9" s="1"/>
  <c r="A5642" i="2"/>
  <c r="A5642" i="9" s="1"/>
  <c r="B5641" i="2"/>
  <c r="B5641" i="9" s="1"/>
  <c r="A5641" i="2"/>
  <c r="A5641" i="9" s="1"/>
  <c r="B5640" i="2"/>
  <c r="B5640" i="9" s="1"/>
  <c r="A5640" i="2"/>
  <c r="A5640" i="9" s="1"/>
  <c r="B5639" i="2"/>
  <c r="B5639" i="9" s="1"/>
  <c r="A5639" i="2"/>
  <c r="A5639" i="9" s="1"/>
  <c r="B5638" i="2"/>
  <c r="B5638" i="9" s="1"/>
  <c r="A5638" i="2"/>
  <c r="A5638" i="9" s="1"/>
  <c r="B5637" i="2"/>
  <c r="B5637" i="9" s="1"/>
  <c r="A5637" i="2"/>
  <c r="A5637" i="9" s="1"/>
  <c r="B5636" i="2"/>
  <c r="B5636" i="9" s="1"/>
  <c r="A5636" i="2"/>
  <c r="A5636" i="9" s="1"/>
  <c r="B5635" i="2"/>
  <c r="B5635" i="9" s="1"/>
  <c r="A5635" i="2"/>
  <c r="A5635" i="9" s="1"/>
  <c r="B5634" i="2"/>
  <c r="B5634" i="9" s="1"/>
  <c r="A5634" i="2"/>
  <c r="A5634" i="9" s="1"/>
  <c r="B5633" i="2"/>
  <c r="B5633" i="9" s="1"/>
  <c r="A5633" i="2"/>
  <c r="A5633" i="9" s="1"/>
  <c r="B5632" i="2"/>
  <c r="B5632" i="9" s="1"/>
  <c r="A5632" i="2"/>
  <c r="A5632" i="9" s="1"/>
  <c r="B5631" i="2"/>
  <c r="B5631" i="9" s="1"/>
  <c r="A5631" i="2"/>
  <c r="A5631" i="9" s="1"/>
  <c r="B5630" i="2"/>
  <c r="B5630" i="9" s="1"/>
  <c r="A5630" i="2"/>
  <c r="A5630" i="9" s="1"/>
  <c r="B5629" i="2"/>
  <c r="B5629" i="9" s="1"/>
  <c r="A5629" i="2"/>
  <c r="A5629" i="9" s="1"/>
  <c r="B5628" i="2"/>
  <c r="B5628" i="9" s="1"/>
  <c r="A5628" i="2"/>
  <c r="A5628" i="9" s="1"/>
  <c r="B5627" i="2"/>
  <c r="B5627" i="9" s="1"/>
  <c r="A5627" i="2"/>
  <c r="A5627" i="9" s="1"/>
  <c r="B5626" i="2"/>
  <c r="B5626" i="9" s="1"/>
  <c r="A5626" i="2"/>
  <c r="A5626" i="9" s="1"/>
  <c r="B5625" i="2"/>
  <c r="B5625" i="9" s="1"/>
  <c r="A5625" i="2"/>
  <c r="A5625" i="9" s="1"/>
  <c r="B5624" i="2"/>
  <c r="B5624" i="9" s="1"/>
  <c r="A5624" i="2"/>
  <c r="A5624" i="9" s="1"/>
  <c r="B5623" i="2"/>
  <c r="B5623" i="9" s="1"/>
  <c r="A5623" i="2"/>
  <c r="A5623" i="9" s="1"/>
  <c r="B5622" i="2"/>
  <c r="B5622" i="9" s="1"/>
  <c r="A5622" i="2"/>
  <c r="A5622" i="9" s="1"/>
  <c r="B5621" i="2"/>
  <c r="B5621" i="9" s="1"/>
  <c r="A5621" i="2"/>
  <c r="A5621" i="9" s="1"/>
  <c r="B5620" i="2"/>
  <c r="B5620" i="9" s="1"/>
  <c r="A5620" i="2"/>
  <c r="A5620" i="9" s="1"/>
  <c r="B5619" i="2"/>
  <c r="B5619" i="9" s="1"/>
  <c r="A5619" i="2"/>
  <c r="A5619" i="9" s="1"/>
  <c r="B5618" i="2"/>
  <c r="B5618" i="9" s="1"/>
  <c r="A5618" i="2"/>
  <c r="A5618" i="9" s="1"/>
  <c r="B5617" i="2"/>
  <c r="B5617" i="9" s="1"/>
  <c r="A5617" i="2"/>
  <c r="A5617" i="9" s="1"/>
  <c r="B5616" i="2"/>
  <c r="B5616" i="9" s="1"/>
  <c r="A5616" i="2"/>
  <c r="A5616" i="9" s="1"/>
  <c r="B5615" i="2"/>
  <c r="B5615" i="9" s="1"/>
  <c r="A5615" i="2"/>
  <c r="A5615" i="9" s="1"/>
  <c r="B5614" i="2"/>
  <c r="B5614" i="9" s="1"/>
  <c r="A5614" i="2"/>
  <c r="A5614" i="9" s="1"/>
  <c r="B5613" i="2"/>
  <c r="B5613" i="9" s="1"/>
  <c r="A5613" i="2"/>
  <c r="A5613" i="9" s="1"/>
  <c r="B5612" i="2"/>
  <c r="B5612" i="9" s="1"/>
  <c r="A5612" i="2"/>
  <c r="A5612" i="9" s="1"/>
  <c r="B5611" i="2"/>
  <c r="B5611" i="9" s="1"/>
  <c r="A5611" i="2"/>
  <c r="A5611" i="9" s="1"/>
  <c r="B5610" i="2"/>
  <c r="B5610" i="9" s="1"/>
  <c r="A5610" i="2"/>
  <c r="A5610" i="9" s="1"/>
  <c r="B5609" i="2"/>
  <c r="B5609" i="9" s="1"/>
  <c r="A5609" i="2"/>
  <c r="A5609" i="9" s="1"/>
  <c r="B5608" i="2"/>
  <c r="B5608" i="9" s="1"/>
  <c r="A5608" i="2"/>
  <c r="A5608" i="9" s="1"/>
  <c r="B5607" i="2"/>
  <c r="B5607" i="9" s="1"/>
  <c r="A5607" i="2"/>
  <c r="A5607" i="9" s="1"/>
  <c r="B5606" i="2"/>
  <c r="B5606" i="9" s="1"/>
  <c r="A5606" i="2"/>
  <c r="A5606" i="9" s="1"/>
  <c r="B5605" i="2"/>
  <c r="B5605" i="9" s="1"/>
  <c r="A5605" i="2"/>
  <c r="A5605" i="9" s="1"/>
  <c r="B5604" i="2"/>
  <c r="B5604" i="9" s="1"/>
  <c r="A5604" i="2"/>
  <c r="A5604" i="9" s="1"/>
  <c r="B5603" i="2"/>
  <c r="B5603" i="9" s="1"/>
  <c r="A5603" i="2"/>
  <c r="A5603" i="9" s="1"/>
  <c r="B5602" i="2"/>
  <c r="B5602" i="9" s="1"/>
  <c r="A5602" i="2"/>
  <c r="A5602" i="9" s="1"/>
  <c r="B5601" i="2"/>
  <c r="B5601" i="9" s="1"/>
  <c r="A5601" i="2"/>
  <c r="A5601" i="9" s="1"/>
  <c r="B5600" i="2"/>
  <c r="B5600" i="9" s="1"/>
  <c r="A5600" i="2"/>
  <c r="A5600" i="9" s="1"/>
  <c r="B5599" i="2"/>
  <c r="B5599" i="9" s="1"/>
  <c r="A5599" i="2"/>
  <c r="A5599" i="9" s="1"/>
  <c r="B5598" i="2"/>
  <c r="B5598" i="9" s="1"/>
  <c r="A5598" i="2"/>
  <c r="A5598" i="9" s="1"/>
  <c r="B5597" i="2"/>
  <c r="B5597" i="9" s="1"/>
  <c r="A5597" i="2"/>
  <c r="A5597" i="9" s="1"/>
  <c r="B5596" i="2"/>
  <c r="B5596" i="9" s="1"/>
  <c r="A5596" i="2"/>
  <c r="A5596" i="9" s="1"/>
  <c r="B5595" i="2"/>
  <c r="B5595" i="9" s="1"/>
  <c r="A5595" i="2"/>
  <c r="A5595" i="9" s="1"/>
  <c r="B5594" i="2"/>
  <c r="B5594" i="9" s="1"/>
  <c r="A5594" i="2"/>
  <c r="A5594" i="9" s="1"/>
  <c r="B5593" i="2"/>
  <c r="B5593" i="9" s="1"/>
  <c r="A5593" i="2"/>
  <c r="A5593" i="9" s="1"/>
  <c r="B5592" i="2"/>
  <c r="B5592" i="9" s="1"/>
  <c r="A5592" i="2"/>
  <c r="A5592" i="9" s="1"/>
  <c r="B5591" i="2"/>
  <c r="B5591" i="9" s="1"/>
  <c r="A5591" i="2"/>
  <c r="A5591" i="9" s="1"/>
  <c r="B5590" i="2"/>
  <c r="B5590" i="9" s="1"/>
  <c r="A5590" i="2"/>
  <c r="A5590" i="9" s="1"/>
  <c r="B5589" i="2"/>
  <c r="B5589" i="9" s="1"/>
  <c r="A5589" i="2"/>
  <c r="A5589" i="9" s="1"/>
  <c r="B5588" i="2"/>
  <c r="B5588" i="9" s="1"/>
  <c r="A5588" i="2"/>
  <c r="A5588" i="9" s="1"/>
  <c r="B5587" i="2"/>
  <c r="B5587" i="9" s="1"/>
  <c r="A5587" i="2"/>
  <c r="A5587" i="9" s="1"/>
  <c r="B5586" i="2"/>
  <c r="B5586" i="9" s="1"/>
  <c r="A5586" i="2"/>
  <c r="A5586" i="9" s="1"/>
  <c r="B5585" i="2"/>
  <c r="B5585" i="9" s="1"/>
  <c r="A5585" i="2"/>
  <c r="A5585" i="9" s="1"/>
  <c r="B5584" i="2"/>
  <c r="B5584" i="9" s="1"/>
  <c r="A5584" i="2"/>
  <c r="A5584" i="9" s="1"/>
  <c r="B5583" i="2"/>
  <c r="B5583" i="9" s="1"/>
  <c r="A5583" i="2"/>
  <c r="A5583" i="9" s="1"/>
  <c r="B5582" i="2"/>
  <c r="B5582" i="9" s="1"/>
  <c r="A5582" i="2"/>
  <c r="A5582" i="9" s="1"/>
  <c r="B5581" i="2"/>
  <c r="B5581" i="9" s="1"/>
  <c r="A5581" i="2"/>
  <c r="A5581" i="9" s="1"/>
  <c r="B5580" i="2"/>
  <c r="B5580" i="9" s="1"/>
  <c r="A5580" i="2"/>
  <c r="A5580" i="9" s="1"/>
  <c r="B5579" i="2"/>
  <c r="B5579" i="9" s="1"/>
  <c r="A5579" i="2"/>
  <c r="A5579" i="9" s="1"/>
  <c r="B5578" i="2"/>
  <c r="B5578" i="9" s="1"/>
  <c r="A5578" i="2"/>
  <c r="A5578" i="9" s="1"/>
  <c r="B5577" i="2"/>
  <c r="B5577" i="9" s="1"/>
  <c r="A5577" i="2"/>
  <c r="A5577" i="9" s="1"/>
  <c r="B5576" i="2"/>
  <c r="B5576" i="9" s="1"/>
  <c r="A5576" i="2"/>
  <c r="A5576" i="9" s="1"/>
  <c r="B5575" i="2"/>
  <c r="B5575" i="9" s="1"/>
  <c r="A5575" i="2"/>
  <c r="A5575" i="9" s="1"/>
  <c r="B5574" i="2"/>
  <c r="B5574" i="9" s="1"/>
  <c r="A5574" i="2"/>
  <c r="A5574" i="9" s="1"/>
  <c r="B5573" i="2"/>
  <c r="B5573" i="9" s="1"/>
  <c r="A5573" i="2"/>
  <c r="A5573" i="9" s="1"/>
  <c r="B5572" i="2"/>
  <c r="B5572" i="9" s="1"/>
  <c r="A5572" i="2"/>
  <c r="A5572" i="9" s="1"/>
  <c r="B5571" i="2"/>
  <c r="B5571" i="9" s="1"/>
  <c r="A5571" i="2"/>
  <c r="A5571" i="9" s="1"/>
  <c r="B5570" i="2"/>
  <c r="B5570" i="9" s="1"/>
  <c r="A5570" i="2"/>
  <c r="A5570" i="9" s="1"/>
  <c r="B5569" i="2"/>
  <c r="B5569" i="9" s="1"/>
  <c r="A5569" i="2"/>
  <c r="A5569" i="9" s="1"/>
  <c r="B5568" i="2"/>
  <c r="B5568" i="9" s="1"/>
  <c r="A5568" i="2"/>
  <c r="A5568" i="9" s="1"/>
  <c r="B5567" i="2"/>
  <c r="B5567" i="9" s="1"/>
  <c r="A5567" i="2"/>
  <c r="A5567" i="9" s="1"/>
  <c r="B5566" i="2"/>
  <c r="B5566" i="9" s="1"/>
  <c r="A5566" i="2"/>
  <c r="A5566" i="9" s="1"/>
  <c r="B5565" i="2"/>
  <c r="B5565" i="9" s="1"/>
  <c r="A5565" i="2"/>
  <c r="A5565" i="9" s="1"/>
  <c r="B5564" i="2"/>
  <c r="B5564" i="9" s="1"/>
  <c r="A5564" i="2"/>
  <c r="A5564" i="9" s="1"/>
  <c r="B5563" i="2"/>
  <c r="B5563" i="9" s="1"/>
  <c r="A5563" i="2"/>
  <c r="A5563" i="9" s="1"/>
  <c r="B5562" i="2"/>
  <c r="B5562" i="9" s="1"/>
  <c r="A5562" i="2"/>
  <c r="A5562" i="9" s="1"/>
  <c r="B5561" i="2"/>
  <c r="B5561" i="9" s="1"/>
  <c r="A5561" i="2"/>
  <c r="A5561" i="9" s="1"/>
  <c r="B5560" i="2"/>
  <c r="B5560" i="9" s="1"/>
  <c r="A5560" i="2"/>
  <c r="A5560" i="9" s="1"/>
  <c r="B5559" i="2"/>
  <c r="B5559" i="9" s="1"/>
  <c r="A5559" i="2"/>
  <c r="A5559" i="9" s="1"/>
  <c r="B5558" i="2"/>
  <c r="B5558" i="9" s="1"/>
  <c r="A5558" i="2"/>
  <c r="A5558" i="9" s="1"/>
  <c r="B5557" i="2"/>
  <c r="B5557" i="9" s="1"/>
  <c r="A5557" i="2"/>
  <c r="A5557" i="9" s="1"/>
  <c r="B5556" i="2"/>
  <c r="B5556" i="9" s="1"/>
  <c r="A5556" i="2"/>
  <c r="A5556" i="9" s="1"/>
  <c r="B5555" i="2"/>
  <c r="B5555" i="9" s="1"/>
  <c r="A5555" i="2"/>
  <c r="A5555" i="9" s="1"/>
  <c r="B5554" i="2"/>
  <c r="B5554" i="9" s="1"/>
  <c r="A5554" i="2"/>
  <c r="A5554" i="9" s="1"/>
  <c r="B5553" i="2"/>
  <c r="B5553" i="9" s="1"/>
  <c r="A5553" i="2"/>
  <c r="A5553" i="9" s="1"/>
  <c r="B5552" i="2"/>
  <c r="B5552" i="9" s="1"/>
  <c r="A5552" i="2"/>
  <c r="A5552" i="9" s="1"/>
  <c r="B5551" i="2"/>
  <c r="B5551" i="9" s="1"/>
  <c r="A5551" i="2"/>
  <c r="A5551" i="9" s="1"/>
  <c r="B5550" i="2"/>
  <c r="B5550" i="9" s="1"/>
  <c r="A5550" i="2"/>
  <c r="A5550" i="9" s="1"/>
  <c r="B5549" i="2"/>
  <c r="B5549" i="9" s="1"/>
  <c r="A5549" i="2"/>
  <c r="A5549" i="9" s="1"/>
  <c r="B5548" i="2"/>
  <c r="B5548" i="9" s="1"/>
  <c r="A5548" i="2"/>
  <c r="A5548" i="9" s="1"/>
  <c r="B5547" i="2"/>
  <c r="B5547" i="9" s="1"/>
  <c r="A5547" i="2"/>
  <c r="A5547" i="9" s="1"/>
  <c r="B5546" i="2"/>
  <c r="B5546" i="9" s="1"/>
  <c r="A5546" i="2"/>
  <c r="A5546" i="9" s="1"/>
  <c r="B5545" i="2"/>
  <c r="B5545" i="9" s="1"/>
  <c r="A5545" i="2"/>
  <c r="A5545" i="9" s="1"/>
  <c r="B5544" i="2"/>
  <c r="B5544" i="9" s="1"/>
  <c r="A5544" i="2"/>
  <c r="A5544" i="9" s="1"/>
  <c r="B5543" i="2"/>
  <c r="B5543" i="9" s="1"/>
  <c r="A5543" i="2"/>
  <c r="A5543" i="9" s="1"/>
  <c r="B5542" i="2"/>
  <c r="B5542" i="9" s="1"/>
  <c r="A5542" i="2"/>
  <c r="A5542" i="9" s="1"/>
  <c r="B5541" i="2"/>
  <c r="B5541" i="9" s="1"/>
  <c r="A5541" i="2"/>
  <c r="A5541" i="9" s="1"/>
  <c r="B5540" i="2"/>
  <c r="B5540" i="9" s="1"/>
  <c r="A5540" i="2"/>
  <c r="A5540" i="9" s="1"/>
  <c r="B5539" i="2"/>
  <c r="B5539" i="9" s="1"/>
  <c r="A5539" i="2"/>
  <c r="A5539" i="9" s="1"/>
  <c r="B5538" i="2"/>
  <c r="B5538" i="9" s="1"/>
  <c r="A5538" i="2"/>
  <c r="A5538" i="9" s="1"/>
  <c r="B5537" i="2"/>
  <c r="B5537" i="9" s="1"/>
  <c r="A5537" i="2"/>
  <c r="A5537" i="9" s="1"/>
  <c r="B5536" i="2"/>
  <c r="B5536" i="9" s="1"/>
  <c r="A5536" i="2"/>
  <c r="A5536" i="9" s="1"/>
  <c r="B5535" i="2"/>
  <c r="B5535" i="9" s="1"/>
  <c r="A5535" i="2"/>
  <c r="A5535" i="9" s="1"/>
  <c r="B5534" i="2"/>
  <c r="B5534" i="9" s="1"/>
  <c r="A5534" i="2"/>
  <c r="A5534" i="9" s="1"/>
  <c r="B5533" i="2"/>
  <c r="B5533" i="9" s="1"/>
  <c r="A5533" i="2"/>
  <c r="A5533" i="9" s="1"/>
  <c r="B5532" i="2"/>
  <c r="B5532" i="9" s="1"/>
  <c r="A5532" i="2"/>
  <c r="A5532" i="9" s="1"/>
  <c r="B5531" i="2"/>
  <c r="B5531" i="9" s="1"/>
  <c r="A5531" i="2"/>
  <c r="A5531" i="9" s="1"/>
  <c r="B5530" i="2"/>
  <c r="B5530" i="9" s="1"/>
  <c r="A5530" i="2"/>
  <c r="A5530" i="9" s="1"/>
  <c r="B5529" i="2"/>
  <c r="B5529" i="9" s="1"/>
  <c r="A5529" i="2"/>
  <c r="A5529" i="9" s="1"/>
  <c r="B5528" i="2"/>
  <c r="B5528" i="9" s="1"/>
  <c r="A5528" i="2"/>
  <c r="A5528" i="9" s="1"/>
  <c r="B5527" i="2"/>
  <c r="B5527" i="9" s="1"/>
  <c r="A5527" i="2"/>
  <c r="A5527" i="9" s="1"/>
  <c r="B5526" i="2"/>
  <c r="B5526" i="9" s="1"/>
  <c r="A5526" i="2"/>
  <c r="A5526" i="9" s="1"/>
  <c r="B5525" i="2"/>
  <c r="B5525" i="9" s="1"/>
  <c r="A5525" i="2"/>
  <c r="A5525" i="9" s="1"/>
  <c r="B5524" i="2"/>
  <c r="B5524" i="9" s="1"/>
  <c r="A5524" i="2"/>
  <c r="A5524" i="9" s="1"/>
  <c r="B5523" i="2"/>
  <c r="B5523" i="9" s="1"/>
  <c r="A5523" i="2"/>
  <c r="A5523" i="9" s="1"/>
  <c r="B5522" i="2"/>
  <c r="B5522" i="9" s="1"/>
  <c r="A5522" i="2"/>
  <c r="A5522" i="9" s="1"/>
  <c r="B5521" i="2"/>
  <c r="B5521" i="9" s="1"/>
  <c r="A5521" i="2"/>
  <c r="A5521" i="9" s="1"/>
  <c r="B5520" i="2"/>
  <c r="B5520" i="9" s="1"/>
  <c r="A5520" i="2"/>
  <c r="A5520" i="9" s="1"/>
  <c r="B5519" i="2"/>
  <c r="B5519" i="9" s="1"/>
  <c r="A5519" i="2"/>
  <c r="A5519" i="9" s="1"/>
  <c r="B5518" i="2"/>
  <c r="B5518" i="9" s="1"/>
  <c r="A5518" i="2"/>
  <c r="A5518" i="9" s="1"/>
  <c r="B5517" i="2"/>
  <c r="B5517" i="9" s="1"/>
  <c r="A5517" i="2"/>
  <c r="A5517" i="9" s="1"/>
  <c r="B5516" i="2"/>
  <c r="B5516" i="9" s="1"/>
  <c r="A5516" i="2"/>
  <c r="A5516" i="9" s="1"/>
  <c r="B5515" i="2"/>
  <c r="B5515" i="9" s="1"/>
  <c r="A5515" i="2"/>
  <c r="A5515" i="9" s="1"/>
  <c r="B5514" i="2"/>
  <c r="B5514" i="9" s="1"/>
  <c r="A5514" i="2"/>
  <c r="A5514" i="9" s="1"/>
  <c r="B5513" i="2"/>
  <c r="B5513" i="9" s="1"/>
  <c r="A5513" i="2"/>
  <c r="A5513" i="9" s="1"/>
  <c r="B5512" i="2"/>
  <c r="B5512" i="9" s="1"/>
  <c r="A5512" i="2"/>
  <c r="A5512" i="9" s="1"/>
  <c r="B5511" i="2"/>
  <c r="B5511" i="9" s="1"/>
  <c r="A5511" i="2"/>
  <c r="A5511" i="9" s="1"/>
  <c r="B5510" i="2"/>
  <c r="B5510" i="9" s="1"/>
  <c r="A5510" i="2"/>
  <c r="A5510" i="9" s="1"/>
  <c r="B5509" i="2"/>
  <c r="B5509" i="9" s="1"/>
  <c r="A5509" i="2"/>
  <c r="A5509" i="9" s="1"/>
  <c r="B5508" i="2"/>
  <c r="B5508" i="9" s="1"/>
  <c r="A5508" i="2"/>
  <c r="A5508" i="9" s="1"/>
  <c r="B5507" i="2"/>
  <c r="B5507" i="9" s="1"/>
  <c r="A5507" i="2"/>
  <c r="A5507" i="9" s="1"/>
  <c r="B5506" i="2"/>
  <c r="B5506" i="9" s="1"/>
  <c r="A5506" i="2"/>
  <c r="A5506" i="9" s="1"/>
  <c r="B5505" i="2"/>
  <c r="B5505" i="9" s="1"/>
  <c r="A5505" i="2"/>
  <c r="A5505" i="9" s="1"/>
  <c r="B5504" i="2"/>
  <c r="B5504" i="9" s="1"/>
  <c r="A5504" i="2"/>
  <c r="A5504" i="9" s="1"/>
  <c r="B5503" i="2"/>
  <c r="B5503" i="9" s="1"/>
  <c r="A5503" i="2"/>
  <c r="A5503" i="9" s="1"/>
  <c r="B5502" i="2"/>
  <c r="B5502" i="9" s="1"/>
  <c r="A5502" i="2"/>
  <c r="A5502" i="9" s="1"/>
  <c r="B5501" i="2"/>
  <c r="B5501" i="9" s="1"/>
  <c r="A5501" i="2"/>
  <c r="A5501" i="9" s="1"/>
  <c r="B5500" i="2"/>
  <c r="B5500" i="9" s="1"/>
  <c r="A5500" i="2"/>
  <c r="A5500" i="9" s="1"/>
  <c r="B5499" i="2"/>
  <c r="B5499" i="9" s="1"/>
  <c r="A5499" i="2"/>
  <c r="A5499" i="9" s="1"/>
  <c r="B5498" i="2"/>
  <c r="B5498" i="9" s="1"/>
  <c r="A5498" i="2"/>
  <c r="A5498" i="9" s="1"/>
  <c r="B5497" i="2"/>
  <c r="B5497" i="9" s="1"/>
  <c r="A5497" i="2"/>
  <c r="A5497" i="9" s="1"/>
  <c r="B5496" i="2"/>
  <c r="B5496" i="9" s="1"/>
  <c r="A5496" i="2"/>
  <c r="A5496" i="9" s="1"/>
  <c r="B5495" i="2"/>
  <c r="B5495" i="9" s="1"/>
  <c r="A5495" i="2"/>
  <c r="A5495" i="9" s="1"/>
  <c r="B5494" i="2"/>
  <c r="B5494" i="9" s="1"/>
  <c r="A5494" i="2"/>
  <c r="A5494" i="9" s="1"/>
  <c r="B5493" i="2"/>
  <c r="B5493" i="9" s="1"/>
  <c r="A5493" i="2"/>
  <c r="A5493" i="9" s="1"/>
  <c r="B5492" i="2"/>
  <c r="B5492" i="9" s="1"/>
  <c r="A5492" i="2"/>
  <c r="A5492" i="9" s="1"/>
  <c r="B5491" i="2"/>
  <c r="B5491" i="9" s="1"/>
  <c r="A5491" i="2"/>
  <c r="A5491" i="9" s="1"/>
  <c r="B5490" i="2"/>
  <c r="B5490" i="9" s="1"/>
  <c r="A5490" i="2"/>
  <c r="A5490" i="9" s="1"/>
  <c r="B5489" i="2"/>
  <c r="B5489" i="9" s="1"/>
  <c r="A5489" i="2"/>
  <c r="A5489" i="9" s="1"/>
  <c r="B5488" i="2"/>
  <c r="B5488" i="9" s="1"/>
  <c r="A5488" i="2"/>
  <c r="A5488" i="9" s="1"/>
  <c r="B5487" i="2"/>
  <c r="B5487" i="9" s="1"/>
  <c r="A5487" i="2"/>
  <c r="A5487" i="9" s="1"/>
  <c r="B5486" i="2"/>
  <c r="B5486" i="9" s="1"/>
  <c r="A5486" i="2"/>
  <c r="A5486" i="9" s="1"/>
  <c r="B5485" i="2"/>
  <c r="B5485" i="9" s="1"/>
  <c r="A5485" i="2"/>
  <c r="A5485" i="9" s="1"/>
  <c r="B5484" i="2"/>
  <c r="B5484" i="9" s="1"/>
  <c r="A5484" i="2"/>
  <c r="A5484" i="9" s="1"/>
  <c r="B5483" i="2"/>
  <c r="B5483" i="9" s="1"/>
  <c r="A5483" i="2"/>
  <c r="A5483" i="9" s="1"/>
  <c r="B5482" i="2"/>
  <c r="B5482" i="9" s="1"/>
  <c r="A5482" i="2"/>
  <c r="A5482" i="9" s="1"/>
  <c r="B5481" i="2"/>
  <c r="B5481" i="9" s="1"/>
  <c r="A5481" i="2"/>
  <c r="A5481" i="9" s="1"/>
  <c r="B5480" i="2"/>
  <c r="B5480" i="9" s="1"/>
  <c r="A5480" i="2"/>
  <c r="A5480" i="9" s="1"/>
  <c r="B5479" i="2"/>
  <c r="B5479" i="9" s="1"/>
  <c r="A5479" i="2"/>
  <c r="A5479" i="9" s="1"/>
  <c r="B5478" i="2"/>
  <c r="B5478" i="9" s="1"/>
  <c r="A5478" i="2"/>
  <c r="A5478" i="9" s="1"/>
  <c r="B5477" i="2"/>
  <c r="B5477" i="9" s="1"/>
  <c r="A5477" i="2"/>
  <c r="A5477" i="9" s="1"/>
  <c r="B5476" i="2"/>
  <c r="B5476" i="9" s="1"/>
  <c r="A5476" i="2"/>
  <c r="A5476" i="9" s="1"/>
  <c r="B5475" i="2"/>
  <c r="B5475" i="9" s="1"/>
  <c r="A5475" i="2"/>
  <c r="A5475" i="9" s="1"/>
  <c r="B5474" i="2"/>
  <c r="B5474" i="9" s="1"/>
  <c r="A5474" i="2"/>
  <c r="A5474" i="9" s="1"/>
  <c r="B5473" i="2"/>
  <c r="B5473" i="9" s="1"/>
  <c r="A5473" i="2"/>
  <c r="A5473" i="9" s="1"/>
  <c r="B5472" i="2"/>
  <c r="B5472" i="9" s="1"/>
  <c r="A5472" i="2"/>
  <c r="A5472" i="9" s="1"/>
  <c r="B5471" i="2"/>
  <c r="B5471" i="9" s="1"/>
  <c r="A5471" i="2"/>
  <c r="A5471" i="9" s="1"/>
  <c r="B5470" i="2"/>
  <c r="B5470" i="9" s="1"/>
  <c r="A5470" i="2"/>
  <c r="A5470" i="9" s="1"/>
  <c r="B5469" i="2"/>
  <c r="B5469" i="9" s="1"/>
  <c r="A5469" i="2"/>
  <c r="A5469" i="9" s="1"/>
  <c r="B5468" i="2"/>
  <c r="B5468" i="9" s="1"/>
  <c r="A5468" i="2"/>
  <c r="A5468" i="9" s="1"/>
  <c r="B5467" i="2"/>
  <c r="B5467" i="9" s="1"/>
  <c r="A5467" i="2"/>
  <c r="A5467" i="9" s="1"/>
  <c r="B5466" i="2"/>
  <c r="B5466" i="9" s="1"/>
  <c r="A5466" i="2"/>
  <c r="A5466" i="9" s="1"/>
  <c r="B5465" i="2"/>
  <c r="B5465" i="9" s="1"/>
  <c r="A5465" i="2"/>
  <c r="A5465" i="9" s="1"/>
  <c r="B5464" i="2"/>
  <c r="B5464" i="9" s="1"/>
  <c r="A5464" i="2"/>
  <c r="A5464" i="9" s="1"/>
  <c r="B5463" i="2"/>
  <c r="B5463" i="9" s="1"/>
  <c r="A5463" i="2"/>
  <c r="A5463" i="9" s="1"/>
  <c r="B5462" i="2"/>
  <c r="B5462" i="9" s="1"/>
  <c r="A5462" i="2"/>
  <c r="A5462" i="9" s="1"/>
  <c r="B5461" i="2"/>
  <c r="B5461" i="9" s="1"/>
  <c r="A5461" i="2"/>
  <c r="A5461" i="9" s="1"/>
  <c r="B5460" i="2"/>
  <c r="B5460" i="9" s="1"/>
  <c r="A5460" i="2"/>
  <c r="A5460" i="9" s="1"/>
  <c r="B5459" i="2"/>
  <c r="B5459" i="9" s="1"/>
  <c r="A5459" i="2"/>
  <c r="A5459" i="9" s="1"/>
  <c r="B5458" i="2"/>
  <c r="B5458" i="9" s="1"/>
  <c r="A5458" i="2"/>
  <c r="A5458" i="9" s="1"/>
  <c r="B5457" i="2"/>
  <c r="B5457" i="9" s="1"/>
  <c r="A5457" i="2"/>
  <c r="A5457" i="9" s="1"/>
  <c r="B5456" i="2"/>
  <c r="B5456" i="9" s="1"/>
  <c r="A5456" i="2"/>
  <c r="A5456" i="9" s="1"/>
  <c r="B5455" i="2"/>
  <c r="B5455" i="9" s="1"/>
  <c r="A5455" i="2"/>
  <c r="A5455" i="9" s="1"/>
  <c r="B5454" i="2"/>
  <c r="B5454" i="9" s="1"/>
  <c r="A5454" i="2"/>
  <c r="A5454" i="9" s="1"/>
  <c r="B5453" i="2"/>
  <c r="B5453" i="9" s="1"/>
  <c r="A5453" i="2"/>
  <c r="A5453" i="9" s="1"/>
  <c r="B5452" i="2"/>
  <c r="B5452" i="9" s="1"/>
  <c r="A5452" i="2"/>
  <c r="A5452" i="9" s="1"/>
  <c r="B5451" i="2"/>
  <c r="B5451" i="9" s="1"/>
  <c r="A5451" i="2"/>
  <c r="A5451" i="9" s="1"/>
  <c r="B5450" i="2"/>
  <c r="B5450" i="9" s="1"/>
  <c r="A5450" i="2"/>
  <c r="A5450" i="9" s="1"/>
  <c r="B5449" i="2"/>
  <c r="B5449" i="9" s="1"/>
  <c r="A5449" i="2"/>
  <c r="A5449" i="9" s="1"/>
  <c r="B5448" i="2"/>
  <c r="B5448" i="9" s="1"/>
  <c r="A5448" i="2"/>
  <c r="A5448" i="9" s="1"/>
  <c r="B5447" i="2"/>
  <c r="B5447" i="9" s="1"/>
  <c r="A5447" i="2"/>
  <c r="A5447" i="9" s="1"/>
  <c r="B5446" i="2"/>
  <c r="B5446" i="9" s="1"/>
  <c r="A5446" i="2"/>
  <c r="A5446" i="9" s="1"/>
  <c r="B5445" i="2"/>
  <c r="B5445" i="9" s="1"/>
  <c r="A5445" i="2"/>
  <c r="A5445" i="9" s="1"/>
  <c r="B5444" i="2"/>
  <c r="B5444" i="9" s="1"/>
  <c r="A5444" i="2"/>
  <c r="A5444" i="9" s="1"/>
  <c r="B5443" i="2"/>
  <c r="B5443" i="9" s="1"/>
  <c r="A5443" i="2"/>
  <c r="A5443" i="9" s="1"/>
  <c r="B5442" i="2"/>
  <c r="B5442" i="9" s="1"/>
  <c r="A5442" i="2"/>
  <c r="A5442" i="9" s="1"/>
  <c r="B5441" i="2"/>
  <c r="B5441" i="9" s="1"/>
  <c r="A5441" i="2"/>
  <c r="A5441" i="9" s="1"/>
  <c r="B5440" i="2"/>
  <c r="B5440" i="9" s="1"/>
  <c r="A5440" i="2"/>
  <c r="A5440" i="9" s="1"/>
  <c r="B5439" i="2"/>
  <c r="B5439" i="9" s="1"/>
  <c r="A5439" i="2"/>
  <c r="A5439" i="9" s="1"/>
  <c r="B5438" i="2"/>
  <c r="B5438" i="9" s="1"/>
  <c r="A5438" i="2"/>
  <c r="A5438" i="9" s="1"/>
  <c r="B5437" i="2"/>
  <c r="B5437" i="9" s="1"/>
  <c r="A5437" i="2"/>
  <c r="A5437" i="9" s="1"/>
  <c r="B5436" i="2"/>
  <c r="B5436" i="9" s="1"/>
  <c r="A5436" i="2"/>
  <c r="A5436" i="9" s="1"/>
  <c r="B5435" i="2"/>
  <c r="B5435" i="9" s="1"/>
  <c r="A5435" i="2"/>
  <c r="A5435" i="9" s="1"/>
  <c r="B5434" i="2"/>
  <c r="B5434" i="9" s="1"/>
  <c r="A5434" i="2"/>
  <c r="A5434" i="9" s="1"/>
  <c r="B5433" i="2"/>
  <c r="B5433" i="9" s="1"/>
  <c r="A5433" i="2"/>
  <c r="A5433" i="9" s="1"/>
  <c r="B5432" i="2"/>
  <c r="B5432" i="9" s="1"/>
  <c r="A5432" i="2"/>
  <c r="A5432" i="9" s="1"/>
  <c r="B5431" i="2"/>
  <c r="B5431" i="9" s="1"/>
  <c r="A5431" i="2"/>
  <c r="A5431" i="9" s="1"/>
  <c r="B5430" i="2"/>
  <c r="B5430" i="9" s="1"/>
  <c r="A5430" i="2"/>
  <c r="A5430" i="9" s="1"/>
  <c r="B5429" i="2"/>
  <c r="B5429" i="9" s="1"/>
  <c r="A5429" i="2"/>
  <c r="A5429" i="9" s="1"/>
  <c r="B5428" i="2"/>
  <c r="B5428" i="9" s="1"/>
  <c r="A5428" i="2"/>
  <c r="A5428" i="9" s="1"/>
  <c r="B5427" i="2"/>
  <c r="B5427" i="9" s="1"/>
  <c r="A5427" i="2"/>
  <c r="A5427" i="9" s="1"/>
  <c r="B5426" i="2"/>
  <c r="B5426" i="9" s="1"/>
  <c r="A5426" i="2"/>
  <c r="A5426" i="9" s="1"/>
  <c r="B5425" i="2"/>
  <c r="B5425" i="9" s="1"/>
  <c r="A5425" i="2"/>
  <c r="A5425" i="9" s="1"/>
  <c r="B5424" i="2"/>
  <c r="B5424" i="9" s="1"/>
  <c r="A5424" i="2"/>
  <c r="A5424" i="9" s="1"/>
  <c r="B5423" i="2"/>
  <c r="B5423" i="9" s="1"/>
  <c r="A5423" i="2"/>
  <c r="A5423" i="9" s="1"/>
  <c r="B5422" i="2"/>
  <c r="B5422" i="9" s="1"/>
  <c r="A5422" i="2"/>
  <c r="A5422" i="9" s="1"/>
  <c r="B5421" i="2"/>
  <c r="B5421" i="9" s="1"/>
  <c r="A5421" i="2"/>
  <c r="A5421" i="9" s="1"/>
  <c r="B5420" i="2"/>
  <c r="B5420" i="9" s="1"/>
  <c r="A5420" i="2"/>
  <c r="A5420" i="9" s="1"/>
  <c r="B5419" i="2"/>
  <c r="B5419" i="9" s="1"/>
  <c r="A5419" i="2"/>
  <c r="A5419" i="9" s="1"/>
  <c r="B5418" i="2"/>
  <c r="B5418" i="9" s="1"/>
  <c r="A5418" i="2"/>
  <c r="A5418" i="9" s="1"/>
  <c r="B5417" i="2"/>
  <c r="B5417" i="9" s="1"/>
  <c r="A5417" i="2"/>
  <c r="A5417" i="9" s="1"/>
  <c r="B5416" i="2"/>
  <c r="B5416" i="9" s="1"/>
  <c r="A5416" i="2"/>
  <c r="A5416" i="9" s="1"/>
  <c r="B5415" i="2"/>
  <c r="B5415" i="9" s="1"/>
  <c r="A5415" i="2"/>
  <c r="A5415" i="9" s="1"/>
  <c r="B5414" i="2"/>
  <c r="B5414" i="9" s="1"/>
  <c r="A5414" i="2"/>
  <c r="A5414" i="9" s="1"/>
  <c r="B5413" i="2"/>
  <c r="B5413" i="9" s="1"/>
  <c r="A5413" i="2"/>
  <c r="A5413" i="9" s="1"/>
  <c r="B5412" i="2"/>
  <c r="B5412" i="9" s="1"/>
  <c r="A5412" i="2"/>
  <c r="A5412" i="9" s="1"/>
  <c r="B5411" i="2"/>
  <c r="B5411" i="9" s="1"/>
  <c r="A5411" i="2"/>
  <c r="A5411" i="9" s="1"/>
  <c r="B5410" i="2"/>
  <c r="B5410" i="9" s="1"/>
  <c r="A5410" i="2"/>
  <c r="A5410" i="9" s="1"/>
  <c r="B5409" i="2"/>
  <c r="B5409" i="9" s="1"/>
  <c r="A5409" i="2"/>
  <c r="A5409" i="9" s="1"/>
  <c r="B5408" i="2"/>
  <c r="B5408" i="9" s="1"/>
  <c r="A5408" i="2"/>
  <c r="A5408" i="9" s="1"/>
  <c r="B5407" i="2"/>
  <c r="B5407" i="9" s="1"/>
  <c r="A5407" i="2"/>
  <c r="A5407" i="9" s="1"/>
  <c r="B5406" i="2"/>
  <c r="B5406" i="9" s="1"/>
  <c r="A5406" i="2"/>
  <c r="A5406" i="9" s="1"/>
  <c r="B5405" i="2"/>
  <c r="B5405" i="9" s="1"/>
  <c r="A5405" i="2"/>
  <c r="A5405" i="9" s="1"/>
  <c r="B5404" i="2"/>
  <c r="B5404" i="9" s="1"/>
  <c r="A5404" i="2"/>
  <c r="A5404" i="9" s="1"/>
  <c r="B5403" i="2"/>
  <c r="B5403" i="9" s="1"/>
  <c r="A5403" i="2"/>
  <c r="A5403" i="9" s="1"/>
  <c r="B5402" i="2"/>
  <c r="B5402" i="9" s="1"/>
  <c r="A5402" i="2"/>
  <c r="A5402" i="9" s="1"/>
  <c r="B5401" i="2"/>
  <c r="B5401" i="9" s="1"/>
  <c r="A5401" i="2"/>
  <c r="A5401" i="9" s="1"/>
  <c r="B5400" i="2"/>
  <c r="B5400" i="9" s="1"/>
  <c r="A5400" i="2"/>
  <c r="A5400" i="9" s="1"/>
  <c r="B5399" i="2"/>
  <c r="B5399" i="9" s="1"/>
  <c r="A5399" i="2"/>
  <c r="A5399" i="9" s="1"/>
  <c r="B5398" i="2"/>
  <c r="B5398" i="9" s="1"/>
  <c r="A5398" i="2"/>
  <c r="A5398" i="9" s="1"/>
  <c r="B5397" i="2"/>
  <c r="B5397" i="9" s="1"/>
  <c r="A5397" i="2"/>
  <c r="A5397" i="9" s="1"/>
  <c r="B5396" i="2"/>
  <c r="B5396" i="9" s="1"/>
  <c r="A5396" i="2"/>
  <c r="A5396" i="9" s="1"/>
  <c r="B5395" i="2"/>
  <c r="B5395" i="9" s="1"/>
  <c r="A5395" i="2"/>
  <c r="A5395" i="9" s="1"/>
  <c r="B5394" i="2"/>
  <c r="B5394" i="9" s="1"/>
  <c r="A5394" i="2"/>
  <c r="A5394" i="9" s="1"/>
  <c r="B5393" i="2"/>
  <c r="B5393" i="9" s="1"/>
  <c r="A5393" i="2"/>
  <c r="A5393" i="9" s="1"/>
  <c r="B5392" i="2"/>
  <c r="B5392" i="9" s="1"/>
  <c r="A5392" i="2"/>
  <c r="A5392" i="9" s="1"/>
  <c r="B5391" i="2"/>
  <c r="B5391" i="9" s="1"/>
  <c r="A5391" i="2"/>
  <c r="A5391" i="9" s="1"/>
  <c r="B5390" i="2"/>
  <c r="B5390" i="9" s="1"/>
  <c r="A5390" i="2"/>
  <c r="A5390" i="9" s="1"/>
  <c r="B5389" i="2"/>
  <c r="B5389" i="9" s="1"/>
  <c r="A5389" i="2"/>
  <c r="A5389" i="9" s="1"/>
  <c r="B5388" i="2"/>
  <c r="B5388" i="9" s="1"/>
  <c r="A5388" i="2"/>
  <c r="A5388" i="9" s="1"/>
  <c r="B5387" i="2"/>
  <c r="B5387" i="9" s="1"/>
  <c r="A5387" i="2"/>
  <c r="A5387" i="9" s="1"/>
  <c r="B5386" i="2"/>
  <c r="B5386" i="9" s="1"/>
  <c r="A5386" i="2"/>
  <c r="A5386" i="9" s="1"/>
  <c r="B5385" i="2"/>
  <c r="B5385" i="9" s="1"/>
  <c r="A5385" i="2"/>
  <c r="A5385" i="9" s="1"/>
  <c r="B5384" i="2"/>
  <c r="B5384" i="9" s="1"/>
  <c r="A5384" i="2"/>
  <c r="A5384" i="9" s="1"/>
  <c r="B5383" i="2"/>
  <c r="B5383" i="9" s="1"/>
  <c r="A5383" i="2"/>
  <c r="A5383" i="9" s="1"/>
  <c r="B5382" i="2"/>
  <c r="B5382" i="9" s="1"/>
  <c r="A5382" i="2"/>
  <c r="A5382" i="9" s="1"/>
  <c r="B5381" i="2"/>
  <c r="B5381" i="9" s="1"/>
  <c r="A5381" i="2"/>
  <c r="A5381" i="9" s="1"/>
  <c r="B5380" i="2"/>
  <c r="B5380" i="9" s="1"/>
  <c r="A5380" i="2"/>
  <c r="A5380" i="9" s="1"/>
  <c r="B5379" i="2"/>
  <c r="B5379" i="9" s="1"/>
  <c r="A5379" i="2"/>
  <c r="A5379" i="9" s="1"/>
  <c r="B5378" i="2"/>
  <c r="B5378" i="9" s="1"/>
  <c r="A5378" i="2"/>
  <c r="A5378" i="9" s="1"/>
  <c r="B5377" i="2"/>
  <c r="B5377" i="9" s="1"/>
  <c r="A5377" i="2"/>
  <c r="A5377" i="9" s="1"/>
  <c r="B5376" i="2"/>
  <c r="B5376" i="9" s="1"/>
  <c r="A5376" i="2"/>
  <c r="A5376" i="9" s="1"/>
  <c r="B5375" i="2"/>
  <c r="B5375" i="9" s="1"/>
  <c r="A5375" i="2"/>
  <c r="A5375" i="9" s="1"/>
  <c r="B5374" i="2"/>
  <c r="B5374" i="9" s="1"/>
  <c r="A5374" i="2"/>
  <c r="A5374" i="9" s="1"/>
  <c r="B5373" i="2"/>
  <c r="B5373" i="9" s="1"/>
  <c r="A5373" i="2"/>
  <c r="A5373" i="9" s="1"/>
  <c r="B5372" i="2"/>
  <c r="B5372" i="9" s="1"/>
  <c r="A5372" i="2"/>
  <c r="A5372" i="9" s="1"/>
  <c r="B5371" i="2"/>
  <c r="B5371" i="9" s="1"/>
  <c r="A5371" i="2"/>
  <c r="A5371" i="9" s="1"/>
  <c r="B5370" i="2"/>
  <c r="B5370" i="9" s="1"/>
  <c r="A5370" i="2"/>
  <c r="A5370" i="9" s="1"/>
  <c r="B5369" i="2"/>
  <c r="B5369" i="9" s="1"/>
  <c r="A5369" i="2"/>
  <c r="A5369" i="9" s="1"/>
  <c r="B5368" i="2"/>
  <c r="B5368" i="9" s="1"/>
  <c r="A5368" i="2"/>
  <c r="A5368" i="9" s="1"/>
  <c r="B5367" i="2"/>
  <c r="B5367" i="9" s="1"/>
  <c r="A5367" i="2"/>
  <c r="A5367" i="9" s="1"/>
  <c r="B5366" i="2"/>
  <c r="B5366" i="9" s="1"/>
  <c r="A5366" i="2"/>
  <c r="A5366" i="9" s="1"/>
  <c r="B5365" i="2"/>
  <c r="B5365" i="9" s="1"/>
  <c r="A5365" i="2"/>
  <c r="A5365" i="9" s="1"/>
  <c r="B5364" i="2"/>
  <c r="B5364" i="9" s="1"/>
  <c r="A5364" i="2"/>
  <c r="A5364" i="9" s="1"/>
  <c r="B5363" i="2"/>
  <c r="B5363" i="9" s="1"/>
  <c r="A5363" i="2"/>
  <c r="A5363" i="9" s="1"/>
  <c r="B5362" i="2"/>
  <c r="B5362" i="9" s="1"/>
  <c r="A5362" i="2"/>
  <c r="A5362" i="9" s="1"/>
  <c r="B5361" i="2"/>
  <c r="B5361" i="9" s="1"/>
  <c r="A5361" i="2"/>
  <c r="A5361" i="9" s="1"/>
  <c r="B5360" i="2"/>
  <c r="B5360" i="9" s="1"/>
  <c r="A5360" i="2"/>
  <c r="A5360" i="9" s="1"/>
  <c r="B5359" i="2"/>
  <c r="B5359" i="9" s="1"/>
  <c r="A5359" i="2"/>
  <c r="A5359" i="9" s="1"/>
  <c r="B5358" i="2"/>
  <c r="B5358" i="9" s="1"/>
  <c r="A5358" i="2"/>
  <c r="A5358" i="9" s="1"/>
  <c r="B5357" i="2"/>
  <c r="B5357" i="9" s="1"/>
  <c r="A5357" i="2"/>
  <c r="A5357" i="9" s="1"/>
  <c r="B5356" i="2"/>
  <c r="B5356" i="9" s="1"/>
  <c r="A5356" i="2"/>
  <c r="A5356" i="9" s="1"/>
  <c r="B5355" i="2"/>
  <c r="B5355" i="9" s="1"/>
  <c r="A5355" i="2"/>
  <c r="A5355" i="9" s="1"/>
  <c r="B5354" i="2"/>
  <c r="B5354" i="9" s="1"/>
  <c r="A5354" i="2"/>
  <c r="A5354" i="9" s="1"/>
  <c r="B5353" i="2"/>
  <c r="B5353" i="9" s="1"/>
  <c r="A5353" i="2"/>
  <c r="A5353" i="9" s="1"/>
  <c r="B5352" i="2"/>
  <c r="B5352" i="9" s="1"/>
  <c r="A5352" i="2"/>
  <c r="A5352" i="9" s="1"/>
  <c r="B5351" i="2"/>
  <c r="B5351" i="9" s="1"/>
  <c r="A5351" i="2"/>
  <c r="A5351" i="9" s="1"/>
  <c r="B5350" i="2"/>
  <c r="B5350" i="9" s="1"/>
  <c r="A5350" i="2"/>
  <c r="A5350" i="9" s="1"/>
  <c r="B5349" i="2"/>
  <c r="B5349" i="9" s="1"/>
  <c r="A5349" i="2"/>
  <c r="A5349" i="9" s="1"/>
  <c r="B5348" i="2"/>
  <c r="B5348" i="9" s="1"/>
  <c r="A5348" i="2"/>
  <c r="A5348" i="9" s="1"/>
  <c r="B5347" i="2"/>
  <c r="B5347" i="9" s="1"/>
  <c r="A5347" i="2"/>
  <c r="A5347" i="9" s="1"/>
  <c r="B5346" i="2"/>
  <c r="B5346" i="9" s="1"/>
  <c r="A5346" i="2"/>
  <c r="A5346" i="9" s="1"/>
  <c r="B5345" i="2"/>
  <c r="B5345" i="9" s="1"/>
  <c r="A5345" i="2"/>
  <c r="A5345" i="9" s="1"/>
  <c r="B5344" i="2"/>
  <c r="B5344" i="9" s="1"/>
  <c r="A5344" i="2"/>
  <c r="A5344" i="9" s="1"/>
  <c r="B5343" i="2"/>
  <c r="B5343" i="9" s="1"/>
  <c r="A5343" i="2"/>
  <c r="A5343" i="9" s="1"/>
  <c r="B5342" i="2"/>
  <c r="B5342" i="9" s="1"/>
  <c r="A5342" i="2"/>
  <c r="A5342" i="9" s="1"/>
  <c r="B5341" i="2"/>
  <c r="B5341" i="9" s="1"/>
  <c r="A5341" i="2"/>
  <c r="A5341" i="9" s="1"/>
  <c r="B5340" i="2"/>
  <c r="B5340" i="9" s="1"/>
  <c r="A5340" i="2"/>
  <c r="A5340" i="9" s="1"/>
  <c r="B5339" i="2"/>
  <c r="B5339" i="9" s="1"/>
  <c r="A5339" i="2"/>
  <c r="A5339" i="9" s="1"/>
  <c r="B5338" i="2"/>
  <c r="B5338" i="9" s="1"/>
  <c r="A5338" i="2"/>
  <c r="A5338" i="9" s="1"/>
  <c r="B5337" i="2"/>
  <c r="B5337" i="9" s="1"/>
  <c r="A5337" i="2"/>
  <c r="A5337" i="9" s="1"/>
  <c r="B5336" i="2"/>
  <c r="B5336" i="9" s="1"/>
  <c r="A5336" i="2"/>
  <c r="A5336" i="9" s="1"/>
  <c r="B5335" i="2"/>
  <c r="B5335" i="9" s="1"/>
  <c r="A5335" i="2"/>
  <c r="A5335" i="9" s="1"/>
  <c r="B5334" i="2"/>
  <c r="B5334" i="9" s="1"/>
  <c r="A5334" i="2"/>
  <c r="A5334" i="9" s="1"/>
  <c r="B5333" i="2"/>
  <c r="B5333" i="9" s="1"/>
  <c r="A5333" i="2"/>
  <c r="A5333" i="9" s="1"/>
  <c r="B5332" i="2"/>
  <c r="B5332" i="9" s="1"/>
  <c r="A5332" i="2"/>
  <c r="A5332" i="9" s="1"/>
  <c r="B5331" i="2"/>
  <c r="B5331" i="9" s="1"/>
  <c r="A5331" i="2"/>
  <c r="A5331" i="9" s="1"/>
  <c r="B5330" i="2"/>
  <c r="B5330" i="9" s="1"/>
  <c r="A5330" i="2"/>
  <c r="A5330" i="9" s="1"/>
  <c r="B5329" i="2"/>
  <c r="B5329" i="9" s="1"/>
  <c r="A5329" i="2"/>
  <c r="A5329" i="9" s="1"/>
  <c r="B5328" i="2"/>
  <c r="B5328" i="9" s="1"/>
  <c r="A5328" i="2"/>
  <c r="A5328" i="9" s="1"/>
  <c r="B5327" i="2"/>
  <c r="B5327" i="9" s="1"/>
  <c r="A5327" i="2"/>
  <c r="A5327" i="9" s="1"/>
  <c r="B5326" i="2"/>
  <c r="B5326" i="9" s="1"/>
  <c r="A5326" i="2"/>
  <c r="A5326" i="9" s="1"/>
  <c r="B5325" i="2"/>
  <c r="B5325" i="9" s="1"/>
  <c r="A5325" i="2"/>
  <c r="A5325" i="9" s="1"/>
  <c r="B5324" i="2"/>
  <c r="B5324" i="9" s="1"/>
  <c r="A5324" i="2"/>
  <c r="A5324" i="9" s="1"/>
  <c r="B5323" i="2"/>
  <c r="B5323" i="9" s="1"/>
  <c r="A5323" i="2"/>
  <c r="A5323" i="9" s="1"/>
  <c r="B5322" i="2"/>
  <c r="B5322" i="9" s="1"/>
  <c r="A5322" i="2"/>
  <c r="A5322" i="9" s="1"/>
  <c r="B5321" i="2"/>
  <c r="B5321" i="9" s="1"/>
  <c r="A5321" i="2"/>
  <c r="A5321" i="9" s="1"/>
  <c r="B5320" i="2"/>
  <c r="B5320" i="9" s="1"/>
  <c r="A5320" i="2"/>
  <c r="A5320" i="9" s="1"/>
  <c r="B5319" i="2"/>
  <c r="B5319" i="9" s="1"/>
  <c r="A5319" i="2"/>
  <c r="A5319" i="9" s="1"/>
  <c r="B5318" i="2"/>
  <c r="B5318" i="9" s="1"/>
  <c r="A5318" i="2"/>
  <c r="A5318" i="9" s="1"/>
  <c r="B5317" i="2"/>
  <c r="B5317" i="9" s="1"/>
  <c r="A5317" i="2"/>
  <c r="A5317" i="9" s="1"/>
  <c r="B5316" i="2"/>
  <c r="B5316" i="9" s="1"/>
  <c r="A5316" i="2"/>
  <c r="A5316" i="9" s="1"/>
  <c r="B5315" i="2"/>
  <c r="B5315" i="9" s="1"/>
  <c r="A5315" i="2"/>
  <c r="A5315" i="9" s="1"/>
  <c r="B5314" i="2"/>
  <c r="B5314" i="9" s="1"/>
  <c r="A5314" i="2"/>
  <c r="A5314" i="9" s="1"/>
  <c r="B5313" i="2"/>
  <c r="B5313" i="9" s="1"/>
  <c r="A5313" i="2"/>
  <c r="A5313" i="9" s="1"/>
  <c r="B5312" i="2"/>
  <c r="B5312" i="9" s="1"/>
  <c r="A5312" i="2"/>
  <c r="A5312" i="9" s="1"/>
  <c r="B5311" i="2"/>
  <c r="B5311" i="9" s="1"/>
  <c r="A5311" i="2"/>
  <c r="A5311" i="9" s="1"/>
  <c r="B5310" i="2"/>
  <c r="B5310" i="9" s="1"/>
  <c r="A5310" i="2"/>
  <c r="A5310" i="9" s="1"/>
  <c r="B5309" i="2"/>
  <c r="B5309" i="9" s="1"/>
  <c r="A5309" i="2"/>
  <c r="A5309" i="9" s="1"/>
  <c r="B5308" i="2"/>
  <c r="B5308" i="9" s="1"/>
  <c r="A5308" i="2"/>
  <c r="A5308" i="9" s="1"/>
  <c r="B5307" i="2"/>
  <c r="B5307" i="9" s="1"/>
  <c r="A5307" i="2"/>
  <c r="A5307" i="9" s="1"/>
  <c r="B5306" i="2"/>
  <c r="B5306" i="9" s="1"/>
  <c r="A5306" i="2"/>
  <c r="A5306" i="9" s="1"/>
  <c r="B5305" i="2"/>
  <c r="B5305" i="9" s="1"/>
  <c r="A5305" i="2"/>
  <c r="A5305" i="9" s="1"/>
  <c r="B5304" i="2"/>
  <c r="B5304" i="9" s="1"/>
  <c r="A5304" i="2"/>
  <c r="A5304" i="9" s="1"/>
  <c r="B5303" i="2"/>
  <c r="B5303" i="9" s="1"/>
  <c r="A5303" i="2"/>
  <c r="A5303" i="9" s="1"/>
  <c r="B5302" i="2"/>
  <c r="B5302" i="9" s="1"/>
  <c r="A5302" i="2"/>
  <c r="A5302" i="9" s="1"/>
  <c r="B5301" i="2"/>
  <c r="B5301" i="9" s="1"/>
  <c r="A5301" i="2"/>
  <c r="A5301" i="9" s="1"/>
  <c r="B5300" i="2"/>
  <c r="B5300" i="9" s="1"/>
  <c r="A5300" i="2"/>
  <c r="A5300" i="9" s="1"/>
  <c r="B5299" i="2"/>
  <c r="B5299" i="9" s="1"/>
  <c r="A5299" i="2"/>
  <c r="A5299" i="9" s="1"/>
  <c r="B5298" i="2"/>
  <c r="B5298" i="9" s="1"/>
  <c r="A5298" i="2"/>
  <c r="A5298" i="9" s="1"/>
  <c r="B5297" i="2"/>
  <c r="B5297" i="9" s="1"/>
  <c r="A5297" i="2"/>
  <c r="A5297" i="9" s="1"/>
  <c r="B5296" i="2"/>
  <c r="B5296" i="9" s="1"/>
  <c r="A5296" i="2"/>
  <c r="A5296" i="9" s="1"/>
  <c r="B5295" i="2"/>
  <c r="B5295" i="9" s="1"/>
  <c r="A5295" i="2"/>
  <c r="A5295" i="9" s="1"/>
  <c r="B5294" i="2"/>
  <c r="B5294" i="9" s="1"/>
  <c r="A5294" i="2"/>
  <c r="A5294" i="9" s="1"/>
  <c r="B5293" i="2"/>
  <c r="B5293" i="9" s="1"/>
  <c r="A5293" i="2"/>
  <c r="A5293" i="9" s="1"/>
  <c r="B5292" i="2"/>
  <c r="B5292" i="9" s="1"/>
  <c r="A5292" i="2"/>
  <c r="A5292" i="9" s="1"/>
  <c r="B5291" i="2"/>
  <c r="B5291" i="9" s="1"/>
  <c r="A5291" i="2"/>
  <c r="A5291" i="9" s="1"/>
  <c r="B5290" i="2"/>
  <c r="B5290" i="9" s="1"/>
  <c r="A5290" i="2"/>
  <c r="A5290" i="9" s="1"/>
  <c r="B5289" i="2"/>
  <c r="B5289" i="9" s="1"/>
  <c r="A5289" i="2"/>
  <c r="A5289" i="9" s="1"/>
  <c r="B5288" i="2"/>
  <c r="B5288" i="9" s="1"/>
  <c r="A5288" i="2"/>
  <c r="A5288" i="9" s="1"/>
  <c r="B5287" i="2"/>
  <c r="B5287" i="9" s="1"/>
  <c r="A5287" i="2"/>
  <c r="A5287" i="9" s="1"/>
  <c r="B5286" i="2"/>
  <c r="B5286" i="9" s="1"/>
  <c r="A5286" i="2"/>
  <c r="A5286" i="9" s="1"/>
  <c r="B5285" i="2"/>
  <c r="B5285" i="9" s="1"/>
  <c r="A5285" i="2"/>
  <c r="A5285" i="9" s="1"/>
  <c r="B5284" i="2"/>
  <c r="B5284" i="9" s="1"/>
  <c r="A5284" i="2"/>
  <c r="A5284" i="9" s="1"/>
  <c r="B5283" i="2"/>
  <c r="B5283" i="9" s="1"/>
  <c r="A5283" i="2"/>
  <c r="A5283" i="9" s="1"/>
  <c r="B5282" i="2"/>
  <c r="B5282" i="9" s="1"/>
  <c r="A5282" i="2"/>
  <c r="A5282" i="9" s="1"/>
  <c r="B5281" i="2"/>
  <c r="B5281" i="9" s="1"/>
  <c r="A5281" i="2"/>
  <c r="A5281" i="9" s="1"/>
  <c r="B5280" i="2"/>
  <c r="B5280" i="9" s="1"/>
  <c r="A5280" i="2"/>
  <c r="A5280" i="9" s="1"/>
  <c r="B5279" i="2"/>
  <c r="B5279" i="9" s="1"/>
  <c r="A5279" i="2"/>
  <c r="A5279" i="9" s="1"/>
  <c r="B5278" i="2"/>
  <c r="B5278" i="9" s="1"/>
  <c r="A5278" i="2"/>
  <c r="A5278" i="9" s="1"/>
  <c r="B5277" i="2"/>
  <c r="B5277" i="9" s="1"/>
  <c r="A5277" i="2"/>
  <c r="A5277" i="9" s="1"/>
  <c r="B5276" i="2"/>
  <c r="B5276" i="9" s="1"/>
  <c r="A5276" i="2"/>
  <c r="A5276" i="9" s="1"/>
  <c r="B5275" i="2"/>
  <c r="B5275" i="9" s="1"/>
  <c r="A5275" i="2"/>
  <c r="A5275" i="9" s="1"/>
  <c r="B5274" i="2"/>
  <c r="B5274" i="9" s="1"/>
  <c r="A5274" i="2"/>
  <c r="A5274" i="9" s="1"/>
  <c r="B5273" i="2"/>
  <c r="B5273" i="9" s="1"/>
  <c r="A5273" i="2"/>
  <c r="A5273" i="9" s="1"/>
  <c r="B5272" i="2"/>
  <c r="B5272" i="9" s="1"/>
  <c r="A5272" i="2"/>
  <c r="A5272" i="9" s="1"/>
  <c r="B5271" i="2"/>
  <c r="B5271" i="9" s="1"/>
  <c r="A5271" i="2"/>
  <c r="A5271" i="9" s="1"/>
  <c r="B5270" i="2"/>
  <c r="B5270" i="9" s="1"/>
  <c r="A5270" i="2"/>
  <c r="A5270" i="9" s="1"/>
  <c r="B5269" i="2"/>
  <c r="B5269" i="9" s="1"/>
  <c r="A5269" i="2"/>
  <c r="A5269" i="9" s="1"/>
  <c r="B5268" i="2"/>
  <c r="B5268" i="9" s="1"/>
  <c r="A5268" i="2"/>
  <c r="A5268" i="9" s="1"/>
  <c r="B5267" i="2"/>
  <c r="B5267" i="9" s="1"/>
  <c r="A5267" i="2"/>
  <c r="A5267" i="9" s="1"/>
  <c r="B5266" i="2"/>
  <c r="B5266" i="9" s="1"/>
  <c r="A5266" i="2"/>
  <c r="A5266" i="9" s="1"/>
  <c r="B5265" i="2"/>
  <c r="B5265" i="9" s="1"/>
  <c r="A5265" i="2"/>
  <c r="A5265" i="9" s="1"/>
  <c r="B5264" i="2"/>
  <c r="B5264" i="9" s="1"/>
  <c r="A5264" i="2"/>
  <c r="A5264" i="9" s="1"/>
  <c r="B5263" i="2"/>
  <c r="B5263" i="9" s="1"/>
  <c r="A5263" i="2"/>
  <c r="A5263" i="9" s="1"/>
  <c r="B5262" i="2"/>
  <c r="B5262" i="9" s="1"/>
  <c r="A5262" i="2"/>
  <c r="A5262" i="9" s="1"/>
  <c r="B5261" i="2"/>
  <c r="B5261" i="9" s="1"/>
  <c r="A5261" i="2"/>
  <c r="A5261" i="9" s="1"/>
  <c r="B5260" i="2"/>
  <c r="B5260" i="9" s="1"/>
  <c r="A5260" i="2"/>
  <c r="A5260" i="9" s="1"/>
  <c r="B5259" i="2"/>
  <c r="B5259" i="9" s="1"/>
  <c r="A5259" i="2"/>
  <c r="A5259" i="9" s="1"/>
  <c r="B5258" i="2"/>
  <c r="B5258" i="9" s="1"/>
  <c r="A5258" i="2"/>
  <c r="A5258" i="9" s="1"/>
  <c r="B5257" i="2"/>
  <c r="B5257" i="9" s="1"/>
  <c r="A5257" i="2"/>
  <c r="A5257" i="9" s="1"/>
  <c r="B5256" i="2"/>
  <c r="B5256" i="9" s="1"/>
  <c r="A5256" i="2"/>
  <c r="A5256" i="9" s="1"/>
  <c r="B5255" i="2"/>
  <c r="B5255" i="9" s="1"/>
  <c r="A5255" i="2"/>
  <c r="A5255" i="9" s="1"/>
  <c r="B5254" i="2"/>
  <c r="B5254" i="9" s="1"/>
  <c r="A5254" i="2"/>
  <c r="A5254" i="9" s="1"/>
  <c r="B5253" i="2"/>
  <c r="B5253" i="9" s="1"/>
  <c r="A5253" i="2"/>
  <c r="A5253" i="9" s="1"/>
  <c r="B5252" i="2"/>
  <c r="B5252" i="9" s="1"/>
  <c r="A5252" i="2"/>
  <c r="A5252" i="9" s="1"/>
  <c r="B5251" i="2"/>
  <c r="B5251" i="9" s="1"/>
  <c r="A5251" i="2"/>
  <c r="A5251" i="9" s="1"/>
  <c r="B5250" i="2"/>
  <c r="B5250" i="9" s="1"/>
  <c r="A5250" i="2"/>
  <c r="A5250" i="9" s="1"/>
  <c r="B5249" i="2"/>
  <c r="B5249" i="9" s="1"/>
  <c r="A5249" i="2"/>
  <c r="A5249" i="9" s="1"/>
  <c r="B5248" i="2"/>
  <c r="B5248" i="9" s="1"/>
  <c r="A5248" i="2"/>
  <c r="A5248" i="9" s="1"/>
  <c r="B5247" i="2"/>
  <c r="B5247" i="9" s="1"/>
  <c r="A5247" i="2"/>
  <c r="A5247" i="9" s="1"/>
  <c r="B5246" i="2"/>
  <c r="B5246" i="9" s="1"/>
  <c r="A5246" i="2"/>
  <c r="A5246" i="9" s="1"/>
  <c r="B5245" i="2"/>
  <c r="B5245" i="9" s="1"/>
  <c r="A5245" i="2"/>
  <c r="A5245" i="9" s="1"/>
  <c r="B5244" i="2"/>
  <c r="B5244" i="9" s="1"/>
  <c r="A5244" i="2"/>
  <c r="A5244" i="9" s="1"/>
  <c r="B5243" i="2"/>
  <c r="B5243" i="9" s="1"/>
  <c r="A5243" i="2"/>
  <c r="A5243" i="9" s="1"/>
  <c r="B5242" i="2"/>
  <c r="B5242" i="9" s="1"/>
  <c r="A5242" i="2"/>
  <c r="A5242" i="9" s="1"/>
  <c r="B5241" i="2"/>
  <c r="B5241" i="9" s="1"/>
  <c r="A5241" i="2"/>
  <c r="A5241" i="9" s="1"/>
  <c r="B5240" i="2"/>
  <c r="B5240" i="9" s="1"/>
  <c r="A5240" i="2"/>
  <c r="A5240" i="9" s="1"/>
  <c r="B5239" i="2"/>
  <c r="B5239" i="9" s="1"/>
  <c r="A5239" i="2"/>
  <c r="A5239" i="9" s="1"/>
  <c r="B5238" i="2"/>
  <c r="B5238" i="9" s="1"/>
  <c r="A5238" i="2"/>
  <c r="A5238" i="9" s="1"/>
  <c r="B5237" i="2"/>
  <c r="B5237" i="9" s="1"/>
  <c r="A5237" i="2"/>
  <c r="A5237" i="9" s="1"/>
  <c r="B5236" i="2"/>
  <c r="B5236" i="9" s="1"/>
  <c r="A5236" i="2"/>
  <c r="A5236" i="9" s="1"/>
  <c r="B5235" i="2"/>
  <c r="B5235" i="9" s="1"/>
  <c r="A5235" i="2"/>
  <c r="A5235" i="9" s="1"/>
  <c r="B5234" i="2"/>
  <c r="B5234" i="9" s="1"/>
  <c r="A5234" i="2"/>
  <c r="A5234" i="9" s="1"/>
  <c r="B5233" i="2"/>
  <c r="B5233" i="9" s="1"/>
  <c r="A5233" i="2"/>
  <c r="A5233" i="9" s="1"/>
  <c r="B5232" i="2"/>
  <c r="B5232" i="9" s="1"/>
  <c r="A5232" i="2"/>
  <c r="A5232" i="9" s="1"/>
  <c r="B5231" i="2"/>
  <c r="B5231" i="9" s="1"/>
  <c r="A5231" i="2"/>
  <c r="A5231" i="9" s="1"/>
  <c r="B5230" i="2"/>
  <c r="B5230" i="9" s="1"/>
  <c r="A5230" i="2"/>
  <c r="A5230" i="9" s="1"/>
  <c r="B5229" i="2"/>
  <c r="B5229" i="9" s="1"/>
  <c r="A5229" i="2"/>
  <c r="A5229" i="9" s="1"/>
  <c r="B5228" i="2"/>
  <c r="B5228" i="9" s="1"/>
  <c r="A5228" i="2"/>
  <c r="A5228" i="9" s="1"/>
  <c r="B5227" i="2"/>
  <c r="B5227" i="9" s="1"/>
  <c r="A5227" i="2"/>
  <c r="A5227" i="9" s="1"/>
  <c r="B5226" i="2"/>
  <c r="B5226" i="9" s="1"/>
  <c r="A5226" i="2"/>
  <c r="A5226" i="9" s="1"/>
  <c r="B5225" i="2"/>
  <c r="B5225" i="9" s="1"/>
  <c r="A5225" i="2"/>
  <c r="A5225" i="9" s="1"/>
  <c r="B5224" i="2"/>
  <c r="B5224" i="9" s="1"/>
  <c r="A5224" i="2"/>
  <c r="A5224" i="9" s="1"/>
  <c r="B5223" i="2"/>
  <c r="B5223" i="9" s="1"/>
  <c r="A5223" i="2"/>
  <c r="A5223" i="9" s="1"/>
  <c r="B5222" i="2"/>
  <c r="B5222" i="9" s="1"/>
  <c r="A5222" i="2"/>
  <c r="A5222" i="9" s="1"/>
  <c r="B5221" i="2"/>
  <c r="B5221" i="9" s="1"/>
  <c r="A5221" i="2"/>
  <c r="A5221" i="9" s="1"/>
  <c r="B5220" i="2"/>
  <c r="B5220" i="9" s="1"/>
  <c r="A5220" i="2"/>
  <c r="A5220" i="9" s="1"/>
  <c r="B5219" i="2"/>
  <c r="B5219" i="9" s="1"/>
  <c r="A5219" i="2"/>
  <c r="A5219" i="9" s="1"/>
  <c r="B5218" i="2"/>
  <c r="B5218" i="9" s="1"/>
  <c r="A5218" i="2"/>
  <c r="A5218" i="9" s="1"/>
  <c r="B5217" i="2"/>
  <c r="B5217" i="9" s="1"/>
  <c r="A5217" i="2"/>
  <c r="A5217" i="9" s="1"/>
  <c r="B5216" i="2"/>
  <c r="B5216" i="9" s="1"/>
  <c r="A5216" i="2"/>
  <c r="A5216" i="9" s="1"/>
  <c r="B5215" i="2"/>
  <c r="B5215" i="9" s="1"/>
  <c r="A5215" i="2"/>
  <c r="A5215" i="9" s="1"/>
  <c r="B5214" i="2"/>
  <c r="B5214" i="9" s="1"/>
  <c r="A5214" i="2"/>
  <c r="A5214" i="9" s="1"/>
  <c r="B5213" i="2"/>
  <c r="B5213" i="9" s="1"/>
  <c r="A5213" i="2"/>
  <c r="A5213" i="9" s="1"/>
  <c r="B5212" i="2"/>
  <c r="B5212" i="9" s="1"/>
  <c r="A5212" i="2"/>
  <c r="A5212" i="9" s="1"/>
  <c r="B5211" i="2"/>
  <c r="B5211" i="9" s="1"/>
  <c r="A5211" i="2"/>
  <c r="A5211" i="9" s="1"/>
  <c r="B5210" i="2"/>
  <c r="B5210" i="9" s="1"/>
  <c r="A5210" i="2"/>
  <c r="A5210" i="9" s="1"/>
  <c r="B5209" i="2"/>
  <c r="B5209" i="9" s="1"/>
  <c r="A5209" i="2"/>
  <c r="A5209" i="9" s="1"/>
  <c r="B5208" i="2"/>
  <c r="B5208" i="9" s="1"/>
  <c r="A5208" i="2"/>
  <c r="A5208" i="9" s="1"/>
  <c r="B5207" i="2"/>
  <c r="B5207" i="9" s="1"/>
  <c r="A5207" i="2"/>
  <c r="A5207" i="9" s="1"/>
  <c r="B5206" i="2"/>
  <c r="B5206" i="9" s="1"/>
  <c r="A5206" i="2"/>
  <c r="A5206" i="9" s="1"/>
  <c r="B5205" i="2"/>
  <c r="B5205" i="9" s="1"/>
  <c r="A5205" i="2"/>
  <c r="A5205" i="9" s="1"/>
  <c r="B5204" i="2"/>
  <c r="B5204" i="9" s="1"/>
  <c r="A5204" i="2"/>
  <c r="A5204" i="9" s="1"/>
  <c r="B5203" i="2"/>
  <c r="B5203" i="9" s="1"/>
  <c r="A5203" i="2"/>
  <c r="A5203" i="9" s="1"/>
  <c r="B5202" i="2"/>
  <c r="B5202" i="9" s="1"/>
  <c r="A5202" i="2"/>
  <c r="A5202" i="9" s="1"/>
  <c r="B5201" i="2"/>
  <c r="B5201" i="9" s="1"/>
  <c r="A5201" i="2"/>
  <c r="A5201" i="9" s="1"/>
  <c r="B5200" i="2"/>
  <c r="B5200" i="9" s="1"/>
  <c r="A5200" i="2"/>
  <c r="A5200" i="9" s="1"/>
  <c r="B5199" i="2"/>
  <c r="B5199" i="9" s="1"/>
  <c r="A5199" i="2"/>
  <c r="A5199" i="9" s="1"/>
  <c r="B5198" i="2"/>
  <c r="B5198" i="9" s="1"/>
  <c r="A5198" i="2"/>
  <c r="A5198" i="9" s="1"/>
  <c r="B5197" i="2"/>
  <c r="B5197" i="9" s="1"/>
  <c r="A5197" i="2"/>
  <c r="A5197" i="9" s="1"/>
  <c r="B5196" i="2"/>
  <c r="B5196" i="9" s="1"/>
  <c r="A5196" i="2"/>
  <c r="A5196" i="9" s="1"/>
  <c r="B5195" i="2"/>
  <c r="B5195" i="9" s="1"/>
  <c r="A5195" i="2"/>
  <c r="A5195" i="9" s="1"/>
  <c r="B5194" i="2"/>
  <c r="B5194" i="9" s="1"/>
  <c r="A5194" i="2"/>
  <c r="A5194" i="9" s="1"/>
  <c r="B5193" i="2"/>
  <c r="B5193" i="9" s="1"/>
  <c r="A5193" i="2"/>
  <c r="A5193" i="9" s="1"/>
  <c r="B5192" i="2"/>
  <c r="B5192" i="9" s="1"/>
  <c r="A5192" i="2"/>
  <c r="A5192" i="9" s="1"/>
  <c r="B5191" i="2"/>
  <c r="B5191" i="9" s="1"/>
  <c r="A5191" i="2"/>
  <c r="A5191" i="9" s="1"/>
  <c r="B5190" i="2"/>
  <c r="B5190" i="9" s="1"/>
  <c r="A5190" i="2"/>
  <c r="A5190" i="9" s="1"/>
  <c r="B5189" i="2"/>
  <c r="B5189" i="9" s="1"/>
  <c r="A5189" i="2"/>
  <c r="A5189" i="9" s="1"/>
  <c r="B5188" i="2"/>
  <c r="B5188" i="9" s="1"/>
  <c r="A5188" i="2"/>
  <c r="A5188" i="9" s="1"/>
  <c r="B5187" i="2"/>
  <c r="B5187" i="9" s="1"/>
  <c r="A5187" i="2"/>
  <c r="A5187" i="9" s="1"/>
  <c r="B5186" i="2"/>
  <c r="B5186" i="9" s="1"/>
  <c r="A5186" i="2"/>
  <c r="A5186" i="9" s="1"/>
  <c r="B5185" i="2"/>
  <c r="B5185" i="9" s="1"/>
  <c r="A5185" i="2"/>
  <c r="A5185" i="9" s="1"/>
  <c r="B5184" i="2"/>
  <c r="B5184" i="9" s="1"/>
  <c r="A5184" i="2"/>
  <c r="A5184" i="9" s="1"/>
  <c r="B5183" i="2"/>
  <c r="B5183" i="9" s="1"/>
  <c r="A5183" i="2"/>
  <c r="A5183" i="9" s="1"/>
  <c r="B5182" i="2"/>
  <c r="B5182" i="9" s="1"/>
  <c r="A5182" i="2"/>
  <c r="A5182" i="9" s="1"/>
  <c r="B5181" i="2"/>
  <c r="B5181" i="9" s="1"/>
  <c r="A5181" i="2"/>
  <c r="A5181" i="9" s="1"/>
  <c r="B5180" i="2"/>
  <c r="B5180" i="9" s="1"/>
  <c r="A5180" i="2"/>
  <c r="A5180" i="9" s="1"/>
  <c r="B5179" i="2"/>
  <c r="B5179" i="9" s="1"/>
  <c r="A5179" i="2"/>
  <c r="A5179" i="9" s="1"/>
  <c r="B5178" i="2"/>
  <c r="B5178" i="9" s="1"/>
  <c r="A5178" i="2"/>
  <c r="A5178" i="9" s="1"/>
  <c r="B5177" i="2"/>
  <c r="B5177" i="9" s="1"/>
  <c r="A5177" i="2"/>
  <c r="A5177" i="9" s="1"/>
  <c r="B5176" i="2"/>
  <c r="B5176" i="9" s="1"/>
  <c r="A5176" i="2"/>
  <c r="A5176" i="9" s="1"/>
  <c r="B5175" i="2"/>
  <c r="B5175" i="9" s="1"/>
  <c r="A5175" i="2"/>
  <c r="A5175" i="9" s="1"/>
  <c r="B5174" i="2"/>
  <c r="B5174" i="9" s="1"/>
  <c r="A5174" i="2"/>
  <c r="A5174" i="9" s="1"/>
  <c r="B5173" i="2"/>
  <c r="B5173" i="9" s="1"/>
  <c r="A5173" i="2"/>
  <c r="A5173" i="9" s="1"/>
  <c r="B5172" i="2"/>
  <c r="B5172" i="9" s="1"/>
  <c r="A5172" i="2"/>
  <c r="A5172" i="9" s="1"/>
  <c r="B5171" i="2"/>
  <c r="B5171" i="9" s="1"/>
  <c r="A5171" i="2"/>
  <c r="A5171" i="9" s="1"/>
  <c r="B5170" i="2"/>
  <c r="B5170" i="9" s="1"/>
  <c r="A5170" i="2"/>
  <c r="A5170" i="9" s="1"/>
  <c r="B5169" i="2"/>
  <c r="B5169" i="9" s="1"/>
  <c r="A5169" i="2"/>
  <c r="A5169" i="9" s="1"/>
  <c r="B5168" i="2"/>
  <c r="B5168" i="9" s="1"/>
  <c r="A5168" i="2"/>
  <c r="A5168" i="9" s="1"/>
  <c r="B5167" i="2"/>
  <c r="B5167" i="9" s="1"/>
  <c r="A5167" i="2"/>
  <c r="A5167" i="9" s="1"/>
  <c r="B5166" i="2"/>
  <c r="B5166" i="9" s="1"/>
  <c r="A5166" i="2"/>
  <c r="A5166" i="9" s="1"/>
  <c r="B5165" i="2"/>
  <c r="B5165" i="9" s="1"/>
  <c r="A5165" i="2"/>
  <c r="A5165" i="9" s="1"/>
  <c r="B5164" i="2"/>
  <c r="B5164" i="9" s="1"/>
  <c r="A5164" i="2"/>
  <c r="A5164" i="9" s="1"/>
  <c r="B5163" i="2"/>
  <c r="B5163" i="9" s="1"/>
  <c r="A5163" i="2"/>
  <c r="A5163" i="9" s="1"/>
  <c r="B5162" i="2"/>
  <c r="B5162" i="9" s="1"/>
  <c r="A5162" i="2"/>
  <c r="A5162" i="9" s="1"/>
  <c r="B5161" i="2"/>
  <c r="B5161" i="9" s="1"/>
  <c r="A5161" i="2"/>
  <c r="A5161" i="9" s="1"/>
  <c r="B5160" i="2"/>
  <c r="B5160" i="9" s="1"/>
  <c r="A5160" i="2"/>
  <c r="A5160" i="9" s="1"/>
  <c r="B5159" i="2"/>
  <c r="B5159" i="9" s="1"/>
  <c r="A5159" i="2"/>
  <c r="A5159" i="9" s="1"/>
  <c r="B5158" i="2"/>
  <c r="B5158" i="9" s="1"/>
  <c r="A5158" i="2"/>
  <c r="A5158" i="9" s="1"/>
  <c r="B5157" i="2"/>
  <c r="B5157" i="9" s="1"/>
  <c r="A5157" i="2"/>
  <c r="A5157" i="9" s="1"/>
  <c r="B5156" i="2"/>
  <c r="B5156" i="9" s="1"/>
  <c r="A5156" i="2"/>
  <c r="A5156" i="9" s="1"/>
  <c r="B5155" i="2"/>
  <c r="B5155" i="9" s="1"/>
  <c r="A5155" i="2"/>
  <c r="A5155" i="9" s="1"/>
  <c r="B5154" i="2"/>
  <c r="B5154" i="9" s="1"/>
  <c r="A5154" i="2"/>
  <c r="A5154" i="9" s="1"/>
  <c r="B5153" i="2"/>
  <c r="B5153" i="9" s="1"/>
  <c r="A5153" i="2"/>
  <c r="A5153" i="9" s="1"/>
  <c r="B5152" i="2"/>
  <c r="B5152" i="9" s="1"/>
  <c r="A5152" i="2"/>
  <c r="A5152" i="9" s="1"/>
  <c r="B5151" i="2"/>
  <c r="B5151" i="9" s="1"/>
  <c r="A5151" i="2"/>
  <c r="A5151" i="9" s="1"/>
  <c r="B5150" i="2"/>
  <c r="B5150" i="9" s="1"/>
  <c r="A5150" i="2"/>
  <c r="A5150" i="9" s="1"/>
  <c r="B5149" i="2"/>
  <c r="B5149" i="9" s="1"/>
  <c r="A5149" i="2"/>
  <c r="A5149" i="9" s="1"/>
  <c r="B5148" i="2"/>
  <c r="B5148" i="9" s="1"/>
  <c r="A5148" i="2"/>
  <c r="A5148" i="9" s="1"/>
  <c r="B5147" i="2"/>
  <c r="B5147" i="9" s="1"/>
  <c r="A5147" i="2"/>
  <c r="A5147" i="9" s="1"/>
  <c r="B5146" i="2"/>
  <c r="B5146" i="9" s="1"/>
  <c r="A5146" i="2"/>
  <c r="A5146" i="9" s="1"/>
  <c r="B5145" i="2"/>
  <c r="B5145" i="9" s="1"/>
  <c r="A5145" i="2"/>
  <c r="A5145" i="9" s="1"/>
  <c r="B5144" i="2"/>
  <c r="B5144" i="9" s="1"/>
  <c r="A5144" i="2"/>
  <c r="A5144" i="9" s="1"/>
  <c r="B5143" i="2"/>
  <c r="B5143" i="9" s="1"/>
  <c r="A5143" i="2"/>
  <c r="A5143" i="9" s="1"/>
  <c r="B5142" i="2"/>
  <c r="B5142" i="9" s="1"/>
  <c r="A5142" i="2"/>
  <c r="A5142" i="9" s="1"/>
  <c r="B5141" i="2"/>
  <c r="B5141" i="9" s="1"/>
  <c r="A5141" i="2"/>
  <c r="A5141" i="9" s="1"/>
  <c r="B5140" i="2"/>
  <c r="B5140" i="9" s="1"/>
  <c r="A5140" i="2"/>
  <c r="A5140" i="9" s="1"/>
  <c r="B5139" i="2"/>
  <c r="B5139" i="9" s="1"/>
  <c r="A5139" i="2"/>
  <c r="A5139" i="9" s="1"/>
  <c r="B5138" i="2"/>
  <c r="B5138" i="9" s="1"/>
  <c r="A5138" i="2"/>
  <c r="A5138" i="9" s="1"/>
  <c r="B5137" i="2"/>
  <c r="B5137" i="9" s="1"/>
  <c r="A5137" i="2"/>
  <c r="A5137" i="9" s="1"/>
  <c r="B5136" i="2"/>
  <c r="B5136" i="9" s="1"/>
  <c r="A5136" i="2"/>
  <c r="A5136" i="9" s="1"/>
  <c r="B5135" i="2"/>
  <c r="B5135" i="9" s="1"/>
  <c r="A5135" i="2"/>
  <c r="A5135" i="9" s="1"/>
  <c r="B5134" i="2"/>
  <c r="B5134" i="9" s="1"/>
  <c r="A5134" i="2"/>
  <c r="A5134" i="9" s="1"/>
  <c r="B5133" i="2"/>
  <c r="B5133" i="9" s="1"/>
  <c r="A5133" i="2"/>
  <c r="A5133" i="9" s="1"/>
  <c r="B5132" i="2"/>
  <c r="B5132" i="9" s="1"/>
  <c r="A5132" i="2"/>
  <c r="A5132" i="9" s="1"/>
  <c r="B5131" i="2"/>
  <c r="B5131" i="9" s="1"/>
  <c r="A5131" i="2"/>
  <c r="A5131" i="9" s="1"/>
  <c r="B5130" i="2"/>
  <c r="B5130" i="9" s="1"/>
  <c r="A5130" i="2"/>
  <c r="A5130" i="9" s="1"/>
  <c r="B5129" i="2"/>
  <c r="B5129" i="9" s="1"/>
  <c r="A5129" i="2"/>
  <c r="A5129" i="9" s="1"/>
  <c r="B5128" i="2"/>
  <c r="B5128" i="9" s="1"/>
  <c r="A5128" i="2"/>
  <c r="A5128" i="9" s="1"/>
  <c r="B5127" i="2"/>
  <c r="B5127" i="9" s="1"/>
  <c r="A5127" i="2"/>
  <c r="A5127" i="9" s="1"/>
  <c r="B5126" i="2"/>
  <c r="B5126" i="9" s="1"/>
  <c r="A5126" i="2"/>
  <c r="A5126" i="9" s="1"/>
  <c r="B5125" i="2"/>
  <c r="B5125" i="9" s="1"/>
  <c r="A5125" i="2"/>
  <c r="A5125" i="9" s="1"/>
  <c r="B5124" i="2"/>
  <c r="B5124" i="9" s="1"/>
  <c r="A5124" i="2"/>
  <c r="A5124" i="9" s="1"/>
  <c r="B5123" i="2"/>
  <c r="B5123" i="9" s="1"/>
  <c r="A5123" i="2"/>
  <c r="A5123" i="9" s="1"/>
  <c r="B5122" i="2"/>
  <c r="B5122" i="9" s="1"/>
  <c r="A5122" i="2"/>
  <c r="A5122" i="9" s="1"/>
  <c r="B5121" i="2"/>
  <c r="B5121" i="9" s="1"/>
  <c r="A5121" i="2"/>
  <c r="A5121" i="9" s="1"/>
  <c r="B5120" i="2"/>
  <c r="B5120" i="9" s="1"/>
  <c r="A5120" i="2"/>
  <c r="A5120" i="9" s="1"/>
  <c r="B5119" i="2"/>
  <c r="B5119" i="9" s="1"/>
  <c r="A5119" i="2"/>
  <c r="A5119" i="9" s="1"/>
  <c r="B5118" i="2"/>
  <c r="B5118" i="9" s="1"/>
  <c r="A5118" i="2"/>
  <c r="A5118" i="9" s="1"/>
  <c r="B5117" i="2"/>
  <c r="B5117" i="9" s="1"/>
  <c r="A5117" i="2"/>
  <c r="A5117" i="9" s="1"/>
  <c r="B5116" i="2"/>
  <c r="B5116" i="9" s="1"/>
  <c r="A5116" i="2"/>
  <c r="A5116" i="9" s="1"/>
  <c r="B5115" i="2"/>
  <c r="B5115" i="9" s="1"/>
  <c r="A5115" i="2"/>
  <c r="A5115" i="9" s="1"/>
  <c r="B5114" i="2"/>
  <c r="B5114" i="9" s="1"/>
  <c r="A5114" i="2"/>
  <c r="A5114" i="9" s="1"/>
  <c r="B5113" i="2"/>
  <c r="B5113" i="9" s="1"/>
  <c r="A5113" i="2"/>
  <c r="A5113" i="9" s="1"/>
  <c r="B5112" i="2"/>
  <c r="B5112" i="9" s="1"/>
  <c r="A5112" i="2"/>
  <c r="A5112" i="9" s="1"/>
  <c r="B5111" i="2"/>
  <c r="B5111" i="9" s="1"/>
  <c r="A5111" i="2"/>
  <c r="A5111" i="9" s="1"/>
  <c r="B5110" i="2"/>
  <c r="B5110" i="9" s="1"/>
  <c r="A5110" i="2"/>
  <c r="A5110" i="9" s="1"/>
  <c r="B5109" i="2"/>
  <c r="B5109" i="9" s="1"/>
  <c r="A5109" i="2"/>
  <c r="A5109" i="9" s="1"/>
  <c r="B5108" i="2"/>
  <c r="B5108" i="9" s="1"/>
  <c r="A5108" i="2"/>
  <c r="A5108" i="9" s="1"/>
  <c r="B5107" i="2"/>
  <c r="B5107" i="9" s="1"/>
  <c r="A5107" i="2"/>
  <c r="A5107" i="9" s="1"/>
  <c r="B5106" i="2"/>
  <c r="B5106" i="9" s="1"/>
  <c r="A5106" i="2"/>
  <c r="A5106" i="9" s="1"/>
  <c r="B5105" i="2"/>
  <c r="B5105" i="9" s="1"/>
  <c r="A5105" i="2"/>
  <c r="A5105" i="9" s="1"/>
  <c r="B5104" i="2"/>
  <c r="B5104" i="9" s="1"/>
  <c r="A5104" i="2"/>
  <c r="A5104" i="9" s="1"/>
  <c r="B5103" i="2"/>
  <c r="B5103" i="9" s="1"/>
  <c r="A5103" i="2"/>
  <c r="A5103" i="9" s="1"/>
  <c r="B5102" i="2"/>
  <c r="B5102" i="9" s="1"/>
  <c r="A5102" i="2"/>
  <c r="A5102" i="9" s="1"/>
  <c r="B5101" i="2"/>
  <c r="B5101" i="9" s="1"/>
  <c r="A5101" i="2"/>
  <c r="A5101" i="9" s="1"/>
  <c r="B5100" i="2"/>
  <c r="B5100" i="9" s="1"/>
  <c r="A5100" i="2"/>
  <c r="A5100" i="9" s="1"/>
  <c r="B5099" i="2"/>
  <c r="B5099" i="9" s="1"/>
  <c r="A5099" i="2"/>
  <c r="A5099" i="9" s="1"/>
  <c r="B5098" i="2"/>
  <c r="B5098" i="9" s="1"/>
  <c r="A5098" i="2"/>
  <c r="A5098" i="9" s="1"/>
  <c r="B5097" i="2"/>
  <c r="B5097" i="9" s="1"/>
  <c r="A5097" i="2"/>
  <c r="A5097" i="9" s="1"/>
  <c r="B5096" i="2"/>
  <c r="B5096" i="9" s="1"/>
  <c r="A5096" i="2"/>
  <c r="A5096" i="9" s="1"/>
  <c r="B5095" i="2"/>
  <c r="B5095" i="9" s="1"/>
  <c r="A5095" i="2"/>
  <c r="A5095" i="9" s="1"/>
  <c r="B5094" i="2"/>
  <c r="B5094" i="9" s="1"/>
  <c r="A5094" i="2"/>
  <c r="A5094" i="9" s="1"/>
  <c r="B5093" i="2"/>
  <c r="B5093" i="9" s="1"/>
  <c r="A5093" i="2"/>
  <c r="A5093" i="9" s="1"/>
  <c r="B5092" i="2"/>
  <c r="B5092" i="9" s="1"/>
  <c r="A5092" i="2"/>
  <c r="A5092" i="9" s="1"/>
  <c r="B5091" i="2"/>
  <c r="B5091" i="9" s="1"/>
  <c r="A5091" i="2"/>
  <c r="A5091" i="9" s="1"/>
  <c r="B5090" i="2"/>
  <c r="B5090" i="9" s="1"/>
  <c r="A5090" i="2"/>
  <c r="A5090" i="9" s="1"/>
  <c r="B5089" i="2"/>
  <c r="B5089" i="9" s="1"/>
  <c r="A5089" i="2"/>
  <c r="A5089" i="9" s="1"/>
  <c r="B5088" i="2"/>
  <c r="B5088" i="9" s="1"/>
  <c r="A5088" i="2"/>
  <c r="A5088" i="9" s="1"/>
  <c r="B5087" i="2"/>
  <c r="B5087" i="9" s="1"/>
  <c r="A5087" i="2"/>
  <c r="A5087" i="9" s="1"/>
  <c r="B5086" i="2"/>
  <c r="B5086" i="9" s="1"/>
  <c r="A5086" i="2"/>
  <c r="A5086" i="9" s="1"/>
  <c r="B5085" i="2"/>
  <c r="B5085" i="9" s="1"/>
  <c r="A5085" i="2"/>
  <c r="A5085" i="9" s="1"/>
  <c r="B5084" i="2"/>
  <c r="B5084" i="9" s="1"/>
  <c r="A5084" i="2"/>
  <c r="A5084" i="9" s="1"/>
  <c r="B5083" i="2"/>
  <c r="B5083" i="9" s="1"/>
  <c r="A5083" i="2"/>
  <c r="A5083" i="9" s="1"/>
  <c r="B5082" i="2"/>
  <c r="B5082" i="9" s="1"/>
  <c r="A5082" i="2"/>
  <c r="A5082" i="9" s="1"/>
  <c r="B5081" i="2"/>
  <c r="B5081" i="9" s="1"/>
  <c r="A5081" i="2"/>
  <c r="A5081" i="9" s="1"/>
  <c r="B5080" i="2"/>
  <c r="B5080" i="9" s="1"/>
  <c r="A5080" i="2"/>
  <c r="A5080" i="9" s="1"/>
  <c r="B5079" i="2"/>
  <c r="B5079" i="9" s="1"/>
  <c r="A5079" i="2"/>
  <c r="A5079" i="9" s="1"/>
  <c r="B5078" i="2"/>
  <c r="B5078" i="9" s="1"/>
  <c r="A5078" i="2"/>
  <c r="A5078" i="9" s="1"/>
  <c r="B5077" i="2"/>
  <c r="B5077" i="9" s="1"/>
  <c r="A5077" i="2"/>
  <c r="A5077" i="9" s="1"/>
  <c r="B5076" i="2"/>
  <c r="B5076" i="9" s="1"/>
  <c r="A5076" i="2"/>
  <c r="A5076" i="9" s="1"/>
  <c r="B5075" i="2"/>
  <c r="B5075" i="9" s="1"/>
  <c r="A5075" i="2"/>
  <c r="A5075" i="9" s="1"/>
  <c r="B5074" i="2"/>
  <c r="B5074" i="9" s="1"/>
  <c r="A5074" i="2"/>
  <c r="A5074" i="9" s="1"/>
  <c r="B5073" i="2"/>
  <c r="B5073" i="9" s="1"/>
  <c r="A5073" i="2"/>
  <c r="A5073" i="9" s="1"/>
  <c r="B5072" i="2"/>
  <c r="B5072" i="9" s="1"/>
  <c r="A5072" i="2"/>
  <c r="A5072" i="9" s="1"/>
  <c r="B5071" i="2"/>
  <c r="B5071" i="9" s="1"/>
  <c r="A5071" i="2"/>
  <c r="A5071" i="9" s="1"/>
  <c r="B5070" i="2"/>
  <c r="B5070" i="9" s="1"/>
  <c r="A5070" i="2"/>
  <c r="A5070" i="9" s="1"/>
  <c r="B5069" i="2"/>
  <c r="B5069" i="9" s="1"/>
  <c r="A5069" i="2"/>
  <c r="A5069" i="9" s="1"/>
  <c r="B5068" i="2"/>
  <c r="B5068" i="9" s="1"/>
  <c r="A5068" i="2"/>
  <c r="A5068" i="9" s="1"/>
  <c r="B5067" i="2"/>
  <c r="B5067" i="9" s="1"/>
  <c r="A5067" i="2"/>
  <c r="A5067" i="9" s="1"/>
  <c r="B5066" i="2"/>
  <c r="B5066" i="9" s="1"/>
  <c r="A5066" i="2"/>
  <c r="A5066" i="9" s="1"/>
  <c r="B5065" i="2"/>
  <c r="B5065" i="9" s="1"/>
  <c r="A5065" i="2"/>
  <c r="A5065" i="9" s="1"/>
  <c r="B5064" i="2"/>
  <c r="B5064" i="9" s="1"/>
  <c r="A5064" i="2"/>
  <c r="A5064" i="9" s="1"/>
  <c r="B5063" i="2"/>
  <c r="B5063" i="9" s="1"/>
  <c r="A5063" i="2"/>
  <c r="A5063" i="9" s="1"/>
  <c r="B5062" i="2"/>
  <c r="B5062" i="9" s="1"/>
  <c r="A5062" i="2"/>
  <c r="A5062" i="9" s="1"/>
  <c r="B5061" i="2"/>
  <c r="B5061" i="9" s="1"/>
  <c r="A5061" i="2"/>
  <c r="A5061" i="9" s="1"/>
  <c r="B5060" i="2"/>
  <c r="B5060" i="9" s="1"/>
  <c r="A5060" i="2"/>
  <c r="A5060" i="9" s="1"/>
  <c r="B5059" i="2"/>
  <c r="B5059" i="9" s="1"/>
  <c r="A5059" i="2"/>
  <c r="A5059" i="9" s="1"/>
  <c r="B5058" i="2"/>
  <c r="B5058" i="9" s="1"/>
  <c r="A5058" i="2"/>
  <c r="A5058" i="9" s="1"/>
  <c r="B5057" i="2"/>
  <c r="B5057" i="9" s="1"/>
  <c r="A5057" i="2"/>
  <c r="A5057" i="9" s="1"/>
  <c r="B5056" i="2"/>
  <c r="B5056" i="9" s="1"/>
  <c r="A5056" i="2"/>
  <c r="A5056" i="9" s="1"/>
  <c r="B5055" i="2"/>
  <c r="B5055" i="9" s="1"/>
  <c r="A5055" i="2"/>
  <c r="A5055" i="9" s="1"/>
  <c r="B5054" i="2"/>
  <c r="B5054" i="9" s="1"/>
  <c r="A5054" i="2"/>
  <c r="A5054" i="9" s="1"/>
  <c r="B5053" i="2"/>
  <c r="B5053" i="9" s="1"/>
  <c r="A5053" i="2"/>
  <c r="A5053" i="9" s="1"/>
  <c r="B5052" i="2"/>
  <c r="B5052" i="9" s="1"/>
  <c r="A5052" i="2"/>
  <c r="A5052" i="9" s="1"/>
  <c r="B5051" i="2"/>
  <c r="B5051" i="9" s="1"/>
  <c r="A5051" i="2"/>
  <c r="A5051" i="9" s="1"/>
  <c r="B5050" i="2"/>
  <c r="B5050" i="9" s="1"/>
  <c r="A5050" i="2"/>
  <c r="A5050" i="9" s="1"/>
  <c r="B5049" i="2"/>
  <c r="B5049" i="9" s="1"/>
  <c r="A5049" i="2"/>
  <c r="A5049" i="9" s="1"/>
  <c r="B5048" i="2"/>
  <c r="B5048" i="9" s="1"/>
  <c r="A5048" i="2"/>
  <c r="A5048" i="9" s="1"/>
  <c r="B5047" i="2"/>
  <c r="B5047" i="9" s="1"/>
  <c r="A5047" i="2"/>
  <c r="A5047" i="9" s="1"/>
  <c r="B5046" i="2"/>
  <c r="B5046" i="9" s="1"/>
  <c r="A5046" i="2"/>
  <c r="A5046" i="9" s="1"/>
  <c r="B5045" i="2"/>
  <c r="B5045" i="9" s="1"/>
  <c r="A5045" i="2"/>
  <c r="A5045" i="9" s="1"/>
  <c r="B5044" i="2"/>
  <c r="B5044" i="9" s="1"/>
  <c r="A5044" i="2"/>
  <c r="A5044" i="9" s="1"/>
  <c r="B5043" i="2"/>
  <c r="B5043" i="9" s="1"/>
  <c r="A5043" i="2"/>
  <c r="A5043" i="9" s="1"/>
  <c r="B5042" i="2"/>
  <c r="B5042" i="9" s="1"/>
  <c r="A5042" i="2"/>
  <c r="A5042" i="9" s="1"/>
  <c r="B5041" i="2"/>
  <c r="B5041" i="9" s="1"/>
  <c r="A5041" i="2"/>
  <c r="A5041" i="9" s="1"/>
  <c r="B5040" i="2"/>
  <c r="B5040" i="9" s="1"/>
  <c r="A5040" i="2"/>
  <c r="A5040" i="9" s="1"/>
  <c r="B5039" i="2"/>
  <c r="B5039" i="9" s="1"/>
  <c r="A5039" i="2"/>
  <c r="A5039" i="9" s="1"/>
  <c r="B5038" i="2"/>
  <c r="B5038" i="9" s="1"/>
  <c r="A5038" i="2"/>
  <c r="A5038" i="9" s="1"/>
  <c r="B5037" i="2"/>
  <c r="B5037" i="9" s="1"/>
  <c r="A5037" i="2"/>
  <c r="A5037" i="9" s="1"/>
  <c r="B5036" i="2"/>
  <c r="B5036" i="9" s="1"/>
  <c r="A5036" i="2"/>
  <c r="A5036" i="9" s="1"/>
  <c r="B5035" i="2"/>
  <c r="B5035" i="9" s="1"/>
  <c r="A5035" i="2"/>
  <c r="A5035" i="9" s="1"/>
  <c r="B5034" i="2"/>
  <c r="B5034" i="9" s="1"/>
  <c r="A5034" i="2"/>
  <c r="A5034" i="9" s="1"/>
  <c r="B5033" i="2"/>
  <c r="B5033" i="9" s="1"/>
  <c r="A5033" i="2"/>
  <c r="A5033" i="9" s="1"/>
  <c r="B5032" i="2"/>
  <c r="B5032" i="9" s="1"/>
  <c r="A5032" i="2"/>
  <c r="A5032" i="9" s="1"/>
  <c r="B5031" i="2"/>
  <c r="B5031" i="9" s="1"/>
  <c r="A5031" i="2"/>
  <c r="A5031" i="9" s="1"/>
  <c r="B5030" i="2"/>
  <c r="B5030" i="9" s="1"/>
  <c r="A5030" i="2"/>
  <c r="A5030" i="9" s="1"/>
  <c r="B5029" i="2"/>
  <c r="B5029" i="9" s="1"/>
  <c r="A5029" i="2"/>
  <c r="A5029" i="9" s="1"/>
  <c r="B5028" i="2"/>
  <c r="B5028" i="9" s="1"/>
  <c r="A5028" i="2"/>
  <c r="A5028" i="9" s="1"/>
  <c r="B5027" i="2"/>
  <c r="B5027" i="9" s="1"/>
  <c r="A5027" i="2"/>
  <c r="A5027" i="9" s="1"/>
  <c r="B5026" i="2"/>
  <c r="B5026" i="9" s="1"/>
  <c r="A5026" i="2"/>
  <c r="A5026" i="9" s="1"/>
  <c r="B5025" i="2"/>
  <c r="B5025" i="9" s="1"/>
  <c r="A5025" i="2"/>
  <c r="A5025" i="9" s="1"/>
  <c r="B5024" i="2"/>
  <c r="B5024" i="9" s="1"/>
  <c r="A5024" i="2"/>
  <c r="A5024" i="9" s="1"/>
  <c r="B5023" i="2"/>
  <c r="B5023" i="9" s="1"/>
  <c r="A5023" i="2"/>
  <c r="A5023" i="9" s="1"/>
  <c r="B5022" i="2"/>
  <c r="B5022" i="9" s="1"/>
  <c r="A5022" i="2"/>
  <c r="A5022" i="9" s="1"/>
  <c r="B5021" i="2"/>
  <c r="B5021" i="9" s="1"/>
  <c r="A5021" i="2"/>
  <c r="A5021" i="9" s="1"/>
  <c r="B5020" i="2"/>
  <c r="B5020" i="9" s="1"/>
  <c r="A5020" i="2"/>
  <c r="A5020" i="9" s="1"/>
  <c r="B5019" i="2"/>
  <c r="B5019" i="9" s="1"/>
  <c r="A5019" i="2"/>
  <c r="A5019" i="9" s="1"/>
  <c r="B5018" i="2"/>
  <c r="B5018" i="9" s="1"/>
  <c r="A5018" i="2"/>
  <c r="A5018" i="9" s="1"/>
  <c r="B5017" i="2"/>
  <c r="B5017" i="9" s="1"/>
  <c r="A5017" i="2"/>
  <c r="A5017" i="9" s="1"/>
  <c r="B5016" i="2"/>
  <c r="B5016" i="9" s="1"/>
  <c r="A5016" i="2"/>
  <c r="A5016" i="9" s="1"/>
  <c r="B5015" i="2"/>
  <c r="B5015" i="9" s="1"/>
  <c r="A5015" i="2"/>
  <c r="A5015" i="9" s="1"/>
  <c r="B5014" i="2"/>
  <c r="B5014" i="9" s="1"/>
  <c r="A5014" i="2"/>
  <c r="A5014" i="9" s="1"/>
  <c r="B5013" i="2"/>
  <c r="B5013" i="9" s="1"/>
  <c r="A5013" i="2"/>
  <c r="A5013" i="9" s="1"/>
  <c r="B5012" i="2"/>
  <c r="B5012" i="9" s="1"/>
  <c r="A5012" i="2"/>
  <c r="A5012" i="9" s="1"/>
  <c r="B5011" i="2"/>
  <c r="B5011" i="9" s="1"/>
  <c r="A5011" i="2"/>
  <c r="A5011" i="9" s="1"/>
  <c r="B5010" i="2"/>
  <c r="B5010" i="9" s="1"/>
  <c r="A5010" i="2"/>
  <c r="A5010" i="9" s="1"/>
  <c r="B5009" i="2"/>
  <c r="B5009" i="9" s="1"/>
  <c r="A5009" i="2"/>
  <c r="A5009" i="9" s="1"/>
  <c r="B5008" i="2"/>
  <c r="B5008" i="9" s="1"/>
  <c r="A5008" i="2"/>
  <c r="A5008" i="9" s="1"/>
  <c r="B5007" i="2"/>
  <c r="B5007" i="9" s="1"/>
  <c r="A5007" i="2"/>
  <c r="A5007" i="9" s="1"/>
  <c r="B5006" i="2"/>
  <c r="B5006" i="9" s="1"/>
  <c r="A5006" i="2"/>
  <c r="A5006" i="9" s="1"/>
  <c r="B5005" i="2"/>
  <c r="B5005" i="9" s="1"/>
  <c r="A5005" i="2"/>
  <c r="A5005" i="9" s="1"/>
  <c r="B5004" i="2"/>
  <c r="B5004" i="9" s="1"/>
  <c r="A5004" i="2"/>
  <c r="A5004" i="9" s="1"/>
  <c r="B5003" i="2"/>
  <c r="B5003" i="9" s="1"/>
  <c r="A5003" i="2"/>
  <c r="A5003" i="9" s="1"/>
  <c r="B5002" i="2"/>
  <c r="B5002" i="9" s="1"/>
  <c r="A5002" i="2"/>
  <c r="A5002" i="9" s="1"/>
  <c r="B5001" i="2"/>
  <c r="B5001" i="9" s="1"/>
  <c r="A5001" i="2"/>
  <c r="A5001" i="9" s="1"/>
  <c r="B5000" i="2"/>
  <c r="B5000" i="9" s="1"/>
  <c r="A5000" i="2"/>
  <c r="A5000" i="9" s="1"/>
  <c r="B4999" i="2"/>
  <c r="B4999" i="9" s="1"/>
  <c r="A4999" i="2"/>
  <c r="A4999" i="9" s="1"/>
  <c r="B4998" i="2"/>
  <c r="B4998" i="9" s="1"/>
  <c r="A4998" i="2"/>
  <c r="A4998" i="9" s="1"/>
  <c r="B4997" i="2"/>
  <c r="B4997" i="9" s="1"/>
  <c r="A4997" i="2"/>
  <c r="A4997" i="9" s="1"/>
  <c r="B4996" i="2"/>
  <c r="B4996" i="9" s="1"/>
  <c r="A4996" i="2"/>
  <c r="A4996" i="9" s="1"/>
  <c r="B4995" i="2"/>
  <c r="B4995" i="9" s="1"/>
  <c r="A4995" i="2"/>
  <c r="A4995" i="9" s="1"/>
  <c r="B4994" i="2"/>
  <c r="B4994" i="9" s="1"/>
  <c r="A4994" i="2"/>
  <c r="A4994" i="9" s="1"/>
  <c r="B4993" i="2"/>
  <c r="B4993" i="9" s="1"/>
  <c r="A4993" i="2"/>
  <c r="A4993" i="9" s="1"/>
  <c r="B4992" i="2"/>
  <c r="B4992" i="9" s="1"/>
  <c r="A4992" i="2"/>
  <c r="A4992" i="9" s="1"/>
  <c r="B4991" i="2"/>
  <c r="B4991" i="9" s="1"/>
  <c r="A4991" i="2"/>
  <c r="A4991" i="9" s="1"/>
  <c r="B4990" i="2"/>
  <c r="B4990" i="9" s="1"/>
  <c r="A4990" i="2"/>
  <c r="A4990" i="9" s="1"/>
  <c r="B4989" i="2"/>
  <c r="B4989" i="9" s="1"/>
  <c r="A4989" i="2"/>
  <c r="A4989" i="9" s="1"/>
  <c r="B4988" i="2"/>
  <c r="B4988" i="9" s="1"/>
  <c r="A4988" i="2"/>
  <c r="A4988" i="9" s="1"/>
  <c r="B4987" i="2"/>
  <c r="B4987" i="9" s="1"/>
  <c r="A4987" i="2"/>
  <c r="A4987" i="9" s="1"/>
  <c r="B4986" i="2"/>
  <c r="B4986" i="9" s="1"/>
  <c r="A4986" i="2"/>
  <c r="A4986" i="9" s="1"/>
  <c r="B4985" i="2"/>
  <c r="B4985" i="9" s="1"/>
  <c r="A4985" i="2"/>
  <c r="A4985" i="9" s="1"/>
  <c r="B4984" i="2"/>
  <c r="B4984" i="9" s="1"/>
  <c r="A4984" i="2"/>
  <c r="A4984" i="9" s="1"/>
  <c r="B4983" i="2"/>
  <c r="B4983" i="9" s="1"/>
  <c r="A4983" i="2"/>
  <c r="A4983" i="9" s="1"/>
  <c r="B4982" i="2"/>
  <c r="B4982" i="9" s="1"/>
  <c r="A4982" i="2"/>
  <c r="A4982" i="9" s="1"/>
  <c r="B4981" i="2"/>
  <c r="B4981" i="9" s="1"/>
  <c r="A4981" i="2"/>
  <c r="A4981" i="9" s="1"/>
  <c r="B4980" i="2"/>
  <c r="B4980" i="9" s="1"/>
  <c r="A4980" i="2"/>
  <c r="A4980" i="9" s="1"/>
  <c r="B4979" i="2"/>
  <c r="B4979" i="9" s="1"/>
  <c r="A4979" i="2"/>
  <c r="A4979" i="9" s="1"/>
  <c r="B4978" i="2"/>
  <c r="B4978" i="9" s="1"/>
  <c r="A4978" i="2"/>
  <c r="A4978" i="9" s="1"/>
  <c r="B4977" i="2"/>
  <c r="B4977" i="9" s="1"/>
  <c r="A4977" i="2"/>
  <c r="A4977" i="9" s="1"/>
  <c r="B4976" i="2"/>
  <c r="B4976" i="9" s="1"/>
  <c r="A4976" i="2"/>
  <c r="A4976" i="9" s="1"/>
  <c r="B4975" i="2"/>
  <c r="B4975" i="9" s="1"/>
  <c r="A4975" i="2"/>
  <c r="A4975" i="9" s="1"/>
  <c r="B4974" i="2"/>
  <c r="B4974" i="9" s="1"/>
  <c r="A4974" i="2"/>
  <c r="A4974" i="9" s="1"/>
  <c r="B4973" i="2"/>
  <c r="B4973" i="9" s="1"/>
  <c r="A4973" i="2"/>
  <c r="A4973" i="9" s="1"/>
  <c r="B4972" i="2"/>
  <c r="B4972" i="9" s="1"/>
  <c r="A4972" i="2"/>
  <c r="A4972" i="9" s="1"/>
  <c r="B4971" i="2"/>
  <c r="B4971" i="9" s="1"/>
  <c r="A4971" i="2"/>
  <c r="A4971" i="9" s="1"/>
  <c r="B4970" i="2"/>
  <c r="B4970" i="9" s="1"/>
  <c r="A4970" i="2"/>
  <c r="A4970" i="9" s="1"/>
  <c r="B4969" i="2"/>
  <c r="B4969" i="9" s="1"/>
  <c r="A4969" i="2"/>
  <c r="A4969" i="9" s="1"/>
  <c r="B4968" i="2"/>
  <c r="B4968" i="9" s="1"/>
  <c r="A4968" i="2"/>
  <c r="A4968" i="9" s="1"/>
  <c r="B4967" i="2"/>
  <c r="B4967" i="9" s="1"/>
  <c r="A4967" i="2"/>
  <c r="A4967" i="9" s="1"/>
  <c r="B4966" i="2"/>
  <c r="B4966" i="9" s="1"/>
  <c r="A4966" i="2"/>
  <c r="A4966" i="9" s="1"/>
  <c r="B4965" i="2"/>
  <c r="B4965" i="9" s="1"/>
  <c r="A4965" i="2"/>
  <c r="A4965" i="9" s="1"/>
  <c r="B4964" i="2"/>
  <c r="B4964" i="9" s="1"/>
  <c r="A4964" i="2"/>
  <c r="A4964" i="9" s="1"/>
  <c r="B4963" i="2"/>
  <c r="B4963" i="9" s="1"/>
  <c r="A4963" i="2"/>
  <c r="A4963" i="9" s="1"/>
  <c r="B4962" i="2"/>
  <c r="B4962" i="9" s="1"/>
  <c r="A4962" i="2"/>
  <c r="A4962" i="9" s="1"/>
  <c r="B4961" i="2"/>
  <c r="B4961" i="9" s="1"/>
  <c r="A4961" i="2"/>
  <c r="A4961" i="9" s="1"/>
  <c r="B4960" i="2"/>
  <c r="B4960" i="9" s="1"/>
  <c r="A4960" i="2"/>
  <c r="A4960" i="9" s="1"/>
  <c r="B4959" i="2"/>
  <c r="B4959" i="9" s="1"/>
  <c r="A4959" i="2"/>
  <c r="A4959" i="9" s="1"/>
  <c r="B4958" i="2"/>
  <c r="B4958" i="9" s="1"/>
  <c r="A4958" i="2"/>
  <c r="A4958" i="9" s="1"/>
  <c r="B4957" i="2"/>
  <c r="B4957" i="9" s="1"/>
  <c r="A4957" i="2"/>
  <c r="A4957" i="9" s="1"/>
  <c r="B4956" i="2"/>
  <c r="B4956" i="9" s="1"/>
  <c r="A4956" i="2"/>
  <c r="A4956" i="9" s="1"/>
  <c r="B4955" i="2"/>
  <c r="B4955" i="9" s="1"/>
  <c r="A4955" i="2"/>
  <c r="A4955" i="9" s="1"/>
  <c r="B4954" i="2"/>
  <c r="B4954" i="9" s="1"/>
  <c r="A4954" i="2"/>
  <c r="A4954" i="9" s="1"/>
  <c r="B4953" i="2"/>
  <c r="B4953" i="9" s="1"/>
  <c r="A4953" i="2"/>
  <c r="A4953" i="9" s="1"/>
  <c r="B4952" i="2"/>
  <c r="B4952" i="9" s="1"/>
  <c r="A4952" i="2"/>
  <c r="A4952" i="9" s="1"/>
  <c r="B4951" i="2"/>
  <c r="B4951" i="9" s="1"/>
  <c r="A4951" i="2"/>
  <c r="A4951" i="9" s="1"/>
  <c r="B4950" i="2"/>
  <c r="B4950" i="9" s="1"/>
  <c r="A4950" i="2"/>
  <c r="A4950" i="9" s="1"/>
  <c r="B4949" i="2"/>
  <c r="B4949" i="9" s="1"/>
  <c r="A4949" i="2"/>
  <c r="A4949" i="9" s="1"/>
  <c r="B4948" i="2"/>
  <c r="B4948" i="9" s="1"/>
  <c r="A4948" i="2"/>
  <c r="A4948" i="9" s="1"/>
  <c r="B4947" i="2"/>
  <c r="B4947" i="9" s="1"/>
  <c r="A4947" i="2"/>
  <c r="A4947" i="9" s="1"/>
  <c r="B4946" i="2"/>
  <c r="B4946" i="9" s="1"/>
  <c r="A4946" i="2"/>
  <c r="A4946" i="9" s="1"/>
  <c r="B4945" i="2"/>
  <c r="B4945" i="9" s="1"/>
  <c r="A4945" i="2"/>
  <c r="A4945" i="9" s="1"/>
  <c r="B4944" i="2"/>
  <c r="B4944" i="9" s="1"/>
  <c r="A4944" i="2"/>
  <c r="A4944" i="9" s="1"/>
  <c r="B4943" i="2"/>
  <c r="B4943" i="9" s="1"/>
  <c r="A4943" i="2"/>
  <c r="A4943" i="9" s="1"/>
  <c r="B4942" i="2"/>
  <c r="B4942" i="9" s="1"/>
  <c r="A4942" i="2"/>
  <c r="A4942" i="9" s="1"/>
  <c r="B4941" i="2"/>
  <c r="B4941" i="9" s="1"/>
  <c r="A4941" i="2"/>
  <c r="A4941" i="9" s="1"/>
  <c r="B4940" i="2"/>
  <c r="B4940" i="9" s="1"/>
  <c r="A4940" i="2"/>
  <c r="A4940" i="9" s="1"/>
  <c r="B4939" i="2"/>
  <c r="B4939" i="9" s="1"/>
  <c r="A4939" i="2"/>
  <c r="A4939" i="9" s="1"/>
  <c r="B4938" i="2"/>
  <c r="B4938" i="9" s="1"/>
  <c r="A4938" i="2"/>
  <c r="A4938" i="9" s="1"/>
  <c r="B4937" i="2"/>
  <c r="B4937" i="9" s="1"/>
  <c r="A4937" i="2"/>
  <c r="A4937" i="9" s="1"/>
  <c r="B4936" i="2"/>
  <c r="B4936" i="9" s="1"/>
  <c r="A4936" i="2"/>
  <c r="A4936" i="9" s="1"/>
  <c r="B4935" i="2"/>
  <c r="B4935" i="9" s="1"/>
  <c r="A4935" i="2"/>
  <c r="A4935" i="9" s="1"/>
  <c r="B4934" i="2"/>
  <c r="B4934" i="9" s="1"/>
  <c r="A4934" i="2"/>
  <c r="A4934" i="9" s="1"/>
  <c r="B4933" i="2"/>
  <c r="B4933" i="9" s="1"/>
  <c r="A4933" i="2"/>
  <c r="A4933" i="9" s="1"/>
  <c r="B4932" i="2"/>
  <c r="B4932" i="9" s="1"/>
  <c r="A4932" i="2"/>
  <c r="A4932" i="9" s="1"/>
  <c r="B4931" i="2"/>
  <c r="B4931" i="9" s="1"/>
  <c r="A4931" i="2"/>
  <c r="A4931" i="9" s="1"/>
  <c r="B4930" i="2"/>
  <c r="B4930" i="9" s="1"/>
  <c r="A4930" i="2"/>
  <c r="A4930" i="9" s="1"/>
  <c r="B4929" i="2"/>
  <c r="B4929" i="9" s="1"/>
  <c r="A4929" i="2"/>
  <c r="A4929" i="9" s="1"/>
  <c r="B4928" i="2"/>
  <c r="B4928" i="9" s="1"/>
  <c r="A4928" i="2"/>
  <c r="A4928" i="9" s="1"/>
  <c r="B4927" i="2"/>
  <c r="B4927" i="9" s="1"/>
  <c r="A4927" i="2"/>
  <c r="A4927" i="9" s="1"/>
  <c r="B4926" i="2"/>
  <c r="B4926" i="9" s="1"/>
  <c r="A4926" i="2"/>
  <c r="A4926" i="9" s="1"/>
  <c r="B4925" i="2"/>
  <c r="B4925" i="9" s="1"/>
  <c r="A4925" i="2"/>
  <c r="A4925" i="9" s="1"/>
  <c r="B4924" i="2"/>
  <c r="B4924" i="9" s="1"/>
  <c r="A4924" i="2"/>
  <c r="A4924" i="9" s="1"/>
  <c r="B4923" i="2"/>
  <c r="B4923" i="9" s="1"/>
  <c r="A4923" i="2"/>
  <c r="A4923" i="9" s="1"/>
  <c r="B4922" i="2"/>
  <c r="B4922" i="9" s="1"/>
  <c r="A4922" i="2"/>
  <c r="A4922" i="9" s="1"/>
  <c r="B4921" i="2"/>
  <c r="B4921" i="9" s="1"/>
  <c r="A4921" i="2"/>
  <c r="A4921" i="9" s="1"/>
  <c r="B4920" i="2"/>
  <c r="B4920" i="9" s="1"/>
  <c r="A4920" i="2"/>
  <c r="A4920" i="9" s="1"/>
  <c r="B4919" i="2"/>
  <c r="B4919" i="9" s="1"/>
  <c r="A4919" i="2"/>
  <c r="A4919" i="9" s="1"/>
  <c r="B4918" i="2"/>
  <c r="B4918" i="9" s="1"/>
  <c r="A4918" i="2"/>
  <c r="A4918" i="9" s="1"/>
  <c r="B4917" i="2"/>
  <c r="B4917" i="9" s="1"/>
  <c r="A4917" i="2"/>
  <c r="A4917" i="9" s="1"/>
  <c r="B4916" i="2"/>
  <c r="B4916" i="9" s="1"/>
  <c r="A4916" i="2"/>
  <c r="A4916" i="9" s="1"/>
  <c r="B4915" i="2"/>
  <c r="B4915" i="9" s="1"/>
  <c r="A4915" i="2"/>
  <c r="A4915" i="9" s="1"/>
  <c r="B4914" i="2"/>
  <c r="B4914" i="9" s="1"/>
  <c r="A4914" i="2"/>
  <c r="A4914" i="9" s="1"/>
  <c r="B4913" i="2"/>
  <c r="B4913" i="9" s="1"/>
  <c r="A4913" i="2"/>
  <c r="A4913" i="9" s="1"/>
  <c r="B4912" i="2"/>
  <c r="B4912" i="9" s="1"/>
  <c r="A4912" i="2"/>
  <c r="A4912" i="9" s="1"/>
  <c r="B4911" i="2"/>
  <c r="B4911" i="9" s="1"/>
  <c r="A4911" i="2"/>
  <c r="A4911" i="9" s="1"/>
  <c r="B4910" i="2"/>
  <c r="B4910" i="9" s="1"/>
  <c r="A4910" i="2"/>
  <c r="A4910" i="9" s="1"/>
  <c r="B4909" i="2"/>
  <c r="B4909" i="9" s="1"/>
  <c r="A4909" i="2"/>
  <c r="A4909" i="9" s="1"/>
  <c r="B4908" i="2"/>
  <c r="B4908" i="9" s="1"/>
  <c r="A4908" i="2"/>
  <c r="A4908" i="9" s="1"/>
  <c r="B4907" i="2"/>
  <c r="B4907" i="9" s="1"/>
  <c r="A4907" i="2"/>
  <c r="A4907" i="9" s="1"/>
  <c r="B4906" i="2"/>
  <c r="B4906" i="9" s="1"/>
  <c r="A4906" i="2"/>
  <c r="A4906" i="9" s="1"/>
  <c r="B4905" i="2"/>
  <c r="B4905" i="9" s="1"/>
  <c r="A4905" i="2"/>
  <c r="A4905" i="9" s="1"/>
  <c r="B4904" i="2"/>
  <c r="B4904" i="9" s="1"/>
  <c r="A4904" i="2"/>
  <c r="A4904" i="9" s="1"/>
  <c r="B4903" i="2"/>
  <c r="B4903" i="9" s="1"/>
  <c r="A4903" i="2"/>
  <c r="A4903" i="9" s="1"/>
  <c r="B4902" i="2"/>
  <c r="B4902" i="9" s="1"/>
  <c r="A4902" i="2"/>
  <c r="A4902" i="9" s="1"/>
  <c r="B4901" i="2"/>
  <c r="B4901" i="9" s="1"/>
  <c r="A4901" i="2"/>
  <c r="A4901" i="9" s="1"/>
  <c r="B4900" i="2"/>
  <c r="B4900" i="9" s="1"/>
  <c r="A4900" i="2"/>
  <c r="A4900" i="9" s="1"/>
  <c r="B4899" i="2"/>
  <c r="B4899" i="9" s="1"/>
  <c r="A4899" i="2"/>
  <c r="A4899" i="9" s="1"/>
  <c r="B4898" i="2"/>
  <c r="B4898" i="9" s="1"/>
  <c r="A4898" i="2"/>
  <c r="A4898" i="9" s="1"/>
  <c r="B4897" i="2"/>
  <c r="B4897" i="9" s="1"/>
  <c r="A4897" i="2"/>
  <c r="A4897" i="9" s="1"/>
  <c r="B4896" i="2"/>
  <c r="B4896" i="9" s="1"/>
  <c r="A4896" i="2"/>
  <c r="A4896" i="9" s="1"/>
  <c r="B4895" i="2"/>
  <c r="B4895" i="9" s="1"/>
  <c r="A4895" i="2"/>
  <c r="A4895" i="9" s="1"/>
  <c r="B4894" i="2"/>
  <c r="B4894" i="9" s="1"/>
  <c r="A4894" i="2"/>
  <c r="A4894" i="9" s="1"/>
  <c r="B4893" i="2"/>
  <c r="B4893" i="9" s="1"/>
  <c r="A4893" i="2"/>
  <c r="A4893" i="9" s="1"/>
  <c r="B4892" i="2"/>
  <c r="B4892" i="9" s="1"/>
  <c r="A4892" i="2"/>
  <c r="A4892" i="9" s="1"/>
  <c r="B4891" i="2"/>
  <c r="B4891" i="9" s="1"/>
  <c r="A4891" i="2"/>
  <c r="A4891" i="9" s="1"/>
  <c r="B4890" i="2"/>
  <c r="B4890" i="9" s="1"/>
  <c r="A4890" i="2"/>
  <c r="A4890" i="9" s="1"/>
  <c r="B4889" i="2"/>
  <c r="B4889" i="9" s="1"/>
  <c r="A4889" i="2"/>
  <c r="A4889" i="9" s="1"/>
  <c r="B4888" i="2"/>
  <c r="B4888" i="9" s="1"/>
  <c r="A4888" i="2"/>
  <c r="A4888" i="9" s="1"/>
  <c r="B4887" i="2"/>
  <c r="B4887" i="9" s="1"/>
  <c r="A4887" i="2"/>
  <c r="A4887" i="9" s="1"/>
  <c r="B4886" i="2"/>
  <c r="B4886" i="9" s="1"/>
  <c r="A4886" i="2"/>
  <c r="A4886" i="9" s="1"/>
  <c r="B4885" i="2"/>
  <c r="B4885" i="9" s="1"/>
  <c r="A4885" i="2"/>
  <c r="A4885" i="9" s="1"/>
  <c r="B4884" i="2"/>
  <c r="B4884" i="9" s="1"/>
  <c r="A4884" i="2"/>
  <c r="A4884" i="9" s="1"/>
  <c r="B4883" i="2"/>
  <c r="B4883" i="9" s="1"/>
  <c r="A4883" i="2"/>
  <c r="A4883" i="9" s="1"/>
  <c r="B4882" i="2"/>
  <c r="B4882" i="9" s="1"/>
  <c r="A4882" i="2"/>
  <c r="A4882" i="9" s="1"/>
  <c r="B4881" i="2"/>
  <c r="B4881" i="9" s="1"/>
  <c r="A4881" i="2"/>
  <c r="A4881" i="9" s="1"/>
  <c r="B4880" i="2"/>
  <c r="B4880" i="9" s="1"/>
  <c r="A4880" i="2"/>
  <c r="A4880" i="9" s="1"/>
  <c r="B4879" i="2"/>
  <c r="B4879" i="9" s="1"/>
  <c r="A4879" i="2"/>
  <c r="A4879" i="9" s="1"/>
  <c r="B4878" i="2"/>
  <c r="B4878" i="9" s="1"/>
  <c r="A4878" i="2"/>
  <c r="A4878" i="9" s="1"/>
  <c r="B4877" i="2"/>
  <c r="B4877" i="9" s="1"/>
  <c r="A4877" i="2"/>
  <c r="A4877" i="9" s="1"/>
  <c r="B4876" i="2"/>
  <c r="B4876" i="9" s="1"/>
  <c r="A4876" i="2"/>
  <c r="A4876" i="9" s="1"/>
  <c r="B4875" i="2"/>
  <c r="B4875" i="9" s="1"/>
  <c r="A4875" i="2"/>
  <c r="A4875" i="9" s="1"/>
  <c r="B4874" i="2"/>
  <c r="B4874" i="9" s="1"/>
  <c r="A4874" i="2"/>
  <c r="A4874" i="9" s="1"/>
  <c r="B4873" i="2"/>
  <c r="B4873" i="9" s="1"/>
  <c r="A4873" i="2"/>
  <c r="A4873" i="9" s="1"/>
  <c r="B4872" i="2"/>
  <c r="B4872" i="9" s="1"/>
  <c r="A4872" i="2"/>
  <c r="A4872" i="9" s="1"/>
  <c r="B4871" i="2"/>
  <c r="B4871" i="9" s="1"/>
  <c r="A4871" i="2"/>
  <c r="A4871" i="9" s="1"/>
  <c r="B4870" i="2"/>
  <c r="B4870" i="9" s="1"/>
  <c r="A4870" i="2"/>
  <c r="A4870" i="9" s="1"/>
  <c r="B4869" i="2"/>
  <c r="B4869" i="9" s="1"/>
  <c r="A4869" i="2"/>
  <c r="A4869" i="9" s="1"/>
  <c r="B4868" i="2"/>
  <c r="B4868" i="9" s="1"/>
  <c r="A4868" i="2"/>
  <c r="A4868" i="9" s="1"/>
  <c r="B4867" i="2"/>
  <c r="B4867" i="9" s="1"/>
  <c r="A4867" i="2"/>
  <c r="A4867" i="9" s="1"/>
  <c r="B4866" i="2"/>
  <c r="B4866" i="9" s="1"/>
  <c r="A4866" i="2"/>
  <c r="A4866" i="9" s="1"/>
  <c r="B4865" i="2"/>
  <c r="B4865" i="9" s="1"/>
  <c r="A4865" i="2"/>
  <c r="A4865" i="9" s="1"/>
  <c r="B4864" i="2"/>
  <c r="B4864" i="9" s="1"/>
  <c r="A4864" i="2"/>
  <c r="A4864" i="9" s="1"/>
  <c r="B4863" i="2"/>
  <c r="B4863" i="9" s="1"/>
  <c r="A4863" i="2"/>
  <c r="A4863" i="9" s="1"/>
  <c r="B4862" i="2"/>
  <c r="B4862" i="9" s="1"/>
  <c r="A4862" i="2"/>
  <c r="A4862" i="9" s="1"/>
  <c r="B4861" i="2"/>
  <c r="B4861" i="9" s="1"/>
  <c r="A4861" i="2"/>
  <c r="A4861" i="9" s="1"/>
  <c r="B4860" i="2"/>
  <c r="B4860" i="9" s="1"/>
  <c r="A4860" i="2"/>
  <c r="A4860" i="9" s="1"/>
  <c r="B4859" i="2"/>
  <c r="B4859" i="9" s="1"/>
  <c r="A4859" i="2"/>
  <c r="A4859" i="9" s="1"/>
  <c r="B4858" i="2"/>
  <c r="B4858" i="9" s="1"/>
  <c r="A4858" i="2"/>
  <c r="A4858" i="9" s="1"/>
  <c r="B4857" i="2"/>
  <c r="B4857" i="9" s="1"/>
  <c r="A4857" i="2"/>
  <c r="A4857" i="9" s="1"/>
  <c r="B4856" i="2"/>
  <c r="B4856" i="9" s="1"/>
  <c r="A4856" i="2"/>
  <c r="A4856" i="9" s="1"/>
  <c r="B4855" i="2"/>
  <c r="B4855" i="9" s="1"/>
  <c r="A4855" i="2"/>
  <c r="A4855" i="9" s="1"/>
  <c r="B4854" i="2"/>
  <c r="B4854" i="9" s="1"/>
  <c r="A4854" i="2"/>
  <c r="A4854" i="9" s="1"/>
  <c r="B4853" i="2"/>
  <c r="B4853" i="9" s="1"/>
  <c r="A4853" i="2"/>
  <c r="A4853" i="9" s="1"/>
  <c r="B4852" i="2"/>
  <c r="B4852" i="9" s="1"/>
  <c r="A4852" i="2"/>
  <c r="A4852" i="9" s="1"/>
  <c r="B4851" i="2"/>
  <c r="B4851" i="9" s="1"/>
  <c r="A4851" i="2"/>
  <c r="A4851" i="9" s="1"/>
  <c r="B4850" i="2"/>
  <c r="B4850" i="9" s="1"/>
  <c r="A4850" i="2"/>
  <c r="A4850" i="9" s="1"/>
  <c r="B4849" i="2"/>
  <c r="B4849" i="9" s="1"/>
  <c r="A4849" i="2"/>
  <c r="A4849" i="9" s="1"/>
  <c r="B4848" i="2"/>
  <c r="B4848" i="9" s="1"/>
  <c r="A4848" i="2"/>
  <c r="A4848" i="9" s="1"/>
  <c r="B4847" i="2"/>
  <c r="B4847" i="9" s="1"/>
  <c r="A4847" i="2"/>
  <c r="A4847" i="9" s="1"/>
  <c r="B4846" i="2"/>
  <c r="B4846" i="9" s="1"/>
  <c r="A4846" i="2"/>
  <c r="A4846" i="9" s="1"/>
  <c r="B4845" i="2"/>
  <c r="B4845" i="9" s="1"/>
  <c r="A4845" i="2"/>
  <c r="A4845" i="9" s="1"/>
  <c r="B4844" i="2"/>
  <c r="B4844" i="9" s="1"/>
  <c r="A4844" i="2"/>
  <c r="A4844" i="9" s="1"/>
  <c r="B4843" i="2"/>
  <c r="B4843" i="9" s="1"/>
  <c r="A4843" i="2"/>
  <c r="A4843" i="9" s="1"/>
  <c r="B4842" i="2"/>
  <c r="B4842" i="9" s="1"/>
  <c r="A4842" i="2"/>
  <c r="A4842" i="9" s="1"/>
  <c r="B4841" i="2"/>
  <c r="B4841" i="9" s="1"/>
  <c r="A4841" i="2"/>
  <c r="A4841" i="9" s="1"/>
  <c r="B4840" i="2"/>
  <c r="B4840" i="9" s="1"/>
  <c r="A4840" i="2"/>
  <c r="A4840" i="9" s="1"/>
  <c r="B4839" i="2"/>
  <c r="B4839" i="9" s="1"/>
  <c r="A4839" i="2"/>
  <c r="A4839" i="9" s="1"/>
  <c r="B4838" i="2"/>
  <c r="B4838" i="9" s="1"/>
  <c r="A4838" i="2"/>
  <c r="A4838" i="9" s="1"/>
  <c r="B4837" i="2"/>
  <c r="B4837" i="9" s="1"/>
  <c r="A4837" i="2"/>
  <c r="A4837" i="9" s="1"/>
  <c r="B4836" i="2"/>
  <c r="B4836" i="9" s="1"/>
  <c r="A4836" i="2"/>
  <c r="A4836" i="9" s="1"/>
  <c r="B4835" i="2"/>
  <c r="B4835" i="9" s="1"/>
  <c r="A4835" i="2"/>
  <c r="A4835" i="9" s="1"/>
  <c r="B4834" i="2"/>
  <c r="B4834" i="9" s="1"/>
  <c r="A4834" i="2"/>
  <c r="A4834" i="9" s="1"/>
  <c r="B4833" i="2"/>
  <c r="B4833" i="9" s="1"/>
  <c r="A4833" i="2"/>
  <c r="A4833" i="9" s="1"/>
  <c r="B4832" i="2"/>
  <c r="B4832" i="9" s="1"/>
  <c r="A4832" i="2"/>
  <c r="A4832" i="9" s="1"/>
  <c r="B4831" i="2"/>
  <c r="B4831" i="9" s="1"/>
  <c r="A4831" i="2"/>
  <c r="A4831" i="9" s="1"/>
  <c r="B4830" i="2"/>
  <c r="B4830" i="9" s="1"/>
  <c r="A4830" i="2"/>
  <c r="A4830" i="9" s="1"/>
  <c r="B4829" i="2"/>
  <c r="B4829" i="9" s="1"/>
  <c r="A4829" i="2"/>
  <c r="A4829" i="9" s="1"/>
  <c r="B4828" i="2"/>
  <c r="B4828" i="9" s="1"/>
  <c r="A4828" i="2"/>
  <c r="A4828" i="9" s="1"/>
  <c r="B4827" i="2"/>
  <c r="B4827" i="9" s="1"/>
  <c r="A4827" i="2"/>
  <c r="A4827" i="9" s="1"/>
  <c r="B4826" i="2"/>
  <c r="B4826" i="9" s="1"/>
  <c r="A4826" i="2"/>
  <c r="A4826" i="9" s="1"/>
  <c r="B4825" i="2"/>
  <c r="B4825" i="9" s="1"/>
  <c r="A4825" i="2"/>
  <c r="A4825" i="9" s="1"/>
  <c r="B4824" i="2"/>
  <c r="B4824" i="9" s="1"/>
  <c r="A4824" i="2"/>
  <c r="A4824" i="9" s="1"/>
  <c r="B4823" i="2"/>
  <c r="B4823" i="9" s="1"/>
  <c r="A4823" i="2"/>
  <c r="A4823" i="9" s="1"/>
  <c r="B4822" i="2"/>
  <c r="B4822" i="9" s="1"/>
  <c r="A4822" i="2"/>
  <c r="A4822" i="9" s="1"/>
  <c r="B4821" i="2"/>
  <c r="B4821" i="9" s="1"/>
  <c r="A4821" i="2"/>
  <c r="A4821" i="9" s="1"/>
  <c r="B4820" i="2"/>
  <c r="B4820" i="9" s="1"/>
  <c r="A4820" i="2"/>
  <c r="A4820" i="9" s="1"/>
  <c r="B4819" i="2"/>
  <c r="B4819" i="9" s="1"/>
  <c r="A4819" i="2"/>
  <c r="A4819" i="9" s="1"/>
  <c r="B4818" i="2"/>
  <c r="B4818" i="9" s="1"/>
  <c r="A4818" i="2"/>
  <c r="A4818" i="9" s="1"/>
  <c r="B4817" i="2"/>
  <c r="B4817" i="9" s="1"/>
  <c r="A4817" i="2"/>
  <c r="A4817" i="9" s="1"/>
  <c r="B4816" i="2"/>
  <c r="B4816" i="9" s="1"/>
  <c r="A4816" i="2"/>
  <c r="A4816" i="9" s="1"/>
  <c r="B4815" i="2"/>
  <c r="B4815" i="9" s="1"/>
  <c r="A4815" i="2"/>
  <c r="A4815" i="9" s="1"/>
  <c r="B4814" i="2"/>
  <c r="B4814" i="9" s="1"/>
  <c r="A4814" i="2"/>
  <c r="A4814" i="9" s="1"/>
  <c r="B4813" i="2"/>
  <c r="B4813" i="9" s="1"/>
  <c r="A4813" i="2"/>
  <c r="A4813" i="9" s="1"/>
  <c r="B4812" i="2"/>
  <c r="B4812" i="9" s="1"/>
  <c r="A4812" i="2"/>
  <c r="A4812" i="9" s="1"/>
  <c r="B4811" i="2"/>
  <c r="B4811" i="9" s="1"/>
  <c r="A4811" i="2"/>
  <c r="A4811" i="9" s="1"/>
  <c r="B4810" i="2"/>
  <c r="B4810" i="9" s="1"/>
  <c r="A4810" i="2"/>
  <c r="A4810" i="9" s="1"/>
  <c r="B4809" i="2"/>
  <c r="B4809" i="9" s="1"/>
  <c r="A4809" i="2"/>
  <c r="A4809" i="9" s="1"/>
  <c r="B4808" i="2"/>
  <c r="B4808" i="9" s="1"/>
  <c r="A4808" i="2"/>
  <c r="A4808" i="9" s="1"/>
  <c r="B4807" i="2"/>
  <c r="B4807" i="9" s="1"/>
  <c r="A4807" i="2"/>
  <c r="A4807" i="9" s="1"/>
  <c r="B4806" i="2"/>
  <c r="B4806" i="9" s="1"/>
  <c r="A4806" i="2"/>
  <c r="A4806" i="9" s="1"/>
  <c r="B4805" i="2"/>
  <c r="B4805" i="9" s="1"/>
  <c r="A4805" i="2"/>
  <c r="A4805" i="9" s="1"/>
  <c r="B4804" i="2"/>
  <c r="B4804" i="9" s="1"/>
  <c r="A4804" i="2"/>
  <c r="A4804" i="9" s="1"/>
  <c r="B4803" i="2"/>
  <c r="B4803" i="9" s="1"/>
  <c r="A4803" i="2"/>
  <c r="A4803" i="9" s="1"/>
  <c r="B4802" i="2"/>
  <c r="B4802" i="9" s="1"/>
  <c r="A4802" i="2"/>
  <c r="A4802" i="9" s="1"/>
  <c r="B4801" i="2"/>
  <c r="B4801" i="9" s="1"/>
  <c r="A4801" i="2"/>
  <c r="A4801" i="9" s="1"/>
  <c r="B4800" i="2"/>
  <c r="B4800" i="9" s="1"/>
  <c r="A4800" i="2"/>
  <c r="A4800" i="9" s="1"/>
  <c r="B4799" i="2"/>
  <c r="B4799" i="9" s="1"/>
  <c r="A4799" i="2"/>
  <c r="A4799" i="9" s="1"/>
  <c r="B4798" i="2"/>
  <c r="B4798" i="9" s="1"/>
  <c r="A4798" i="2"/>
  <c r="A4798" i="9" s="1"/>
  <c r="B4797" i="2"/>
  <c r="B4797" i="9" s="1"/>
  <c r="A4797" i="2"/>
  <c r="A4797" i="9" s="1"/>
  <c r="B4796" i="2"/>
  <c r="B4796" i="9" s="1"/>
  <c r="A4796" i="2"/>
  <c r="A4796" i="9" s="1"/>
  <c r="B4795" i="2"/>
  <c r="B4795" i="9" s="1"/>
  <c r="A4795" i="2"/>
  <c r="A4795" i="9" s="1"/>
  <c r="B4794" i="2"/>
  <c r="B4794" i="9" s="1"/>
  <c r="A4794" i="2"/>
  <c r="A4794" i="9" s="1"/>
  <c r="B4793" i="2"/>
  <c r="B4793" i="9" s="1"/>
  <c r="A4793" i="2"/>
  <c r="A4793" i="9" s="1"/>
  <c r="B4792" i="2"/>
  <c r="B4792" i="9" s="1"/>
  <c r="A4792" i="2"/>
  <c r="A4792" i="9" s="1"/>
  <c r="B4791" i="2"/>
  <c r="B4791" i="9" s="1"/>
  <c r="A4791" i="2"/>
  <c r="A4791" i="9" s="1"/>
  <c r="B4790" i="2"/>
  <c r="B4790" i="9" s="1"/>
  <c r="A4790" i="2"/>
  <c r="A4790" i="9" s="1"/>
  <c r="B4789" i="2"/>
  <c r="B4789" i="9" s="1"/>
  <c r="A4789" i="2"/>
  <c r="A4789" i="9" s="1"/>
  <c r="B4788" i="2"/>
  <c r="B4788" i="9" s="1"/>
  <c r="A4788" i="2"/>
  <c r="A4788" i="9" s="1"/>
  <c r="B4787" i="2"/>
  <c r="B4787" i="9" s="1"/>
  <c r="A4787" i="2"/>
  <c r="A4787" i="9" s="1"/>
  <c r="B4786" i="2"/>
  <c r="B4786" i="9" s="1"/>
  <c r="A4786" i="2"/>
  <c r="A4786" i="9" s="1"/>
  <c r="B4785" i="2"/>
  <c r="B4785" i="9" s="1"/>
  <c r="A4785" i="2"/>
  <c r="A4785" i="9" s="1"/>
  <c r="B4784" i="2"/>
  <c r="B4784" i="9" s="1"/>
  <c r="A4784" i="2"/>
  <c r="A4784" i="9" s="1"/>
  <c r="B4783" i="2"/>
  <c r="B4783" i="9" s="1"/>
  <c r="A4783" i="2"/>
  <c r="A4783" i="9" s="1"/>
  <c r="B4782" i="2"/>
  <c r="B4782" i="9" s="1"/>
  <c r="A4782" i="2"/>
  <c r="A4782" i="9" s="1"/>
  <c r="B4781" i="2"/>
  <c r="B4781" i="9" s="1"/>
  <c r="A4781" i="2"/>
  <c r="A4781" i="9" s="1"/>
  <c r="B4780" i="2"/>
  <c r="B4780" i="9" s="1"/>
  <c r="A4780" i="2"/>
  <c r="A4780" i="9" s="1"/>
  <c r="B4779" i="2"/>
  <c r="B4779" i="9" s="1"/>
  <c r="A4779" i="2"/>
  <c r="A4779" i="9" s="1"/>
  <c r="B4778" i="2"/>
  <c r="B4778" i="9" s="1"/>
  <c r="A4778" i="2"/>
  <c r="A4778" i="9" s="1"/>
  <c r="B4777" i="2"/>
  <c r="B4777" i="9" s="1"/>
  <c r="A4777" i="2"/>
  <c r="A4777" i="9" s="1"/>
  <c r="B4776" i="2"/>
  <c r="B4776" i="9" s="1"/>
  <c r="A4776" i="2"/>
  <c r="A4776" i="9" s="1"/>
  <c r="B4775" i="2"/>
  <c r="B4775" i="9" s="1"/>
  <c r="A4775" i="2"/>
  <c r="A4775" i="9" s="1"/>
  <c r="B4774" i="2"/>
  <c r="B4774" i="9" s="1"/>
  <c r="A4774" i="2"/>
  <c r="A4774" i="9" s="1"/>
  <c r="B4773" i="2"/>
  <c r="B4773" i="9" s="1"/>
  <c r="A4773" i="2"/>
  <c r="A4773" i="9" s="1"/>
  <c r="B4772" i="2"/>
  <c r="B4772" i="9" s="1"/>
  <c r="A4772" i="2"/>
  <c r="A4772" i="9" s="1"/>
  <c r="B4771" i="2"/>
  <c r="B4771" i="9" s="1"/>
  <c r="A4771" i="2"/>
  <c r="A4771" i="9" s="1"/>
  <c r="B4770" i="2"/>
  <c r="B4770" i="9" s="1"/>
  <c r="A4770" i="2"/>
  <c r="A4770" i="9" s="1"/>
  <c r="B4769" i="2"/>
  <c r="B4769" i="9" s="1"/>
  <c r="A4769" i="2"/>
  <c r="A4769" i="9" s="1"/>
  <c r="B4768" i="2"/>
  <c r="B4768" i="9" s="1"/>
  <c r="A4768" i="2"/>
  <c r="A4768" i="9" s="1"/>
  <c r="B4767" i="2"/>
  <c r="B4767" i="9" s="1"/>
  <c r="A4767" i="2"/>
  <c r="A4767" i="9" s="1"/>
  <c r="B4766" i="2"/>
  <c r="B4766" i="9" s="1"/>
  <c r="A4766" i="2"/>
  <c r="A4766" i="9" s="1"/>
  <c r="B4765" i="2"/>
  <c r="B4765" i="9" s="1"/>
  <c r="A4765" i="2"/>
  <c r="A4765" i="9" s="1"/>
  <c r="B4764" i="2"/>
  <c r="B4764" i="9" s="1"/>
  <c r="A4764" i="2"/>
  <c r="A4764" i="9" s="1"/>
  <c r="B4763" i="2"/>
  <c r="B4763" i="9" s="1"/>
  <c r="A4763" i="2"/>
  <c r="A4763" i="9" s="1"/>
  <c r="B4762" i="2"/>
  <c r="B4762" i="9" s="1"/>
  <c r="A4762" i="2"/>
  <c r="A4762" i="9" s="1"/>
  <c r="B4761" i="2"/>
  <c r="B4761" i="9" s="1"/>
  <c r="A4761" i="2"/>
  <c r="A4761" i="9" s="1"/>
  <c r="B4760" i="2"/>
  <c r="B4760" i="9" s="1"/>
  <c r="A4760" i="2"/>
  <c r="A4760" i="9" s="1"/>
  <c r="B4759" i="2"/>
  <c r="B4759" i="9" s="1"/>
  <c r="A4759" i="2"/>
  <c r="A4759" i="9" s="1"/>
  <c r="B4758" i="2"/>
  <c r="B4758" i="9" s="1"/>
  <c r="A4758" i="2"/>
  <c r="A4758" i="9" s="1"/>
  <c r="B4757" i="2"/>
  <c r="B4757" i="9" s="1"/>
  <c r="A4757" i="2"/>
  <c r="A4757" i="9" s="1"/>
  <c r="B4756" i="2"/>
  <c r="B4756" i="9" s="1"/>
  <c r="A4756" i="2"/>
  <c r="A4756" i="9" s="1"/>
  <c r="B4755" i="2"/>
  <c r="B4755" i="9" s="1"/>
  <c r="A4755" i="2"/>
  <c r="A4755" i="9" s="1"/>
  <c r="B4754" i="2"/>
  <c r="B4754" i="9" s="1"/>
  <c r="A4754" i="2"/>
  <c r="A4754" i="9" s="1"/>
  <c r="B4753" i="2"/>
  <c r="B4753" i="9" s="1"/>
  <c r="A4753" i="2"/>
  <c r="A4753" i="9" s="1"/>
  <c r="B4752" i="2"/>
  <c r="B4752" i="9" s="1"/>
  <c r="A4752" i="2"/>
  <c r="A4752" i="9" s="1"/>
  <c r="B4751" i="2"/>
  <c r="B4751" i="9" s="1"/>
  <c r="A4751" i="2"/>
  <c r="A4751" i="9" s="1"/>
  <c r="B4750" i="2"/>
  <c r="B4750" i="9" s="1"/>
  <c r="A4750" i="2"/>
  <c r="A4750" i="9" s="1"/>
  <c r="B4749" i="2"/>
  <c r="B4749" i="9" s="1"/>
  <c r="A4749" i="2"/>
  <c r="A4749" i="9" s="1"/>
  <c r="B4748" i="2"/>
  <c r="B4748" i="9" s="1"/>
  <c r="A4748" i="2"/>
  <c r="A4748" i="9" s="1"/>
  <c r="B4747" i="2"/>
  <c r="B4747" i="9" s="1"/>
  <c r="A4747" i="2"/>
  <c r="A4747" i="9" s="1"/>
  <c r="B4746" i="2"/>
  <c r="B4746" i="9" s="1"/>
  <c r="A4746" i="2"/>
  <c r="A4746" i="9" s="1"/>
  <c r="B4745" i="2"/>
  <c r="B4745" i="9" s="1"/>
  <c r="A4745" i="2"/>
  <c r="A4745" i="9" s="1"/>
  <c r="B4744" i="2"/>
  <c r="B4744" i="9" s="1"/>
  <c r="A4744" i="2"/>
  <c r="A4744" i="9" s="1"/>
  <c r="B4743" i="2"/>
  <c r="B4743" i="9" s="1"/>
  <c r="A4743" i="2"/>
  <c r="A4743" i="9" s="1"/>
  <c r="B4742" i="2"/>
  <c r="B4742" i="9" s="1"/>
  <c r="A4742" i="2"/>
  <c r="A4742" i="9" s="1"/>
  <c r="B4741" i="2"/>
  <c r="B4741" i="9" s="1"/>
  <c r="A4741" i="2"/>
  <c r="A4741" i="9" s="1"/>
  <c r="B4740" i="2"/>
  <c r="B4740" i="9" s="1"/>
  <c r="A4740" i="2"/>
  <c r="A4740" i="9" s="1"/>
  <c r="B4739" i="2"/>
  <c r="B4739" i="9" s="1"/>
  <c r="A4739" i="2"/>
  <c r="A4739" i="9" s="1"/>
  <c r="B4738" i="2"/>
  <c r="B4738" i="9" s="1"/>
  <c r="A4738" i="2"/>
  <c r="A4738" i="9" s="1"/>
  <c r="B4737" i="2"/>
  <c r="B4737" i="9" s="1"/>
  <c r="A4737" i="2"/>
  <c r="A4737" i="9" s="1"/>
  <c r="B4736" i="2"/>
  <c r="B4736" i="9" s="1"/>
  <c r="A4736" i="2"/>
  <c r="A4736" i="9" s="1"/>
  <c r="B4735" i="2"/>
  <c r="B4735" i="9" s="1"/>
  <c r="A4735" i="2"/>
  <c r="A4735" i="9" s="1"/>
  <c r="B4734" i="2"/>
  <c r="B4734" i="9" s="1"/>
  <c r="A4734" i="2"/>
  <c r="A4734" i="9" s="1"/>
  <c r="B4733" i="2"/>
  <c r="B4733" i="9" s="1"/>
  <c r="A4733" i="2"/>
  <c r="A4733" i="9" s="1"/>
  <c r="B4732" i="2"/>
  <c r="B4732" i="9" s="1"/>
  <c r="A4732" i="2"/>
  <c r="A4732" i="9" s="1"/>
  <c r="B4731" i="2"/>
  <c r="B4731" i="9" s="1"/>
  <c r="A4731" i="2"/>
  <c r="A4731" i="9" s="1"/>
  <c r="B4730" i="2"/>
  <c r="B4730" i="9" s="1"/>
  <c r="A4730" i="2"/>
  <c r="A4730" i="9" s="1"/>
  <c r="B4729" i="2"/>
  <c r="B4729" i="9" s="1"/>
  <c r="A4729" i="2"/>
  <c r="A4729" i="9" s="1"/>
  <c r="B4728" i="2"/>
  <c r="B4728" i="9" s="1"/>
  <c r="A4728" i="2"/>
  <c r="A4728" i="9" s="1"/>
  <c r="B4727" i="2"/>
  <c r="B4727" i="9" s="1"/>
  <c r="A4727" i="2"/>
  <c r="A4727" i="9" s="1"/>
  <c r="B4726" i="2"/>
  <c r="B4726" i="9" s="1"/>
  <c r="A4726" i="2"/>
  <c r="A4726" i="9" s="1"/>
  <c r="B4725" i="2"/>
  <c r="B4725" i="9" s="1"/>
  <c r="A4725" i="2"/>
  <c r="A4725" i="9" s="1"/>
  <c r="B4724" i="2"/>
  <c r="B4724" i="9" s="1"/>
  <c r="A4724" i="2"/>
  <c r="A4724" i="9" s="1"/>
  <c r="B4723" i="2"/>
  <c r="B4723" i="9" s="1"/>
  <c r="A4723" i="2"/>
  <c r="A4723" i="9" s="1"/>
  <c r="B4722" i="2"/>
  <c r="B4722" i="9" s="1"/>
  <c r="A4722" i="2"/>
  <c r="A4722" i="9" s="1"/>
  <c r="B4721" i="2"/>
  <c r="B4721" i="9" s="1"/>
  <c r="A4721" i="2"/>
  <c r="A4721" i="9" s="1"/>
  <c r="B4720" i="2"/>
  <c r="B4720" i="9" s="1"/>
  <c r="A4720" i="2"/>
  <c r="A4720" i="9" s="1"/>
  <c r="B4719" i="2"/>
  <c r="B4719" i="9" s="1"/>
  <c r="A4719" i="2"/>
  <c r="A4719" i="9" s="1"/>
  <c r="B4718" i="2"/>
  <c r="B4718" i="9" s="1"/>
  <c r="A4718" i="2"/>
  <c r="A4718" i="9" s="1"/>
  <c r="B4717" i="2"/>
  <c r="B4717" i="9" s="1"/>
  <c r="A4717" i="2"/>
  <c r="A4717" i="9" s="1"/>
  <c r="B4716" i="2"/>
  <c r="B4716" i="9" s="1"/>
  <c r="A4716" i="2"/>
  <c r="A4716" i="9" s="1"/>
  <c r="B4715" i="2"/>
  <c r="B4715" i="9" s="1"/>
  <c r="A4715" i="2"/>
  <c r="A4715" i="9" s="1"/>
  <c r="B4714" i="2"/>
  <c r="B4714" i="9" s="1"/>
  <c r="A4714" i="2"/>
  <c r="A4714" i="9" s="1"/>
  <c r="B4713" i="2"/>
  <c r="B4713" i="9" s="1"/>
  <c r="A4713" i="2"/>
  <c r="A4713" i="9" s="1"/>
  <c r="B4712" i="2"/>
  <c r="B4712" i="9" s="1"/>
  <c r="A4712" i="2"/>
  <c r="A4712" i="9" s="1"/>
  <c r="B4711" i="2"/>
  <c r="B4711" i="9" s="1"/>
  <c r="A4711" i="2"/>
  <c r="A4711" i="9" s="1"/>
  <c r="B4710" i="2"/>
  <c r="B4710" i="9" s="1"/>
  <c r="A4710" i="2"/>
  <c r="A4710" i="9" s="1"/>
  <c r="B4709" i="2"/>
  <c r="B4709" i="9" s="1"/>
  <c r="A4709" i="2"/>
  <c r="A4709" i="9" s="1"/>
  <c r="B4708" i="2"/>
  <c r="B4708" i="9" s="1"/>
  <c r="A4708" i="2"/>
  <c r="A4708" i="9" s="1"/>
  <c r="B4707" i="2"/>
  <c r="B4707" i="9" s="1"/>
  <c r="A4707" i="2"/>
  <c r="A4707" i="9" s="1"/>
  <c r="B4706" i="2"/>
  <c r="B4706" i="9" s="1"/>
  <c r="A4706" i="2"/>
  <c r="A4706" i="9" s="1"/>
  <c r="B4705" i="2"/>
  <c r="B4705" i="9" s="1"/>
  <c r="A4705" i="2"/>
  <c r="A4705" i="9" s="1"/>
  <c r="B4704" i="2"/>
  <c r="B4704" i="9" s="1"/>
  <c r="A4704" i="2"/>
  <c r="A4704" i="9" s="1"/>
  <c r="B4703" i="2"/>
  <c r="B4703" i="9" s="1"/>
  <c r="A4703" i="2"/>
  <c r="A4703" i="9" s="1"/>
  <c r="B4702" i="2"/>
  <c r="B4702" i="9" s="1"/>
  <c r="A4702" i="2"/>
  <c r="A4702" i="9" s="1"/>
  <c r="B4701" i="2"/>
  <c r="B4701" i="9" s="1"/>
  <c r="A4701" i="2"/>
  <c r="A4701" i="9" s="1"/>
  <c r="B4700" i="2"/>
  <c r="B4700" i="9" s="1"/>
  <c r="A4700" i="2"/>
  <c r="A4700" i="9" s="1"/>
  <c r="B4699" i="2"/>
  <c r="B4699" i="9" s="1"/>
  <c r="A4699" i="2"/>
  <c r="A4699" i="9" s="1"/>
  <c r="B4698" i="2"/>
  <c r="B4698" i="9" s="1"/>
  <c r="A4698" i="2"/>
  <c r="A4698" i="9" s="1"/>
  <c r="B4697" i="2"/>
  <c r="B4697" i="9" s="1"/>
  <c r="A4697" i="2"/>
  <c r="A4697" i="9" s="1"/>
  <c r="B4696" i="2"/>
  <c r="B4696" i="9" s="1"/>
  <c r="A4696" i="2"/>
  <c r="A4696" i="9" s="1"/>
  <c r="B4695" i="2"/>
  <c r="B4695" i="9" s="1"/>
  <c r="A4695" i="2"/>
  <c r="A4695" i="9" s="1"/>
  <c r="B4694" i="2"/>
  <c r="B4694" i="9" s="1"/>
  <c r="A4694" i="2"/>
  <c r="A4694" i="9" s="1"/>
  <c r="B4693" i="2"/>
  <c r="B4693" i="9" s="1"/>
  <c r="A4693" i="2"/>
  <c r="A4693" i="9" s="1"/>
  <c r="B4692" i="2"/>
  <c r="B4692" i="9" s="1"/>
  <c r="A4692" i="2"/>
  <c r="A4692" i="9" s="1"/>
  <c r="B4691" i="2"/>
  <c r="B4691" i="9" s="1"/>
  <c r="A4691" i="2"/>
  <c r="A4691" i="9" s="1"/>
  <c r="B4690" i="2"/>
  <c r="B4690" i="9" s="1"/>
  <c r="A4690" i="2"/>
  <c r="A4690" i="9" s="1"/>
  <c r="B4689" i="2"/>
  <c r="B4689" i="9" s="1"/>
  <c r="A4689" i="2"/>
  <c r="A4689" i="9" s="1"/>
  <c r="B4688" i="2"/>
  <c r="B4688" i="9" s="1"/>
  <c r="A4688" i="2"/>
  <c r="A4688" i="9" s="1"/>
  <c r="B4687" i="2"/>
  <c r="B4687" i="9" s="1"/>
  <c r="A4687" i="2"/>
  <c r="A4687" i="9" s="1"/>
  <c r="B4686" i="2"/>
  <c r="B4686" i="9" s="1"/>
  <c r="A4686" i="2"/>
  <c r="A4686" i="9" s="1"/>
  <c r="B4685" i="2"/>
  <c r="B4685" i="9" s="1"/>
  <c r="A4685" i="2"/>
  <c r="A4685" i="9" s="1"/>
  <c r="B4684" i="2"/>
  <c r="B4684" i="9" s="1"/>
  <c r="A4684" i="2"/>
  <c r="A4684" i="9" s="1"/>
  <c r="B4683" i="2"/>
  <c r="B4683" i="9" s="1"/>
  <c r="A4683" i="2"/>
  <c r="A4683" i="9" s="1"/>
  <c r="B4682" i="2"/>
  <c r="B4682" i="9" s="1"/>
  <c r="A4682" i="2"/>
  <c r="A4682" i="9" s="1"/>
  <c r="B4681" i="2"/>
  <c r="B4681" i="9" s="1"/>
  <c r="A4681" i="2"/>
  <c r="A4681" i="9" s="1"/>
  <c r="B4680" i="2"/>
  <c r="B4680" i="9" s="1"/>
  <c r="A4680" i="2"/>
  <c r="A4680" i="9" s="1"/>
  <c r="B4679" i="2"/>
  <c r="B4679" i="9" s="1"/>
  <c r="A4679" i="2"/>
  <c r="A4679" i="9" s="1"/>
  <c r="B4678" i="2"/>
  <c r="B4678" i="9" s="1"/>
  <c r="A4678" i="2"/>
  <c r="A4678" i="9" s="1"/>
  <c r="B4677" i="2"/>
  <c r="B4677" i="9" s="1"/>
  <c r="A4677" i="2"/>
  <c r="A4677" i="9" s="1"/>
  <c r="B4676" i="2"/>
  <c r="B4676" i="9" s="1"/>
  <c r="A4676" i="2"/>
  <c r="A4676" i="9" s="1"/>
  <c r="B4675" i="2"/>
  <c r="B4675" i="9" s="1"/>
  <c r="A4675" i="2"/>
  <c r="A4675" i="9" s="1"/>
  <c r="B4674" i="2"/>
  <c r="B4674" i="9" s="1"/>
  <c r="A4674" i="2"/>
  <c r="A4674" i="9" s="1"/>
  <c r="B4673" i="2"/>
  <c r="B4673" i="9" s="1"/>
  <c r="A4673" i="2"/>
  <c r="A4673" i="9" s="1"/>
  <c r="B4672" i="2"/>
  <c r="B4672" i="9" s="1"/>
  <c r="A4672" i="2"/>
  <c r="A4672" i="9" s="1"/>
  <c r="B4671" i="2"/>
  <c r="B4671" i="9" s="1"/>
  <c r="A4671" i="2"/>
  <c r="A4671" i="9" s="1"/>
  <c r="B4670" i="2"/>
  <c r="B4670" i="9" s="1"/>
  <c r="A4670" i="2"/>
  <c r="A4670" i="9" s="1"/>
  <c r="B4669" i="2"/>
  <c r="B4669" i="9" s="1"/>
  <c r="A4669" i="2"/>
  <c r="A4669" i="9" s="1"/>
  <c r="B4668" i="2"/>
  <c r="B4668" i="9" s="1"/>
  <c r="A4668" i="2"/>
  <c r="A4668" i="9" s="1"/>
  <c r="B4667" i="2"/>
  <c r="B4667" i="9" s="1"/>
  <c r="A4667" i="2"/>
  <c r="A4667" i="9" s="1"/>
  <c r="B4666" i="2"/>
  <c r="B4666" i="9" s="1"/>
  <c r="A4666" i="2"/>
  <c r="A4666" i="9" s="1"/>
  <c r="B4665" i="2"/>
  <c r="B4665" i="9" s="1"/>
  <c r="A4665" i="2"/>
  <c r="A4665" i="9" s="1"/>
  <c r="B4664" i="2"/>
  <c r="B4664" i="9" s="1"/>
  <c r="A4664" i="2"/>
  <c r="A4664" i="9" s="1"/>
  <c r="B4663" i="2"/>
  <c r="B4663" i="9" s="1"/>
  <c r="A4663" i="2"/>
  <c r="A4663" i="9" s="1"/>
  <c r="B4662" i="2"/>
  <c r="B4662" i="9" s="1"/>
  <c r="A4662" i="2"/>
  <c r="A4662" i="9" s="1"/>
  <c r="B4661" i="2"/>
  <c r="B4661" i="9" s="1"/>
  <c r="A4661" i="2"/>
  <c r="A4661" i="9" s="1"/>
  <c r="B4660" i="2"/>
  <c r="B4660" i="9" s="1"/>
  <c r="A4660" i="2"/>
  <c r="A4660" i="9" s="1"/>
  <c r="B4659" i="2"/>
  <c r="B4659" i="9" s="1"/>
  <c r="A4659" i="2"/>
  <c r="A4659" i="9" s="1"/>
  <c r="B4658" i="2"/>
  <c r="B4658" i="9" s="1"/>
  <c r="A4658" i="2"/>
  <c r="A4658" i="9" s="1"/>
  <c r="B4657" i="2"/>
  <c r="B4657" i="9" s="1"/>
  <c r="A4657" i="2"/>
  <c r="A4657" i="9" s="1"/>
  <c r="B4656" i="2"/>
  <c r="B4656" i="9" s="1"/>
  <c r="A4656" i="2"/>
  <c r="A4656" i="9" s="1"/>
  <c r="B4655" i="2"/>
  <c r="B4655" i="9" s="1"/>
  <c r="A4655" i="2"/>
  <c r="A4655" i="9" s="1"/>
  <c r="B4654" i="2"/>
  <c r="B4654" i="9" s="1"/>
  <c r="A4654" i="2"/>
  <c r="A4654" i="9" s="1"/>
  <c r="B4653" i="2"/>
  <c r="B4653" i="9" s="1"/>
  <c r="A4653" i="2"/>
  <c r="A4653" i="9" s="1"/>
  <c r="B4652" i="2"/>
  <c r="B4652" i="9" s="1"/>
  <c r="A4652" i="2"/>
  <c r="A4652" i="9" s="1"/>
  <c r="B4651" i="2"/>
  <c r="B4651" i="9" s="1"/>
  <c r="A4651" i="2"/>
  <c r="A4651" i="9" s="1"/>
  <c r="B4650" i="2"/>
  <c r="B4650" i="9" s="1"/>
  <c r="A4650" i="2"/>
  <c r="A4650" i="9" s="1"/>
  <c r="B4649" i="2"/>
  <c r="B4649" i="9" s="1"/>
  <c r="A4649" i="2"/>
  <c r="A4649" i="9" s="1"/>
  <c r="B4648" i="2"/>
  <c r="B4648" i="9" s="1"/>
  <c r="A4648" i="2"/>
  <c r="A4648" i="9" s="1"/>
  <c r="B4647" i="2"/>
  <c r="B4647" i="9" s="1"/>
  <c r="A4647" i="2"/>
  <c r="A4647" i="9" s="1"/>
  <c r="B4646" i="2"/>
  <c r="B4646" i="9" s="1"/>
  <c r="A4646" i="2"/>
  <c r="A4646" i="9" s="1"/>
  <c r="B4645" i="2"/>
  <c r="B4645" i="9" s="1"/>
  <c r="A4645" i="2"/>
  <c r="A4645" i="9" s="1"/>
  <c r="B4644" i="2"/>
  <c r="B4644" i="9" s="1"/>
  <c r="A4644" i="2"/>
  <c r="A4644" i="9" s="1"/>
  <c r="B4643" i="2"/>
  <c r="B4643" i="9" s="1"/>
  <c r="A4643" i="2"/>
  <c r="A4643" i="9" s="1"/>
  <c r="B4642" i="2"/>
  <c r="B4642" i="9" s="1"/>
  <c r="A4642" i="2"/>
  <c r="A4642" i="9" s="1"/>
  <c r="B4641" i="2"/>
  <c r="B4641" i="9" s="1"/>
  <c r="A4641" i="2"/>
  <c r="A4641" i="9" s="1"/>
  <c r="B4640" i="2"/>
  <c r="B4640" i="9" s="1"/>
  <c r="A4640" i="2"/>
  <c r="A4640" i="9" s="1"/>
  <c r="B4639" i="2"/>
  <c r="B4639" i="9" s="1"/>
  <c r="A4639" i="2"/>
  <c r="A4639" i="9" s="1"/>
  <c r="B4638" i="2"/>
  <c r="B4638" i="9" s="1"/>
  <c r="A4638" i="2"/>
  <c r="A4638" i="9" s="1"/>
  <c r="B4637" i="2"/>
  <c r="B4637" i="9" s="1"/>
  <c r="A4637" i="2"/>
  <c r="A4637" i="9" s="1"/>
  <c r="B4636" i="2"/>
  <c r="B4636" i="9" s="1"/>
  <c r="A4636" i="2"/>
  <c r="A4636" i="9" s="1"/>
  <c r="B4635" i="2"/>
  <c r="B4635" i="9" s="1"/>
  <c r="A4635" i="2"/>
  <c r="A4635" i="9" s="1"/>
  <c r="B4634" i="2"/>
  <c r="B4634" i="9" s="1"/>
  <c r="A4634" i="2"/>
  <c r="A4634" i="9" s="1"/>
  <c r="B4633" i="2"/>
  <c r="B4633" i="9" s="1"/>
  <c r="A4633" i="2"/>
  <c r="A4633" i="9" s="1"/>
  <c r="B4632" i="2"/>
  <c r="B4632" i="9" s="1"/>
  <c r="A4632" i="2"/>
  <c r="A4632" i="9" s="1"/>
  <c r="B4631" i="2"/>
  <c r="B4631" i="9" s="1"/>
  <c r="A4631" i="2"/>
  <c r="A4631" i="9" s="1"/>
  <c r="B4630" i="2"/>
  <c r="B4630" i="9" s="1"/>
  <c r="A4630" i="2"/>
  <c r="A4630" i="9" s="1"/>
  <c r="B4629" i="2"/>
  <c r="B4629" i="9" s="1"/>
  <c r="A4629" i="2"/>
  <c r="A4629" i="9" s="1"/>
  <c r="B4628" i="2"/>
  <c r="B4628" i="9" s="1"/>
  <c r="A4628" i="2"/>
  <c r="A4628" i="9" s="1"/>
  <c r="B4627" i="2"/>
  <c r="B4627" i="9" s="1"/>
  <c r="A4627" i="2"/>
  <c r="A4627" i="9" s="1"/>
  <c r="B4626" i="2"/>
  <c r="B4626" i="9" s="1"/>
  <c r="A4626" i="2"/>
  <c r="A4626" i="9" s="1"/>
  <c r="B4625" i="2"/>
  <c r="B4625" i="9" s="1"/>
  <c r="A4625" i="2"/>
  <c r="A4625" i="9" s="1"/>
  <c r="B4624" i="2"/>
  <c r="B4624" i="9" s="1"/>
  <c r="A4624" i="2"/>
  <c r="A4624" i="9" s="1"/>
  <c r="B4623" i="2"/>
  <c r="B4623" i="9" s="1"/>
  <c r="A4623" i="2"/>
  <c r="A4623" i="9" s="1"/>
  <c r="B4622" i="2"/>
  <c r="B4622" i="9" s="1"/>
  <c r="A4622" i="2"/>
  <c r="A4622" i="9" s="1"/>
  <c r="B4621" i="2"/>
  <c r="B4621" i="9" s="1"/>
  <c r="A4621" i="2"/>
  <c r="A4621" i="9" s="1"/>
  <c r="B4620" i="2"/>
  <c r="B4620" i="9" s="1"/>
  <c r="A4620" i="2"/>
  <c r="A4620" i="9" s="1"/>
  <c r="B4619" i="2"/>
  <c r="B4619" i="9" s="1"/>
  <c r="A4619" i="2"/>
  <c r="A4619" i="9" s="1"/>
  <c r="B4618" i="2"/>
  <c r="B4618" i="9" s="1"/>
  <c r="A4618" i="2"/>
  <c r="A4618" i="9" s="1"/>
  <c r="B4617" i="2"/>
  <c r="B4617" i="9" s="1"/>
  <c r="A4617" i="2"/>
  <c r="A4617" i="9" s="1"/>
  <c r="B4616" i="2"/>
  <c r="B4616" i="9" s="1"/>
  <c r="A4616" i="2"/>
  <c r="A4616" i="9" s="1"/>
  <c r="B4615" i="2"/>
  <c r="B4615" i="9" s="1"/>
  <c r="A4615" i="2"/>
  <c r="A4615" i="9" s="1"/>
  <c r="B4614" i="2"/>
  <c r="B4614" i="9" s="1"/>
  <c r="A4614" i="2"/>
  <c r="A4614" i="9" s="1"/>
  <c r="B4613" i="2"/>
  <c r="B4613" i="9" s="1"/>
  <c r="A4613" i="2"/>
  <c r="A4613" i="9" s="1"/>
  <c r="B4612" i="2"/>
  <c r="B4612" i="9" s="1"/>
  <c r="A4612" i="2"/>
  <c r="A4612" i="9" s="1"/>
  <c r="B4611" i="2"/>
  <c r="B4611" i="9" s="1"/>
  <c r="A4611" i="2"/>
  <c r="A4611" i="9" s="1"/>
  <c r="B4610" i="2"/>
  <c r="B4610" i="9" s="1"/>
  <c r="A4610" i="2"/>
  <c r="A4610" i="9" s="1"/>
  <c r="B4609" i="2"/>
  <c r="B4609" i="9" s="1"/>
  <c r="A4609" i="2"/>
  <c r="A4609" i="9" s="1"/>
  <c r="B4608" i="2"/>
  <c r="B4608" i="9" s="1"/>
  <c r="A4608" i="2"/>
  <c r="A4608" i="9" s="1"/>
  <c r="B4607" i="2"/>
  <c r="B4607" i="9" s="1"/>
  <c r="A4607" i="2"/>
  <c r="A4607" i="9" s="1"/>
  <c r="B4606" i="2"/>
  <c r="B4606" i="9" s="1"/>
  <c r="A4606" i="2"/>
  <c r="A4606" i="9" s="1"/>
  <c r="B4605" i="2"/>
  <c r="B4605" i="9" s="1"/>
  <c r="A4605" i="2"/>
  <c r="A4605" i="9" s="1"/>
  <c r="B4604" i="2"/>
  <c r="B4604" i="9" s="1"/>
  <c r="A4604" i="2"/>
  <c r="A4604" i="9" s="1"/>
  <c r="B4603" i="2"/>
  <c r="B4603" i="9" s="1"/>
  <c r="A4603" i="2"/>
  <c r="A4603" i="9" s="1"/>
  <c r="B4602" i="2"/>
  <c r="B4602" i="9" s="1"/>
  <c r="A4602" i="2"/>
  <c r="A4602" i="9" s="1"/>
  <c r="B4601" i="2"/>
  <c r="B4601" i="9" s="1"/>
  <c r="A4601" i="2"/>
  <c r="A4601" i="9" s="1"/>
  <c r="B4600" i="2"/>
  <c r="B4600" i="9" s="1"/>
  <c r="A4600" i="2"/>
  <c r="A4600" i="9" s="1"/>
  <c r="B4599" i="2"/>
  <c r="B4599" i="9" s="1"/>
  <c r="A4599" i="2"/>
  <c r="A4599" i="9" s="1"/>
  <c r="B4598" i="2"/>
  <c r="B4598" i="9" s="1"/>
  <c r="A4598" i="2"/>
  <c r="A4598" i="9" s="1"/>
  <c r="B4597" i="2"/>
  <c r="B4597" i="9" s="1"/>
  <c r="A4597" i="2"/>
  <c r="A4597" i="9" s="1"/>
  <c r="B4596" i="2"/>
  <c r="B4596" i="9" s="1"/>
  <c r="A4596" i="2"/>
  <c r="A4596" i="9" s="1"/>
  <c r="B4595" i="2"/>
  <c r="B4595" i="9" s="1"/>
  <c r="A4595" i="2"/>
  <c r="A4595" i="9" s="1"/>
  <c r="B4594" i="2"/>
  <c r="B4594" i="9" s="1"/>
  <c r="A4594" i="2"/>
  <c r="A4594" i="9" s="1"/>
  <c r="B4593" i="2"/>
  <c r="B4593" i="9" s="1"/>
  <c r="A4593" i="2"/>
  <c r="A4593" i="9" s="1"/>
  <c r="B4592" i="2"/>
  <c r="B4592" i="9" s="1"/>
  <c r="A4592" i="2"/>
  <c r="A4592" i="9" s="1"/>
  <c r="B4591" i="2"/>
  <c r="B4591" i="9" s="1"/>
  <c r="A4591" i="2"/>
  <c r="A4591" i="9" s="1"/>
  <c r="B4590" i="2"/>
  <c r="B4590" i="9" s="1"/>
  <c r="A4590" i="2"/>
  <c r="A4590" i="9" s="1"/>
  <c r="B4589" i="2"/>
  <c r="B4589" i="9" s="1"/>
  <c r="A4589" i="2"/>
  <c r="A4589" i="9" s="1"/>
  <c r="B4588" i="2"/>
  <c r="B4588" i="9" s="1"/>
  <c r="A4588" i="2"/>
  <c r="A4588" i="9" s="1"/>
  <c r="B4587" i="2"/>
  <c r="B4587" i="9" s="1"/>
  <c r="A4587" i="2"/>
  <c r="A4587" i="9" s="1"/>
  <c r="B4586" i="2"/>
  <c r="B4586" i="9" s="1"/>
  <c r="A4586" i="2"/>
  <c r="A4586" i="9" s="1"/>
  <c r="B4585" i="2"/>
  <c r="B4585" i="9" s="1"/>
  <c r="A4585" i="2"/>
  <c r="A4585" i="9" s="1"/>
  <c r="B4584" i="2"/>
  <c r="B4584" i="9" s="1"/>
  <c r="A4584" i="2"/>
  <c r="A4584" i="9" s="1"/>
  <c r="B4583" i="2"/>
  <c r="B4583" i="9" s="1"/>
  <c r="A4583" i="2"/>
  <c r="A4583" i="9" s="1"/>
  <c r="B4582" i="2"/>
  <c r="B4582" i="9" s="1"/>
  <c r="A4582" i="2"/>
  <c r="A4582" i="9" s="1"/>
  <c r="B4581" i="2"/>
  <c r="B4581" i="9" s="1"/>
  <c r="A4581" i="2"/>
  <c r="A4581" i="9" s="1"/>
  <c r="B4580" i="2"/>
  <c r="B4580" i="9" s="1"/>
  <c r="A4580" i="2"/>
  <c r="A4580" i="9" s="1"/>
  <c r="B4579" i="2"/>
  <c r="B4579" i="9" s="1"/>
  <c r="A4579" i="2"/>
  <c r="A4579" i="9" s="1"/>
  <c r="B4578" i="2"/>
  <c r="B4578" i="9" s="1"/>
  <c r="A4578" i="2"/>
  <c r="A4578" i="9" s="1"/>
  <c r="B4577" i="2"/>
  <c r="B4577" i="9" s="1"/>
  <c r="A4577" i="2"/>
  <c r="A4577" i="9" s="1"/>
  <c r="B4576" i="2"/>
  <c r="B4576" i="9" s="1"/>
  <c r="A4576" i="2"/>
  <c r="A4576" i="9" s="1"/>
  <c r="B4575" i="2"/>
  <c r="B4575" i="9" s="1"/>
  <c r="A4575" i="2"/>
  <c r="A4575" i="9" s="1"/>
  <c r="B4574" i="2"/>
  <c r="B4574" i="9" s="1"/>
  <c r="A4574" i="2"/>
  <c r="A4574" i="9" s="1"/>
  <c r="B4573" i="2"/>
  <c r="B4573" i="9" s="1"/>
  <c r="A4573" i="2"/>
  <c r="A4573" i="9" s="1"/>
  <c r="B4572" i="2"/>
  <c r="B4572" i="9" s="1"/>
  <c r="A4572" i="2"/>
  <c r="A4572" i="9" s="1"/>
  <c r="B4571" i="2"/>
  <c r="B4571" i="9" s="1"/>
  <c r="A4571" i="2"/>
  <c r="A4571" i="9" s="1"/>
  <c r="B4570" i="2"/>
  <c r="B4570" i="9" s="1"/>
  <c r="A4570" i="2"/>
  <c r="A4570" i="9" s="1"/>
  <c r="B4569" i="2"/>
  <c r="B4569" i="9" s="1"/>
  <c r="A4569" i="2"/>
  <c r="A4569" i="9" s="1"/>
  <c r="B4568" i="2"/>
  <c r="B4568" i="9" s="1"/>
  <c r="A4568" i="2"/>
  <c r="A4568" i="9" s="1"/>
  <c r="B4567" i="2"/>
  <c r="B4567" i="9" s="1"/>
  <c r="A4567" i="2"/>
  <c r="A4567" i="9" s="1"/>
  <c r="B4566" i="2"/>
  <c r="B4566" i="9" s="1"/>
  <c r="A4566" i="2"/>
  <c r="A4566" i="9" s="1"/>
  <c r="B4565" i="2"/>
  <c r="B4565" i="9" s="1"/>
  <c r="A4565" i="2"/>
  <c r="A4565" i="9" s="1"/>
  <c r="B4564" i="2"/>
  <c r="B4564" i="9" s="1"/>
  <c r="A4564" i="2"/>
  <c r="A4564" i="9" s="1"/>
  <c r="B4563" i="2"/>
  <c r="B4563" i="9" s="1"/>
  <c r="A4563" i="2"/>
  <c r="A4563" i="9" s="1"/>
  <c r="B4562" i="2"/>
  <c r="B4562" i="9" s="1"/>
  <c r="A4562" i="2"/>
  <c r="A4562" i="9" s="1"/>
  <c r="B4561" i="2"/>
  <c r="B4561" i="9" s="1"/>
  <c r="A4561" i="2"/>
  <c r="A4561" i="9" s="1"/>
  <c r="B4560" i="2"/>
  <c r="B4560" i="9" s="1"/>
  <c r="A4560" i="2"/>
  <c r="A4560" i="9" s="1"/>
  <c r="B4559" i="2"/>
  <c r="B4559" i="9" s="1"/>
  <c r="A4559" i="2"/>
  <c r="A4559" i="9" s="1"/>
  <c r="B4558" i="2"/>
  <c r="B4558" i="9" s="1"/>
  <c r="A4558" i="2"/>
  <c r="A4558" i="9" s="1"/>
  <c r="B4557" i="2"/>
  <c r="B4557" i="9" s="1"/>
  <c r="A4557" i="2"/>
  <c r="A4557" i="9" s="1"/>
  <c r="B4556" i="2"/>
  <c r="B4556" i="9" s="1"/>
  <c r="A4556" i="2"/>
  <c r="A4556" i="9" s="1"/>
  <c r="B4555" i="2"/>
  <c r="B4555" i="9" s="1"/>
  <c r="A4555" i="2"/>
  <c r="A4555" i="9" s="1"/>
  <c r="B4554" i="2"/>
  <c r="B4554" i="9" s="1"/>
  <c r="A4554" i="2"/>
  <c r="A4554" i="9" s="1"/>
  <c r="B4553" i="2"/>
  <c r="B4553" i="9" s="1"/>
  <c r="A4553" i="2"/>
  <c r="A4553" i="9" s="1"/>
  <c r="B4552" i="2"/>
  <c r="B4552" i="9" s="1"/>
  <c r="A4552" i="2"/>
  <c r="A4552" i="9" s="1"/>
  <c r="B4551" i="2"/>
  <c r="B4551" i="9" s="1"/>
  <c r="A4551" i="2"/>
  <c r="A4551" i="9" s="1"/>
  <c r="B4550" i="2"/>
  <c r="B4550" i="9" s="1"/>
  <c r="A4550" i="2"/>
  <c r="A4550" i="9" s="1"/>
  <c r="B4549" i="2"/>
  <c r="B4549" i="9" s="1"/>
  <c r="A4549" i="2"/>
  <c r="A4549" i="9" s="1"/>
  <c r="B4548" i="2"/>
  <c r="B4548" i="9" s="1"/>
  <c r="A4548" i="2"/>
  <c r="A4548" i="9" s="1"/>
  <c r="B4547" i="2"/>
  <c r="B4547" i="9" s="1"/>
  <c r="A4547" i="2"/>
  <c r="A4547" i="9" s="1"/>
  <c r="B4546" i="2"/>
  <c r="B4546" i="9" s="1"/>
  <c r="A4546" i="2"/>
  <c r="A4546" i="9" s="1"/>
  <c r="B4545" i="2"/>
  <c r="B4545" i="9" s="1"/>
  <c r="A4545" i="2"/>
  <c r="A4545" i="9" s="1"/>
  <c r="B4544" i="2"/>
  <c r="B4544" i="9" s="1"/>
  <c r="A4544" i="2"/>
  <c r="A4544" i="9" s="1"/>
  <c r="B4543" i="2"/>
  <c r="B4543" i="9" s="1"/>
  <c r="A4543" i="2"/>
  <c r="A4543" i="9" s="1"/>
  <c r="B4542" i="2"/>
  <c r="B4542" i="9" s="1"/>
  <c r="A4542" i="2"/>
  <c r="A4542" i="9" s="1"/>
  <c r="B4541" i="2"/>
  <c r="B4541" i="9" s="1"/>
  <c r="A4541" i="2"/>
  <c r="A4541" i="9" s="1"/>
  <c r="B4540" i="2"/>
  <c r="B4540" i="9" s="1"/>
  <c r="A4540" i="2"/>
  <c r="A4540" i="9" s="1"/>
  <c r="B4539" i="2"/>
  <c r="B4539" i="9" s="1"/>
  <c r="A4539" i="2"/>
  <c r="A4539" i="9" s="1"/>
  <c r="B4538" i="2"/>
  <c r="B4538" i="9" s="1"/>
  <c r="A4538" i="2"/>
  <c r="A4538" i="9" s="1"/>
  <c r="B4537" i="2"/>
  <c r="B4537" i="9" s="1"/>
  <c r="A4537" i="2"/>
  <c r="A4537" i="9" s="1"/>
  <c r="B4536" i="2"/>
  <c r="B4536" i="9" s="1"/>
  <c r="A4536" i="2"/>
  <c r="A4536" i="9" s="1"/>
  <c r="B4535" i="2"/>
  <c r="B4535" i="9" s="1"/>
  <c r="A4535" i="2"/>
  <c r="A4535" i="9" s="1"/>
  <c r="B4534" i="2"/>
  <c r="B4534" i="9" s="1"/>
  <c r="A4534" i="2"/>
  <c r="A4534" i="9" s="1"/>
  <c r="B4533" i="2"/>
  <c r="B4533" i="9" s="1"/>
  <c r="A4533" i="2"/>
  <c r="A4533" i="9" s="1"/>
  <c r="B4532" i="2"/>
  <c r="B4532" i="9" s="1"/>
  <c r="A4532" i="2"/>
  <c r="A4532" i="9" s="1"/>
  <c r="B4531" i="2"/>
  <c r="B4531" i="9" s="1"/>
  <c r="A4531" i="2"/>
  <c r="A4531" i="9" s="1"/>
  <c r="B4530" i="2"/>
  <c r="B4530" i="9" s="1"/>
  <c r="A4530" i="2"/>
  <c r="A4530" i="9" s="1"/>
  <c r="B4529" i="2"/>
  <c r="B4529" i="9" s="1"/>
  <c r="A4529" i="2"/>
  <c r="A4529" i="9" s="1"/>
  <c r="B4528" i="2"/>
  <c r="B4528" i="9" s="1"/>
  <c r="A4528" i="2"/>
  <c r="A4528" i="9" s="1"/>
  <c r="B4527" i="2"/>
  <c r="B4527" i="9" s="1"/>
  <c r="A4527" i="2"/>
  <c r="A4527" i="9" s="1"/>
  <c r="B4526" i="2"/>
  <c r="B4526" i="9" s="1"/>
  <c r="A4526" i="2"/>
  <c r="A4526" i="9" s="1"/>
  <c r="B4525" i="2"/>
  <c r="B4525" i="9" s="1"/>
  <c r="A4525" i="2"/>
  <c r="A4525" i="9" s="1"/>
  <c r="B4524" i="2"/>
  <c r="B4524" i="9" s="1"/>
  <c r="A4524" i="2"/>
  <c r="A4524" i="9" s="1"/>
  <c r="B4523" i="2"/>
  <c r="B4523" i="9" s="1"/>
  <c r="A4523" i="2"/>
  <c r="A4523" i="9" s="1"/>
  <c r="B4522" i="2"/>
  <c r="B4522" i="9" s="1"/>
  <c r="A4522" i="2"/>
  <c r="A4522" i="9" s="1"/>
  <c r="B4521" i="2"/>
  <c r="B4521" i="9" s="1"/>
  <c r="A4521" i="2"/>
  <c r="A4521" i="9" s="1"/>
  <c r="B4520" i="2"/>
  <c r="B4520" i="9" s="1"/>
  <c r="A4520" i="2"/>
  <c r="A4520" i="9" s="1"/>
  <c r="B4519" i="2"/>
  <c r="B4519" i="9" s="1"/>
  <c r="A4519" i="2"/>
  <c r="A4519" i="9" s="1"/>
  <c r="B4518" i="2"/>
  <c r="B4518" i="9" s="1"/>
  <c r="A4518" i="2"/>
  <c r="A4518" i="9" s="1"/>
  <c r="B4517" i="2"/>
  <c r="B4517" i="9" s="1"/>
  <c r="A4517" i="2"/>
  <c r="A4517" i="9" s="1"/>
  <c r="B4516" i="2"/>
  <c r="B4516" i="9" s="1"/>
  <c r="A4516" i="2"/>
  <c r="A4516" i="9" s="1"/>
  <c r="B4515" i="2"/>
  <c r="B4515" i="9" s="1"/>
  <c r="A4515" i="2"/>
  <c r="A4515" i="9" s="1"/>
  <c r="B4514" i="2"/>
  <c r="B4514" i="9" s="1"/>
  <c r="A4514" i="2"/>
  <c r="A4514" i="9" s="1"/>
  <c r="B4513" i="2"/>
  <c r="B4513" i="9" s="1"/>
  <c r="A4513" i="2"/>
  <c r="A4513" i="9" s="1"/>
  <c r="B4512" i="2"/>
  <c r="B4512" i="9" s="1"/>
  <c r="A4512" i="2"/>
  <c r="A4512" i="9" s="1"/>
  <c r="B4511" i="2"/>
  <c r="B4511" i="9" s="1"/>
  <c r="A4511" i="2"/>
  <c r="A4511" i="9" s="1"/>
  <c r="B4510" i="2"/>
  <c r="B4510" i="9" s="1"/>
  <c r="A4510" i="2"/>
  <c r="A4510" i="9" s="1"/>
  <c r="B4509" i="2"/>
  <c r="B4509" i="9" s="1"/>
  <c r="A4509" i="2"/>
  <c r="A4509" i="9" s="1"/>
  <c r="B4508" i="2"/>
  <c r="B4508" i="9" s="1"/>
  <c r="A4508" i="2"/>
  <c r="A4508" i="9" s="1"/>
  <c r="B4507" i="2"/>
  <c r="B4507" i="9" s="1"/>
  <c r="A4507" i="2"/>
  <c r="A4507" i="9" s="1"/>
  <c r="B4506" i="2"/>
  <c r="B4506" i="9" s="1"/>
  <c r="A4506" i="2"/>
  <c r="A4506" i="9" s="1"/>
  <c r="B4505" i="2"/>
  <c r="B4505" i="9" s="1"/>
  <c r="A4505" i="2"/>
  <c r="A4505" i="9" s="1"/>
  <c r="B4504" i="2"/>
  <c r="B4504" i="9" s="1"/>
  <c r="A4504" i="2"/>
  <c r="A4504" i="9" s="1"/>
  <c r="B4503" i="2"/>
  <c r="B4503" i="9" s="1"/>
  <c r="A4503" i="2"/>
  <c r="A4503" i="9" s="1"/>
  <c r="B4502" i="2"/>
  <c r="B4502" i="9" s="1"/>
  <c r="A4502" i="2"/>
  <c r="A4502" i="9" s="1"/>
  <c r="B4501" i="2"/>
  <c r="B4501" i="9" s="1"/>
  <c r="A4501" i="2"/>
  <c r="A4501" i="9" s="1"/>
  <c r="B4500" i="2"/>
  <c r="B4500" i="9" s="1"/>
  <c r="A4500" i="2"/>
  <c r="A4500" i="9" s="1"/>
  <c r="B4499" i="2"/>
  <c r="B4499" i="9" s="1"/>
  <c r="A4499" i="2"/>
  <c r="A4499" i="9" s="1"/>
  <c r="B4498" i="2"/>
  <c r="B4498" i="9" s="1"/>
  <c r="A4498" i="2"/>
  <c r="A4498" i="9" s="1"/>
  <c r="B4497" i="2"/>
  <c r="B4497" i="9" s="1"/>
  <c r="A4497" i="2"/>
  <c r="A4497" i="9" s="1"/>
  <c r="B4496" i="2"/>
  <c r="B4496" i="9" s="1"/>
  <c r="A4496" i="2"/>
  <c r="A4496" i="9" s="1"/>
  <c r="B4495" i="2"/>
  <c r="B4495" i="9" s="1"/>
  <c r="A4495" i="2"/>
  <c r="A4495" i="9" s="1"/>
  <c r="B4494" i="2"/>
  <c r="B4494" i="9" s="1"/>
  <c r="A4494" i="2"/>
  <c r="A4494" i="9" s="1"/>
  <c r="B4493" i="2"/>
  <c r="B4493" i="9" s="1"/>
  <c r="A4493" i="2"/>
  <c r="A4493" i="9" s="1"/>
  <c r="B4492" i="2"/>
  <c r="B4492" i="9" s="1"/>
  <c r="A4492" i="2"/>
  <c r="A4492" i="9" s="1"/>
  <c r="B4491" i="2"/>
  <c r="B4491" i="9" s="1"/>
  <c r="A4491" i="2"/>
  <c r="A4491" i="9" s="1"/>
  <c r="B4490" i="2"/>
  <c r="B4490" i="9" s="1"/>
  <c r="A4490" i="2"/>
  <c r="A4490" i="9" s="1"/>
  <c r="B4489" i="2"/>
  <c r="B4489" i="9" s="1"/>
  <c r="A4489" i="2"/>
  <c r="A4489" i="9" s="1"/>
  <c r="B4488" i="2"/>
  <c r="B4488" i="9" s="1"/>
  <c r="A4488" i="2"/>
  <c r="A4488" i="9" s="1"/>
  <c r="B4487" i="2"/>
  <c r="B4487" i="9" s="1"/>
  <c r="A4487" i="2"/>
  <c r="A4487" i="9" s="1"/>
  <c r="B4486" i="2"/>
  <c r="B4486" i="9" s="1"/>
  <c r="A4486" i="2"/>
  <c r="A4486" i="9" s="1"/>
  <c r="B4485" i="2"/>
  <c r="B4485" i="9" s="1"/>
  <c r="A4485" i="2"/>
  <c r="A4485" i="9" s="1"/>
  <c r="B4484" i="2"/>
  <c r="B4484" i="9" s="1"/>
  <c r="A4484" i="2"/>
  <c r="A4484" i="9" s="1"/>
  <c r="B4483" i="2"/>
  <c r="B4483" i="9" s="1"/>
  <c r="A4483" i="2"/>
  <c r="A4483" i="9" s="1"/>
  <c r="B4482" i="2"/>
  <c r="B4482" i="9" s="1"/>
  <c r="A4482" i="2"/>
  <c r="A4482" i="9" s="1"/>
  <c r="B4481" i="2"/>
  <c r="B4481" i="9" s="1"/>
  <c r="A4481" i="2"/>
  <c r="A4481" i="9" s="1"/>
  <c r="B4480" i="2"/>
  <c r="B4480" i="9" s="1"/>
  <c r="A4480" i="2"/>
  <c r="A4480" i="9" s="1"/>
  <c r="B4479" i="2"/>
  <c r="B4479" i="9" s="1"/>
  <c r="A4479" i="2"/>
  <c r="A4479" i="9" s="1"/>
  <c r="B4478" i="2"/>
  <c r="B4478" i="9" s="1"/>
  <c r="A4478" i="2"/>
  <c r="A4478" i="9" s="1"/>
  <c r="B4477" i="2"/>
  <c r="B4477" i="9" s="1"/>
  <c r="A4477" i="2"/>
  <c r="A4477" i="9" s="1"/>
  <c r="B4476" i="2"/>
  <c r="B4476" i="9" s="1"/>
  <c r="A4476" i="2"/>
  <c r="A4476" i="9" s="1"/>
  <c r="B4475" i="2"/>
  <c r="B4475" i="9" s="1"/>
  <c r="A4475" i="2"/>
  <c r="A4475" i="9" s="1"/>
  <c r="B4474" i="2"/>
  <c r="B4474" i="9" s="1"/>
  <c r="A4474" i="2"/>
  <c r="A4474" i="9" s="1"/>
  <c r="B4473" i="2"/>
  <c r="B4473" i="9" s="1"/>
  <c r="A4473" i="2"/>
  <c r="A4473" i="9" s="1"/>
  <c r="B4472" i="2"/>
  <c r="B4472" i="9" s="1"/>
  <c r="A4472" i="2"/>
  <c r="A4472" i="9" s="1"/>
  <c r="B4471" i="2"/>
  <c r="B4471" i="9" s="1"/>
  <c r="A4471" i="2"/>
  <c r="A4471" i="9" s="1"/>
  <c r="B4470" i="2"/>
  <c r="B4470" i="9" s="1"/>
  <c r="A4470" i="2"/>
  <c r="A4470" i="9" s="1"/>
  <c r="B4469" i="2"/>
  <c r="B4469" i="9" s="1"/>
  <c r="A4469" i="2"/>
  <c r="A4469" i="9" s="1"/>
  <c r="B4468" i="2"/>
  <c r="B4468" i="9" s="1"/>
  <c r="A4468" i="2"/>
  <c r="A4468" i="9" s="1"/>
  <c r="B4467" i="2"/>
  <c r="B4467" i="9" s="1"/>
  <c r="A4467" i="2"/>
  <c r="A4467" i="9" s="1"/>
  <c r="B4466" i="2"/>
  <c r="B4466" i="9" s="1"/>
  <c r="A4466" i="2"/>
  <c r="A4466" i="9" s="1"/>
  <c r="B4465" i="2"/>
  <c r="B4465" i="9" s="1"/>
  <c r="A4465" i="2"/>
  <c r="A4465" i="9" s="1"/>
  <c r="B4464" i="2"/>
  <c r="B4464" i="9" s="1"/>
  <c r="A4464" i="2"/>
  <c r="A4464" i="9" s="1"/>
  <c r="B4463" i="2"/>
  <c r="B4463" i="9" s="1"/>
  <c r="A4463" i="2"/>
  <c r="A4463" i="9" s="1"/>
  <c r="B4462" i="2"/>
  <c r="B4462" i="9" s="1"/>
  <c r="A4462" i="2"/>
  <c r="A4462" i="9" s="1"/>
  <c r="B4461" i="2"/>
  <c r="B4461" i="9" s="1"/>
  <c r="A4461" i="2"/>
  <c r="A4461" i="9" s="1"/>
  <c r="B4460" i="2"/>
  <c r="B4460" i="9" s="1"/>
  <c r="A4460" i="2"/>
  <c r="A4460" i="9" s="1"/>
  <c r="B4459" i="2"/>
  <c r="B4459" i="9" s="1"/>
  <c r="A4459" i="2"/>
  <c r="A4459" i="9" s="1"/>
  <c r="B4458" i="2"/>
  <c r="B4458" i="9" s="1"/>
  <c r="A4458" i="2"/>
  <c r="A4458" i="9" s="1"/>
  <c r="B4457" i="2"/>
  <c r="B4457" i="9" s="1"/>
  <c r="A4457" i="2"/>
  <c r="A4457" i="9" s="1"/>
  <c r="B4456" i="2"/>
  <c r="B4456" i="9" s="1"/>
  <c r="A4456" i="2"/>
  <c r="A4456" i="9" s="1"/>
  <c r="B4455" i="2"/>
  <c r="B4455" i="9" s="1"/>
  <c r="A4455" i="2"/>
  <c r="A4455" i="9" s="1"/>
  <c r="B4454" i="2"/>
  <c r="B4454" i="9" s="1"/>
  <c r="A4454" i="2"/>
  <c r="A4454" i="9" s="1"/>
  <c r="B4453" i="2"/>
  <c r="B4453" i="9" s="1"/>
  <c r="A4453" i="2"/>
  <c r="A4453" i="9" s="1"/>
  <c r="B4452" i="2"/>
  <c r="B4452" i="9" s="1"/>
  <c r="A4452" i="2"/>
  <c r="A4452" i="9" s="1"/>
  <c r="B4451" i="2"/>
  <c r="B4451" i="9" s="1"/>
  <c r="A4451" i="2"/>
  <c r="A4451" i="9" s="1"/>
  <c r="B4450" i="2"/>
  <c r="B4450" i="9" s="1"/>
  <c r="A4450" i="2"/>
  <c r="A4450" i="9" s="1"/>
  <c r="B4449" i="2"/>
  <c r="B4449" i="9" s="1"/>
  <c r="A4449" i="2"/>
  <c r="A4449" i="9" s="1"/>
  <c r="B4448" i="2"/>
  <c r="B4448" i="9" s="1"/>
  <c r="A4448" i="2"/>
  <c r="A4448" i="9" s="1"/>
  <c r="B4447" i="2"/>
  <c r="B4447" i="9" s="1"/>
  <c r="A4447" i="2"/>
  <c r="A4447" i="9" s="1"/>
  <c r="B4446" i="2"/>
  <c r="B4446" i="9" s="1"/>
  <c r="A4446" i="2"/>
  <c r="A4446" i="9" s="1"/>
  <c r="B4445" i="2"/>
  <c r="B4445" i="9" s="1"/>
  <c r="A4445" i="2"/>
  <c r="A4445" i="9" s="1"/>
  <c r="B4444" i="2"/>
  <c r="B4444" i="9" s="1"/>
  <c r="A4444" i="2"/>
  <c r="A4444" i="9" s="1"/>
  <c r="B4443" i="2"/>
  <c r="B4443" i="9" s="1"/>
  <c r="A4443" i="2"/>
  <c r="A4443" i="9" s="1"/>
  <c r="B4442" i="2"/>
  <c r="B4442" i="9" s="1"/>
  <c r="A4442" i="2"/>
  <c r="A4442" i="9" s="1"/>
  <c r="B4441" i="2"/>
  <c r="B4441" i="9" s="1"/>
  <c r="A4441" i="2"/>
  <c r="A4441" i="9" s="1"/>
  <c r="B4440" i="2"/>
  <c r="B4440" i="9" s="1"/>
  <c r="A4440" i="2"/>
  <c r="A4440" i="9" s="1"/>
  <c r="B4439" i="2"/>
  <c r="B4439" i="9" s="1"/>
  <c r="A4439" i="2"/>
  <c r="A4439" i="9" s="1"/>
  <c r="B4438" i="2"/>
  <c r="B4438" i="9" s="1"/>
  <c r="A4438" i="2"/>
  <c r="A4438" i="9" s="1"/>
  <c r="B4437" i="2"/>
  <c r="B4437" i="9" s="1"/>
  <c r="A4437" i="2"/>
  <c r="A4437" i="9" s="1"/>
  <c r="B4436" i="2"/>
  <c r="B4436" i="9" s="1"/>
  <c r="A4436" i="2"/>
  <c r="A4436" i="9" s="1"/>
  <c r="B4435" i="2"/>
  <c r="B4435" i="9" s="1"/>
  <c r="A4435" i="2"/>
  <c r="A4435" i="9" s="1"/>
  <c r="B4434" i="2"/>
  <c r="B4434" i="9" s="1"/>
  <c r="A4434" i="2"/>
  <c r="A4434" i="9" s="1"/>
  <c r="B4433" i="2"/>
  <c r="B4433" i="9" s="1"/>
  <c r="A4433" i="2"/>
  <c r="A4433" i="9" s="1"/>
  <c r="B4432" i="2"/>
  <c r="B4432" i="9" s="1"/>
  <c r="A4432" i="2"/>
  <c r="A4432" i="9" s="1"/>
  <c r="B4431" i="2"/>
  <c r="B4431" i="9" s="1"/>
  <c r="A4431" i="2"/>
  <c r="A4431" i="9" s="1"/>
  <c r="B4430" i="2"/>
  <c r="B4430" i="9" s="1"/>
  <c r="A4430" i="2"/>
  <c r="A4430" i="9" s="1"/>
  <c r="B4429" i="2"/>
  <c r="B4429" i="9" s="1"/>
  <c r="A4429" i="2"/>
  <c r="A4429" i="9" s="1"/>
  <c r="B4428" i="2"/>
  <c r="B4428" i="9" s="1"/>
  <c r="A4428" i="2"/>
  <c r="A4428" i="9" s="1"/>
  <c r="B4427" i="2"/>
  <c r="B4427" i="9" s="1"/>
  <c r="A4427" i="2"/>
  <c r="A4427" i="9" s="1"/>
  <c r="B4426" i="2"/>
  <c r="B4426" i="9" s="1"/>
  <c r="A4426" i="2"/>
  <c r="A4426" i="9" s="1"/>
  <c r="B4425" i="2"/>
  <c r="B4425" i="9" s="1"/>
  <c r="A4425" i="2"/>
  <c r="A4425" i="9" s="1"/>
  <c r="B4424" i="2"/>
  <c r="B4424" i="9" s="1"/>
  <c r="A4424" i="2"/>
  <c r="A4424" i="9" s="1"/>
  <c r="B4423" i="2"/>
  <c r="B4423" i="9" s="1"/>
  <c r="A4423" i="2"/>
  <c r="A4423" i="9" s="1"/>
  <c r="B4422" i="2"/>
  <c r="B4422" i="9" s="1"/>
  <c r="A4422" i="2"/>
  <c r="A4422" i="9" s="1"/>
  <c r="B4421" i="2"/>
  <c r="B4421" i="9" s="1"/>
  <c r="A4421" i="2"/>
  <c r="A4421" i="9" s="1"/>
  <c r="B4420" i="2"/>
  <c r="B4420" i="9" s="1"/>
  <c r="A4420" i="2"/>
  <c r="A4420" i="9" s="1"/>
  <c r="B4419" i="2"/>
  <c r="B4419" i="9" s="1"/>
  <c r="A4419" i="2"/>
  <c r="A4419" i="9" s="1"/>
  <c r="B4418" i="2"/>
  <c r="B4418" i="9" s="1"/>
  <c r="A4418" i="2"/>
  <c r="A4418" i="9" s="1"/>
  <c r="B4417" i="2"/>
  <c r="B4417" i="9" s="1"/>
  <c r="A4417" i="2"/>
  <c r="A4417" i="9" s="1"/>
  <c r="B4416" i="2"/>
  <c r="B4416" i="9" s="1"/>
  <c r="A4416" i="2"/>
  <c r="A4416" i="9" s="1"/>
  <c r="B4415" i="2"/>
  <c r="B4415" i="9" s="1"/>
  <c r="A4415" i="2"/>
  <c r="A4415" i="9" s="1"/>
  <c r="B4414" i="2"/>
  <c r="B4414" i="9" s="1"/>
  <c r="A4414" i="2"/>
  <c r="A4414" i="9" s="1"/>
  <c r="B4413" i="2"/>
  <c r="B4413" i="9" s="1"/>
  <c r="A4413" i="2"/>
  <c r="A4413" i="9" s="1"/>
  <c r="B4412" i="2"/>
  <c r="B4412" i="9" s="1"/>
  <c r="A4412" i="2"/>
  <c r="A4412" i="9" s="1"/>
  <c r="B4411" i="2"/>
  <c r="B4411" i="9" s="1"/>
  <c r="A4411" i="2"/>
  <c r="A4411" i="9" s="1"/>
  <c r="B4410" i="2"/>
  <c r="B4410" i="9" s="1"/>
  <c r="A4410" i="2"/>
  <c r="A4410" i="9" s="1"/>
  <c r="B4409" i="2"/>
  <c r="B4409" i="9" s="1"/>
  <c r="A4409" i="2"/>
  <c r="A4409" i="9" s="1"/>
  <c r="B4408" i="2"/>
  <c r="B4408" i="9" s="1"/>
  <c r="A4408" i="2"/>
  <c r="A4408" i="9" s="1"/>
  <c r="B4407" i="2"/>
  <c r="B4407" i="9" s="1"/>
  <c r="A4407" i="2"/>
  <c r="A4407" i="9" s="1"/>
  <c r="B4406" i="2"/>
  <c r="B4406" i="9" s="1"/>
  <c r="A4406" i="2"/>
  <c r="A4406" i="9" s="1"/>
  <c r="B4405" i="2"/>
  <c r="B4405" i="9" s="1"/>
  <c r="A4405" i="2"/>
  <c r="A4405" i="9" s="1"/>
  <c r="B4404" i="2"/>
  <c r="B4404" i="9" s="1"/>
  <c r="A4404" i="2"/>
  <c r="A4404" i="9" s="1"/>
  <c r="B4403" i="2"/>
  <c r="B4403" i="9" s="1"/>
  <c r="A4403" i="2"/>
  <c r="A4403" i="9" s="1"/>
  <c r="B4402" i="2"/>
  <c r="B4402" i="9" s="1"/>
  <c r="A4402" i="2"/>
  <c r="A4402" i="9" s="1"/>
  <c r="B4401" i="2"/>
  <c r="B4401" i="9" s="1"/>
  <c r="A4401" i="2"/>
  <c r="A4401" i="9" s="1"/>
  <c r="B4400" i="2"/>
  <c r="B4400" i="9" s="1"/>
  <c r="A4400" i="2"/>
  <c r="A4400" i="9" s="1"/>
  <c r="B4399" i="2"/>
  <c r="B4399" i="9" s="1"/>
  <c r="A4399" i="2"/>
  <c r="A4399" i="9" s="1"/>
  <c r="B4398" i="2"/>
  <c r="B4398" i="9" s="1"/>
  <c r="A4398" i="2"/>
  <c r="A4398" i="9" s="1"/>
  <c r="B4397" i="2"/>
  <c r="B4397" i="9" s="1"/>
  <c r="A4397" i="2"/>
  <c r="A4397" i="9" s="1"/>
  <c r="B4396" i="2"/>
  <c r="B4396" i="9" s="1"/>
  <c r="A4396" i="2"/>
  <c r="A4396" i="9" s="1"/>
  <c r="B4395" i="2"/>
  <c r="B4395" i="9" s="1"/>
  <c r="A4395" i="2"/>
  <c r="A4395" i="9" s="1"/>
  <c r="B4394" i="2"/>
  <c r="B4394" i="9" s="1"/>
  <c r="A4394" i="2"/>
  <c r="A4394" i="9" s="1"/>
  <c r="B4393" i="2"/>
  <c r="B4393" i="9" s="1"/>
  <c r="A4393" i="2"/>
  <c r="A4393" i="9" s="1"/>
  <c r="B4392" i="2"/>
  <c r="B4392" i="9" s="1"/>
  <c r="A4392" i="2"/>
  <c r="A4392" i="9" s="1"/>
  <c r="B4391" i="2"/>
  <c r="B4391" i="9" s="1"/>
  <c r="A4391" i="2"/>
  <c r="A4391" i="9" s="1"/>
  <c r="B4390" i="2"/>
  <c r="B4390" i="9" s="1"/>
  <c r="A4390" i="2"/>
  <c r="A4390" i="9" s="1"/>
  <c r="B4389" i="2"/>
  <c r="B4389" i="9" s="1"/>
  <c r="A4389" i="2"/>
  <c r="A4389" i="9" s="1"/>
  <c r="B4388" i="2"/>
  <c r="B4388" i="9" s="1"/>
  <c r="A4388" i="2"/>
  <c r="A4388" i="9" s="1"/>
  <c r="B4387" i="2"/>
  <c r="B4387" i="9" s="1"/>
  <c r="A4387" i="2"/>
  <c r="A4387" i="9" s="1"/>
  <c r="B4386" i="2"/>
  <c r="B4386" i="9" s="1"/>
  <c r="A4386" i="2"/>
  <c r="A4386" i="9" s="1"/>
  <c r="B4385" i="2"/>
  <c r="B4385" i="9" s="1"/>
  <c r="A4385" i="2"/>
  <c r="A4385" i="9" s="1"/>
  <c r="B4384" i="2"/>
  <c r="B4384" i="9" s="1"/>
  <c r="A4384" i="2"/>
  <c r="A4384" i="9" s="1"/>
  <c r="B4383" i="2"/>
  <c r="B4383" i="9" s="1"/>
  <c r="A4383" i="2"/>
  <c r="A4383" i="9" s="1"/>
  <c r="B4382" i="2"/>
  <c r="B4382" i="9" s="1"/>
  <c r="A4382" i="2"/>
  <c r="A4382" i="9" s="1"/>
  <c r="B4381" i="2"/>
  <c r="B4381" i="9" s="1"/>
  <c r="A4381" i="2"/>
  <c r="A4381" i="9" s="1"/>
  <c r="B4380" i="2"/>
  <c r="B4380" i="9" s="1"/>
  <c r="A4380" i="2"/>
  <c r="A4380" i="9" s="1"/>
  <c r="B4379" i="2"/>
  <c r="B4379" i="9" s="1"/>
  <c r="A4379" i="2"/>
  <c r="A4379" i="9" s="1"/>
  <c r="B4378" i="2"/>
  <c r="B4378" i="9" s="1"/>
  <c r="A4378" i="2"/>
  <c r="A4378" i="9" s="1"/>
  <c r="B4377" i="2"/>
  <c r="B4377" i="9" s="1"/>
  <c r="A4377" i="2"/>
  <c r="A4377" i="9" s="1"/>
  <c r="B4376" i="2"/>
  <c r="B4376" i="9" s="1"/>
  <c r="A4376" i="2"/>
  <c r="A4376" i="9" s="1"/>
  <c r="B4375" i="2"/>
  <c r="B4375" i="9" s="1"/>
  <c r="A4375" i="2"/>
  <c r="A4375" i="9" s="1"/>
  <c r="B4374" i="2"/>
  <c r="B4374" i="9" s="1"/>
  <c r="A4374" i="2"/>
  <c r="A4374" i="9" s="1"/>
  <c r="B4373" i="2"/>
  <c r="B4373" i="9" s="1"/>
  <c r="A4373" i="2"/>
  <c r="A4373" i="9" s="1"/>
  <c r="B4372" i="2"/>
  <c r="B4372" i="9" s="1"/>
  <c r="A4372" i="2"/>
  <c r="A4372" i="9" s="1"/>
  <c r="B4371" i="2"/>
  <c r="B4371" i="9" s="1"/>
  <c r="A4371" i="2"/>
  <c r="A4371" i="9" s="1"/>
  <c r="B4370" i="2"/>
  <c r="B4370" i="9" s="1"/>
  <c r="A4370" i="2"/>
  <c r="A4370" i="9" s="1"/>
  <c r="B4369" i="2"/>
  <c r="B4369" i="9" s="1"/>
  <c r="A4369" i="2"/>
  <c r="A4369" i="9" s="1"/>
  <c r="B4368" i="2"/>
  <c r="B4368" i="9" s="1"/>
  <c r="A4368" i="2"/>
  <c r="A4368" i="9" s="1"/>
  <c r="B4367" i="2"/>
  <c r="B4367" i="9" s="1"/>
  <c r="A4367" i="2"/>
  <c r="A4367" i="9" s="1"/>
  <c r="B4366" i="2"/>
  <c r="B4366" i="9" s="1"/>
  <c r="A4366" i="2"/>
  <c r="A4366" i="9" s="1"/>
  <c r="B4365" i="2"/>
  <c r="B4365" i="9" s="1"/>
  <c r="A4365" i="2"/>
  <c r="A4365" i="9" s="1"/>
  <c r="B4364" i="2"/>
  <c r="B4364" i="9" s="1"/>
  <c r="A4364" i="2"/>
  <c r="A4364" i="9" s="1"/>
  <c r="B4363" i="2"/>
  <c r="B4363" i="9" s="1"/>
  <c r="A4363" i="2"/>
  <c r="A4363" i="9" s="1"/>
  <c r="B4362" i="2"/>
  <c r="B4362" i="9" s="1"/>
  <c r="A4362" i="2"/>
  <c r="A4362" i="9" s="1"/>
  <c r="B4361" i="2"/>
  <c r="B4361" i="9" s="1"/>
  <c r="A4361" i="2"/>
  <c r="A4361" i="9" s="1"/>
  <c r="B4360" i="2"/>
  <c r="B4360" i="9" s="1"/>
  <c r="A4360" i="2"/>
  <c r="A4360" i="9" s="1"/>
  <c r="B4359" i="2"/>
  <c r="B4359" i="9" s="1"/>
  <c r="A4359" i="2"/>
  <c r="A4359" i="9" s="1"/>
  <c r="B4358" i="2"/>
  <c r="B4358" i="9" s="1"/>
  <c r="A4358" i="2"/>
  <c r="A4358" i="9" s="1"/>
  <c r="B4357" i="2"/>
  <c r="B4357" i="9" s="1"/>
  <c r="A4357" i="2"/>
  <c r="A4357" i="9" s="1"/>
  <c r="B4356" i="2"/>
  <c r="B4356" i="9" s="1"/>
  <c r="A4356" i="2"/>
  <c r="A4356" i="9" s="1"/>
  <c r="B4355" i="2"/>
  <c r="B4355" i="9" s="1"/>
  <c r="A4355" i="2"/>
  <c r="A4355" i="9" s="1"/>
  <c r="B4354" i="2"/>
  <c r="B4354" i="9" s="1"/>
  <c r="A4354" i="2"/>
  <c r="A4354" i="9" s="1"/>
  <c r="B4353" i="2"/>
  <c r="B4353" i="9" s="1"/>
  <c r="A4353" i="2"/>
  <c r="A4353" i="9" s="1"/>
  <c r="B4352" i="2"/>
  <c r="B4352" i="9" s="1"/>
  <c r="A4352" i="2"/>
  <c r="A4352" i="9" s="1"/>
  <c r="B4351" i="2"/>
  <c r="B4351" i="9" s="1"/>
  <c r="A4351" i="2"/>
  <c r="A4351" i="9" s="1"/>
  <c r="B4350" i="2"/>
  <c r="B4350" i="9" s="1"/>
  <c r="A4350" i="2"/>
  <c r="A4350" i="9" s="1"/>
  <c r="B4349" i="2"/>
  <c r="B4349" i="9" s="1"/>
  <c r="A4349" i="2"/>
  <c r="A4349" i="9" s="1"/>
  <c r="B4348" i="2"/>
  <c r="B4348" i="9" s="1"/>
  <c r="A4348" i="2"/>
  <c r="A4348" i="9" s="1"/>
  <c r="B4347" i="2"/>
  <c r="B4347" i="9" s="1"/>
  <c r="A4347" i="2"/>
  <c r="A4347" i="9" s="1"/>
  <c r="B4346" i="2"/>
  <c r="B4346" i="9" s="1"/>
  <c r="A4346" i="2"/>
  <c r="A4346" i="9" s="1"/>
  <c r="B4345" i="2"/>
  <c r="B4345" i="9" s="1"/>
  <c r="A4345" i="2"/>
  <c r="A4345" i="9" s="1"/>
  <c r="B4344" i="2"/>
  <c r="B4344" i="9" s="1"/>
  <c r="A4344" i="2"/>
  <c r="A4344" i="9" s="1"/>
  <c r="B4343" i="2"/>
  <c r="B4343" i="9" s="1"/>
  <c r="A4343" i="2"/>
  <c r="A4343" i="9" s="1"/>
  <c r="B4342" i="2"/>
  <c r="B4342" i="9" s="1"/>
  <c r="A4342" i="2"/>
  <c r="A4342" i="9" s="1"/>
  <c r="B4341" i="2"/>
  <c r="B4341" i="9" s="1"/>
  <c r="A4341" i="2"/>
  <c r="A4341" i="9" s="1"/>
  <c r="B4340" i="2"/>
  <c r="B4340" i="9" s="1"/>
  <c r="A4340" i="2"/>
  <c r="A4340" i="9" s="1"/>
  <c r="B4339" i="2"/>
  <c r="B4339" i="9" s="1"/>
  <c r="A4339" i="2"/>
  <c r="A4339" i="9" s="1"/>
  <c r="B4338" i="2"/>
  <c r="B4338" i="9" s="1"/>
  <c r="A4338" i="2"/>
  <c r="A4338" i="9" s="1"/>
  <c r="B4337" i="2"/>
  <c r="B4337" i="9" s="1"/>
  <c r="A4337" i="2"/>
  <c r="A4337" i="9" s="1"/>
  <c r="B4336" i="2"/>
  <c r="B4336" i="9" s="1"/>
  <c r="A4336" i="2"/>
  <c r="A4336" i="9" s="1"/>
  <c r="B4335" i="2"/>
  <c r="B4335" i="9" s="1"/>
  <c r="A4335" i="2"/>
  <c r="A4335" i="9" s="1"/>
  <c r="B4334" i="2"/>
  <c r="B4334" i="9" s="1"/>
  <c r="A4334" i="2"/>
  <c r="A4334" i="9" s="1"/>
  <c r="B4333" i="2"/>
  <c r="B4333" i="9" s="1"/>
  <c r="A4333" i="2"/>
  <c r="A4333" i="9" s="1"/>
  <c r="B4332" i="2"/>
  <c r="B4332" i="9" s="1"/>
  <c r="A4332" i="2"/>
  <c r="A4332" i="9" s="1"/>
  <c r="B4331" i="2"/>
  <c r="B4331" i="9" s="1"/>
  <c r="A4331" i="2"/>
  <c r="A4331" i="9" s="1"/>
  <c r="B4330" i="2"/>
  <c r="B4330" i="9" s="1"/>
  <c r="A4330" i="2"/>
  <c r="A4330" i="9" s="1"/>
  <c r="B4329" i="2"/>
  <c r="B4329" i="9" s="1"/>
  <c r="A4329" i="2"/>
  <c r="A4329" i="9" s="1"/>
  <c r="B4328" i="2"/>
  <c r="B4328" i="9" s="1"/>
  <c r="A4328" i="2"/>
  <c r="A4328" i="9" s="1"/>
  <c r="B4327" i="2"/>
  <c r="B4327" i="9" s="1"/>
  <c r="A4327" i="2"/>
  <c r="A4327" i="9" s="1"/>
  <c r="B4326" i="2"/>
  <c r="B4326" i="9" s="1"/>
  <c r="A4326" i="2"/>
  <c r="A4326" i="9" s="1"/>
  <c r="B4325" i="2"/>
  <c r="B4325" i="9" s="1"/>
  <c r="A4325" i="2"/>
  <c r="A4325" i="9" s="1"/>
  <c r="B4324" i="2"/>
  <c r="B4324" i="9" s="1"/>
  <c r="A4324" i="2"/>
  <c r="A4324" i="9" s="1"/>
  <c r="B4323" i="2"/>
  <c r="B4323" i="9" s="1"/>
  <c r="A4323" i="2"/>
  <c r="A4323" i="9" s="1"/>
  <c r="B4322" i="2"/>
  <c r="B4322" i="9" s="1"/>
  <c r="A4322" i="2"/>
  <c r="A4322" i="9" s="1"/>
  <c r="B4321" i="2"/>
  <c r="B4321" i="9" s="1"/>
  <c r="A4321" i="2"/>
  <c r="A4321" i="9" s="1"/>
  <c r="B4320" i="2"/>
  <c r="B4320" i="9" s="1"/>
  <c r="A4320" i="2"/>
  <c r="A4320" i="9" s="1"/>
  <c r="B4319" i="2"/>
  <c r="B4319" i="9" s="1"/>
  <c r="A4319" i="2"/>
  <c r="A4319" i="9" s="1"/>
  <c r="B4318" i="2"/>
  <c r="B4318" i="9" s="1"/>
  <c r="A4318" i="2"/>
  <c r="A4318" i="9" s="1"/>
  <c r="B4317" i="2"/>
  <c r="B4317" i="9" s="1"/>
  <c r="A4317" i="2"/>
  <c r="A4317" i="9" s="1"/>
  <c r="B4316" i="2"/>
  <c r="B4316" i="9" s="1"/>
  <c r="A4316" i="2"/>
  <c r="A4316" i="9" s="1"/>
  <c r="B4315" i="2"/>
  <c r="B4315" i="9" s="1"/>
  <c r="A4315" i="2"/>
  <c r="A4315" i="9" s="1"/>
  <c r="B4314" i="2"/>
  <c r="B4314" i="9" s="1"/>
  <c r="A4314" i="2"/>
  <c r="A4314" i="9" s="1"/>
  <c r="B4313" i="2"/>
  <c r="B4313" i="9" s="1"/>
  <c r="A4313" i="2"/>
  <c r="A4313" i="9" s="1"/>
  <c r="B4312" i="2"/>
  <c r="B4312" i="9" s="1"/>
  <c r="A4312" i="2"/>
  <c r="A4312" i="9" s="1"/>
  <c r="B4311" i="2"/>
  <c r="B4311" i="9" s="1"/>
  <c r="A4311" i="2"/>
  <c r="A4311" i="9" s="1"/>
  <c r="B4310" i="2"/>
  <c r="B4310" i="9" s="1"/>
  <c r="A4310" i="2"/>
  <c r="A4310" i="9" s="1"/>
  <c r="B4309" i="2"/>
  <c r="B4309" i="9" s="1"/>
  <c r="A4309" i="2"/>
  <c r="A4309" i="9" s="1"/>
  <c r="B4308" i="2"/>
  <c r="B4308" i="9" s="1"/>
  <c r="A4308" i="2"/>
  <c r="A4308" i="9" s="1"/>
  <c r="B4307" i="2"/>
  <c r="B4307" i="9" s="1"/>
  <c r="A4307" i="2"/>
  <c r="A4307" i="9" s="1"/>
  <c r="B4306" i="2"/>
  <c r="B4306" i="9" s="1"/>
  <c r="A4306" i="2"/>
  <c r="A4306" i="9" s="1"/>
  <c r="B4305" i="2"/>
  <c r="B4305" i="9" s="1"/>
  <c r="A4305" i="2"/>
  <c r="A4305" i="9" s="1"/>
  <c r="B4304" i="2"/>
  <c r="B4304" i="9" s="1"/>
  <c r="A4304" i="2"/>
  <c r="A4304" i="9" s="1"/>
  <c r="B4303" i="2"/>
  <c r="B4303" i="9" s="1"/>
  <c r="A4303" i="2"/>
  <c r="A4303" i="9" s="1"/>
  <c r="B4302" i="2"/>
  <c r="B4302" i="9" s="1"/>
  <c r="A4302" i="2"/>
  <c r="A4302" i="9" s="1"/>
  <c r="B4301" i="2"/>
  <c r="B4301" i="9" s="1"/>
  <c r="A4301" i="2"/>
  <c r="A4301" i="9" s="1"/>
  <c r="B4300" i="2"/>
  <c r="B4300" i="9" s="1"/>
  <c r="A4300" i="2"/>
  <c r="A4300" i="9" s="1"/>
  <c r="B4299" i="2"/>
  <c r="B4299" i="9" s="1"/>
  <c r="A4299" i="2"/>
  <c r="A4299" i="9" s="1"/>
  <c r="B4298" i="2"/>
  <c r="B4298" i="9" s="1"/>
  <c r="A4298" i="2"/>
  <c r="A4298" i="9" s="1"/>
  <c r="B4297" i="2"/>
  <c r="B4297" i="9" s="1"/>
  <c r="A4297" i="2"/>
  <c r="A4297" i="9" s="1"/>
  <c r="B4296" i="2"/>
  <c r="B4296" i="9" s="1"/>
  <c r="A4296" i="2"/>
  <c r="A4296" i="9" s="1"/>
  <c r="B4295" i="2"/>
  <c r="B4295" i="9" s="1"/>
  <c r="A4295" i="2"/>
  <c r="A4295" i="9" s="1"/>
  <c r="B4294" i="2"/>
  <c r="B4294" i="9" s="1"/>
  <c r="A4294" i="2"/>
  <c r="A4294" i="9" s="1"/>
  <c r="B4293" i="2"/>
  <c r="B4293" i="9" s="1"/>
  <c r="A4293" i="2"/>
  <c r="A4293" i="9" s="1"/>
  <c r="B4292" i="2"/>
  <c r="B4292" i="9" s="1"/>
  <c r="A4292" i="2"/>
  <c r="A4292" i="9" s="1"/>
  <c r="B4291" i="2"/>
  <c r="B4291" i="9" s="1"/>
  <c r="A4291" i="2"/>
  <c r="A4291" i="9" s="1"/>
  <c r="B4290" i="2"/>
  <c r="B4290" i="9" s="1"/>
  <c r="A4290" i="2"/>
  <c r="A4290" i="9" s="1"/>
  <c r="B4289" i="2"/>
  <c r="B4289" i="9" s="1"/>
  <c r="A4289" i="2"/>
  <c r="A4289" i="9" s="1"/>
  <c r="B4288" i="2"/>
  <c r="B4288" i="9" s="1"/>
  <c r="A4288" i="2"/>
  <c r="A4288" i="9" s="1"/>
  <c r="B4287" i="2"/>
  <c r="B4287" i="9" s="1"/>
  <c r="A4287" i="2"/>
  <c r="A4287" i="9" s="1"/>
  <c r="B4286" i="2"/>
  <c r="B4286" i="9" s="1"/>
  <c r="A4286" i="2"/>
  <c r="A4286" i="9" s="1"/>
  <c r="B4285" i="2"/>
  <c r="B4285" i="9" s="1"/>
  <c r="A4285" i="2"/>
  <c r="A4285" i="9" s="1"/>
  <c r="B4284" i="2"/>
  <c r="B4284" i="9" s="1"/>
  <c r="A4284" i="2"/>
  <c r="A4284" i="9" s="1"/>
  <c r="B4283" i="2"/>
  <c r="B4283" i="9" s="1"/>
  <c r="A4283" i="2"/>
  <c r="A4283" i="9" s="1"/>
  <c r="B4282" i="2"/>
  <c r="B4282" i="9" s="1"/>
  <c r="A4282" i="2"/>
  <c r="A4282" i="9" s="1"/>
  <c r="B4281" i="2"/>
  <c r="B4281" i="9" s="1"/>
  <c r="A4281" i="2"/>
  <c r="A4281" i="9" s="1"/>
  <c r="B4280" i="2"/>
  <c r="B4280" i="9" s="1"/>
  <c r="A4280" i="2"/>
  <c r="A4280" i="9" s="1"/>
  <c r="B4279" i="2"/>
  <c r="B4279" i="9" s="1"/>
  <c r="A4279" i="2"/>
  <c r="A4279" i="9" s="1"/>
  <c r="B4278" i="2"/>
  <c r="B4278" i="9" s="1"/>
  <c r="A4278" i="2"/>
  <c r="A4278" i="9" s="1"/>
  <c r="B4277" i="2"/>
  <c r="B4277" i="9" s="1"/>
  <c r="A4277" i="2"/>
  <c r="A4277" i="9" s="1"/>
  <c r="B4276" i="2"/>
  <c r="B4276" i="9" s="1"/>
  <c r="A4276" i="2"/>
  <c r="A4276" i="9" s="1"/>
  <c r="B4275" i="2"/>
  <c r="B4275" i="9" s="1"/>
  <c r="A4275" i="2"/>
  <c r="A4275" i="9" s="1"/>
  <c r="B4274" i="2"/>
  <c r="B4274" i="9" s="1"/>
  <c r="A4274" i="2"/>
  <c r="A4274" i="9" s="1"/>
  <c r="B4273" i="2"/>
  <c r="B4273" i="9" s="1"/>
  <c r="A4273" i="2"/>
  <c r="A4273" i="9" s="1"/>
  <c r="B4272" i="2"/>
  <c r="B4272" i="9" s="1"/>
  <c r="A4272" i="2"/>
  <c r="A4272" i="9" s="1"/>
  <c r="B4271" i="2"/>
  <c r="B4271" i="9" s="1"/>
  <c r="A4271" i="2"/>
  <c r="A4271" i="9" s="1"/>
  <c r="B4270" i="2"/>
  <c r="B4270" i="9" s="1"/>
  <c r="A4270" i="2"/>
  <c r="A4270" i="9" s="1"/>
  <c r="B4269" i="2"/>
  <c r="B4269" i="9" s="1"/>
  <c r="A4269" i="2"/>
  <c r="A4269" i="9" s="1"/>
  <c r="B4268" i="2"/>
  <c r="B4268" i="9" s="1"/>
  <c r="A4268" i="2"/>
  <c r="A4268" i="9" s="1"/>
  <c r="B4267" i="2"/>
  <c r="B4267" i="9" s="1"/>
  <c r="A4267" i="2"/>
  <c r="A4267" i="9" s="1"/>
  <c r="B4266" i="2"/>
  <c r="B4266" i="9" s="1"/>
  <c r="A4266" i="2"/>
  <c r="A4266" i="9" s="1"/>
  <c r="B4265" i="2"/>
  <c r="B4265" i="9" s="1"/>
  <c r="A4265" i="2"/>
  <c r="A4265" i="9" s="1"/>
  <c r="B4264" i="2"/>
  <c r="B4264" i="9" s="1"/>
  <c r="A4264" i="2"/>
  <c r="A4264" i="9" s="1"/>
  <c r="B4263" i="2"/>
  <c r="B4263" i="9" s="1"/>
  <c r="A4263" i="2"/>
  <c r="A4263" i="9" s="1"/>
  <c r="B4262" i="2"/>
  <c r="B4262" i="9" s="1"/>
  <c r="A4262" i="2"/>
  <c r="A4262" i="9" s="1"/>
  <c r="B4261" i="2"/>
  <c r="B4261" i="9" s="1"/>
  <c r="A4261" i="2"/>
  <c r="A4261" i="9" s="1"/>
  <c r="B4260" i="2"/>
  <c r="B4260" i="9" s="1"/>
  <c r="A4260" i="2"/>
  <c r="A4260" i="9" s="1"/>
  <c r="B4259" i="2"/>
  <c r="B4259" i="9" s="1"/>
  <c r="A4259" i="2"/>
  <c r="A4259" i="9" s="1"/>
  <c r="B4258" i="2"/>
  <c r="B4258" i="9" s="1"/>
  <c r="A4258" i="2"/>
  <c r="A4258" i="9" s="1"/>
  <c r="B4257" i="2"/>
  <c r="B4257" i="9" s="1"/>
  <c r="A4257" i="2"/>
  <c r="A4257" i="9" s="1"/>
  <c r="B4256" i="2"/>
  <c r="B4256" i="9" s="1"/>
  <c r="A4256" i="2"/>
  <c r="A4256" i="9" s="1"/>
  <c r="B4255" i="2"/>
  <c r="B4255" i="9" s="1"/>
  <c r="A4255" i="2"/>
  <c r="A4255" i="9" s="1"/>
  <c r="B4254" i="2"/>
  <c r="B4254" i="9" s="1"/>
  <c r="A4254" i="2"/>
  <c r="A4254" i="9" s="1"/>
  <c r="B4253" i="2"/>
  <c r="B4253" i="9" s="1"/>
  <c r="A4253" i="2"/>
  <c r="A4253" i="9" s="1"/>
  <c r="B4252" i="2"/>
  <c r="B4252" i="9" s="1"/>
  <c r="A4252" i="2"/>
  <c r="A4252" i="9" s="1"/>
  <c r="B4251" i="2"/>
  <c r="B4251" i="9" s="1"/>
  <c r="A4251" i="2"/>
  <c r="A4251" i="9" s="1"/>
  <c r="B4250" i="2"/>
  <c r="B4250" i="9" s="1"/>
  <c r="A4250" i="2"/>
  <c r="A4250" i="9" s="1"/>
  <c r="B4249" i="2"/>
  <c r="B4249" i="9" s="1"/>
  <c r="A4249" i="2"/>
  <c r="A4249" i="9" s="1"/>
  <c r="B4248" i="2"/>
  <c r="B4248" i="9" s="1"/>
  <c r="A4248" i="2"/>
  <c r="A4248" i="9" s="1"/>
  <c r="B4247" i="2"/>
  <c r="B4247" i="9" s="1"/>
  <c r="A4247" i="2"/>
  <c r="A4247" i="9" s="1"/>
  <c r="B4246" i="2"/>
  <c r="B4246" i="9" s="1"/>
  <c r="A4246" i="2"/>
  <c r="A4246" i="9" s="1"/>
  <c r="B4245" i="2"/>
  <c r="B4245" i="9" s="1"/>
  <c r="A4245" i="2"/>
  <c r="A4245" i="9" s="1"/>
  <c r="B4244" i="2"/>
  <c r="B4244" i="9" s="1"/>
  <c r="A4244" i="2"/>
  <c r="A4244" i="9" s="1"/>
  <c r="B4243" i="2"/>
  <c r="B4243" i="9" s="1"/>
  <c r="A4243" i="2"/>
  <c r="A4243" i="9" s="1"/>
  <c r="B4242" i="2"/>
  <c r="B4242" i="9" s="1"/>
  <c r="A4242" i="2"/>
  <c r="A4242" i="9" s="1"/>
  <c r="B4241" i="2"/>
  <c r="B4241" i="9" s="1"/>
  <c r="A4241" i="2"/>
  <c r="A4241" i="9" s="1"/>
  <c r="B4240" i="2"/>
  <c r="B4240" i="9" s="1"/>
  <c r="A4240" i="2"/>
  <c r="A4240" i="9" s="1"/>
  <c r="B4239" i="2"/>
  <c r="B4239" i="9" s="1"/>
  <c r="A4239" i="2"/>
  <c r="A4239" i="9" s="1"/>
  <c r="B4238" i="2"/>
  <c r="B4238" i="9" s="1"/>
  <c r="A4238" i="2"/>
  <c r="A4238" i="9" s="1"/>
  <c r="B4237" i="2"/>
  <c r="B4237" i="9" s="1"/>
  <c r="A4237" i="2"/>
  <c r="A4237" i="9" s="1"/>
  <c r="B4236" i="2"/>
  <c r="B4236" i="9" s="1"/>
  <c r="A4236" i="2"/>
  <c r="A4236" i="9" s="1"/>
  <c r="B4235" i="2"/>
  <c r="B4235" i="9" s="1"/>
  <c r="A4235" i="2"/>
  <c r="A4235" i="9" s="1"/>
  <c r="B4234" i="2"/>
  <c r="B4234" i="9" s="1"/>
  <c r="A4234" i="2"/>
  <c r="A4234" i="9" s="1"/>
  <c r="B4233" i="2"/>
  <c r="B4233" i="9" s="1"/>
  <c r="A4233" i="2"/>
  <c r="A4233" i="9" s="1"/>
  <c r="B4232" i="2"/>
  <c r="B4232" i="9" s="1"/>
  <c r="A4232" i="2"/>
  <c r="A4232" i="9" s="1"/>
  <c r="B4231" i="2"/>
  <c r="B4231" i="9" s="1"/>
  <c r="A4231" i="2"/>
  <c r="A4231" i="9" s="1"/>
  <c r="B4230" i="2"/>
  <c r="B4230" i="9" s="1"/>
  <c r="A4230" i="2"/>
  <c r="A4230" i="9" s="1"/>
  <c r="B4229" i="2"/>
  <c r="B4229" i="9" s="1"/>
  <c r="A4229" i="2"/>
  <c r="A4229" i="9" s="1"/>
  <c r="B4228" i="2"/>
  <c r="B4228" i="9" s="1"/>
  <c r="A4228" i="2"/>
  <c r="A4228" i="9" s="1"/>
  <c r="B4227" i="2"/>
  <c r="B4227" i="9" s="1"/>
  <c r="A4227" i="2"/>
  <c r="A4227" i="9" s="1"/>
  <c r="B4226" i="2"/>
  <c r="B4226" i="9" s="1"/>
  <c r="A4226" i="2"/>
  <c r="A4226" i="9" s="1"/>
  <c r="B4225" i="2"/>
  <c r="B4225" i="9" s="1"/>
  <c r="A4225" i="2"/>
  <c r="A4225" i="9" s="1"/>
  <c r="B4224" i="2"/>
  <c r="B4224" i="9" s="1"/>
  <c r="A4224" i="2"/>
  <c r="A4224" i="9" s="1"/>
  <c r="B4223" i="2"/>
  <c r="B4223" i="9" s="1"/>
  <c r="A4223" i="2"/>
  <c r="A4223" i="9" s="1"/>
  <c r="B4222" i="2"/>
  <c r="B4222" i="9" s="1"/>
  <c r="A4222" i="2"/>
  <c r="A4222" i="9" s="1"/>
  <c r="B4221" i="2"/>
  <c r="B4221" i="9" s="1"/>
  <c r="A4221" i="2"/>
  <c r="A4221" i="9" s="1"/>
  <c r="B4220" i="2"/>
  <c r="B4220" i="9" s="1"/>
  <c r="A4220" i="2"/>
  <c r="A4220" i="9" s="1"/>
  <c r="B4219" i="2"/>
  <c r="B4219" i="9" s="1"/>
  <c r="A4219" i="2"/>
  <c r="A4219" i="9" s="1"/>
  <c r="B4218" i="2"/>
  <c r="B4218" i="9" s="1"/>
  <c r="A4218" i="2"/>
  <c r="A4218" i="9" s="1"/>
  <c r="B4217" i="2"/>
  <c r="B4217" i="9" s="1"/>
  <c r="A4217" i="2"/>
  <c r="A4217" i="9" s="1"/>
  <c r="B4216" i="2"/>
  <c r="B4216" i="9" s="1"/>
  <c r="A4216" i="2"/>
  <c r="A4216" i="9" s="1"/>
  <c r="B4215" i="2"/>
  <c r="B4215" i="9" s="1"/>
  <c r="A4215" i="2"/>
  <c r="A4215" i="9" s="1"/>
  <c r="B4214" i="2"/>
  <c r="B4214" i="9" s="1"/>
  <c r="A4214" i="2"/>
  <c r="A4214" i="9" s="1"/>
  <c r="B4213" i="2"/>
  <c r="B4213" i="9" s="1"/>
  <c r="A4213" i="2"/>
  <c r="A4213" i="9" s="1"/>
  <c r="B4212" i="2"/>
  <c r="B4212" i="9" s="1"/>
  <c r="A4212" i="2"/>
  <c r="A4212" i="9" s="1"/>
  <c r="B4211" i="2"/>
  <c r="B4211" i="9" s="1"/>
  <c r="A4211" i="2"/>
  <c r="A4211" i="9" s="1"/>
  <c r="B4210" i="2"/>
  <c r="B4210" i="9" s="1"/>
  <c r="A4210" i="2"/>
  <c r="A4210" i="9" s="1"/>
  <c r="B4209" i="2"/>
  <c r="B4209" i="9" s="1"/>
  <c r="A4209" i="2"/>
  <c r="A4209" i="9" s="1"/>
  <c r="B4208" i="2"/>
  <c r="B4208" i="9" s="1"/>
  <c r="A4208" i="2"/>
  <c r="A4208" i="9" s="1"/>
  <c r="B4207" i="2"/>
  <c r="B4207" i="9" s="1"/>
  <c r="A4207" i="2"/>
  <c r="A4207" i="9" s="1"/>
  <c r="B4206" i="2"/>
  <c r="B4206" i="9" s="1"/>
  <c r="A4206" i="2"/>
  <c r="A4206" i="9" s="1"/>
  <c r="B4205" i="2"/>
  <c r="B4205" i="9" s="1"/>
  <c r="A4205" i="2"/>
  <c r="A4205" i="9" s="1"/>
  <c r="B4204" i="2"/>
  <c r="B4204" i="9" s="1"/>
  <c r="A4204" i="2"/>
  <c r="A4204" i="9" s="1"/>
  <c r="B4203" i="2"/>
  <c r="B4203" i="9" s="1"/>
  <c r="A4203" i="2"/>
  <c r="A4203" i="9" s="1"/>
  <c r="B4202" i="2"/>
  <c r="B4202" i="9" s="1"/>
  <c r="A4202" i="2"/>
  <c r="A4202" i="9" s="1"/>
  <c r="B4201" i="2"/>
  <c r="B4201" i="9" s="1"/>
  <c r="A4201" i="2"/>
  <c r="A4201" i="9" s="1"/>
  <c r="B4200" i="2"/>
  <c r="B4200" i="9" s="1"/>
  <c r="A4200" i="2"/>
  <c r="A4200" i="9" s="1"/>
  <c r="B4199" i="2"/>
  <c r="B4199" i="9" s="1"/>
  <c r="A4199" i="2"/>
  <c r="A4199" i="9" s="1"/>
  <c r="B4198" i="2"/>
  <c r="B4198" i="9" s="1"/>
  <c r="A4198" i="2"/>
  <c r="A4198" i="9" s="1"/>
  <c r="B4197" i="2"/>
  <c r="B4197" i="9" s="1"/>
  <c r="A4197" i="2"/>
  <c r="A4197" i="9" s="1"/>
  <c r="B4196" i="2"/>
  <c r="B4196" i="9" s="1"/>
  <c r="A4196" i="2"/>
  <c r="A4196" i="9" s="1"/>
  <c r="B4195" i="2"/>
  <c r="B4195" i="9" s="1"/>
  <c r="A4195" i="2"/>
  <c r="A4195" i="9" s="1"/>
  <c r="B4194" i="2"/>
  <c r="B4194" i="9" s="1"/>
  <c r="A4194" i="2"/>
  <c r="A4194" i="9" s="1"/>
  <c r="B4193" i="2"/>
  <c r="B4193" i="9" s="1"/>
  <c r="A4193" i="2"/>
  <c r="A4193" i="9" s="1"/>
  <c r="B4192" i="2"/>
  <c r="B4192" i="9" s="1"/>
  <c r="A4192" i="2"/>
  <c r="A4192" i="9" s="1"/>
  <c r="B4191" i="2"/>
  <c r="B4191" i="9" s="1"/>
  <c r="A4191" i="2"/>
  <c r="A4191" i="9" s="1"/>
  <c r="B4190" i="2"/>
  <c r="B4190" i="9" s="1"/>
  <c r="A4190" i="2"/>
  <c r="A4190" i="9" s="1"/>
  <c r="B4189" i="2"/>
  <c r="B4189" i="9" s="1"/>
  <c r="A4189" i="2"/>
  <c r="A4189" i="9" s="1"/>
  <c r="B4188" i="2"/>
  <c r="B4188" i="9" s="1"/>
  <c r="A4188" i="2"/>
  <c r="A4188" i="9" s="1"/>
  <c r="B4187" i="2"/>
  <c r="B4187" i="9" s="1"/>
  <c r="A4187" i="2"/>
  <c r="A4187" i="9" s="1"/>
  <c r="B4186" i="2"/>
  <c r="B4186" i="9" s="1"/>
  <c r="A4186" i="2"/>
  <c r="A4186" i="9" s="1"/>
  <c r="B4185" i="2"/>
  <c r="B4185" i="9" s="1"/>
  <c r="A4185" i="2"/>
  <c r="A4185" i="9" s="1"/>
  <c r="B4184" i="2"/>
  <c r="B4184" i="9" s="1"/>
  <c r="A4184" i="2"/>
  <c r="A4184" i="9" s="1"/>
  <c r="B4183" i="2"/>
  <c r="B4183" i="9" s="1"/>
  <c r="A4183" i="2"/>
  <c r="A4183" i="9" s="1"/>
  <c r="B4182" i="2"/>
  <c r="B4182" i="9" s="1"/>
  <c r="A4182" i="2"/>
  <c r="A4182" i="9" s="1"/>
  <c r="B4181" i="2"/>
  <c r="B4181" i="9" s="1"/>
  <c r="A4181" i="2"/>
  <c r="A4181" i="9" s="1"/>
  <c r="B4180" i="2"/>
  <c r="B4180" i="9" s="1"/>
  <c r="A4180" i="2"/>
  <c r="A4180" i="9" s="1"/>
  <c r="B4179" i="2"/>
  <c r="B4179" i="9" s="1"/>
  <c r="A4179" i="2"/>
  <c r="A4179" i="9" s="1"/>
  <c r="B4178" i="2"/>
  <c r="B4178" i="9" s="1"/>
  <c r="A4178" i="2"/>
  <c r="A4178" i="9" s="1"/>
  <c r="B4177" i="2"/>
  <c r="B4177" i="9" s="1"/>
  <c r="A4177" i="2"/>
  <c r="A4177" i="9" s="1"/>
  <c r="B4176" i="2"/>
  <c r="B4176" i="9" s="1"/>
  <c r="A4176" i="2"/>
  <c r="A4176" i="9" s="1"/>
  <c r="B4175" i="2"/>
  <c r="B4175" i="9" s="1"/>
  <c r="A4175" i="2"/>
  <c r="A4175" i="9" s="1"/>
  <c r="B4174" i="2"/>
  <c r="B4174" i="9" s="1"/>
  <c r="A4174" i="2"/>
  <c r="A4174" i="9" s="1"/>
  <c r="B4173" i="2"/>
  <c r="B4173" i="9" s="1"/>
  <c r="A4173" i="2"/>
  <c r="A4173" i="9" s="1"/>
  <c r="B4172" i="2"/>
  <c r="B4172" i="9" s="1"/>
  <c r="A4172" i="2"/>
  <c r="A4172" i="9" s="1"/>
  <c r="B4171" i="2"/>
  <c r="B4171" i="9" s="1"/>
  <c r="A4171" i="2"/>
  <c r="A4171" i="9" s="1"/>
  <c r="B4170" i="2"/>
  <c r="B4170" i="9" s="1"/>
  <c r="A4170" i="2"/>
  <c r="A4170" i="9" s="1"/>
  <c r="B4169" i="2"/>
  <c r="B4169" i="9" s="1"/>
  <c r="A4169" i="2"/>
  <c r="A4169" i="9" s="1"/>
  <c r="B4168" i="2"/>
  <c r="B4168" i="9" s="1"/>
  <c r="A4168" i="2"/>
  <c r="A4168" i="9" s="1"/>
  <c r="B4167" i="2"/>
  <c r="B4167" i="9" s="1"/>
  <c r="A4167" i="2"/>
  <c r="A4167" i="9" s="1"/>
  <c r="B4166" i="2"/>
  <c r="B4166" i="9" s="1"/>
  <c r="A4166" i="2"/>
  <c r="A4166" i="9" s="1"/>
  <c r="B4165" i="2"/>
  <c r="B4165" i="9" s="1"/>
  <c r="A4165" i="2"/>
  <c r="A4165" i="9" s="1"/>
  <c r="B4164" i="2"/>
  <c r="B4164" i="9" s="1"/>
  <c r="A4164" i="2"/>
  <c r="A4164" i="9" s="1"/>
  <c r="B4163" i="2"/>
  <c r="B4163" i="9" s="1"/>
  <c r="A4163" i="2"/>
  <c r="A4163" i="9" s="1"/>
  <c r="B4162" i="2"/>
  <c r="B4162" i="9" s="1"/>
  <c r="A4162" i="2"/>
  <c r="A4162" i="9" s="1"/>
  <c r="B4161" i="2"/>
  <c r="B4161" i="9" s="1"/>
  <c r="A4161" i="2"/>
  <c r="A4161" i="9" s="1"/>
  <c r="B4160" i="2"/>
  <c r="B4160" i="9" s="1"/>
  <c r="A4160" i="2"/>
  <c r="A4160" i="9" s="1"/>
  <c r="B4159" i="2"/>
  <c r="B4159" i="9" s="1"/>
  <c r="A4159" i="2"/>
  <c r="A4159" i="9" s="1"/>
  <c r="B4158" i="2"/>
  <c r="B4158" i="9" s="1"/>
  <c r="A4158" i="2"/>
  <c r="A4158" i="9" s="1"/>
  <c r="B4157" i="2"/>
  <c r="B4157" i="9" s="1"/>
  <c r="A4157" i="2"/>
  <c r="A4157" i="9" s="1"/>
  <c r="B4156" i="2"/>
  <c r="B4156" i="9" s="1"/>
  <c r="A4156" i="2"/>
  <c r="A4156" i="9" s="1"/>
  <c r="B4155" i="2"/>
  <c r="B4155" i="9" s="1"/>
  <c r="A4155" i="2"/>
  <c r="A4155" i="9" s="1"/>
  <c r="B4154" i="2"/>
  <c r="B4154" i="9" s="1"/>
  <c r="A4154" i="2"/>
  <c r="A4154" i="9" s="1"/>
  <c r="B4153" i="2"/>
  <c r="B4153" i="9" s="1"/>
  <c r="A4153" i="2"/>
  <c r="A4153" i="9" s="1"/>
  <c r="B4152" i="2"/>
  <c r="B4152" i="9" s="1"/>
  <c r="A4152" i="2"/>
  <c r="A4152" i="9" s="1"/>
  <c r="B4151" i="2"/>
  <c r="B4151" i="9" s="1"/>
  <c r="A4151" i="2"/>
  <c r="A4151" i="9" s="1"/>
  <c r="B4150" i="2"/>
  <c r="B4150" i="9" s="1"/>
  <c r="A4150" i="2"/>
  <c r="A4150" i="9" s="1"/>
  <c r="B4149" i="2"/>
  <c r="B4149" i="9" s="1"/>
  <c r="A4149" i="2"/>
  <c r="A4149" i="9" s="1"/>
  <c r="B4148" i="2"/>
  <c r="B4148" i="9" s="1"/>
  <c r="A4148" i="2"/>
  <c r="A4148" i="9" s="1"/>
  <c r="B4147" i="2"/>
  <c r="B4147" i="9" s="1"/>
  <c r="A4147" i="2"/>
  <c r="A4147" i="9" s="1"/>
  <c r="B4146" i="2"/>
  <c r="B4146" i="9" s="1"/>
  <c r="A4146" i="2"/>
  <c r="A4146" i="9" s="1"/>
  <c r="B4145" i="2"/>
  <c r="B4145" i="9" s="1"/>
  <c r="A4145" i="2"/>
  <c r="A4145" i="9" s="1"/>
  <c r="B4144" i="2"/>
  <c r="B4144" i="9" s="1"/>
  <c r="A4144" i="2"/>
  <c r="A4144" i="9" s="1"/>
  <c r="B4143" i="2"/>
  <c r="B4143" i="9" s="1"/>
  <c r="A4143" i="2"/>
  <c r="A4143" i="9" s="1"/>
  <c r="B4142" i="2"/>
  <c r="B4142" i="9" s="1"/>
  <c r="A4142" i="2"/>
  <c r="A4142" i="9" s="1"/>
  <c r="B4141" i="2"/>
  <c r="B4141" i="9" s="1"/>
  <c r="A4141" i="2"/>
  <c r="A4141" i="9" s="1"/>
  <c r="B4140" i="2"/>
  <c r="B4140" i="9" s="1"/>
  <c r="A4140" i="2"/>
  <c r="A4140" i="9" s="1"/>
  <c r="B4139" i="2"/>
  <c r="B4139" i="9" s="1"/>
  <c r="A4139" i="2"/>
  <c r="A4139" i="9" s="1"/>
  <c r="B4138" i="2"/>
  <c r="B4138" i="9" s="1"/>
  <c r="A4138" i="2"/>
  <c r="A4138" i="9" s="1"/>
  <c r="B4137" i="2"/>
  <c r="B4137" i="9" s="1"/>
  <c r="A4137" i="2"/>
  <c r="A4137" i="9" s="1"/>
  <c r="B4136" i="2"/>
  <c r="B4136" i="9" s="1"/>
  <c r="A4136" i="2"/>
  <c r="A4136" i="9" s="1"/>
  <c r="B4135" i="2"/>
  <c r="B4135" i="9" s="1"/>
  <c r="A4135" i="2"/>
  <c r="A4135" i="9" s="1"/>
  <c r="B4134" i="2"/>
  <c r="B4134" i="9" s="1"/>
  <c r="A4134" i="2"/>
  <c r="A4134" i="9" s="1"/>
  <c r="B4133" i="2"/>
  <c r="B4133" i="9" s="1"/>
  <c r="A4133" i="2"/>
  <c r="A4133" i="9" s="1"/>
  <c r="B4132" i="2"/>
  <c r="B4132" i="9" s="1"/>
  <c r="A4132" i="2"/>
  <c r="A4132" i="9" s="1"/>
  <c r="B4131" i="2"/>
  <c r="B4131" i="9" s="1"/>
  <c r="A4131" i="2"/>
  <c r="A4131" i="9" s="1"/>
  <c r="B4130" i="2"/>
  <c r="B4130" i="9" s="1"/>
  <c r="A4130" i="2"/>
  <c r="A4130" i="9" s="1"/>
  <c r="B4129" i="2"/>
  <c r="B4129" i="9" s="1"/>
  <c r="A4129" i="2"/>
  <c r="A4129" i="9" s="1"/>
  <c r="B4128" i="2"/>
  <c r="B4128" i="9" s="1"/>
  <c r="A4128" i="2"/>
  <c r="A4128" i="9" s="1"/>
  <c r="B4127" i="2"/>
  <c r="B4127" i="9" s="1"/>
  <c r="A4127" i="2"/>
  <c r="A4127" i="9" s="1"/>
  <c r="B4126" i="2"/>
  <c r="B4126" i="9" s="1"/>
  <c r="A4126" i="2"/>
  <c r="A4126" i="9" s="1"/>
  <c r="B4125" i="2"/>
  <c r="B4125" i="9" s="1"/>
  <c r="A4125" i="2"/>
  <c r="A4125" i="9" s="1"/>
  <c r="B4124" i="2"/>
  <c r="B4124" i="9" s="1"/>
  <c r="A4124" i="2"/>
  <c r="A4124" i="9" s="1"/>
  <c r="B4123" i="2"/>
  <c r="B4123" i="9" s="1"/>
  <c r="A4123" i="2"/>
  <c r="A4123" i="9" s="1"/>
  <c r="B4122" i="2"/>
  <c r="B4122" i="9" s="1"/>
  <c r="A4122" i="2"/>
  <c r="A4122" i="9" s="1"/>
  <c r="B4121" i="2"/>
  <c r="B4121" i="9" s="1"/>
  <c r="A4121" i="2"/>
  <c r="A4121" i="9" s="1"/>
  <c r="B4120" i="2"/>
  <c r="B4120" i="9" s="1"/>
  <c r="A4120" i="2"/>
  <c r="A4120" i="9" s="1"/>
  <c r="B4119" i="2"/>
  <c r="B4119" i="9" s="1"/>
  <c r="A4119" i="2"/>
  <c r="A4119" i="9" s="1"/>
  <c r="B4118" i="2"/>
  <c r="B4118" i="9" s="1"/>
  <c r="A4118" i="2"/>
  <c r="A4118" i="9" s="1"/>
  <c r="B4117" i="2"/>
  <c r="B4117" i="9" s="1"/>
  <c r="A4117" i="2"/>
  <c r="A4117" i="9" s="1"/>
  <c r="B4116" i="2"/>
  <c r="B4116" i="9" s="1"/>
  <c r="A4116" i="2"/>
  <c r="A4116" i="9" s="1"/>
  <c r="B4115" i="2"/>
  <c r="B4115" i="9" s="1"/>
  <c r="A4115" i="2"/>
  <c r="A4115" i="9" s="1"/>
  <c r="B4114" i="2"/>
  <c r="B4114" i="9" s="1"/>
  <c r="A4114" i="2"/>
  <c r="A4114" i="9" s="1"/>
  <c r="B4113" i="2"/>
  <c r="B4113" i="9" s="1"/>
  <c r="A4113" i="2"/>
  <c r="A4113" i="9" s="1"/>
  <c r="B4112" i="2"/>
  <c r="B4112" i="9" s="1"/>
  <c r="A4112" i="2"/>
  <c r="A4112" i="9" s="1"/>
  <c r="B4111" i="2"/>
  <c r="B4111" i="9" s="1"/>
  <c r="A4111" i="2"/>
  <c r="A4111" i="9" s="1"/>
  <c r="B4110" i="2"/>
  <c r="B4110" i="9" s="1"/>
  <c r="A4110" i="2"/>
  <c r="A4110" i="9" s="1"/>
  <c r="B4109" i="2"/>
  <c r="B4109" i="9" s="1"/>
  <c r="A4109" i="2"/>
  <c r="A4109" i="9" s="1"/>
  <c r="B4108" i="2"/>
  <c r="B4108" i="9" s="1"/>
  <c r="A4108" i="2"/>
  <c r="A4108" i="9" s="1"/>
  <c r="B4107" i="2"/>
  <c r="B4107" i="9" s="1"/>
  <c r="A4107" i="2"/>
  <c r="A4107" i="9" s="1"/>
  <c r="B4106" i="2"/>
  <c r="B4106" i="9" s="1"/>
  <c r="A4106" i="2"/>
  <c r="A4106" i="9" s="1"/>
  <c r="B4105" i="2"/>
  <c r="B4105" i="9" s="1"/>
  <c r="A4105" i="2"/>
  <c r="A4105" i="9" s="1"/>
  <c r="B4104" i="2"/>
  <c r="B4104" i="9" s="1"/>
  <c r="A4104" i="2"/>
  <c r="A4104" i="9" s="1"/>
  <c r="B4103" i="2"/>
  <c r="B4103" i="9" s="1"/>
  <c r="A4103" i="2"/>
  <c r="A4103" i="9" s="1"/>
  <c r="B4102" i="2"/>
  <c r="B4102" i="9" s="1"/>
  <c r="A4102" i="2"/>
  <c r="A4102" i="9" s="1"/>
  <c r="B4101" i="2"/>
  <c r="B4101" i="9" s="1"/>
  <c r="A4101" i="2"/>
  <c r="A4101" i="9" s="1"/>
  <c r="B4100" i="2"/>
  <c r="B4100" i="9" s="1"/>
  <c r="A4100" i="2"/>
  <c r="A4100" i="9" s="1"/>
  <c r="B4099" i="2"/>
  <c r="B4099" i="9" s="1"/>
  <c r="A4099" i="2"/>
  <c r="A4099" i="9" s="1"/>
  <c r="B4098" i="2"/>
  <c r="B4098" i="9" s="1"/>
  <c r="A4098" i="2"/>
  <c r="A4098" i="9" s="1"/>
  <c r="B4097" i="2"/>
  <c r="B4097" i="9" s="1"/>
  <c r="A4097" i="2"/>
  <c r="A4097" i="9" s="1"/>
  <c r="B4096" i="2"/>
  <c r="B4096" i="9" s="1"/>
  <c r="A4096" i="2"/>
  <c r="A4096" i="9" s="1"/>
  <c r="B4095" i="2"/>
  <c r="B4095" i="9" s="1"/>
  <c r="A4095" i="2"/>
  <c r="A4095" i="9" s="1"/>
  <c r="B4094" i="2"/>
  <c r="B4094" i="9" s="1"/>
  <c r="A4094" i="2"/>
  <c r="A4094" i="9" s="1"/>
  <c r="B4093" i="2"/>
  <c r="B4093" i="9" s="1"/>
  <c r="A4093" i="2"/>
  <c r="A4093" i="9" s="1"/>
  <c r="B4092" i="2"/>
  <c r="B4092" i="9" s="1"/>
  <c r="A4092" i="2"/>
  <c r="A4092" i="9" s="1"/>
  <c r="B4091" i="2"/>
  <c r="B4091" i="9" s="1"/>
  <c r="A4091" i="2"/>
  <c r="A4091" i="9" s="1"/>
  <c r="B4090" i="2"/>
  <c r="B4090" i="9" s="1"/>
  <c r="A4090" i="2"/>
  <c r="A4090" i="9" s="1"/>
  <c r="B4089" i="2"/>
  <c r="B4089" i="9" s="1"/>
  <c r="A4089" i="2"/>
  <c r="A4089" i="9" s="1"/>
  <c r="B4088" i="2"/>
  <c r="B4088" i="9" s="1"/>
  <c r="A4088" i="2"/>
  <c r="A4088" i="9" s="1"/>
  <c r="B4087" i="2"/>
  <c r="B4087" i="9" s="1"/>
  <c r="A4087" i="2"/>
  <c r="A4087" i="9" s="1"/>
  <c r="B4086" i="2"/>
  <c r="B4086" i="9" s="1"/>
  <c r="A4086" i="2"/>
  <c r="A4086" i="9" s="1"/>
  <c r="B4085" i="2"/>
  <c r="B4085" i="9" s="1"/>
  <c r="A4085" i="2"/>
  <c r="A4085" i="9" s="1"/>
  <c r="B4084" i="2"/>
  <c r="B4084" i="9" s="1"/>
  <c r="A4084" i="2"/>
  <c r="A4084" i="9" s="1"/>
  <c r="B4083" i="2"/>
  <c r="B4083" i="9" s="1"/>
  <c r="A4083" i="2"/>
  <c r="A4083" i="9" s="1"/>
  <c r="B4082" i="2"/>
  <c r="B4082" i="9" s="1"/>
  <c r="A4082" i="2"/>
  <c r="A4082" i="9" s="1"/>
  <c r="B4081" i="2"/>
  <c r="B4081" i="9" s="1"/>
  <c r="A4081" i="2"/>
  <c r="A4081" i="9" s="1"/>
  <c r="B4080" i="2"/>
  <c r="B4080" i="9" s="1"/>
  <c r="A4080" i="2"/>
  <c r="A4080" i="9" s="1"/>
  <c r="B4079" i="2"/>
  <c r="B4079" i="9" s="1"/>
  <c r="A4079" i="2"/>
  <c r="A4079" i="9" s="1"/>
  <c r="B4078" i="2"/>
  <c r="B4078" i="9" s="1"/>
  <c r="A4078" i="2"/>
  <c r="A4078" i="9" s="1"/>
  <c r="B4077" i="2"/>
  <c r="B4077" i="9" s="1"/>
  <c r="A4077" i="2"/>
  <c r="A4077" i="9" s="1"/>
  <c r="B4076" i="2"/>
  <c r="B4076" i="9" s="1"/>
  <c r="A4076" i="2"/>
  <c r="A4076" i="9" s="1"/>
  <c r="B4075" i="2"/>
  <c r="B4075" i="9" s="1"/>
  <c r="A4075" i="2"/>
  <c r="A4075" i="9" s="1"/>
  <c r="B4074" i="2"/>
  <c r="B4074" i="9" s="1"/>
  <c r="A4074" i="2"/>
  <c r="A4074" i="9" s="1"/>
  <c r="B4073" i="2"/>
  <c r="B4073" i="9" s="1"/>
  <c r="A4073" i="2"/>
  <c r="A4073" i="9" s="1"/>
  <c r="B4072" i="2"/>
  <c r="B4072" i="9" s="1"/>
  <c r="A4072" i="2"/>
  <c r="A4072" i="9" s="1"/>
  <c r="B4071" i="2"/>
  <c r="B4071" i="9" s="1"/>
  <c r="A4071" i="2"/>
  <c r="A4071" i="9" s="1"/>
  <c r="B4070" i="2"/>
  <c r="B4070" i="9" s="1"/>
  <c r="A4070" i="2"/>
  <c r="A4070" i="9" s="1"/>
  <c r="B4069" i="2"/>
  <c r="B4069" i="9" s="1"/>
  <c r="A4069" i="2"/>
  <c r="A4069" i="9" s="1"/>
  <c r="B4068" i="2"/>
  <c r="B4068" i="9" s="1"/>
  <c r="A4068" i="2"/>
  <c r="A4068" i="9" s="1"/>
  <c r="B4067" i="2"/>
  <c r="B4067" i="9" s="1"/>
  <c r="A4067" i="2"/>
  <c r="A4067" i="9" s="1"/>
  <c r="B4066" i="2"/>
  <c r="B4066" i="9" s="1"/>
  <c r="A4066" i="2"/>
  <c r="A4066" i="9" s="1"/>
  <c r="B4065" i="2"/>
  <c r="B4065" i="9" s="1"/>
  <c r="A4065" i="2"/>
  <c r="A4065" i="9" s="1"/>
  <c r="B4064" i="2"/>
  <c r="B4064" i="9" s="1"/>
  <c r="A4064" i="2"/>
  <c r="A4064" i="9" s="1"/>
  <c r="B4063" i="2"/>
  <c r="B4063" i="9" s="1"/>
  <c r="A4063" i="2"/>
  <c r="A4063" i="9" s="1"/>
  <c r="B4062" i="2"/>
  <c r="B4062" i="9" s="1"/>
  <c r="A4062" i="2"/>
  <c r="A4062" i="9" s="1"/>
  <c r="B4061" i="2"/>
  <c r="B4061" i="9" s="1"/>
  <c r="A4061" i="2"/>
  <c r="A4061" i="9" s="1"/>
  <c r="B4060" i="2"/>
  <c r="B4060" i="9" s="1"/>
  <c r="A4060" i="2"/>
  <c r="A4060" i="9" s="1"/>
  <c r="B4059" i="2"/>
  <c r="B4059" i="9" s="1"/>
  <c r="A4059" i="2"/>
  <c r="A4059" i="9" s="1"/>
  <c r="B4058" i="2"/>
  <c r="B4058" i="9" s="1"/>
  <c r="A4058" i="2"/>
  <c r="A4058" i="9" s="1"/>
  <c r="B4057" i="2"/>
  <c r="B4057" i="9" s="1"/>
  <c r="A4057" i="2"/>
  <c r="A4057" i="9" s="1"/>
  <c r="B4056" i="2"/>
  <c r="B4056" i="9" s="1"/>
  <c r="A4056" i="2"/>
  <c r="A4056" i="9" s="1"/>
  <c r="B4055" i="2"/>
  <c r="B4055" i="9" s="1"/>
  <c r="A4055" i="2"/>
  <c r="A4055" i="9" s="1"/>
  <c r="B4054" i="2"/>
  <c r="B4054" i="9" s="1"/>
  <c r="A4054" i="2"/>
  <c r="A4054" i="9" s="1"/>
  <c r="B4053" i="2"/>
  <c r="B4053" i="9" s="1"/>
  <c r="A4053" i="2"/>
  <c r="A4053" i="9" s="1"/>
  <c r="B4052" i="2"/>
  <c r="B4052" i="9" s="1"/>
  <c r="A4052" i="2"/>
  <c r="A4052" i="9" s="1"/>
  <c r="B4051" i="2"/>
  <c r="B4051" i="9" s="1"/>
  <c r="A4051" i="2"/>
  <c r="A4051" i="9" s="1"/>
  <c r="B4050" i="2"/>
  <c r="B4050" i="9" s="1"/>
  <c r="A4050" i="2"/>
  <c r="A4050" i="9" s="1"/>
  <c r="B4049" i="2"/>
  <c r="B4049" i="9" s="1"/>
  <c r="A4049" i="2"/>
  <c r="A4049" i="9" s="1"/>
  <c r="B4048" i="2"/>
  <c r="B4048" i="9" s="1"/>
  <c r="A4048" i="2"/>
  <c r="A4048" i="9" s="1"/>
  <c r="B4047" i="2"/>
  <c r="B4047" i="9" s="1"/>
  <c r="A4047" i="2"/>
  <c r="A4047" i="9" s="1"/>
  <c r="B4046" i="2"/>
  <c r="B4046" i="9" s="1"/>
  <c r="A4046" i="2"/>
  <c r="A4046" i="9" s="1"/>
  <c r="B4045" i="2"/>
  <c r="B4045" i="9" s="1"/>
  <c r="A4045" i="2"/>
  <c r="A4045" i="9" s="1"/>
  <c r="B4044" i="2"/>
  <c r="B4044" i="9" s="1"/>
  <c r="A4044" i="2"/>
  <c r="A4044" i="9" s="1"/>
  <c r="B4043" i="2"/>
  <c r="B4043" i="9" s="1"/>
  <c r="A4043" i="2"/>
  <c r="A4043" i="9" s="1"/>
  <c r="B4042" i="2"/>
  <c r="B4042" i="9" s="1"/>
  <c r="A4042" i="2"/>
  <c r="A4042" i="9" s="1"/>
  <c r="B4041" i="2"/>
  <c r="B4041" i="9" s="1"/>
  <c r="A4041" i="2"/>
  <c r="A4041" i="9" s="1"/>
  <c r="B4040" i="2"/>
  <c r="B4040" i="9" s="1"/>
  <c r="A4040" i="2"/>
  <c r="A4040" i="9" s="1"/>
  <c r="B4039" i="2"/>
  <c r="B4039" i="9" s="1"/>
  <c r="A4039" i="2"/>
  <c r="A4039" i="9" s="1"/>
  <c r="B4038" i="2"/>
  <c r="B4038" i="9" s="1"/>
  <c r="A4038" i="2"/>
  <c r="A4038" i="9" s="1"/>
  <c r="B4037" i="2"/>
  <c r="B4037" i="9" s="1"/>
  <c r="A4037" i="2"/>
  <c r="A4037" i="9" s="1"/>
  <c r="B4036" i="2"/>
  <c r="B4036" i="9" s="1"/>
  <c r="A4036" i="2"/>
  <c r="A4036" i="9" s="1"/>
  <c r="B4035" i="2"/>
  <c r="B4035" i="9" s="1"/>
  <c r="A4035" i="2"/>
  <c r="A4035" i="9" s="1"/>
  <c r="B4034" i="2"/>
  <c r="B4034" i="9" s="1"/>
  <c r="A4034" i="2"/>
  <c r="A4034" i="9" s="1"/>
  <c r="B4033" i="2"/>
  <c r="B4033" i="9" s="1"/>
  <c r="A4033" i="2"/>
  <c r="A4033" i="9" s="1"/>
  <c r="B4032" i="2"/>
  <c r="B4032" i="9" s="1"/>
  <c r="A4032" i="2"/>
  <c r="A4032" i="9" s="1"/>
  <c r="B4031" i="2"/>
  <c r="B4031" i="9" s="1"/>
  <c r="A4031" i="2"/>
  <c r="A4031" i="9" s="1"/>
  <c r="B4030" i="2"/>
  <c r="B4030" i="9" s="1"/>
  <c r="A4030" i="2"/>
  <c r="A4030" i="9" s="1"/>
  <c r="B4029" i="2"/>
  <c r="B4029" i="9" s="1"/>
  <c r="A4029" i="2"/>
  <c r="A4029" i="9" s="1"/>
  <c r="B4028" i="2"/>
  <c r="B4028" i="9" s="1"/>
  <c r="A4028" i="2"/>
  <c r="A4028" i="9" s="1"/>
  <c r="B4027" i="2"/>
  <c r="B4027" i="9" s="1"/>
  <c r="A4027" i="2"/>
  <c r="A4027" i="9" s="1"/>
  <c r="B4026" i="2"/>
  <c r="B4026" i="9" s="1"/>
  <c r="A4026" i="2"/>
  <c r="A4026" i="9" s="1"/>
  <c r="B4025" i="2"/>
  <c r="B4025" i="9" s="1"/>
  <c r="A4025" i="2"/>
  <c r="A4025" i="9" s="1"/>
  <c r="B4024" i="2"/>
  <c r="B4024" i="9" s="1"/>
  <c r="A4024" i="2"/>
  <c r="A4024" i="9" s="1"/>
  <c r="B4023" i="2"/>
  <c r="B4023" i="9" s="1"/>
  <c r="A4023" i="2"/>
  <c r="A4023" i="9" s="1"/>
  <c r="B4022" i="2"/>
  <c r="B4022" i="9" s="1"/>
  <c r="A4022" i="2"/>
  <c r="A4022" i="9" s="1"/>
  <c r="B4021" i="2"/>
  <c r="B4021" i="9" s="1"/>
  <c r="A4021" i="2"/>
  <c r="A4021" i="9" s="1"/>
  <c r="B4020" i="2"/>
  <c r="B4020" i="9" s="1"/>
  <c r="A4020" i="2"/>
  <c r="A4020" i="9" s="1"/>
  <c r="B4019" i="2"/>
  <c r="B4019" i="9" s="1"/>
  <c r="A4019" i="2"/>
  <c r="A4019" i="9" s="1"/>
  <c r="B4018" i="2"/>
  <c r="B4018" i="9" s="1"/>
  <c r="A4018" i="2"/>
  <c r="A4018" i="9" s="1"/>
  <c r="B4017" i="2"/>
  <c r="B4017" i="9" s="1"/>
  <c r="A4017" i="2"/>
  <c r="A4017" i="9" s="1"/>
  <c r="B4016" i="2"/>
  <c r="B4016" i="9" s="1"/>
  <c r="A4016" i="2"/>
  <c r="A4016" i="9" s="1"/>
  <c r="B4015" i="2"/>
  <c r="B4015" i="9" s="1"/>
  <c r="A4015" i="2"/>
  <c r="A4015" i="9" s="1"/>
  <c r="B4014" i="2"/>
  <c r="B4014" i="9" s="1"/>
  <c r="A4014" i="2"/>
  <c r="A4014" i="9" s="1"/>
  <c r="B4013" i="2"/>
  <c r="B4013" i="9" s="1"/>
  <c r="A4013" i="2"/>
  <c r="A4013" i="9" s="1"/>
  <c r="B4012" i="2"/>
  <c r="B4012" i="9" s="1"/>
  <c r="A4012" i="2"/>
  <c r="A4012" i="9" s="1"/>
  <c r="B4011" i="2"/>
  <c r="B4011" i="9" s="1"/>
  <c r="A4011" i="2"/>
  <c r="A4011" i="9" s="1"/>
  <c r="B4010" i="2"/>
  <c r="B4010" i="9" s="1"/>
  <c r="A4010" i="2"/>
  <c r="A4010" i="9" s="1"/>
  <c r="B4009" i="2"/>
  <c r="B4009" i="9" s="1"/>
  <c r="A4009" i="2"/>
  <c r="A4009" i="9" s="1"/>
  <c r="B4008" i="2"/>
  <c r="B4008" i="9" s="1"/>
  <c r="A4008" i="2"/>
  <c r="A4008" i="9" s="1"/>
  <c r="B4007" i="2"/>
  <c r="B4007" i="9" s="1"/>
  <c r="A4007" i="2"/>
  <c r="A4007" i="9" s="1"/>
  <c r="B4006" i="2"/>
  <c r="B4006" i="9" s="1"/>
  <c r="A4006" i="2"/>
  <c r="A4006" i="9" s="1"/>
  <c r="B4005" i="2"/>
  <c r="B4005" i="9" s="1"/>
  <c r="A4005" i="2"/>
  <c r="A4005" i="9" s="1"/>
  <c r="B4004" i="2"/>
  <c r="B4004" i="9" s="1"/>
  <c r="A4004" i="2"/>
  <c r="A4004" i="9" s="1"/>
  <c r="B4003" i="2"/>
  <c r="B4003" i="9" s="1"/>
  <c r="A4003" i="2"/>
  <c r="A4003" i="9" s="1"/>
  <c r="B4002" i="2"/>
  <c r="B4002" i="9" s="1"/>
  <c r="A4002" i="2"/>
  <c r="A4002" i="9" s="1"/>
  <c r="B4001" i="2"/>
  <c r="B4001" i="9" s="1"/>
  <c r="A4001" i="2"/>
  <c r="A4001" i="9" s="1"/>
  <c r="B4000" i="2"/>
  <c r="B4000" i="9" s="1"/>
  <c r="A4000" i="2"/>
  <c r="A4000" i="9" s="1"/>
  <c r="B3999" i="2"/>
  <c r="B3999" i="9" s="1"/>
  <c r="A3999" i="2"/>
  <c r="A3999" i="9" s="1"/>
  <c r="B3998" i="2"/>
  <c r="B3998" i="9" s="1"/>
  <c r="A3998" i="2"/>
  <c r="A3998" i="9" s="1"/>
  <c r="B3997" i="2"/>
  <c r="B3997" i="9" s="1"/>
  <c r="A3997" i="2"/>
  <c r="A3997" i="9" s="1"/>
  <c r="B3996" i="2"/>
  <c r="B3996" i="9" s="1"/>
  <c r="A3996" i="2"/>
  <c r="A3996" i="9" s="1"/>
  <c r="B3995" i="2"/>
  <c r="B3995" i="9" s="1"/>
  <c r="A3995" i="2"/>
  <c r="A3995" i="9" s="1"/>
  <c r="B3994" i="2"/>
  <c r="B3994" i="9" s="1"/>
  <c r="A3994" i="2"/>
  <c r="A3994" i="9" s="1"/>
  <c r="B3993" i="2"/>
  <c r="B3993" i="9" s="1"/>
  <c r="A3993" i="2"/>
  <c r="A3993" i="9" s="1"/>
  <c r="B3992" i="2"/>
  <c r="B3992" i="9" s="1"/>
  <c r="A3992" i="2"/>
  <c r="A3992" i="9" s="1"/>
  <c r="B3991" i="2"/>
  <c r="B3991" i="9" s="1"/>
  <c r="A3991" i="2"/>
  <c r="A3991" i="9" s="1"/>
  <c r="B3990" i="2"/>
  <c r="B3990" i="9" s="1"/>
  <c r="A3990" i="2"/>
  <c r="A3990" i="9" s="1"/>
  <c r="B3989" i="2"/>
  <c r="B3989" i="9" s="1"/>
  <c r="A3989" i="2"/>
  <c r="A3989" i="9" s="1"/>
  <c r="B3988" i="2"/>
  <c r="B3988" i="9" s="1"/>
  <c r="A3988" i="2"/>
  <c r="A3988" i="9" s="1"/>
  <c r="B3987" i="2"/>
  <c r="B3987" i="9" s="1"/>
  <c r="A3987" i="2"/>
  <c r="A3987" i="9" s="1"/>
  <c r="B3986" i="2"/>
  <c r="B3986" i="9" s="1"/>
  <c r="A3986" i="2"/>
  <c r="A3986" i="9" s="1"/>
  <c r="B3985" i="2"/>
  <c r="B3985" i="9" s="1"/>
  <c r="A3985" i="2"/>
  <c r="A3985" i="9" s="1"/>
  <c r="B3984" i="2"/>
  <c r="B3984" i="9" s="1"/>
  <c r="A3984" i="2"/>
  <c r="A3984" i="9" s="1"/>
  <c r="B3983" i="2"/>
  <c r="B3983" i="9" s="1"/>
  <c r="A3983" i="2"/>
  <c r="A3983" i="9" s="1"/>
  <c r="B3982" i="2"/>
  <c r="B3982" i="9" s="1"/>
  <c r="A3982" i="2"/>
  <c r="A3982" i="9" s="1"/>
  <c r="B3981" i="2"/>
  <c r="B3981" i="9" s="1"/>
  <c r="A3981" i="2"/>
  <c r="A3981" i="9" s="1"/>
  <c r="B3980" i="2"/>
  <c r="B3980" i="9" s="1"/>
  <c r="A3980" i="2"/>
  <c r="A3980" i="9" s="1"/>
  <c r="B3979" i="2"/>
  <c r="B3979" i="9" s="1"/>
  <c r="A3979" i="2"/>
  <c r="A3979" i="9" s="1"/>
  <c r="B3978" i="2"/>
  <c r="B3978" i="9" s="1"/>
  <c r="A3978" i="2"/>
  <c r="A3978" i="9" s="1"/>
  <c r="B3977" i="2"/>
  <c r="B3977" i="9" s="1"/>
  <c r="A3977" i="2"/>
  <c r="A3977" i="9" s="1"/>
  <c r="B3976" i="2"/>
  <c r="B3976" i="9" s="1"/>
  <c r="A3976" i="2"/>
  <c r="A3976" i="9" s="1"/>
  <c r="B3975" i="2"/>
  <c r="B3975" i="9" s="1"/>
  <c r="A3975" i="2"/>
  <c r="A3975" i="9" s="1"/>
  <c r="B3974" i="2"/>
  <c r="B3974" i="9" s="1"/>
  <c r="A3974" i="2"/>
  <c r="A3974" i="9" s="1"/>
  <c r="B3973" i="2"/>
  <c r="B3973" i="9" s="1"/>
  <c r="A3973" i="2"/>
  <c r="A3973" i="9" s="1"/>
  <c r="B3972" i="2"/>
  <c r="B3972" i="9" s="1"/>
  <c r="A3972" i="2"/>
  <c r="A3972" i="9" s="1"/>
  <c r="B3971" i="2"/>
  <c r="B3971" i="9" s="1"/>
  <c r="A3971" i="2"/>
  <c r="A3971" i="9" s="1"/>
  <c r="B3970" i="2"/>
  <c r="B3970" i="9" s="1"/>
  <c r="A3970" i="2"/>
  <c r="A3970" i="9" s="1"/>
  <c r="B3969" i="2"/>
  <c r="B3969" i="9" s="1"/>
  <c r="A3969" i="2"/>
  <c r="A3969" i="9" s="1"/>
  <c r="B3968" i="2"/>
  <c r="B3968" i="9" s="1"/>
  <c r="A3968" i="2"/>
  <c r="A3968" i="9" s="1"/>
  <c r="B3967" i="2"/>
  <c r="B3967" i="9" s="1"/>
  <c r="A3967" i="2"/>
  <c r="A3967" i="9" s="1"/>
  <c r="B3966" i="2"/>
  <c r="B3966" i="9" s="1"/>
  <c r="A3966" i="2"/>
  <c r="A3966" i="9" s="1"/>
  <c r="B3965" i="2"/>
  <c r="B3965" i="9" s="1"/>
  <c r="A3965" i="2"/>
  <c r="A3965" i="9" s="1"/>
  <c r="B3964" i="2"/>
  <c r="B3964" i="9" s="1"/>
  <c r="A3964" i="2"/>
  <c r="A3964" i="9" s="1"/>
  <c r="B3963" i="2"/>
  <c r="B3963" i="9" s="1"/>
  <c r="A3963" i="2"/>
  <c r="A3963" i="9" s="1"/>
  <c r="B3962" i="2"/>
  <c r="B3962" i="9" s="1"/>
  <c r="A3962" i="2"/>
  <c r="A3962" i="9" s="1"/>
  <c r="B3961" i="2"/>
  <c r="B3961" i="9" s="1"/>
  <c r="A3961" i="2"/>
  <c r="A3961" i="9" s="1"/>
  <c r="B3960" i="2"/>
  <c r="B3960" i="9" s="1"/>
  <c r="A3960" i="2"/>
  <c r="A3960" i="9" s="1"/>
  <c r="B3959" i="2"/>
  <c r="B3959" i="9" s="1"/>
  <c r="A3959" i="2"/>
  <c r="A3959" i="9" s="1"/>
  <c r="B3958" i="2"/>
  <c r="B3958" i="9" s="1"/>
  <c r="A3958" i="2"/>
  <c r="A3958" i="9" s="1"/>
  <c r="B3957" i="2"/>
  <c r="B3957" i="9" s="1"/>
  <c r="A3957" i="2"/>
  <c r="A3957" i="9" s="1"/>
  <c r="B3956" i="2"/>
  <c r="B3956" i="9" s="1"/>
  <c r="A3956" i="2"/>
  <c r="A3956" i="9" s="1"/>
  <c r="B3955" i="2"/>
  <c r="B3955" i="9" s="1"/>
  <c r="A3955" i="2"/>
  <c r="A3955" i="9" s="1"/>
  <c r="B3954" i="2"/>
  <c r="B3954" i="9" s="1"/>
  <c r="A3954" i="2"/>
  <c r="A3954" i="9" s="1"/>
  <c r="B3953" i="2"/>
  <c r="B3953" i="9" s="1"/>
  <c r="A3953" i="2"/>
  <c r="A3953" i="9" s="1"/>
  <c r="B3952" i="2"/>
  <c r="B3952" i="9" s="1"/>
  <c r="A3952" i="2"/>
  <c r="A3952" i="9" s="1"/>
  <c r="B3951" i="2"/>
  <c r="B3951" i="9" s="1"/>
  <c r="A3951" i="2"/>
  <c r="A3951" i="9" s="1"/>
  <c r="B3950" i="2"/>
  <c r="B3950" i="9" s="1"/>
  <c r="A3950" i="2"/>
  <c r="A3950" i="9" s="1"/>
  <c r="B3949" i="2"/>
  <c r="B3949" i="9" s="1"/>
  <c r="A3949" i="2"/>
  <c r="A3949" i="9" s="1"/>
  <c r="B3948" i="2"/>
  <c r="B3948" i="9" s="1"/>
  <c r="A3948" i="2"/>
  <c r="A3948" i="9" s="1"/>
  <c r="B3947" i="2"/>
  <c r="B3947" i="9" s="1"/>
  <c r="A3947" i="2"/>
  <c r="A3947" i="9" s="1"/>
  <c r="B3946" i="2"/>
  <c r="B3946" i="9" s="1"/>
  <c r="A3946" i="2"/>
  <c r="A3946" i="9" s="1"/>
  <c r="B3945" i="2"/>
  <c r="B3945" i="9" s="1"/>
  <c r="A3945" i="2"/>
  <c r="A3945" i="9" s="1"/>
  <c r="B3944" i="2"/>
  <c r="B3944" i="9" s="1"/>
  <c r="A3944" i="2"/>
  <c r="A3944" i="9" s="1"/>
  <c r="B3943" i="2"/>
  <c r="B3943" i="9" s="1"/>
  <c r="A3943" i="2"/>
  <c r="A3943" i="9" s="1"/>
  <c r="B3942" i="2"/>
  <c r="B3942" i="9" s="1"/>
  <c r="A3942" i="2"/>
  <c r="A3942" i="9" s="1"/>
  <c r="B3941" i="2"/>
  <c r="B3941" i="9" s="1"/>
  <c r="A3941" i="2"/>
  <c r="A3941" i="9" s="1"/>
  <c r="B3940" i="2"/>
  <c r="B3940" i="9" s="1"/>
  <c r="A3940" i="2"/>
  <c r="A3940" i="9" s="1"/>
  <c r="B3939" i="2"/>
  <c r="B3939" i="9" s="1"/>
  <c r="A3939" i="2"/>
  <c r="A3939" i="9" s="1"/>
  <c r="B3938" i="2"/>
  <c r="B3938" i="9" s="1"/>
  <c r="A3938" i="2"/>
  <c r="A3938" i="9" s="1"/>
  <c r="B3937" i="2"/>
  <c r="B3937" i="9" s="1"/>
  <c r="A3937" i="2"/>
  <c r="A3937" i="9" s="1"/>
  <c r="B3936" i="2"/>
  <c r="B3936" i="9" s="1"/>
  <c r="A3936" i="2"/>
  <c r="A3936" i="9" s="1"/>
  <c r="B3935" i="2"/>
  <c r="B3935" i="9" s="1"/>
  <c r="A3935" i="2"/>
  <c r="A3935" i="9" s="1"/>
  <c r="B3934" i="2"/>
  <c r="B3934" i="9" s="1"/>
  <c r="A3934" i="2"/>
  <c r="A3934" i="9" s="1"/>
  <c r="B3933" i="2"/>
  <c r="B3933" i="9" s="1"/>
  <c r="A3933" i="2"/>
  <c r="A3933" i="9" s="1"/>
  <c r="B3932" i="2"/>
  <c r="B3932" i="9" s="1"/>
  <c r="A3932" i="2"/>
  <c r="A3932" i="9" s="1"/>
  <c r="B3931" i="2"/>
  <c r="B3931" i="9" s="1"/>
  <c r="A3931" i="2"/>
  <c r="A3931" i="9" s="1"/>
  <c r="B3930" i="2"/>
  <c r="B3930" i="9" s="1"/>
  <c r="A3930" i="2"/>
  <c r="A3930" i="9" s="1"/>
  <c r="B3929" i="2"/>
  <c r="B3929" i="9" s="1"/>
  <c r="A3929" i="2"/>
  <c r="A3929" i="9" s="1"/>
  <c r="B3928" i="2"/>
  <c r="B3928" i="9" s="1"/>
  <c r="A3928" i="2"/>
  <c r="A3928" i="9" s="1"/>
  <c r="B3927" i="2"/>
  <c r="B3927" i="9" s="1"/>
  <c r="A3927" i="2"/>
  <c r="A3927" i="9" s="1"/>
  <c r="B3926" i="2"/>
  <c r="B3926" i="9" s="1"/>
  <c r="A3926" i="2"/>
  <c r="A3926" i="9" s="1"/>
  <c r="B3925" i="2"/>
  <c r="B3925" i="9" s="1"/>
  <c r="A3925" i="2"/>
  <c r="A3925" i="9" s="1"/>
  <c r="B3924" i="2"/>
  <c r="B3924" i="9" s="1"/>
  <c r="A3924" i="2"/>
  <c r="A3924" i="9" s="1"/>
  <c r="B3923" i="2"/>
  <c r="B3923" i="9" s="1"/>
  <c r="A3923" i="2"/>
  <c r="A3923" i="9" s="1"/>
  <c r="B3922" i="2"/>
  <c r="B3922" i="9" s="1"/>
  <c r="A3922" i="2"/>
  <c r="A3922" i="9" s="1"/>
  <c r="B3921" i="2"/>
  <c r="B3921" i="9" s="1"/>
  <c r="A3921" i="2"/>
  <c r="A3921" i="9" s="1"/>
  <c r="B3920" i="2"/>
  <c r="B3920" i="9" s="1"/>
  <c r="A3920" i="2"/>
  <c r="A3920" i="9" s="1"/>
  <c r="B3919" i="2"/>
  <c r="B3919" i="9" s="1"/>
  <c r="A3919" i="2"/>
  <c r="A3919" i="9" s="1"/>
  <c r="B3918" i="2"/>
  <c r="B3918" i="9" s="1"/>
  <c r="A3918" i="2"/>
  <c r="A3918" i="9" s="1"/>
  <c r="B3917" i="2"/>
  <c r="B3917" i="9" s="1"/>
  <c r="A3917" i="2"/>
  <c r="A3917" i="9" s="1"/>
  <c r="B3916" i="2"/>
  <c r="B3916" i="9" s="1"/>
  <c r="A3916" i="2"/>
  <c r="A3916" i="9" s="1"/>
  <c r="B3915" i="2"/>
  <c r="B3915" i="9" s="1"/>
  <c r="A3915" i="2"/>
  <c r="A3915" i="9" s="1"/>
  <c r="B3914" i="2"/>
  <c r="B3914" i="9" s="1"/>
  <c r="A3914" i="2"/>
  <c r="A3914" i="9" s="1"/>
  <c r="B3913" i="2"/>
  <c r="B3913" i="9" s="1"/>
  <c r="A3913" i="2"/>
  <c r="A3913" i="9" s="1"/>
  <c r="B3912" i="2"/>
  <c r="B3912" i="9" s="1"/>
  <c r="A3912" i="2"/>
  <c r="A3912" i="9" s="1"/>
  <c r="B3911" i="2"/>
  <c r="B3911" i="9" s="1"/>
  <c r="A3911" i="2"/>
  <c r="A3911" i="9" s="1"/>
  <c r="B3910" i="2"/>
  <c r="B3910" i="9" s="1"/>
  <c r="A3910" i="2"/>
  <c r="A3910" i="9" s="1"/>
  <c r="B3909" i="2"/>
  <c r="B3909" i="9" s="1"/>
  <c r="A3909" i="2"/>
  <c r="A3909" i="9" s="1"/>
  <c r="B3908" i="2"/>
  <c r="B3908" i="9" s="1"/>
  <c r="A3908" i="2"/>
  <c r="A3908" i="9" s="1"/>
  <c r="B3907" i="2"/>
  <c r="B3907" i="9" s="1"/>
  <c r="A3907" i="2"/>
  <c r="A3907" i="9" s="1"/>
  <c r="B3906" i="2"/>
  <c r="B3906" i="9" s="1"/>
  <c r="A3906" i="2"/>
  <c r="A3906" i="9" s="1"/>
  <c r="B3905" i="2"/>
  <c r="B3905" i="9" s="1"/>
  <c r="A3905" i="2"/>
  <c r="A3905" i="9" s="1"/>
  <c r="B3904" i="2"/>
  <c r="B3904" i="9" s="1"/>
  <c r="A3904" i="2"/>
  <c r="A3904" i="9" s="1"/>
  <c r="B3903" i="2"/>
  <c r="B3903" i="9" s="1"/>
  <c r="A3903" i="2"/>
  <c r="A3903" i="9" s="1"/>
  <c r="B3902" i="2"/>
  <c r="B3902" i="9" s="1"/>
  <c r="A3902" i="2"/>
  <c r="A3902" i="9" s="1"/>
  <c r="B3901" i="2"/>
  <c r="B3901" i="9" s="1"/>
  <c r="A3901" i="2"/>
  <c r="A3901" i="9" s="1"/>
  <c r="B3900" i="2"/>
  <c r="B3900" i="9" s="1"/>
  <c r="A3900" i="2"/>
  <c r="A3900" i="9" s="1"/>
  <c r="B3899" i="2"/>
  <c r="B3899" i="9" s="1"/>
  <c r="A3899" i="2"/>
  <c r="A3899" i="9" s="1"/>
  <c r="B3898" i="2"/>
  <c r="B3898" i="9" s="1"/>
  <c r="A3898" i="2"/>
  <c r="A3898" i="9" s="1"/>
  <c r="B3897" i="2"/>
  <c r="B3897" i="9" s="1"/>
  <c r="A3897" i="2"/>
  <c r="A3897" i="9" s="1"/>
  <c r="B3896" i="2"/>
  <c r="B3896" i="9" s="1"/>
  <c r="A3896" i="2"/>
  <c r="A3896" i="9" s="1"/>
  <c r="B3895" i="2"/>
  <c r="B3895" i="9" s="1"/>
  <c r="A3895" i="2"/>
  <c r="A3895" i="9" s="1"/>
  <c r="B3894" i="2"/>
  <c r="B3894" i="9" s="1"/>
  <c r="A3894" i="2"/>
  <c r="A3894" i="9" s="1"/>
  <c r="B3893" i="2"/>
  <c r="B3893" i="9" s="1"/>
  <c r="A3893" i="2"/>
  <c r="A3893" i="9" s="1"/>
  <c r="B3892" i="2"/>
  <c r="B3892" i="9" s="1"/>
  <c r="A3892" i="2"/>
  <c r="A3892" i="9" s="1"/>
  <c r="B3891" i="2"/>
  <c r="B3891" i="9" s="1"/>
  <c r="A3891" i="2"/>
  <c r="A3891" i="9" s="1"/>
  <c r="B3890" i="2"/>
  <c r="B3890" i="9" s="1"/>
  <c r="A3890" i="2"/>
  <c r="A3890" i="9" s="1"/>
  <c r="B3889" i="2"/>
  <c r="B3889" i="9" s="1"/>
  <c r="A3889" i="2"/>
  <c r="A3889" i="9" s="1"/>
  <c r="B3888" i="2"/>
  <c r="B3888" i="9" s="1"/>
  <c r="A3888" i="2"/>
  <c r="A3888" i="9" s="1"/>
  <c r="B3887" i="2"/>
  <c r="B3887" i="9" s="1"/>
  <c r="A3887" i="2"/>
  <c r="A3887" i="9" s="1"/>
  <c r="B3886" i="2"/>
  <c r="B3886" i="9" s="1"/>
  <c r="A3886" i="2"/>
  <c r="A3886" i="9" s="1"/>
  <c r="B3885" i="2"/>
  <c r="B3885" i="9" s="1"/>
  <c r="A3885" i="2"/>
  <c r="A3885" i="9" s="1"/>
  <c r="B3884" i="2"/>
  <c r="B3884" i="9" s="1"/>
  <c r="A3884" i="2"/>
  <c r="A3884" i="9" s="1"/>
  <c r="B3883" i="2"/>
  <c r="B3883" i="9" s="1"/>
  <c r="A3883" i="2"/>
  <c r="A3883" i="9" s="1"/>
  <c r="B3882" i="2"/>
  <c r="B3882" i="9" s="1"/>
  <c r="A3882" i="2"/>
  <c r="A3882" i="9" s="1"/>
  <c r="B3881" i="2"/>
  <c r="B3881" i="9" s="1"/>
  <c r="A3881" i="2"/>
  <c r="A3881" i="9" s="1"/>
  <c r="B3880" i="2"/>
  <c r="B3880" i="9" s="1"/>
  <c r="A3880" i="2"/>
  <c r="A3880" i="9" s="1"/>
  <c r="B3879" i="2"/>
  <c r="B3879" i="9" s="1"/>
  <c r="A3879" i="2"/>
  <c r="A3879" i="9" s="1"/>
  <c r="B3878" i="2"/>
  <c r="B3878" i="9" s="1"/>
  <c r="A3878" i="2"/>
  <c r="A3878" i="9" s="1"/>
  <c r="B3877" i="2"/>
  <c r="B3877" i="9" s="1"/>
  <c r="A3877" i="2"/>
  <c r="A3877" i="9" s="1"/>
  <c r="B3876" i="2"/>
  <c r="B3876" i="9" s="1"/>
  <c r="A3876" i="2"/>
  <c r="A3876" i="9" s="1"/>
  <c r="B3875" i="2"/>
  <c r="B3875" i="9" s="1"/>
  <c r="A3875" i="2"/>
  <c r="A3875" i="9" s="1"/>
  <c r="B3874" i="2"/>
  <c r="B3874" i="9" s="1"/>
  <c r="A3874" i="2"/>
  <c r="A3874" i="9" s="1"/>
  <c r="B3873" i="2"/>
  <c r="B3873" i="9" s="1"/>
  <c r="A3873" i="2"/>
  <c r="A3873" i="9" s="1"/>
  <c r="B3872" i="2"/>
  <c r="B3872" i="9" s="1"/>
  <c r="A3872" i="2"/>
  <c r="A3872" i="9" s="1"/>
  <c r="B3871" i="2"/>
  <c r="B3871" i="9" s="1"/>
  <c r="A3871" i="2"/>
  <c r="A3871" i="9" s="1"/>
  <c r="B3870" i="2"/>
  <c r="B3870" i="9" s="1"/>
  <c r="A3870" i="2"/>
  <c r="A3870" i="9" s="1"/>
  <c r="B3869" i="2"/>
  <c r="B3869" i="9" s="1"/>
  <c r="A3869" i="2"/>
  <c r="A3869" i="9" s="1"/>
  <c r="B3868" i="2"/>
  <c r="B3868" i="9" s="1"/>
  <c r="A3868" i="2"/>
  <c r="A3868" i="9" s="1"/>
  <c r="B3867" i="2"/>
  <c r="B3867" i="9" s="1"/>
  <c r="A3867" i="2"/>
  <c r="A3867" i="9" s="1"/>
  <c r="B3866" i="2"/>
  <c r="B3866" i="9" s="1"/>
  <c r="A3866" i="2"/>
  <c r="A3866" i="9" s="1"/>
  <c r="B3865" i="2"/>
  <c r="B3865" i="9" s="1"/>
  <c r="A3865" i="2"/>
  <c r="A3865" i="9" s="1"/>
  <c r="B3864" i="2"/>
  <c r="B3864" i="9" s="1"/>
  <c r="A3864" i="2"/>
  <c r="A3864" i="9" s="1"/>
  <c r="B3863" i="2"/>
  <c r="B3863" i="9" s="1"/>
  <c r="A3863" i="2"/>
  <c r="A3863" i="9" s="1"/>
  <c r="B3862" i="2"/>
  <c r="B3862" i="9" s="1"/>
  <c r="A3862" i="2"/>
  <c r="A3862" i="9" s="1"/>
  <c r="B3861" i="2"/>
  <c r="B3861" i="9" s="1"/>
  <c r="A3861" i="2"/>
  <c r="A3861" i="9" s="1"/>
  <c r="B3860" i="2"/>
  <c r="B3860" i="9" s="1"/>
  <c r="A3860" i="2"/>
  <c r="A3860" i="9" s="1"/>
  <c r="B3859" i="2"/>
  <c r="B3859" i="9" s="1"/>
  <c r="A3859" i="2"/>
  <c r="A3859" i="9" s="1"/>
  <c r="B3858" i="2"/>
  <c r="B3858" i="9" s="1"/>
  <c r="A3858" i="2"/>
  <c r="A3858" i="9" s="1"/>
  <c r="B3857" i="2"/>
  <c r="B3857" i="9" s="1"/>
  <c r="A3857" i="2"/>
  <c r="A3857" i="9" s="1"/>
  <c r="B3856" i="2"/>
  <c r="B3856" i="9" s="1"/>
  <c r="A3856" i="2"/>
  <c r="A3856" i="9" s="1"/>
  <c r="B3855" i="2"/>
  <c r="B3855" i="9" s="1"/>
  <c r="A3855" i="2"/>
  <c r="A3855" i="9" s="1"/>
  <c r="B3854" i="2"/>
  <c r="B3854" i="9" s="1"/>
  <c r="A3854" i="2"/>
  <c r="A3854" i="9" s="1"/>
  <c r="B3853" i="2"/>
  <c r="B3853" i="9" s="1"/>
  <c r="A3853" i="2"/>
  <c r="A3853" i="9" s="1"/>
  <c r="B3852" i="2"/>
  <c r="B3852" i="9" s="1"/>
  <c r="A3852" i="2"/>
  <c r="A3852" i="9" s="1"/>
  <c r="B3851" i="2"/>
  <c r="B3851" i="9" s="1"/>
  <c r="A3851" i="2"/>
  <c r="A3851" i="9" s="1"/>
  <c r="B3850" i="2"/>
  <c r="B3850" i="9" s="1"/>
  <c r="A3850" i="2"/>
  <c r="A3850" i="9" s="1"/>
  <c r="B3849" i="2"/>
  <c r="B3849" i="9" s="1"/>
  <c r="A3849" i="2"/>
  <c r="A3849" i="9" s="1"/>
  <c r="B3848" i="2"/>
  <c r="B3848" i="9" s="1"/>
  <c r="A3848" i="2"/>
  <c r="A3848" i="9" s="1"/>
  <c r="B3847" i="2"/>
  <c r="B3847" i="9" s="1"/>
  <c r="A3847" i="2"/>
  <c r="A3847" i="9" s="1"/>
  <c r="B3846" i="2"/>
  <c r="B3846" i="9" s="1"/>
  <c r="A3846" i="2"/>
  <c r="A3846" i="9" s="1"/>
  <c r="B3845" i="2"/>
  <c r="B3845" i="9" s="1"/>
  <c r="A3845" i="2"/>
  <c r="A3845" i="9" s="1"/>
  <c r="B3844" i="2"/>
  <c r="B3844" i="9" s="1"/>
  <c r="A3844" i="2"/>
  <c r="A3844" i="9" s="1"/>
  <c r="B3843" i="2"/>
  <c r="B3843" i="9" s="1"/>
  <c r="A3843" i="2"/>
  <c r="A3843" i="9" s="1"/>
  <c r="B3842" i="2"/>
  <c r="B3842" i="9" s="1"/>
  <c r="A3842" i="2"/>
  <c r="A3842" i="9" s="1"/>
  <c r="B3841" i="2"/>
  <c r="B3841" i="9" s="1"/>
  <c r="A3841" i="2"/>
  <c r="A3841" i="9" s="1"/>
  <c r="B3840" i="2"/>
  <c r="B3840" i="9" s="1"/>
  <c r="A3840" i="2"/>
  <c r="A3840" i="9" s="1"/>
  <c r="B3839" i="2"/>
  <c r="B3839" i="9" s="1"/>
  <c r="A3839" i="2"/>
  <c r="A3839" i="9" s="1"/>
  <c r="B3838" i="2"/>
  <c r="B3838" i="9" s="1"/>
  <c r="A3838" i="2"/>
  <c r="A3838" i="9" s="1"/>
  <c r="B3837" i="2"/>
  <c r="B3837" i="9" s="1"/>
  <c r="A3837" i="2"/>
  <c r="A3837" i="9" s="1"/>
  <c r="B3836" i="2"/>
  <c r="B3836" i="9" s="1"/>
  <c r="A3836" i="2"/>
  <c r="A3836" i="9" s="1"/>
  <c r="B3835" i="2"/>
  <c r="B3835" i="9" s="1"/>
  <c r="A3835" i="2"/>
  <c r="A3835" i="9" s="1"/>
  <c r="B3834" i="2"/>
  <c r="B3834" i="9" s="1"/>
  <c r="A3834" i="2"/>
  <c r="A3834" i="9" s="1"/>
  <c r="B3833" i="2"/>
  <c r="B3833" i="9" s="1"/>
  <c r="A3833" i="2"/>
  <c r="A3833" i="9" s="1"/>
  <c r="B3832" i="2"/>
  <c r="B3832" i="9" s="1"/>
  <c r="A3832" i="2"/>
  <c r="A3832" i="9" s="1"/>
  <c r="B3831" i="2"/>
  <c r="B3831" i="9" s="1"/>
  <c r="A3831" i="2"/>
  <c r="A3831" i="9" s="1"/>
  <c r="B3830" i="2"/>
  <c r="B3830" i="9" s="1"/>
  <c r="A3830" i="2"/>
  <c r="A3830" i="9" s="1"/>
  <c r="B3829" i="2"/>
  <c r="B3829" i="9" s="1"/>
  <c r="A3829" i="2"/>
  <c r="A3829" i="9" s="1"/>
  <c r="B3828" i="2"/>
  <c r="B3828" i="9" s="1"/>
  <c r="A3828" i="2"/>
  <c r="A3828" i="9" s="1"/>
  <c r="B3827" i="2"/>
  <c r="B3827" i="9" s="1"/>
  <c r="A3827" i="2"/>
  <c r="A3827" i="9" s="1"/>
  <c r="B3826" i="2"/>
  <c r="B3826" i="9" s="1"/>
  <c r="A3826" i="2"/>
  <c r="A3826" i="9" s="1"/>
  <c r="B3825" i="2"/>
  <c r="B3825" i="9" s="1"/>
  <c r="A3825" i="2"/>
  <c r="A3825" i="9" s="1"/>
  <c r="B3824" i="2"/>
  <c r="B3824" i="9" s="1"/>
  <c r="A3824" i="2"/>
  <c r="A3824" i="9" s="1"/>
  <c r="B3823" i="2"/>
  <c r="B3823" i="9" s="1"/>
  <c r="A3823" i="2"/>
  <c r="A3823" i="9" s="1"/>
  <c r="B3822" i="2"/>
  <c r="B3822" i="9" s="1"/>
  <c r="A3822" i="2"/>
  <c r="A3822" i="9" s="1"/>
  <c r="B3821" i="2"/>
  <c r="B3821" i="9" s="1"/>
  <c r="A3821" i="2"/>
  <c r="A3821" i="9" s="1"/>
  <c r="B3820" i="2"/>
  <c r="B3820" i="9" s="1"/>
  <c r="A3820" i="2"/>
  <c r="A3820" i="9" s="1"/>
  <c r="B3819" i="2"/>
  <c r="B3819" i="9" s="1"/>
  <c r="A3819" i="2"/>
  <c r="A3819" i="9" s="1"/>
  <c r="B3818" i="2"/>
  <c r="B3818" i="9" s="1"/>
  <c r="A3818" i="2"/>
  <c r="A3818" i="9" s="1"/>
  <c r="B3817" i="2"/>
  <c r="B3817" i="9" s="1"/>
  <c r="A3817" i="2"/>
  <c r="A3817" i="9" s="1"/>
  <c r="B3816" i="2"/>
  <c r="B3816" i="9" s="1"/>
  <c r="A3816" i="2"/>
  <c r="A3816" i="9" s="1"/>
  <c r="B3815" i="2"/>
  <c r="B3815" i="9" s="1"/>
  <c r="A3815" i="2"/>
  <c r="A3815" i="9" s="1"/>
  <c r="B3814" i="2"/>
  <c r="B3814" i="9" s="1"/>
  <c r="A3814" i="2"/>
  <c r="A3814" i="9" s="1"/>
  <c r="B3813" i="2"/>
  <c r="B3813" i="9" s="1"/>
  <c r="A3813" i="2"/>
  <c r="A3813" i="9" s="1"/>
  <c r="B3812" i="2"/>
  <c r="B3812" i="9" s="1"/>
  <c r="A3812" i="2"/>
  <c r="A3812" i="9" s="1"/>
  <c r="B3811" i="2"/>
  <c r="B3811" i="9" s="1"/>
  <c r="A3811" i="2"/>
  <c r="A3811" i="9" s="1"/>
  <c r="B3810" i="2"/>
  <c r="B3810" i="9" s="1"/>
  <c r="A3810" i="2"/>
  <c r="A3810" i="9" s="1"/>
  <c r="B3809" i="2"/>
  <c r="B3809" i="9" s="1"/>
  <c r="A3809" i="2"/>
  <c r="A3809" i="9" s="1"/>
  <c r="B3808" i="2"/>
  <c r="B3808" i="9" s="1"/>
  <c r="A3808" i="2"/>
  <c r="A3808" i="9" s="1"/>
  <c r="B3807" i="2"/>
  <c r="B3807" i="9" s="1"/>
  <c r="A3807" i="2"/>
  <c r="A3807" i="9" s="1"/>
  <c r="B3806" i="2"/>
  <c r="B3806" i="9" s="1"/>
  <c r="A3806" i="2"/>
  <c r="A3806" i="9" s="1"/>
  <c r="B3805" i="2"/>
  <c r="B3805" i="9" s="1"/>
  <c r="A3805" i="2"/>
  <c r="A3805" i="9" s="1"/>
  <c r="B3804" i="2"/>
  <c r="B3804" i="9" s="1"/>
  <c r="A3804" i="2"/>
  <c r="A3804" i="9" s="1"/>
  <c r="B3803" i="2"/>
  <c r="B3803" i="9" s="1"/>
  <c r="A3803" i="2"/>
  <c r="A3803" i="9" s="1"/>
  <c r="B3802" i="2"/>
  <c r="B3802" i="9" s="1"/>
  <c r="A3802" i="2"/>
  <c r="A3802" i="9" s="1"/>
  <c r="B3801" i="2"/>
  <c r="B3801" i="9" s="1"/>
  <c r="A3801" i="2"/>
  <c r="A3801" i="9" s="1"/>
  <c r="B3800" i="2"/>
  <c r="B3800" i="9" s="1"/>
  <c r="A3800" i="2"/>
  <c r="A3800" i="9" s="1"/>
  <c r="B3799" i="2"/>
  <c r="B3799" i="9" s="1"/>
  <c r="A3799" i="2"/>
  <c r="A3799" i="9" s="1"/>
  <c r="B3798" i="2"/>
  <c r="B3798" i="9" s="1"/>
  <c r="A3798" i="2"/>
  <c r="A3798" i="9" s="1"/>
  <c r="B3797" i="2"/>
  <c r="B3797" i="9" s="1"/>
  <c r="A3797" i="2"/>
  <c r="A3797" i="9" s="1"/>
  <c r="B3796" i="2"/>
  <c r="B3796" i="9" s="1"/>
  <c r="A3796" i="2"/>
  <c r="A3796" i="9" s="1"/>
  <c r="B3795" i="2"/>
  <c r="B3795" i="9" s="1"/>
  <c r="A3795" i="2"/>
  <c r="A3795" i="9" s="1"/>
  <c r="B3794" i="2"/>
  <c r="B3794" i="9" s="1"/>
  <c r="A3794" i="2"/>
  <c r="A3794" i="9" s="1"/>
  <c r="B3793" i="2"/>
  <c r="B3793" i="9" s="1"/>
  <c r="A3793" i="2"/>
  <c r="A3793" i="9" s="1"/>
  <c r="B3792" i="2"/>
  <c r="B3792" i="9" s="1"/>
  <c r="A3792" i="2"/>
  <c r="A3792" i="9" s="1"/>
  <c r="B3791" i="2"/>
  <c r="B3791" i="9" s="1"/>
  <c r="A3791" i="2"/>
  <c r="A3791" i="9" s="1"/>
  <c r="B3790" i="2"/>
  <c r="B3790" i="9" s="1"/>
  <c r="A3790" i="2"/>
  <c r="A3790" i="9" s="1"/>
  <c r="B3789" i="2"/>
  <c r="B3789" i="9" s="1"/>
  <c r="A3789" i="2"/>
  <c r="A3789" i="9" s="1"/>
  <c r="B3788" i="2"/>
  <c r="B3788" i="9" s="1"/>
  <c r="A3788" i="2"/>
  <c r="A3788" i="9" s="1"/>
  <c r="B3787" i="2"/>
  <c r="B3787" i="9" s="1"/>
  <c r="A3787" i="2"/>
  <c r="A3787" i="9" s="1"/>
  <c r="B3786" i="2"/>
  <c r="B3786" i="9" s="1"/>
  <c r="A3786" i="2"/>
  <c r="A3786" i="9" s="1"/>
  <c r="B3785" i="2"/>
  <c r="B3785" i="9" s="1"/>
  <c r="A3785" i="2"/>
  <c r="A3785" i="9" s="1"/>
  <c r="B3784" i="2"/>
  <c r="B3784" i="9" s="1"/>
  <c r="A3784" i="2"/>
  <c r="A3784" i="9" s="1"/>
  <c r="B3783" i="2"/>
  <c r="B3783" i="9" s="1"/>
  <c r="A3783" i="2"/>
  <c r="A3783" i="9" s="1"/>
  <c r="B3782" i="2"/>
  <c r="B3782" i="9" s="1"/>
  <c r="A3782" i="2"/>
  <c r="A3782" i="9" s="1"/>
  <c r="B3781" i="2"/>
  <c r="B3781" i="9" s="1"/>
  <c r="A3781" i="2"/>
  <c r="A3781" i="9" s="1"/>
  <c r="B3780" i="2"/>
  <c r="B3780" i="9" s="1"/>
  <c r="A3780" i="2"/>
  <c r="A3780" i="9" s="1"/>
  <c r="B3779" i="2"/>
  <c r="B3779" i="9" s="1"/>
  <c r="A3779" i="2"/>
  <c r="A3779" i="9" s="1"/>
  <c r="B3778" i="2"/>
  <c r="B3778" i="9" s="1"/>
  <c r="A3778" i="2"/>
  <c r="A3778" i="9" s="1"/>
  <c r="B3777" i="2"/>
  <c r="B3777" i="9" s="1"/>
  <c r="A3777" i="2"/>
  <c r="A3777" i="9" s="1"/>
  <c r="B3776" i="2"/>
  <c r="B3776" i="9" s="1"/>
  <c r="A3776" i="2"/>
  <c r="A3776" i="9" s="1"/>
  <c r="B3775" i="2"/>
  <c r="B3775" i="9" s="1"/>
  <c r="A3775" i="2"/>
  <c r="A3775" i="9" s="1"/>
  <c r="B3774" i="2"/>
  <c r="B3774" i="9" s="1"/>
  <c r="A3774" i="2"/>
  <c r="A3774" i="9" s="1"/>
  <c r="B3773" i="2"/>
  <c r="B3773" i="9" s="1"/>
  <c r="A3773" i="2"/>
  <c r="A3773" i="9" s="1"/>
  <c r="B3772" i="2"/>
  <c r="B3772" i="9" s="1"/>
  <c r="A3772" i="2"/>
  <c r="A3772" i="9" s="1"/>
  <c r="B3771" i="2"/>
  <c r="B3771" i="9" s="1"/>
  <c r="A3771" i="2"/>
  <c r="A3771" i="9" s="1"/>
  <c r="B3770" i="2"/>
  <c r="B3770" i="9" s="1"/>
  <c r="A3770" i="2"/>
  <c r="A3770" i="9" s="1"/>
  <c r="B3769" i="2"/>
  <c r="B3769" i="9" s="1"/>
  <c r="A3769" i="2"/>
  <c r="A3769" i="9" s="1"/>
  <c r="B3768" i="2"/>
  <c r="B3768" i="9" s="1"/>
  <c r="A3768" i="2"/>
  <c r="A3768" i="9" s="1"/>
  <c r="B3767" i="2"/>
  <c r="B3767" i="9" s="1"/>
  <c r="A3767" i="2"/>
  <c r="A3767" i="9" s="1"/>
  <c r="B3766" i="2"/>
  <c r="B3766" i="9" s="1"/>
  <c r="A3766" i="2"/>
  <c r="A3766" i="9" s="1"/>
  <c r="B3765" i="2"/>
  <c r="B3765" i="9" s="1"/>
  <c r="A3765" i="2"/>
  <c r="A3765" i="9" s="1"/>
  <c r="B3764" i="2"/>
  <c r="B3764" i="9" s="1"/>
  <c r="A3764" i="2"/>
  <c r="A3764" i="9" s="1"/>
  <c r="B3763" i="2"/>
  <c r="B3763" i="9" s="1"/>
  <c r="A3763" i="2"/>
  <c r="A3763" i="9" s="1"/>
  <c r="B3762" i="2"/>
  <c r="B3762" i="9" s="1"/>
  <c r="A3762" i="2"/>
  <c r="A3762" i="9" s="1"/>
  <c r="B3761" i="2"/>
  <c r="B3761" i="9" s="1"/>
  <c r="A3761" i="2"/>
  <c r="A3761" i="9" s="1"/>
  <c r="B3760" i="2"/>
  <c r="B3760" i="9" s="1"/>
  <c r="A3760" i="2"/>
  <c r="A3760" i="9" s="1"/>
  <c r="B3759" i="2"/>
  <c r="B3759" i="9" s="1"/>
  <c r="A3759" i="2"/>
  <c r="A3759" i="9" s="1"/>
  <c r="B3758" i="2"/>
  <c r="B3758" i="9" s="1"/>
  <c r="A3758" i="2"/>
  <c r="A3758" i="9" s="1"/>
  <c r="B3757" i="2"/>
  <c r="B3757" i="9" s="1"/>
  <c r="A3757" i="2"/>
  <c r="A3757" i="9" s="1"/>
  <c r="B3756" i="2"/>
  <c r="B3756" i="9" s="1"/>
  <c r="A3756" i="2"/>
  <c r="A3756" i="9" s="1"/>
  <c r="B3755" i="2"/>
  <c r="B3755" i="9" s="1"/>
  <c r="A3755" i="2"/>
  <c r="A3755" i="9" s="1"/>
  <c r="B3754" i="2"/>
  <c r="B3754" i="9" s="1"/>
  <c r="A3754" i="2"/>
  <c r="A3754" i="9" s="1"/>
  <c r="B3753" i="2"/>
  <c r="B3753" i="9" s="1"/>
  <c r="A3753" i="2"/>
  <c r="A3753" i="9" s="1"/>
  <c r="B3752" i="2"/>
  <c r="B3752" i="9" s="1"/>
  <c r="A3752" i="2"/>
  <c r="A3752" i="9" s="1"/>
  <c r="B3751" i="2"/>
  <c r="B3751" i="9" s="1"/>
  <c r="A3751" i="2"/>
  <c r="A3751" i="9" s="1"/>
  <c r="B3750" i="2"/>
  <c r="B3750" i="9" s="1"/>
  <c r="A3750" i="2"/>
  <c r="A3750" i="9" s="1"/>
  <c r="B3749" i="2"/>
  <c r="B3749" i="9" s="1"/>
  <c r="A3749" i="2"/>
  <c r="A3749" i="9" s="1"/>
  <c r="B3748" i="2"/>
  <c r="B3748" i="9" s="1"/>
  <c r="A3748" i="2"/>
  <c r="A3748" i="9" s="1"/>
  <c r="B3747" i="2"/>
  <c r="B3747" i="9" s="1"/>
  <c r="A3747" i="2"/>
  <c r="A3747" i="9" s="1"/>
  <c r="B3746" i="2"/>
  <c r="B3746" i="9" s="1"/>
  <c r="A3746" i="2"/>
  <c r="A3746" i="9" s="1"/>
  <c r="B3745" i="2"/>
  <c r="B3745" i="9" s="1"/>
  <c r="A3745" i="2"/>
  <c r="A3745" i="9" s="1"/>
  <c r="B3744" i="2"/>
  <c r="B3744" i="9" s="1"/>
  <c r="A3744" i="2"/>
  <c r="A3744" i="9" s="1"/>
  <c r="B3743" i="2"/>
  <c r="B3743" i="9" s="1"/>
  <c r="A3743" i="2"/>
  <c r="A3743" i="9" s="1"/>
  <c r="B3742" i="2"/>
  <c r="B3742" i="9" s="1"/>
  <c r="A3742" i="2"/>
  <c r="A3742" i="9" s="1"/>
  <c r="B3741" i="2"/>
  <c r="B3741" i="9" s="1"/>
  <c r="A3741" i="2"/>
  <c r="A3741" i="9" s="1"/>
  <c r="B3740" i="2"/>
  <c r="B3740" i="9" s="1"/>
  <c r="A3740" i="2"/>
  <c r="A3740" i="9" s="1"/>
  <c r="B3739" i="2"/>
  <c r="B3739" i="9" s="1"/>
  <c r="A3739" i="2"/>
  <c r="A3739" i="9" s="1"/>
  <c r="B3738" i="2"/>
  <c r="B3738" i="9" s="1"/>
  <c r="A3738" i="2"/>
  <c r="A3738" i="9" s="1"/>
  <c r="B3737" i="2"/>
  <c r="B3737" i="9" s="1"/>
  <c r="A3737" i="2"/>
  <c r="A3737" i="9" s="1"/>
  <c r="B3736" i="2"/>
  <c r="B3736" i="9" s="1"/>
  <c r="A3736" i="2"/>
  <c r="A3736" i="9" s="1"/>
  <c r="B3735" i="2"/>
  <c r="B3735" i="9" s="1"/>
  <c r="A3735" i="2"/>
  <c r="A3735" i="9" s="1"/>
  <c r="B3734" i="2"/>
  <c r="B3734" i="9" s="1"/>
  <c r="A3734" i="2"/>
  <c r="A3734" i="9" s="1"/>
  <c r="B3733" i="2"/>
  <c r="B3733" i="9" s="1"/>
  <c r="A3733" i="2"/>
  <c r="A3733" i="9" s="1"/>
  <c r="B3732" i="2"/>
  <c r="B3732" i="9" s="1"/>
  <c r="A3732" i="2"/>
  <c r="A3732" i="9" s="1"/>
  <c r="B3731" i="2"/>
  <c r="B3731" i="9" s="1"/>
  <c r="A3731" i="2"/>
  <c r="A3731" i="9" s="1"/>
  <c r="B3730" i="2"/>
  <c r="B3730" i="9" s="1"/>
  <c r="A3730" i="2"/>
  <c r="A3730" i="9" s="1"/>
  <c r="B3729" i="2"/>
  <c r="B3729" i="9" s="1"/>
  <c r="A3729" i="2"/>
  <c r="A3729" i="9" s="1"/>
  <c r="B3728" i="2"/>
  <c r="B3728" i="9" s="1"/>
  <c r="A3728" i="2"/>
  <c r="A3728" i="9" s="1"/>
  <c r="B3727" i="2"/>
  <c r="B3727" i="9" s="1"/>
  <c r="A3727" i="2"/>
  <c r="A3727" i="9" s="1"/>
  <c r="B3726" i="2"/>
  <c r="B3726" i="9" s="1"/>
  <c r="A3726" i="2"/>
  <c r="A3726" i="9" s="1"/>
  <c r="B3725" i="2"/>
  <c r="B3725" i="9" s="1"/>
  <c r="A3725" i="2"/>
  <c r="A3725" i="9" s="1"/>
  <c r="B3724" i="2"/>
  <c r="B3724" i="9" s="1"/>
  <c r="A3724" i="2"/>
  <c r="A3724" i="9" s="1"/>
  <c r="B3723" i="2"/>
  <c r="B3723" i="9" s="1"/>
  <c r="A3723" i="2"/>
  <c r="A3723" i="9" s="1"/>
  <c r="B3722" i="2"/>
  <c r="B3722" i="9" s="1"/>
  <c r="A3722" i="2"/>
  <c r="A3722" i="9" s="1"/>
  <c r="B3721" i="2"/>
  <c r="B3721" i="9" s="1"/>
  <c r="A3721" i="2"/>
  <c r="A3721" i="9" s="1"/>
  <c r="B3720" i="2"/>
  <c r="B3720" i="9" s="1"/>
  <c r="A3720" i="2"/>
  <c r="A3720" i="9" s="1"/>
  <c r="B3719" i="2"/>
  <c r="B3719" i="9" s="1"/>
  <c r="A3719" i="2"/>
  <c r="A3719" i="9" s="1"/>
  <c r="B3718" i="2"/>
  <c r="B3718" i="9" s="1"/>
  <c r="A3718" i="2"/>
  <c r="A3718" i="9" s="1"/>
  <c r="B3717" i="2"/>
  <c r="B3717" i="9" s="1"/>
  <c r="A3717" i="2"/>
  <c r="A3717" i="9" s="1"/>
  <c r="B3716" i="2"/>
  <c r="B3716" i="9" s="1"/>
  <c r="A3716" i="2"/>
  <c r="A3716" i="9" s="1"/>
  <c r="B3715" i="2"/>
  <c r="B3715" i="9" s="1"/>
  <c r="A3715" i="2"/>
  <c r="A3715" i="9" s="1"/>
  <c r="B3714" i="2"/>
  <c r="B3714" i="9" s="1"/>
  <c r="A3714" i="2"/>
  <c r="A3714" i="9" s="1"/>
  <c r="B3713" i="2"/>
  <c r="B3713" i="9" s="1"/>
  <c r="A3713" i="2"/>
  <c r="A3713" i="9" s="1"/>
  <c r="B3712" i="2"/>
  <c r="B3712" i="9" s="1"/>
  <c r="A3712" i="2"/>
  <c r="A3712" i="9" s="1"/>
  <c r="B3711" i="2"/>
  <c r="B3711" i="9" s="1"/>
  <c r="A3711" i="2"/>
  <c r="A3711" i="9" s="1"/>
  <c r="B3710" i="2"/>
  <c r="B3710" i="9" s="1"/>
  <c r="A3710" i="2"/>
  <c r="A3710" i="9" s="1"/>
  <c r="B3709" i="2"/>
  <c r="B3709" i="9" s="1"/>
  <c r="A3709" i="2"/>
  <c r="A3709" i="9" s="1"/>
  <c r="B3708" i="2"/>
  <c r="B3708" i="9" s="1"/>
  <c r="A3708" i="2"/>
  <c r="A3708" i="9" s="1"/>
  <c r="B3707" i="2"/>
  <c r="B3707" i="9" s="1"/>
  <c r="A3707" i="2"/>
  <c r="A3707" i="9" s="1"/>
  <c r="B3706" i="2"/>
  <c r="B3706" i="9" s="1"/>
  <c r="A3706" i="2"/>
  <c r="A3706" i="9" s="1"/>
  <c r="B3705" i="2"/>
  <c r="B3705" i="9" s="1"/>
  <c r="A3705" i="2"/>
  <c r="A3705" i="9" s="1"/>
  <c r="B3704" i="2"/>
  <c r="B3704" i="9" s="1"/>
  <c r="A3704" i="2"/>
  <c r="A3704" i="9" s="1"/>
  <c r="B3703" i="2"/>
  <c r="B3703" i="9" s="1"/>
  <c r="A3703" i="2"/>
  <c r="A3703" i="9" s="1"/>
  <c r="B3702" i="2"/>
  <c r="B3702" i="9" s="1"/>
  <c r="A3702" i="2"/>
  <c r="A3702" i="9" s="1"/>
  <c r="B3701" i="2"/>
  <c r="B3701" i="9" s="1"/>
  <c r="A3701" i="2"/>
  <c r="A3701" i="9" s="1"/>
  <c r="B3700" i="2"/>
  <c r="B3700" i="9" s="1"/>
  <c r="A3700" i="2"/>
  <c r="A3700" i="9" s="1"/>
  <c r="B3699" i="2"/>
  <c r="B3699" i="9" s="1"/>
  <c r="A3699" i="2"/>
  <c r="A3699" i="9" s="1"/>
  <c r="B3698" i="2"/>
  <c r="B3698" i="9" s="1"/>
  <c r="A3698" i="2"/>
  <c r="A3698" i="9" s="1"/>
  <c r="B3697" i="2"/>
  <c r="B3697" i="9" s="1"/>
  <c r="A3697" i="2"/>
  <c r="A3697" i="9" s="1"/>
  <c r="B3696" i="2"/>
  <c r="B3696" i="9" s="1"/>
  <c r="A3696" i="2"/>
  <c r="A3696" i="9" s="1"/>
  <c r="B3695" i="2"/>
  <c r="B3695" i="9" s="1"/>
  <c r="A3695" i="2"/>
  <c r="A3695" i="9" s="1"/>
  <c r="B3694" i="2"/>
  <c r="B3694" i="9" s="1"/>
  <c r="A3694" i="2"/>
  <c r="A3694" i="9" s="1"/>
  <c r="B3693" i="2"/>
  <c r="B3693" i="9" s="1"/>
  <c r="A3693" i="2"/>
  <c r="A3693" i="9" s="1"/>
  <c r="B3692" i="2"/>
  <c r="B3692" i="9" s="1"/>
  <c r="A3692" i="2"/>
  <c r="A3692" i="9" s="1"/>
  <c r="B3691" i="2"/>
  <c r="B3691" i="9" s="1"/>
  <c r="A3691" i="2"/>
  <c r="A3691" i="9" s="1"/>
  <c r="B3690" i="2"/>
  <c r="B3690" i="9" s="1"/>
  <c r="A3690" i="2"/>
  <c r="A3690" i="9" s="1"/>
  <c r="B3689" i="2"/>
  <c r="B3689" i="9" s="1"/>
  <c r="A3689" i="2"/>
  <c r="A3689" i="9" s="1"/>
  <c r="B3688" i="2"/>
  <c r="B3688" i="9" s="1"/>
  <c r="A3688" i="2"/>
  <c r="A3688" i="9" s="1"/>
  <c r="B3687" i="2"/>
  <c r="B3687" i="9" s="1"/>
  <c r="A3687" i="2"/>
  <c r="A3687" i="9" s="1"/>
  <c r="B3686" i="2"/>
  <c r="B3686" i="9" s="1"/>
  <c r="A3686" i="2"/>
  <c r="A3686" i="9" s="1"/>
  <c r="B3685" i="2"/>
  <c r="B3685" i="9" s="1"/>
  <c r="A3685" i="2"/>
  <c r="A3685" i="9" s="1"/>
  <c r="B3684" i="2"/>
  <c r="B3684" i="9" s="1"/>
  <c r="A3684" i="2"/>
  <c r="A3684" i="9" s="1"/>
  <c r="B3683" i="2"/>
  <c r="B3683" i="9" s="1"/>
  <c r="A3683" i="2"/>
  <c r="A3683" i="9" s="1"/>
  <c r="B3682" i="2"/>
  <c r="B3682" i="9" s="1"/>
  <c r="A3682" i="2"/>
  <c r="A3682" i="9" s="1"/>
  <c r="B3681" i="2"/>
  <c r="B3681" i="9" s="1"/>
  <c r="A3681" i="2"/>
  <c r="A3681" i="9" s="1"/>
  <c r="B3680" i="2"/>
  <c r="B3680" i="9" s="1"/>
  <c r="A3680" i="2"/>
  <c r="A3680" i="9" s="1"/>
  <c r="B3679" i="2"/>
  <c r="B3679" i="9" s="1"/>
  <c r="A3679" i="2"/>
  <c r="A3679" i="9" s="1"/>
  <c r="B3678" i="2"/>
  <c r="B3678" i="9" s="1"/>
  <c r="A3678" i="2"/>
  <c r="A3678" i="9" s="1"/>
  <c r="B3677" i="2"/>
  <c r="B3677" i="9" s="1"/>
  <c r="A3677" i="2"/>
  <c r="A3677" i="9" s="1"/>
  <c r="B3676" i="2"/>
  <c r="B3676" i="9" s="1"/>
  <c r="A3676" i="2"/>
  <c r="A3676" i="9" s="1"/>
  <c r="B3675" i="2"/>
  <c r="B3675" i="9" s="1"/>
  <c r="A3675" i="2"/>
  <c r="A3675" i="9" s="1"/>
  <c r="B3674" i="2"/>
  <c r="B3674" i="9" s="1"/>
  <c r="A3674" i="2"/>
  <c r="A3674" i="9" s="1"/>
  <c r="B3673" i="2"/>
  <c r="B3673" i="9" s="1"/>
  <c r="A3673" i="2"/>
  <c r="A3673" i="9" s="1"/>
  <c r="B3672" i="2"/>
  <c r="B3672" i="9" s="1"/>
  <c r="A3672" i="2"/>
  <c r="A3672" i="9" s="1"/>
  <c r="B3671" i="2"/>
  <c r="B3671" i="9" s="1"/>
  <c r="A3671" i="2"/>
  <c r="A3671" i="9" s="1"/>
  <c r="B3670" i="2"/>
  <c r="B3670" i="9" s="1"/>
  <c r="A3670" i="2"/>
  <c r="A3670" i="9" s="1"/>
  <c r="B3669" i="2"/>
  <c r="B3669" i="9" s="1"/>
  <c r="A3669" i="2"/>
  <c r="A3669" i="9" s="1"/>
  <c r="B3668" i="2"/>
  <c r="B3668" i="9" s="1"/>
  <c r="A3668" i="2"/>
  <c r="A3668" i="9" s="1"/>
  <c r="B3667" i="2"/>
  <c r="B3667" i="9" s="1"/>
  <c r="A3667" i="2"/>
  <c r="A3667" i="9" s="1"/>
  <c r="B3666" i="2"/>
  <c r="B3666" i="9" s="1"/>
  <c r="A3666" i="2"/>
  <c r="A3666" i="9" s="1"/>
  <c r="B3665" i="2"/>
  <c r="B3665" i="9" s="1"/>
  <c r="A3665" i="2"/>
  <c r="A3665" i="9" s="1"/>
  <c r="B3664" i="2"/>
  <c r="B3664" i="9" s="1"/>
  <c r="A3664" i="2"/>
  <c r="A3664" i="9" s="1"/>
  <c r="B3663" i="2"/>
  <c r="B3663" i="9" s="1"/>
  <c r="A3663" i="2"/>
  <c r="A3663" i="9" s="1"/>
  <c r="B3662" i="2"/>
  <c r="B3662" i="9" s="1"/>
  <c r="A3662" i="2"/>
  <c r="A3662" i="9" s="1"/>
  <c r="B3661" i="2"/>
  <c r="B3661" i="9" s="1"/>
  <c r="A3661" i="2"/>
  <c r="A3661" i="9" s="1"/>
  <c r="B3660" i="2"/>
  <c r="B3660" i="9" s="1"/>
  <c r="A3660" i="2"/>
  <c r="A3660" i="9" s="1"/>
  <c r="B3659" i="2"/>
  <c r="B3659" i="9" s="1"/>
  <c r="A3659" i="2"/>
  <c r="A3659" i="9" s="1"/>
  <c r="B3658" i="2"/>
  <c r="B3658" i="9" s="1"/>
  <c r="A3658" i="2"/>
  <c r="A3658" i="9" s="1"/>
  <c r="B3657" i="2"/>
  <c r="B3657" i="9" s="1"/>
  <c r="A3657" i="2"/>
  <c r="A3657" i="9" s="1"/>
  <c r="B3656" i="2"/>
  <c r="B3656" i="9" s="1"/>
  <c r="A3656" i="2"/>
  <c r="A3656" i="9" s="1"/>
  <c r="B3655" i="2"/>
  <c r="B3655" i="9" s="1"/>
  <c r="A3655" i="2"/>
  <c r="A3655" i="9" s="1"/>
  <c r="B3654" i="2"/>
  <c r="B3654" i="9" s="1"/>
  <c r="A3654" i="2"/>
  <c r="A3654" i="9" s="1"/>
  <c r="B3653" i="2"/>
  <c r="B3653" i="9" s="1"/>
  <c r="A3653" i="2"/>
  <c r="A3653" i="9" s="1"/>
  <c r="B3652" i="2"/>
  <c r="B3652" i="9" s="1"/>
  <c r="A3652" i="2"/>
  <c r="A3652" i="9" s="1"/>
  <c r="B3651" i="2"/>
  <c r="B3651" i="9" s="1"/>
  <c r="A3651" i="2"/>
  <c r="A3651" i="9" s="1"/>
  <c r="B3650" i="2"/>
  <c r="B3650" i="9" s="1"/>
  <c r="A3650" i="2"/>
  <c r="A3650" i="9" s="1"/>
  <c r="B3649" i="2"/>
  <c r="B3649" i="9" s="1"/>
  <c r="A3649" i="2"/>
  <c r="A3649" i="9" s="1"/>
  <c r="B3648" i="2"/>
  <c r="B3648" i="9" s="1"/>
  <c r="A3648" i="2"/>
  <c r="A3648" i="9" s="1"/>
  <c r="B3647" i="2"/>
  <c r="B3647" i="9" s="1"/>
  <c r="A3647" i="2"/>
  <c r="A3647" i="9" s="1"/>
  <c r="B3646" i="2"/>
  <c r="B3646" i="9" s="1"/>
  <c r="A3646" i="2"/>
  <c r="A3646" i="9" s="1"/>
  <c r="B3645" i="2"/>
  <c r="B3645" i="9" s="1"/>
  <c r="A3645" i="2"/>
  <c r="A3645" i="9" s="1"/>
  <c r="B3644" i="2"/>
  <c r="B3644" i="9" s="1"/>
  <c r="A3644" i="2"/>
  <c r="A3644" i="9" s="1"/>
  <c r="B3643" i="2"/>
  <c r="B3643" i="9" s="1"/>
  <c r="A3643" i="2"/>
  <c r="A3643" i="9" s="1"/>
  <c r="B3642" i="2"/>
  <c r="B3642" i="9" s="1"/>
  <c r="A3642" i="2"/>
  <c r="A3642" i="9" s="1"/>
  <c r="B3641" i="2"/>
  <c r="B3641" i="9" s="1"/>
  <c r="A3641" i="2"/>
  <c r="A3641" i="9" s="1"/>
  <c r="B3640" i="2"/>
  <c r="B3640" i="9" s="1"/>
  <c r="A3640" i="2"/>
  <c r="A3640" i="9" s="1"/>
  <c r="B3639" i="2"/>
  <c r="B3639" i="9" s="1"/>
  <c r="A3639" i="2"/>
  <c r="A3639" i="9" s="1"/>
  <c r="B3638" i="2"/>
  <c r="B3638" i="9" s="1"/>
  <c r="A3638" i="2"/>
  <c r="A3638" i="9" s="1"/>
  <c r="B3637" i="2"/>
  <c r="B3637" i="9" s="1"/>
  <c r="A3637" i="2"/>
  <c r="A3637" i="9" s="1"/>
  <c r="B3636" i="2"/>
  <c r="B3636" i="9" s="1"/>
  <c r="A3636" i="2"/>
  <c r="A3636" i="9" s="1"/>
  <c r="B3635" i="2"/>
  <c r="B3635" i="9" s="1"/>
  <c r="A3635" i="2"/>
  <c r="A3635" i="9" s="1"/>
  <c r="B3634" i="2"/>
  <c r="B3634" i="9" s="1"/>
  <c r="A3634" i="2"/>
  <c r="A3634" i="9" s="1"/>
  <c r="B3633" i="2"/>
  <c r="B3633" i="9" s="1"/>
  <c r="A3633" i="2"/>
  <c r="A3633" i="9" s="1"/>
  <c r="B3632" i="2"/>
  <c r="B3632" i="9" s="1"/>
  <c r="A3632" i="2"/>
  <c r="A3632" i="9" s="1"/>
  <c r="B3631" i="2"/>
  <c r="B3631" i="9" s="1"/>
  <c r="A3631" i="2"/>
  <c r="A3631" i="9" s="1"/>
  <c r="B3630" i="2"/>
  <c r="B3630" i="9" s="1"/>
  <c r="A3630" i="2"/>
  <c r="A3630" i="9" s="1"/>
  <c r="B3629" i="2"/>
  <c r="B3629" i="9" s="1"/>
  <c r="A3629" i="2"/>
  <c r="A3629" i="9" s="1"/>
  <c r="B3628" i="2"/>
  <c r="B3628" i="9" s="1"/>
  <c r="A3628" i="2"/>
  <c r="A3628" i="9" s="1"/>
  <c r="B3627" i="2"/>
  <c r="B3627" i="9" s="1"/>
  <c r="A3627" i="2"/>
  <c r="A3627" i="9" s="1"/>
  <c r="B3626" i="2"/>
  <c r="B3626" i="9" s="1"/>
  <c r="A3626" i="2"/>
  <c r="A3626" i="9" s="1"/>
  <c r="B3625" i="2"/>
  <c r="B3625" i="9" s="1"/>
  <c r="A3625" i="2"/>
  <c r="A3625" i="9" s="1"/>
  <c r="B3624" i="2"/>
  <c r="B3624" i="9" s="1"/>
  <c r="A3624" i="2"/>
  <c r="A3624" i="9" s="1"/>
  <c r="B3623" i="2"/>
  <c r="B3623" i="9" s="1"/>
  <c r="A3623" i="2"/>
  <c r="A3623" i="9" s="1"/>
  <c r="B3622" i="2"/>
  <c r="B3622" i="9" s="1"/>
  <c r="A3622" i="2"/>
  <c r="A3622" i="9" s="1"/>
  <c r="B3621" i="2"/>
  <c r="B3621" i="9" s="1"/>
  <c r="A3621" i="2"/>
  <c r="A3621" i="9" s="1"/>
  <c r="B3620" i="2"/>
  <c r="B3620" i="9" s="1"/>
  <c r="A3620" i="2"/>
  <c r="A3620" i="9" s="1"/>
  <c r="B3619" i="2"/>
  <c r="B3619" i="9" s="1"/>
  <c r="A3619" i="2"/>
  <c r="A3619" i="9" s="1"/>
  <c r="B3618" i="2"/>
  <c r="B3618" i="9" s="1"/>
  <c r="A3618" i="2"/>
  <c r="A3618" i="9" s="1"/>
  <c r="B3617" i="2"/>
  <c r="B3617" i="9" s="1"/>
  <c r="A3617" i="2"/>
  <c r="A3617" i="9" s="1"/>
  <c r="B3616" i="2"/>
  <c r="B3616" i="9" s="1"/>
  <c r="A3616" i="2"/>
  <c r="A3616" i="9" s="1"/>
  <c r="B3615" i="2"/>
  <c r="B3615" i="9" s="1"/>
  <c r="A3615" i="2"/>
  <c r="A3615" i="9" s="1"/>
  <c r="B3614" i="2"/>
  <c r="B3614" i="9" s="1"/>
  <c r="A3614" i="2"/>
  <c r="A3614" i="9" s="1"/>
  <c r="B3613" i="2"/>
  <c r="B3613" i="9" s="1"/>
  <c r="A3613" i="2"/>
  <c r="A3613" i="9" s="1"/>
  <c r="B3612" i="2"/>
  <c r="B3612" i="9" s="1"/>
  <c r="A3612" i="2"/>
  <c r="A3612" i="9" s="1"/>
  <c r="B3611" i="2"/>
  <c r="B3611" i="9" s="1"/>
  <c r="A3611" i="2"/>
  <c r="A3611" i="9" s="1"/>
  <c r="B3610" i="2"/>
  <c r="B3610" i="9" s="1"/>
  <c r="A3610" i="2"/>
  <c r="A3610" i="9" s="1"/>
  <c r="B3609" i="2"/>
  <c r="B3609" i="9" s="1"/>
  <c r="A3609" i="2"/>
  <c r="A3609" i="9" s="1"/>
  <c r="B3608" i="2"/>
  <c r="B3608" i="9" s="1"/>
  <c r="A3608" i="2"/>
  <c r="A3608" i="9" s="1"/>
  <c r="B3607" i="2"/>
  <c r="B3607" i="9" s="1"/>
  <c r="A3607" i="2"/>
  <c r="A3607" i="9" s="1"/>
  <c r="B3606" i="2"/>
  <c r="B3606" i="9" s="1"/>
  <c r="A3606" i="2"/>
  <c r="A3606" i="9" s="1"/>
  <c r="B3605" i="2"/>
  <c r="B3605" i="9" s="1"/>
  <c r="A3605" i="2"/>
  <c r="A3605" i="9" s="1"/>
  <c r="B3604" i="2"/>
  <c r="B3604" i="9" s="1"/>
  <c r="A3604" i="2"/>
  <c r="A3604" i="9" s="1"/>
  <c r="B3603" i="2"/>
  <c r="B3603" i="9" s="1"/>
  <c r="A3603" i="2"/>
  <c r="A3603" i="9" s="1"/>
  <c r="B3602" i="2"/>
  <c r="B3602" i="9" s="1"/>
  <c r="A3602" i="2"/>
  <c r="A3602" i="9" s="1"/>
  <c r="B3601" i="2"/>
  <c r="B3601" i="9" s="1"/>
  <c r="A3601" i="2"/>
  <c r="A3601" i="9" s="1"/>
  <c r="B3600" i="2"/>
  <c r="B3600" i="9" s="1"/>
  <c r="A3600" i="2"/>
  <c r="A3600" i="9" s="1"/>
  <c r="B3599" i="2"/>
  <c r="B3599" i="9" s="1"/>
  <c r="A3599" i="2"/>
  <c r="A3599" i="9" s="1"/>
  <c r="B3598" i="2"/>
  <c r="B3598" i="9" s="1"/>
  <c r="A3598" i="2"/>
  <c r="A3598" i="9" s="1"/>
  <c r="B3597" i="2"/>
  <c r="B3597" i="9" s="1"/>
  <c r="A3597" i="2"/>
  <c r="A3597" i="9" s="1"/>
  <c r="B3596" i="2"/>
  <c r="B3596" i="9" s="1"/>
  <c r="A3596" i="2"/>
  <c r="A3596" i="9" s="1"/>
  <c r="B3595" i="2"/>
  <c r="B3595" i="9" s="1"/>
  <c r="A3595" i="2"/>
  <c r="A3595" i="9" s="1"/>
  <c r="B3594" i="2"/>
  <c r="B3594" i="9" s="1"/>
  <c r="A3594" i="2"/>
  <c r="A3594" i="9" s="1"/>
  <c r="B3593" i="2"/>
  <c r="B3593" i="9" s="1"/>
  <c r="A3593" i="2"/>
  <c r="A3593" i="9" s="1"/>
  <c r="B3592" i="2"/>
  <c r="B3592" i="9" s="1"/>
  <c r="A3592" i="2"/>
  <c r="A3592" i="9" s="1"/>
  <c r="B3591" i="2"/>
  <c r="B3591" i="9" s="1"/>
  <c r="A3591" i="2"/>
  <c r="A3591" i="9" s="1"/>
  <c r="B3590" i="2"/>
  <c r="B3590" i="9" s="1"/>
  <c r="A3590" i="2"/>
  <c r="A3590" i="9" s="1"/>
  <c r="B3589" i="2"/>
  <c r="B3589" i="9" s="1"/>
  <c r="A3589" i="2"/>
  <c r="A3589" i="9" s="1"/>
  <c r="B3588" i="2"/>
  <c r="B3588" i="9" s="1"/>
  <c r="A3588" i="2"/>
  <c r="A3588" i="9" s="1"/>
  <c r="B3587" i="2"/>
  <c r="B3587" i="9" s="1"/>
  <c r="A3587" i="2"/>
  <c r="A3587" i="9" s="1"/>
  <c r="B3586" i="2"/>
  <c r="B3586" i="9" s="1"/>
  <c r="A3586" i="2"/>
  <c r="A3586" i="9" s="1"/>
  <c r="B3585" i="2"/>
  <c r="B3585" i="9" s="1"/>
  <c r="A3585" i="2"/>
  <c r="A3585" i="9" s="1"/>
  <c r="B3584" i="2"/>
  <c r="B3584" i="9" s="1"/>
  <c r="A3584" i="2"/>
  <c r="A3584" i="9" s="1"/>
  <c r="B3583" i="2"/>
  <c r="B3583" i="9" s="1"/>
  <c r="A3583" i="2"/>
  <c r="A3583" i="9" s="1"/>
  <c r="B3582" i="2"/>
  <c r="B3582" i="9" s="1"/>
  <c r="A3582" i="2"/>
  <c r="A3582" i="9" s="1"/>
  <c r="B3581" i="2"/>
  <c r="B3581" i="9" s="1"/>
  <c r="A3581" i="2"/>
  <c r="A3581" i="9" s="1"/>
  <c r="B3580" i="2"/>
  <c r="B3580" i="9" s="1"/>
  <c r="A3580" i="2"/>
  <c r="A3580" i="9" s="1"/>
  <c r="B3579" i="2"/>
  <c r="B3579" i="9" s="1"/>
  <c r="A3579" i="2"/>
  <c r="A3579" i="9" s="1"/>
  <c r="B3578" i="2"/>
  <c r="B3578" i="9" s="1"/>
  <c r="A3578" i="2"/>
  <c r="A3578" i="9" s="1"/>
  <c r="B3577" i="2"/>
  <c r="B3577" i="9" s="1"/>
  <c r="A3577" i="2"/>
  <c r="A3577" i="9" s="1"/>
  <c r="B3576" i="2"/>
  <c r="B3576" i="9" s="1"/>
  <c r="A3576" i="2"/>
  <c r="A3576" i="9" s="1"/>
  <c r="B3575" i="2"/>
  <c r="B3575" i="9" s="1"/>
  <c r="A3575" i="2"/>
  <c r="A3575" i="9" s="1"/>
  <c r="B3574" i="2"/>
  <c r="B3574" i="9" s="1"/>
  <c r="A3574" i="2"/>
  <c r="A3574" i="9" s="1"/>
  <c r="B3573" i="2"/>
  <c r="B3573" i="9" s="1"/>
  <c r="A3573" i="2"/>
  <c r="A3573" i="9" s="1"/>
  <c r="B3572" i="2"/>
  <c r="B3572" i="9" s="1"/>
  <c r="A3572" i="2"/>
  <c r="A3572" i="9" s="1"/>
  <c r="B3571" i="2"/>
  <c r="B3571" i="9" s="1"/>
  <c r="A3571" i="2"/>
  <c r="A3571" i="9" s="1"/>
  <c r="B3570" i="2"/>
  <c r="B3570" i="9" s="1"/>
  <c r="A3570" i="2"/>
  <c r="A3570" i="9" s="1"/>
  <c r="B3569" i="2"/>
  <c r="B3569" i="9" s="1"/>
  <c r="A3569" i="2"/>
  <c r="A3569" i="9" s="1"/>
  <c r="B3568" i="2"/>
  <c r="B3568" i="9" s="1"/>
  <c r="A3568" i="2"/>
  <c r="A3568" i="9" s="1"/>
  <c r="B3567" i="2"/>
  <c r="B3567" i="9" s="1"/>
  <c r="A3567" i="2"/>
  <c r="A3567" i="9" s="1"/>
  <c r="B3566" i="2"/>
  <c r="B3566" i="9" s="1"/>
  <c r="A3566" i="2"/>
  <c r="A3566" i="9" s="1"/>
  <c r="B3565" i="2"/>
  <c r="B3565" i="9" s="1"/>
  <c r="A3565" i="2"/>
  <c r="A3565" i="9" s="1"/>
  <c r="B3564" i="2"/>
  <c r="B3564" i="9" s="1"/>
  <c r="A3564" i="2"/>
  <c r="A3564" i="9" s="1"/>
  <c r="B3563" i="2"/>
  <c r="B3563" i="9" s="1"/>
  <c r="A3563" i="2"/>
  <c r="A3563" i="9" s="1"/>
  <c r="B3562" i="2"/>
  <c r="B3562" i="9" s="1"/>
  <c r="A3562" i="2"/>
  <c r="A3562" i="9" s="1"/>
  <c r="B3561" i="2"/>
  <c r="B3561" i="9" s="1"/>
  <c r="A3561" i="2"/>
  <c r="A3561" i="9" s="1"/>
  <c r="B3560" i="2"/>
  <c r="B3560" i="9" s="1"/>
  <c r="A3560" i="2"/>
  <c r="A3560" i="9" s="1"/>
  <c r="B3559" i="2"/>
  <c r="B3559" i="9" s="1"/>
  <c r="A3559" i="2"/>
  <c r="A3559" i="9" s="1"/>
  <c r="B3558" i="2"/>
  <c r="B3558" i="9" s="1"/>
  <c r="A3558" i="2"/>
  <c r="A3558" i="9" s="1"/>
  <c r="B3557" i="2"/>
  <c r="B3557" i="9" s="1"/>
  <c r="A3557" i="2"/>
  <c r="A3557" i="9" s="1"/>
  <c r="B3556" i="2"/>
  <c r="B3556" i="9" s="1"/>
  <c r="A3556" i="2"/>
  <c r="A3556" i="9" s="1"/>
  <c r="B3555" i="2"/>
  <c r="B3555" i="9" s="1"/>
  <c r="A3555" i="2"/>
  <c r="A3555" i="9" s="1"/>
  <c r="B3554" i="2"/>
  <c r="B3554" i="9" s="1"/>
  <c r="A3554" i="2"/>
  <c r="A3554" i="9" s="1"/>
  <c r="B3553" i="2"/>
  <c r="B3553" i="9" s="1"/>
  <c r="A3553" i="2"/>
  <c r="A3553" i="9" s="1"/>
  <c r="B3552" i="2"/>
  <c r="B3552" i="9" s="1"/>
  <c r="A3552" i="2"/>
  <c r="A3552" i="9" s="1"/>
  <c r="B3551" i="2"/>
  <c r="B3551" i="9" s="1"/>
  <c r="A3551" i="2"/>
  <c r="A3551" i="9" s="1"/>
  <c r="B3550" i="2"/>
  <c r="B3550" i="9" s="1"/>
  <c r="A3550" i="2"/>
  <c r="A3550" i="9" s="1"/>
  <c r="B3549" i="2"/>
  <c r="B3549" i="9" s="1"/>
  <c r="A3549" i="2"/>
  <c r="A3549" i="9" s="1"/>
  <c r="B3548" i="2"/>
  <c r="B3548" i="9" s="1"/>
  <c r="A3548" i="2"/>
  <c r="A3548" i="9" s="1"/>
  <c r="B3547" i="2"/>
  <c r="B3547" i="9" s="1"/>
  <c r="A3547" i="2"/>
  <c r="A3547" i="9" s="1"/>
  <c r="B3546" i="2"/>
  <c r="B3546" i="9" s="1"/>
  <c r="A3546" i="2"/>
  <c r="A3546" i="9" s="1"/>
  <c r="B3545" i="2"/>
  <c r="B3545" i="9" s="1"/>
  <c r="A3545" i="2"/>
  <c r="A3545" i="9" s="1"/>
  <c r="B3544" i="2"/>
  <c r="B3544" i="9" s="1"/>
  <c r="A3544" i="2"/>
  <c r="A3544" i="9" s="1"/>
  <c r="B3543" i="2"/>
  <c r="B3543" i="9" s="1"/>
  <c r="A3543" i="2"/>
  <c r="A3543" i="9" s="1"/>
  <c r="B3542" i="2"/>
  <c r="B3542" i="9" s="1"/>
  <c r="A3542" i="2"/>
  <c r="A3542" i="9" s="1"/>
  <c r="B3541" i="2"/>
  <c r="B3541" i="9" s="1"/>
  <c r="A3541" i="2"/>
  <c r="A3541" i="9" s="1"/>
  <c r="B3540" i="2"/>
  <c r="B3540" i="9" s="1"/>
  <c r="A3540" i="2"/>
  <c r="A3540" i="9" s="1"/>
  <c r="B3539" i="2"/>
  <c r="B3539" i="9" s="1"/>
  <c r="A3539" i="2"/>
  <c r="A3539" i="9" s="1"/>
  <c r="B3538" i="2"/>
  <c r="B3538" i="9" s="1"/>
  <c r="A3538" i="2"/>
  <c r="A3538" i="9" s="1"/>
  <c r="B3537" i="2"/>
  <c r="B3537" i="9" s="1"/>
  <c r="A3537" i="2"/>
  <c r="A3537" i="9" s="1"/>
  <c r="B3536" i="2"/>
  <c r="B3536" i="9" s="1"/>
  <c r="A3536" i="2"/>
  <c r="A3536" i="9" s="1"/>
  <c r="B3535" i="2"/>
  <c r="B3535" i="9" s="1"/>
  <c r="A3535" i="2"/>
  <c r="A3535" i="9" s="1"/>
  <c r="B3534" i="2"/>
  <c r="B3534" i="9" s="1"/>
  <c r="A3534" i="2"/>
  <c r="A3534" i="9" s="1"/>
  <c r="B3533" i="2"/>
  <c r="B3533" i="9" s="1"/>
  <c r="A3533" i="2"/>
  <c r="A3533" i="9" s="1"/>
  <c r="B3532" i="2"/>
  <c r="B3532" i="9" s="1"/>
  <c r="A3532" i="2"/>
  <c r="A3532" i="9" s="1"/>
  <c r="B3531" i="2"/>
  <c r="B3531" i="9" s="1"/>
  <c r="A3531" i="2"/>
  <c r="A3531" i="9" s="1"/>
  <c r="B3530" i="2"/>
  <c r="B3530" i="9" s="1"/>
  <c r="A3530" i="2"/>
  <c r="A3530" i="9" s="1"/>
  <c r="B3529" i="2"/>
  <c r="B3529" i="9" s="1"/>
  <c r="A3529" i="2"/>
  <c r="A3529" i="9" s="1"/>
  <c r="B3528" i="2"/>
  <c r="B3528" i="9" s="1"/>
  <c r="A3528" i="2"/>
  <c r="A3528" i="9" s="1"/>
  <c r="B3527" i="2"/>
  <c r="B3527" i="9" s="1"/>
  <c r="A3527" i="2"/>
  <c r="A3527" i="9" s="1"/>
  <c r="B3526" i="2"/>
  <c r="B3526" i="9" s="1"/>
  <c r="A3526" i="2"/>
  <c r="A3526" i="9" s="1"/>
  <c r="B3525" i="2"/>
  <c r="B3525" i="9" s="1"/>
  <c r="A3525" i="2"/>
  <c r="A3525" i="9" s="1"/>
  <c r="B3524" i="2"/>
  <c r="B3524" i="9" s="1"/>
  <c r="A3524" i="2"/>
  <c r="A3524" i="9" s="1"/>
  <c r="B3523" i="2"/>
  <c r="B3523" i="9" s="1"/>
  <c r="A3523" i="2"/>
  <c r="A3523" i="9" s="1"/>
  <c r="B3522" i="2"/>
  <c r="B3522" i="9" s="1"/>
  <c r="A3522" i="2"/>
  <c r="A3522" i="9" s="1"/>
  <c r="B3521" i="2"/>
  <c r="B3521" i="9" s="1"/>
  <c r="A3521" i="2"/>
  <c r="A3521" i="9" s="1"/>
  <c r="B3520" i="2"/>
  <c r="B3520" i="9" s="1"/>
  <c r="A3520" i="2"/>
  <c r="A3520" i="9" s="1"/>
  <c r="B3519" i="2"/>
  <c r="B3519" i="9" s="1"/>
  <c r="A3519" i="2"/>
  <c r="A3519" i="9" s="1"/>
  <c r="B3518" i="2"/>
  <c r="B3518" i="9" s="1"/>
  <c r="A3518" i="2"/>
  <c r="A3518" i="9" s="1"/>
  <c r="B3517" i="2"/>
  <c r="B3517" i="9" s="1"/>
  <c r="A3517" i="2"/>
  <c r="A3517" i="9" s="1"/>
  <c r="B3516" i="2"/>
  <c r="B3516" i="9" s="1"/>
  <c r="A3516" i="2"/>
  <c r="A3516" i="9" s="1"/>
  <c r="B3515" i="2"/>
  <c r="B3515" i="9" s="1"/>
  <c r="A3515" i="2"/>
  <c r="A3515" i="9" s="1"/>
  <c r="B3514" i="2"/>
  <c r="B3514" i="9" s="1"/>
  <c r="A3514" i="2"/>
  <c r="A3514" i="9" s="1"/>
  <c r="B3513" i="2"/>
  <c r="B3513" i="9" s="1"/>
  <c r="A3513" i="2"/>
  <c r="A3513" i="9" s="1"/>
  <c r="B3512" i="2"/>
  <c r="B3512" i="9" s="1"/>
  <c r="A3512" i="2"/>
  <c r="A3512" i="9" s="1"/>
  <c r="B3511" i="2"/>
  <c r="B3511" i="9" s="1"/>
  <c r="A3511" i="2"/>
  <c r="A3511" i="9" s="1"/>
  <c r="B3510" i="2"/>
  <c r="B3510" i="9" s="1"/>
  <c r="A3510" i="2"/>
  <c r="A3510" i="9" s="1"/>
  <c r="B3509" i="2"/>
  <c r="B3509" i="9" s="1"/>
  <c r="A3509" i="2"/>
  <c r="A3509" i="9" s="1"/>
  <c r="B3508" i="2"/>
  <c r="B3508" i="9" s="1"/>
  <c r="A3508" i="2"/>
  <c r="A3508" i="9" s="1"/>
  <c r="B3507" i="2"/>
  <c r="B3507" i="9" s="1"/>
  <c r="A3507" i="2"/>
  <c r="A3507" i="9" s="1"/>
  <c r="B3506" i="2"/>
  <c r="B3506" i="9" s="1"/>
  <c r="A3506" i="2"/>
  <c r="A3506" i="9" s="1"/>
  <c r="B3505" i="2"/>
  <c r="B3505" i="9" s="1"/>
  <c r="A3505" i="2"/>
  <c r="A3505" i="9" s="1"/>
  <c r="B3504" i="2"/>
  <c r="B3504" i="9" s="1"/>
  <c r="A3504" i="2"/>
  <c r="A3504" i="9" s="1"/>
  <c r="B3503" i="2"/>
  <c r="B3503" i="9" s="1"/>
  <c r="A3503" i="2"/>
  <c r="A3503" i="9" s="1"/>
  <c r="B3502" i="2"/>
  <c r="B3502" i="9" s="1"/>
  <c r="A3502" i="2"/>
  <c r="A3502" i="9" s="1"/>
  <c r="B3501" i="2"/>
  <c r="B3501" i="9" s="1"/>
  <c r="A3501" i="2"/>
  <c r="A3501" i="9" s="1"/>
  <c r="B3500" i="2"/>
  <c r="B3500" i="9" s="1"/>
  <c r="A3500" i="2"/>
  <c r="A3500" i="9" s="1"/>
  <c r="B3499" i="2"/>
  <c r="B3499" i="9" s="1"/>
  <c r="A3499" i="2"/>
  <c r="A3499" i="9" s="1"/>
  <c r="B3498" i="2"/>
  <c r="B3498" i="9" s="1"/>
  <c r="A3498" i="2"/>
  <c r="A3498" i="9" s="1"/>
  <c r="B3497" i="2"/>
  <c r="B3497" i="9" s="1"/>
  <c r="A3497" i="2"/>
  <c r="A3497" i="9" s="1"/>
  <c r="B3496" i="2"/>
  <c r="B3496" i="9" s="1"/>
  <c r="A3496" i="2"/>
  <c r="A3496" i="9" s="1"/>
  <c r="B3495" i="2"/>
  <c r="B3495" i="9" s="1"/>
  <c r="A3495" i="2"/>
  <c r="A3495" i="9" s="1"/>
  <c r="B3494" i="2"/>
  <c r="B3494" i="9" s="1"/>
  <c r="A3494" i="2"/>
  <c r="A3494" i="9" s="1"/>
  <c r="B3493" i="2"/>
  <c r="B3493" i="9" s="1"/>
  <c r="A3493" i="2"/>
  <c r="A3493" i="9" s="1"/>
  <c r="B3492" i="2"/>
  <c r="B3492" i="9" s="1"/>
  <c r="A3492" i="2"/>
  <c r="A3492" i="9" s="1"/>
  <c r="B3491" i="2"/>
  <c r="B3491" i="9" s="1"/>
  <c r="A3491" i="2"/>
  <c r="A3491" i="9" s="1"/>
  <c r="B3490" i="2"/>
  <c r="B3490" i="9" s="1"/>
  <c r="A3490" i="2"/>
  <c r="A3490" i="9" s="1"/>
  <c r="B3489" i="2"/>
  <c r="B3489" i="9" s="1"/>
  <c r="A3489" i="2"/>
  <c r="A3489" i="9" s="1"/>
  <c r="B3488" i="2"/>
  <c r="B3488" i="9" s="1"/>
  <c r="A3488" i="2"/>
  <c r="A3488" i="9" s="1"/>
  <c r="B3487" i="2"/>
  <c r="B3487" i="9" s="1"/>
  <c r="A3487" i="2"/>
  <c r="A3487" i="9" s="1"/>
  <c r="B3486" i="2"/>
  <c r="B3486" i="9" s="1"/>
  <c r="A3486" i="2"/>
  <c r="A3486" i="9" s="1"/>
  <c r="B3485" i="2"/>
  <c r="B3485" i="9" s="1"/>
  <c r="A3485" i="2"/>
  <c r="A3485" i="9" s="1"/>
  <c r="B3484" i="2"/>
  <c r="B3484" i="9" s="1"/>
  <c r="A3484" i="2"/>
  <c r="A3484" i="9" s="1"/>
  <c r="B3483" i="2"/>
  <c r="B3483" i="9" s="1"/>
  <c r="A3483" i="2"/>
  <c r="A3483" i="9" s="1"/>
  <c r="B3482" i="2"/>
  <c r="B3482" i="9" s="1"/>
  <c r="A3482" i="2"/>
  <c r="A3482" i="9" s="1"/>
  <c r="B3481" i="2"/>
  <c r="B3481" i="9" s="1"/>
  <c r="A3481" i="2"/>
  <c r="A3481" i="9" s="1"/>
  <c r="B3480" i="2"/>
  <c r="B3480" i="9" s="1"/>
  <c r="A3480" i="2"/>
  <c r="A3480" i="9" s="1"/>
  <c r="B3479" i="2"/>
  <c r="B3479" i="9" s="1"/>
  <c r="A3479" i="2"/>
  <c r="A3479" i="9" s="1"/>
  <c r="B3478" i="2"/>
  <c r="B3478" i="9" s="1"/>
  <c r="A3478" i="2"/>
  <c r="A3478" i="9" s="1"/>
  <c r="B3477" i="2"/>
  <c r="B3477" i="9" s="1"/>
  <c r="A3477" i="2"/>
  <c r="A3477" i="9" s="1"/>
  <c r="B3476" i="2"/>
  <c r="B3476" i="9" s="1"/>
  <c r="A3476" i="2"/>
  <c r="A3476" i="9" s="1"/>
  <c r="B3475" i="2"/>
  <c r="B3475" i="9" s="1"/>
  <c r="A3475" i="2"/>
  <c r="A3475" i="9" s="1"/>
  <c r="B3474" i="2"/>
  <c r="B3474" i="9" s="1"/>
  <c r="A3474" i="2"/>
  <c r="A3474" i="9" s="1"/>
  <c r="B3473" i="2"/>
  <c r="B3473" i="9" s="1"/>
  <c r="A3473" i="2"/>
  <c r="A3473" i="9" s="1"/>
  <c r="B3472" i="2"/>
  <c r="B3472" i="9" s="1"/>
  <c r="A3472" i="2"/>
  <c r="A3472" i="9" s="1"/>
  <c r="B3471" i="2"/>
  <c r="B3471" i="9" s="1"/>
  <c r="A3471" i="2"/>
  <c r="A3471" i="9" s="1"/>
  <c r="B3470" i="2"/>
  <c r="B3470" i="9" s="1"/>
  <c r="A3470" i="2"/>
  <c r="A3470" i="9" s="1"/>
  <c r="B3469" i="2"/>
  <c r="B3469" i="9" s="1"/>
  <c r="A3469" i="2"/>
  <c r="A3469" i="9" s="1"/>
  <c r="B3468" i="2"/>
  <c r="B3468" i="9" s="1"/>
  <c r="A3468" i="2"/>
  <c r="A3468" i="9" s="1"/>
  <c r="B3467" i="2"/>
  <c r="B3467" i="9" s="1"/>
  <c r="A3467" i="2"/>
  <c r="A3467" i="9" s="1"/>
  <c r="B3466" i="2"/>
  <c r="B3466" i="9" s="1"/>
  <c r="A3466" i="2"/>
  <c r="A3466" i="9" s="1"/>
  <c r="B3465" i="2"/>
  <c r="B3465" i="9" s="1"/>
  <c r="A3465" i="2"/>
  <c r="A3465" i="9" s="1"/>
  <c r="B3464" i="2"/>
  <c r="B3464" i="9" s="1"/>
  <c r="A3464" i="2"/>
  <c r="A3464" i="9" s="1"/>
  <c r="B3463" i="2"/>
  <c r="B3463" i="9" s="1"/>
  <c r="A3463" i="2"/>
  <c r="A3463" i="9" s="1"/>
  <c r="B3462" i="2"/>
  <c r="B3462" i="9" s="1"/>
  <c r="A3462" i="2"/>
  <c r="A3462" i="9" s="1"/>
  <c r="B3461" i="2"/>
  <c r="B3461" i="9" s="1"/>
  <c r="A3461" i="2"/>
  <c r="A3461" i="9" s="1"/>
  <c r="B3460" i="2"/>
  <c r="B3460" i="9" s="1"/>
  <c r="A3460" i="2"/>
  <c r="A3460" i="9" s="1"/>
  <c r="B3459" i="2"/>
  <c r="B3459" i="9" s="1"/>
  <c r="A3459" i="2"/>
  <c r="A3459" i="9" s="1"/>
  <c r="B3458" i="2"/>
  <c r="B3458" i="9" s="1"/>
  <c r="A3458" i="2"/>
  <c r="A3458" i="9" s="1"/>
  <c r="B3457" i="2"/>
  <c r="B3457" i="9" s="1"/>
  <c r="A3457" i="2"/>
  <c r="A3457" i="9" s="1"/>
  <c r="B3456" i="2"/>
  <c r="B3456" i="9" s="1"/>
  <c r="A3456" i="2"/>
  <c r="A3456" i="9" s="1"/>
  <c r="B3455" i="2"/>
  <c r="B3455" i="9" s="1"/>
  <c r="A3455" i="2"/>
  <c r="A3455" i="9" s="1"/>
  <c r="B3454" i="2"/>
  <c r="B3454" i="9" s="1"/>
  <c r="A3454" i="2"/>
  <c r="A3454" i="9" s="1"/>
  <c r="B3453" i="2"/>
  <c r="B3453" i="9" s="1"/>
  <c r="A3453" i="2"/>
  <c r="A3453" i="9" s="1"/>
  <c r="B3452" i="2"/>
  <c r="B3452" i="9" s="1"/>
  <c r="A3452" i="2"/>
  <c r="A3452" i="9" s="1"/>
  <c r="B3451" i="2"/>
  <c r="B3451" i="9" s="1"/>
  <c r="A3451" i="2"/>
  <c r="A3451" i="9" s="1"/>
  <c r="B3450" i="2"/>
  <c r="B3450" i="9" s="1"/>
  <c r="A3450" i="2"/>
  <c r="A3450" i="9" s="1"/>
  <c r="B3449" i="2"/>
  <c r="B3449" i="9" s="1"/>
  <c r="A3449" i="2"/>
  <c r="A3449" i="9" s="1"/>
  <c r="B3448" i="2"/>
  <c r="B3448" i="9" s="1"/>
  <c r="A3448" i="2"/>
  <c r="A3448" i="9" s="1"/>
  <c r="B3447" i="2"/>
  <c r="B3447" i="9" s="1"/>
  <c r="A3447" i="2"/>
  <c r="A3447" i="9" s="1"/>
  <c r="B3446" i="2"/>
  <c r="B3446" i="9" s="1"/>
  <c r="A3446" i="2"/>
  <c r="A3446" i="9" s="1"/>
  <c r="B3445" i="2"/>
  <c r="B3445" i="9" s="1"/>
  <c r="A3445" i="2"/>
  <c r="A3445" i="9" s="1"/>
  <c r="B3444" i="2"/>
  <c r="B3444" i="9" s="1"/>
  <c r="A3444" i="2"/>
  <c r="A3444" i="9" s="1"/>
  <c r="B3443" i="2"/>
  <c r="B3443" i="9" s="1"/>
  <c r="A3443" i="2"/>
  <c r="A3443" i="9" s="1"/>
  <c r="B3442" i="2"/>
  <c r="B3442" i="9" s="1"/>
  <c r="A3442" i="2"/>
  <c r="A3442" i="9" s="1"/>
  <c r="B3441" i="2"/>
  <c r="B3441" i="9" s="1"/>
  <c r="A3441" i="2"/>
  <c r="A3441" i="9" s="1"/>
  <c r="B3440" i="2"/>
  <c r="B3440" i="9" s="1"/>
  <c r="A3440" i="2"/>
  <c r="A3440" i="9" s="1"/>
  <c r="B3439" i="2"/>
  <c r="B3439" i="9" s="1"/>
  <c r="A3439" i="2"/>
  <c r="A3439" i="9" s="1"/>
  <c r="B3438" i="2"/>
  <c r="B3438" i="9" s="1"/>
  <c r="A3438" i="2"/>
  <c r="A3438" i="9" s="1"/>
  <c r="B3437" i="2"/>
  <c r="B3437" i="9" s="1"/>
  <c r="A3437" i="2"/>
  <c r="A3437" i="9" s="1"/>
  <c r="B3436" i="2"/>
  <c r="B3436" i="9" s="1"/>
  <c r="A3436" i="2"/>
  <c r="A3436" i="9" s="1"/>
  <c r="B3435" i="2"/>
  <c r="B3435" i="9" s="1"/>
  <c r="A3435" i="2"/>
  <c r="A3435" i="9" s="1"/>
  <c r="B3434" i="2"/>
  <c r="B3434" i="9" s="1"/>
  <c r="A3434" i="2"/>
  <c r="A3434" i="9" s="1"/>
  <c r="B3433" i="2"/>
  <c r="B3433" i="9" s="1"/>
  <c r="A3433" i="2"/>
  <c r="A3433" i="9" s="1"/>
  <c r="B3432" i="2"/>
  <c r="B3432" i="9" s="1"/>
  <c r="A3432" i="2"/>
  <c r="A3432" i="9" s="1"/>
  <c r="B3431" i="2"/>
  <c r="B3431" i="9" s="1"/>
  <c r="A3431" i="2"/>
  <c r="A3431" i="9" s="1"/>
  <c r="B3430" i="2"/>
  <c r="B3430" i="9" s="1"/>
  <c r="A3430" i="2"/>
  <c r="A3430" i="9" s="1"/>
  <c r="B3429" i="2"/>
  <c r="B3429" i="9" s="1"/>
  <c r="A3429" i="2"/>
  <c r="A3429" i="9" s="1"/>
  <c r="B3428" i="2"/>
  <c r="B3428" i="9" s="1"/>
  <c r="A3428" i="2"/>
  <c r="A3428" i="9" s="1"/>
  <c r="B3427" i="2"/>
  <c r="B3427" i="9" s="1"/>
  <c r="A3427" i="2"/>
  <c r="A3427" i="9" s="1"/>
  <c r="B3426" i="2"/>
  <c r="B3426" i="9" s="1"/>
  <c r="A3426" i="2"/>
  <c r="A3426" i="9" s="1"/>
  <c r="B3425" i="2"/>
  <c r="B3425" i="9" s="1"/>
  <c r="A3425" i="2"/>
  <c r="A3425" i="9" s="1"/>
  <c r="B3424" i="2"/>
  <c r="B3424" i="9" s="1"/>
  <c r="A3424" i="2"/>
  <c r="A3424" i="9" s="1"/>
  <c r="B3423" i="2"/>
  <c r="B3423" i="9" s="1"/>
  <c r="A3423" i="2"/>
  <c r="A3423" i="9" s="1"/>
  <c r="B3422" i="2"/>
  <c r="B3422" i="9" s="1"/>
  <c r="A3422" i="2"/>
  <c r="A3422" i="9" s="1"/>
  <c r="B3421" i="2"/>
  <c r="B3421" i="9" s="1"/>
  <c r="A3421" i="2"/>
  <c r="A3421" i="9" s="1"/>
  <c r="B3420" i="2"/>
  <c r="B3420" i="9" s="1"/>
  <c r="A3420" i="2"/>
  <c r="A3420" i="9" s="1"/>
  <c r="B3419" i="2"/>
  <c r="B3419" i="9" s="1"/>
  <c r="A3419" i="2"/>
  <c r="A3419" i="9" s="1"/>
  <c r="B3418" i="2"/>
  <c r="B3418" i="9" s="1"/>
  <c r="A3418" i="2"/>
  <c r="A3418" i="9" s="1"/>
  <c r="B3417" i="2"/>
  <c r="B3417" i="9" s="1"/>
  <c r="A3417" i="2"/>
  <c r="A3417" i="9" s="1"/>
  <c r="B3416" i="2"/>
  <c r="B3416" i="9" s="1"/>
  <c r="A3416" i="2"/>
  <c r="A3416" i="9" s="1"/>
  <c r="B3415" i="2"/>
  <c r="B3415" i="9" s="1"/>
  <c r="A3415" i="2"/>
  <c r="A3415" i="9" s="1"/>
  <c r="B3414" i="2"/>
  <c r="B3414" i="9" s="1"/>
  <c r="A3414" i="2"/>
  <c r="A3414" i="9" s="1"/>
  <c r="B3413" i="2"/>
  <c r="B3413" i="9" s="1"/>
  <c r="A3413" i="2"/>
  <c r="A3413" i="9" s="1"/>
  <c r="B3412" i="2"/>
  <c r="B3412" i="9" s="1"/>
  <c r="A3412" i="2"/>
  <c r="A3412" i="9" s="1"/>
  <c r="B3411" i="2"/>
  <c r="B3411" i="9" s="1"/>
  <c r="A3411" i="2"/>
  <c r="A3411" i="9" s="1"/>
  <c r="B3410" i="2"/>
  <c r="B3410" i="9" s="1"/>
  <c r="A3410" i="2"/>
  <c r="A3410" i="9" s="1"/>
  <c r="B3409" i="2"/>
  <c r="B3409" i="9" s="1"/>
  <c r="A3409" i="2"/>
  <c r="A3409" i="9" s="1"/>
  <c r="B3408" i="2"/>
  <c r="B3408" i="9" s="1"/>
  <c r="A3408" i="2"/>
  <c r="A3408" i="9" s="1"/>
  <c r="B3407" i="2"/>
  <c r="B3407" i="9" s="1"/>
  <c r="A3407" i="2"/>
  <c r="A3407" i="9" s="1"/>
  <c r="B3406" i="2"/>
  <c r="B3406" i="9" s="1"/>
  <c r="A3406" i="2"/>
  <c r="A3406" i="9" s="1"/>
  <c r="B3405" i="2"/>
  <c r="B3405" i="9" s="1"/>
  <c r="A3405" i="2"/>
  <c r="A3405" i="9" s="1"/>
  <c r="B3404" i="2"/>
  <c r="B3404" i="9" s="1"/>
  <c r="A3404" i="2"/>
  <c r="A3404" i="9" s="1"/>
  <c r="B3403" i="2"/>
  <c r="B3403" i="9" s="1"/>
  <c r="A3403" i="2"/>
  <c r="A3403" i="9" s="1"/>
  <c r="B3402" i="2"/>
  <c r="B3402" i="9" s="1"/>
  <c r="A3402" i="2"/>
  <c r="A3402" i="9" s="1"/>
  <c r="B3401" i="2"/>
  <c r="B3401" i="9" s="1"/>
  <c r="A3401" i="2"/>
  <c r="A3401" i="9" s="1"/>
  <c r="B3400" i="2"/>
  <c r="B3400" i="9" s="1"/>
  <c r="A3400" i="2"/>
  <c r="A3400" i="9" s="1"/>
  <c r="B3399" i="2"/>
  <c r="B3399" i="9" s="1"/>
  <c r="A3399" i="2"/>
  <c r="A3399" i="9" s="1"/>
  <c r="B3398" i="2"/>
  <c r="B3398" i="9" s="1"/>
  <c r="A3398" i="2"/>
  <c r="A3398" i="9" s="1"/>
  <c r="B3397" i="2"/>
  <c r="B3397" i="9" s="1"/>
  <c r="A3397" i="2"/>
  <c r="A3397" i="9" s="1"/>
  <c r="B3396" i="2"/>
  <c r="B3396" i="9" s="1"/>
  <c r="A3396" i="2"/>
  <c r="A3396" i="9" s="1"/>
  <c r="B3395" i="2"/>
  <c r="B3395" i="9" s="1"/>
  <c r="A3395" i="2"/>
  <c r="A3395" i="9" s="1"/>
  <c r="B3394" i="2"/>
  <c r="B3394" i="9" s="1"/>
  <c r="A3394" i="2"/>
  <c r="A3394" i="9" s="1"/>
  <c r="B3393" i="2"/>
  <c r="B3393" i="9" s="1"/>
  <c r="A3393" i="2"/>
  <c r="A3393" i="9" s="1"/>
  <c r="B3392" i="2"/>
  <c r="B3392" i="9" s="1"/>
  <c r="A3392" i="2"/>
  <c r="A3392" i="9" s="1"/>
  <c r="B3391" i="2"/>
  <c r="B3391" i="9" s="1"/>
  <c r="A3391" i="2"/>
  <c r="A3391" i="9" s="1"/>
  <c r="B3390" i="2"/>
  <c r="B3390" i="9" s="1"/>
  <c r="A3390" i="2"/>
  <c r="A3390" i="9" s="1"/>
  <c r="B3389" i="2"/>
  <c r="B3389" i="9" s="1"/>
  <c r="A3389" i="2"/>
  <c r="A3389" i="9" s="1"/>
  <c r="B3388" i="2"/>
  <c r="B3388" i="9" s="1"/>
  <c r="A3388" i="2"/>
  <c r="A3388" i="9" s="1"/>
  <c r="B3387" i="2"/>
  <c r="B3387" i="9" s="1"/>
  <c r="A3387" i="2"/>
  <c r="A3387" i="9" s="1"/>
  <c r="B3386" i="2"/>
  <c r="B3386" i="9" s="1"/>
  <c r="A3386" i="2"/>
  <c r="A3386" i="9" s="1"/>
  <c r="B3385" i="2"/>
  <c r="B3385" i="9" s="1"/>
  <c r="A3385" i="2"/>
  <c r="A3385" i="9" s="1"/>
  <c r="B3384" i="2"/>
  <c r="B3384" i="9" s="1"/>
  <c r="A3384" i="2"/>
  <c r="A3384" i="9" s="1"/>
  <c r="B3383" i="2"/>
  <c r="B3383" i="9" s="1"/>
  <c r="A3383" i="2"/>
  <c r="A3383" i="9" s="1"/>
  <c r="B3382" i="2"/>
  <c r="B3382" i="9" s="1"/>
  <c r="A3382" i="2"/>
  <c r="A3382" i="9" s="1"/>
  <c r="B3381" i="2"/>
  <c r="B3381" i="9" s="1"/>
  <c r="A3381" i="2"/>
  <c r="A3381" i="9" s="1"/>
  <c r="B3380" i="2"/>
  <c r="B3380" i="9" s="1"/>
  <c r="A3380" i="2"/>
  <c r="A3380" i="9" s="1"/>
  <c r="B3379" i="2"/>
  <c r="B3379" i="9" s="1"/>
  <c r="A3379" i="2"/>
  <c r="A3379" i="9" s="1"/>
  <c r="B3378" i="2"/>
  <c r="B3378" i="9" s="1"/>
  <c r="A3378" i="2"/>
  <c r="A3378" i="9" s="1"/>
  <c r="B3377" i="2"/>
  <c r="B3377" i="9" s="1"/>
  <c r="A3377" i="2"/>
  <c r="A3377" i="9" s="1"/>
  <c r="B3376" i="2"/>
  <c r="B3376" i="9" s="1"/>
  <c r="A3376" i="2"/>
  <c r="A3376" i="9" s="1"/>
  <c r="B3375" i="2"/>
  <c r="B3375" i="9" s="1"/>
  <c r="A3375" i="2"/>
  <c r="A3375" i="9" s="1"/>
  <c r="B3374" i="2"/>
  <c r="B3374" i="9" s="1"/>
  <c r="A3374" i="2"/>
  <c r="A3374" i="9" s="1"/>
  <c r="B3373" i="2"/>
  <c r="B3373" i="9" s="1"/>
  <c r="A3373" i="2"/>
  <c r="A3373" i="9" s="1"/>
  <c r="B3372" i="2"/>
  <c r="B3372" i="9" s="1"/>
  <c r="A3372" i="2"/>
  <c r="A3372" i="9" s="1"/>
  <c r="B3371" i="2"/>
  <c r="B3371" i="9" s="1"/>
  <c r="A3371" i="2"/>
  <c r="A3371" i="9" s="1"/>
  <c r="B3370" i="2"/>
  <c r="B3370" i="9" s="1"/>
  <c r="A3370" i="2"/>
  <c r="A3370" i="9" s="1"/>
  <c r="B3369" i="2"/>
  <c r="B3369" i="9" s="1"/>
  <c r="A3369" i="2"/>
  <c r="A3369" i="9" s="1"/>
  <c r="B3368" i="2"/>
  <c r="B3368" i="9" s="1"/>
  <c r="A3368" i="2"/>
  <c r="A3368" i="9" s="1"/>
  <c r="B3367" i="2"/>
  <c r="B3367" i="9" s="1"/>
  <c r="A3367" i="2"/>
  <c r="A3367" i="9" s="1"/>
  <c r="B3366" i="2"/>
  <c r="B3366" i="9" s="1"/>
  <c r="A3366" i="2"/>
  <c r="A3366" i="9" s="1"/>
  <c r="B3365" i="2"/>
  <c r="B3365" i="9" s="1"/>
  <c r="A3365" i="2"/>
  <c r="A3365" i="9" s="1"/>
  <c r="B3364" i="2"/>
  <c r="B3364" i="9" s="1"/>
  <c r="A3364" i="2"/>
  <c r="A3364" i="9" s="1"/>
  <c r="B3363" i="2"/>
  <c r="B3363" i="9" s="1"/>
  <c r="A3363" i="2"/>
  <c r="A3363" i="9" s="1"/>
  <c r="B3362" i="2"/>
  <c r="B3362" i="9" s="1"/>
  <c r="A3362" i="2"/>
  <c r="A3362" i="9" s="1"/>
  <c r="B3361" i="2"/>
  <c r="B3361" i="9" s="1"/>
  <c r="A3361" i="2"/>
  <c r="A3361" i="9" s="1"/>
  <c r="B3360" i="2"/>
  <c r="B3360" i="9" s="1"/>
  <c r="A3360" i="2"/>
  <c r="A3360" i="9" s="1"/>
  <c r="B3359" i="2"/>
  <c r="B3359" i="9" s="1"/>
  <c r="A3359" i="2"/>
  <c r="A3359" i="9" s="1"/>
  <c r="B3358" i="2"/>
  <c r="B3358" i="9" s="1"/>
  <c r="A3358" i="2"/>
  <c r="A3358" i="9" s="1"/>
  <c r="B3357" i="2"/>
  <c r="B3357" i="9" s="1"/>
  <c r="A3357" i="2"/>
  <c r="A3357" i="9" s="1"/>
  <c r="B3356" i="2"/>
  <c r="B3356" i="9" s="1"/>
  <c r="A3356" i="2"/>
  <c r="A3356" i="9" s="1"/>
  <c r="B3355" i="2"/>
  <c r="B3355" i="9" s="1"/>
  <c r="A3355" i="2"/>
  <c r="A3355" i="9" s="1"/>
  <c r="B3354" i="2"/>
  <c r="B3354" i="9" s="1"/>
  <c r="A3354" i="2"/>
  <c r="A3354" i="9" s="1"/>
  <c r="B3353" i="2"/>
  <c r="B3353" i="9" s="1"/>
  <c r="A3353" i="2"/>
  <c r="A3353" i="9" s="1"/>
  <c r="B3352" i="2"/>
  <c r="B3352" i="9" s="1"/>
  <c r="A3352" i="2"/>
  <c r="A3352" i="9" s="1"/>
  <c r="B3351" i="2"/>
  <c r="B3351" i="9" s="1"/>
  <c r="A3351" i="2"/>
  <c r="A3351" i="9" s="1"/>
  <c r="B3350" i="2"/>
  <c r="B3350" i="9" s="1"/>
  <c r="A3350" i="2"/>
  <c r="A3350" i="9" s="1"/>
  <c r="B3349" i="2"/>
  <c r="B3349" i="9" s="1"/>
  <c r="A3349" i="2"/>
  <c r="A3349" i="9" s="1"/>
  <c r="B3348" i="2"/>
  <c r="B3348" i="9" s="1"/>
  <c r="A3348" i="2"/>
  <c r="A3348" i="9" s="1"/>
  <c r="B3347" i="2"/>
  <c r="B3347" i="9" s="1"/>
  <c r="A3347" i="2"/>
  <c r="A3347" i="9" s="1"/>
  <c r="B3346" i="2"/>
  <c r="B3346" i="9" s="1"/>
  <c r="A3346" i="2"/>
  <c r="A3346" i="9" s="1"/>
  <c r="B3345" i="2"/>
  <c r="B3345" i="9" s="1"/>
  <c r="A3345" i="2"/>
  <c r="A3345" i="9" s="1"/>
  <c r="B3344" i="2"/>
  <c r="B3344" i="9" s="1"/>
  <c r="A3344" i="2"/>
  <c r="A3344" i="9" s="1"/>
  <c r="B3343" i="2"/>
  <c r="B3343" i="9" s="1"/>
  <c r="A3343" i="2"/>
  <c r="A3343" i="9" s="1"/>
  <c r="B3342" i="2"/>
  <c r="B3342" i="9" s="1"/>
  <c r="A3342" i="2"/>
  <c r="A3342" i="9" s="1"/>
  <c r="B3341" i="2"/>
  <c r="B3341" i="9" s="1"/>
  <c r="A3341" i="2"/>
  <c r="A3341" i="9" s="1"/>
  <c r="B3340" i="2"/>
  <c r="B3340" i="9" s="1"/>
  <c r="A3340" i="2"/>
  <c r="A3340" i="9" s="1"/>
  <c r="B3339" i="2"/>
  <c r="B3339" i="9" s="1"/>
  <c r="A3339" i="2"/>
  <c r="A3339" i="9" s="1"/>
  <c r="B3338" i="2"/>
  <c r="B3338" i="9" s="1"/>
  <c r="A3338" i="2"/>
  <c r="A3338" i="9" s="1"/>
  <c r="B3337" i="2"/>
  <c r="B3337" i="9" s="1"/>
  <c r="A3337" i="2"/>
  <c r="A3337" i="9" s="1"/>
  <c r="B3336" i="2"/>
  <c r="B3336" i="9" s="1"/>
  <c r="A3336" i="2"/>
  <c r="A3336" i="9" s="1"/>
  <c r="B3335" i="2"/>
  <c r="B3335" i="9" s="1"/>
  <c r="A3335" i="2"/>
  <c r="A3335" i="9" s="1"/>
  <c r="B3334" i="2"/>
  <c r="B3334" i="9" s="1"/>
  <c r="A3334" i="2"/>
  <c r="A3334" i="9" s="1"/>
  <c r="B3333" i="2"/>
  <c r="B3333" i="9" s="1"/>
  <c r="A3333" i="2"/>
  <c r="A3333" i="9" s="1"/>
  <c r="B3332" i="2"/>
  <c r="B3332" i="9" s="1"/>
  <c r="A3332" i="2"/>
  <c r="A3332" i="9" s="1"/>
  <c r="B3331" i="2"/>
  <c r="B3331" i="9" s="1"/>
  <c r="A3331" i="2"/>
  <c r="A3331" i="9" s="1"/>
  <c r="B3330" i="2"/>
  <c r="B3330" i="9" s="1"/>
  <c r="A3330" i="2"/>
  <c r="A3330" i="9" s="1"/>
  <c r="B3329" i="2"/>
  <c r="B3329" i="9" s="1"/>
  <c r="A3329" i="2"/>
  <c r="A3329" i="9" s="1"/>
  <c r="B3328" i="2"/>
  <c r="B3328" i="9" s="1"/>
  <c r="A3328" i="2"/>
  <c r="A3328" i="9" s="1"/>
  <c r="B3327" i="2"/>
  <c r="B3327" i="9" s="1"/>
  <c r="A3327" i="2"/>
  <c r="A3327" i="9" s="1"/>
  <c r="B3326" i="2"/>
  <c r="B3326" i="9" s="1"/>
  <c r="A3326" i="2"/>
  <c r="A3326" i="9" s="1"/>
  <c r="B3325" i="2"/>
  <c r="B3325" i="9" s="1"/>
  <c r="A3325" i="2"/>
  <c r="A3325" i="9" s="1"/>
  <c r="B3324" i="2"/>
  <c r="B3324" i="9" s="1"/>
  <c r="A3324" i="2"/>
  <c r="A3324" i="9" s="1"/>
  <c r="B3323" i="2"/>
  <c r="B3323" i="9" s="1"/>
  <c r="A3323" i="2"/>
  <c r="A3323" i="9" s="1"/>
  <c r="B3322" i="2"/>
  <c r="B3322" i="9" s="1"/>
  <c r="A3322" i="2"/>
  <c r="A3322" i="9" s="1"/>
  <c r="B3321" i="2"/>
  <c r="B3321" i="9" s="1"/>
  <c r="A3321" i="2"/>
  <c r="A3321" i="9" s="1"/>
  <c r="B3320" i="2"/>
  <c r="B3320" i="9" s="1"/>
  <c r="A3320" i="2"/>
  <c r="A3320" i="9" s="1"/>
  <c r="B3319" i="2"/>
  <c r="B3319" i="9" s="1"/>
  <c r="A3319" i="2"/>
  <c r="A3319" i="9" s="1"/>
  <c r="B3318" i="2"/>
  <c r="B3318" i="9" s="1"/>
  <c r="A3318" i="2"/>
  <c r="A3318" i="9" s="1"/>
  <c r="B3317" i="2"/>
  <c r="B3317" i="9" s="1"/>
  <c r="A3317" i="2"/>
  <c r="A3317" i="9" s="1"/>
  <c r="B3316" i="2"/>
  <c r="B3316" i="9" s="1"/>
  <c r="A3316" i="2"/>
  <c r="A3316" i="9" s="1"/>
  <c r="B3315" i="2"/>
  <c r="B3315" i="9" s="1"/>
  <c r="A3315" i="2"/>
  <c r="A3315" i="9" s="1"/>
  <c r="B3314" i="2"/>
  <c r="B3314" i="9" s="1"/>
  <c r="A3314" i="2"/>
  <c r="A3314" i="9" s="1"/>
  <c r="B3313" i="2"/>
  <c r="B3313" i="9" s="1"/>
  <c r="A3313" i="2"/>
  <c r="A3313" i="9" s="1"/>
  <c r="B3312" i="2"/>
  <c r="B3312" i="9" s="1"/>
  <c r="A3312" i="2"/>
  <c r="A3312" i="9" s="1"/>
  <c r="B3311" i="2"/>
  <c r="B3311" i="9" s="1"/>
  <c r="A3311" i="2"/>
  <c r="A3311" i="9" s="1"/>
  <c r="B3310" i="2"/>
  <c r="B3310" i="9" s="1"/>
  <c r="A3310" i="2"/>
  <c r="A3310" i="9" s="1"/>
  <c r="B3309" i="2"/>
  <c r="B3309" i="9" s="1"/>
  <c r="A3309" i="2"/>
  <c r="A3309" i="9" s="1"/>
  <c r="B3308" i="2"/>
  <c r="B3308" i="9" s="1"/>
  <c r="A3308" i="2"/>
  <c r="A3308" i="9" s="1"/>
  <c r="B3307" i="2"/>
  <c r="B3307" i="9" s="1"/>
  <c r="A3307" i="2"/>
  <c r="A3307" i="9" s="1"/>
  <c r="B3306" i="2"/>
  <c r="B3306" i="9" s="1"/>
  <c r="A3306" i="2"/>
  <c r="A3306" i="9" s="1"/>
  <c r="B3305" i="2"/>
  <c r="B3305" i="9" s="1"/>
  <c r="A3305" i="2"/>
  <c r="A3305" i="9" s="1"/>
  <c r="B3304" i="2"/>
  <c r="B3304" i="9" s="1"/>
  <c r="A3304" i="2"/>
  <c r="A3304" i="9" s="1"/>
  <c r="B3303" i="2"/>
  <c r="B3303" i="9" s="1"/>
  <c r="A3303" i="2"/>
  <c r="A3303" i="9" s="1"/>
  <c r="B3302" i="2"/>
  <c r="B3302" i="9" s="1"/>
  <c r="A3302" i="2"/>
  <c r="A3302" i="9" s="1"/>
  <c r="B3301" i="2"/>
  <c r="B3301" i="9" s="1"/>
  <c r="A3301" i="2"/>
  <c r="A3301" i="9" s="1"/>
  <c r="B3300" i="2"/>
  <c r="B3300" i="9" s="1"/>
  <c r="A3300" i="2"/>
  <c r="A3300" i="9" s="1"/>
  <c r="B3299" i="2"/>
  <c r="B3299" i="9" s="1"/>
  <c r="A3299" i="2"/>
  <c r="A3299" i="9" s="1"/>
  <c r="B3298" i="2"/>
  <c r="B3298" i="9" s="1"/>
  <c r="A3298" i="2"/>
  <c r="A3298" i="9" s="1"/>
  <c r="B3297" i="2"/>
  <c r="B3297" i="9" s="1"/>
  <c r="A3297" i="2"/>
  <c r="A3297" i="9" s="1"/>
  <c r="B3296" i="2"/>
  <c r="B3296" i="9" s="1"/>
  <c r="A3296" i="2"/>
  <c r="A3296" i="9" s="1"/>
  <c r="B3295" i="2"/>
  <c r="B3295" i="9" s="1"/>
  <c r="A3295" i="2"/>
  <c r="A3295" i="9" s="1"/>
  <c r="B3294" i="2"/>
  <c r="B3294" i="9" s="1"/>
  <c r="A3294" i="2"/>
  <c r="A3294" i="9" s="1"/>
  <c r="B3293" i="2"/>
  <c r="B3293" i="9" s="1"/>
  <c r="A3293" i="2"/>
  <c r="A3293" i="9" s="1"/>
  <c r="B3292" i="2"/>
  <c r="B3292" i="9" s="1"/>
  <c r="A3292" i="2"/>
  <c r="A3292" i="9" s="1"/>
  <c r="B3291" i="2"/>
  <c r="B3291" i="9" s="1"/>
  <c r="A3291" i="2"/>
  <c r="A3291" i="9" s="1"/>
  <c r="B3290" i="2"/>
  <c r="B3290" i="9" s="1"/>
  <c r="A3290" i="2"/>
  <c r="A3290" i="9" s="1"/>
  <c r="B3289" i="2"/>
  <c r="B3289" i="9" s="1"/>
  <c r="A3289" i="2"/>
  <c r="A3289" i="9" s="1"/>
  <c r="B3288" i="2"/>
  <c r="B3288" i="9" s="1"/>
  <c r="A3288" i="2"/>
  <c r="A3288" i="9" s="1"/>
  <c r="B3287" i="2"/>
  <c r="B3287" i="9" s="1"/>
  <c r="A3287" i="2"/>
  <c r="A3287" i="9" s="1"/>
  <c r="B3286" i="2"/>
  <c r="B3286" i="9" s="1"/>
  <c r="A3286" i="2"/>
  <c r="A3286" i="9" s="1"/>
  <c r="B3285" i="2"/>
  <c r="B3285" i="9" s="1"/>
  <c r="A3285" i="2"/>
  <c r="A3285" i="9" s="1"/>
  <c r="B3284" i="2"/>
  <c r="B3284" i="9" s="1"/>
  <c r="A3284" i="2"/>
  <c r="A3284" i="9" s="1"/>
  <c r="B3283" i="2"/>
  <c r="B3283" i="9" s="1"/>
  <c r="A3283" i="2"/>
  <c r="A3283" i="9" s="1"/>
  <c r="B3282" i="2"/>
  <c r="B3282" i="9" s="1"/>
  <c r="A3282" i="2"/>
  <c r="A3282" i="9" s="1"/>
  <c r="B3281" i="2"/>
  <c r="B3281" i="9" s="1"/>
  <c r="A3281" i="2"/>
  <c r="A3281" i="9" s="1"/>
  <c r="B3280" i="2"/>
  <c r="B3280" i="9" s="1"/>
  <c r="A3280" i="2"/>
  <c r="A3280" i="9" s="1"/>
  <c r="B3279" i="2"/>
  <c r="B3279" i="9" s="1"/>
  <c r="A3279" i="2"/>
  <c r="A3279" i="9" s="1"/>
  <c r="B3278" i="2"/>
  <c r="B3278" i="9" s="1"/>
  <c r="A3278" i="2"/>
  <c r="A3278" i="9" s="1"/>
  <c r="B3277" i="2"/>
  <c r="B3277" i="9" s="1"/>
  <c r="A3277" i="2"/>
  <c r="A3277" i="9" s="1"/>
  <c r="B3276" i="2"/>
  <c r="B3276" i="9" s="1"/>
  <c r="A3276" i="2"/>
  <c r="A3276" i="9" s="1"/>
  <c r="B3275" i="2"/>
  <c r="B3275" i="9" s="1"/>
  <c r="A3275" i="2"/>
  <c r="A3275" i="9" s="1"/>
  <c r="B3274" i="2"/>
  <c r="B3274" i="9" s="1"/>
  <c r="A3274" i="2"/>
  <c r="A3274" i="9" s="1"/>
  <c r="B3273" i="2"/>
  <c r="B3273" i="9" s="1"/>
  <c r="A3273" i="2"/>
  <c r="A3273" i="9" s="1"/>
  <c r="B3272" i="2"/>
  <c r="B3272" i="9" s="1"/>
  <c r="A3272" i="2"/>
  <c r="A3272" i="9" s="1"/>
  <c r="B3271" i="2"/>
  <c r="B3271" i="9" s="1"/>
  <c r="A3271" i="2"/>
  <c r="A3271" i="9" s="1"/>
  <c r="B3270" i="2"/>
  <c r="B3270" i="9" s="1"/>
  <c r="A3270" i="2"/>
  <c r="A3270" i="9" s="1"/>
  <c r="B3269" i="2"/>
  <c r="B3269" i="9" s="1"/>
  <c r="A3269" i="2"/>
  <c r="A3269" i="9" s="1"/>
  <c r="B3268" i="2"/>
  <c r="B3268" i="9" s="1"/>
  <c r="A3268" i="2"/>
  <c r="A3268" i="9" s="1"/>
  <c r="B3267" i="2"/>
  <c r="B3267" i="9" s="1"/>
  <c r="A3267" i="2"/>
  <c r="A3267" i="9" s="1"/>
  <c r="B3266" i="2"/>
  <c r="B3266" i="9" s="1"/>
  <c r="A3266" i="2"/>
  <c r="A3266" i="9" s="1"/>
  <c r="B3265" i="2"/>
  <c r="B3265" i="9" s="1"/>
  <c r="A3265" i="2"/>
  <c r="A3265" i="9" s="1"/>
  <c r="B3264" i="2"/>
  <c r="B3264" i="9" s="1"/>
  <c r="A3264" i="2"/>
  <c r="A3264" i="9" s="1"/>
  <c r="B3263" i="2"/>
  <c r="B3263" i="9" s="1"/>
  <c r="A3263" i="2"/>
  <c r="A3263" i="9" s="1"/>
  <c r="B3262" i="2"/>
  <c r="B3262" i="9" s="1"/>
  <c r="A3262" i="2"/>
  <c r="A3262" i="9" s="1"/>
  <c r="B3261" i="2"/>
  <c r="B3261" i="9" s="1"/>
  <c r="A3261" i="2"/>
  <c r="A3261" i="9" s="1"/>
  <c r="B3260" i="2"/>
  <c r="B3260" i="9" s="1"/>
  <c r="A3260" i="2"/>
  <c r="A3260" i="9" s="1"/>
  <c r="B3259" i="2"/>
  <c r="B3259" i="9" s="1"/>
  <c r="A3259" i="2"/>
  <c r="A3259" i="9" s="1"/>
  <c r="B3258" i="2"/>
  <c r="B3258" i="9" s="1"/>
  <c r="A3258" i="2"/>
  <c r="A3258" i="9" s="1"/>
  <c r="B3257" i="2"/>
  <c r="B3257" i="9" s="1"/>
  <c r="A3257" i="2"/>
  <c r="A3257" i="9" s="1"/>
  <c r="B3256" i="2"/>
  <c r="B3256" i="9" s="1"/>
  <c r="A3256" i="2"/>
  <c r="A3256" i="9" s="1"/>
  <c r="B3255" i="2"/>
  <c r="B3255" i="9" s="1"/>
  <c r="A3255" i="2"/>
  <c r="A3255" i="9" s="1"/>
  <c r="B3254" i="2"/>
  <c r="B3254" i="9" s="1"/>
  <c r="A3254" i="2"/>
  <c r="A3254" i="9" s="1"/>
  <c r="B3253" i="2"/>
  <c r="B3253" i="9" s="1"/>
  <c r="A3253" i="2"/>
  <c r="A3253" i="9" s="1"/>
  <c r="B3252" i="2"/>
  <c r="B3252" i="9" s="1"/>
  <c r="A3252" i="2"/>
  <c r="A3252" i="9" s="1"/>
  <c r="B3251" i="2"/>
  <c r="B3251" i="9" s="1"/>
  <c r="A3251" i="2"/>
  <c r="A3251" i="9" s="1"/>
  <c r="B3250" i="2"/>
  <c r="B3250" i="9" s="1"/>
  <c r="A3250" i="2"/>
  <c r="A3250" i="9" s="1"/>
  <c r="B3249" i="2"/>
  <c r="B3249" i="9" s="1"/>
  <c r="A3249" i="2"/>
  <c r="A3249" i="9" s="1"/>
  <c r="B3248" i="2"/>
  <c r="B3248" i="9" s="1"/>
  <c r="A3248" i="2"/>
  <c r="A3248" i="9" s="1"/>
  <c r="B3247" i="2"/>
  <c r="B3247" i="9" s="1"/>
  <c r="A3247" i="2"/>
  <c r="A3247" i="9" s="1"/>
  <c r="B3246" i="2"/>
  <c r="B3246" i="9" s="1"/>
  <c r="A3246" i="2"/>
  <c r="A3246" i="9" s="1"/>
  <c r="B3245" i="2"/>
  <c r="B3245" i="9" s="1"/>
  <c r="A3245" i="2"/>
  <c r="A3245" i="9" s="1"/>
  <c r="B3244" i="2"/>
  <c r="B3244" i="9" s="1"/>
  <c r="A3244" i="2"/>
  <c r="A3244" i="9" s="1"/>
  <c r="B3243" i="2"/>
  <c r="B3243" i="9" s="1"/>
  <c r="A3243" i="2"/>
  <c r="A3243" i="9" s="1"/>
  <c r="B3242" i="2"/>
  <c r="B3242" i="9" s="1"/>
  <c r="A3242" i="2"/>
  <c r="A3242" i="9" s="1"/>
  <c r="B3241" i="2"/>
  <c r="B3241" i="9" s="1"/>
  <c r="A3241" i="2"/>
  <c r="A3241" i="9" s="1"/>
  <c r="B3240" i="2"/>
  <c r="B3240" i="9" s="1"/>
  <c r="A3240" i="2"/>
  <c r="A3240" i="9" s="1"/>
  <c r="B3239" i="2"/>
  <c r="B3239" i="9" s="1"/>
  <c r="A3239" i="2"/>
  <c r="A3239" i="9" s="1"/>
  <c r="B3238" i="2"/>
  <c r="B3238" i="9" s="1"/>
  <c r="A3238" i="2"/>
  <c r="A3238" i="9" s="1"/>
  <c r="B3237" i="2"/>
  <c r="B3237" i="9" s="1"/>
  <c r="A3237" i="2"/>
  <c r="A3237" i="9" s="1"/>
  <c r="B3236" i="2"/>
  <c r="B3236" i="9" s="1"/>
  <c r="A3236" i="2"/>
  <c r="A3236" i="9" s="1"/>
  <c r="B3235" i="2"/>
  <c r="B3235" i="9" s="1"/>
  <c r="A3235" i="2"/>
  <c r="A3235" i="9" s="1"/>
  <c r="B3234" i="2"/>
  <c r="B3234" i="9" s="1"/>
  <c r="A3234" i="2"/>
  <c r="A3234" i="9" s="1"/>
  <c r="B3233" i="2"/>
  <c r="B3233" i="9" s="1"/>
  <c r="A3233" i="2"/>
  <c r="A3233" i="9" s="1"/>
  <c r="B3232" i="2"/>
  <c r="B3232" i="9" s="1"/>
  <c r="A3232" i="2"/>
  <c r="A3232" i="9" s="1"/>
  <c r="B3231" i="2"/>
  <c r="B3231" i="9" s="1"/>
  <c r="A3231" i="2"/>
  <c r="A3231" i="9" s="1"/>
  <c r="B3230" i="2"/>
  <c r="B3230" i="9" s="1"/>
  <c r="A3230" i="2"/>
  <c r="A3230" i="9" s="1"/>
  <c r="B3229" i="2"/>
  <c r="B3229" i="9" s="1"/>
  <c r="A3229" i="2"/>
  <c r="A3229" i="9" s="1"/>
  <c r="B3228" i="2"/>
  <c r="B3228" i="9" s="1"/>
  <c r="A3228" i="2"/>
  <c r="A3228" i="9" s="1"/>
  <c r="B3227" i="2"/>
  <c r="B3227" i="9" s="1"/>
  <c r="A3227" i="2"/>
  <c r="A3227" i="9" s="1"/>
  <c r="B3226" i="2"/>
  <c r="B3226" i="9" s="1"/>
  <c r="A3226" i="2"/>
  <c r="A3226" i="9" s="1"/>
  <c r="B3225" i="2"/>
  <c r="B3225" i="9" s="1"/>
  <c r="A3225" i="2"/>
  <c r="A3225" i="9" s="1"/>
  <c r="B3224" i="2"/>
  <c r="B3224" i="9" s="1"/>
  <c r="A3224" i="2"/>
  <c r="A3224" i="9" s="1"/>
  <c r="B3223" i="2"/>
  <c r="B3223" i="9" s="1"/>
  <c r="A3223" i="2"/>
  <c r="A3223" i="9" s="1"/>
  <c r="B3222" i="2"/>
  <c r="B3222" i="9" s="1"/>
  <c r="A3222" i="2"/>
  <c r="A3222" i="9" s="1"/>
  <c r="B3221" i="2"/>
  <c r="B3221" i="9" s="1"/>
  <c r="A3221" i="2"/>
  <c r="A3221" i="9" s="1"/>
  <c r="B3220" i="2"/>
  <c r="B3220" i="9" s="1"/>
  <c r="A3220" i="2"/>
  <c r="A3220" i="9" s="1"/>
  <c r="B3219" i="2"/>
  <c r="B3219" i="9" s="1"/>
  <c r="A3219" i="2"/>
  <c r="A3219" i="9" s="1"/>
  <c r="B3218" i="2"/>
  <c r="B3218" i="9" s="1"/>
  <c r="A3218" i="2"/>
  <c r="A3218" i="9" s="1"/>
  <c r="B3217" i="2"/>
  <c r="B3217" i="9" s="1"/>
  <c r="A3217" i="2"/>
  <c r="A3217" i="9" s="1"/>
  <c r="B3216" i="2"/>
  <c r="B3216" i="9" s="1"/>
  <c r="A3216" i="2"/>
  <c r="A3216" i="9" s="1"/>
  <c r="B3215" i="2"/>
  <c r="B3215" i="9" s="1"/>
  <c r="A3215" i="2"/>
  <c r="A3215" i="9" s="1"/>
  <c r="B3214" i="2"/>
  <c r="B3214" i="9" s="1"/>
  <c r="A3214" i="2"/>
  <c r="A3214" i="9" s="1"/>
  <c r="B3213" i="2"/>
  <c r="B3213" i="9" s="1"/>
  <c r="A3213" i="2"/>
  <c r="A3213" i="9" s="1"/>
  <c r="B3212" i="2"/>
  <c r="B3212" i="9" s="1"/>
  <c r="A3212" i="2"/>
  <c r="A3212" i="9" s="1"/>
  <c r="B3211" i="2"/>
  <c r="B3211" i="9" s="1"/>
  <c r="A3211" i="2"/>
  <c r="A3211" i="9" s="1"/>
  <c r="B3210" i="2"/>
  <c r="B3210" i="9" s="1"/>
  <c r="A3210" i="2"/>
  <c r="A3210" i="9" s="1"/>
  <c r="B3209" i="2"/>
  <c r="B3209" i="9" s="1"/>
  <c r="A3209" i="2"/>
  <c r="A3209" i="9" s="1"/>
  <c r="B3208" i="2"/>
  <c r="B3208" i="9" s="1"/>
  <c r="A3208" i="2"/>
  <c r="A3208" i="9" s="1"/>
  <c r="B3207" i="2"/>
  <c r="B3207" i="9" s="1"/>
  <c r="A3207" i="2"/>
  <c r="A3207" i="9" s="1"/>
  <c r="B3206" i="2"/>
  <c r="B3206" i="9" s="1"/>
  <c r="A3206" i="2"/>
  <c r="A3206" i="9" s="1"/>
  <c r="B3205" i="2"/>
  <c r="B3205" i="9" s="1"/>
  <c r="A3205" i="2"/>
  <c r="A3205" i="9" s="1"/>
  <c r="B3204" i="2"/>
  <c r="B3204" i="9" s="1"/>
  <c r="A3204" i="2"/>
  <c r="A3204" i="9" s="1"/>
  <c r="B3203" i="2"/>
  <c r="B3203" i="9" s="1"/>
  <c r="A3203" i="2"/>
  <c r="A3203" i="9" s="1"/>
  <c r="B3202" i="2"/>
  <c r="B3202" i="9" s="1"/>
  <c r="A3202" i="2"/>
  <c r="A3202" i="9" s="1"/>
  <c r="B3201" i="2"/>
  <c r="B3201" i="9" s="1"/>
  <c r="A3201" i="2"/>
  <c r="A3201" i="9" s="1"/>
  <c r="B3200" i="2"/>
  <c r="B3200" i="9" s="1"/>
  <c r="A3200" i="2"/>
  <c r="A3200" i="9" s="1"/>
  <c r="B3199" i="2"/>
  <c r="B3199" i="9" s="1"/>
  <c r="A3199" i="2"/>
  <c r="A3199" i="9" s="1"/>
  <c r="B3198" i="2"/>
  <c r="B3198" i="9" s="1"/>
  <c r="A3198" i="2"/>
  <c r="A3198" i="9" s="1"/>
  <c r="B3197" i="2"/>
  <c r="B3197" i="9" s="1"/>
  <c r="A3197" i="2"/>
  <c r="A3197" i="9" s="1"/>
  <c r="B3196" i="2"/>
  <c r="B3196" i="9" s="1"/>
  <c r="A3196" i="2"/>
  <c r="A3196" i="9" s="1"/>
  <c r="B3195" i="2"/>
  <c r="B3195" i="9" s="1"/>
  <c r="A3195" i="2"/>
  <c r="A3195" i="9" s="1"/>
  <c r="B3194" i="2"/>
  <c r="B3194" i="9" s="1"/>
  <c r="A3194" i="2"/>
  <c r="A3194" i="9" s="1"/>
  <c r="B3193" i="2"/>
  <c r="B3193" i="9" s="1"/>
  <c r="A3193" i="2"/>
  <c r="A3193" i="9" s="1"/>
  <c r="B3192" i="2"/>
  <c r="B3192" i="9" s="1"/>
  <c r="A3192" i="2"/>
  <c r="A3192" i="9" s="1"/>
  <c r="B3191" i="2"/>
  <c r="B3191" i="9" s="1"/>
  <c r="A3191" i="2"/>
  <c r="A3191" i="9" s="1"/>
  <c r="B3190" i="2"/>
  <c r="B3190" i="9" s="1"/>
  <c r="A3190" i="2"/>
  <c r="A3190" i="9" s="1"/>
  <c r="B3189" i="2"/>
  <c r="B3189" i="9" s="1"/>
  <c r="A3189" i="2"/>
  <c r="A3189" i="9" s="1"/>
  <c r="B3188" i="2"/>
  <c r="B3188" i="9" s="1"/>
  <c r="A3188" i="2"/>
  <c r="A3188" i="9" s="1"/>
  <c r="B3187" i="2"/>
  <c r="B3187" i="9" s="1"/>
  <c r="A3187" i="2"/>
  <c r="A3187" i="9" s="1"/>
  <c r="B3186" i="2"/>
  <c r="B3186" i="9" s="1"/>
  <c r="A3186" i="2"/>
  <c r="A3186" i="9" s="1"/>
  <c r="B3185" i="2"/>
  <c r="B3185" i="9" s="1"/>
  <c r="A3185" i="2"/>
  <c r="A3185" i="9" s="1"/>
  <c r="B3184" i="2"/>
  <c r="B3184" i="9" s="1"/>
  <c r="A3184" i="2"/>
  <c r="A3184" i="9" s="1"/>
  <c r="B3183" i="2"/>
  <c r="B3183" i="9" s="1"/>
  <c r="A3183" i="2"/>
  <c r="A3183" i="9" s="1"/>
  <c r="B3182" i="2"/>
  <c r="B3182" i="9" s="1"/>
  <c r="A3182" i="2"/>
  <c r="A3182" i="9" s="1"/>
  <c r="B3181" i="2"/>
  <c r="B3181" i="9" s="1"/>
  <c r="A3181" i="2"/>
  <c r="A3181" i="9" s="1"/>
  <c r="B3180" i="2"/>
  <c r="B3180" i="9" s="1"/>
  <c r="A3180" i="2"/>
  <c r="A3180" i="9" s="1"/>
  <c r="B3179" i="2"/>
  <c r="B3179" i="9" s="1"/>
  <c r="A3179" i="2"/>
  <c r="A3179" i="9" s="1"/>
  <c r="B3178" i="2"/>
  <c r="B3178" i="9" s="1"/>
  <c r="A3178" i="2"/>
  <c r="A3178" i="9" s="1"/>
  <c r="B3177" i="2"/>
  <c r="B3177" i="9" s="1"/>
  <c r="A3177" i="2"/>
  <c r="A3177" i="9" s="1"/>
  <c r="B3176" i="2"/>
  <c r="B3176" i="9" s="1"/>
  <c r="A3176" i="2"/>
  <c r="A3176" i="9" s="1"/>
  <c r="B3175" i="2"/>
  <c r="B3175" i="9" s="1"/>
  <c r="A3175" i="2"/>
  <c r="A3175" i="9" s="1"/>
  <c r="B3174" i="2"/>
  <c r="B3174" i="9" s="1"/>
  <c r="A3174" i="2"/>
  <c r="A3174" i="9" s="1"/>
  <c r="B3173" i="2"/>
  <c r="B3173" i="9" s="1"/>
  <c r="A3173" i="2"/>
  <c r="A3173" i="9" s="1"/>
  <c r="B3172" i="2"/>
  <c r="B3172" i="9" s="1"/>
  <c r="A3172" i="2"/>
  <c r="A3172" i="9" s="1"/>
  <c r="B3171" i="2"/>
  <c r="B3171" i="9" s="1"/>
  <c r="A3171" i="2"/>
  <c r="A3171" i="9" s="1"/>
  <c r="B3170" i="2"/>
  <c r="B3170" i="9" s="1"/>
  <c r="A3170" i="2"/>
  <c r="A3170" i="9" s="1"/>
  <c r="B3169" i="2"/>
  <c r="B3169" i="9" s="1"/>
  <c r="A3169" i="2"/>
  <c r="A3169" i="9" s="1"/>
  <c r="B3168" i="2"/>
  <c r="B3168" i="9" s="1"/>
  <c r="A3168" i="2"/>
  <c r="A3168" i="9" s="1"/>
  <c r="B3167" i="2"/>
  <c r="B3167" i="9" s="1"/>
  <c r="A3167" i="2"/>
  <c r="A3167" i="9" s="1"/>
  <c r="B3166" i="2"/>
  <c r="B3166" i="9" s="1"/>
  <c r="A3166" i="2"/>
  <c r="A3166" i="9" s="1"/>
  <c r="B3165" i="2"/>
  <c r="B3165" i="9" s="1"/>
  <c r="A3165" i="2"/>
  <c r="A3165" i="9" s="1"/>
  <c r="B3164" i="2"/>
  <c r="B3164" i="9" s="1"/>
  <c r="A3164" i="2"/>
  <c r="A3164" i="9" s="1"/>
  <c r="B3163" i="2"/>
  <c r="B3163" i="9" s="1"/>
  <c r="A3163" i="2"/>
  <c r="A3163" i="9" s="1"/>
  <c r="B3162" i="2"/>
  <c r="B3162" i="9" s="1"/>
  <c r="A3162" i="2"/>
  <c r="A3162" i="9" s="1"/>
  <c r="B3161" i="2"/>
  <c r="B3161" i="9" s="1"/>
  <c r="A3161" i="2"/>
  <c r="A3161" i="9" s="1"/>
  <c r="B3160" i="2"/>
  <c r="B3160" i="9" s="1"/>
  <c r="A3160" i="2"/>
  <c r="A3160" i="9" s="1"/>
  <c r="B3159" i="2"/>
  <c r="B3159" i="9" s="1"/>
  <c r="A3159" i="2"/>
  <c r="A3159" i="9" s="1"/>
  <c r="B3158" i="2"/>
  <c r="B3158" i="9" s="1"/>
  <c r="A3158" i="2"/>
  <c r="A3158" i="9" s="1"/>
  <c r="B3157" i="2"/>
  <c r="B3157" i="9" s="1"/>
  <c r="A3157" i="2"/>
  <c r="A3157" i="9" s="1"/>
  <c r="B3156" i="2"/>
  <c r="B3156" i="9" s="1"/>
  <c r="A3156" i="2"/>
  <c r="A3156" i="9" s="1"/>
  <c r="B3155" i="2"/>
  <c r="B3155" i="9" s="1"/>
  <c r="A3155" i="2"/>
  <c r="A3155" i="9" s="1"/>
  <c r="B3154" i="2"/>
  <c r="B3154" i="9" s="1"/>
  <c r="A3154" i="2"/>
  <c r="A3154" i="9" s="1"/>
  <c r="B3153" i="2"/>
  <c r="B3153" i="9" s="1"/>
  <c r="A3153" i="2"/>
  <c r="A3153" i="9" s="1"/>
  <c r="B3152" i="2"/>
  <c r="B3152" i="9" s="1"/>
  <c r="A3152" i="2"/>
  <c r="A3152" i="9" s="1"/>
  <c r="B3151" i="2"/>
  <c r="B3151" i="9" s="1"/>
  <c r="A3151" i="2"/>
  <c r="A3151" i="9" s="1"/>
  <c r="B3150" i="2"/>
  <c r="B3150" i="9" s="1"/>
  <c r="A3150" i="2"/>
  <c r="A3150" i="9" s="1"/>
  <c r="B3149" i="2"/>
  <c r="B3149" i="9" s="1"/>
  <c r="A3149" i="2"/>
  <c r="A3149" i="9" s="1"/>
  <c r="B3148" i="2"/>
  <c r="B3148" i="9" s="1"/>
  <c r="A3148" i="2"/>
  <c r="A3148" i="9" s="1"/>
  <c r="B3147" i="2"/>
  <c r="B3147" i="9" s="1"/>
  <c r="A3147" i="2"/>
  <c r="A3147" i="9" s="1"/>
  <c r="B3146" i="2"/>
  <c r="B3146" i="9" s="1"/>
  <c r="A3146" i="2"/>
  <c r="A3146" i="9" s="1"/>
  <c r="B3145" i="2"/>
  <c r="B3145" i="9" s="1"/>
  <c r="A3145" i="2"/>
  <c r="A3145" i="9" s="1"/>
  <c r="B3144" i="2"/>
  <c r="B3144" i="9" s="1"/>
  <c r="A3144" i="2"/>
  <c r="A3144" i="9" s="1"/>
  <c r="B3143" i="2"/>
  <c r="B3143" i="9" s="1"/>
  <c r="A3143" i="2"/>
  <c r="A3143" i="9" s="1"/>
  <c r="B3142" i="2"/>
  <c r="B3142" i="9" s="1"/>
  <c r="A3142" i="2"/>
  <c r="A3142" i="9" s="1"/>
  <c r="B3141" i="2"/>
  <c r="B3141" i="9" s="1"/>
  <c r="A3141" i="2"/>
  <c r="A3141" i="9" s="1"/>
  <c r="B3140" i="2"/>
  <c r="B3140" i="9" s="1"/>
  <c r="A3140" i="2"/>
  <c r="A3140" i="9" s="1"/>
  <c r="B3139" i="2"/>
  <c r="B3139" i="9" s="1"/>
  <c r="A3139" i="2"/>
  <c r="A3139" i="9" s="1"/>
  <c r="B3138" i="2"/>
  <c r="B3138" i="9" s="1"/>
  <c r="A3138" i="2"/>
  <c r="A3138" i="9" s="1"/>
  <c r="B3137" i="2"/>
  <c r="B3137" i="9" s="1"/>
  <c r="A3137" i="2"/>
  <c r="A3137" i="9" s="1"/>
  <c r="B3136" i="2"/>
  <c r="B3136" i="9" s="1"/>
  <c r="A3136" i="2"/>
  <c r="A3136" i="9" s="1"/>
  <c r="B3135" i="2"/>
  <c r="B3135" i="9" s="1"/>
  <c r="A3135" i="2"/>
  <c r="A3135" i="9" s="1"/>
  <c r="B3134" i="2"/>
  <c r="B3134" i="9" s="1"/>
  <c r="A3134" i="2"/>
  <c r="A3134" i="9" s="1"/>
  <c r="B3133" i="2"/>
  <c r="B3133" i="9" s="1"/>
  <c r="A3133" i="2"/>
  <c r="A3133" i="9" s="1"/>
  <c r="B3132" i="2"/>
  <c r="B3132" i="9" s="1"/>
  <c r="A3132" i="2"/>
  <c r="A3132" i="9" s="1"/>
  <c r="B3131" i="2"/>
  <c r="B3131" i="9" s="1"/>
  <c r="A3131" i="2"/>
  <c r="A3131" i="9" s="1"/>
  <c r="B3130" i="2"/>
  <c r="B3130" i="9" s="1"/>
  <c r="A3130" i="2"/>
  <c r="A3130" i="9" s="1"/>
  <c r="B3129" i="2"/>
  <c r="B3129" i="9" s="1"/>
  <c r="A3129" i="2"/>
  <c r="A3129" i="9" s="1"/>
  <c r="B3128" i="2"/>
  <c r="B3128" i="9" s="1"/>
  <c r="A3128" i="2"/>
  <c r="A3128" i="9" s="1"/>
  <c r="B3127" i="2"/>
  <c r="B3127" i="9" s="1"/>
  <c r="A3127" i="2"/>
  <c r="A3127" i="9" s="1"/>
  <c r="B3126" i="2"/>
  <c r="B3126" i="9" s="1"/>
  <c r="A3126" i="2"/>
  <c r="A3126" i="9" s="1"/>
  <c r="B3125" i="2"/>
  <c r="B3125" i="9" s="1"/>
  <c r="A3125" i="2"/>
  <c r="A3125" i="9" s="1"/>
  <c r="B3124" i="2"/>
  <c r="B3124" i="9" s="1"/>
  <c r="A3124" i="2"/>
  <c r="A3124" i="9" s="1"/>
  <c r="B3123" i="2"/>
  <c r="B3123" i="9" s="1"/>
  <c r="A3123" i="2"/>
  <c r="A3123" i="9" s="1"/>
  <c r="B3122" i="2"/>
  <c r="B3122" i="9" s="1"/>
  <c r="A3122" i="2"/>
  <c r="A3122" i="9" s="1"/>
  <c r="B3121" i="2"/>
  <c r="B3121" i="9" s="1"/>
  <c r="A3121" i="2"/>
  <c r="A3121" i="9" s="1"/>
  <c r="B3120" i="2"/>
  <c r="B3120" i="9" s="1"/>
  <c r="A3120" i="2"/>
  <c r="A3120" i="9" s="1"/>
  <c r="B3119" i="2"/>
  <c r="B3119" i="9" s="1"/>
  <c r="A3119" i="2"/>
  <c r="A3119" i="9" s="1"/>
  <c r="B3118" i="2"/>
  <c r="B3118" i="9" s="1"/>
  <c r="A3118" i="2"/>
  <c r="A3118" i="9" s="1"/>
  <c r="B3117" i="2"/>
  <c r="B3117" i="9" s="1"/>
  <c r="A3117" i="2"/>
  <c r="A3117" i="9" s="1"/>
  <c r="B3116" i="2"/>
  <c r="B3116" i="9" s="1"/>
  <c r="A3116" i="2"/>
  <c r="A3116" i="9" s="1"/>
  <c r="B3115" i="2"/>
  <c r="B3115" i="9" s="1"/>
  <c r="A3115" i="2"/>
  <c r="A3115" i="9" s="1"/>
  <c r="B3114" i="2"/>
  <c r="B3114" i="9" s="1"/>
  <c r="A3114" i="2"/>
  <c r="A3114" i="9" s="1"/>
  <c r="B3113" i="2"/>
  <c r="B3113" i="9" s="1"/>
  <c r="A3113" i="2"/>
  <c r="A3113" i="9" s="1"/>
  <c r="B3112" i="2"/>
  <c r="B3112" i="9" s="1"/>
  <c r="A3112" i="2"/>
  <c r="A3112" i="9" s="1"/>
  <c r="B3111" i="2"/>
  <c r="B3111" i="9" s="1"/>
  <c r="A3111" i="2"/>
  <c r="A3111" i="9" s="1"/>
  <c r="B3110" i="2"/>
  <c r="B3110" i="9" s="1"/>
  <c r="A3110" i="2"/>
  <c r="A3110" i="9" s="1"/>
  <c r="B3109" i="2"/>
  <c r="B3109" i="9" s="1"/>
  <c r="A3109" i="2"/>
  <c r="A3109" i="9" s="1"/>
  <c r="B3108" i="2"/>
  <c r="B3108" i="9" s="1"/>
  <c r="A3108" i="2"/>
  <c r="A3108" i="9" s="1"/>
  <c r="B3107" i="2"/>
  <c r="B3107" i="9" s="1"/>
  <c r="A3107" i="2"/>
  <c r="A3107" i="9" s="1"/>
  <c r="B3106" i="2"/>
  <c r="B3106" i="9" s="1"/>
  <c r="A3106" i="2"/>
  <c r="A3106" i="9" s="1"/>
  <c r="B3105" i="2"/>
  <c r="B3105" i="9" s="1"/>
  <c r="A3105" i="2"/>
  <c r="A3105" i="9" s="1"/>
  <c r="B3104" i="2"/>
  <c r="B3104" i="9" s="1"/>
  <c r="A3104" i="2"/>
  <c r="A3104" i="9" s="1"/>
  <c r="B3103" i="2"/>
  <c r="B3103" i="9" s="1"/>
  <c r="A3103" i="2"/>
  <c r="A3103" i="9" s="1"/>
  <c r="B3102" i="2"/>
  <c r="B3102" i="9" s="1"/>
  <c r="A3102" i="2"/>
  <c r="A3102" i="9" s="1"/>
  <c r="B3101" i="2"/>
  <c r="B3101" i="9" s="1"/>
  <c r="A3101" i="2"/>
  <c r="A3101" i="9" s="1"/>
  <c r="B3100" i="2"/>
  <c r="B3100" i="9" s="1"/>
  <c r="A3100" i="2"/>
  <c r="A3100" i="9" s="1"/>
  <c r="B3099" i="2"/>
  <c r="B3099" i="9" s="1"/>
  <c r="A3099" i="2"/>
  <c r="A3099" i="9" s="1"/>
  <c r="B3098" i="2"/>
  <c r="B3098" i="9" s="1"/>
  <c r="A3098" i="2"/>
  <c r="A3098" i="9" s="1"/>
  <c r="B3097" i="2"/>
  <c r="B3097" i="9" s="1"/>
  <c r="A3097" i="2"/>
  <c r="A3097" i="9" s="1"/>
  <c r="B3096" i="2"/>
  <c r="B3096" i="9" s="1"/>
  <c r="A3096" i="2"/>
  <c r="A3096" i="9" s="1"/>
  <c r="B3095" i="2"/>
  <c r="B3095" i="9" s="1"/>
  <c r="A3095" i="2"/>
  <c r="A3095" i="9" s="1"/>
  <c r="B3094" i="2"/>
  <c r="B3094" i="9" s="1"/>
  <c r="A3094" i="2"/>
  <c r="A3094" i="9" s="1"/>
  <c r="B3093" i="2"/>
  <c r="B3093" i="9" s="1"/>
  <c r="A3093" i="2"/>
  <c r="A3093" i="9" s="1"/>
  <c r="B3092" i="2"/>
  <c r="B3092" i="9" s="1"/>
  <c r="A3092" i="2"/>
  <c r="A3092" i="9" s="1"/>
  <c r="B3091" i="2"/>
  <c r="B3091" i="9" s="1"/>
  <c r="A3091" i="2"/>
  <c r="A3091" i="9" s="1"/>
  <c r="B3090" i="2"/>
  <c r="B3090" i="9" s="1"/>
  <c r="A3090" i="2"/>
  <c r="A3090" i="9" s="1"/>
  <c r="B3089" i="2"/>
  <c r="B3089" i="9" s="1"/>
  <c r="A3089" i="2"/>
  <c r="A3089" i="9" s="1"/>
  <c r="B3088" i="2"/>
  <c r="B3088" i="9" s="1"/>
  <c r="A3088" i="2"/>
  <c r="A3088" i="9" s="1"/>
  <c r="B3087" i="2"/>
  <c r="B3087" i="9" s="1"/>
  <c r="A3087" i="2"/>
  <c r="A3087" i="9" s="1"/>
  <c r="B3086" i="2"/>
  <c r="B3086" i="9" s="1"/>
  <c r="A3086" i="2"/>
  <c r="A3086" i="9" s="1"/>
  <c r="B3085" i="2"/>
  <c r="B3085" i="9" s="1"/>
  <c r="A3085" i="2"/>
  <c r="A3085" i="9" s="1"/>
  <c r="B3084" i="2"/>
  <c r="B3084" i="9" s="1"/>
  <c r="A3084" i="2"/>
  <c r="A3084" i="9" s="1"/>
  <c r="B3083" i="2"/>
  <c r="B3083" i="9" s="1"/>
  <c r="A3083" i="2"/>
  <c r="A3083" i="9" s="1"/>
  <c r="B3082" i="2"/>
  <c r="B3082" i="9" s="1"/>
  <c r="A3082" i="2"/>
  <c r="A3082" i="9" s="1"/>
  <c r="B3081" i="2"/>
  <c r="B3081" i="9" s="1"/>
  <c r="A3081" i="2"/>
  <c r="A3081" i="9" s="1"/>
  <c r="B3080" i="2"/>
  <c r="B3080" i="9" s="1"/>
  <c r="A3080" i="2"/>
  <c r="A3080" i="9" s="1"/>
  <c r="B3079" i="2"/>
  <c r="B3079" i="9" s="1"/>
  <c r="A3079" i="2"/>
  <c r="A3079" i="9" s="1"/>
  <c r="B3078" i="2"/>
  <c r="B3078" i="9" s="1"/>
  <c r="A3078" i="2"/>
  <c r="A3078" i="9" s="1"/>
  <c r="B3077" i="2"/>
  <c r="B3077" i="9" s="1"/>
  <c r="A3077" i="2"/>
  <c r="A3077" i="9" s="1"/>
  <c r="B3076" i="2"/>
  <c r="B3076" i="9" s="1"/>
  <c r="A3076" i="2"/>
  <c r="A3076" i="9" s="1"/>
  <c r="B3075" i="2"/>
  <c r="B3075" i="9" s="1"/>
  <c r="A3075" i="2"/>
  <c r="A3075" i="9" s="1"/>
  <c r="B3074" i="2"/>
  <c r="B3074" i="9" s="1"/>
  <c r="A3074" i="2"/>
  <c r="A3074" i="9" s="1"/>
  <c r="B3073" i="2"/>
  <c r="B3073" i="9" s="1"/>
  <c r="A3073" i="2"/>
  <c r="A3073" i="9" s="1"/>
  <c r="B3072" i="2"/>
  <c r="B3072" i="9" s="1"/>
  <c r="A3072" i="2"/>
  <c r="A3072" i="9" s="1"/>
  <c r="B3071" i="2"/>
  <c r="B3071" i="9" s="1"/>
  <c r="A3071" i="2"/>
  <c r="A3071" i="9" s="1"/>
  <c r="B3070" i="2"/>
  <c r="B3070" i="9" s="1"/>
  <c r="A3070" i="2"/>
  <c r="A3070" i="9" s="1"/>
  <c r="B3069" i="2"/>
  <c r="B3069" i="9" s="1"/>
  <c r="A3069" i="2"/>
  <c r="A3069" i="9" s="1"/>
  <c r="B3068" i="2"/>
  <c r="B3068" i="9" s="1"/>
  <c r="A3068" i="2"/>
  <c r="A3068" i="9" s="1"/>
  <c r="B3067" i="2"/>
  <c r="B3067" i="9" s="1"/>
  <c r="A3067" i="2"/>
  <c r="A3067" i="9" s="1"/>
  <c r="B3066" i="2"/>
  <c r="B3066" i="9" s="1"/>
  <c r="A3066" i="2"/>
  <c r="A3066" i="9" s="1"/>
  <c r="B3065" i="2"/>
  <c r="B3065" i="9" s="1"/>
  <c r="A3065" i="2"/>
  <c r="A3065" i="9" s="1"/>
  <c r="B3064" i="2"/>
  <c r="B3064" i="9" s="1"/>
  <c r="A3064" i="2"/>
  <c r="A3064" i="9" s="1"/>
  <c r="B3063" i="2"/>
  <c r="B3063" i="9" s="1"/>
  <c r="A3063" i="2"/>
  <c r="A3063" i="9" s="1"/>
  <c r="B3062" i="2"/>
  <c r="B3062" i="9" s="1"/>
  <c r="A3062" i="2"/>
  <c r="A3062" i="9" s="1"/>
  <c r="B3061" i="2"/>
  <c r="B3061" i="9" s="1"/>
  <c r="A3061" i="2"/>
  <c r="A3061" i="9" s="1"/>
  <c r="B3060" i="2"/>
  <c r="B3060" i="9" s="1"/>
  <c r="A3060" i="2"/>
  <c r="A3060" i="9" s="1"/>
  <c r="B3059" i="2"/>
  <c r="B3059" i="9" s="1"/>
  <c r="A3059" i="2"/>
  <c r="A3059" i="9" s="1"/>
  <c r="B3058" i="2"/>
  <c r="B3058" i="9" s="1"/>
  <c r="A3058" i="2"/>
  <c r="A3058" i="9" s="1"/>
  <c r="B3057" i="2"/>
  <c r="B3057" i="9" s="1"/>
  <c r="A3057" i="2"/>
  <c r="A3057" i="9" s="1"/>
  <c r="B3056" i="2"/>
  <c r="B3056" i="9" s="1"/>
  <c r="A3056" i="2"/>
  <c r="A3056" i="9" s="1"/>
  <c r="B3055" i="2"/>
  <c r="B3055" i="9" s="1"/>
  <c r="A3055" i="2"/>
  <c r="A3055" i="9" s="1"/>
  <c r="B3054" i="2"/>
  <c r="B3054" i="9" s="1"/>
  <c r="A3054" i="2"/>
  <c r="A3054" i="9" s="1"/>
  <c r="B3053" i="2"/>
  <c r="B3053" i="9" s="1"/>
  <c r="A3053" i="2"/>
  <c r="A3053" i="9" s="1"/>
  <c r="B3052" i="2"/>
  <c r="B3052" i="9" s="1"/>
  <c r="A3052" i="2"/>
  <c r="A3052" i="9" s="1"/>
  <c r="B3051" i="2"/>
  <c r="B3051" i="9" s="1"/>
  <c r="A3051" i="2"/>
  <c r="A3051" i="9" s="1"/>
  <c r="B3050" i="2"/>
  <c r="B3050" i="9" s="1"/>
  <c r="A3050" i="2"/>
  <c r="A3050" i="9" s="1"/>
  <c r="B3049" i="2"/>
  <c r="B3049" i="9" s="1"/>
  <c r="A3049" i="2"/>
  <c r="A3049" i="9" s="1"/>
  <c r="B3048" i="2"/>
  <c r="B3048" i="9" s="1"/>
  <c r="A3048" i="2"/>
  <c r="A3048" i="9" s="1"/>
  <c r="B3047" i="2"/>
  <c r="B3047" i="9" s="1"/>
  <c r="A3047" i="2"/>
  <c r="A3047" i="9" s="1"/>
  <c r="B3046" i="2"/>
  <c r="B3046" i="9" s="1"/>
  <c r="A3046" i="2"/>
  <c r="A3046" i="9" s="1"/>
  <c r="B3045" i="2"/>
  <c r="B3045" i="9" s="1"/>
  <c r="A3045" i="2"/>
  <c r="A3045" i="9" s="1"/>
  <c r="B3044" i="2"/>
  <c r="B3044" i="9" s="1"/>
  <c r="A3044" i="2"/>
  <c r="A3044" i="9" s="1"/>
  <c r="B3043" i="2"/>
  <c r="B3043" i="9" s="1"/>
  <c r="A3043" i="2"/>
  <c r="A3043" i="9" s="1"/>
  <c r="B3042" i="2"/>
  <c r="B3042" i="9" s="1"/>
  <c r="A3042" i="2"/>
  <c r="A3042" i="9" s="1"/>
  <c r="B3041" i="2"/>
  <c r="B3041" i="9" s="1"/>
  <c r="A3041" i="2"/>
  <c r="A3041" i="9" s="1"/>
  <c r="B3040" i="2"/>
  <c r="B3040" i="9" s="1"/>
  <c r="A3040" i="2"/>
  <c r="A3040" i="9" s="1"/>
  <c r="B3039" i="2"/>
  <c r="B3039" i="9" s="1"/>
  <c r="A3039" i="2"/>
  <c r="A3039" i="9" s="1"/>
  <c r="B3038" i="2"/>
  <c r="B3038" i="9" s="1"/>
  <c r="A3038" i="2"/>
  <c r="A3038" i="9" s="1"/>
  <c r="B3037" i="2"/>
  <c r="B3037" i="9" s="1"/>
  <c r="A3037" i="2"/>
  <c r="A3037" i="9" s="1"/>
  <c r="B3036" i="2"/>
  <c r="B3036" i="9" s="1"/>
  <c r="A3036" i="2"/>
  <c r="A3036" i="9" s="1"/>
  <c r="B3035" i="2"/>
  <c r="B3035" i="9" s="1"/>
  <c r="A3035" i="2"/>
  <c r="A3035" i="9" s="1"/>
  <c r="B3034" i="2"/>
  <c r="B3034" i="9" s="1"/>
  <c r="A3034" i="2"/>
  <c r="A3034" i="9" s="1"/>
  <c r="B3033" i="2"/>
  <c r="B3033" i="9" s="1"/>
  <c r="A3033" i="2"/>
  <c r="A3033" i="9" s="1"/>
  <c r="B3032" i="2"/>
  <c r="B3032" i="9" s="1"/>
  <c r="A3032" i="2"/>
  <c r="A3032" i="9" s="1"/>
  <c r="B3031" i="2"/>
  <c r="B3031" i="9" s="1"/>
  <c r="A3031" i="2"/>
  <c r="A3031" i="9" s="1"/>
  <c r="B3030" i="2"/>
  <c r="B3030" i="9" s="1"/>
  <c r="A3030" i="2"/>
  <c r="A3030" i="9" s="1"/>
  <c r="B3029" i="2"/>
  <c r="B3029" i="9" s="1"/>
  <c r="A3029" i="2"/>
  <c r="A3029" i="9" s="1"/>
  <c r="B3028" i="2"/>
  <c r="B3028" i="9" s="1"/>
  <c r="A3028" i="2"/>
  <c r="A3028" i="9" s="1"/>
  <c r="B3027" i="2"/>
  <c r="B3027" i="9" s="1"/>
  <c r="A3027" i="2"/>
  <c r="A3027" i="9" s="1"/>
  <c r="B3026" i="2"/>
  <c r="B3026" i="9" s="1"/>
  <c r="A3026" i="2"/>
  <c r="A3026" i="9" s="1"/>
  <c r="B3025" i="2"/>
  <c r="B3025" i="9" s="1"/>
  <c r="A3025" i="2"/>
  <c r="A3025" i="9" s="1"/>
  <c r="B3024" i="2"/>
  <c r="B3024" i="9" s="1"/>
  <c r="A3024" i="2"/>
  <c r="A3024" i="9" s="1"/>
  <c r="B3023" i="2"/>
  <c r="B3023" i="9" s="1"/>
  <c r="A3023" i="2"/>
  <c r="A3023" i="9" s="1"/>
  <c r="B3022" i="2"/>
  <c r="B3022" i="9" s="1"/>
  <c r="A3022" i="2"/>
  <c r="A3022" i="9" s="1"/>
  <c r="B3021" i="2"/>
  <c r="B3021" i="9" s="1"/>
  <c r="A3021" i="2"/>
  <c r="A3021" i="9" s="1"/>
  <c r="B3020" i="2"/>
  <c r="B3020" i="9" s="1"/>
  <c r="A3020" i="2"/>
  <c r="A3020" i="9" s="1"/>
  <c r="B3019" i="2"/>
  <c r="B3019" i="9" s="1"/>
  <c r="A3019" i="2"/>
  <c r="A3019" i="9" s="1"/>
  <c r="B3018" i="2"/>
  <c r="B3018" i="9" s="1"/>
  <c r="A3018" i="2"/>
  <c r="A3018" i="9" s="1"/>
  <c r="B3017" i="2"/>
  <c r="B3017" i="9" s="1"/>
  <c r="A3017" i="2"/>
  <c r="A3017" i="9" s="1"/>
  <c r="B3016" i="2"/>
  <c r="B3016" i="9" s="1"/>
  <c r="A3016" i="2"/>
  <c r="A3016" i="9" s="1"/>
  <c r="B3015" i="2"/>
  <c r="B3015" i="9" s="1"/>
  <c r="A3015" i="2"/>
  <c r="A3015" i="9" s="1"/>
  <c r="B3014" i="2"/>
  <c r="B3014" i="9" s="1"/>
  <c r="A3014" i="2"/>
  <c r="A3014" i="9" s="1"/>
  <c r="B3013" i="2"/>
  <c r="B3013" i="9" s="1"/>
  <c r="A3013" i="2"/>
  <c r="A3013" i="9" s="1"/>
  <c r="B3012" i="2"/>
  <c r="B3012" i="9" s="1"/>
  <c r="A3012" i="2"/>
  <c r="A3012" i="9" s="1"/>
  <c r="B3011" i="2"/>
  <c r="B3011" i="9" s="1"/>
  <c r="A3011" i="2"/>
  <c r="A3011" i="9" s="1"/>
  <c r="B3010" i="2"/>
  <c r="B3010" i="9" s="1"/>
  <c r="A3010" i="2"/>
  <c r="A3010" i="9" s="1"/>
  <c r="B3009" i="2"/>
  <c r="B3009" i="9" s="1"/>
  <c r="A3009" i="2"/>
  <c r="A3009" i="9" s="1"/>
  <c r="B3008" i="2"/>
  <c r="B3008" i="9" s="1"/>
  <c r="A3008" i="2"/>
  <c r="A3008" i="9" s="1"/>
  <c r="B3007" i="2"/>
  <c r="B3007" i="9" s="1"/>
  <c r="A3007" i="2"/>
  <c r="A3007" i="9" s="1"/>
  <c r="B3006" i="2"/>
  <c r="B3006" i="9" s="1"/>
  <c r="A3006" i="2"/>
  <c r="A3006" i="9" s="1"/>
  <c r="B3005" i="2"/>
  <c r="B3005" i="9" s="1"/>
  <c r="A3005" i="2"/>
  <c r="A3005" i="9" s="1"/>
  <c r="B3004" i="2"/>
  <c r="B3004" i="9" s="1"/>
  <c r="A3004" i="2"/>
  <c r="A3004" i="9" s="1"/>
  <c r="B3003" i="2"/>
  <c r="B3003" i="9" s="1"/>
  <c r="A3003" i="2"/>
  <c r="A3003" i="9" s="1"/>
  <c r="B3002" i="2"/>
  <c r="B3002" i="9" s="1"/>
  <c r="A3002" i="2"/>
  <c r="A3002" i="9" s="1"/>
  <c r="B3001" i="2"/>
  <c r="B3001" i="9" s="1"/>
  <c r="A3001" i="2"/>
  <c r="A3001" i="9" s="1"/>
  <c r="B3000" i="2"/>
  <c r="B3000" i="9" s="1"/>
  <c r="A3000" i="2"/>
  <c r="A3000" i="9" s="1"/>
  <c r="B2999" i="2"/>
  <c r="B2999" i="9" s="1"/>
  <c r="A2999" i="2"/>
  <c r="A2999" i="9" s="1"/>
  <c r="B2998" i="2"/>
  <c r="B2998" i="9" s="1"/>
  <c r="A2998" i="2"/>
  <c r="A2998" i="9" s="1"/>
  <c r="B2997" i="2"/>
  <c r="B2997" i="9" s="1"/>
  <c r="A2997" i="2"/>
  <c r="A2997" i="9" s="1"/>
  <c r="B2996" i="2"/>
  <c r="B2996" i="9" s="1"/>
  <c r="A2996" i="2"/>
  <c r="A2996" i="9" s="1"/>
  <c r="B2995" i="2"/>
  <c r="B2995" i="9" s="1"/>
  <c r="A2995" i="2"/>
  <c r="A2995" i="9" s="1"/>
  <c r="B2994" i="2"/>
  <c r="B2994" i="9" s="1"/>
  <c r="A2994" i="2"/>
  <c r="A2994" i="9" s="1"/>
  <c r="B2993" i="2"/>
  <c r="B2993" i="9" s="1"/>
  <c r="A2993" i="2"/>
  <c r="A2993" i="9" s="1"/>
  <c r="B2992" i="2"/>
  <c r="B2992" i="9" s="1"/>
  <c r="A2992" i="2"/>
  <c r="A2992" i="9" s="1"/>
  <c r="B2991" i="2"/>
  <c r="B2991" i="9" s="1"/>
  <c r="A2991" i="2"/>
  <c r="A2991" i="9" s="1"/>
  <c r="B2990" i="2"/>
  <c r="B2990" i="9" s="1"/>
  <c r="A2990" i="2"/>
  <c r="A2990" i="9" s="1"/>
  <c r="B2989" i="2"/>
  <c r="B2989" i="9" s="1"/>
  <c r="A2989" i="2"/>
  <c r="A2989" i="9" s="1"/>
  <c r="B2988" i="2"/>
  <c r="B2988" i="9" s="1"/>
  <c r="A2988" i="2"/>
  <c r="A2988" i="9" s="1"/>
  <c r="B2987" i="2"/>
  <c r="B2987" i="9" s="1"/>
  <c r="A2987" i="2"/>
  <c r="A2987" i="9" s="1"/>
  <c r="B2986" i="2"/>
  <c r="B2986" i="9" s="1"/>
  <c r="A2986" i="2"/>
  <c r="A2986" i="9" s="1"/>
  <c r="B2985" i="2"/>
  <c r="B2985" i="9" s="1"/>
  <c r="A2985" i="2"/>
  <c r="A2985" i="9" s="1"/>
  <c r="B2984" i="2"/>
  <c r="B2984" i="9" s="1"/>
  <c r="A2984" i="2"/>
  <c r="A2984" i="9" s="1"/>
  <c r="B2983" i="2"/>
  <c r="B2983" i="9" s="1"/>
  <c r="A2983" i="2"/>
  <c r="A2983" i="9" s="1"/>
  <c r="B2982" i="2"/>
  <c r="B2982" i="9" s="1"/>
  <c r="A2982" i="2"/>
  <c r="A2982" i="9" s="1"/>
  <c r="B2981" i="2"/>
  <c r="B2981" i="9" s="1"/>
  <c r="A2981" i="2"/>
  <c r="A2981" i="9" s="1"/>
  <c r="B2980" i="2"/>
  <c r="B2980" i="9" s="1"/>
  <c r="A2980" i="2"/>
  <c r="A2980" i="9" s="1"/>
  <c r="B2979" i="2"/>
  <c r="B2979" i="9" s="1"/>
  <c r="A2979" i="2"/>
  <c r="A2979" i="9" s="1"/>
  <c r="B2978" i="2"/>
  <c r="B2978" i="9" s="1"/>
  <c r="A2978" i="2"/>
  <c r="A2978" i="9" s="1"/>
  <c r="B2977" i="2"/>
  <c r="B2977" i="9" s="1"/>
  <c r="A2977" i="2"/>
  <c r="A2977" i="9" s="1"/>
  <c r="B2976" i="2"/>
  <c r="B2976" i="9" s="1"/>
  <c r="A2976" i="2"/>
  <c r="A2976" i="9" s="1"/>
  <c r="B2975" i="2"/>
  <c r="B2975" i="9" s="1"/>
  <c r="A2975" i="2"/>
  <c r="A2975" i="9" s="1"/>
  <c r="B2974" i="2"/>
  <c r="B2974" i="9" s="1"/>
  <c r="A2974" i="2"/>
  <c r="A2974" i="9" s="1"/>
  <c r="B2973" i="2"/>
  <c r="B2973" i="9" s="1"/>
  <c r="A2973" i="2"/>
  <c r="A2973" i="9" s="1"/>
  <c r="B2972" i="2"/>
  <c r="B2972" i="9" s="1"/>
  <c r="A2972" i="2"/>
  <c r="A2972" i="9" s="1"/>
  <c r="B2971" i="2"/>
  <c r="B2971" i="9" s="1"/>
  <c r="A2971" i="2"/>
  <c r="A2971" i="9" s="1"/>
  <c r="B2970" i="2"/>
  <c r="B2970" i="9" s="1"/>
  <c r="A2970" i="2"/>
  <c r="A2970" i="9" s="1"/>
  <c r="B2969" i="2"/>
  <c r="B2969" i="9" s="1"/>
  <c r="A2969" i="2"/>
  <c r="A2969" i="9" s="1"/>
  <c r="B2968" i="2"/>
  <c r="B2968" i="9" s="1"/>
  <c r="A2968" i="2"/>
  <c r="A2968" i="9" s="1"/>
  <c r="B2967" i="2"/>
  <c r="B2967" i="9" s="1"/>
  <c r="A2967" i="2"/>
  <c r="A2967" i="9" s="1"/>
  <c r="B2966" i="2"/>
  <c r="B2966" i="9" s="1"/>
  <c r="A2966" i="2"/>
  <c r="A2966" i="9" s="1"/>
  <c r="B2965" i="2"/>
  <c r="B2965" i="9" s="1"/>
  <c r="A2965" i="2"/>
  <c r="A2965" i="9" s="1"/>
  <c r="B2964" i="2"/>
  <c r="B2964" i="9" s="1"/>
  <c r="A2964" i="2"/>
  <c r="A2964" i="9" s="1"/>
  <c r="B2963" i="2"/>
  <c r="B2963" i="9" s="1"/>
  <c r="A2963" i="2"/>
  <c r="A2963" i="9" s="1"/>
  <c r="B2962" i="2"/>
  <c r="B2962" i="9" s="1"/>
  <c r="A2962" i="2"/>
  <c r="A2962" i="9" s="1"/>
  <c r="B2961" i="2"/>
  <c r="B2961" i="9" s="1"/>
  <c r="A2961" i="2"/>
  <c r="A2961" i="9" s="1"/>
  <c r="B2960" i="2"/>
  <c r="B2960" i="9" s="1"/>
  <c r="A2960" i="2"/>
  <c r="A2960" i="9" s="1"/>
  <c r="B2959" i="2"/>
  <c r="B2959" i="9" s="1"/>
  <c r="A2959" i="2"/>
  <c r="A2959" i="9" s="1"/>
  <c r="B2958" i="2"/>
  <c r="B2958" i="9" s="1"/>
  <c r="A2958" i="2"/>
  <c r="A2958" i="9" s="1"/>
  <c r="B2957" i="2"/>
  <c r="B2957" i="9" s="1"/>
  <c r="A2957" i="2"/>
  <c r="A2957" i="9" s="1"/>
  <c r="B2956" i="2"/>
  <c r="B2956" i="9" s="1"/>
  <c r="A2956" i="2"/>
  <c r="A2956" i="9" s="1"/>
  <c r="B2955" i="2"/>
  <c r="B2955" i="9" s="1"/>
  <c r="A2955" i="2"/>
  <c r="A2955" i="9" s="1"/>
  <c r="B2954" i="2"/>
  <c r="B2954" i="9" s="1"/>
  <c r="A2954" i="2"/>
  <c r="A2954" i="9" s="1"/>
  <c r="B2953" i="2"/>
  <c r="B2953" i="9" s="1"/>
  <c r="A2953" i="2"/>
  <c r="A2953" i="9" s="1"/>
  <c r="B2952" i="2"/>
  <c r="B2952" i="9" s="1"/>
  <c r="A2952" i="2"/>
  <c r="A2952" i="9" s="1"/>
  <c r="B2951" i="2"/>
  <c r="B2951" i="9" s="1"/>
  <c r="A2951" i="2"/>
  <c r="A2951" i="9" s="1"/>
  <c r="B2950" i="2"/>
  <c r="B2950" i="9" s="1"/>
  <c r="A2950" i="2"/>
  <c r="A2950" i="9" s="1"/>
  <c r="B2949" i="2"/>
  <c r="B2949" i="9" s="1"/>
  <c r="A2949" i="2"/>
  <c r="A2949" i="9" s="1"/>
  <c r="B2948" i="2"/>
  <c r="B2948" i="9" s="1"/>
  <c r="A2948" i="2"/>
  <c r="A2948" i="9" s="1"/>
  <c r="B2947" i="2"/>
  <c r="B2947" i="9" s="1"/>
  <c r="A2947" i="2"/>
  <c r="A2947" i="9" s="1"/>
  <c r="B2946" i="2"/>
  <c r="B2946" i="9" s="1"/>
  <c r="A2946" i="2"/>
  <c r="A2946" i="9" s="1"/>
  <c r="B2945" i="2"/>
  <c r="B2945" i="9" s="1"/>
  <c r="A2945" i="2"/>
  <c r="A2945" i="9" s="1"/>
  <c r="B2944" i="2"/>
  <c r="B2944" i="9" s="1"/>
  <c r="A2944" i="2"/>
  <c r="A2944" i="9" s="1"/>
  <c r="B2943" i="2"/>
  <c r="B2943" i="9" s="1"/>
  <c r="A2943" i="2"/>
  <c r="A2943" i="9" s="1"/>
  <c r="B2942" i="2"/>
  <c r="B2942" i="9" s="1"/>
  <c r="A2942" i="2"/>
  <c r="A2942" i="9" s="1"/>
  <c r="B2941" i="2"/>
  <c r="B2941" i="9" s="1"/>
  <c r="A2941" i="2"/>
  <c r="A2941" i="9" s="1"/>
  <c r="B2940" i="2"/>
  <c r="B2940" i="9" s="1"/>
  <c r="A2940" i="2"/>
  <c r="A2940" i="9" s="1"/>
  <c r="B2939" i="2"/>
  <c r="B2939" i="9" s="1"/>
  <c r="A2939" i="2"/>
  <c r="A2939" i="9" s="1"/>
  <c r="B2938" i="2"/>
  <c r="B2938" i="9" s="1"/>
  <c r="A2938" i="2"/>
  <c r="A2938" i="9" s="1"/>
  <c r="B2937" i="2"/>
  <c r="B2937" i="9" s="1"/>
  <c r="A2937" i="2"/>
  <c r="A2937" i="9" s="1"/>
  <c r="B2936" i="2"/>
  <c r="B2936" i="9" s="1"/>
  <c r="A2936" i="2"/>
  <c r="A2936" i="9" s="1"/>
  <c r="B2935" i="2"/>
  <c r="B2935" i="9" s="1"/>
  <c r="A2935" i="2"/>
  <c r="A2935" i="9" s="1"/>
  <c r="B2934" i="2"/>
  <c r="B2934" i="9" s="1"/>
  <c r="A2934" i="2"/>
  <c r="A2934" i="9" s="1"/>
  <c r="B2933" i="2"/>
  <c r="B2933" i="9" s="1"/>
  <c r="A2933" i="2"/>
  <c r="A2933" i="9" s="1"/>
  <c r="B2932" i="2"/>
  <c r="B2932" i="9" s="1"/>
  <c r="A2932" i="2"/>
  <c r="A2932" i="9" s="1"/>
  <c r="B2931" i="2"/>
  <c r="B2931" i="9" s="1"/>
  <c r="A2931" i="2"/>
  <c r="A2931" i="9" s="1"/>
  <c r="B2930" i="2"/>
  <c r="B2930" i="9" s="1"/>
  <c r="A2930" i="2"/>
  <c r="A2930" i="9" s="1"/>
  <c r="B2929" i="2"/>
  <c r="B2929" i="9" s="1"/>
  <c r="A2929" i="2"/>
  <c r="A2929" i="9" s="1"/>
  <c r="B2928" i="2"/>
  <c r="B2928" i="9" s="1"/>
  <c r="A2928" i="2"/>
  <c r="A2928" i="9" s="1"/>
  <c r="B2927" i="2"/>
  <c r="B2927" i="9" s="1"/>
  <c r="A2927" i="2"/>
  <c r="A2927" i="9" s="1"/>
  <c r="B2926" i="2"/>
  <c r="B2926" i="9" s="1"/>
  <c r="A2926" i="2"/>
  <c r="A2926" i="9" s="1"/>
  <c r="B2925" i="2"/>
  <c r="B2925" i="9" s="1"/>
  <c r="A2925" i="2"/>
  <c r="A2925" i="9" s="1"/>
  <c r="B2924" i="2"/>
  <c r="B2924" i="9" s="1"/>
  <c r="A2924" i="2"/>
  <c r="A2924" i="9" s="1"/>
  <c r="B2923" i="2"/>
  <c r="B2923" i="9" s="1"/>
  <c r="A2923" i="2"/>
  <c r="A2923" i="9" s="1"/>
  <c r="B2922" i="2"/>
  <c r="B2922" i="9" s="1"/>
  <c r="A2922" i="2"/>
  <c r="A2922" i="9" s="1"/>
  <c r="B2921" i="2"/>
  <c r="B2921" i="9" s="1"/>
  <c r="A2921" i="2"/>
  <c r="A2921" i="9" s="1"/>
  <c r="B2920" i="2"/>
  <c r="B2920" i="9" s="1"/>
  <c r="A2920" i="2"/>
  <c r="A2920" i="9" s="1"/>
  <c r="B2919" i="2"/>
  <c r="B2919" i="9" s="1"/>
  <c r="A2919" i="2"/>
  <c r="A2919" i="9" s="1"/>
  <c r="B2918" i="2"/>
  <c r="B2918" i="9" s="1"/>
  <c r="A2918" i="2"/>
  <c r="A2918" i="9" s="1"/>
  <c r="B2917" i="2"/>
  <c r="B2917" i="9" s="1"/>
  <c r="A2917" i="2"/>
  <c r="A2917" i="9" s="1"/>
  <c r="B2916" i="2"/>
  <c r="B2916" i="9" s="1"/>
  <c r="A2916" i="2"/>
  <c r="A2916" i="9" s="1"/>
  <c r="B2915" i="2"/>
  <c r="B2915" i="9" s="1"/>
  <c r="A2915" i="2"/>
  <c r="A2915" i="9" s="1"/>
  <c r="B2914" i="2"/>
  <c r="B2914" i="9" s="1"/>
  <c r="A2914" i="2"/>
  <c r="A2914" i="9" s="1"/>
  <c r="B2913" i="2"/>
  <c r="B2913" i="9" s="1"/>
  <c r="A2913" i="2"/>
  <c r="A2913" i="9" s="1"/>
  <c r="B2912" i="2"/>
  <c r="B2912" i="9" s="1"/>
  <c r="A2912" i="2"/>
  <c r="A2912" i="9" s="1"/>
  <c r="B2911" i="2"/>
  <c r="B2911" i="9" s="1"/>
  <c r="A2911" i="2"/>
  <c r="A2911" i="9" s="1"/>
  <c r="B2910" i="2"/>
  <c r="B2910" i="9" s="1"/>
  <c r="A2910" i="2"/>
  <c r="A2910" i="9" s="1"/>
  <c r="B2909" i="2"/>
  <c r="B2909" i="9" s="1"/>
  <c r="A2909" i="2"/>
  <c r="A2909" i="9" s="1"/>
  <c r="B2908" i="2"/>
  <c r="B2908" i="9" s="1"/>
  <c r="A2908" i="2"/>
  <c r="A2908" i="9" s="1"/>
  <c r="B2907" i="2"/>
  <c r="B2907" i="9" s="1"/>
  <c r="A2907" i="2"/>
  <c r="A2907" i="9" s="1"/>
  <c r="B2906" i="2"/>
  <c r="B2906" i="9" s="1"/>
  <c r="A2906" i="2"/>
  <c r="A2906" i="9" s="1"/>
  <c r="B2905" i="2"/>
  <c r="B2905" i="9" s="1"/>
  <c r="A2905" i="2"/>
  <c r="A2905" i="9" s="1"/>
  <c r="B2904" i="2"/>
  <c r="B2904" i="9" s="1"/>
  <c r="A2904" i="2"/>
  <c r="A2904" i="9" s="1"/>
  <c r="B2903" i="2"/>
  <c r="B2903" i="9" s="1"/>
  <c r="A2903" i="2"/>
  <c r="A2903" i="9" s="1"/>
  <c r="B2902" i="2"/>
  <c r="B2902" i="9" s="1"/>
  <c r="A2902" i="2"/>
  <c r="A2902" i="9" s="1"/>
  <c r="B2901" i="2"/>
  <c r="B2901" i="9" s="1"/>
  <c r="A2901" i="2"/>
  <c r="A2901" i="9" s="1"/>
  <c r="B2900" i="2"/>
  <c r="B2900" i="9" s="1"/>
  <c r="A2900" i="2"/>
  <c r="A2900" i="9" s="1"/>
  <c r="B2899" i="2"/>
  <c r="B2899" i="9" s="1"/>
  <c r="A2899" i="2"/>
  <c r="A2899" i="9" s="1"/>
  <c r="B2898" i="2"/>
  <c r="B2898" i="9" s="1"/>
  <c r="A2898" i="2"/>
  <c r="A2898" i="9" s="1"/>
  <c r="B2897" i="2"/>
  <c r="B2897" i="9" s="1"/>
  <c r="A2897" i="2"/>
  <c r="A2897" i="9" s="1"/>
  <c r="B2896" i="2"/>
  <c r="B2896" i="9" s="1"/>
  <c r="A2896" i="2"/>
  <c r="A2896" i="9" s="1"/>
  <c r="B2895" i="2"/>
  <c r="B2895" i="9" s="1"/>
  <c r="A2895" i="2"/>
  <c r="A2895" i="9" s="1"/>
  <c r="B2894" i="2"/>
  <c r="B2894" i="9" s="1"/>
  <c r="A2894" i="2"/>
  <c r="A2894" i="9" s="1"/>
  <c r="B2893" i="2"/>
  <c r="B2893" i="9" s="1"/>
  <c r="A2893" i="2"/>
  <c r="A2893" i="9" s="1"/>
  <c r="B2892" i="2"/>
  <c r="B2892" i="9" s="1"/>
  <c r="A2892" i="2"/>
  <c r="A2892" i="9" s="1"/>
  <c r="B2891" i="2"/>
  <c r="B2891" i="9" s="1"/>
  <c r="A2891" i="2"/>
  <c r="A2891" i="9" s="1"/>
  <c r="B2890" i="2"/>
  <c r="B2890" i="9" s="1"/>
  <c r="A2890" i="2"/>
  <c r="A2890" i="9" s="1"/>
  <c r="B2889" i="2"/>
  <c r="B2889" i="9" s="1"/>
  <c r="A2889" i="2"/>
  <c r="A2889" i="9" s="1"/>
  <c r="B2888" i="2"/>
  <c r="B2888" i="9" s="1"/>
  <c r="A2888" i="2"/>
  <c r="A2888" i="9" s="1"/>
  <c r="B2887" i="2"/>
  <c r="B2887" i="9" s="1"/>
  <c r="A2887" i="2"/>
  <c r="A2887" i="9" s="1"/>
  <c r="B2886" i="2"/>
  <c r="B2886" i="9" s="1"/>
  <c r="A2886" i="2"/>
  <c r="A2886" i="9" s="1"/>
  <c r="B2885" i="2"/>
  <c r="B2885" i="9" s="1"/>
  <c r="A2885" i="2"/>
  <c r="A2885" i="9" s="1"/>
  <c r="B2884" i="2"/>
  <c r="B2884" i="9" s="1"/>
  <c r="A2884" i="2"/>
  <c r="A2884" i="9" s="1"/>
  <c r="B2883" i="2"/>
  <c r="B2883" i="9" s="1"/>
  <c r="A2883" i="2"/>
  <c r="A2883" i="9" s="1"/>
  <c r="B2882" i="2"/>
  <c r="B2882" i="9" s="1"/>
  <c r="A2882" i="2"/>
  <c r="A2882" i="9" s="1"/>
  <c r="B2881" i="2"/>
  <c r="B2881" i="9" s="1"/>
  <c r="A2881" i="2"/>
  <c r="A2881" i="9" s="1"/>
  <c r="B2880" i="2"/>
  <c r="B2880" i="9" s="1"/>
  <c r="A2880" i="2"/>
  <c r="A2880" i="9" s="1"/>
  <c r="B2879" i="2"/>
  <c r="B2879" i="9" s="1"/>
  <c r="A2879" i="2"/>
  <c r="A2879" i="9" s="1"/>
  <c r="B2878" i="2"/>
  <c r="B2878" i="9" s="1"/>
  <c r="A2878" i="2"/>
  <c r="A2878" i="9" s="1"/>
  <c r="B2877" i="2"/>
  <c r="B2877" i="9" s="1"/>
  <c r="A2877" i="2"/>
  <c r="A2877" i="9" s="1"/>
  <c r="B2876" i="2"/>
  <c r="B2876" i="9" s="1"/>
  <c r="A2876" i="2"/>
  <c r="A2876" i="9" s="1"/>
  <c r="B2875" i="2"/>
  <c r="B2875" i="9" s="1"/>
  <c r="A2875" i="2"/>
  <c r="A2875" i="9" s="1"/>
  <c r="B2874" i="2"/>
  <c r="B2874" i="9" s="1"/>
  <c r="A2874" i="2"/>
  <c r="A2874" i="9" s="1"/>
  <c r="B2873" i="2"/>
  <c r="B2873" i="9" s="1"/>
  <c r="A2873" i="2"/>
  <c r="A2873" i="9" s="1"/>
  <c r="B2872" i="2"/>
  <c r="B2872" i="9" s="1"/>
  <c r="A2872" i="2"/>
  <c r="A2872" i="9" s="1"/>
  <c r="B2871" i="2"/>
  <c r="B2871" i="9" s="1"/>
  <c r="A2871" i="2"/>
  <c r="A2871" i="9" s="1"/>
  <c r="B2870" i="2"/>
  <c r="B2870" i="9" s="1"/>
  <c r="A2870" i="2"/>
  <c r="A2870" i="9" s="1"/>
  <c r="B2869" i="2"/>
  <c r="B2869" i="9" s="1"/>
  <c r="A2869" i="2"/>
  <c r="A2869" i="9" s="1"/>
  <c r="B2868" i="2"/>
  <c r="B2868" i="9" s="1"/>
  <c r="A2868" i="2"/>
  <c r="A2868" i="9" s="1"/>
  <c r="B2867" i="2"/>
  <c r="B2867" i="9" s="1"/>
  <c r="A2867" i="2"/>
  <c r="A2867" i="9" s="1"/>
  <c r="B2866" i="2"/>
  <c r="B2866" i="9" s="1"/>
  <c r="A2866" i="2"/>
  <c r="A2866" i="9" s="1"/>
  <c r="B2865" i="2"/>
  <c r="B2865" i="9" s="1"/>
  <c r="A2865" i="2"/>
  <c r="A2865" i="9" s="1"/>
  <c r="B2864" i="2"/>
  <c r="B2864" i="9" s="1"/>
  <c r="A2864" i="2"/>
  <c r="A2864" i="9" s="1"/>
  <c r="B2863" i="2"/>
  <c r="B2863" i="9" s="1"/>
  <c r="A2863" i="2"/>
  <c r="A2863" i="9" s="1"/>
  <c r="B2862" i="2"/>
  <c r="B2862" i="9" s="1"/>
  <c r="A2862" i="2"/>
  <c r="A2862" i="9" s="1"/>
  <c r="B2861" i="2"/>
  <c r="B2861" i="9" s="1"/>
  <c r="A2861" i="2"/>
  <c r="A2861" i="9" s="1"/>
  <c r="B2860" i="2"/>
  <c r="B2860" i="9" s="1"/>
  <c r="A2860" i="2"/>
  <c r="A2860" i="9" s="1"/>
  <c r="B2859" i="2"/>
  <c r="B2859" i="9" s="1"/>
  <c r="A2859" i="2"/>
  <c r="A2859" i="9" s="1"/>
  <c r="B2858" i="2"/>
  <c r="B2858" i="9" s="1"/>
  <c r="A2858" i="2"/>
  <c r="A2858" i="9" s="1"/>
  <c r="B2857" i="2"/>
  <c r="B2857" i="9" s="1"/>
  <c r="A2857" i="2"/>
  <c r="A2857" i="9" s="1"/>
  <c r="B2856" i="2"/>
  <c r="B2856" i="9" s="1"/>
  <c r="A2856" i="2"/>
  <c r="A2856" i="9" s="1"/>
  <c r="B2855" i="2"/>
  <c r="B2855" i="9" s="1"/>
  <c r="A2855" i="2"/>
  <c r="A2855" i="9" s="1"/>
  <c r="B2854" i="2"/>
  <c r="B2854" i="9" s="1"/>
  <c r="A2854" i="2"/>
  <c r="A2854" i="9" s="1"/>
  <c r="B2853" i="2"/>
  <c r="B2853" i="9" s="1"/>
  <c r="A2853" i="2"/>
  <c r="A2853" i="9" s="1"/>
  <c r="B2852" i="2"/>
  <c r="B2852" i="9" s="1"/>
  <c r="A2852" i="2"/>
  <c r="A2852" i="9" s="1"/>
  <c r="B2851" i="2"/>
  <c r="B2851" i="9" s="1"/>
  <c r="A2851" i="2"/>
  <c r="A2851" i="9" s="1"/>
  <c r="B2850" i="2"/>
  <c r="B2850" i="9" s="1"/>
  <c r="A2850" i="2"/>
  <c r="A2850" i="9" s="1"/>
  <c r="B2849" i="2"/>
  <c r="B2849" i="9" s="1"/>
  <c r="A2849" i="2"/>
  <c r="A2849" i="9" s="1"/>
  <c r="B2848" i="2"/>
  <c r="B2848" i="9" s="1"/>
  <c r="A2848" i="2"/>
  <c r="A2848" i="9" s="1"/>
  <c r="B2847" i="2"/>
  <c r="B2847" i="9" s="1"/>
  <c r="A2847" i="2"/>
  <c r="A2847" i="9" s="1"/>
  <c r="B2846" i="2"/>
  <c r="B2846" i="9" s="1"/>
  <c r="A2846" i="2"/>
  <c r="A2846" i="9" s="1"/>
  <c r="B2845" i="2"/>
  <c r="B2845" i="9" s="1"/>
  <c r="A2845" i="2"/>
  <c r="A2845" i="9" s="1"/>
  <c r="B2844" i="2"/>
  <c r="B2844" i="9" s="1"/>
  <c r="A2844" i="2"/>
  <c r="A2844" i="9" s="1"/>
  <c r="B2843" i="2"/>
  <c r="B2843" i="9" s="1"/>
  <c r="A2843" i="2"/>
  <c r="A2843" i="9" s="1"/>
  <c r="B2842" i="2"/>
  <c r="B2842" i="9" s="1"/>
  <c r="A2842" i="2"/>
  <c r="A2842" i="9" s="1"/>
  <c r="B2841" i="2"/>
  <c r="B2841" i="9" s="1"/>
  <c r="A2841" i="2"/>
  <c r="A2841" i="9" s="1"/>
  <c r="B2840" i="2"/>
  <c r="B2840" i="9" s="1"/>
  <c r="A2840" i="2"/>
  <c r="A2840" i="9" s="1"/>
  <c r="B2839" i="2"/>
  <c r="B2839" i="9" s="1"/>
  <c r="A2839" i="2"/>
  <c r="A2839" i="9" s="1"/>
  <c r="B2838" i="2"/>
  <c r="B2838" i="9" s="1"/>
  <c r="A2838" i="2"/>
  <c r="A2838" i="9" s="1"/>
  <c r="B2837" i="2"/>
  <c r="B2837" i="9" s="1"/>
  <c r="A2837" i="2"/>
  <c r="A2837" i="9" s="1"/>
  <c r="B2836" i="2"/>
  <c r="B2836" i="9" s="1"/>
  <c r="A2836" i="2"/>
  <c r="A2836" i="9" s="1"/>
  <c r="B2835" i="2"/>
  <c r="B2835" i="9" s="1"/>
  <c r="A2835" i="2"/>
  <c r="A2835" i="9" s="1"/>
  <c r="B2834" i="2"/>
  <c r="B2834" i="9" s="1"/>
  <c r="A2834" i="2"/>
  <c r="A2834" i="9" s="1"/>
  <c r="B2833" i="2"/>
  <c r="B2833" i="9" s="1"/>
  <c r="A2833" i="2"/>
  <c r="A2833" i="9" s="1"/>
  <c r="B2832" i="2"/>
  <c r="B2832" i="9" s="1"/>
  <c r="A2832" i="2"/>
  <c r="A2832" i="9" s="1"/>
  <c r="B2831" i="2"/>
  <c r="B2831" i="9" s="1"/>
  <c r="A2831" i="2"/>
  <c r="A2831" i="9" s="1"/>
  <c r="B2830" i="2"/>
  <c r="B2830" i="9" s="1"/>
  <c r="A2830" i="2"/>
  <c r="A2830" i="9" s="1"/>
  <c r="B2829" i="2"/>
  <c r="B2829" i="9" s="1"/>
  <c r="A2829" i="2"/>
  <c r="A2829" i="9" s="1"/>
  <c r="B2828" i="2"/>
  <c r="B2828" i="9" s="1"/>
  <c r="A2828" i="2"/>
  <c r="A2828" i="9" s="1"/>
  <c r="B2827" i="2"/>
  <c r="B2827" i="9" s="1"/>
  <c r="A2827" i="2"/>
  <c r="A2827" i="9" s="1"/>
  <c r="B2826" i="2"/>
  <c r="B2826" i="9" s="1"/>
  <c r="A2826" i="2"/>
  <c r="A2826" i="9" s="1"/>
  <c r="B2825" i="2"/>
  <c r="B2825" i="9" s="1"/>
  <c r="A2825" i="2"/>
  <c r="A2825" i="9" s="1"/>
  <c r="B2824" i="2"/>
  <c r="B2824" i="9" s="1"/>
  <c r="A2824" i="2"/>
  <c r="A2824" i="9" s="1"/>
  <c r="B2823" i="2"/>
  <c r="B2823" i="9" s="1"/>
  <c r="A2823" i="2"/>
  <c r="A2823" i="9" s="1"/>
  <c r="B2822" i="2"/>
  <c r="B2822" i="9" s="1"/>
  <c r="A2822" i="2"/>
  <c r="A2822" i="9" s="1"/>
  <c r="B2821" i="2"/>
  <c r="B2821" i="9" s="1"/>
  <c r="A2821" i="2"/>
  <c r="A2821" i="9" s="1"/>
  <c r="B2820" i="2"/>
  <c r="B2820" i="9" s="1"/>
  <c r="A2820" i="2"/>
  <c r="A2820" i="9" s="1"/>
  <c r="B2819" i="2"/>
  <c r="B2819" i="9" s="1"/>
  <c r="A2819" i="2"/>
  <c r="A2819" i="9" s="1"/>
  <c r="B2818" i="2"/>
  <c r="B2818" i="9" s="1"/>
  <c r="A2818" i="2"/>
  <c r="A2818" i="9" s="1"/>
  <c r="B2817" i="2"/>
  <c r="B2817" i="9" s="1"/>
  <c r="A2817" i="2"/>
  <c r="A2817" i="9" s="1"/>
  <c r="B2816" i="2"/>
  <c r="B2816" i="9" s="1"/>
  <c r="A2816" i="2"/>
  <c r="A2816" i="9" s="1"/>
  <c r="B2815" i="2"/>
  <c r="B2815" i="9" s="1"/>
  <c r="A2815" i="2"/>
  <c r="A2815" i="9" s="1"/>
  <c r="B2814" i="2"/>
  <c r="B2814" i="9" s="1"/>
  <c r="A2814" i="2"/>
  <c r="A2814" i="9" s="1"/>
  <c r="B2813" i="2"/>
  <c r="B2813" i="9" s="1"/>
  <c r="A2813" i="2"/>
  <c r="A2813" i="9" s="1"/>
  <c r="B2812" i="2"/>
  <c r="B2812" i="9" s="1"/>
  <c r="A2812" i="2"/>
  <c r="A2812" i="9" s="1"/>
  <c r="B2811" i="2"/>
  <c r="B2811" i="9" s="1"/>
  <c r="A2811" i="2"/>
  <c r="A2811" i="9" s="1"/>
  <c r="B2810" i="2"/>
  <c r="B2810" i="9" s="1"/>
  <c r="A2810" i="2"/>
  <c r="A2810" i="9" s="1"/>
  <c r="B2809" i="2"/>
  <c r="B2809" i="9" s="1"/>
  <c r="A2809" i="2"/>
  <c r="A2809" i="9" s="1"/>
  <c r="B2808" i="2"/>
  <c r="B2808" i="9" s="1"/>
  <c r="A2808" i="2"/>
  <c r="A2808" i="9" s="1"/>
  <c r="B2807" i="2"/>
  <c r="B2807" i="9" s="1"/>
  <c r="A2807" i="2"/>
  <c r="A2807" i="9" s="1"/>
  <c r="B2806" i="2"/>
  <c r="B2806" i="9" s="1"/>
  <c r="A2806" i="2"/>
  <c r="A2806" i="9" s="1"/>
  <c r="B2805" i="2"/>
  <c r="B2805" i="9" s="1"/>
  <c r="A2805" i="2"/>
  <c r="A2805" i="9" s="1"/>
  <c r="B2804" i="2"/>
  <c r="B2804" i="9" s="1"/>
  <c r="A2804" i="2"/>
  <c r="A2804" i="9" s="1"/>
  <c r="B2803" i="2"/>
  <c r="B2803" i="9" s="1"/>
  <c r="A2803" i="2"/>
  <c r="A2803" i="9" s="1"/>
  <c r="B2802" i="2"/>
  <c r="B2802" i="9" s="1"/>
  <c r="A2802" i="2"/>
  <c r="A2802" i="9" s="1"/>
  <c r="B2801" i="2"/>
  <c r="B2801" i="9" s="1"/>
  <c r="A2801" i="2"/>
  <c r="A2801" i="9" s="1"/>
  <c r="B2800" i="2"/>
  <c r="B2800" i="9" s="1"/>
  <c r="A2800" i="2"/>
  <c r="A2800" i="9" s="1"/>
  <c r="B2799" i="2"/>
  <c r="B2799" i="9" s="1"/>
  <c r="A2799" i="2"/>
  <c r="A2799" i="9" s="1"/>
  <c r="B2798" i="2"/>
  <c r="B2798" i="9" s="1"/>
  <c r="A2798" i="2"/>
  <c r="A2798" i="9" s="1"/>
  <c r="B2797" i="2"/>
  <c r="B2797" i="9" s="1"/>
  <c r="A2797" i="2"/>
  <c r="A2797" i="9" s="1"/>
  <c r="B2796" i="2"/>
  <c r="B2796" i="9" s="1"/>
  <c r="A2796" i="2"/>
  <c r="A2796" i="9" s="1"/>
  <c r="B2795" i="2"/>
  <c r="B2795" i="9" s="1"/>
  <c r="A2795" i="2"/>
  <c r="A2795" i="9" s="1"/>
  <c r="B2794" i="2"/>
  <c r="B2794" i="9" s="1"/>
  <c r="A2794" i="2"/>
  <c r="A2794" i="9" s="1"/>
  <c r="B2793" i="2"/>
  <c r="B2793" i="9" s="1"/>
  <c r="A2793" i="2"/>
  <c r="A2793" i="9" s="1"/>
  <c r="B2792" i="2"/>
  <c r="B2792" i="9" s="1"/>
  <c r="A2792" i="2"/>
  <c r="A2792" i="9" s="1"/>
  <c r="B2791" i="2"/>
  <c r="B2791" i="9" s="1"/>
  <c r="A2791" i="2"/>
  <c r="A2791" i="9" s="1"/>
  <c r="B2790" i="2"/>
  <c r="B2790" i="9" s="1"/>
  <c r="A2790" i="2"/>
  <c r="A2790" i="9" s="1"/>
  <c r="B2789" i="2"/>
  <c r="B2789" i="9" s="1"/>
  <c r="A2789" i="2"/>
  <c r="A2789" i="9" s="1"/>
  <c r="B2788" i="2"/>
  <c r="B2788" i="9" s="1"/>
  <c r="A2788" i="2"/>
  <c r="A2788" i="9" s="1"/>
  <c r="B2787" i="2"/>
  <c r="B2787" i="9" s="1"/>
  <c r="A2787" i="2"/>
  <c r="A2787" i="9" s="1"/>
  <c r="B2786" i="2"/>
  <c r="B2786" i="9" s="1"/>
  <c r="A2786" i="2"/>
  <c r="A2786" i="9" s="1"/>
  <c r="B2785" i="2"/>
  <c r="B2785" i="9" s="1"/>
  <c r="A2785" i="2"/>
  <c r="A2785" i="9" s="1"/>
  <c r="B2784" i="2"/>
  <c r="B2784" i="9" s="1"/>
  <c r="A2784" i="2"/>
  <c r="A2784" i="9" s="1"/>
  <c r="B2783" i="2"/>
  <c r="B2783" i="9" s="1"/>
  <c r="A2783" i="2"/>
  <c r="A2783" i="9" s="1"/>
  <c r="B2782" i="2"/>
  <c r="B2782" i="9" s="1"/>
  <c r="A2782" i="2"/>
  <c r="A2782" i="9" s="1"/>
  <c r="B2781" i="2"/>
  <c r="B2781" i="9" s="1"/>
  <c r="A2781" i="2"/>
  <c r="A2781" i="9" s="1"/>
  <c r="B2780" i="2"/>
  <c r="B2780" i="9" s="1"/>
  <c r="A2780" i="2"/>
  <c r="A2780" i="9" s="1"/>
  <c r="B2779" i="2"/>
  <c r="B2779" i="9" s="1"/>
  <c r="A2779" i="2"/>
  <c r="A2779" i="9" s="1"/>
  <c r="B2778" i="2"/>
  <c r="B2778" i="9" s="1"/>
  <c r="A2778" i="2"/>
  <c r="A2778" i="9" s="1"/>
  <c r="B2777" i="2"/>
  <c r="B2777" i="9" s="1"/>
  <c r="A2777" i="2"/>
  <c r="A2777" i="9" s="1"/>
  <c r="B2776" i="2"/>
  <c r="B2776" i="9" s="1"/>
  <c r="A2776" i="2"/>
  <c r="A2776" i="9" s="1"/>
  <c r="B2775" i="2"/>
  <c r="B2775" i="9" s="1"/>
  <c r="A2775" i="2"/>
  <c r="A2775" i="9" s="1"/>
  <c r="B2774" i="2"/>
  <c r="B2774" i="9" s="1"/>
  <c r="A2774" i="2"/>
  <c r="A2774" i="9" s="1"/>
  <c r="B2773" i="2"/>
  <c r="B2773" i="9" s="1"/>
  <c r="A2773" i="2"/>
  <c r="A2773" i="9" s="1"/>
  <c r="B2772" i="2"/>
  <c r="B2772" i="9" s="1"/>
  <c r="A2772" i="2"/>
  <c r="A2772" i="9" s="1"/>
  <c r="B2771" i="2"/>
  <c r="B2771" i="9" s="1"/>
  <c r="A2771" i="2"/>
  <c r="A2771" i="9" s="1"/>
  <c r="B2770" i="2"/>
  <c r="B2770" i="9" s="1"/>
  <c r="A2770" i="2"/>
  <c r="A2770" i="9" s="1"/>
  <c r="B2769" i="2"/>
  <c r="B2769" i="9" s="1"/>
  <c r="A2769" i="2"/>
  <c r="A2769" i="9" s="1"/>
  <c r="B2768" i="2"/>
  <c r="B2768" i="9" s="1"/>
  <c r="A2768" i="2"/>
  <c r="A2768" i="9" s="1"/>
  <c r="B2767" i="2"/>
  <c r="B2767" i="9" s="1"/>
  <c r="A2767" i="2"/>
  <c r="A2767" i="9" s="1"/>
  <c r="B2766" i="2"/>
  <c r="B2766" i="9" s="1"/>
  <c r="A2766" i="2"/>
  <c r="A2766" i="9" s="1"/>
  <c r="B2765" i="2"/>
  <c r="B2765" i="9" s="1"/>
  <c r="A2765" i="2"/>
  <c r="A2765" i="9" s="1"/>
  <c r="B2764" i="2"/>
  <c r="B2764" i="9" s="1"/>
  <c r="A2764" i="2"/>
  <c r="A2764" i="9" s="1"/>
  <c r="B2763" i="2"/>
  <c r="B2763" i="9" s="1"/>
  <c r="A2763" i="2"/>
  <c r="A2763" i="9" s="1"/>
  <c r="B2762" i="2"/>
  <c r="B2762" i="9" s="1"/>
  <c r="A2762" i="2"/>
  <c r="A2762" i="9" s="1"/>
  <c r="B2761" i="2"/>
  <c r="B2761" i="9" s="1"/>
  <c r="A2761" i="2"/>
  <c r="A2761" i="9" s="1"/>
  <c r="B2760" i="2"/>
  <c r="B2760" i="9" s="1"/>
  <c r="A2760" i="2"/>
  <c r="A2760" i="9" s="1"/>
  <c r="B2759" i="2"/>
  <c r="B2759" i="9" s="1"/>
  <c r="A2759" i="2"/>
  <c r="A2759" i="9" s="1"/>
  <c r="B2758" i="2"/>
  <c r="B2758" i="9" s="1"/>
  <c r="A2758" i="2"/>
  <c r="A2758" i="9" s="1"/>
  <c r="B2757" i="2"/>
  <c r="B2757" i="9" s="1"/>
  <c r="A2757" i="2"/>
  <c r="A2757" i="9" s="1"/>
  <c r="B2756" i="2"/>
  <c r="B2756" i="9" s="1"/>
  <c r="A2756" i="2"/>
  <c r="A2756" i="9" s="1"/>
  <c r="B2755" i="2"/>
  <c r="B2755" i="9" s="1"/>
  <c r="A2755" i="2"/>
  <c r="A2755" i="9" s="1"/>
  <c r="B2754" i="2"/>
  <c r="B2754" i="9" s="1"/>
  <c r="A2754" i="2"/>
  <c r="A2754" i="9" s="1"/>
  <c r="B2753" i="2"/>
  <c r="B2753" i="9" s="1"/>
  <c r="A2753" i="2"/>
  <c r="A2753" i="9" s="1"/>
  <c r="B2752" i="2"/>
  <c r="B2752" i="9" s="1"/>
  <c r="A2752" i="2"/>
  <c r="A2752" i="9" s="1"/>
  <c r="B2751" i="2"/>
  <c r="B2751" i="9" s="1"/>
  <c r="A2751" i="2"/>
  <c r="A2751" i="9" s="1"/>
  <c r="B2750" i="2"/>
  <c r="B2750" i="9" s="1"/>
  <c r="A2750" i="2"/>
  <c r="A2750" i="9" s="1"/>
  <c r="B2749" i="2"/>
  <c r="B2749" i="9" s="1"/>
  <c r="A2749" i="2"/>
  <c r="A2749" i="9" s="1"/>
  <c r="B2748" i="2"/>
  <c r="B2748" i="9" s="1"/>
  <c r="A2748" i="2"/>
  <c r="A2748" i="9" s="1"/>
  <c r="B2747" i="2"/>
  <c r="B2747" i="9" s="1"/>
  <c r="A2747" i="2"/>
  <c r="A2747" i="9" s="1"/>
  <c r="B2746" i="2"/>
  <c r="B2746" i="9" s="1"/>
  <c r="A2746" i="2"/>
  <c r="A2746" i="9" s="1"/>
  <c r="B2745" i="2"/>
  <c r="B2745" i="9" s="1"/>
  <c r="A2745" i="2"/>
  <c r="A2745" i="9" s="1"/>
  <c r="B2744" i="2"/>
  <c r="B2744" i="9" s="1"/>
  <c r="A2744" i="2"/>
  <c r="A2744" i="9" s="1"/>
  <c r="B2743" i="2"/>
  <c r="B2743" i="9" s="1"/>
  <c r="A2743" i="2"/>
  <c r="A2743" i="9" s="1"/>
  <c r="B2742" i="2"/>
  <c r="B2742" i="9" s="1"/>
  <c r="A2742" i="2"/>
  <c r="A2742" i="9" s="1"/>
  <c r="B2741" i="2"/>
  <c r="B2741" i="9" s="1"/>
  <c r="A2741" i="2"/>
  <c r="A2741" i="9" s="1"/>
  <c r="B2740" i="2"/>
  <c r="B2740" i="9" s="1"/>
  <c r="A2740" i="2"/>
  <c r="A2740" i="9" s="1"/>
  <c r="B2739" i="2"/>
  <c r="B2739" i="9" s="1"/>
  <c r="A2739" i="2"/>
  <c r="A2739" i="9" s="1"/>
  <c r="B2738" i="2"/>
  <c r="B2738" i="9" s="1"/>
  <c r="A2738" i="2"/>
  <c r="A2738" i="9" s="1"/>
  <c r="B2737" i="2"/>
  <c r="B2737" i="9" s="1"/>
  <c r="A2737" i="2"/>
  <c r="A2737" i="9" s="1"/>
  <c r="B2736" i="2"/>
  <c r="B2736" i="9" s="1"/>
  <c r="A2736" i="2"/>
  <c r="A2736" i="9" s="1"/>
  <c r="B2735" i="2"/>
  <c r="B2735" i="9" s="1"/>
  <c r="A2735" i="2"/>
  <c r="A2735" i="9" s="1"/>
  <c r="B2734" i="2"/>
  <c r="B2734" i="9" s="1"/>
  <c r="A2734" i="2"/>
  <c r="A2734" i="9" s="1"/>
  <c r="B2733" i="2"/>
  <c r="B2733" i="9" s="1"/>
  <c r="A2733" i="2"/>
  <c r="A2733" i="9" s="1"/>
  <c r="B2732" i="2"/>
  <c r="B2732" i="9" s="1"/>
  <c r="A2732" i="2"/>
  <c r="A2732" i="9" s="1"/>
  <c r="B2731" i="2"/>
  <c r="B2731" i="9" s="1"/>
  <c r="A2731" i="2"/>
  <c r="A2731" i="9" s="1"/>
  <c r="B2730" i="2"/>
  <c r="B2730" i="9" s="1"/>
  <c r="A2730" i="2"/>
  <c r="A2730" i="9" s="1"/>
  <c r="B2729" i="2"/>
  <c r="B2729" i="9" s="1"/>
  <c r="A2729" i="2"/>
  <c r="A2729" i="9" s="1"/>
  <c r="B2728" i="2"/>
  <c r="B2728" i="9" s="1"/>
  <c r="A2728" i="2"/>
  <c r="A2728" i="9" s="1"/>
  <c r="B2727" i="2"/>
  <c r="B2727" i="9" s="1"/>
  <c r="A2727" i="2"/>
  <c r="A2727" i="9" s="1"/>
  <c r="B2726" i="2"/>
  <c r="B2726" i="9" s="1"/>
  <c r="A2726" i="2"/>
  <c r="A2726" i="9" s="1"/>
  <c r="B2725" i="2"/>
  <c r="B2725" i="9" s="1"/>
  <c r="A2725" i="2"/>
  <c r="A2725" i="9" s="1"/>
  <c r="B2724" i="2"/>
  <c r="B2724" i="9" s="1"/>
  <c r="A2724" i="2"/>
  <c r="A2724" i="9" s="1"/>
  <c r="B2723" i="2"/>
  <c r="B2723" i="9" s="1"/>
  <c r="A2723" i="2"/>
  <c r="A2723" i="9" s="1"/>
  <c r="B2722" i="2"/>
  <c r="B2722" i="9" s="1"/>
  <c r="A2722" i="2"/>
  <c r="A2722" i="9" s="1"/>
  <c r="B2721" i="2"/>
  <c r="B2721" i="9" s="1"/>
  <c r="A2721" i="2"/>
  <c r="A2721" i="9" s="1"/>
  <c r="B2720" i="2"/>
  <c r="B2720" i="9" s="1"/>
  <c r="A2720" i="2"/>
  <c r="A2720" i="9" s="1"/>
  <c r="B2719" i="2"/>
  <c r="B2719" i="9" s="1"/>
  <c r="A2719" i="2"/>
  <c r="A2719" i="9" s="1"/>
  <c r="B2718" i="2"/>
  <c r="B2718" i="9" s="1"/>
  <c r="A2718" i="2"/>
  <c r="A2718" i="9" s="1"/>
  <c r="B2717" i="2"/>
  <c r="B2717" i="9" s="1"/>
  <c r="A2717" i="2"/>
  <c r="A2717" i="9" s="1"/>
  <c r="B2716" i="2"/>
  <c r="B2716" i="9" s="1"/>
  <c r="A2716" i="2"/>
  <c r="A2716" i="9" s="1"/>
  <c r="B2715" i="2"/>
  <c r="B2715" i="9" s="1"/>
  <c r="A2715" i="2"/>
  <c r="A2715" i="9" s="1"/>
  <c r="B2714" i="2"/>
  <c r="B2714" i="9" s="1"/>
  <c r="A2714" i="2"/>
  <c r="A2714" i="9" s="1"/>
  <c r="B2713" i="2"/>
  <c r="B2713" i="9" s="1"/>
  <c r="A2713" i="2"/>
  <c r="A2713" i="9" s="1"/>
  <c r="B2712" i="2"/>
  <c r="B2712" i="9" s="1"/>
  <c r="A2712" i="2"/>
  <c r="A2712" i="9" s="1"/>
  <c r="B2711" i="2"/>
  <c r="B2711" i="9" s="1"/>
  <c r="A2711" i="2"/>
  <c r="A2711" i="9" s="1"/>
  <c r="B2710" i="2"/>
  <c r="B2710" i="9" s="1"/>
  <c r="A2710" i="2"/>
  <c r="A2710" i="9" s="1"/>
  <c r="B2709" i="2"/>
  <c r="B2709" i="9" s="1"/>
  <c r="A2709" i="2"/>
  <c r="A2709" i="9" s="1"/>
  <c r="B2708" i="2"/>
  <c r="B2708" i="9" s="1"/>
  <c r="A2708" i="2"/>
  <c r="A2708" i="9" s="1"/>
  <c r="B2707" i="2"/>
  <c r="B2707" i="9" s="1"/>
  <c r="A2707" i="2"/>
  <c r="A2707" i="9" s="1"/>
  <c r="B2706" i="2"/>
  <c r="B2706" i="9" s="1"/>
  <c r="A2706" i="2"/>
  <c r="A2706" i="9" s="1"/>
  <c r="B2705" i="2"/>
  <c r="B2705" i="9" s="1"/>
  <c r="A2705" i="2"/>
  <c r="A2705" i="9" s="1"/>
  <c r="B2704" i="2"/>
  <c r="B2704" i="9" s="1"/>
  <c r="A2704" i="2"/>
  <c r="A2704" i="9" s="1"/>
  <c r="B2703" i="2"/>
  <c r="B2703" i="9" s="1"/>
  <c r="A2703" i="2"/>
  <c r="A2703" i="9" s="1"/>
  <c r="B2702" i="2"/>
  <c r="B2702" i="9" s="1"/>
  <c r="A2702" i="2"/>
  <c r="A2702" i="9" s="1"/>
  <c r="B2701" i="2"/>
  <c r="B2701" i="9" s="1"/>
  <c r="A2701" i="2"/>
  <c r="A2701" i="9" s="1"/>
  <c r="B2700" i="2"/>
  <c r="B2700" i="9" s="1"/>
  <c r="A2700" i="2"/>
  <c r="A2700" i="9" s="1"/>
  <c r="B2699" i="2"/>
  <c r="B2699" i="9" s="1"/>
  <c r="A2699" i="2"/>
  <c r="A2699" i="9" s="1"/>
  <c r="B2698" i="2"/>
  <c r="B2698" i="9" s="1"/>
  <c r="A2698" i="2"/>
  <c r="A2698" i="9" s="1"/>
  <c r="B2697" i="2"/>
  <c r="B2697" i="9" s="1"/>
  <c r="A2697" i="2"/>
  <c r="A2697" i="9" s="1"/>
  <c r="B2696" i="2"/>
  <c r="B2696" i="9" s="1"/>
  <c r="A2696" i="2"/>
  <c r="A2696" i="9" s="1"/>
  <c r="B2695" i="2"/>
  <c r="B2695" i="9" s="1"/>
  <c r="A2695" i="2"/>
  <c r="A2695" i="9" s="1"/>
  <c r="B2694" i="2"/>
  <c r="B2694" i="9" s="1"/>
  <c r="A2694" i="2"/>
  <c r="A2694" i="9" s="1"/>
  <c r="B2693" i="2"/>
  <c r="B2693" i="9" s="1"/>
  <c r="A2693" i="2"/>
  <c r="A2693" i="9" s="1"/>
  <c r="B2692" i="2"/>
  <c r="B2692" i="9" s="1"/>
  <c r="A2692" i="2"/>
  <c r="A2692" i="9" s="1"/>
  <c r="B2691" i="2"/>
  <c r="B2691" i="9" s="1"/>
  <c r="A2691" i="2"/>
  <c r="A2691" i="9" s="1"/>
  <c r="B2690" i="2"/>
  <c r="B2690" i="9" s="1"/>
  <c r="A2690" i="2"/>
  <c r="A2690" i="9" s="1"/>
  <c r="B2689" i="2"/>
  <c r="B2689" i="9" s="1"/>
  <c r="A2689" i="2"/>
  <c r="A2689" i="9" s="1"/>
  <c r="B2688" i="2"/>
  <c r="B2688" i="9" s="1"/>
  <c r="A2688" i="2"/>
  <c r="A2688" i="9" s="1"/>
  <c r="B2687" i="2"/>
  <c r="B2687" i="9" s="1"/>
  <c r="A2687" i="2"/>
  <c r="A2687" i="9" s="1"/>
  <c r="B2686" i="2"/>
  <c r="B2686" i="9" s="1"/>
  <c r="A2686" i="2"/>
  <c r="A2686" i="9" s="1"/>
  <c r="B2685" i="2"/>
  <c r="B2685" i="9" s="1"/>
  <c r="A2685" i="2"/>
  <c r="A2685" i="9" s="1"/>
  <c r="B2684" i="2"/>
  <c r="B2684" i="9" s="1"/>
  <c r="A2684" i="2"/>
  <c r="A2684" i="9" s="1"/>
  <c r="B2683" i="2"/>
  <c r="B2683" i="9" s="1"/>
  <c r="A2683" i="2"/>
  <c r="A2683" i="9" s="1"/>
  <c r="B2682" i="2"/>
  <c r="B2682" i="9" s="1"/>
  <c r="A2682" i="2"/>
  <c r="A2682" i="9" s="1"/>
  <c r="B2681" i="2"/>
  <c r="B2681" i="9" s="1"/>
  <c r="A2681" i="2"/>
  <c r="A2681" i="9" s="1"/>
  <c r="B2680" i="2"/>
  <c r="B2680" i="9" s="1"/>
  <c r="A2680" i="2"/>
  <c r="A2680" i="9" s="1"/>
  <c r="B2679" i="2"/>
  <c r="B2679" i="9" s="1"/>
  <c r="A2679" i="2"/>
  <c r="A2679" i="9" s="1"/>
  <c r="B2678" i="2"/>
  <c r="B2678" i="9" s="1"/>
  <c r="A2678" i="2"/>
  <c r="A2678" i="9" s="1"/>
  <c r="B2677" i="2"/>
  <c r="B2677" i="9" s="1"/>
  <c r="A2677" i="2"/>
  <c r="A2677" i="9" s="1"/>
  <c r="B2676" i="2"/>
  <c r="B2676" i="9" s="1"/>
  <c r="A2676" i="2"/>
  <c r="A2676" i="9" s="1"/>
  <c r="B2675" i="2"/>
  <c r="B2675" i="9" s="1"/>
  <c r="A2675" i="2"/>
  <c r="A2675" i="9" s="1"/>
  <c r="B2674" i="2"/>
  <c r="B2674" i="9" s="1"/>
  <c r="A2674" i="2"/>
  <c r="A2674" i="9" s="1"/>
  <c r="B2673" i="2"/>
  <c r="B2673" i="9" s="1"/>
  <c r="A2673" i="2"/>
  <c r="A2673" i="9" s="1"/>
  <c r="B2672" i="2"/>
  <c r="B2672" i="9" s="1"/>
  <c r="A2672" i="2"/>
  <c r="A2672" i="9" s="1"/>
  <c r="B2671" i="2"/>
  <c r="B2671" i="9" s="1"/>
  <c r="A2671" i="2"/>
  <c r="A2671" i="9" s="1"/>
  <c r="B2670" i="2"/>
  <c r="B2670" i="9" s="1"/>
  <c r="A2670" i="2"/>
  <c r="A2670" i="9" s="1"/>
  <c r="B2669" i="2"/>
  <c r="B2669" i="9" s="1"/>
  <c r="A2669" i="2"/>
  <c r="A2669" i="9" s="1"/>
  <c r="B2668" i="2"/>
  <c r="B2668" i="9" s="1"/>
  <c r="A2668" i="2"/>
  <c r="A2668" i="9" s="1"/>
  <c r="B2667" i="2"/>
  <c r="B2667" i="9" s="1"/>
  <c r="A2667" i="2"/>
  <c r="A2667" i="9" s="1"/>
  <c r="B2666" i="2"/>
  <c r="B2666" i="9" s="1"/>
  <c r="A2666" i="2"/>
  <c r="A2666" i="9" s="1"/>
  <c r="B2665" i="2"/>
  <c r="B2665" i="9" s="1"/>
  <c r="A2665" i="2"/>
  <c r="A2665" i="9" s="1"/>
  <c r="B2664" i="2"/>
  <c r="B2664" i="9" s="1"/>
  <c r="A2664" i="2"/>
  <c r="A2664" i="9" s="1"/>
  <c r="B2663" i="2"/>
  <c r="B2663" i="9" s="1"/>
  <c r="A2663" i="2"/>
  <c r="A2663" i="9" s="1"/>
  <c r="B2662" i="2"/>
  <c r="B2662" i="9" s="1"/>
  <c r="A2662" i="2"/>
  <c r="A2662" i="9" s="1"/>
  <c r="B2661" i="2"/>
  <c r="B2661" i="9" s="1"/>
  <c r="A2661" i="2"/>
  <c r="A2661" i="9" s="1"/>
  <c r="B2660" i="2"/>
  <c r="B2660" i="9" s="1"/>
  <c r="A2660" i="2"/>
  <c r="A2660" i="9" s="1"/>
  <c r="B2659" i="2"/>
  <c r="B2659" i="9" s="1"/>
  <c r="A2659" i="2"/>
  <c r="A2659" i="9" s="1"/>
  <c r="B2658" i="2"/>
  <c r="B2658" i="9" s="1"/>
  <c r="A2658" i="2"/>
  <c r="A2658" i="9" s="1"/>
  <c r="B2657" i="2"/>
  <c r="B2657" i="9" s="1"/>
  <c r="A2657" i="2"/>
  <c r="A2657" i="9" s="1"/>
  <c r="B2656" i="2"/>
  <c r="B2656" i="9" s="1"/>
  <c r="A2656" i="2"/>
  <c r="A2656" i="9" s="1"/>
  <c r="B2655" i="2"/>
  <c r="B2655" i="9" s="1"/>
  <c r="A2655" i="2"/>
  <c r="A2655" i="9" s="1"/>
  <c r="B2654" i="2"/>
  <c r="B2654" i="9" s="1"/>
  <c r="A2654" i="2"/>
  <c r="A2654" i="9" s="1"/>
  <c r="B2653" i="2"/>
  <c r="B2653" i="9" s="1"/>
  <c r="A2653" i="2"/>
  <c r="A2653" i="9" s="1"/>
  <c r="B2652" i="2"/>
  <c r="B2652" i="9" s="1"/>
  <c r="A2652" i="2"/>
  <c r="A2652" i="9" s="1"/>
  <c r="B2651" i="2"/>
  <c r="B2651" i="9" s="1"/>
  <c r="A2651" i="2"/>
  <c r="A2651" i="9" s="1"/>
  <c r="B2650" i="2"/>
  <c r="B2650" i="9" s="1"/>
  <c r="A2650" i="2"/>
  <c r="A2650" i="9" s="1"/>
  <c r="B2649" i="2"/>
  <c r="B2649" i="9" s="1"/>
  <c r="A2649" i="2"/>
  <c r="A2649" i="9" s="1"/>
  <c r="B2648" i="2"/>
  <c r="B2648" i="9" s="1"/>
  <c r="A2648" i="2"/>
  <c r="A2648" i="9" s="1"/>
  <c r="B2647" i="2"/>
  <c r="B2647" i="9" s="1"/>
  <c r="A2647" i="2"/>
  <c r="A2647" i="9" s="1"/>
  <c r="B2646" i="2"/>
  <c r="B2646" i="9" s="1"/>
  <c r="A2646" i="2"/>
  <c r="A2646" i="9" s="1"/>
  <c r="B2645" i="2"/>
  <c r="B2645" i="9" s="1"/>
  <c r="A2645" i="2"/>
  <c r="A2645" i="9" s="1"/>
  <c r="B2644" i="2"/>
  <c r="B2644" i="9" s="1"/>
  <c r="A2644" i="2"/>
  <c r="A2644" i="9" s="1"/>
  <c r="B2643" i="2"/>
  <c r="B2643" i="9" s="1"/>
  <c r="A2643" i="2"/>
  <c r="A2643" i="9" s="1"/>
  <c r="B2642" i="2"/>
  <c r="B2642" i="9" s="1"/>
  <c r="A2642" i="2"/>
  <c r="A2642" i="9" s="1"/>
  <c r="B2641" i="2"/>
  <c r="B2641" i="9" s="1"/>
  <c r="A2641" i="2"/>
  <c r="A2641" i="9" s="1"/>
  <c r="B2640" i="2"/>
  <c r="B2640" i="9" s="1"/>
  <c r="A2640" i="2"/>
  <c r="A2640" i="9" s="1"/>
  <c r="B2639" i="2"/>
  <c r="B2639" i="9" s="1"/>
  <c r="A2639" i="2"/>
  <c r="A2639" i="9" s="1"/>
  <c r="B2638" i="2"/>
  <c r="B2638" i="9" s="1"/>
  <c r="A2638" i="2"/>
  <c r="A2638" i="9" s="1"/>
  <c r="B2637" i="2"/>
  <c r="B2637" i="9" s="1"/>
  <c r="A2637" i="2"/>
  <c r="A2637" i="9" s="1"/>
  <c r="B2636" i="2"/>
  <c r="B2636" i="9" s="1"/>
  <c r="A2636" i="2"/>
  <c r="A2636" i="9" s="1"/>
  <c r="B2635" i="2"/>
  <c r="B2635" i="9" s="1"/>
  <c r="A2635" i="2"/>
  <c r="A2635" i="9" s="1"/>
  <c r="B2634" i="2"/>
  <c r="B2634" i="9" s="1"/>
  <c r="A2634" i="2"/>
  <c r="A2634" i="9" s="1"/>
  <c r="B2633" i="2"/>
  <c r="B2633" i="9" s="1"/>
  <c r="A2633" i="2"/>
  <c r="A2633" i="9" s="1"/>
  <c r="B2632" i="2"/>
  <c r="B2632" i="9" s="1"/>
  <c r="A2632" i="2"/>
  <c r="A2632" i="9" s="1"/>
  <c r="B2631" i="2"/>
  <c r="B2631" i="9" s="1"/>
  <c r="A2631" i="2"/>
  <c r="A2631" i="9" s="1"/>
  <c r="B2630" i="2"/>
  <c r="B2630" i="9" s="1"/>
  <c r="A2630" i="2"/>
  <c r="A2630" i="9" s="1"/>
  <c r="B2629" i="2"/>
  <c r="B2629" i="9" s="1"/>
  <c r="A2629" i="2"/>
  <c r="A2629" i="9" s="1"/>
  <c r="B2628" i="2"/>
  <c r="B2628" i="9" s="1"/>
  <c r="A2628" i="2"/>
  <c r="A2628" i="9" s="1"/>
  <c r="B2627" i="2"/>
  <c r="B2627" i="9" s="1"/>
  <c r="A2627" i="2"/>
  <c r="A2627" i="9" s="1"/>
  <c r="B2626" i="2"/>
  <c r="B2626" i="9" s="1"/>
  <c r="A2626" i="2"/>
  <c r="A2626" i="9" s="1"/>
  <c r="B2625" i="2"/>
  <c r="B2625" i="9" s="1"/>
  <c r="A2625" i="2"/>
  <c r="A2625" i="9" s="1"/>
  <c r="B2624" i="2"/>
  <c r="B2624" i="9" s="1"/>
  <c r="A2624" i="2"/>
  <c r="A2624" i="9" s="1"/>
  <c r="B2623" i="2"/>
  <c r="B2623" i="9" s="1"/>
  <c r="A2623" i="2"/>
  <c r="A2623" i="9" s="1"/>
  <c r="B2622" i="2"/>
  <c r="B2622" i="9" s="1"/>
  <c r="A2622" i="2"/>
  <c r="A2622" i="9" s="1"/>
  <c r="B2621" i="2"/>
  <c r="B2621" i="9" s="1"/>
  <c r="A2621" i="2"/>
  <c r="A2621" i="9" s="1"/>
  <c r="B2620" i="2"/>
  <c r="B2620" i="9" s="1"/>
  <c r="A2620" i="2"/>
  <c r="A2620" i="9" s="1"/>
  <c r="B2619" i="2"/>
  <c r="B2619" i="9" s="1"/>
  <c r="A2619" i="2"/>
  <c r="A2619" i="9" s="1"/>
  <c r="B2618" i="2"/>
  <c r="B2618" i="9" s="1"/>
  <c r="A2618" i="2"/>
  <c r="A2618" i="9" s="1"/>
  <c r="B2617" i="2"/>
  <c r="B2617" i="9" s="1"/>
  <c r="A2617" i="2"/>
  <c r="A2617" i="9" s="1"/>
  <c r="B2616" i="2"/>
  <c r="B2616" i="9" s="1"/>
  <c r="A2616" i="2"/>
  <c r="A2616" i="9" s="1"/>
  <c r="B2615" i="2"/>
  <c r="B2615" i="9" s="1"/>
  <c r="A2615" i="2"/>
  <c r="A2615" i="9" s="1"/>
  <c r="B2614" i="2"/>
  <c r="B2614" i="9" s="1"/>
  <c r="A2614" i="2"/>
  <c r="A2614" i="9" s="1"/>
  <c r="B2613" i="2"/>
  <c r="B2613" i="9" s="1"/>
  <c r="A2613" i="2"/>
  <c r="A2613" i="9" s="1"/>
  <c r="B2612" i="2"/>
  <c r="B2612" i="9" s="1"/>
  <c r="A2612" i="2"/>
  <c r="A2612" i="9" s="1"/>
  <c r="B2611" i="2"/>
  <c r="B2611" i="9" s="1"/>
  <c r="A2611" i="2"/>
  <c r="A2611" i="9" s="1"/>
  <c r="B2610" i="2"/>
  <c r="B2610" i="9" s="1"/>
  <c r="A2610" i="2"/>
  <c r="A2610" i="9" s="1"/>
  <c r="B2609" i="2"/>
  <c r="B2609" i="9" s="1"/>
  <c r="A2609" i="2"/>
  <c r="A2609" i="9" s="1"/>
  <c r="B2608" i="2"/>
  <c r="B2608" i="9" s="1"/>
  <c r="A2608" i="2"/>
  <c r="A2608" i="9" s="1"/>
  <c r="B2607" i="2"/>
  <c r="B2607" i="9" s="1"/>
  <c r="A2607" i="2"/>
  <c r="A2607" i="9" s="1"/>
  <c r="B2606" i="2"/>
  <c r="B2606" i="9" s="1"/>
  <c r="A2606" i="2"/>
  <c r="A2606" i="9" s="1"/>
  <c r="B2605" i="2"/>
  <c r="B2605" i="9" s="1"/>
  <c r="A2605" i="2"/>
  <c r="A2605" i="9" s="1"/>
  <c r="B2604" i="2"/>
  <c r="B2604" i="9" s="1"/>
  <c r="A2604" i="2"/>
  <c r="A2604" i="9" s="1"/>
  <c r="B2603" i="2"/>
  <c r="B2603" i="9" s="1"/>
  <c r="A2603" i="2"/>
  <c r="A2603" i="9" s="1"/>
  <c r="B2602" i="2"/>
  <c r="B2602" i="9" s="1"/>
  <c r="A2602" i="2"/>
  <c r="A2602" i="9" s="1"/>
  <c r="B2601" i="2"/>
  <c r="B2601" i="9" s="1"/>
  <c r="A2601" i="2"/>
  <c r="A2601" i="9" s="1"/>
  <c r="B2600" i="2"/>
  <c r="B2600" i="9" s="1"/>
  <c r="A2600" i="2"/>
  <c r="A2600" i="9" s="1"/>
  <c r="B2599" i="2"/>
  <c r="B2599" i="9" s="1"/>
  <c r="A2599" i="2"/>
  <c r="A2599" i="9" s="1"/>
  <c r="B2598" i="2"/>
  <c r="B2598" i="9" s="1"/>
  <c r="A2598" i="2"/>
  <c r="A2598" i="9" s="1"/>
  <c r="B2597" i="2"/>
  <c r="B2597" i="9" s="1"/>
  <c r="A2597" i="2"/>
  <c r="A2597" i="9" s="1"/>
  <c r="B2596" i="2"/>
  <c r="B2596" i="9" s="1"/>
  <c r="A2596" i="2"/>
  <c r="A2596" i="9" s="1"/>
  <c r="B2595" i="2"/>
  <c r="B2595" i="9" s="1"/>
  <c r="A2595" i="2"/>
  <c r="A2595" i="9" s="1"/>
  <c r="B2594" i="2"/>
  <c r="B2594" i="9" s="1"/>
  <c r="A2594" i="2"/>
  <c r="A2594" i="9" s="1"/>
  <c r="B2593" i="2"/>
  <c r="B2593" i="9" s="1"/>
  <c r="A2593" i="2"/>
  <c r="A2593" i="9" s="1"/>
  <c r="B2592" i="2"/>
  <c r="B2592" i="9" s="1"/>
  <c r="A2592" i="2"/>
  <c r="A2592" i="9" s="1"/>
  <c r="B2591" i="2"/>
  <c r="B2591" i="9" s="1"/>
  <c r="A2591" i="2"/>
  <c r="A2591" i="9" s="1"/>
  <c r="B2590" i="2"/>
  <c r="B2590" i="9" s="1"/>
  <c r="A2590" i="2"/>
  <c r="A2590" i="9" s="1"/>
  <c r="B2589" i="2"/>
  <c r="B2589" i="9" s="1"/>
  <c r="A2589" i="2"/>
  <c r="A2589" i="9" s="1"/>
  <c r="B2588" i="2"/>
  <c r="B2588" i="9" s="1"/>
  <c r="A2588" i="2"/>
  <c r="A2588" i="9" s="1"/>
  <c r="B2587" i="2"/>
  <c r="B2587" i="9" s="1"/>
  <c r="A2587" i="2"/>
  <c r="A2587" i="9" s="1"/>
  <c r="B2586" i="2"/>
  <c r="B2586" i="9" s="1"/>
  <c r="A2586" i="2"/>
  <c r="A2586" i="9" s="1"/>
  <c r="B2585" i="2"/>
  <c r="B2585" i="9" s="1"/>
  <c r="A2585" i="2"/>
  <c r="A2585" i="9" s="1"/>
  <c r="B2584" i="2"/>
  <c r="B2584" i="9" s="1"/>
  <c r="A2584" i="2"/>
  <c r="A2584" i="9" s="1"/>
  <c r="B2583" i="2"/>
  <c r="B2583" i="9" s="1"/>
  <c r="A2583" i="2"/>
  <c r="A2583" i="9" s="1"/>
  <c r="B2582" i="2"/>
  <c r="B2582" i="9" s="1"/>
  <c r="A2582" i="2"/>
  <c r="A2582" i="9" s="1"/>
  <c r="B2581" i="2"/>
  <c r="B2581" i="9" s="1"/>
  <c r="A2581" i="2"/>
  <c r="A2581" i="9" s="1"/>
  <c r="B2580" i="2"/>
  <c r="B2580" i="9" s="1"/>
  <c r="A2580" i="2"/>
  <c r="A2580" i="9" s="1"/>
  <c r="B2579" i="2"/>
  <c r="B2579" i="9" s="1"/>
  <c r="A2579" i="2"/>
  <c r="A2579" i="9" s="1"/>
  <c r="B2578" i="2"/>
  <c r="B2578" i="9" s="1"/>
  <c r="A2578" i="2"/>
  <c r="A2578" i="9" s="1"/>
  <c r="B2577" i="2"/>
  <c r="B2577" i="9" s="1"/>
  <c r="A2577" i="2"/>
  <c r="A2577" i="9" s="1"/>
  <c r="B2576" i="2"/>
  <c r="B2576" i="9" s="1"/>
  <c r="A2576" i="2"/>
  <c r="A2576" i="9" s="1"/>
  <c r="B2575" i="2"/>
  <c r="B2575" i="9" s="1"/>
  <c r="A2575" i="2"/>
  <c r="A2575" i="9" s="1"/>
  <c r="B2574" i="2"/>
  <c r="B2574" i="9" s="1"/>
  <c r="A2574" i="2"/>
  <c r="A2574" i="9" s="1"/>
  <c r="B2573" i="2"/>
  <c r="B2573" i="9" s="1"/>
  <c r="A2573" i="2"/>
  <c r="A2573" i="9" s="1"/>
  <c r="B2572" i="2"/>
  <c r="B2572" i="9" s="1"/>
  <c r="A2572" i="2"/>
  <c r="A2572" i="9" s="1"/>
  <c r="B2571" i="2"/>
  <c r="B2571" i="9" s="1"/>
  <c r="A2571" i="2"/>
  <c r="A2571" i="9" s="1"/>
  <c r="B2570" i="2"/>
  <c r="B2570" i="9" s="1"/>
  <c r="A2570" i="2"/>
  <c r="A2570" i="9" s="1"/>
  <c r="B2569" i="2"/>
  <c r="B2569" i="9" s="1"/>
  <c r="A2569" i="2"/>
  <c r="A2569" i="9" s="1"/>
  <c r="B2568" i="2"/>
  <c r="B2568" i="9" s="1"/>
  <c r="A2568" i="2"/>
  <c r="A2568" i="9" s="1"/>
  <c r="B2567" i="2"/>
  <c r="B2567" i="9" s="1"/>
  <c r="A2567" i="2"/>
  <c r="A2567" i="9" s="1"/>
  <c r="B2566" i="2"/>
  <c r="B2566" i="9" s="1"/>
  <c r="A2566" i="2"/>
  <c r="A2566" i="9" s="1"/>
  <c r="B2565" i="2"/>
  <c r="B2565" i="9" s="1"/>
  <c r="A2565" i="2"/>
  <c r="A2565" i="9" s="1"/>
  <c r="B2564" i="2"/>
  <c r="B2564" i="9" s="1"/>
  <c r="A2564" i="2"/>
  <c r="A2564" i="9" s="1"/>
  <c r="B2563" i="2"/>
  <c r="B2563" i="9" s="1"/>
  <c r="A2563" i="2"/>
  <c r="A2563" i="9" s="1"/>
  <c r="B2562" i="2"/>
  <c r="B2562" i="9" s="1"/>
  <c r="A2562" i="2"/>
  <c r="A2562" i="9" s="1"/>
  <c r="B2561" i="2"/>
  <c r="B2561" i="9" s="1"/>
  <c r="A2561" i="2"/>
  <c r="A2561" i="9" s="1"/>
  <c r="B2560" i="2"/>
  <c r="B2560" i="9" s="1"/>
  <c r="A2560" i="2"/>
  <c r="A2560" i="9" s="1"/>
  <c r="B2559" i="2"/>
  <c r="B2559" i="9" s="1"/>
  <c r="A2559" i="2"/>
  <c r="A2559" i="9" s="1"/>
  <c r="B2558" i="2"/>
  <c r="B2558" i="9" s="1"/>
  <c r="A2558" i="2"/>
  <c r="A2558" i="9" s="1"/>
  <c r="B2557" i="2"/>
  <c r="B2557" i="9" s="1"/>
  <c r="A2557" i="2"/>
  <c r="A2557" i="9" s="1"/>
  <c r="B2556" i="2"/>
  <c r="B2556" i="9" s="1"/>
  <c r="A2556" i="2"/>
  <c r="A2556" i="9" s="1"/>
  <c r="B2555" i="2"/>
  <c r="B2555" i="9" s="1"/>
  <c r="A2555" i="2"/>
  <c r="A2555" i="9" s="1"/>
  <c r="B2554" i="2"/>
  <c r="B2554" i="9" s="1"/>
  <c r="A2554" i="2"/>
  <c r="A2554" i="9" s="1"/>
  <c r="B2553" i="2"/>
  <c r="B2553" i="9" s="1"/>
  <c r="A2553" i="2"/>
  <c r="A2553" i="9" s="1"/>
  <c r="B2552" i="2"/>
  <c r="B2552" i="9" s="1"/>
  <c r="A2552" i="2"/>
  <c r="A2552" i="9" s="1"/>
  <c r="B2551" i="2"/>
  <c r="B2551" i="9" s="1"/>
  <c r="A2551" i="2"/>
  <c r="A2551" i="9" s="1"/>
  <c r="B2550" i="2"/>
  <c r="B2550" i="9" s="1"/>
  <c r="A2550" i="2"/>
  <c r="A2550" i="9" s="1"/>
  <c r="B2549" i="2"/>
  <c r="B2549" i="9" s="1"/>
  <c r="A2549" i="2"/>
  <c r="A2549" i="9" s="1"/>
  <c r="B2548" i="2"/>
  <c r="B2548" i="9" s="1"/>
  <c r="A2548" i="2"/>
  <c r="A2548" i="9" s="1"/>
  <c r="B2547" i="2"/>
  <c r="B2547" i="9" s="1"/>
  <c r="A2547" i="2"/>
  <c r="A2547" i="9" s="1"/>
  <c r="B2546" i="2"/>
  <c r="B2546" i="9" s="1"/>
  <c r="A2546" i="2"/>
  <c r="A2546" i="9" s="1"/>
  <c r="B2545" i="2"/>
  <c r="B2545" i="9" s="1"/>
  <c r="A2545" i="2"/>
  <c r="A2545" i="9" s="1"/>
  <c r="B2544" i="2"/>
  <c r="B2544" i="9" s="1"/>
  <c r="A2544" i="2"/>
  <c r="A2544" i="9" s="1"/>
  <c r="B2543" i="2"/>
  <c r="B2543" i="9" s="1"/>
  <c r="A2543" i="2"/>
  <c r="A2543" i="9" s="1"/>
  <c r="B2542" i="2"/>
  <c r="B2542" i="9" s="1"/>
  <c r="A2542" i="2"/>
  <c r="A2542" i="9" s="1"/>
  <c r="B2541" i="2"/>
  <c r="B2541" i="9" s="1"/>
  <c r="A2541" i="2"/>
  <c r="A2541" i="9" s="1"/>
  <c r="B2540" i="2"/>
  <c r="B2540" i="9" s="1"/>
  <c r="A2540" i="2"/>
  <c r="A2540" i="9" s="1"/>
  <c r="B2539" i="2"/>
  <c r="B2539" i="9" s="1"/>
  <c r="A2539" i="2"/>
  <c r="A2539" i="9" s="1"/>
  <c r="B2538" i="2"/>
  <c r="B2538" i="9" s="1"/>
  <c r="A2538" i="2"/>
  <c r="A2538" i="9" s="1"/>
  <c r="B2537" i="2"/>
  <c r="B2537" i="9" s="1"/>
  <c r="A2537" i="2"/>
  <c r="A2537" i="9" s="1"/>
  <c r="B2536" i="2"/>
  <c r="B2536" i="9" s="1"/>
  <c r="A2536" i="2"/>
  <c r="A2536" i="9" s="1"/>
  <c r="B2535" i="2"/>
  <c r="B2535" i="9" s="1"/>
  <c r="A2535" i="2"/>
  <c r="A2535" i="9" s="1"/>
  <c r="B2534" i="2"/>
  <c r="B2534" i="9" s="1"/>
  <c r="A2534" i="2"/>
  <c r="A2534" i="9" s="1"/>
  <c r="B2533" i="2"/>
  <c r="B2533" i="9" s="1"/>
  <c r="A2533" i="2"/>
  <c r="A2533" i="9" s="1"/>
  <c r="B2532" i="2"/>
  <c r="B2532" i="9" s="1"/>
  <c r="A2532" i="2"/>
  <c r="A2532" i="9" s="1"/>
  <c r="B2531" i="2"/>
  <c r="B2531" i="9" s="1"/>
  <c r="A2531" i="2"/>
  <c r="A2531" i="9" s="1"/>
  <c r="B2530" i="2"/>
  <c r="B2530" i="9" s="1"/>
  <c r="A2530" i="2"/>
  <c r="A2530" i="9" s="1"/>
  <c r="B2529" i="2"/>
  <c r="B2529" i="9" s="1"/>
  <c r="A2529" i="2"/>
  <c r="A2529" i="9" s="1"/>
  <c r="B2528" i="2"/>
  <c r="B2528" i="9" s="1"/>
  <c r="A2528" i="2"/>
  <c r="A2528" i="9" s="1"/>
  <c r="B2527" i="2"/>
  <c r="B2527" i="9" s="1"/>
  <c r="A2527" i="2"/>
  <c r="A2527" i="9" s="1"/>
  <c r="B2526" i="2"/>
  <c r="B2526" i="9" s="1"/>
  <c r="A2526" i="2"/>
  <c r="A2526" i="9" s="1"/>
  <c r="B2525" i="2"/>
  <c r="B2525" i="9" s="1"/>
  <c r="A2525" i="2"/>
  <c r="A2525" i="9" s="1"/>
  <c r="B2524" i="2"/>
  <c r="B2524" i="9" s="1"/>
  <c r="A2524" i="2"/>
  <c r="A2524" i="9" s="1"/>
  <c r="B2523" i="2"/>
  <c r="B2523" i="9" s="1"/>
  <c r="A2523" i="2"/>
  <c r="A2523" i="9" s="1"/>
  <c r="B2522" i="2"/>
  <c r="B2522" i="9" s="1"/>
  <c r="A2522" i="2"/>
  <c r="A2522" i="9" s="1"/>
  <c r="B2521" i="2"/>
  <c r="B2521" i="9" s="1"/>
  <c r="A2521" i="2"/>
  <c r="A2521" i="9" s="1"/>
  <c r="B2520" i="2"/>
  <c r="B2520" i="9" s="1"/>
  <c r="A2520" i="2"/>
  <c r="A2520" i="9" s="1"/>
  <c r="B2519" i="2"/>
  <c r="B2519" i="9" s="1"/>
  <c r="A2519" i="2"/>
  <c r="A2519" i="9" s="1"/>
  <c r="B2518" i="2"/>
  <c r="B2518" i="9" s="1"/>
  <c r="A2518" i="2"/>
  <c r="A2518" i="9" s="1"/>
  <c r="B2517" i="2"/>
  <c r="B2517" i="9" s="1"/>
  <c r="A2517" i="2"/>
  <c r="A2517" i="9" s="1"/>
  <c r="B2516" i="2"/>
  <c r="B2516" i="9" s="1"/>
  <c r="A2516" i="2"/>
  <c r="A2516" i="9" s="1"/>
  <c r="B2515" i="2"/>
  <c r="B2515" i="9" s="1"/>
  <c r="A2515" i="2"/>
  <c r="A2515" i="9" s="1"/>
  <c r="B2514" i="2"/>
  <c r="B2514" i="9" s="1"/>
  <c r="A2514" i="2"/>
  <c r="A2514" i="9" s="1"/>
  <c r="B2513" i="2"/>
  <c r="B2513" i="9" s="1"/>
  <c r="A2513" i="2"/>
  <c r="A2513" i="9" s="1"/>
  <c r="B2512" i="2"/>
  <c r="B2512" i="9" s="1"/>
  <c r="A2512" i="2"/>
  <c r="A2512" i="9" s="1"/>
  <c r="B2511" i="2"/>
  <c r="B2511" i="9" s="1"/>
  <c r="A2511" i="2"/>
  <c r="A2511" i="9" s="1"/>
  <c r="B2510" i="2"/>
  <c r="B2510" i="9" s="1"/>
  <c r="A2510" i="2"/>
  <c r="A2510" i="9" s="1"/>
  <c r="B2509" i="2"/>
  <c r="B2509" i="9" s="1"/>
  <c r="A2509" i="2"/>
  <c r="A2509" i="9" s="1"/>
  <c r="B2508" i="2"/>
  <c r="B2508" i="9" s="1"/>
  <c r="A2508" i="2"/>
  <c r="A2508" i="9" s="1"/>
  <c r="B2507" i="2"/>
  <c r="B2507" i="9" s="1"/>
  <c r="A2507" i="2"/>
  <c r="A2507" i="9" s="1"/>
  <c r="B2506" i="2"/>
  <c r="B2506" i="9" s="1"/>
  <c r="A2506" i="2"/>
  <c r="A2506" i="9" s="1"/>
  <c r="B2505" i="2"/>
  <c r="B2505" i="9" s="1"/>
  <c r="A2505" i="2"/>
  <c r="A2505" i="9" s="1"/>
  <c r="B2504" i="2"/>
  <c r="B2504" i="9" s="1"/>
  <c r="A2504" i="2"/>
  <c r="A2504" i="9" s="1"/>
  <c r="B2503" i="2"/>
  <c r="B2503" i="9" s="1"/>
  <c r="A2503" i="2"/>
  <c r="A2503" i="9" s="1"/>
  <c r="B2502" i="2"/>
  <c r="B2502" i="9" s="1"/>
  <c r="A2502" i="2"/>
  <c r="A2502" i="9" s="1"/>
  <c r="B2501" i="2"/>
  <c r="B2501" i="9" s="1"/>
  <c r="A2501" i="2"/>
  <c r="A2501" i="9" s="1"/>
  <c r="B2500" i="2"/>
  <c r="B2500" i="9" s="1"/>
  <c r="A2500" i="2"/>
  <c r="A2500" i="9" s="1"/>
  <c r="B2499" i="2"/>
  <c r="B2499" i="9" s="1"/>
  <c r="A2499" i="2"/>
  <c r="A2499" i="9" s="1"/>
  <c r="B2498" i="2"/>
  <c r="B2498" i="9" s="1"/>
  <c r="A2498" i="2"/>
  <c r="A2498" i="9" s="1"/>
  <c r="B2497" i="2"/>
  <c r="B2497" i="9" s="1"/>
  <c r="A2497" i="2"/>
  <c r="A2497" i="9" s="1"/>
  <c r="B2496" i="2"/>
  <c r="B2496" i="9" s="1"/>
  <c r="A2496" i="2"/>
  <c r="A2496" i="9" s="1"/>
  <c r="B2495" i="2"/>
  <c r="B2495" i="9" s="1"/>
  <c r="A2495" i="2"/>
  <c r="A2495" i="9" s="1"/>
  <c r="B2494" i="2"/>
  <c r="B2494" i="9" s="1"/>
  <c r="A2494" i="2"/>
  <c r="A2494" i="9" s="1"/>
  <c r="B2493" i="2"/>
  <c r="B2493" i="9" s="1"/>
  <c r="A2493" i="2"/>
  <c r="A2493" i="9" s="1"/>
  <c r="B2492" i="2"/>
  <c r="B2492" i="9" s="1"/>
  <c r="A2492" i="2"/>
  <c r="A2492" i="9" s="1"/>
  <c r="B2491" i="2"/>
  <c r="B2491" i="9" s="1"/>
  <c r="A2491" i="2"/>
  <c r="A2491" i="9" s="1"/>
  <c r="B2490" i="2"/>
  <c r="B2490" i="9" s="1"/>
  <c r="A2490" i="2"/>
  <c r="A2490" i="9" s="1"/>
  <c r="B2489" i="2"/>
  <c r="B2489" i="9" s="1"/>
  <c r="A2489" i="2"/>
  <c r="A2489" i="9" s="1"/>
  <c r="B2488" i="2"/>
  <c r="B2488" i="9" s="1"/>
  <c r="A2488" i="2"/>
  <c r="A2488" i="9" s="1"/>
  <c r="B2487" i="2"/>
  <c r="B2487" i="9" s="1"/>
  <c r="A2487" i="2"/>
  <c r="A2487" i="9" s="1"/>
  <c r="B2486" i="2"/>
  <c r="B2486" i="9" s="1"/>
  <c r="A2486" i="2"/>
  <c r="A2486" i="9" s="1"/>
  <c r="B2485" i="2"/>
  <c r="B2485" i="9" s="1"/>
  <c r="A2485" i="2"/>
  <c r="A2485" i="9" s="1"/>
  <c r="B2484" i="2"/>
  <c r="B2484" i="9" s="1"/>
  <c r="A2484" i="2"/>
  <c r="A2484" i="9" s="1"/>
  <c r="B2483" i="2"/>
  <c r="B2483" i="9" s="1"/>
  <c r="A2483" i="2"/>
  <c r="A2483" i="9" s="1"/>
  <c r="B2482" i="2"/>
  <c r="B2482" i="9" s="1"/>
  <c r="A2482" i="2"/>
  <c r="A2482" i="9" s="1"/>
  <c r="B2481" i="2"/>
  <c r="B2481" i="9" s="1"/>
  <c r="A2481" i="2"/>
  <c r="A2481" i="9" s="1"/>
  <c r="B2480" i="2"/>
  <c r="B2480" i="9" s="1"/>
  <c r="A2480" i="2"/>
  <c r="A2480" i="9" s="1"/>
  <c r="B2479" i="2"/>
  <c r="B2479" i="9" s="1"/>
  <c r="A2479" i="2"/>
  <c r="A2479" i="9" s="1"/>
  <c r="B2478" i="2"/>
  <c r="B2478" i="9" s="1"/>
  <c r="A2478" i="2"/>
  <c r="A2478" i="9" s="1"/>
  <c r="B2477" i="2"/>
  <c r="B2477" i="9" s="1"/>
  <c r="A2477" i="2"/>
  <c r="A2477" i="9" s="1"/>
  <c r="B2476" i="2"/>
  <c r="B2476" i="9" s="1"/>
  <c r="A2476" i="2"/>
  <c r="A2476" i="9" s="1"/>
  <c r="B2475" i="2"/>
  <c r="B2475" i="9" s="1"/>
  <c r="A2475" i="2"/>
  <c r="A2475" i="9" s="1"/>
  <c r="B2474" i="2"/>
  <c r="B2474" i="9" s="1"/>
  <c r="A2474" i="2"/>
  <c r="A2474" i="9" s="1"/>
  <c r="B2473" i="2"/>
  <c r="B2473" i="9" s="1"/>
  <c r="A2473" i="2"/>
  <c r="A2473" i="9" s="1"/>
  <c r="B2472" i="2"/>
  <c r="B2472" i="9" s="1"/>
  <c r="A2472" i="2"/>
  <c r="A2472" i="9" s="1"/>
  <c r="B2471" i="2"/>
  <c r="B2471" i="9" s="1"/>
  <c r="A2471" i="2"/>
  <c r="A2471" i="9" s="1"/>
  <c r="B2470" i="2"/>
  <c r="B2470" i="9" s="1"/>
  <c r="A2470" i="2"/>
  <c r="A2470" i="9" s="1"/>
  <c r="B2469" i="2"/>
  <c r="B2469" i="9" s="1"/>
  <c r="A2469" i="2"/>
  <c r="A2469" i="9" s="1"/>
  <c r="B2468" i="2"/>
  <c r="B2468" i="9" s="1"/>
  <c r="A2468" i="2"/>
  <c r="A2468" i="9" s="1"/>
  <c r="B2467" i="2"/>
  <c r="B2467" i="9" s="1"/>
  <c r="A2467" i="2"/>
  <c r="A2467" i="9" s="1"/>
  <c r="B2466" i="2"/>
  <c r="B2466" i="9" s="1"/>
  <c r="A2466" i="2"/>
  <c r="A2466" i="9" s="1"/>
  <c r="B2465" i="2"/>
  <c r="B2465" i="9" s="1"/>
  <c r="A2465" i="2"/>
  <c r="A2465" i="9" s="1"/>
  <c r="B2464" i="2"/>
  <c r="B2464" i="9" s="1"/>
  <c r="A2464" i="2"/>
  <c r="A2464" i="9" s="1"/>
  <c r="B2463" i="2"/>
  <c r="B2463" i="9" s="1"/>
  <c r="A2463" i="2"/>
  <c r="A2463" i="9" s="1"/>
  <c r="B2462" i="2"/>
  <c r="B2462" i="9" s="1"/>
  <c r="A2462" i="2"/>
  <c r="A2462" i="9" s="1"/>
  <c r="B2461" i="2"/>
  <c r="B2461" i="9" s="1"/>
  <c r="A2461" i="2"/>
  <c r="A2461" i="9" s="1"/>
  <c r="B2460" i="2"/>
  <c r="B2460" i="9" s="1"/>
  <c r="A2460" i="2"/>
  <c r="A2460" i="9" s="1"/>
  <c r="B2459" i="2"/>
  <c r="B2459" i="9" s="1"/>
  <c r="A2459" i="2"/>
  <c r="A2459" i="9" s="1"/>
  <c r="B2458" i="2"/>
  <c r="B2458" i="9" s="1"/>
  <c r="A2458" i="2"/>
  <c r="A2458" i="9" s="1"/>
  <c r="B2457" i="2"/>
  <c r="B2457" i="9" s="1"/>
  <c r="A2457" i="2"/>
  <c r="A2457" i="9" s="1"/>
  <c r="B2456" i="2"/>
  <c r="B2456" i="9" s="1"/>
  <c r="A2456" i="2"/>
  <c r="A2456" i="9" s="1"/>
  <c r="B2455" i="2"/>
  <c r="B2455" i="9" s="1"/>
  <c r="A2455" i="2"/>
  <c r="A2455" i="9" s="1"/>
  <c r="B2454" i="2"/>
  <c r="B2454" i="9" s="1"/>
  <c r="A2454" i="2"/>
  <c r="A2454" i="9" s="1"/>
  <c r="B2453" i="2"/>
  <c r="B2453" i="9" s="1"/>
  <c r="A2453" i="2"/>
  <c r="A2453" i="9" s="1"/>
  <c r="B2452" i="2"/>
  <c r="B2452" i="9" s="1"/>
  <c r="A2452" i="2"/>
  <c r="A2452" i="9" s="1"/>
  <c r="B2451" i="2"/>
  <c r="B2451" i="9" s="1"/>
  <c r="A2451" i="2"/>
  <c r="A2451" i="9" s="1"/>
  <c r="B2450" i="2"/>
  <c r="B2450" i="9" s="1"/>
  <c r="A2450" i="2"/>
  <c r="A2450" i="9" s="1"/>
  <c r="B2449" i="2"/>
  <c r="B2449" i="9" s="1"/>
  <c r="A2449" i="2"/>
  <c r="A2449" i="9" s="1"/>
  <c r="B2448" i="2"/>
  <c r="B2448" i="9" s="1"/>
  <c r="A2448" i="2"/>
  <c r="A2448" i="9" s="1"/>
  <c r="B2447" i="2"/>
  <c r="B2447" i="9" s="1"/>
  <c r="A2447" i="2"/>
  <c r="A2447" i="9" s="1"/>
  <c r="B2446" i="2"/>
  <c r="B2446" i="9" s="1"/>
  <c r="A2446" i="2"/>
  <c r="A2446" i="9" s="1"/>
  <c r="B2445" i="2"/>
  <c r="B2445" i="9" s="1"/>
  <c r="A2445" i="2"/>
  <c r="A2445" i="9" s="1"/>
  <c r="B2444" i="2"/>
  <c r="B2444" i="9" s="1"/>
  <c r="A2444" i="2"/>
  <c r="A2444" i="9" s="1"/>
  <c r="B2443" i="2"/>
  <c r="B2443" i="9" s="1"/>
  <c r="A2443" i="2"/>
  <c r="A2443" i="9" s="1"/>
  <c r="B2442" i="2"/>
  <c r="B2442" i="9" s="1"/>
  <c r="A2442" i="2"/>
  <c r="A2442" i="9" s="1"/>
  <c r="B2441" i="2"/>
  <c r="B2441" i="9" s="1"/>
  <c r="A2441" i="2"/>
  <c r="A2441" i="9" s="1"/>
  <c r="B2440" i="2"/>
  <c r="B2440" i="9" s="1"/>
  <c r="A2440" i="2"/>
  <c r="A2440" i="9" s="1"/>
  <c r="B2439" i="2"/>
  <c r="B2439" i="9" s="1"/>
  <c r="A2439" i="2"/>
  <c r="A2439" i="9" s="1"/>
  <c r="B2438" i="2"/>
  <c r="B2438" i="9" s="1"/>
  <c r="A2438" i="2"/>
  <c r="A2438" i="9" s="1"/>
  <c r="B2437" i="2"/>
  <c r="B2437" i="9" s="1"/>
  <c r="A2437" i="2"/>
  <c r="A2437" i="9" s="1"/>
  <c r="B2436" i="2"/>
  <c r="B2436" i="9" s="1"/>
  <c r="A2436" i="2"/>
  <c r="A2436" i="9" s="1"/>
  <c r="B2435" i="2"/>
  <c r="B2435" i="9" s="1"/>
  <c r="A2435" i="2"/>
  <c r="A2435" i="9" s="1"/>
  <c r="B2434" i="2"/>
  <c r="B2434" i="9" s="1"/>
  <c r="A2434" i="2"/>
  <c r="A2434" i="9" s="1"/>
  <c r="B2433" i="2"/>
  <c r="B2433" i="9" s="1"/>
  <c r="A2433" i="2"/>
  <c r="A2433" i="9" s="1"/>
  <c r="B2432" i="2"/>
  <c r="B2432" i="9" s="1"/>
  <c r="A2432" i="2"/>
  <c r="A2432" i="9" s="1"/>
  <c r="B2431" i="2"/>
  <c r="B2431" i="9" s="1"/>
  <c r="A2431" i="2"/>
  <c r="A2431" i="9" s="1"/>
  <c r="B2430" i="2"/>
  <c r="B2430" i="9" s="1"/>
  <c r="A2430" i="2"/>
  <c r="A2430" i="9" s="1"/>
  <c r="B2429" i="2"/>
  <c r="B2429" i="9" s="1"/>
  <c r="A2429" i="2"/>
  <c r="A2429" i="9" s="1"/>
  <c r="B2428" i="2"/>
  <c r="B2428" i="9" s="1"/>
  <c r="A2428" i="2"/>
  <c r="A2428" i="9" s="1"/>
  <c r="B2427" i="2"/>
  <c r="B2427" i="9" s="1"/>
  <c r="A2427" i="2"/>
  <c r="A2427" i="9" s="1"/>
  <c r="B2426" i="2"/>
  <c r="B2426" i="9" s="1"/>
  <c r="A2426" i="2"/>
  <c r="A2426" i="9" s="1"/>
  <c r="B2425" i="2"/>
  <c r="B2425" i="9" s="1"/>
  <c r="A2425" i="2"/>
  <c r="A2425" i="9" s="1"/>
  <c r="B2424" i="2"/>
  <c r="B2424" i="9" s="1"/>
  <c r="A2424" i="2"/>
  <c r="A2424" i="9" s="1"/>
  <c r="B2423" i="2"/>
  <c r="B2423" i="9" s="1"/>
  <c r="A2423" i="2"/>
  <c r="A2423" i="9" s="1"/>
  <c r="B2422" i="2"/>
  <c r="B2422" i="9" s="1"/>
  <c r="A2422" i="2"/>
  <c r="A2422" i="9" s="1"/>
  <c r="B2421" i="2"/>
  <c r="B2421" i="9" s="1"/>
  <c r="A2421" i="2"/>
  <c r="A2421" i="9" s="1"/>
  <c r="B2420" i="2"/>
  <c r="B2420" i="9" s="1"/>
  <c r="A2420" i="2"/>
  <c r="A2420" i="9" s="1"/>
  <c r="B2419" i="2"/>
  <c r="B2419" i="9" s="1"/>
  <c r="A2419" i="2"/>
  <c r="A2419" i="9" s="1"/>
  <c r="B2418" i="2"/>
  <c r="B2418" i="9" s="1"/>
  <c r="A2418" i="2"/>
  <c r="A2418" i="9" s="1"/>
  <c r="B2417" i="2"/>
  <c r="B2417" i="9" s="1"/>
  <c r="A2417" i="2"/>
  <c r="A2417" i="9" s="1"/>
  <c r="B2416" i="2"/>
  <c r="B2416" i="9" s="1"/>
  <c r="A2416" i="2"/>
  <c r="A2416" i="9" s="1"/>
  <c r="B2415" i="2"/>
  <c r="B2415" i="9" s="1"/>
  <c r="A2415" i="2"/>
  <c r="A2415" i="9" s="1"/>
  <c r="B2414" i="2"/>
  <c r="B2414" i="9" s="1"/>
  <c r="A2414" i="2"/>
  <c r="A2414" i="9" s="1"/>
  <c r="B2413" i="2"/>
  <c r="B2413" i="9" s="1"/>
  <c r="A2413" i="2"/>
  <c r="A2413" i="9" s="1"/>
  <c r="B2412" i="2"/>
  <c r="B2412" i="9" s="1"/>
  <c r="A2412" i="2"/>
  <c r="A2412" i="9" s="1"/>
  <c r="B2411" i="2"/>
  <c r="B2411" i="9" s="1"/>
  <c r="A2411" i="2"/>
  <c r="A2411" i="9" s="1"/>
  <c r="B2410" i="2"/>
  <c r="B2410" i="9" s="1"/>
  <c r="A2410" i="2"/>
  <c r="A2410" i="9" s="1"/>
  <c r="B2409" i="2"/>
  <c r="B2409" i="9" s="1"/>
  <c r="A2409" i="2"/>
  <c r="A2409" i="9" s="1"/>
  <c r="B2408" i="2"/>
  <c r="B2408" i="9" s="1"/>
  <c r="A2408" i="2"/>
  <c r="A2408" i="9" s="1"/>
  <c r="B2407" i="2"/>
  <c r="B2407" i="9" s="1"/>
  <c r="A2407" i="2"/>
  <c r="A2407" i="9" s="1"/>
  <c r="B2406" i="2"/>
  <c r="B2406" i="9" s="1"/>
  <c r="A2406" i="2"/>
  <c r="A2406" i="9" s="1"/>
  <c r="B2405" i="2"/>
  <c r="B2405" i="9" s="1"/>
  <c r="A2405" i="2"/>
  <c r="A2405" i="9" s="1"/>
  <c r="B2404" i="2"/>
  <c r="B2404" i="9" s="1"/>
  <c r="A2404" i="2"/>
  <c r="A2404" i="9" s="1"/>
  <c r="B2403" i="2"/>
  <c r="B2403" i="9" s="1"/>
  <c r="A2403" i="2"/>
  <c r="A2403" i="9" s="1"/>
  <c r="B2402" i="2"/>
  <c r="B2402" i="9" s="1"/>
  <c r="A2402" i="2"/>
  <c r="A2402" i="9" s="1"/>
  <c r="B2401" i="2"/>
  <c r="B2401" i="9" s="1"/>
  <c r="A2401" i="2"/>
  <c r="A2401" i="9" s="1"/>
  <c r="B2400" i="2"/>
  <c r="B2400" i="9" s="1"/>
  <c r="A2400" i="2"/>
  <c r="A2400" i="9" s="1"/>
  <c r="B2399" i="2"/>
  <c r="B2399" i="9" s="1"/>
  <c r="A2399" i="2"/>
  <c r="A2399" i="9" s="1"/>
  <c r="B2398" i="2"/>
  <c r="B2398" i="9" s="1"/>
  <c r="A2398" i="2"/>
  <c r="A2398" i="9" s="1"/>
  <c r="B2397" i="2"/>
  <c r="B2397" i="9" s="1"/>
  <c r="A2397" i="2"/>
  <c r="A2397" i="9" s="1"/>
  <c r="B2396" i="2"/>
  <c r="B2396" i="9" s="1"/>
  <c r="A2396" i="2"/>
  <c r="A2396" i="9" s="1"/>
  <c r="B2395" i="2"/>
  <c r="B2395" i="9" s="1"/>
  <c r="A2395" i="2"/>
  <c r="A2395" i="9" s="1"/>
  <c r="B2394" i="2"/>
  <c r="B2394" i="9" s="1"/>
  <c r="A2394" i="2"/>
  <c r="A2394" i="9" s="1"/>
  <c r="B2393" i="2"/>
  <c r="B2393" i="9" s="1"/>
  <c r="A2393" i="2"/>
  <c r="A2393" i="9" s="1"/>
  <c r="B2392" i="2"/>
  <c r="B2392" i="9" s="1"/>
  <c r="A2392" i="2"/>
  <c r="A2392" i="9" s="1"/>
  <c r="B2391" i="2"/>
  <c r="B2391" i="9" s="1"/>
  <c r="A2391" i="2"/>
  <c r="A2391" i="9" s="1"/>
  <c r="B2390" i="2"/>
  <c r="B2390" i="9" s="1"/>
  <c r="A2390" i="2"/>
  <c r="A2390" i="9" s="1"/>
  <c r="B2389" i="2"/>
  <c r="B2389" i="9" s="1"/>
  <c r="A2389" i="2"/>
  <c r="A2389" i="9" s="1"/>
  <c r="B2388" i="2"/>
  <c r="B2388" i="9" s="1"/>
  <c r="A2388" i="2"/>
  <c r="A2388" i="9" s="1"/>
  <c r="B2387" i="2"/>
  <c r="B2387" i="9" s="1"/>
  <c r="A2387" i="2"/>
  <c r="A2387" i="9" s="1"/>
  <c r="B2386" i="2"/>
  <c r="B2386" i="9" s="1"/>
  <c r="A2386" i="2"/>
  <c r="A2386" i="9" s="1"/>
  <c r="B2385" i="2"/>
  <c r="B2385" i="9" s="1"/>
  <c r="A2385" i="2"/>
  <c r="A2385" i="9" s="1"/>
  <c r="B2384" i="2"/>
  <c r="B2384" i="9" s="1"/>
  <c r="A2384" i="2"/>
  <c r="A2384" i="9" s="1"/>
  <c r="B2383" i="2"/>
  <c r="B2383" i="9" s="1"/>
  <c r="A2383" i="2"/>
  <c r="A2383" i="9" s="1"/>
  <c r="B2382" i="2"/>
  <c r="B2382" i="9" s="1"/>
  <c r="A2382" i="2"/>
  <c r="A2382" i="9" s="1"/>
  <c r="B2381" i="2"/>
  <c r="B2381" i="9" s="1"/>
  <c r="A2381" i="2"/>
  <c r="A2381" i="9" s="1"/>
  <c r="B2380" i="2"/>
  <c r="B2380" i="9" s="1"/>
  <c r="A2380" i="2"/>
  <c r="A2380" i="9" s="1"/>
  <c r="B2379" i="2"/>
  <c r="B2379" i="9" s="1"/>
  <c r="A2379" i="2"/>
  <c r="A2379" i="9" s="1"/>
  <c r="B2378" i="2"/>
  <c r="B2378" i="9" s="1"/>
  <c r="A2378" i="2"/>
  <c r="A2378" i="9" s="1"/>
  <c r="B2377" i="2"/>
  <c r="B2377" i="9" s="1"/>
  <c r="A2377" i="2"/>
  <c r="A2377" i="9" s="1"/>
  <c r="B2376" i="2"/>
  <c r="B2376" i="9" s="1"/>
  <c r="A2376" i="2"/>
  <c r="A2376" i="9" s="1"/>
  <c r="B2375" i="2"/>
  <c r="B2375" i="9" s="1"/>
  <c r="A2375" i="2"/>
  <c r="A2375" i="9" s="1"/>
  <c r="B2374" i="2"/>
  <c r="B2374" i="9" s="1"/>
  <c r="A2374" i="2"/>
  <c r="A2374" i="9" s="1"/>
  <c r="B2373" i="2"/>
  <c r="B2373" i="9" s="1"/>
  <c r="A2373" i="2"/>
  <c r="A2373" i="9" s="1"/>
  <c r="B2372" i="2"/>
  <c r="B2372" i="9" s="1"/>
  <c r="A2372" i="2"/>
  <c r="A2372" i="9" s="1"/>
  <c r="B2371" i="2"/>
  <c r="B2371" i="9" s="1"/>
  <c r="A2371" i="2"/>
  <c r="A2371" i="9" s="1"/>
  <c r="B2370" i="2"/>
  <c r="B2370" i="9" s="1"/>
  <c r="A2370" i="2"/>
  <c r="A2370" i="9" s="1"/>
  <c r="B2369" i="2"/>
  <c r="B2369" i="9" s="1"/>
  <c r="A2369" i="2"/>
  <c r="A2369" i="9" s="1"/>
  <c r="B2368" i="2"/>
  <c r="B2368" i="9" s="1"/>
  <c r="A2368" i="2"/>
  <c r="A2368" i="9" s="1"/>
  <c r="B2367" i="2"/>
  <c r="B2367" i="9" s="1"/>
  <c r="A2367" i="2"/>
  <c r="A2367" i="9" s="1"/>
  <c r="B2366" i="2"/>
  <c r="B2366" i="9" s="1"/>
  <c r="A2366" i="2"/>
  <c r="A2366" i="9" s="1"/>
  <c r="B2365" i="2"/>
  <c r="B2365" i="9" s="1"/>
  <c r="A2365" i="2"/>
  <c r="A2365" i="9" s="1"/>
  <c r="B2364" i="2"/>
  <c r="B2364" i="9" s="1"/>
  <c r="A2364" i="2"/>
  <c r="A2364" i="9" s="1"/>
  <c r="B2363" i="2"/>
  <c r="B2363" i="9" s="1"/>
  <c r="A2363" i="2"/>
  <c r="A2363" i="9" s="1"/>
  <c r="B2362" i="2"/>
  <c r="B2362" i="9" s="1"/>
  <c r="A2362" i="2"/>
  <c r="A2362" i="9" s="1"/>
  <c r="B2361" i="2"/>
  <c r="B2361" i="9" s="1"/>
  <c r="A2361" i="2"/>
  <c r="A2361" i="9" s="1"/>
  <c r="B2360" i="2"/>
  <c r="B2360" i="9" s="1"/>
  <c r="A2360" i="2"/>
  <c r="A2360" i="9" s="1"/>
  <c r="B2359" i="2"/>
  <c r="B2359" i="9" s="1"/>
  <c r="A2359" i="2"/>
  <c r="A2359" i="9" s="1"/>
  <c r="B2358" i="2"/>
  <c r="B2358" i="9" s="1"/>
  <c r="A2358" i="2"/>
  <c r="A2358" i="9" s="1"/>
  <c r="B2357" i="2"/>
  <c r="B2357" i="9" s="1"/>
  <c r="A2357" i="2"/>
  <c r="A2357" i="9" s="1"/>
  <c r="B2356" i="2"/>
  <c r="B2356" i="9" s="1"/>
  <c r="A2356" i="2"/>
  <c r="A2356" i="9" s="1"/>
  <c r="B2355" i="2"/>
  <c r="B2355" i="9" s="1"/>
  <c r="A2355" i="2"/>
  <c r="A2355" i="9" s="1"/>
  <c r="B2354" i="2"/>
  <c r="B2354" i="9" s="1"/>
  <c r="A2354" i="2"/>
  <c r="A2354" i="9" s="1"/>
  <c r="B2353" i="2"/>
  <c r="B2353" i="9" s="1"/>
  <c r="A2353" i="2"/>
  <c r="A2353" i="9" s="1"/>
  <c r="B2352" i="2"/>
  <c r="B2352" i="9" s="1"/>
  <c r="A2352" i="2"/>
  <c r="A2352" i="9" s="1"/>
  <c r="B2351" i="2"/>
  <c r="B2351" i="9" s="1"/>
  <c r="A2351" i="2"/>
  <c r="A2351" i="9" s="1"/>
  <c r="B2350" i="2"/>
  <c r="B2350" i="9" s="1"/>
  <c r="A2350" i="2"/>
  <c r="A2350" i="9" s="1"/>
  <c r="B2349" i="2"/>
  <c r="B2349" i="9" s="1"/>
  <c r="A2349" i="2"/>
  <c r="A2349" i="9" s="1"/>
  <c r="B2348" i="2"/>
  <c r="B2348" i="9" s="1"/>
  <c r="A2348" i="2"/>
  <c r="A2348" i="9" s="1"/>
  <c r="B2347" i="2"/>
  <c r="B2347" i="9" s="1"/>
  <c r="A2347" i="2"/>
  <c r="A2347" i="9" s="1"/>
  <c r="B2346" i="2"/>
  <c r="B2346" i="9" s="1"/>
  <c r="A2346" i="2"/>
  <c r="A2346" i="9" s="1"/>
  <c r="B2345" i="2"/>
  <c r="B2345" i="9" s="1"/>
  <c r="A2345" i="2"/>
  <c r="A2345" i="9" s="1"/>
  <c r="B2344" i="2"/>
  <c r="B2344" i="9" s="1"/>
  <c r="A2344" i="2"/>
  <c r="A2344" i="9" s="1"/>
  <c r="B2343" i="2"/>
  <c r="B2343" i="9" s="1"/>
  <c r="A2343" i="2"/>
  <c r="A2343" i="9" s="1"/>
  <c r="B2342" i="2"/>
  <c r="B2342" i="9" s="1"/>
  <c r="A2342" i="2"/>
  <c r="A2342" i="9" s="1"/>
  <c r="B2341" i="2"/>
  <c r="B2341" i="9" s="1"/>
  <c r="A2341" i="2"/>
  <c r="A2341" i="9" s="1"/>
  <c r="B2340" i="2"/>
  <c r="B2340" i="9" s="1"/>
  <c r="A2340" i="2"/>
  <c r="A2340" i="9" s="1"/>
  <c r="B2339" i="2"/>
  <c r="B2339" i="9" s="1"/>
  <c r="A2339" i="2"/>
  <c r="A2339" i="9" s="1"/>
  <c r="B2338" i="2"/>
  <c r="B2338" i="9" s="1"/>
  <c r="A2338" i="2"/>
  <c r="A2338" i="9" s="1"/>
  <c r="B2337" i="2"/>
  <c r="B2337" i="9" s="1"/>
  <c r="A2337" i="2"/>
  <c r="A2337" i="9" s="1"/>
  <c r="B2336" i="2"/>
  <c r="B2336" i="9" s="1"/>
  <c r="A2336" i="2"/>
  <c r="A2336" i="9" s="1"/>
  <c r="B2335" i="2"/>
  <c r="B2335" i="9" s="1"/>
  <c r="A2335" i="2"/>
  <c r="A2335" i="9" s="1"/>
  <c r="B2334" i="2"/>
  <c r="B2334" i="9" s="1"/>
  <c r="A2334" i="2"/>
  <c r="A2334" i="9" s="1"/>
  <c r="B2333" i="2"/>
  <c r="B2333" i="9" s="1"/>
  <c r="A2333" i="2"/>
  <c r="A2333" i="9" s="1"/>
  <c r="B2332" i="2"/>
  <c r="B2332" i="9" s="1"/>
  <c r="A2332" i="2"/>
  <c r="A2332" i="9" s="1"/>
  <c r="B2331" i="2"/>
  <c r="B2331" i="9" s="1"/>
  <c r="A2331" i="2"/>
  <c r="A2331" i="9" s="1"/>
  <c r="B2330" i="2"/>
  <c r="B2330" i="9" s="1"/>
  <c r="A2330" i="2"/>
  <c r="A2330" i="9" s="1"/>
  <c r="B2329" i="2"/>
  <c r="B2329" i="9" s="1"/>
  <c r="A2329" i="2"/>
  <c r="A2329" i="9" s="1"/>
  <c r="B2328" i="2"/>
  <c r="B2328" i="9" s="1"/>
  <c r="A2328" i="2"/>
  <c r="A2328" i="9" s="1"/>
  <c r="B2327" i="2"/>
  <c r="B2327" i="9" s="1"/>
  <c r="A2327" i="2"/>
  <c r="A2327" i="9" s="1"/>
  <c r="B2326" i="2"/>
  <c r="B2326" i="9" s="1"/>
  <c r="A2326" i="2"/>
  <c r="A2326" i="9" s="1"/>
  <c r="B2325" i="2"/>
  <c r="B2325" i="9" s="1"/>
  <c r="A2325" i="2"/>
  <c r="A2325" i="9" s="1"/>
  <c r="B2324" i="2"/>
  <c r="B2324" i="9" s="1"/>
  <c r="A2324" i="2"/>
  <c r="A2324" i="9" s="1"/>
  <c r="B2323" i="2"/>
  <c r="B2323" i="9" s="1"/>
  <c r="A2323" i="2"/>
  <c r="A2323" i="9" s="1"/>
  <c r="B2322" i="2"/>
  <c r="B2322" i="9" s="1"/>
  <c r="A2322" i="2"/>
  <c r="A2322" i="9" s="1"/>
  <c r="B2321" i="2"/>
  <c r="B2321" i="9" s="1"/>
  <c r="A2321" i="2"/>
  <c r="A2321" i="9" s="1"/>
  <c r="B2320" i="2"/>
  <c r="B2320" i="9" s="1"/>
  <c r="A2320" i="2"/>
  <c r="A2320" i="9" s="1"/>
  <c r="B2319" i="2"/>
  <c r="B2319" i="9" s="1"/>
  <c r="A2319" i="2"/>
  <c r="A2319" i="9" s="1"/>
  <c r="B2318" i="2"/>
  <c r="B2318" i="9" s="1"/>
  <c r="A2318" i="2"/>
  <c r="A2318" i="9" s="1"/>
  <c r="B2317" i="2"/>
  <c r="B2317" i="9" s="1"/>
  <c r="A2317" i="2"/>
  <c r="A2317" i="9" s="1"/>
  <c r="B2316" i="2"/>
  <c r="B2316" i="9" s="1"/>
  <c r="A2316" i="2"/>
  <c r="A2316" i="9" s="1"/>
  <c r="B2315" i="2"/>
  <c r="B2315" i="9" s="1"/>
  <c r="A2315" i="2"/>
  <c r="A2315" i="9" s="1"/>
  <c r="B2314" i="2"/>
  <c r="B2314" i="9" s="1"/>
  <c r="A2314" i="2"/>
  <c r="A2314" i="9" s="1"/>
  <c r="B2313" i="2"/>
  <c r="B2313" i="9" s="1"/>
  <c r="A2313" i="2"/>
  <c r="A2313" i="9" s="1"/>
  <c r="B2312" i="2"/>
  <c r="B2312" i="9" s="1"/>
  <c r="A2312" i="2"/>
  <c r="A2312" i="9" s="1"/>
  <c r="B2311" i="2"/>
  <c r="B2311" i="9" s="1"/>
  <c r="A2311" i="2"/>
  <c r="A2311" i="9" s="1"/>
  <c r="B2310" i="2"/>
  <c r="B2310" i="9" s="1"/>
  <c r="A2310" i="2"/>
  <c r="A2310" i="9" s="1"/>
  <c r="B2309" i="2"/>
  <c r="B2309" i="9" s="1"/>
  <c r="A2309" i="2"/>
  <c r="A2309" i="9" s="1"/>
  <c r="B2308" i="2"/>
  <c r="B2308" i="9" s="1"/>
  <c r="A2308" i="2"/>
  <c r="A2308" i="9" s="1"/>
  <c r="B2307" i="2"/>
  <c r="B2307" i="9" s="1"/>
  <c r="A2307" i="2"/>
  <c r="A2307" i="9" s="1"/>
  <c r="B2306" i="2"/>
  <c r="B2306" i="9" s="1"/>
  <c r="A2306" i="2"/>
  <c r="A2306" i="9" s="1"/>
  <c r="B2305" i="2"/>
  <c r="B2305" i="9" s="1"/>
  <c r="A2305" i="2"/>
  <c r="A2305" i="9" s="1"/>
  <c r="B2304" i="2"/>
  <c r="B2304" i="9" s="1"/>
  <c r="A2304" i="2"/>
  <c r="A2304" i="9" s="1"/>
  <c r="B2303" i="2"/>
  <c r="B2303" i="9" s="1"/>
  <c r="A2303" i="2"/>
  <c r="A2303" i="9" s="1"/>
  <c r="B2302" i="2"/>
  <c r="B2302" i="9" s="1"/>
  <c r="A2302" i="2"/>
  <c r="A2302" i="9" s="1"/>
  <c r="B2301" i="2"/>
  <c r="B2301" i="9" s="1"/>
  <c r="A2301" i="2"/>
  <c r="A2301" i="9" s="1"/>
  <c r="B2300" i="2"/>
  <c r="B2300" i="9" s="1"/>
  <c r="A2300" i="2"/>
  <c r="A2300" i="9" s="1"/>
  <c r="B2299" i="2"/>
  <c r="B2299" i="9" s="1"/>
  <c r="A2299" i="2"/>
  <c r="A2299" i="9" s="1"/>
  <c r="B2298" i="2"/>
  <c r="B2298" i="9" s="1"/>
  <c r="A2298" i="2"/>
  <c r="A2298" i="9" s="1"/>
  <c r="B2297" i="2"/>
  <c r="B2297" i="9" s="1"/>
  <c r="A2297" i="2"/>
  <c r="A2297" i="9" s="1"/>
  <c r="B2296" i="2"/>
  <c r="B2296" i="9" s="1"/>
  <c r="A2296" i="2"/>
  <c r="A2296" i="9" s="1"/>
  <c r="B2295" i="2"/>
  <c r="B2295" i="9" s="1"/>
  <c r="A2295" i="2"/>
  <c r="A2295" i="9" s="1"/>
  <c r="B2294" i="2"/>
  <c r="B2294" i="9" s="1"/>
  <c r="A2294" i="2"/>
  <c r="A2294" i="9" s="1"/>
  <c r="B2293" i="2"/>
  <c r="B2293" i="9" s="1"/>
  <c r="A2293" i="2"/>
  <c r="A2293" i="9" s="1"/>
  <c r="B2292" i="2"/>
  <c r="B2292" i="9" s="1"/>
  <c r="A2292" i="2"/>
  <c r="A2292" i="9" s="1"/>
  <c r="B2291" i="2"/>
  <c r="B2291" i="9" s="1"/>
  <c r="A2291" i="2"/>
  <c r="A2291" i="9" s="1"/>
  <c r="B2290" i="2"/>
  <c r="B2290" i="9" s="1"/>
  <c r="A2290" i="2"/>
  <c r="A2290" i="9" s="1"/>
  <c r="B2289" i="2"/>
  <c r="B2289" i="9" s="1"/>
  <c r="A2289" i="2"/>
  <c r="A2289" i="9" s="1"/>
  <c r="B2288" i="2"/>
  <c r="B2288" i="9" s="1"/>
  <c r="A2288" i="2"/>
  <c r="A2288" i="9" s="1"/>
  <c r="B2287" i="2"/>
  <c r="B2287" i="9" s="1"/>
  <c r="A2287" i="2"/>
  <c r="A2287" i="9" s="1"/>
  <c r="B2286" i="2"/>
  <c r="B2286" i="9" s="1"/>
  <c r="A2286" i="2"/>
  <c r="A2286" i="9" s="1"/>
  <c r="B2285" i="2"/>
  <c r="B2285" i="9" s="1"/>
  <c r="A2285" i="2"/>
  <c r="A2285" i="9" s="1"/>
  <c r="B2284" i="2"/>
  <c r="B2284" i="9" s="1"/>
  <c r="A2284" i="2"/>
  <c r="A2284" i="9" s="1"/>
  <c r="B2283" i="2"/>
  <c r="B2283" i="9" s="1"/>
  <c r="A2283" i="2"/>
  <c r="A2283" i="9" s="1"/>
  <c r="B2282" i="2"/>
  <c r="B2282" i="9" s="1"/>
  <c r="A2282" i="2"/>
  <c r="A2282" i="9" s="1"/>
  <c r="B2281" i="2"/>
  <c r="B2281" i="9" s="1"/>
  <c r="A2281" i="2"/>
  <c r="A2281" i="9" s="1"/>
  <c r="B2280" i="2"/>
  <c r="B2280" i="9" s="1"/>
  <c r="A2280" i="2"/>
  <c r="A2280" i="9" s="1"/>
  <c r="B2279" i="2"/>
  <c r="B2279" i="9" s="1"/>
  <c r="A2279" i="2"/>
  <c r="A2279" i="9" s="1"/>
  <c r="B2278" i="2"/>
  <c r="B2278" i="9" s="1"/>
  <c r="A2278" i="2"/>
  <c r="A2278" i="9" s="1"/>
  <c r="B2277" i="2"/>
  <c r="B2277" i="9" s="1"/>
  <c r="A2277" i="2"/>
  <c r="A2277" i="9" s="1"/>
  <c r="B2276" i="2"/>
  <c r="B2276" i="9" s="1"/>
  <c r="A2276" i="2"/>
  <c r="A2276" i="9" s="1"/>
  <c r="B2275" i="2"/>
  <c r="B2275" i="9" s="1"/>
  <c r="A2275" i="2"/>
  <c r="A2275" i="9" s="1"/>
  <c r="B2274" i="2"/>
  <c r="B2274" i="9" s="1"/>
  <c r="A2274" i="2"/>
  <c r="A2274" i="9" s="1"/>
  <c r="B2273" i="2"/>
  <c r="B2273" i="9" s="1"/>
  <c r="A2273" i="2"/>
  <c r="A2273" i="9" s="1"/>
  <c r="B2272" i="2"/>
  <c r="B2272" i="9" s="1"/>
  <c r="A2272" i="2"/>
  <c r="A2272" i="9" s="1"/>
  <c r="B2271" i="2"/>
  <c r="B2271" i="9" s="1"/>
  <c r="A2271" i="2"/>
  <c r="A2271" i="9" s="1"/>
  <c r="B2270" i="2"/>
  <c r="B2270" i="9" s="1"/>
  <c r="A2270" i="2"/>
  <c r="A2270" i="9" s="1"/>
  <c r="B2269" i="2"/>
  <c r="B2269" i="9" s="1"/>
  <c r="A2269" i="2"/>
  <c r="A2269" i="9" s="1"/>
  <c r="B2268" i="2"/>
  <c r="B2268" i="9" s="1"/>
  <c r="A2268" i="2"/>
  <c r="A2268" i="9" s="1"/>
  <c r="B2267" i="2"/>
  <c r="B2267" i="9" s="1"/>
  <c r="A2267" i="2"/>
  <c r="A2267" i="9" s="1"/>
  <c r="B2266" i="2"/>
  <c r="B2266" i="9" s="1"/>
  <c r="A2266" i="2"/>
  <c r="A2266" i="9" s="1"/>
  <c r="B2265" i="2"/>
  <c r="B2265" i="9" s="1"/>
  <c r="A2265" i="2"/>
  <c r="A2265" i="9" s="1"/>
  <c r="B2264" i="2"/>
  <c r="B2264" i="9" s="1"/>
  <c r="A2264" i="2"/>
  <c r="A2264" i="9" s="1"/>
  <c r="B2263" i="2"/>
  <c r="B2263" i="9" s="1"/>
  <c r="A2263" i="2"/>
  <c r="A2263" i="9" s="1"/>
  <c r="B2262" i="2"/>
  <c r="B2262" i="9" s="1"/>
  <c r="A2262" i="2"/>
  <c r="A2262" i="9" s="1"/>
  <c r="B2261" i="2"/>
  <c r="B2261" i="9" s="1"/>
  <c r="A2261" i="2"/>
  <c r="A2261" i="9" s="1"/>
  <c r="B2260" i="2"/>
  <c r="B2260" i="9" s="1"/>
  <c r="A2260" i="2"/>
  <c r="A2260" i="9" s="1"/>
  <c r="B2259" i="2"/>
  <c r="B2259" i="9" s="1"/>
  <c r="A2259" i="2"/>
  <c r="A2259" i="9" s="1"/>
  <c r="B2258" i="2"/>
  <c r="B2258" i="9" s="1"/>
  <c r="A2258" i="2"/>
  <c r="A2258" i="9" s="1"/>
  <c r="B2257" i="2"/>
  <c r="B2257" i="9" s="1"/>
  <c r="A2257" i="2"/>
  <c r="A2257" i="9" s="1"/>
  <c r="B2256" i="2"/>
  <c r="B2256" i="9" s="1"/>
  <c r="A2256" i="2"/>
  <c r="A2256" i="9" s="1"/>
  <c r="B2255" i="2"/>
  <c r="B2255" i="9" s="1"/>
  <c r="A2255" i="2"/>
  <c r="A2255" i="9" s="1"/>
  <c r="B2254" i="2"/>
  <c r="B2254" i="9" s="1"/>
  <c r="A2254" i="2"/>
  <c r="A2254" i="9" s="1"/>
  <c r="B2253" i="2"/>
  <c r="B2253" i="9" s="1"/>
  <c r="A2253" i="2"/>
  <c r="A2253" i="9" s="1"/>
  <c r="B2252" i="2"/>
  <c r="B2252" i="9" s="1"/>
  <c r="A2252" i="2"/>
  <c r="A2252" i="9" s="1"/>
  <c r="B2251" i="2"/>
  <c r="B2251" i="9" s="1"/>
  <c r="A2251" i="2"/>
  <c r="A2251" i="9" s="1"/>
  <c r="B2250" i="2"/>
  <c r="B2250" i="9" s="1"/>
  <c r="A2250" i="2"/>
  <c r="A2250" i="9" s="1"/>
  <c r="B2249" i="2"/>
  <c r="B2249" i="9" s="1"/>
  <c r="A2249" i="2"/>
  <c r="A2249" i="9" s="1"/>
  <c r="B2248" i="2"/>
  <c r="B2248" i="9" s="1"/>
  <c r="A2248" i="2"/>
  <c r="A2248" i="9" s="1"/>
  <c r="B2247" i="2"/>
  <c r="B2247" i="9" s="1"/>
  <c r="A2247" i="2"/>
  <c r="A2247" i="9" s="1"/>
  <c r="B2246" i="2"/>
  <c r="B2246" i="9" s="1"/>
  <c r="A2246" i="2"/>
  <c r="A2246" i="9" s="1"/>
  <c r="B2245" i="2"/>
  <c r="B2245" i="9" s="1"/>
  <c r="A2245" i="2"/>
  <c r="A2245" i="9" s="1"/>
  <c r="B2244" i="2"/>
  <c r="B2244" i="9" s="1"/>
  <c r="A2244" i="2"/>
  <c r="A2244" i="9" s="1"/>
  <c r="B2243" i="2"/>
  <c r="B2243" i="9" s="1"/>
  <c r="A2243" i="2"/>
  <c r="A2243" i="9" s="1"/>
  <c r="B2242" i="2"/>
  <c r="B2242" i="9" s="1"/>
  <c r="A2242" i="2"/>
  <c r="A2242" i="9" s="1"/>
  <c r="B2241" i="2"/>
  <c r="B2241" i="9" s="1"/>
  <c r="A2241" i="2"/>
  <c r="A2241" i="9" s="1"/>
  <c r="B2240" i="2"/>
  <c r="B2240" i="9" s="1"/>
  <c r="A2240" i="2"/>
  <c r="A2240" i="9" s="1"/>
  <c r="B2239" i="2"/>
  <c r="B2239" i="9" s="1"/>
  <c r="A2239" i="2"/>
  <c r="A2239" i="9" s="1"/>
  <c r="B2238" i="2"/>
  <c r="B2238" i="9" s="1"/>
  <c r="A2238" i="2"/>
  <c r="A2238" i="9" s="1"/>
  <c r="B2237" i="2"/>
  <c r="B2237" i="9" s="1"/>
  <c r="A2237" i="2"/>
  <c r="A2237" i="9" s="1"/>
  <c r="B2236" i="2"/>
  <c r="B2236" i="9" s="1"/>
  <c r="A2236" i="2"/>
  <c r="A2236" i="9" s="1"/>
  <c r="B2235" i="2"/>
  <c r="B2235" i="9" s="1"/>
  <c r="A2235" i="2"/>
  <c r="A2235" i="9" s="1"/>
  <c r="B2234" i="2"/>
  <c r="B2234" i="9" s="1"/>
  <c r="A2234" i="2"/>
  <c r="A2234" i="9" s="1"/>
  <c r="B2233" i="2"/>
  <c r="B2233" i="9" s="1"/>
  <c r="A2233" i="2"/>
  <c r="A2233" i="9" s="1"/>
  <c r="B2232" i="2"/>
  <c r="B2232" i="9" s="1"/>
  <c r="A2232" i="2"/>
  <c r="A2232" i="9" s="1"/>
  <c r="B2231" i="2"/>
  <c r="B2231" i="9" s="1"/>
  <c r="A2231" i="2"/>
  <c r="A2231" i="9" s="1"/>
  <c r="B2230" i="2"/>
  <c r="B2230" i="9" s="1"/>
  <c r="A2230" i="2"/>
  <c r="A2230" i="9" s="1"/>
  <c r="B2229" i="2"/>
  <c r="B2229" i="9" s="1"/>
  <c r="A2229" i="2"/>
  <c r="A2229" i="9" s="1"/>
  <c r="B2228" i="2"/>
  <c r="B2228" i="9" s="1"/>
  <c r="A2228" i="2"/>
  <c r="A2228" i="9" s="1"/>
  <c r="B2227" i="2"/>
  <c r="B2227" i="9" s="1"/>
  <c r="A2227" i="2"/>
  <c r="A2227" i="9" s="1"/>
  <c r="B2226" i="2"/>
  <c r="B2226" i="9" s="1"/>
  <c r="A2226" i="2"/>
  <c r="A2226" i="9" s="1"/>
  <c r="B2225" i="2"/>
  <c r="B2225" i="9" s="1"/>
  <c r="A2225" i="2"/>
  <c r="A2225" i="9" s="1"/>
  <c r="B2224" i="2"/>
  <c r="B2224" i="9" s="1"/>
  <c r="A2224" i="2"/>
  <c r="A2224" i="9" s="1"/>
  <c r="B2223" i="2"/>
  <c r="B2223" i="9" s="1"/>
  <c r="A2223" i="2"/>
  <c r="A2223" i="9" s="1"/>
  <c r="B2222" i="2"/>
  <c r="B2222" i="9" s="1"/>
  <c r="A2222" i="2"/>
  <c r="A2222" i="9" s="1"/>
  <c r="B2221" i="2"/>
  <c r="B2221" i="9" s="1"/>
  <c r="A2221" i="2"/>
  <c r="A2221" i="9" s="1"/>
  <c r="B2220" i="2"/>
  <c r="B2220" i="9" s="1"/>
  <c r="A2220" i="2"/>
  <c r="A2220" i="9" s="1"/>
  <c r="B2219" i="2"/>
  <c r="B2219" i="9" s="1"/>
  <c r="A2219" i="2"/>
  <c r="A2219" i="9" s="1"/>
  <c r="B2218" i="2"/>
  <c r="B2218" i="9" s="1"/>
  <c r="A2218" i="2"/>
  <c r="A2218" i="9" s="1"/>
  <c r="B2217" i="2"/>
  <c r="B2217" i="9" s="1"/>
  <c r="A2217" i="2"/>
  <c r="A2217" i="9" s="1"/>
  <c r="B2216" i="2"/>
  <c r="B2216" i="9" s="1"/>
  <c r="A2216" i="2"/>
  <c r="A2216" i="9" s="1"/>
  <c r="B2215" i="2"/>
  <c r="B2215" i="9" s="1"/>
  <c r="A2215" i="2"/>
  <c r="A2215" i="9" s="1"/>
  <c r="B2214" i="2"/>
  <c r="B2214" i="9" s="1"/>
  <c r="A2214" i="2"/>
  <c r="A2214" i="9" s="1"/>
  <c r="B2213" i="2"/>
  <c r="B2213" i="9" s="1"/>
  <c r="A2213" i="2"/>
  <c r="A2213" i="9" s="1"/>
  <c r="B2212" i="2"/>
  <c r="B2212" i="9" s="1"/>
  <c r="A2212" i="2"/>
  <c r="A2212" i="9" s="1"/>
  <c r="B2211" i="2"/>
  <c r="B2211" i="9" s="1"/>
  <c r="A2211" i="2"/>
  <c r="A2211" i="9" s="1"/>
  <c r="B2210" i="2"/>
  <c r="B2210" i="9" s="1"/>
  <c r="A2210" i="2"/>
  <c r="A2210" i="9" s="1"/>
  <c r="B2209" i="2"/>
  <c r="B2209" i="9" s="1"/>
  <c r="A2209" i="2"/>
  <c r="A2209" i="9" s="1"/>
  <c r="B2208" i="2"/>
  <c r="B2208" i="9" s="1"/>
  <c r="A2208" i="2"/>
  <c r="A2208" i="9" s="1"/>
  <c r="B2207" i="2"/>
  <c r="B2207" i="9" s="1"/>
  <c r="A2207" i="2"/>
  <c r="A2207" i="9" s="1"/>
  <c r="B2206" i="2"/>
  <c r="B2206" i="9" s="1"/>
  <c r="A2206" i="2"/>
  <c r="A2206" i="9" s="1"/>
  <c r="B2205" i="2"/>
  <c r="B2205" i="9" s="1"/>
  <c r="A2205" i="2"/>
  <c r="A2205" i="9" s="1"/>
  <c r="B2204" i="2"/>
  <c r="B2204" i="9" s="1"/>
  <c r="A2204" i="2"/>
  <c r="A2204" i="9" s="1"/>
  <c r="B2203" i="2"/>
  <c r="B2203" i="9" s="1"/>
  <c r="A2203" i="2"/>
  <c r="A2203" i="9" s="1"/>
  <c r="B2202" i="2"/>
  <c r="B2202" i="9" s="1"/>
  <c r="A2202" i="2"/>
  <c r="A2202" i="9" s="1"/>
  <c r="B2201" i="2"/>
  <c r="B2201" i="9" s="1"/>
  <c r="A2201" i="2"/>
  <c r="A2201" i="9" s="1"/>
  <c r="B2200" i="2"/>
  <c r="B2200" i="9" s="1"/>
  <c r="A2200" i="2"/>
  <c r="A2200" i="9" s="1"/>
  <c r="B2199" i="2"/>
  <c r="B2199" i="9" s="1"/>
  <c r="A2199" i="2"/>
  <c r="A2199" i="9" s="1"/>
  <c r="B2198" i="2"/>
  <c r="B2198" i="9" s="1"/>
  <c r="A2198" i="2"/>
  <c r="A2198" i="9" s="1"/>
  <c r="B2197" i="2"/>
  <c r="B2197" i="9" s="1"/>
  <c r="A2197" i="2"/>
  <c r="A2197" i="9" s="1"/>
  <c r="B2196" i="2"/>
  <c r="B2196" i="9" s="1"/>
  <c r="A2196" i="2"/>
  <c r="A2196" i="9" s="1"/>
  <c r="B2195" i="2"/>
  <c r="B2195" i="9" s="1"/>
  <c r="A2195" i="2"/>
  <c r="A2195" i="9" s="1"/>
  <c r="B2194" i="2"/>
  <c r="B2194" i="9" s="1"/>
  <c r="A2194" i="2"/>
  <c r="A2194" i="9" s="1"/>
  <c r="B2193" i="2"/>
  <c r="B2193" i="9" s="1"/>
  <c r="A2193" i="2"/>
  <c r="A2193" i="9" s="1"/>
  <c r="B2192" i="2"/>
  <c r="B2192" i="9" s="1"/>
  <c r="A2192" i="2"/>
  <c r="A2192" i="9" s="1"/>
  <c r="B2191" i="2"/>
  <c r="B2191" i="9" s="1"/>
  <c r="A2191" i="2"/>
  <c r="A2191" i="9" s="1"/>
  <c r="B2190" i="2"/>
  <c r="B2190" i="9" s="1"/>
  <c r="A2190" i="2"/>
  <c r="A2190" i="9" s="1"/>
  <c r="B2189" i="2"/>
  <c r="B2189" i="9" s="1"/>
  <c r="A2189" i="2"/>
  <c r="A2189" i="9" s="1"/>
  <c r="B2188" i="2"/>
  <c r="B2188" i="9" s="1"/>
  <c r="A2188" i="2"/>
  <c r="A2188" i="9" s="1"/>
  <c r="B2187" i="2"/>
  <c r="B2187" i="9" s="1"/>
  <c r="A2187" i="2"/>
  <c r="A2187" i="9" s="1"/>
  <c r="B2186" i="2"/>
  <c r="B2186" i="9" s="1"/>
  <c r="A2186" i="2"/>
  <c r="A2186" i="9" s="1"/>
  <c r="B2185" i="2"/>
  <c r="B2185" i="9" s="1"/>
  <c r="A2185" i="2"/>
  <c r="A2185" i="9" s="1"/>
  <c r="B2184" i="2"/>
  <c r="B2184" i="9" s="1"/>
  <c r="A2184" i="2"/>
  <c r="A2184" i="9" s="1"/>
  <c r="B2183" i="2"/>
  <c r="B2183" i="9" s="1"/>
  <c r="A2183" i="2"/>
  <c r="A2183" i="9" s="1"/>
  <c r="B2182" i="2"/>
  <c r="B2182" i="9" s="1"/>
  <c r="A2182" i="2"/>
  <c r="A2182" i="9" s="1"/>
  <c r="B2181" i="2"/>
  <c r="B2181" i="9" s="1"/>
  <c r="A2181" i="2"/>
  <c r="A2181" i="9" s="1"/>
  <c r="B2180" i="2"/>
  <c r="B2180" i="9" s="1"/>
  <c r="A2180" i="2"/>
  <c r="A2180" i="9" s="1"/>
  <c r="B2179" i="2"/>
  <c r="B2179" i="9" s="1"/>
  <c r="A2179" i="2"/>
  <c r="A2179" i="9" s="1"/>
  <c r="B2178" i="2"/>
  <c r="B2178" i="9" s="1"/>
  <c r="A2178" i="2"/>
  <c r="A2178" i="9" s="1"/>
  <c r="B2177" i="2"/>
  <c r="B2177" i="9" s="1"/>
  <c r="A2177" i="2"/>
  <c r="A2177" i="9" s="1"/>
  <c r="B2176" i="2"/>
  <c r="B2176" i="9" s="1"/>
  <c r="A2176" i="2"/>
  <c r="A2176" i="9" s="1"/>
  <c r="B2175" i="2"/>
  <c r="B2175" i="9" s="1"/>
  <c r="A2175" i="2"/>
  <c r="A2175" i="9" s="1"/>
  <c r="B2174" i="2"/>
  <c r="B2174" i="9" s="1"/>
  <c r="A2174" i="2"/>
  <c r="A2174" i="9" s="1"/>
  <c r="B2173" i="2"/>
  <c r="B2173" i="9" s="1"/>
  <c r="A2173" i="2"/>
  <c r="A2173" i="9" s="1"/>
  <c r="B2172" i="2"/>
  <c r="B2172" i="9" s="1"/>
  <c r="A2172" i="2"/>
  <c r="A2172" i="9" s="1"/>
  <c r="B2171" i="2"/>
  <c r="B2171" i="9" s="1"/>
  <c r="A2171" i="2"/>
  <c r="A2171" i="9" s="1"/>
  <c r="B2170" i="2"/>
  <c r="B2170" i="9" s="1"/>
  <c r="A2170" i="2"/>
  <c r="A2170" i="9" s="1"/>
  <c r="B2169" i="2"/>
  <c r="B2169" i="9" s="1"/>
  <c r="A2169" i="2"/>
  <c r="A2169" i="9" s="1"/>
  <c r="B2168" i="2"/>
  <c r="B2168" i="9" s="1"/>
  <c r="A2168" i="2"/>
  <c r="A2168" i="9" s="1"/>
  <c r="B2167" i="2"/>
  <c r="B2167" i="9" s="1"/>
  <c r="A2167" i="2"/>
  <c r="A2167" i="9" s="1"/>
  <c r="B2166" i="2"/>
  <c r="B2166" i="9" s="1"/>
  <c r="A2166" i="2"/>
  <c r="A2166" i="9" s="1"/>
  <c r="B2165" i="2"/>
  <c r="B2165" i="9" s="1"/>
  <c r="A2165" i="2"/>
  <c r="A2165" i="9" s="1"/>
  <c r="B2164" i="2"/>
  <c r="B2164" i="9" s="1"/>
  <c r="A2164" i="2"/>
  <c r="A2164" i="9" s="1"/>
  <c r="B2163" i="2"/>
  <c r="B2163" i="9" s="1"/>
  <c r="A2163" i="2"/>
  <c r="A2163" i="9" s="1"/>
  <c r="B2162" i="2"/>
  <c r="B2162" i="9" s="1"/>
  <c r="A2162" i="2"/>
  <c r="A2162" i="9" s="1"/>
  <c r="B2161" i="2"/>
  <c r="B2161" i="9" s="1"/>
  <c r="A2161" i="2"/>
  <c r="A2161" i="9" s="1"/>
  <c r="B2160" i="2"/>
  <c r="B2160" i="9" s="1"/>
  <c r="A2160" i="2"/>
  <c r="A2160" i="9" s="1"/>
  <c r="B2159" i="2"/>
  <c r="B2159" i="9" s="1"/>
  <c r="A2159" i="2"/>
  <c r="A2159" i="9" s="1"/>
  <c r="B2158" i="2"/>
  <c r="B2158" i="9" s="1"/>
  <c r="A2158" i="2"/>
  <c r="A2158" i="9" s="1"/>
  <c r="B2157" i="2"/>
  <c r="B2157" i="9" s="1"/>
  <c r="A2157" i="2"/>
  <c r="A2157" i="9" s="1"/>
  <c r="B2156" i="2"/>
  <c r="B2156" i="9" s="1"/>
  <c r="A2156" i="2"/>
  <c r="A2156" i="9" s="1"/>
  <c r="B2155" i="2"/>
  <c r="B2155" i="9" s="1"/>
  <c r="A2155" i="2"/>
  <c r="A2155" i="9" s="1"/>
  <c r="B2154" i="2"/>
  <c r="B2154" i="9" s="1"/>
  <c r="A2154" i="2"/>
  <c r="A2154" i="9" s="1"/>
  <c r="B2153" i="2"/>
  <c r="B2153" i="9" s="1"/>
  <c r="A2153" i="2"/>
  <c r="A2153" i="9" s="1"/>
  <c r="B2152" i="2"/>
  <c r="B2152" i="9" s="1"/>
  <c r="A2152" i="2"/>
  <c r="A2152" i="9" s="1"/>
  <c r="B2151" i="2"/>
  <c r="B2151" i="9" s="1"/>
  <c r="A2151" i="2"/>
  <c r="A2151" i="9" s="1"/>
  <c r="B2150" i="2"/>
  <c r="B2150" i="9" s="1"/>
  <c r="A2150" i="2"/>
  <c r="A2150" i="9" s="1"/>
  <c r="B2149" i="2"/>
  <c r="B2149" i="9" s="1"/>
  <c r="A2149" i="2"/>
  <c r="A2149" i="9" s="1"/>
  <c r="B2148" i="2"/>
  <c r="B2148" i="9" s="1"/>
  <c r="A2148" i="2"/>
  <c r="A2148" i="9" s="1"/>
  <c r="B2147" i="2"/>
  <c r="B2147" i="9" s="1"/>
  <c r="A2147" i="2"/>
  <c r="A2147" i="9" s="1"/>
  <c r="B2146" i="2"/>
  <c r="B2146" i="9" s="1"/>
  <c r="A2146" i="2"/>
  <c r="A2146" i="9" s="1"/>
  <c r="B2145" i="2"/>
  <c r="B2145" i="9" s="1"/>
  <c r="A2145" i="2"/>
  <c r="A2145" i="9" s="1"/>
  <c r="B2144" i="2"/>
  <c r="B2144" i="9" s="1"/>
  <c r="A2144" i="2"/>
  <c r="A2144" i="9" s="1"/>
  <c r="B2143" i="2"/>
  <c r="B2143" i="9" s="1"/>
  <c r="A2143" i="2"/>
  <c r="A2143" i="9" s="1"/>
  <c r="B2142" i="2"/>
  <c r="B2142" i="9" s="1"/>
  <c r="A2142" i="2"/>
  <c r="A2142" i="9" s="1"/>
  <c r="B2141" i="2"/>
  <c r="B2141" i="9" s="1"/>
  <c r="A2141" i="2"/>
  <c r="A2141" i="9" s="1"/>
  <c r="B2140" i="2"/>
  <c r="B2140" i="9" s="1"/>
  <c r="A2140" i="2"/>
  <c r="A2140" i="9" s="1"/>
  <c r="B2139" i="2"/>
  <c r="B2139" i="9" s="1"/>
  <c r="A2139" i="2"/>
  <c r="A2139" i="9" s="1"/>
  <c r="B2138" i="2"/>
  <c r="B2138" i="9" s="1"/>
  <c r="A2138" i="2"/>
  <c r="A2138" i="9" s="1"/>
  <c r="B2137" i="2"/>
  <c r="B2137" i="9" s="1"/>
  <c r="A2137" i="2"/>
  <c r="A2137" i="9" s="1"/>
  <c r="B2136" i="2"/>
  <c r="B2136" i="9" s="1"/>
  <c r="A2136" i="2"/>
  <c r="A2136" i="9" s="1"/>
  <c r="B2135" i="2"/>
  <c r="B2135" i="9" s="1"/>
  <c r="A2135" i="2"/>
  <c r="A2135" i="9" s="1"/>
  <c r="B2134" i="2"/>
  <c r="B2134" i="9" s="1"/>
  <c r="A2134" i="2"/>
  <c r="A2134" i="9" s="1"/>
  <c r="B2133" i="2"/>
  <c r="B2133" i="9" s="1"/>
  <c r="A2133" i="2"/>
  <c r="A2133" i="9" s="1"/>
  <c r="B2132" i="2"/>
  <c r="B2132" i="9" s="1"/>
  <c r="A2132" i="2"/>
  <c r="A2132" i="9" s="1"/>
  <c r="B2131" i="2"/>
  <c r="B2131" i="9" s="1"/>
  <c r="A2131" i="2"/>
  <c r="A2131" i="9" s="1"/>
  <c r="B2130" i="2"/>
  <c r="B2130" i="9" s="1"/>
  <c r="A2130" i="2"/>
  <c r="A2130" i="9" s="1"/>
  <c r="B2129" i="2"/>
  <c r="B2129" i="9" s="1"/>
  <c r="A2129" i="2"/>
  <c r="A2129" i="9" s="1"/>
  <c r="B2128" i="2"/>
  <c r="B2128" i="9" s="1"/>
  <c r="A2128" i="2"/>
  <c r="A2128" i="9" s="1"/>
  <c r="B2127" i="2"/>
  <c r="B2127" i="9" s="1"/>
  <c r="A2127" i="2"/>
  <c r="A2127" i="9" s="1"/>
  <c r="B2126" i="2"/>
  <c r="B2126" i="9" s="1"/>
  <c r="A2126" i="2"/>
  <c r="A2126" i="9" s="1"/>
  <c r="B2125" i="2"/>
  <c r="B2125" i="9" s="1"/>
  <c r="A2125" i="2"/>
  <c r="A2125" i="9" s="1"/>
  <c r="B2124" i="2"/>
  <c r="B2124" i="9" s="1"/>
  <c r="A2124" i="2"/>
  <c r="A2124" i="9" s="1"/>
  <c r="B2123" i="2"/>
  <c r="B2123" i="9" s="1"/>
  <c r="A2123" i="2"/>
  <c r="A2123" i="9" s="1"/>
  <c r="B2122" i="2"/>
  <c r="B2122" i="9" s="1"/>
  <c r="A2122" i="2"/>
  <c r="A2122" i="9" s="1"/>
  <c r="B2121" i="2"/>
  <c r="B2121" i="9" s="1"/>
  <c r="A2121" i="2"/>
  <c r="A2121" i="9" s="1"/>
  <c r="B2120" i="2"/>
  <c r="B2120" i="9" s="1"/>
  <c r="A2120" i="2"/>
  <c r="A2120" i="9" s="1"/>
  <c r="B2119" i="2"/>
  <c r="B2119" i="9" s="1"/>
  <c r="A2119" i="2"/>
  <c r="A2119" i="9" s="1"/>
  <c r="B2118" i="2"/>
  <c r="B2118" i="9" s="1"/>
  <c r="A2118" i="2"/>
  <c r="A2118" i="9" s="1"/>
  <c r="B2117" i="2"/>
  <c r="B2117" i="9" s="1"/>
  <c r="A2117" i="2"/>
  <c r="A2117" i="9" s="1"/>
  <c r="B2116" i="2"/>
  <c r="B2116" i="9" s="1"/>
  <c r="A2116" i="2"/>
  <c r="A2116" i="9" s="1"/>
  <c r="B2115" i="2"/>
  <c r="B2115" i="9" s="1"/>
  <c r="A2115" i="2"/>
  <c r="A2115" i="9" s="1"/>
  <c r="B2114" i="2"/>
  <c r="B2114" i="9" s="1"/>
  <c r="A2114" i="2"/>
  <c r="A2114" i="9" s="1"/>
  <c r="B2113" i="2"/>
  <c r="B2113" i="9" s="1"/>
  <c r="A2113" i="2"/>
  <c r="A2113" i="9" s="1"/>
  <c r="B2112" i="2"/>
  <c r="B2112" i="9" s="1"/>
  <c r="A2112" i="2"/>
  <c r="A2112" i="9" s="1"/>
  <c r="B2111" i="2"/>
  <c r="B2111" i="9" s="1"/>
  <c r="A2111" i="2"/>
  <c r="A2111" i="9" s="1"/>
  <c r="B2110" i="2"/>
  <c r="B2110" i="9" s="1"/>
  <c r="A2110" i="2"/>
  <c r="A2110" i="9" s="1"/>
  <c r="B2109" i="2"/>
  <c r="B2109" i="9" s="1"/>
  <c r="A2109" i="2"/>
  <c r="A2109" i="9" s="1"/>
  <c r="B2108" i="2"/>
  <c r="B2108" i="9" s="1"/>
  <c r="A2108" i="2"/>
  <c r="A2108" i="9" s="1"/>
  <c r="B2107" i="2"/>
  <c r="B2107" i="9" s="1"/>
  <c r="A2107" i="2"/>
  <c r="A2107" i="9" s="1"/>
  <c r="B2106" i="2"/>
  <c r="B2106" i="9" s="1"/>
  <c r="A2106" i="2"/>
  <c r="A2106" i="9" s="1"/>
  <c r="B2105" i="2"/>
  <c r="B2105" i="9" s="1"/>
  <c r="A2105" i="2"/>
  <c r="A2105" i="9" s="1"/>
  <c r="B2104" i="2"/>
  <c r="B2104" i="9" s="1"/>
  <c r="A2104" i="2"/>
  <c r="A2104" i="9" s="1"/>
  <c r="B2103" i="2"/>
  <c r="B2103" i="9" s="1"/>
  <c r="A2103" i="2"/>
  <c r="A2103" i="9" s="1"/>
  <c r="B2102" i="2"/>
  <c r="B2102" i="9" s="1"/>
  <c r="A2102" i="2"/>
  <c r="A2102" i="9" s="1"/>
  <c r="B2101" i="2"/>
  <c r="B2101" i="9" s="1"/>
  <c r="A2101" i="2"/>
  <c r="A2101" i="9" s="1"/>
  <c r="B2100" i="2"/>
  <c r="B2100" i="9" s="1"/>
  <c r="A2100" i="2"/>
  <c r="A2100" i="9" s="1"/>
  <c r="B2099" i="2"/>
  <c r="B2099" i="9" s="1"/>
  <c r="A2099" i="2"/>
  <c r="A2099" i="9" s="1"/>
  <c r="B2098" i="2"/>
  <c r="B2098" i="9" s="1"/>
  <c r="A2098" i="2"/>
  <c r="A2098" i="9" s="1"/>
  <c r="B2097" i="2"/>
  <c r="B2097" i="9" s="1"/>
  <c r="A2097" i="2"/>
  <c r="A2097" i="9" s="1"/>
  <c r="B2096" i="2"/>
  <c r="B2096" i="9" s="1"/>
  <c r="A2096" i="2"/>
  <c r="A2096" i="9" s="1"/>
  <c r="B2095" i="2"/>
  <c r="B2095" i="9" s="1"/>
  <c r="A2095" i="2"/>
  <c r="A2095" i="9" s="1"/>
  <c r="B2094" i="2"/>
  <c r="B2094" i="9" s="1"/>
  <c r="A2094" i="2"/>
  <c r="A2094" i="9" s="1"/>
  <c r="B2093" i="2"/>
  <c r="B2093" i="9" s="1"/>
  <c r="A2093" i="2"/>
  <c r="A2093" i="9" s="1"/>
  <c r="B2092" i="2"/>
  <c r="B2092" i="9" s="1"/>
  <c r="A2092" i="2"/>
  <c r="A2092" i="9" s="1"/>
  <c r="B2091" i="2"/>
  <c r="B2091" i="9" s="1"/>
  <c r="A2091" i="2"/>
  <c r="A2091" i="9" s="1"/>
  <c r="B2090" i="2"/>
  <c r="B2090" i="9" s="1"/>
  <c r="A2090" i="2"/>
  <c r="A2090" i="9" s="1"/>
  <c r="B2089" i="2"/>
  <c r="B2089" i="9" s="1"/>
  <c r="A2089" i="2"/>
  <c r="A2089" i="9" s="1"/>
  <c r="B2088" i="2"/>
  <c r="B2088" i="9" s="1"/>
  <c r="A2088" i="2"/>
  <c r="A2088" i="9" s="1"/>
  <c r="B2087" i="2"/>
  <c r="B2087" i="9" s="1"/>
  <c r="A2087" i="2"/>
  <c r="A2087" i="9" s="1"/>
  <c r="B2086" i="2"/>
  <c r="B2086" i="9" s="1"/>
  <c r="A2086" i="2"/>
  <c r="A2086" i="9" s="1"/>
  <c r="B2085" i="2"/>
  <c r="B2085" i="9" s="1"/>
  <c r="A2085" i="2"/>
  <c r="A2085" i="9" s="1"/>
  <c r="B2084" i="2"/>
  <c r="B2084" i="9" s="1"/>
  <c r="A2084" i="2"/>
  <c r="A2084" i="9" s="1"/>
  <c r="B2083" i="2"/>
  <c r="B2083" i="9" s="1"/>
  <c r="A2083" i="2"/>
  <c r="A2083" i="9" s="1"/>
  <c r="B2082" i="2"/>
  <c r="B2082" i="9" s="1"/>
  <c r="A2082" i="2"/>
  <c r="A2082" i="9" s="1"/>
  <c r="B2081" i="2"/>
  <c r="B2081" i="9" s="1"/>
  <c r="A2081" i="2"/>
  <c r="A2081" i="9" s="1"/>
  <c r="B2080" i="2"/>
  <c r="B2080" i="9" s="1"/>
  <c r="A2080" i="2"/>
  <c r="A2080" i="9" s="1"/>
  <c r="B2079" i="2"/>
  <c r="B2079" i="9" s="1"/>
  <c r="A2079" i="2"/>
  <c r="A2079" i="9" s="1"/>
  <c r="B2078" i="2"/>
  <c r="B2078" i="9" s="1"/>
  <c r="A2078" i="2"/>
  <c r="A2078" i="9" s="1"/>
  <c r="B2077" i="2"/>
  <c r="B2077" i="9" s="1"/>
  <c r="A2077" i="2"/>
  <c r="A2077" i="9" s="1"/>
  <c r="B2076" i="2"/>
  <c r="B2076" i="9" s="1"/>
  <c r="A2076" i="2"/>
  <c r="A2076" i="9" s="1"/>
  <c r="B2075" i="2"/>
  <c r="B2075" i="9" s="1"/>
  <c r="A2075" i="2"/>
  <c r="A2075" i="9" s="1"/>
  <c r="B2074" i="2"/>
  <c r="B2074" i="9" s="1"/>
  <c r="A2074" i="2"/>
  <c r="A2074" i="9" s="1"/>
  <c r="B2073" i="2"/>
  <c r="B2073" i="9" s="1"/>
  <c r="A2073" i="2"/>
  <c r="A2073" i="9" s="1"/>
  <c r="B2072" i="2"/>
  <c r="B2072" i="9" s="1"/>
  <c r="A2072" i="2"/>
  <c r="A2072" i="9" s="1"/>
  <c r="B2071" i="2"/>
  <c r="B2071" i="9" s="1"/>
  <c r="A2071" i="2"/>
  <c r="A2071" i="9" s="1"/>
  <c r="B2070" i="2"/>
  <c r="B2070" i="9" s="1"/>
  <c r="A2070" i="2"/>
  <c r="A2070" i="9" s="1"/>
  <c r="B2069" i="2"/>
  <c r="B2069" i="9" s="1"/>
  <c r="A2069" i="2"/>
  <c r="A2069" i="9" s="1"/>
  <c r="B2068" i="2"/>
  <c r="B2068" i="9" s="1"/>
  <c r="A2068" i="2"/>
  <c r="A2068" i="9" s="1"/>
  <c r="B2067" i="2"/>
  <c r="B2067" i="9" s="1"/>
  <c r="A2067" i="2"/>
  <c r="A2067" i="9" s="1"/>
  <c r="B2066" i="2"/>
  <c r="B2066" i="9" s="1"/>
  <c r="A2066" i="2"/>
  <c r="A2066" i="9" s="1"/>
  <c r="B2065" i="2"/>
  <c r="B2065" i="9" s="1"/>
  <c r="A2065" i="2"/>
  <c r="A2065" i="9" s="1"/>
  <c r="B2064" i="2"/>
  <c r="B2064" i="9" s="1"/>
  <c r="A2064" i="2"/>
  <c r="A2064" i="9" s="1"/>
  <c r="B2063" i="2"/>
  <c r="B2063" i="9" s="1"/>
  <c r="A2063" i="2"/>
  <c r="A2063" i="9" s="1"/>
  <c r="B2062" i="2"/>
  <c r="B2062" i="9" s="1"/>
  <c r="A2062" i="2"/>
  <c r="A2062" i="9" s="1"/>
  <c r="B2061" i="2"/>
  <c r="B2061" i="9" s="1"/>
  <c r="A2061" i="2"/>
  <c r="A2061" i="9" s="1"/>
  <c r="B2060" i="2"/>
  <c r="B2060" i="9" s="1"/>
  <c r="A2060" i="2"/>
  <c r="A2060" i="9" s="1"/>
  <c r="B2059" i="2"/>
  <c r="B2059" i="9" s="1"/>
  <c r="A2059" i="2"/>
  <c r="A2059" i="9" s="1"/>
  <c r="B2058" i="2"/>
  <c r="B2058" i="9" s="1"/>
  <c r="A2058" i="2"/>
  <c r="A2058" i="9" s="1"/>
  <c r="B2057" i="2"/>
  <c r="B2057" i="9" s="1"/>
  <c r="A2057" i="2"/>
  <c r="A2057" i="9" s="1"/>
  <c r="B2056" i="2"/>
  <c r="B2056" i="9" s="1"/>
  <c r="A2056" i="2"/>
  <c r="A2056" i="9" s="1"/>
  <c r="B2055" i="2"/>
  <c r="B2055" i="9" s="1"/>
  <c r="A2055" i="2"/>
  <c r="A2055" i="9" s="1"/>
  <c r="B2054" i="2"/>
  <c r="B2054" i="9" s="1"/>
  <c r="A2054" i="2"/>
  <c r="A2054" i="9" s="1"/>
  <c r="B2053" i="2"/>
  <c r="B2053" i="9" s="1"/>
  <c r="A2053" i="2"/>
  <c r="A2053" i="9" s="1"/>
  <c r="B2052" i="2"/>
  <c r="B2052" i="9" s="1"/>
  <c r="A2052" i="2"/>
  <c r="A2052" i="9" s="1"/>
  <c r="B2051" i="2"/>
  <c r="B2051" i="9" s="1"/>
  <c r="A2051" i="2"/>
  <c r="A2051" i="9" s="1"/>
  <c r="B2050" i="2"/>
  <c r="B2050" i="9" s="1"/>
  <c r="A2050" i="2"/>
  <c r="A2050" i="9" s="1"/>
  <c r="B2049" i="2"/>
  <c r="B2049" i="9" s="1"/>
  <c r="A2049" i="2"/>
  <c r="A2049" i="9" s="1"/>
  <c r="B2048" i="2"/>
  <c r="B2048" i="9" s="1"/>
  <c r="A2048" i="2"/>
  <c r="A2048" i="9" s="1"/>
  <c r="B2047" i="2"/>
  <c r="B2047" i="9" s="1"/>
  <c r="A2047" i="2"/>
  <c r="A2047" i="9" s="1"/>
  <c r="B2046" i="2"/>
  <c r="B2046" i="9" s="1"/>
  <c r="A2046" i="2"/>
  <c r="A2046" i="9" s="1"/>
  <c r="B2045" i="2"/>
  <c r="B2045" i="9" s="1"/>
  <c r="A2045" i="2"/>
  <c r="A2045" i="9" s="1"/>
  <c r="B2044" i="2"/>
  <c r="B2044" i="9" s="1"/>
  <c r="A2044" i="2"/>
  <c r="A2044" i="9" s="1"/>
  <c r="B2043" i="2"/>
  <c r="B2043" i="9" s="1"/>
  <c r="A2043" i="2"/>
  <c r="A2043" i="9" s="1"/>
  <c r="B2042" i="2"/>
  <c r="B2042" i="9" s="1"/>
  <c r="A2042" i="2"/>
  <c r="A2042" i="9" s="1"/>
  <c r="B2041" i="2"/>
  <c r="B2041" i="9" s="1"/>
  <c r="A2041" i="2"/>
  <c r="A2041" i="9" s="1"/>
  <c r="B2040" i="2"/>
  <c r="B2040" i="9" s="1"/>
  <c r="A2040" i="2"/>
  <c r="A2040" i="9" s="1"/>
  <c r="B2039" i="2"/>
  <c r="B2039" i="9" s="1"/>
  <c r="A2039" i="2"/>
  <c r="A2039" i="9" s="1"/>
  <c r="B2038" i="2"/>
  <c r="B2038" i="9" s="1"/>
  <c r="A2038" i="2"/>
  <c r="A2038" i="9" s="1"/>
  <c r="B2037" i="2"/>
  <c r="B2037" i="9" s="1"/>
  <c r="A2037" i="2"/>
  <c r="A2037" i="9" s="1"/>
  <c r="B2036" i="2"/>
  <c r="B2036" i="9" s="1"/>
  <c r="A2036" i="2"/>
  <c r="A2036" i="9" s="1"/>
  <c r="B2035" i="2"/>
  <c r="B2035" i="9" s="1"/>
  <c r="A2035" i="2"/>
  <c r="A2035" i="9" s="1"/>
  <c r="B2034" i="2"/>
  <c r="B2034" i="9" s="1"/>
  <c r="A2034" i="2"/>
  <c r="A2034" i="9" s="1"/>
  <c r="B2033" i="2"/>
  <c r="B2033" i="9" s="1"/>
  <c r="A2033" i="2"/>
  <c r="A2033" i="9" s="1"/>
  <c r="B2032" i="2"/>
  <c r="B2032" i="9" s="1"/>
  <c r="A2032" i="2"/>
  <c r="A2032" i="9" s="1"/>
  <c r="B2031" i="2"/>
  <c r="B2031" i="9" s="1"/>
  <c r="A2031" i="2"/>
  <c r="A2031" i="9" s="1"/>
  <c r="B2030" i="2"/>
  <c r="B2030" i="9" s="1"/>
  <c r="A2030" i="2"/>
  <c r="A2030" i="9" s="1"/>
  <c r="B2029" i="2"/>
  <c r="B2029" i="9" s="1"/>
  <c r="A2029" i="2"/>
  <c r="A2029" i="9" s="1"/>
  <c r="B2028" i="2"/>
  <c r="B2028" i="9" s="1"/>
  <c r="A2028" i="2"/>
  <c r="A2028" i="9" s="1"/>
  <c r="B2027" i="2"/>
  <c r="B2027" i="9" s="1"/>
  <c r="A2027" i="2"/>
  <c r="A2027" i="9" s="1"/>
  <c r="B2026" i="2"/>
  <c r="B2026" i="9" s="1"/>
  <c r="A2026" i="2"/>
  <c r="A2026" i="9" s="1"/>
  <c r="B2025" i="2"/>
  <c r="B2025" i="9" s="1"/>
  <c r="A2025" i="2"/>
  <c r="A2025" i="9" s="1"/>
  <c r="B2024" i="2"/>
  <c r="B2024" i="9" s="1"/>
  <c r="A2024" i="2"/>
  <c r="A2024" i="9" s="1"/>
  <c r="B2023" i="2"/>
  <c r="B2023" i="9" s="1"/>
  <c r="A2023" i="2"/>
  <c r="A2023" i="9" s="1"/>
  <c r="B2022" i="2"/>
  <c r="B2022" i="9" s="1"/>
  <c r="A2022" i="2"/>
  <c r="A2022" i="9" s="1"/>
  <c r="B2021" i="2"/>
  <c r="B2021" i="9" s="1"/>
  <c r="A2021" i="2"/>
  <c r="A2021" i="9" s="1"/>
  <c r="B2020" i="2"/>
  <c r="B2020" i="9" s="1"/>
  <c r="A2020" i="2"/>
  <c r="A2020" i="9" s="1"/>
  <c r="B2019" i="2"/>
  <c r="B2019" i="9" s="1"/>
  <c r="A2019" i="2"/>
  <c r="A2019" i="9" s="1"/>
  <c r="B2018" i="2"/>
  <c r="B2018" i="9" s="1"/>
  <c r="A2018" i="2"/>
  <c r="A2018" i="9" s="1"/>
  <c r="B2017" i="2"/>
  <c r="B2017" i="9" s="1"/>
  <c r="A2017" i="2"/>
  <c r="A2017" i="9" s="1"/>
  <c r="B2016" i="2"/>
  <c r="B2016" i="9" s="1"/>
  <c r="A2016" i="2"/>
  <c r="A2016" i="9" s="1"/>
  <c r="B2015" i="2"/>
  <c r="B2015" i="9" s="1"/>
  <c r="A2015" i="2"/>
  <c r="A2015" i="9" s="1"/>
  <c r="B2014" i="2"/>
  <c r="B2014" i="9" s="1"/>
  <c r="A2014" i="2"/>
  <c r="A2014" i="9" s="1"/>
  <c r="B2013" i="2"/>
  <c r="B2013" i="9" s="1"/>
  <c r="A2013" i="2"/>
  <c r="A2013" i="9" s="1"/>
  <c r="B2012" i="2"/>
  <c r="B2012" i="9" s="1"/>
  <c r="A2012" i="2"/>
  <c r="A2012" i="9" s="1"/>
  <c r="B2011" i="2"/>
  <c r="B2011" i="9" s="1"/>
  <c r="A2011" i="2"/>
  <c r="A2011" i="9" s="1"/>
  <c r="B2010" i="2"/>
  <c r="B2010" i="9" s="1"/>
  <c r="A2010" i="2"/>
  <c r="A2010" i="9" s="1"/>
  <c r="B2009" i="2"/>
  <c r="B2009" i="9" s="1"/>
  <c r="A2009" i="2"/>
  <c r="A2009" i="9" s="1"/>
  <c r="B2008" i="2"/>
  <c r="B2008" i="9" s="1"/>
  <c r="A2008" i="2"/>
  <c r="A2008" i="9" s="1"/>
  <c r="B2007" i="2"/>
  <c r="B2007" i="9" s="1"/>
  <c r="A2007" i="2"/>
  <c r="A2007" i="9" s="1"/>
  <c r="B2006" i="2"/>
  <c r="B2006" i="9" s="1"/>
  <c r="A2006" i="2"/>
  <c r="A2006" i="9" s="1"/>
  <c r="B2005" i="2"/>
  <c r="B2005" i="9" s="1"/>
  <c r="A2005" i="2"/>
  <c r="A2005" i="9" s="1"/>
  <c r="B2004" i="2"/>
  <c r="B2004" i="9" s="1"/>
  <c r="A2004" i="2"/>
  <c r="A2004" i="9" s="1"/>
  <c r="B2003" i="2"/>
  <c r="B2003" i="9" s="1"/>
  <c r="A2003" i="2"/>
  <c r="A2003" i="9" s="1"/>
  <c r="B2002" i="2"/>
  <c r="B2002" i="9" s="1"/>
  <c r="A2002" i="2"/>
  <c r="A2002" i="9" s="1"/>
  <c r="B2001" i="2"/>
  <c r="B2001" i="9" s="1"/>
  <c r="A2001" i="2"/>
  <c r="A2001" i="9" s="1"/>
  <c r="B2000" i="2"/>
  <c r="B2000" i="9" s="1"/>
  <c r="A2000" i="2"/>
  <c r="A2000" i="9" s="1"/>
  <c r="B1999" i="2"/>
  <c r="B1999" i="9" s="1"/>
  <c r="A1999" i="2"/>
  <c r="A1999" i="9" s="1"/>
  <c r="B1998" i="2"/>
  <c r="B1998" i="9" s="1"/>
  <c r="A1998" i="2"/>
  <c r="A1998" i="9" s="1"/>
  <c r="B1997" i="2"/>
  <c r="B1997" i="9" s="1"/>
  <c r="A1997" i="2"/>
  <c r="A1997" i="9" s="1"/>
  <c r="B1996" i="2"/>
  <c r="B1996" i="9" s="1"/>
  <c r="A1996" i="2"/>
  <c r="A1996" i="9" s="1"/>
  <c r="B1995" i="2"/>
  <c r="B1995" i="9" s="1"/>
  <c r="A1995" i="2"/>
  <c r="A1995" i="9" s="1"/>
  <c r="B1994" i="2"/>
  <c r="B1994" i="9" s="1"/>
  <c r="A1994" i="2"/>
  <c r="A1994" i="9" s="1"/>
  <c r="B1993" i="2"/>
  <c r="B1993" i="9" s="1"/>
  <c r="A1993" i="2"/>
  <c r="A1993" i="9" s="1"/>
  <c r="B1992" i="2"/>
  <c r="B1992" i="9" s="1"/>
  <c r="A1992" i="2"/>
  <c r="A1992" i="9" s="1"/>
  <c r="B1991" i="2"/>
  <c r="B1991" i="9" s="1"/>
  <c r="A1991" i="2"/>
  <c r="A1991" i="9" s="1"/>
  <c r="B1990" i="2"/>
  <c r="B1990" i="9" s="1"/>
  <c r="A1990" i="2"/>
  <c r="A1990" i="9" s="1"/>
  <c r="B1989" i="2"/>
  <c r="B1989" i="9" s="1"/>
  <c r="A1989" i="2"/>
  <c r="A1989" i="9" s="1"/>
  <c r="B1988" i="2"/>
  <c r="B1988" i="9" s="1"/>
  <c r="A1988" i="2"/>
  <c r="A1988" i="9" s="1"/>
  <c r="B1987" i="2"/>
  <c r="B1987" i="9" s="1"/>
  <c r="A1987" i="2"/>
  <c r="A1987" i="9" s="1"/>
  <c r="B1986" i="2"/>
  <c r="B1986" i="9" s="1"/>
  <c r="A1986" i="2"/>
  <c r="A1986" i="9" s="1"/>
  <c r="B1985" i="2"/>
  <c r="B1985" i="9" s="1"/>
  <c r="A1985" i="2"/>
  <c r="A1985" i="9" s="1"/>
  <c r="B1984" i="2"/>
  <c r="B1984" i="9" s="1"/>
  <c r="A1984" i="2"/>
  <c r="A1984" i="9" s="1"/>
  <c r="B1983" i="2"/>
  <c r="B1983" i="9" s="1"/>
  <c r="A1983" i="2"/>
  <c r="A1983" i="9" s="1"/>
  <c r="B1982" i="2"/>
  <c r="B1982" i="9" s="1"/>
  <c r="A1982" i="2"/>
  <c r="A1982" i="9" s="1"/>
  <c r="B1981" i="2"/>
  <c r="B1981" i="9" s="1"/>
  <c r="A1981" i="2"/>
  <c r="A1981" i="9" s="1"/>
  <c r="B1980" i="2"/>
  <c r="B1980" i="9" s="1"/>
  <c r="A1980" i="2"/>
  <c r="A1980" i="9" s="1"/>
  <c r="B1979" i="2"/>
  <c r="B1979" i="9" s="1"/>
  <c r="A1979" i="2"/>
  <c r="A1979" i="9" s="1"/>
  <c r="B1978" i="2"/>
  <c r="B1978" i="9" s="1"/>
  <c r="A1978" i="2"/>
  <c r="A1978" i="9" s="1"/>
  <c r="B1977" i="2"/>
  <c r="B1977" i="9" s="1"/>
  <c r="A1977" i="2"/>
  <c r="A1977" i="9" s="1"/>
  <c r="B1976" i="2"/>
  <c r="B1976" i="9" s="1"/>
  <c r="A1976" i="2"/>
  <c r="A1976" i="9" s="1"/>
  <c r="B1975" i="2"/>
  <c r="B1975" i="9" s="1"/>
  <c r="A1975" i="2"/>
  <c r="A1975" i="9" s="1"/>
  <c r="B1974" i="2"/>
  <c r="B1974" i="9" s="1"/>
  <c r="A1974" i="2"/>
  <c r="A1974" i="9" s="1"/>
  <c r="B1973" i="2"/>
  <c r="B1973" i="9" s="1"/>
  <c r="A1973" i="2"/>
  <c r="A1973" i="9" s="1"/>
  <c r="B1972" i="2"/>
  <c r="B1972" i="9" s="1"/>
  <c r="A1972" i="2"/>
  <c r="A1972" i="9" s="1"/>
  <c r="B1971" i="2"/>
  <c r="B1971" i="9" s="1"/>
  <c r="A1971" i="2"/>
  <c r="A1971" i="9" s="1"/>
  <c r="B1970" i="2"/>
  <c r="B1970" i="9" s="1"/>
  <c r="A1970" i="2"/>
  <c r="A1970" i="9" s="1"/>
  <c r="B1969" i="2"/>
  <c r="B1969" i="9" s="1"/>
  <c r="A1969" i="2"/>
  <c r="A1969" i="9" s="1"/>
  <c r="B1968" i="2"/>
  <c r="B1968" i="9" s="1"/>
  <c r="A1968" i="2"/>
  <c r="A1968" i="9" s="1"/>
  <c r="B1967" i="2"/>
  <c r="B1967" i="9" s="1"/>
  <c r="A1967" i="2"/>
  <c r="A1967" i="9" s="1"/>
  <c r="B1966" i="2"/>
  <c r="B1966" i="9" s="1"/>
  <c r="A1966" i="2"/>
  <c r="A1966" i="9" s="1"/>
  <c r="B1965" i="2"/>
  <c r="B1965" i="9" s="1"/>
  <c r="A1965" i="2"/>
  <c r="A1965" i="9" s="1"/>
  <c r="B1964" i="2"/>
  <c r="B1964" i="9" s="1"/>
  <c r="A1964" i="2"/>
  <c r="A1964" i="9" s="1"/>
  <c r="B1963" i="2"/>
  <c r="B1963" i="9" s="1"/>
  <c r="A1963" i="2"/>
  <c r="A1963" i="9" s="1"/>
  <c r="B1962" i="2"/>
  <c r="B1962" i="9" s="1"/>
  <c r="A1962" i="2"/>
  <c r="A1962" i="9" s="1"/>
  <c r="B1961" i="2"/>
  <c r="B1961" i="9" s="1"/>
  <c r="A1961" i="2"/>
  <c r="A1961" i="9" s="1"/>
  <c r="B1960" i="2"/>
  <c r="B1960" i="9" s="1"/>
  <c r="A1960" i="2"/>
  <c r="A1960" i="9" s="1"/>
  <c r="B1959" i="2"/>
  <c r="B1959" i="9" s="1"/>
  <c r="A1959" i="2"/>
  <c r="A1959" i="9" s="1"/>
  <c r="B1958" i="2"/>
  <c r="B1958" i="9" s="1"/>
  <c r="A1958" i="2"/>
  <c r="A1958" i="9" s="1"/>
  <c r="B1957" i="2"/>
  <c r="B1957" i="9" s="1"/>
  <c r="A1957" i="2"/>
  <c r="A1957" i="9" s="1"/>
  <c r="B1956" i="2"/>
  <c r="B1956" i="9" s="1"/>
  <c r="A1956" i="2"/>
  <c r="A1956" i="9" s="1"/>
  <c r="B1955" i="2"/>
  <c r="B1955" i="9" s="1"/>
  <c r="A1955" i="2"/>
  <c r="A1955" i="9" s="1"/>
  <c r="B1954" i="2"/>
  <c r="B1954" i="9" s="1"/>
  <c r="A1954" i="2"/>
  <c r="A1954" i="9" s="1"/>
  <c r="B1953" i="2"/>
  <c r="B1953" i="9" s="1"/>
  <c r="A1953" i="2"/>
  <c r="A1953" i="9" s="1"/>
  <c r="B1952" i="2"/>
  <c r="B1952" i="9" s="1"/>
  <c r="A1952" i="2"/>
  <c r="A1952" i="9" s="1"/>
  <c r="B1951" i="2"/>
  <c r="B1951" i="9" s="1"/>
  <c r="A1951" i="2"/>
  <c r="A1951" i="9" s="1"/>
  <c r="B1950" i="2"/>
  <c r="B1950" i="9" s="1"/>
  <c r="A1950" i="2"/>
  <c r="A1950" i="9" s="1"/>
  <c r="B1949" i="2"/>
  <c r="B1949" i="9" s="1"/>
  <c r="A1949" i="2"/>
  <c r="A1949" i="9" s="1"/>
  <c r="B1948" i="2"/>
  <c r="B1948" i="9" s="1"/>
  <c r="A1948" i="2"/>
  <c r="A1948" i="9" s="1"/>
  <c r="B1947" i="2"/>
  <c r="B1947" i="9" s="1"/>
  <c r="A1947" i="2"/>
  <c r="A1947" i="9" s="1"/>
  <c r="B1946" i="2"/>
  <c r="B1946" i="9" s="1"/>
  <c r="A1946" i="2"/>
  <c r="A1946" i="9" s="1"/>
  <c r="B1945" i="2"/>
  <c r="B1945" i="9" s="1"/>
  <c r="A1945" i="2"/>
  <c r="A1945" i="9" s="1"/>
  <c r="B1944" i="2"/>
  <c r="B1944" i="9" s="1"/>
  <c r="A1944" i="2"/>
  <c r="A1944" i="9" s="1"/>
  <c r="B1943" i="2"/>
  <c r="B1943" i="9" s="1"/>
  <c r="A1943" i="2"/>
  <c r="A1943" i="9" s="1"/>
  <c r="B1942" i="2"/>
  <c r="B1942" i="9" s="1"/>
  <c r="A1942" i="2"/>
  <c r="A1942" i="9" s="1"/>
  <c r="B1941" i="2"/>
  <c r="B1941" i="9" s="1"/>
  <c r="A1941" i="2"/>
  <c r="A1941" i="9" s="1"/>
  <c r="B1940" i="2"/>
  <c r="B1940" i="9" s="1"/>
  <c r="A1940" i="2"/>
  <c r="A1940" i="9" s="1"/>
  <c r="B1939" i="2"/>
  <c r="B1939" i="9" s="1"/>
  <c r="A1939" i="2"/>
  <c r="A1939" i="9" s="1"/>
  <c r="B1938" i="2"/>
  <c r="B1938" i="9" s="1"/>
  <c r="A1938" i="2"/>
  <c r="A1938" i="9" s="1"/>
  <c r="B1937" i="2"/>
  <c r="B1937" i="9" s="1"/>
  <c r="A1937" i="2"/>
  <c r="A1937" i="9" s="1"/>
  <c r="B1936" i="2"/>
  <c r="B1936" i="9" s="1"/>
  <c r="A1936" i="2"/>
  <c r="A1936" i="9" s="1"/>
  <c r="B1935" i="2"/>
  <c r="B1935" i="9" s="1"/>
  <c r="A1935" i="2"/>
  <c r="A1935" i="9" s="1"/>
  <c r="B1934" i="2"/>
  <c r="B1934" i="9" s="1"/>
  <c r="A1934" i="2"/>
  <c r="A1934" i="9" s="1"/>
  <c r="B1933" i="2"/>
  <c r="B1933" i="9" s="1"/>
  <c r="A1933" i="2"/>
  <c r="A1933" i="9" s="1"/>
  <c r="B1932" i="2"/>
  <c r="B1932" i="9" s="1"/>
  <c r="A1932" i="2"/>
  <c r="A1932" i="9" s="1"/>
  <c r="B1931" i="2"/>
  <c r="B1931" i="9" s="1"/>
  <c r="A1931" i="2"/>
  <c r="A1931" i="9" s="1"/>
  <c r="B1930" i="2"/>
  <c r="B1930" i="9" s="1"/>
  <c r="A1930" i="2"/>
  <c r="A1930" i="9" s="1"/>
  <c r="B1929" i="2"/>
  <c r="B1929" i="9" s="1"/>
  <c r="A1929" i="2"/>
  <c r="A1929" i="9" s="1"/>
  <c r="B1928" i="2"/>
  <c r="B1928" i="9" s="1"/>
  <c r="A1928" i="2"/>
  <c r="A1928" i="9" s="1"/>
  <c r="B1927" i="2"/>
  <c r="B1927" i="9" s="1"/>
  <c r="A1927" i="2"/>
  <c r="A1927" i="9" s="1"/>
  <c r="B1926" i="2"/>
  <c r="B1926" i="9" s="1"/>
  <c r="A1926" i="2"/>
  <c r="A1926" i="9" s="1"/>
  <c r="B1925" i="2"/>
  <c r="B1925" i="9" s="1"/>
  <c r="A1925" i="2"/>
  <c r="A1925" i="9" s="1"/>
  <c r="B1924" i="2"/>
  <c r="B1924" i="9" s="1"/>
  <c r="A1924" i="2"/>
  <c r="A1924" i="9" s="1"/>
  <c r="B1923" i="2"/>
  <c r="B1923" i="9" s="1"/>
  <c r="A1923" i="2"/>
  <c r="A1923" i="9" s="1"/>
  <c r="B1922" i="2"/>
  <c r="B1922" i="9" s="1"/>
  <c r="A1922" i="2"/>
  <c r="A1922" i="9" s="1"/>
  <c r="B1921" i="2"/>
  <c r="B1921" i="9" s="1"/>
  <c r="A1921" i="2"/>
  <c r="A1921" i="9" s="1"/>
  <c r="B1920" i="2"/>
  <c r="B1920" i="9" s="1"/>
  <c r="A1920" i="2"/>
  <c r="A1920" i="9" s="1"/>
  <c r="B1919" i="2"/>
  <c r="B1919" i="9" s="1"/>
  <c r="A1919" i="2"/>
  <c r="A1919" i="9" s="1"/>
  <c r="B1918" i="2"/>
  <c r="B1918" i="9" s="1"/>
  <c r="A1918" i="2"/>
  <c r="A1918" i="9" s="1"/>
  <c r="B1917" i="2"/>
  <c r="B1917" i="9" s="1"/>
  <c r="A1917" i="2"/>
  <c r="A1917" i="9" s="1"/>
  <c r="B1916" i="2"/>
  <c r="B1916" i="9" s="1"/>
  <c r="A1916" i="2"/>
  <c r="A1916" i="9" s="1"/>
  <c r="B1915" i="2"/>
  <c r="B1915" i="9" s="1"/>
  <c r="A1915" i="2"/>
  <c r="A1915" i="9" s="1"/>
  <c r="B1914" i="2"/>
  <c r="B1914" i="9" s="1"/>
  <c r="A1914" i="2"/>
  <c r="A1914" i="9" s="1"/>
  <c r="B1913" i="2"/>
  <c r="B1913" i="9" s="1"/>
  <c r="A1913" i="2"/>
  <c r="A1913" i="9" s="1"/>
  <c r="B1912" i="2"/>
  <c r="B1912" i="9" s="1"/>
  <c r="A1912" i="2"/>
  <c r="A1912" i="9" s="1"/>
  <c r="B1911" i="2"/>
  <c r="B1911" i="9" s="1"/>
  <c r="A1911" i="2"/>
  <c r="A1911" i="9" s="1"/>
  <c r="B1910" i="2"/>
  <c r="B1910" i="9" s="1"/>
  <c r="A1910" i="2"/>
  <c r="A1910" i="9" s="1"/>
  <c r="B1909" i="2"/>
  <c r="B1909" i="9" s="1"/>
  <c r="A1909" i="2"/>
  <c r="A1909" i="9" s="1"/>
  <c r="B1908" i="2"/>
  <c r="B1908" i="9" s="1"/>
  <c r="A1908" i="2"/>
  <c r="A1908" i="9" s="1"/>
  <c r="B1907" i="2"/>
  <c r="B1907" i="9" s="1"/>
  <c r="A1907" i="2"/>
  <c r="A1907" i="9" s="1"/>
  <c r="B1906" i="2"/>
  <c r="B1906" i="9" s="1"/>
  <c r="A1906" i="2"/>
  <c r="A1906" i="9" s="1"/>
  <c r="B1905" i="2"/>
  <c r="B1905" i="9" s="1"/>
  <c r="A1905" i="2"/>
  <c r="A1905" i="9" s="1"/>
  <c r="B1904" i="2"/>
  <c r="B1904" i="9" s="1"/>
  <c r="A1904" i="2"/>
  <c r="A1904" i="9" s="1"/>
  <c r="B1903" i="2"/>
  <c r="B1903" i="9" s="1"/>
  <c r="A1903" i="2"/>
  <c r="A1903" i="9" s="1"/>
  <c r="B1902" i="2"/>
  <c r="B1902" i="9" s="1"/>
  <c r="A1902" i="2"/>
  <c r="A1902" i="9" s="1"/>
  <c r="B1901" i="2"/>
  <c r="B1901" i="9" s="1"/>
  <c r="A1901" i="2"/>
  <c r="A1901" i="9" s="1"/>
  <c r="B1900" i="2"/>
  <c r="B1900" i="9" s="1"/>
  <c r="A1900" i="2"/>
  <c r="A1900" i="9" s="1"/>
  <c r="B1899" i="2"/>
  <c r="B1899" i="9" s="1"/>
  <c r="A1899" i="2"/>
  <c r="A1899" i="9" s="1"/>
  <c r="B1898" i="2"/>
  <c r="B1898" i="9" s="1"/>
  <c r="A1898" i="2"/>
  <c r="A1898" i="9" s="1"/>
  <c r="B1897" i="2"/>
  <c r="B1897" i="9" s="1"/>
  <c r="A1897" i="2"/>
  <c r="A1897" i="9" s="1"/>
  <c r="B1896" i="2"/>
  <c r="B1896" i="9" s="1"/>
  <c r="A1896" i="2"/>
  <c r="A1896" i="9" s="1"/>
  <c r="B1895" i="2"/>
  <c r="B1895" i="9" s="1"/>
  <c r="A1895" i="2"/>
  <c r="A1895" i="9" s="1"/>
  <c r="B1894" i="2"/>
  <c r="B1894" i="9" s="1"/>
  <c r="A1894" i="2"/>
  <c r="A1894" i="9" s="1"/>
  <c r="B1893" i="2"/>
  <c r="B1893" i="9" s="1"/>
  <c r="A1893" i="2"/>
  <c r="A1893" i="9" s="1"/>
  <c r="B1892" i="2"/>
  <c r="B1892" i="9" s="1"/>
  <c r="A1892" i="2"/>
  <c r="A1892" i="9" s="1"/>
  <c r="B1891" i="2"/>
  <c r="B1891" i="9" s="1"/>
  <c r="A1891" i="2"/>
  <c r="A1891" i="9" s="1"/>
  <c r="B1890" i="2"/>
  <c r="B1890" i="9" s="1"/>
  <c r="A1890" i="2"/>
  <c r="A1890" i="9" s="1"/>
  <c r="B1889" i="2"/>
  <c r="B1889" i="9" s="1"/>
  <c r="A1889" i="2"/>
  <c r="A1889" i="9" s="1"/>
  <c r="B1888" i="2"/>
  <c r="B1888" i="9" s="1"/>
  <c r="A1888" i="2"/>
  <c r="A1888" i="9" s="1"/>
  <c r="B1887" i="2"/>
  <c r="B1887" i="9" s="1"/>
  <c r="A1887" i="2"/>
  <c r="A1887" i="9" s="1"/>
  <c r="B1886" i="2"/>
  <c r="B1886" i="9" s="1"/>
  <c r="A1886" i="2"/>
  <c r="A1886" i="9" s="1"/>
  <c r="B1885" i="2"/>
  <c r="B1885" i="9" s="1"/>
  <c r="A1885" i="2"/>
  <c r="A1885" i="9" s="1"/>
  <c r="B1884" i="2"/>
  <c r="B1884" i="9" s="1"/>
  <c r="A1884" i="2"/>
  <c r="A1884" i="9" s="1"/>
  <c r="B1883" i="2"/>
  <c r="B1883" i="9" s="1"/>
  <c r="A1883" i="2"/>
  <c r="A1883" i="9" s="1"/>
  <c r="B1882" i="2"/>
  <c r="B1882" i="9" s="1"/>
  <c r="A1882" i="2"/>
  <c r="A1882" i="9" s="1"/>
  <c r="B1881" i="2"/>
  <c r="B1881" i="9" s="1"/>
  <c r="A1881" i="2"/>
  <c r="A1881" i="9" s="1"/>
  <c r="B1880" i="2"/>
  <c r="B1880" i="9" s="1"/>
  <c r="A1880" i="2"/>
  <c r="A1880" i="9" s="1"/>
  <c r="B1879" i="2"/>
  <c r="B1879" i="9" s="1"/>
  <c r="A1879" i="2"/>
  <c r="A1879" i="9" s="1"/>
  <c r="B1878" i="2"/>
  <c r="B1878" i="9" s="1"/>
  <c r="A1878" i="2"/>
  <c r="A1878" i="9" s="1"/>
  <c r="B1877" i="2"/>
  <c r="B1877" i="9" s="1"/>
  <c r="A1877" i="2"/>
  <c r="A1877" i="9" s="1"/>
  <c r="B1876" i="2"/>
  <c r="B1876" i="9" s="1"/>
  <c r="A1876" i="2"/>
  <c r="A1876" i="9" s="1"/>
  <c r="B1875" i="2"/>
  <c r="B1875" i="9" s="1"/>
  <c r="A1875" i="2"/>
  <c r="A1875" i="9" s="1"/>
  <c r="B1874" i="2"/>
  <c r="B1874" i="9" s="1"/>
  <c r="A1874" i="2"/>
  <c r="A1874" i="9" s="1"/>
  <c r="B1873" i="2"/>
  <c r="B1873" i="9" s="1"/>
  <c r="A1873" i="2"/>
  <c r="A1873" i="9" s="1"/>
  <c r="B1872" i="2"/>
  <c r="B1872" i="9" s="1"/>
  <c r="A1872" i="2"/>
  <c r="A1872" i="9" s="1"/>
  <c r="B1871" i="2"/>
  <c r="B1871" i="9" s="1"/>
  <c r="A1871" i="2"/>
  <c r="A1871" i="9" s="1"/>
  <c r="B1870" i="2"/>
  <c r="B1870" i="9" s="1"/>
  <c r="A1870" i="2"/>
  <c r="A1870" i="9" s="1"/>
  <c r="B1869" i="2"/>
  <c r="B1869" i="9" s="1"/>
  <c r="A1869" i="2"/>
  <c r="A1869" i="9" s="1"/>
  <c r="B1868" i="2"/>
  <c r="B1868" i="9" s="1"/>
  <c r="A1868" i="2"/>
  <c r="A1868" i="9" s="1"/>
  <c r="B1867" i="2"/>
  <c r="B1867" i="9" s="1"/>
  <c r="A1867" i="2"/>
  <c r="A1867" i="9" s="1"/>
  <c r="B1866" i="2"/>
  <c r="B1866" i="9" s="1"/>
  <c r="A1866" i="2"/>
  <c r="A1866" i="9" s="1"/>
  <c r="B1865" i="2"/>
  <c r="B1865" i="9" s="1"/>
  <c r="A1865" i="2"/>
  <c r="A1865" i="9" s="1"/>
  <c r="B1864" i="2"/>
  <c r="B1864" i="9" s="1"/>
  <c r="A1864" i="2"/>
  <c r="A1864" i="9" s="1"/>
  <c r="B1863" i="2"/>
  <c r="B1863" i="9" s="1"/>
  <c r="A1863" i="2"/>
  <c r="A1863" i="9" s="1"/>
  <c r="B1862" i="2"/>
  <c r="B1862" i="9" s="1"/>
  <c r="A1862" i="2"/>
  <c r="A1862" i="9" s="1"/>
  <c r="B1861" i="2"/>
  <c r="B1861" i="9" s="1"/>
  <c r="A1861" i="2"/>
  <c r="A1861" i="9" s="1"/>
  <c r="B1860" i="2"/>
  <c r="B1860" i="9" s="1"/>
  <c r="A1860" i="2"/>
  <c r="A1860" i="9" s="1"/>
  <c r="B1859" i="2"/>
  <c r="B1859" i="9" s="1"/>
  <c r="A1859" i="2"/>
  <c r="A1859" i="9" s="1"/>
  <c r="B1858" i="2"/>
  <c r="B1858" i="9" s="1"/>
  <c r="A1858" i="2"/>
  <c r="A1858" i="9" s="1"/>
  <c r="B1857" i="2"/>
  <c r="B1857" i="9" s="1"/>
  <c r="A1857" i="2"/>
  <c r="A1857" i="9" s="1"/>
  <c r="B1856" i="2"/>
  <c r="B1856" i="9" s="1"/>
  <c r="A1856" i="2"/>
  <c r="A1856" i="9" s="1"/>
  <c r="B1855" i="2"/>
  <c r="B1855" i="9" s="1"/>
  <c r="A1855" i="2"/>
  <c r="A1855" i="9" s="1"/>
  <c r="B1854" i="2"/>
  <c r="B1854" i="9" s="1"/>
  <c r="A1854" i="2"/>
  <c r="A1854" i="9" s="1"/>
  <c r="B1853" i="2"/>
  <c r="B1853" i="9" s="1"/>
  <c r="A1853" i="2"/>
  <c r="A1853" i="9" s="1"/>
  <c r="B1852" i="2"/>
  <c r="B1852" i="9" s="1"/>
  <c r="A1852" i="2"/>
  <c r="A1852" i="9" s="1"/>
  <c r="B1851" i="2"/>
  <c r="B1851" i="9" s="1"/>
  <c r="A1851" i="2"/>
  <c r="A1851" i="9" s="1"/>
  <c r="B1850" i="2"/>
  <c r="B1850" i="9" s="1"/>
  <c r="A1850" i="2"/>
  <c r="A1850" i="9" s="1"/>
  <c r="B1849" i="2"/>
  <c r="B1849" i="9" s="1"/>
  <c r="A1849" i="2"/>
  <c r="A1849" i="9" s="1"/>
  <c r="B1848" i="2"/>
  <c r="B1848" i="9" s="1"/>
  <c r="A1848" i="2"/>
  <c r="A1848" i="9" s="1"/>
  <c r="B1847" i="2"/>
  <c r="B1847" i="9" s="1"/>
  <c r="A1847" i="2"/>
  <c r="A1847" i="9" s="1"/>
  <c r="B1846" i="2"/>
  <c r="B1846" i="9" s="1"/>
  <c r="A1846" i="2"/>
  <c r="A1846" i="9" s="1"/>
  <c r="B1845" i="2"/>
  <c r="B1845" i="9" s="1"/>
  <c r="A1845" i="2"/>
  <c r="A1845" i="9" s="1"/>
  <c r="B1844" i="2"/>
  <c r="B1844" i="9" s="1"/>
  <c r="A1844" i="2"/>
  <c r="A1844" i="9" s="1"/>
  <c r="B1843" i="2"/>
  <c r="B1843" i="9" s="1"/>
  <c r="A1843" i="2"/>
  <c r="A1843" i="9" s="1"/>
  <c r="B1842" i="2"/>
  <c r="B1842" i="9" s="1"/>
  <c r="A1842" i="2"/>
  <c r="A1842" i="9" s="1"/>
  <c r="B1841" i="2"/>
  <c r="B1841" i="9" s="1"/>
  <c r="A1841" i="2"/>
  <c r="A1841" i="9" s="1"/>
  <c r="B1840" i="2"/>
  <c r="B1840" i="9" s="1"/>
  <c r="A1840" i="2"/>
  <c r="A1840" i="9" s="1"/>
  <c r="B1839" i="2"/>
  <c r="B1839" i="9" s="1"/>
  <c r="A1839" i="2"/>
  <c r="A1839" i="9" s="1"/>
  <c r="B1838" i="2"/>
  <c r="B1838" i="9" s="1"/>
  <c r="A1838" i="2"/>
  <c r="A1838" i="9" s="1"/>
  <c r="B1837" i="2"/>
  <c r="B1837" i="9" s="1"/>
  <c r="A1837" i="2"/>
  <c r="A1837" i="9" s="1"/>
  <c r="B1836" i="2"/>
  <c r="B1836" i="9" s="1"/>
  <c r="A1836" i="2"/>
  <c r="A1836" i="9" s="1"/>
  <c r="B1835" i="2"/>
  <c r="B1835" i="9" s="1"/>
  <c r="A1835" i="2"/>
  <c r="A1835" i="9" s="1"/>
  <c r="B1834" i="2"/>
  <c r="B1834" i="9" s="1"/>
  <c r="A1834" i="2"/>
  <c r="A1834" i="9" s="1"/>
  <c r="B1833" i="2"/>
  <c r="B1833" i="9" s="1"/>
  <c r="A1833" i="2"/>
  <c r="A1833" i="9" s="1"/>
  <c r="B1832" i="2"/>
  <c r="B1832" i="9" s="1"/>
  <c r="A1832" i="2"/>
  <c r="A1832" i="9" s="1"/>
  <c r="B1831" i="2"/>
  <c r="B1831" i="9" s="1"/>
  <c r="A1831" i="2"/>
  <c r="A1831" i="9" s="1"/>
  <c r="B1830" i="2"/>
  <c r="B1830" i="9" s="1"/>
  <c r="A1830" i="2"/>
  <c r="A1830" i="9" s="1"/>
  <c r="B1829" i="2"/>
  <c r="B1829" i="9" s="1"/>
  <c r="A1829" i="2"/>
  <c r="A1829" i="9" s="1"/>
  <c r="B1828" i="2"/>
  <c r="B1828" i="9" s="1"/>
  <c r="A1828" i="2"/>
  <c r="A1828" i="9" s="1"/>
  <c r="B1827" i="2"/>
  <c r="B1827" i="9" s="1"/>
  <c r="A1827" i="2"/>
  <c r="A1827" i="9" s="1"/>
  <c r="B1826" i="2"/>
  <c r="B1826" i="9" s="1"/>
  <c r="A1826" i="2"/>
  <c r="A1826" i="9" s="1"/>
  <c r="B1825" i="2"/>
  <c r="B1825" i="9" s="1"/>
  <c r="A1825" i="2"/>
  <c r="A1825" i="9" s="1"/>
  <c r="B1824" i="2"/>
  <c r="B1824" i="9" s="1"/>
  <c r="A1824" i="2"/>
  <c r="A1824" i="9" s="1"/>
  <c r="B1823" i="2"/>
  <c r="B1823" i="9" s="1"/>
  <c r="A1823" i="2"/>
  <c r="A1823" i="9" s="1"/>
  <c r="B1822" i="2"/>
  <c r="B1822" i="9" s="1"/>
  <c r="A1822" i="2"/>
  <c r="A1822" i="9" s="1"/>
  <c r="B1821" i="2"/>
  <c r="B1821" i="9" s="1"/>
  <c r="A1821" i="2"/>
  <c r="A1821" i="9" s="1"/>
  <c r="B1820" i="2"/>
  <c r="B1820" i="9" s="1"/>
  <c r="A1820" i="2"/>
  <c r="A1820" i="9" s="1"/>
  <c r="B1819" i="2"/>
  <c r="B1819" i="9" s="1"/>
  <c r="A1819" i="2"/>
  <c r="A1819" i="9" s="1"/>
  <c r="B1818" i="2"/>
  <c r="B1818" i="9" s="1"/>
  <c r="A1818" i="2"/>
  <c r="A1818" i="9" s="1"/>
  <c r="B1817" i="2"/>
  <c r="B1817" i="9" s="1"/>
  <c r="A1817" i="2"/>
  <c r="A1817" i="9" s="1"/>
  <c r="B1816" i="2"/>
  <c r="B1816" i="9" s="1"/>
  <c r="A1816" i="2"/>
  <c r="A1816" i="9" s="1"/>
  <c r="B1815" i="2"/>
  <c r="B1815" i="9" s="1"/>
  <c r="A1815" i="2"/>
  <c r="A1815" i="9" s="1"/>
  <c r="B1814" i="2"/>
  <c r="B1814" i="9" s="1"/>
  <c r="A1814" i="2"/>
  <c r="A1814" i="9" s="1"/>
  <c r="B1813" i="2"/>
  <c r="B1813" i="9" s="1"/>
  <c r="A1813" i="2"/>
  <c r="A1813" i="9" s="1"/>
  <c r="B1812" i="2"/>
  <c r="B1812" i="9" s="1"/>
  <c r="A1812" i="2"/>
  <c r="A1812" i="9" s="1"/>
  <c r="B1811" i="2"/>
  <c r="B1811" i="9" s="1"/>
  <c r="A1811" i="2"/>
  <c r="A1811" i="9" s="1"/>
  <c r="B1810" i="2"/>
  <c r="B1810" i="9" s="1"/>
  <c r="A1810" i="2"/>
  <c r="A1810" i="9" s="1"/>
  <c r="B1809" i="2"/>
  <c r="B1809" i="9" s="1"/>
  <c r="A1809" i="2"/>
  <c r="A1809" i="9" s="1"/>
  <c r="B1808" i="2"/>
  <c r="B1808" i="9" s="1"/>
  <c r="A1808" i="2"/>
  <c r="A1808" i="9" s="1"/>
  <c r="B1807" i="2"/>
  <c r="B1807" i="9" s="1"/>
  <c r="A1807" i="2"/>
  <c r="A1807" i="9" s="1"/>
  <c r="B1806" i="2"/>
  <c r="B1806" i="9" s="1"/>
  <c r="A1806" i="2"/>
  <c r="A1806" i="9" s="1"/>
  <c r="B1805" i="2"/>
  <c r="B1805" i="9" s="1"/>
  <c r="A1805" i="2"/>
  <c r="A1805" i="9" s="1"/>
  <c r="B1804" i="2"/>
  <c r="B1804" i="9" s="1"/>
  <c r="A1804" i="2"/>
  <c r="A1804" i="9" s="1"/>
  <c r="B1803" i="2"/>
  <c r="B1803" i="9" s="1"/>
  <c r="A1803" i="2"/>
  <c r="A1803" i="9" s="1"/>
  <c r="B1802" i="2"/>
  <c r="B1802" i="9" s="1"/>
  <c r="A1802" i="2"/>
  <c r="A1802" i="9" s="1"/>
  <c r="B1801" i="2"/>
  <c r="B1801" i="9" s="1"/>
  <c r="A1801" i="2"/>
  <c r="A1801" i="9" s="1"/>
  <c r="B1800" i="2"/>
  <c r="B1800" i="9" s="1"/>
  <c r="A1800" i="2"/>
  <c r="A1800" i="9" s="1"/>
  <c r="B1799" i="2"/>
  <c r="B1799" i="9" s="1"/>
  <c r="A1799" i="2"/>
  <c r="A1799" i="9" s="1"/>
  <c r="B1798" i="2"/>
  <c r="B1798" i="9" s="1"/>
  <c r="A1798" i="2"/>
  <c r="A1798" i="9" s="1"/>
  <c r="B1797" i="2"/>
  <c r="B1797" i="9" s="1"/>
  <c r="A1797" i="2"/>
  <c r="A1797" i="9" s="1"/>
  <c r="B1796" i="2"/>
  <c r="B1796" i="9" s="1"/>
  <c r="A1796" i="2"/>
  <c r="A1796" i="9" s="1"/>
  <c r="B1795" i="2"/>
  <c r="B1795" i="9" s="1"/>
  <c r="A1795" i="2"/>
  <c r="A1795" i="9" s="1"/>
  <c r="B1794" i="2"/>
  <c r="B1794" i="9" s="1"/>
  <c r="A1794" i="2"/>
  <c r="A1794" i="9" s="1"/>
  <c r="B1793" i="2"/>
  <c r="B1793" i="9" s="1"/>
  <c r="A1793" i="2"/>
  <c r="A1793" i="9" s="1"/>
  <c r="B1792" i="2"/>
  <c r="B1792" i="9" s="1"/>
  <c r="A1792" i="2"/>
  <c r="A1792" i="9" s="1"/>
  <c r="B1791" i="2"/>
  <c r="B1791" i="9" s="1"/>
  <c r="A1791" i="2"/>
  <c r="A1791" i="9" s="1"/>
  <c r="B1790" i="2"/>
  <c r="B1790" i="9" s="1"/>
  <c r="A1790" i="2"/>
  <c r="A1790" i="9" s="1"/>
  <c r="B1789" i="2"/>
  <c r="B1789" i="9" s="1"/>
  <c r="A1789" i="2"/>
  <c r="A1789" i="9" s="1"/>
  <c r="B1788" i="2"/>
  <c r="B1788" i="9" s="1"/>
  <c r="A1788" i="2"/>
  <c r="A1788" i="9" s="1"/>
  <c r="B1787" i="2"/>
  <c r="B1787" i="9" s="1"/>
  <c r="A1787" i="2"/>
  <c r="A1787" i="9" s="1"/>
  <c r="B1786" i="2"/>
  <c r="B1786" i="9" s="1"/>
  <c r="A1786" i="2"/>
  <c r="A1786" i="9" s="1"/>
  <c r="B1785" i="2"/>
  <c r="B1785" i="9" s="1"/>
  <c r="A1785" i="2"/>
  <c r="A1785" i="9" s="1"/>
  <c r="B1784" i="2"/>
  <c r="B1784" i="9" s="1"/>
  <c r="A1784" i="2"/>
  <c r="A1784" i="9" s="1"/>
  <c r="B1783" i="2"/>
  <c r="B1783" i="9" s="1"/>
  <c r="A1783" i="2"/>
  <c r="A1783" i="9" s="1"/>
  <c r="B1782" i="2"/>
  <c r="B1782" i="9" s="1"/>
  <c r="A1782" i="2"/>
  <c r="A1782" i="9" s="1"/>
  <c r="B1781" i="2"/>
  <c r="B1781" i="9" s="1"/>
  <c r="A1781" i="2"/>
  <c r="A1781" i="9" s="1"/>
  <c r="B1780" i="2"/>
  <c r="B1780" i="9" s="1"/>
  <c r="A1780" i="2"/>
  <c r="A1780" i="9" s="1"/>
  <c r="B1779" i="2"/>
  <c r="B1779" i="9" s="1"/>
  <c r="A1779" i="2"/>
  <c r="A1779" i="9" s="1"/>
  <c r="B1778" i="2"/>
  <c r="B1778" i="9" s="1"/>
  <c r="A1778" i="2"/>
  <c r="A1778" i="9" s="1"/>
  <c r="B1777" i="2"/>
  <c r="B1777" i="9" s="1"/>
  <c r="A1777" i="2"/>
  <c r="A1777" i="9" s="1"/>
  <c r="B1776" i="2"/>
  <c r="B1776" i="9" s="1"/>
  <c r="A1776" i="2"/>
  <c r="A1776" i="9" s="1"/>
  <c r="B1775" i="2"/>
  <c r="B1775" i="9" s="1"/>
  <c r="A1775" i="2"/>
  <c r="A1775" i="9" s="1"/>
  <c r="B1774" i="2"/>
  <c r="B1774" i="9" s="1"/>
  <c r="A1774" i="2"/>
  <c r="A1774" i="9" s="1"/>
  <c r="B1773" i="2"/>
  <c r="B1773" i="9" s="1"/>
  <c r="A1773" i="2"/>
  <c r="A1773" i="9" s="1"/>
  <c r="B1772" i="2"/>
  <c r="B1772" i="9" s="1"/>
  <c r="A1772" i="2"/>
  <c r="A1772" i="9" s="1"/>
  <c r="B1771" i="2"/>
  <c r="B1771" i="9" s="1"/>
  <c r="A1771" i="2"/>
  <c r="A1771" i="9" s="1"/>
  <c r="B1770" i="2"/>
  <c r="B1770" i="9" s="1"/>
  <c r="A1770" i="2"/>
  <c r="A1770" i="9" s="1"/>
  <c r="B1769" i="2"/>
  <c r="B1769" i="9" s="1"/>
  <c r="A1769" i="2"/>
  <c r="A1769" i="9" s="1"/>
  <c r="B1768" i="2"/>
  <c r="B1768" i="9" s="1"/>
  <c r="A1768" i="2"/>
  <c r="A1768" i="9" s="1"/>
  <c r="B1767" i="2"/>
  <c r="B1767" i="9" s="1"/>
  <c r="A1767" i="2"/>
  <c r="A1767" i="9" s="1"/>
  <c r="B1766" i="2"/>
  <c r="B1766" i="9" s="1"/>
  <c r="A1766" i="2"/>
  <c r="A1766" i="9" s="1"/>
  <c r="B1765" i="2"/>
  <c r="B1765" i="9" s="1"/>
  <c r="A1765" i="2"/>
  <c r="A1765" i="9" s="1"/>
  <c r="B1764" i="2"/>
  <c r="B1764" i="9" s="1"/>
  <c r="A1764" i="2"/>
  <c r="A1764" i="9" s="1"/>
  <c r="B1763" i="2"/>
  <c r="B1763" i="9" s="1"/>
  <c r="A1763" i="2"/>
  <c r="A1763" i="9" s="1"/>
  <c r="B1762" i="2"/>
  <c r="B1762" i="9" s="1"/>
  <c r="A1762" i="2"/>
  <c r="A1762" i="9" s="1"/>
  <c r="B1761" i="2"/>
  <c r="B1761" i="9" s="1"/>
  <c r="A1761" i="2"/>
  <c r="A1761" i="9" s="1"/>
  <c r="B1760" i="2"/>
  <c r="B1760" i="9" s="1"/>
  <c r="A1760" i="2"/>
  <c r="A1760" i="9" s="1"/>
  <c r="B1759" i="2"/>
  <c r="B1759" i="9" s="1"/>
  <c r="A1759" i="2"/>
  <c r="A1759" i="9" s="1"/>
  <c r="B1758" i="2"/>
  <c r="B1758" i="9" s="1"/>
  <c r="A1758" i="2"/>
  <c r="A1758" i="9" s="1"/>
  <c r="B1757" i="2"/>
  <c r="B1757" i="9" s="1"/>
  <c r="A1757" i="2"/>
  <c r="A1757" i="9" s="1"/>
  <c r="B1756" i="2"/>
  <c r="B1756" i="9" s="1"/>
  <c r="A1756" i="2"/>
  <c r="A1756" i="9" s="1"/>
  <c r="B1755" i="2"/>
  <c r="B1755" i="9" s="1"/>
  <c r="A1755" i="2"/>
  <c r="A1755" i="9" s="1"/>
  <c r="B1754" i="2"/>
  <c r="B1754" i="9" s="1"/>
  <c r="A1754" i="2"/>
  <c r="A1754" i="9" s="1"/>
  <c r="B1753" i="2"/>
  <c r="B1753" i="9" s="1"/>
  <c r="A1753" i="2"/>
  <c r="A1753" i="9" s="1"/>
  <c r="B1752" i="2"/>
  <c r="B1752" i="9" s="1"/>
  <c r="A1752" i="2"/>
  <c r="A1752" i="9" s="1"/>
  <c r="B1751" i="2"/>
  <c r="B1751" i="9" s="1"/>
  <c r="A1751" i="2"/>
  <c r="A1751" i="9" s="1"/>
  <c r="B1750" i="2"/>
  <c r="B1750" i="9" s="1"/>
  <c r="A1750" i="2"/>
  <c r="A1750" i="9" s="1"/>
  <c r="B1749" i="2"/>
  <c r="B1749" i="9" s="1"/>
  <c r="A1749" i="2"/>
  <c r="A1749" i="9" s="1"/>
  <c r="B1748" i="2"/>
  <c r="B1748" i="9" s="1"/>
  <c r="A1748" i="2"/>
  <c r="A1748" i="9" s="1"/>
  <c r="B1747" i="2"/>
  <c r="B1747" i="9" s="1"/>
  <c r="A1747" i="2"/>
  <c r="A1747" i="9" s="1"/>
  <c r="B1746" i="2"/>
  <c r="B1746" i="9" s="1"/>
  <c r="A1746" i="2"/>
  <c r="A1746" i="9" s="1"/>
  <c r="B1745" i="2"/>
  <c r="B1745" i="9" s="1"/>
  <c r="A1745" i="2"/>
  <c r="A1745" i="9" s="1"/>
  <c r="B1744" i="2"/>
  <c r="B1744" i="9" s="1"/>
  <c r="A1744" i="2"/>
  <c r="A1744" i="9" s="1"/>
  <c r="B1743" i="2"/>
  <c r="B1743" i="9" s="1"/>
  <c r="A1743" i="2"/>
  <c r="A1743" i="9" s="1"/>
  <c r="B1742" i="2"/>
  <c r="B1742" i="9" s="1"/>
  <c r="A1742" i="2"/>
  <c r="A1742" i="9" s="1"/>
  <c r="B1741" i="2"/>
  <c r="B1741" i="9" s="1"/>
  <c r="A1741" i="2"/>
  <c r="A1741" i="9" s="1"/>
  <c r="B1740" i="2"/>
  <c r="B1740" i="9" s="1"/>
  <c r="A1740" i="2"/>
  <c r="A1740" i="9" s="1"/>
  <c r="B1739" i="2"/>
  <c r="B1739" i="9" s="1"/>
  <c r="A1739" i="2"/>
  <c r="A1739" i="9" s="1"/>
  <c r="B1738" i="2"/>
  <c r="B1738" i="9" s="1"/>
  <c r="A1738" i="2"/>
  <c r="A1738" i="9" s="1"/>
  <c r="B1737" i="2"/>
  <c r="B1737" i="9" s="1"/>
  <c r="A1737" i="2"/>
  <c r="A1737" i="9" s="1"/>
  <c r="B1736" i="2"/>
  <c r="B1736" i="9" s="1"/>
  <c r="A1736" i="2"/>
  <c r="A1736" i="9" s="1"/>
  <c r="B1735" i="2"/>
  <c r="B1735" i="9" s="1"/>
  <c r="A1735" i="2"/>
  <c r="A1735" i="9" s="1"/>
  <c r="B1734" i="2"/>
  <c r="B1734" i="9" s="1"/>
  <c r="A1734" i="2"/>
  <c r="A1734" i="9" s="1"/>
  <c r="B1733" i="2"/>
  <c r="B1733" i="9" s="1"/>
  <c r="A1733" i="2"/>
  <c r="A1733" i="9" s="1"/>
  <c r="B1732" i="2"/>
  <c r="B1732" i="9" s="1"/>
  <c r="A1732" i="2"/>
  <c r="A1732" i="9" s="1"/>
  <c r="B1731" i="2"/>
  <c r="B1731" i="9" s="1"/>
  <c r="A1731" i="2"/>
  <c r="A1731" i="9" s="1"/>
  <c r="B1730" i="2"/>
  <c r="B1730" i="9" s="1"/>
  <c r="A1730" i="2"/>
  <c r="A1730" i="9" s="1"/>
  <c r="B1729" i="2"/>
  <c r="B1729" i="9" s="1"/>
  <c r="A1729" i="2"/>
  <c r="A1729" i="9" s="1"/>
  <c r="B1728" i="2"/>
  <c r="B1728" i="9" s="1"/>
  <c r="A1728" i="2"/>
  <c r="A1728" i="9" s="1"/>
  <c r="B1727" i="2"/>
  <c r="B1727" i="9" s="1"/>
  <c r="A1727" i="2"/>
  <c r="A1727" i="9" s="1"/>
  <c r="B1726" i="2"/>
  <c r="B1726" i="9" s="1"/>
  <c r="A1726" i="2"/>
  <c r="A1726" i="9" s="1"/>
  <c r="B1725" i="2"/>
  <c r="B1725" i="9" s="1"/>
  <c r="A1725" i="2"/>
  <c r="A1725" i="9" s="1"/>
  <c r="B1724" i="2"/>
  <c r="B1724" i="9" s="1"/>
  <c r="A1724" i="2"/>
  <c r="A1724" i="9" s="1"/>
  <c r="B1723" i="2"/>
  <c r="B1723" i="9" s="1"/>
  <c r="A1723" i="2"/>
  <c r="A1723" i="9" s="1"/>
  <c r="B1722" i="2"/>
  <c r="B1722" i="9" s="1"/>
  <c r="A1722" i="2"/>
  <c r="A1722" i="9" s="1"/>
  <c r="B1721" i="2"/>
  <c r="B1721" i="9" s="1"/>
  <c r="A1721" i="2"/>
  <c r="A1721" i="9" s="1"/>
  <c r="B1720" i="2"/>
  <c r="B1720" i="9" s="1"/>
  <c r="A1720" i="2"/>
  <c r="A1720" i="9" s="1"/>
  <c r="B1719" i="2"/>
  <c r="B1719" i="9" s="1"/>
  <c r="A1719" i="2"/>
  <c r="A1719" i="9" s="1"/>
  <c r="B1718" i="2"/>
  <c r="B1718" i="9" s="1"/>
  <c r="A1718" i="2"/>
  <c r="A1718" i="9" s="1"/>
  <c r="B1717" i="2"/>
  <c r="B1717" i="9" s="1"/>
  <c r="A1717" i="2"/>
  <c r="A1717" i="9" s="1"/>
  <c r="B1716" i="2"/>
  <c r="B1716" i="9" s="1"/>
  <c r="A1716" i="2"/>
  <c r="A1716" i="9" s="1"/>
  <c r="B1715" i="2"/>
  <c r="B1715" i="9" s="1"/>
  <c r="A1715" i="2"/>
  <c r="A1715" i="9" s="1"/>
  <c r="B1714" i="2"/>
  <c r="B1714" i="9" s="1"/>
  <c r="A1714" i="2"/>
  <c r="A1714" i="9" s="1"/>
  <c r="B1713" i="2"/>
  <c r="B1713" i="9" s="1"/>
  <c r="A1713" i="2"/>
  <c r="A1713" i="9" s="1"/>
  <c r="B1712" i="2"/>
  <c r="B1712" i="9" s="1"/>
  <c r="A1712" i="2"/>
  <c r="A1712" i="9" s="1"/>
  <c r="B1711" i="2"/>
  <c r="B1711" i="9" s="1"/>
  <c r="A1711" i="2"/>
  <c r="A1711" i="9" s="1"/>
  <c r="B1710" i="2"/>
  <c r="B1710" i="9" s="1"/>
  <c r="A1710" i="2"/>
  <c r="A1710" i="9" s="1"/>
  <c r="B1709" i="2"/>
  <c r="B1709" i="9" s="1"/>
  <c r="A1709" i="2"/>
  <c r="A1709" i="9" s="1"/>
  <c r="B1708" i="2"/>
  <c r="B1708" i="9" s="1"/>
  <c r="A1708" i="2"/>
  <c r="A1708" i="9" s="1"/>
  <c r="B1707" i="2"/>
  <c r="B1707" i="9" s="1"/>
  <c r="A1707" i="2"/>
  <c r="A1707" i="9" s="1"/>
  <c r="B1706" i="2"/>
  <c r="B1706" i="9" s="1"/>
  <c r="A1706" i="2"/>
  <c r="A1706" i="9" s="1"/>
  <c r="B1705" i="2"/>
  <c r="B1705" i="9" s="1"/>
  <c r="A1705" i="2"/>
  <c r="A1705" i="9" s="1"/>
  <c r="B1704" i="2"/>
  <c r="B1704" i="9" s="1"/>
  <c r="A1704" i="2"/>
  <c r="A1704" i="9" s="1"/>
  <c r="B1703" i="2"/>
  <c r="B1703" i="9" s="1"/>
  <c r="A1703" i="2"/>
  <c r="A1703" i="9" s="1"/>
  <c r="B1702" i="2"/>
  <c r="B1702" i="9" s="1"/>
  <c r="A1702" i="2"/>
  <c r="A1702" i="9" s="1"/>
  <c r="B1701" i="2"/>
  <c r="B1701" i="9" s="1"/>
  <c r="A1701" i="2"/>
  <c r="A1701" i="9" s="1"/>
  <c r="B1700" i="2"/>
  <c r="B1700" i="9" s="1"/>
  <c r="A1700" i="2"/>
  <c r="A1700" i="9" s="1"/>
  <c r="B1699" i="2"/>
  <c r="B1699" i="9" s="1"/>
  <c r="A1699" i="2"/>
  <c r="A1699" i="9" s="1"/>
  <c r="B1698" i="2"/>
  <c r="B1698" i="9" s="1"/>
  <c r="A1698" i="2"/>
  <c r="A1698" i="9" s="1"/>
  <c r="B1697" i="2"/>
  <c r="B1697" i="9" s="1"/>
  <c r="A1697" i="2"/>
  <c r="A1697" i="9" s="1"/>
  <c r="B1696" i="2"/>
  <c r="B1696" i="9" s="1"/>
  <c r="A1696" i="2"/>
  <c r="A1696" i="9" s="1"/>
  <c r="B1695" i="2"/>
  <c r="B1695" i="9" s="1"/>
  <c r="A1695" i="2"/>
  <c r="A1695" i="9" s="1"/>
  <c r="B1694" i="2"/>
  <c r="B1694" i="9" s="1"/>
  <c r="A1694" i="2"/>
  <c r="A1694" i="9" s="1"/>
  <c r="B1693" i="2"/>
  <c r="B1693" i="9" s="1"/>
  <c r="A1693" i="2"/>
  <c r="A1693" i="9" s="1"/>
  <c r="B1692" i="2"/>
  <c r="B1692" i="9" s="1"/>
  <c r="A1692" i="2"/>
  <c r="A1692" i="9" s="1"/>
  <c r="B1691" i="2"/>
  <c r="B1691" i="9" s="1"/>
  <c r="A1691" i="2"/>
  <c r="A1691" i="9" s="1"/>
  <c r="B1690" i="2"/>
  <c r="B1690" i="9" s="1"/>
  <c r="A1690" i="2"/>
  <c r="A1690" i="9" s="1"/>
  <c r="B1689" i="2"/>
  <c r="B1689" i="9" s="1"/>
  <c r="A1689" i="2"/>
  <c r="A1689" i="9" s="1"/>
  <c r="B1688" i="2"/>
  <c r="B1688" i="9" s="1"/>
  <c r="A1688" i="2"/>
  <c r="A1688" i="9" s="1"/>
  <c r="B1687" i="2"/>
  <c r="B1687" i="9" s="1"/>
  <c r="A1687" i="2"/>
  <c r="A1687" i="9" s="1"/>
  <c r="B1686" i="2"/>
  <c r="B1686" i="9" s="1"/>
  <c r="A1686" i="2"/>
  <c r="A1686" i="9" s="1"/>
  <c r="B1685" i="2"/>
  <c r="B1685" i="9" s="1"/>
  <c r="A1685" i="2"/>
  <c r="A1685" i="9" s="1"/>
  <c r="B1684" i="2"/>
  <c r="B1684" i="9" s="1"/>
  <c r="A1684" i="2"/>
  <c r="A1684" i="9" s="1"/>
  <c r="B1683" i="2"/>
  <c r="B1683" i="9" s="1"/>
  <c r="A1683" i="2"/>
  <c r="A1683" i="9" s="1"/>
  <c r="B1682" i="2"/>
  <c r="B1682" i="9" s="1"/>
  <c r="A1682" i="2"/>
  <c r="A1682" i="9" s="1"/>
  <c r="B1681" i="2"/>
  <c r="B1681" i="9" s="1"/>
  <c r="A1681" i="2"/>
  <c r="A1681" i="9" s="1"/>
  <c r="B1680" i="2"/>
  <c r="B1680" i="9" s="1"/>
  <c r="A1680" i="2"/>
  <c r="A1680" i="9" s="1"/>
  <c r="B1679" i="2"/>
  <c r="B1679" i="9" s="1"/>
  <c r="A1679" i="2"/>
  <c r="A1679" i="9" s="1"/>
  <c r="B1678" i="2"/>
  <c r="B1678" i="9" s="1"/>
  <c r="A1678" i="2"/>
  <c r="A1678" i="9" s="1"/>
  <c r="B1677" i="2"/>
  <c r="B1677" i="9" s="1"/>
  <c r="A1677" i="2"/>
  <c r="A1677" i="9" s="1"/>
  <c r="B1676" i="2"/>
  <c r="B1676" i="9" s="1"/>
  <c r="A1676" i="2"/>
  <c r="A1676" i="9" s="1"/>
  <c r="B1675" i="2"/>
  <c r="B1675" i="9" s="1"/>
  <c r="A1675" i="2"/>
  <c r="A1675" i="9" s="1"/>
  <c r="B1674" i="2"/>
  <c r="B1674" i="9" s="1"/>
  <c r="A1674" i="2"/>
  <c r="A1674" i="9" s="1"/>
  <c r="B1673" i="2"/>
  <c r="B1673" i="9" s="1"/>
  <c r="A1673" i="2"/>
  <c r="A1673" i="9" s="1"/>
  <c r="B1672" i="2"/>
  <c r="B1672" i="9" s="1"/>
  <c r="A1672" i="2"/>
  <c r="A1672" i="9" s="1"/>
  <c r="B1671" i="2"/>
  <c r="B1671" i="9" s="1"/>
  <c r="A1671" i="2"/>
  <c r="A1671" i="9" s="1"/>
  <c r="B1670" i="2"/>
  <c r="B1670" i="9" s="1"/>
  <c r="A1670" i="2"/>
  <c r="A1670" i="9" s="1"/>
  <c r="B1669" i="2"/>
  <c r="B1669" i="9" s="1"/>
  <c r="A1669" i="2"/>
  <c r="A1669" i="9" s="1"/>
  <c r="B1668" i="2"/>
  <c r="B1668" i="9" s="1"/>
  <c r="A1668" i="2"/>
  <c r="A1668" i="9" s="1"/>
  <c r="B1667" i="2"/>
  <c r="B1667" i="9" s="1"/>
  <c r="A1667" i="2"/>
  <c r="A1667" i="9" s="1"/>
  <c r="B1666" i="2"/>
  <c r="B1666" i="9" s="1"/>
  <c r="A1666" i="2"/>
  <c r="A1666" i="9" s="1"/>
  <c r="B1665" i="2"/>
  <c r="B1665" i="9" s="1"/>
  <c r="A1665" i="2"/>
  <c r="A1665" i="9" s="1"/>
  <c r="B1664" i="2"/>
  <c r="B1664" i="9" s="1"/>
  <c r="A1664" i="2"/>
  <c r="A1664" i="9" s="1"/>
  <c r="B1663" i="2"/>
  <c r="B1663" i="9" s="1"/>
  <c r="A1663" i="2"/>
  <c r="A1663" i="9" s="1"/>
  <c r="B1662" i="2"/>
  <c r="B1662" i="9" s="1"/>
  <c r="A1662" i="2"/>
  <c r="A1662" i="9" s="1"/>
  <c r="B1661" i="2"/>
  <c r="B1661" i="9" s="1"/>
  <c r="A1661" i="2"/>
  <c r="A1661" i="9" s="1"/>
  <c r="B1660" i="2"/>
  <c r="B1660" i="9" s="1"/>
  <c r="A1660" i="2"/>
  <c r="A1660" i="9" s="1"/>
  <c r="B1659" i="2"/>
  <c r="B1659" i="9" s="1"/>
  <c r="A1659" i="2"/>
  <c r="A1659" i="9" s="1"/>
  <c r="B1658" i="2"/>
  <c r="B1658" i="9" s="1"/>
  <c r="A1658" i="2"/>
  <c r="A1658" i="9" s="1"/>
  <c r="B1657" i="2"/>
  <c r="B1657" i="9" s="1"/>
  <c r="A1657" i="2"/>
  <c r="A1657" i="9" s="1"/>
  <c r="B1656" i="2"/>
  <c r="B1656" i="9" s="1"/>
  <c r="A1656" i="2"/>
  <c r="A1656" i="9" s="1"/>
  <c r="B1655" i="2"/>
  <c r="B1655" i="9" s="1"/>
  <c r="A1655" i="2"/>
  <c r="A1655" i="9" s="1"/>
  <c r="B1654" i="2"/>
  <c r="B1654" i="9" s="1"/>
  <c r="A1654" i="2"/>
  <c r="A1654" i="9" s="1"/>
  <c r="B1653" i="2"/>
  <c r="B1653" i="9" s="1"/>
  <c r="A1653" i="2"/>
  <c r="A1653" i="9" s="1"/>
  <c r="B1652" i="2"/>
  <c r="B1652" i="9" s="1"/>
  <c r="A1652" i="2"/>
  <c r="A1652" i="9" s="1"/>
  <c r="B1651" i="2"/>
  <c r="B1651" i="9" s="1"/>
  <c r="A1651" i="2"/>
  <c r="A1651" i="9" s="1"/>
  <c r="B1650" i="2"/>
  <c r="B1650" i="9" s="1"/>
  <c r="A1650" i="2"/>
  <c r="A1650" i="9" s="1"/>
  <c r="B1649" i="2"/>
  <c r="B1649" i="9" s="1"/>
  <c r="A1649" i="2"/>
  <c r="A1649" i="9" s="1"/>
  <c r="B1648" i="2"/>
  <c r="B1648" i="9" s="1"/>
  <c r="A1648" i="2"/>
  <c r="A1648" i="9" s="1"/>
  <c r="B1647" i="2"/>
  <c r="B1647" i="9" s="1"/>
  <c r="A1647" i="2"/>
  <c r="A1647" i="9" s="1"/>
  <c r="B1646" i="2"/>
  <c r="B1646" i="9" s="1"/>
  <c r="A1646" i="2"/>
  <c r="A1646" i="9" s="1"/>
  <c r="B1645" i="2"/>
  <c r="B1645" i="9" s="1"/>
  <c r="A1645" i="2"/>
  <c r="A1645" i="9" s="1"/>
  <c r="B1644" i="2"/>
  <c r="B1644" i="9" s="1"/>
  <c r="A1644" i="2"/>
  <c r="A1644" i="9" s="1"/>
  <c r="B1643" i="2"/>
  <c r="B1643" i="9" s="1"/>
  <c r="A1643" i="2"/>
  <c r="A1643" i="9" s="1"/>
  <c r="B1642" i="2"/>
  <c r="B1642" i="9" s="1"/>
  <c r="A1642" i="2"/>
  <c r="A1642" i="9" s="1"/>
  <c r="B1641" i="2"/>
  <c r="B1641" i="9" s="1"/>
  <c r="A1641" i="2"/>
  <c r="A1641" i="9" s="1"/>
  <c r="B1640" i="2"/>
  <c r="B1640" i="9" s="1"/>
  <c r="A1640" i="2"/>
  <c r="A1640" i="9" s="1"/>
  <c r="B1639" i="2"/>
  <c r="B1639" i="9" s="1"/>
  <c r="A1639" i="2"/>
  <c r="A1639" i="9" s="1"/>
  <c r="B1638" i="2"/>
  <c r="B1638" i="9" s="1"/>
  <c r="A1638" i="2"/>
  <c r="A1638" i="9" s="1"/>
  <c r="B1637" i="2"/>
  <c r="B1637" i="9" s="1"/>
  <c r="A1637" i="2"/>
  <c r="A1637" i="9" s="1"/>
  <c r="B1636" i="2"/>
  <c r="B1636" i="9" s="1"/>
  <c r="A1636" i="2"/>
  <c r="A1636" i="9" s="1"/>
  <c r="B1635" i="2"/>
  <c r="B1635" i="9" s="1"/>
  <c r="A1635" i="2"/>
  <c r="A1635" i="9" s="1"/>
  <c r="B1634" i="2"/>
  <c r="B1634" i="9" s="1"/>
  <c r="A1634" i="2"/>
  <c r="A1634" i="9" s="1"/>
  <c r="B1633" i="2"/>
  <c r="B1633" i="9" s="1"/>
  <c r="A1633" i="2"/>
  <c r="A1633" i="9" s="1"/>
  <c r="B1632" i="2"/>
  <c r="B1632" i="9" s="1"/>
  <c r="A1632" i="2"/>
  <c r="A1632" i="9" s="1"/>
  <c r="B1631" i="2"/>
  <c r="B1631" i="9" s="1"/>
  <c r="A1631" i="2"/>
  <c r="A1631" i="9" s="1"/>
  <c r="B1630" i="2"/>
  <c r="B1630" i="9" s="1"/>
  <c r="A1630" i="2"/>
  <c r="A1630" i="9" s="1"/>
  <c r="B1629" i="2"/>
  <c r="B1629" i="9" s="1"/>
  <c r="A1629" i="2"/>
  <c r="A1629" i="9" s="1"/>
  <c r="B1628" i="2"/>
  <c r="B1628" i="9" s="1"/>
  <c r="A1628" i="2"/>
  <c r="A1628" i="9" s="1"/>
  <c r="B1627" i="2"/>
  <c r="B1627" i="9" s="1"/>
  <c r="A1627" i="2"/>
  <c r="A1627" i="9" s="1"/>
  <c r="B1626" i="2"/>
  <c r="B1626" i="9" s="1"/>
  <c r="A1626" i="2"/>
  <c r="A1626" i="9" s="1"/>
  <c r="B1625" i="2"/>
  <c r="B1625" i="9" s="1"/>
  <c r="A1625" i="2"/>
  <c r="A1625" i="9" s="1"/>
  <c r="B1624" i="2"/>
  <c r="B1624" i="9" s="1"/>
  <c r="A1624" i="2"/>
  <c r="A1624" i="9" s="1"/>
  <c r="B1623" i="2"/>
  <c r="B1623" i="9" s="1"/>
  <c r="A1623" i="2"/>
  <c r="A1623" i="9" s="1"/>
  <c r="B1622" i="2"/>
  <c r="B1622" i="9" s="1"/>
  <c r="A1622" i="2"/>
  <c r="A1622" i="9" s="1"/>
  <c r="B1621" i="2"/>
  <c r="B1621" i="9" s="1"/>
  <c r="A1621" i="2"/>
  <c r="A1621" i="9" s="1"/>
  <c r="B1620" i="2"/>
  <c r="B1620" i="9" s="1"/>
  <c r="A1620" i="2"/>
  <c r="A1620" i="9" s="1"/>
  <c r="B1619" i="2"/>
  <c r="B1619" i="9" s="1"/>
  <c r="A1619" i="2"/>
  <c r="A1619" i="9" s="1"/>
  <c r="B1618" i="2"/>
  <c r="B1618" i="9" s="1"/>
  <c r="A1618" i="2"/>
  <c r="A1618" i="9" s="1"/>
  <c r="B1617" i="2"/>
  <c r="B1617" i="9" s="1"/>
  <c r="A1617" i="2"/>
  <c r="A1617" i="9" s="1"/>
  <c r="B1616" i="2"/>
  <c r="B1616" i="9" s="1"/>
  <c r="A1616" i="2"/>
  <c r="A1616" i="9" s="1"/>
  <c r="B1615" i="2"/>
  <c r="B1615" i="9" s="1"/>
  <c r="A1615" i="2"/>
  <c r="A1615" i="9" s="1"/>
  <c r="B1614" i="2"/>
  <c r="B1614" i="9" s="1"/>
  <c r="A1614" i="2"/>
  <c r="A1614" i="9" s="1"/>
  <c r="B1613" i="2"/>
  <c r="B1613" i="9" s="1"/>
  <c r="A1613" i="2"/>
  <c r="A1613" i="9" s="1"/>
  <c r="B1612" i="2"/>
  <c r="B1612" i="9" s="1"/>
  <c r="A1612" i="2"/>
  <c r="A1612" i="9" s="1"/>
  <c r="B1611" i="2"/>
  <c r="B1611" i="9" s="1"/>
  <c r="A1611" i="2"/>
  <c r="A1611" i="9" s="1"/>
  <c r="B1610" i="2"/>
  <c r="B1610" i="9" s="1"/>
  <c r="A1610" i="2"/>
  <c r="A1610" i="9" s="1"/>
  <c r="B1609" i="2"/>
  <c r="B1609" i="9" s="1"/>
  <c r="A1609" i="2"/>
  <c r="A1609" i="9" s="1"/>
  <c r="B1608" i="2"/>
  <c r="B1608" i="9" s="1"/>
  <c r="A1608" i="2"/>
  <c r="A1608" i="9" s="1"/>
  <c r="B1607" i="2"/>
  <c r="B1607" i="9" s="1"/>
  <c r="A1607" i="2"/>
  <c r="A1607" i="9" s="1"/>
  <c r="B1606" i="2"/>
  <c r="B1606" i="9" s="1"/>
  <c r="A1606" i="2"/>
  <c r="A1606" i="9" s="1"/>
  <c r="B1605" i="2"/>
  <c r="B1605" i="9" s="1"/>
  <c r="A1605" i="2"/>
  <c r="A1605" i="9" s="1"/>
  <c r="B1604" i="2"/>
  <c r="B1604" i="9" s="1"/>
  <c r="A1604" i="2"/>
  <c r="A1604" i="9" s="1"/>
  <c r="B1603" i="2"/>
  <c r="B1603" i="9" s="1"/>
  <c r="A1603" i="2"/>
  <c r="A1603" i="9" s="1"/>
  <c r="B1602" i="2"/>
  <c r="B1602" i="9" s="1"/>
  <c r="A1602" i="2"/>
  <c r="A1602" i="9" s="1"/>
  <c r="B1601" i="2"/>
  <c r="B1601" i="9" s="1"/>
  <c r="A1601" i="2"/>
  <c r="A1601" i="9" s="1"/>
  <c r="B1600" i="2"/>
  <c r="B1600" i="9" s="1"/>
  <c r="A1600" i="2"/>
  <c r="A1600" i="9" s="1"/>
  <c r="B1599" i="2"/>
  <c r="B1599" i="9" s="1"/>
  <c r="A1599" i="2"/>
  <c r="A1599" i="9" s="1"/>
  <c r="B1598" i="2"/>
  <c r="B1598" i="9" s="1"/>
  <c r="A1598" i="2"/>
  <c r="A1598" i="9" s="1"/>
  <c r="B1597" i="2"/>
  <c r="B1597" i="9" s="1"/>
  <c r="A1597" i="2"/>
  <c r="A1597" i="9" s="1"/>
  <c r="B1596" i="2"/>
  <c r="B1596" i="9" s="1"/>
  <c r="A1596" i="2"/>
  <c r="A1596" i="9" s="1"/>
  <c r="B1595" i="2"/>
  <c r="B1595" i="9" s="1"/>
  <c r="A1595" i="2"/>
  <c r="A1595" i="9" s="1"/>
  <c r="B1594" i="2"/>
  <c r="B1594" i="9" s="1"/>
  <c r="A1594" i="2"/>
  <c r="A1594" i="9" s="1"/>
  <c r="B1593" i="2"/>
  <c r="B1593" i="9" s="1"/>
  <c r="A1593" i="2"/>
  <c r="A1593" i="9" s="1"/>
  <c r="B1592" i="2"/>
  <c r="B1592" i="9" s="1"/>
  <c r="A1592" i="2"/>
  <c r="A1592" i="9" s="1"/>
  <c r="B1591" i="2"/>
  <c r="B1591" i="9" s="1"/>
  <c r="A1591" i="2"/>
  <c r="A1591" i="9" s="1"/>
  <c r="B1590" i="2"/>
  <c r="B1590" i="9" s="1"/>
  <c r="A1590" i="2"/>
  <c r="A1590" i="9" s="1"/>
  <c r="B1589" i="2"/>
  <c r="B1589" i="9" s="1"/>
  <c r="A1589" i="2"/>
  <c r="A1589" i="9" s="1"/>
  <c r="B1588" i="2"/>
  <c r="B1588" i="9" s="1"/>
  <c r="A1588" i="2"/>
  <c r="A1588" i="9" s="1"/>
  <c r="B1587" i="2"/>
  <c r="B1587" i="9" s="1"/>
  <c r="A1587" i="2"/>
  <c r="A1587" i="9" s="1"/>
  <c r="B1586" i="2"/>
  <c r="B1586" i="9" s="1"/>
  <c r="A1586" i="2"/>
  <c r="A1586" i="9" s="1"/>
  <c r="B1585" i="2"/>
  <c r="B1585" i="9" s="1"/>
  <c r="A1585" i="2"/>
  <c r="A1585" i="9" s="1"/>
  <c r="B1584" i="2"/>
  <c r="B1584" i="9" s="1"/>
  <c r="A1584" i="2"/>
  <c r="A1584" i="9" s="1"/>
  <c r="B1583" i="2"/>
  <c r="B1583" i="9" s="1"/>
  <c r="A1583" i="2"/>
  <c r="A1583" i="9" s="1"/>
  <c r="B1582" i="2"/>
  <c r="B1582" i="9" s="1"/>
  <c r="A1582" i="2"/>
  <c r="A1582" i="9" s="1"/>
  <c r="B1581" i="2"/>
  <c r="B1581" i="9" s="1"/>
  <c r="A1581" i="2"/>
  <c r="A1581" i="9" s="1"/>
  <c r="B1580" i="2"/>
  <c r="B1580" i="9" s="1"/>
  <c r="A1580" i="2"/>
  <c r="A1580" i="9" s="1"/>
  <c r="B1579" i="2"/>
  <c r="B1579" i="9" s="1"/>
  <c r="A1579" i="2"/>
  <c r="A1579" i="9" s="1"/>
  <c r="B1578" i="2"/>
  <c r="B1578" i="9" s="1"/>
  <c r="A1578" i="2"/>
  <c r="A1578" i="9" s="1"/>
  <c r="B1577" i="2"/>
  <c r="B1577" i="9" s="1"/>
  <c r="A1577" i="2"/>
  <c r="A1577" i="9" s="1"/>
  <c r="B1576" i="2"/>
  <c r="B1576" i="9" s="1"/>
  <c r="A1576" i="2"/>
  <c r="A1576" i="9" s="1"/>
  <c r="B1575" i="2"/>
  <c r="B1575" i="9" s="1"/>
  <c r="A1575" i="2"/>
  <c r="A1575" i="9" s="1"/>
  <c r="B1574" i="2"/>
  <c r="B1574" i="9" s="1"/>
  <c r="A1574" i="2"/>
  <c r="A1574" i="9" s="1"/>
  <c r="B1573" i="2"/>
  <c r="B1573" i="9" s="1"/>
  <c r="A1573" i="2"/>
  <c r="A1573" i="9" s="1"/>
  <c r="B1572" i="2"/>
  <c r="B1572" i="9" s="1"/>
  <c r="A1572" i="2"/>
  <c r="A1572" i="9" s="1"/>
  <c r="B1571" i="2"/>
  <c r="B1571" i="9" s="1"/>
  <c r="A1571" i="2"/>
  <c r="A1571" i="9" s="1"/>
  <c r="B1570" i="2"/>
  <c r="B1570" i="9" s="1"/>
  <c r="A1570" i="2"/>
  <c r="A1570" i="9" s="1"/>
  <c r="B1569" i="2"/>
  <c r="B1569" i="9" s="1"/>
  <c r="A1569" i="2"/>
  <c r="A1569" i="9" s="1"/>
  <c r="B1568" i="2"/>
  <c r="B1568" i="9" s="1"/>
  <c r="A1568" i="2"/>
  <c r="A1568" i="9" s="1"/>
  <c r="B1567" i="2"/>
  <c r="B1567" i="9" s="1"/>
  <c r="A1567" i="2"/>
  <c r="A1567" i="9" s="1"/>
  <c r="B1566" i="2"/>
  <c r="B1566" i="9" s="1"/>
  <c r="A1566" i="2"/>
  <c r="A1566" i="9" s="1"/>
  <c r="B1565" i="2"/>
  <c r="B1565" i="9" s="1"/>
  <c r="A1565" i="2"/>
  <c r="A1565" i="9" s="1"/>
  <c r="B1564" i="2"/>
  <c r="B1564" i="9" s="1"/>
  <c r="A1564" i="2"/>
  <c r="A1564" i="9" s="1"/>
  <c r="B1563" i="2"/>
  <c r="B1563" i="9" s="1"/>
  <c r="A1563" i="2"/>
  <c r="A1563" i="9" s="1"/>
  <c r="B1562" i="2"/>
  <c r="B1562" i="9" s="1"/>
  <c r="A1562" i="2"/>
  <c r="A1562" i="9" s="1"/>
  <c r="B1561" i="2"/>
  <c r="B1561" i="9" s="1"/>
  <c r="A1561" i="2"/>
  <c r="A1561" i="9" s="1"/>
  <c r="B1560" i="2"/>
  <c r="B1560" i="9" s="1"/>
  <c r="A1560" i="2"/>
  <c r="A1560" i="9" s="1"/>
  <c r="B1559" i="2"/>
  <c r="B1559" i="9" s="1"/>
  <c r="A1559" i="2"/>
  <c r="A1559" i="9" s="1"/>
  <c r="B1558" i="2"/>
  <c r="B1558" i="9" s="1"/>
  <c r="A1558" i="2"/>
  <c r="A1558" i="9" s="1"/>
  <c r="B1557" i="2"/>
  <c r="B1557" i="9" s="1"/>
  <c r="A1557" i="2"/>
  <c r="A1557" i="9" s="1"/>
  <c r="B1556" i="2"/>
  <c r="B1556" i="9" s="1"/>
  <c r="A1556" i="2"/>
  <c r="A1556" i="9" s="1"/>
  <c r="B1555" i="2"/>
  <c r="B1555" i="9" s="1"/>
  <c r="A1555" i="2"/>
  <c r="A1555" i="9" s="1"/>
  <c r="B1554" i="2"/>
  <c r="B1554" i="9" s="1"/>
  <c r="A1554" i="2"/>
  <c r="A1554" i="9" s="1"/>
  <c r="B1553" i="2"/>
  <c r="B1553" i="9" s="1"/>
  <c r="A1553" i="2"/>
  <c r="A1553" i="9" s="1"/>
  <c r="B1552" i="2"/>
  <c r="B1552" i="9" s="1"/>
  <c r="A1552" i="2"/>
  <c r="A1552" i="9" s="1"/>
  <c r="B1551" i="2"/>
  <c r="B1551" i="9" s="1"/>
  <c r="A1551" i="2"/>
  <c r="A1551" i="9" s="1"/>
  <c r="B1550" i="2"/>
  <c r="B1550" i="9" s="1"/>
  <c r="A1550" i="2"/>
  <c r="A1550" i="9" s="1"/>
  <c r="B1549" i="2"/>
  <c r="B1549" i="9" s="1"/>
  <c r="A1549" i="2"/>
  <c r="A1549" i="9" s="1"/>
  <c r="B1548" i="2"/>
  <c r="B1548" i="9" s="1"/>
  <c r="A1548" i="2"/>
  <c r="A1548" i="9" s="1"/>
  <c r="B1547" i="2"/>
  <c r="B1547" i="9" s="1"/>
  <c r="A1547" i="2"/>
  <c r="A1547" i="9" s="1"/>
  <c r="B1546" i="2"/>
  <c r="B1546" i="9" s="1"/>
  <c r="A1546" i="2"/>
  <c r="A1546" i="9" s="1"/>
  <c r="B1545" i="2"/>
  <c r="B1545" i="9" s="1"/>
  <c r="A1545" i="2"/>
  <c r="A1545" i="9" s="1"/>
  <c r="B1544" i="2"/>
  <c r="B1544" i="9" s="1"/>
  <c r="A1544" i="2"/>
  <c r="A1544" i="9" s="1"/>
  <c r="B1543" i="2"/>
  <c r="B1543" i="9" s="1"/>
  <c r="A1543" i="2"/>
  <c r="A1543" i="9" s="1"/>
  <c r="B1542" i="2"/>
  <c r="B1542" i="9" s="1"/>
  <c r="A1542" i="2"/>
  <c r="A1542" i="9" s="1"/>
  <c r="B1541" i="2"/>
  <c r="B1541" i="9" s="1"/>
  <c r="A1541" i="2"/>
  <c r="A1541" i="9" s="1"/>
  <c r="B1540" i="2"/>
  <c r="B1540" i="9" s="1"/>
  <c r="A1540" i="2"/>
  <c r="A1540" i="9" s="1"/>
  <c r="B1539" i="2"/>
  <c r="B1539" i="9" s="1"/>
  <c r="A1539" i="2"/>
  <c r="A1539" i="9" s="1"/>
  <c r="B1538" i="2"/>
  <c r="B1538" i="9" s="1"/>
  <c r="A1538" i="2"/>
  <c r="A1538" i="9" s="1"/>
  <c r="B1537" i="2"/>
  <c r="B1537" i="9" s="1"/>
  <c r="A1537" i="2"/>
  <c r="A1537" i="9" s="1"/>
  <c r="B1536" i="2"/>
  <c r="B1536" i="9" s="1"/>
  <c r="A1536" i="2"/>
  <c r="A1536" i="9" s="1"/>
  <c r="B1535" i="2"/>
  <c r="B1535" i="9" s="1"/>
  <c r="A1535" i="2"/>
  <c r="A1535" i="9" s="1"/>
  <c r="B1534" i="2"/>
  <c r="B1534" i="9" s="1"/>
  <c r="A1534" i="2"/>
  <c r="A1534" i="9" s="1"/>
  <c r="B1533" i="2"/>
  <c r="B1533" i="9" s="1"/>
  <c r="A1533" i="2"/>
  <c r="A1533" i="9" s="1"/>
  <c r="B1532" i="2"/>
  <c r="B1532" i="9" s="1"/>
  <c r="A1532" i="2"/>
  <c r="A1532" i="9" s="1"/>
  <c r="B1531" i="2"/>
  <c r="B1531" i="9" s="1"/>
  <c r="A1531" i="2"/>
  <c r="A1531" i="9" s="1"/>
  <c r="B1530" i="2"/>
  <c r="B1530" i="9" s="1"/>
  <c r="A1530" i="2"/>
  <c r="A1530" i="9" s="1"/>
  <c r="B1529" i="2"/>
  <c r="B1529" i="9" s="1"/>
  <c r="A1529" i="2"/>
  <c r="A1529" i="9" s="1"/>
  <c r="B1528" i="2"/>
  <c r="B1528" i="9" s="1"/>
  <c r="A1528" i="2"/>
  <c r="A1528" i="9" s="1"/>
  <c r="B1527" i="2"/>
  <c r="B1527" i="9" s="1"/>
  <c r="A1527" i="2"/>
  <c r="A1527" i="9" s="1"/>
  <c r="B1526" i="2"/>
  <c r="B1526" i="9" s="1"/>
  <c r="A1526" i="2"/>
  <c r="A1526" i="9" s="1"/>
  <c r="B1525" i="2"/>
  <c r="B1525" i="9" s="1"/>
  <c r="A1525" i="2"/>
  <c r="A1525" i="9" s="1"/>
  <c r="B1524" i="2"/>
  <c r="B1524" i="9" s="1"/>
  <c r="A1524" i="2"/>
  <c r="A1524" i="9" s="1"/>
  <c r="B1523" i="2"/>
  <c r="B1523" i="9" s="1"/>
  <c r="A1523" i="2"/>
  <c r="A1523" i="9" s="1"/>
  <c r="B1522" i="2"/>
  <c r="B1522" i="9" s="1"/>
  <c r="A1522" i="2"/>
  <c r="A1522" i="9" s="1"/>
  <c r="B1521" i="2"/>
  <c r="B1521" i="9" s="1"/>
  <c r="A1521" i="2"/>
  <c r="A1521" i="9" s="1"/>
  <c r="B1520" i="2"/>
  <c r="B1520" i="9" s="1"/>
  <c r="A1520" i="2"/>
  <c r="A1520" i="9" s="1"/>
  <c r="B1519" i="2"/>
  <c r="B1519" i="9" s="1"/>
  <c r="A1519" i="2"/>
  <c r="A1519" i="9" s="1"/>
  <c r="B1518" i="2"/>
  <c r="B1518" i="9" s="1"/>
  <c r="A1518" i="2"/>
  <c r="A1518" i="9" s="1"/>
  <c r="B1517" i="2"/>
  <c r="B1517" i="9" s="1"/>
  <c r="A1517" i="2"/>
  <c r="A1517" i="9" s="1"/>
  <c r="B1516" i="2"/>
  <c r="B1516" i="9" s="1"/>
  <c r="A1516" i="2"/>
  <c r="A1516" i="9" s="1"/>
  <c r="B1515" i="2"/>
  <c r="B1515" i="9" s="1"/>
  <c r="A1515" i="2"/>
  <c r="A1515" i="9" s="1"/>
  <c r="B1514" i="2"/>
  <c r="B1514" i="9" s="1"/>
  <c r="A1514" i="2"/>
  <c r="A1514" i="9" s="1"/>
  <c r="B1513" i="2"/>
  <c r="B1513" i="9" s="1"/>
  <c r="A1513" i="2"/>
  <c r="A1513" i="9" s="1"/>
  <c r="B1512" i="2"/>
  <c r="B1512" i="9" s="1"/>
  <c r="A1512" i="2"/>
  <c r="A1512" i="9" s="1"/>
  <c r="B1511" i="2"/>
  <c r="B1511" i="9" s="1"/>
  <c r="A1511" i="2"/>
  <c r="A1511" i="9" s="1"/>
  <c r="B1510" i="2"/>
  <c r="B1510" i="9" s="1"/>
  <c r="A1510" i="2"/>
  <c r="A1510" i="9" s="1"/>
  <c r="B1509" i="2"/>
  <c r="B1509" i="9" s="1"/>
  <c r="A1509" i="2"/>
  <c r="A1509" i="9" s="1"/>
  <c r="B1508" i="2"/>
  <c r="B1508" i="9" s="1"/>
  <c r="A1508" i="2"/>
  <c r="A1508" i="9" s="1"/>
  <c r="B1507" i="2"/>
  <c r="B1507" i="9" s="1"/>
  <c r="A1507" i="2"/>
  <c r="A1507" i="9" s="1"/>
  <c r="B1506" i="2"/>
  <c r="B1506" i="9" s="1"/>
  <c r="A1506" i="2"/>
  <c r="A1506" i="9" s="1"/>
  <c r="B1505" i="2"/>
  <c r="B1505" i="9" s="1"/>
  <c r="A1505" i="2"/>
  <c r="A1505" i="9" s="1"/>
  <c r="B1504" i="2"/>
  <c r="B1504" i="9" s="1"/>
  <c r="A1504" i="2"/>
  <c r="A1504" i="9" s="1"/>
  <c r="B1503" i="2"/>
  <c r="B1503" i="9" s="1"/>
  <c r="A1503" i="2"/>
  <c r="A1503" i="9" s="1"/>
  <c r="B1502" i="2"/>
  <c r="B1502" i="9" s="1"/>
  <c r="A1502" i="2"/>
  <c r="A1502" i="9" s="1"/>
  <c r="B1501" i="2"/>
  <c r="B1501" i="9" s="1"/>
  <c r="A1501" i="2"/>
  <c r="A1501" i="9" s="1"/>
  <c r="B1500" i="2"/>
  <c r="B1500" i="9" s="1"/>
  <c r="A1500" i="2"/>
  <c r="A1500" i="9" s="1"/>
  <c r="B1499" i="2"/>
  <c r="B1499" i="9" s="1"/>
  <c r="A1499" i="2"/>
  <c r="A1499" i="9" s="1"/>
  <c r="B1498" i="2"/>
  <c r="B1498" i="9" s="1"/>
  <c r="A1498" i="2"/>
  <c r="A1498" i="9" s="1"/>
  <c r="B1497" i="2"/>
  <c r="B1497" i="9" s="1"/>
  <c r="A1497" i="2"/>
  <c r="A1497" i="9" s="1"/>
  <c r="B1496" i="2"/>
  <c r="B1496" i="9" s="1"/>
  <c r="A1496" i="2"/>
  <c r="A1496" i="9" s="1"/>
  <c r="B1495" i="2"/>
  <c r="B1495" i="9" s="1"/>
  <c r="A1495" i="2"/>
  <c r="A1495" i="9" s="1"/>
  <c r="B1494" i="2"/>
  <c r="B1494" i="9" s="1"/>
  <c r="A1494" i="2"/>
  <c r="A1494" i="9" s="1"/>
  <c r="B1493" i="2"/>
  <c r="B1493" i="9" s="1"/>
  <c r="A1493" i="2"/>
  <c r="A1493" i="9" s="1"/>
  <c r="B1492" i="2"/>
  <c r="B1492" i="9" s="1"/>
  <c r="A1492" i="2"/>
  <c r="A1492" i="9" s="1"/>
  <c r="B1491" i="2"/>
  <c r="B1491" i="9" s="1"/>
  <c r="A1491" i="2"/>
  <c r="A1491" i="9" s="1"/>
  <c r="B1490" i="2"/>
  <c r="B1490" i="9" s="1"/>
  <c r="A1490" i="2"/>
  <c r="A1490" i="9" s="1"/>
  <c r="B1489" i="2"/>
  <c r="B1489" i="9" s="1"/>
  <c r="A1489" i="2"/>
  <c r="A1489" i="9" s="1"/>
  <c r="B1488" i="2"/>
  <c r="B1488" i="9" s="1"/>
  <c r="A1488" i="2"/>
  <c r="A1488" i="9" s="1"/>
  <c r="B1487" i="2"/>
  <c r="B1487" i="9" s="1"/>
  <c r="A1487" i="2"/>
  <c r="A1487" i="9" s="1"/>
  <c r="B1486" i="2"/>
  <c r="B1486" i="9" s="1"/>
  <c r="A1486" i="2"/>
  <c r="A1486" i="9" s="1"/>
  <c r="B1485" i="2"/>
  <c r="B1485" i="9" s="1"/>
  <c r="A1485" i="2"/>
  <c r="A1485" i="9" s="1"/>
  <c r="B1484" i="2"/>
  <c r="B1484" i="9" s="1"/>
  <c r="A1484" i="2"/>
  <c r="A1484" i="9" s="1"/>
  <c r="B1483" i="2"/>
  <c r="B1483" i="9" s="1"/>
  <c r="A1483" i="2"/>
  <c r="A1483" i="9" s="1"/>
  <c r="B1482" i="2"/>
  <c r="B1482" i="9" s="1"/>
  <c r="A1482" i="2"/>
  <c r="A1482" i="9" s="1"/>
  <c r="B1481" i="2"/>
  <c r="B1481" i="9" s="1"/>
  <c r="A1481" i="2"/>
  <c r="A1481" i="9" s="1"/>
  <c r="B1480" i="2"/>
  <c r="B1480" i="9" s="1"/>
  <c r="A1480" i="2"/>
  <c r="A1480" i="9" s="1"/>
  <c r="B1479" i="2"/>
  <c r="B1479" i="9" s="1"/>
  <c r="A1479" i="2"/>
  <c r="A1479" i="9" s="1"/>
  <c r="B1478" i="2"/>
  <c r="B1478" i="9" s="1"/>
  <c r="A1478" i="2"/>
  <c r="A1478" i="9" s="1"/>
  <c r="B1477" i="2"/>
  <c r="B1477" i="9" s="1"/>
  <c r="A1477" i="2"/>
  <c r="A1477" i="9" s="1"/>
  <c r="B1476" i="2"/>
  <c r="B1476" i="9" s="1"/>
  <c r="A1476" i="2"/>
  <c r="A1476" i="9" s="1"/>
  <c r="B1475" i="2"/>
  <c r="B1475" i="9" s="1"/>
  <c r="A1475" i="2"/>
  <c r="A1475" i="9" s="1"/>
  <c r="B1474" i="2"/>
  <c r="B1474" i="9" s="1"/>
  <c r="A1474" i="2"/>
  <c r="A1474" i="9" s="1"/>
  <c r="B1473" i="2"/>
  <c r="B1473" i="9" s="1"/>
  <c r="A1473" i="2"/>
  <c r="A1473" i="9" s="1"/>
  <c r="B1472" i="2"/>
  <c r="B1472" i="9" s="1"/>
  <c r="A1472" i="2"/>
  <c r="A1472" i="9" s="1"/>
  <c r="B1471" i="2"/>
  <c r="B1471" i="9" s="1"/>
  <c r="A1471" i="2"/>
  <c r="A1471" i="9" s="1"/>
  <c r="B1470" i="2"/>
  <c r="B1470" i="9" s="1"/>
  <c r="A1470" i="2"/>
  <c r="A1470" i="9" s="1"/>
  <c r="B1469" i="2"/>
  <c r="B1469" i="9" s="1"/>
  <c r="A1469" i="2"/>
  <c r="A1469" i="9" s="1"/>
  <c r="B1468" i="2"/>
  <c r="B1468" i="9" s="1"/>
  <c r="A1468" i="2"/>
  <c r="A1468" i="9" s="1"/>
  <c r="B1467" i="2"/>
  <c r="B1467" i="9" s="1"/>
  <c r="A1467" i="2"/>
  <c r="A1467" i="9" s="1"/>
  <c r="B1466" i="2"/>
  <c r="B1466" i="9" s="1"/>
  <c r="A1466" i="2"/>
  <c r="A1466" i="9" s="1"/>
  <c r="B1465" i="2"/>
  <c r="B1465" i="9" s="1"/>
  <c r="A1465" i="2"/>
  <c r="A1465" i="9" s="1"/>
  <c r="B1464" i="2"/>
  <c r="B1464" i="9" s="1"/>
  <c r="A1464" i="2"/>
  <c r="A1464" i="9" s="1"/>
  <c r="B1463" i="2"/>
  <c r="B1463" i="9" s="1"/>
  <c r="A1463" i="2"/>
  <c r="A1463" i="9" s="1"/>
  <c r="B1462" i="2"/>
  <c r="B1462" i="9" s="1"/>
  <c r="A1462" i="2"/>
  <c r="A1462" i="9" s="1"/>
  <c r="B1461" i="2"/>
  <c r="B1461" i="9" s="1"/>
  <c r="A1461" i="2"/>
  <c r="A1461" i="9" s="1"/>
  <c r="B1460" i="2"/>
  <c r="B1460" i="9" s="1"/>
  <c r="A1460" i="2"/>
  <c r="A1460" i="9" s="1"/>
  <c r="B1459" i="2"/>
  <c r="B1459" i="9" s="1"/>
  <c r="A1459" i="2"/>
  <c r="A1459" i="9" s="1"/>
  <c r="B1458" i="2"/>
  <c r="B1458" i="9" s="1"/>
  <c r="A1458" i="2"/>
  <c r="A1458" i="9" s="1"/>
  <c r="B1457" i="2"/>
  <c r="B1457" i="9" s="1"/>
  <c r="A1457" i="2"/>
  <c r="A1457" i="9" s="1"/>
  <c r="B1456" i="2"/>
  <c r="B1456" i="9" s="1"/>
  <c r="A1456" i="2"/>
  <c r="A1456" i="9" s="1"/>
  <c r="B1455" i="2"/>
  <c r="B1455" i="9" s="1"/>
  <c r="A1455" i="2"/>
  <c r="A1455" i="9" s="1"/>
  <c r="B1454" i="2"/>
  <c r="B1454" i="9" s="1"/>
  <c r="A1454" i="2"/>
  <c r="A1454" i="9" s="1"/>
  <c r="B1453" i="2"/>
  <c r="B1453" i="9" s="1"/>
  <c r="A1453" i="2"/>
  <c r="A1453" i="9" s="1"/>
  <c r="B1452" i="2"/>
  <c r="B1452" i="9" s="1"/>
  <c r="A1452" i="2"/>
  <c r="A1452" i="9" s="1"/>
  <c r="B1451" i="2"/>
  <c r="B1451" i="9" s="1"/>
  <c r="A1451" i="2"/>
  <c r="A1451" i="9" s="1"/>
  <c r="B1450" i="2"/>
  <c r="B1450" i="9" s="1"/>
  <c r="A1450" i="2"/>
  <c r="A1450" i="9" s="1"/>
  <c r="B1449" i="2"/>
  <c r="B1449" i="9" s="1"/>
  <c r="A1449" i="2"/>
  <c r="A1449" i="9" s="1"/>
  <c r="B1448" i="2"/>
  <c r="B1448" i="9" s="1"/>
  <c r="A1448" i="2"/>
  <c r="A1448" i="9" s="1"/>
  <c r="B1447" i="2"/>
  <c r="B1447" i="9" s="1"/>
  <c r="A1447" i="2"/>
  <c r="A1447" i="9" s="1"/>
  <c r="B1446" i="2"/>
  <c r="B1446" i="9" s="1"/>
  <c r="A1446" i="2"/>
  <c r="A1446" i="9" s="1"/>
  <c r="B1445" i="2"/>
  <c r="B1445" i="9" s="1"/>
  <c r="A1445" i="2"/>
  <c r="A1445" i="9" s="1"/>
  <c r="B1444" i="2"/>
  <c r="B1444" i="9" s="1"/>
  <c r="A1444" i="2"/>
  <c r="A1444" i="9" s="1"/>
  <c r="B1443" i="2"/>
  <c r="B1443" i="9" s="1"/>
  <c r="A1443" i="2"/>
  <c r="A1443" i="9" s="1"/>
  <c r="B1442" i="2"/>
  <c r="B1442" i="9" s="1"/>
  <c r="A1442" i="2"/>
  <c r="A1442" i="9" s="1"/>
  <c r="B1441" i="2"/>
  <c r="B1441" i="9" s="1"/>
  <c r="A1441" i="2"/>
  <c r="A1441" i="9" s="1"/>
  <c r="B1440" i="2"/>
  <c r="B1440" i="9" s="1"/>
  <c r="A1440" i="2"/>
  <c r="A1440" i="9" s="1"/>
  <c r="B1439" i="2"/>
  <c r="B1439" i="9" s="1"/>
  <c r="A1439" i="2"/>
  <c r="A1439" i="9" s="1"/>
  <c r="B1438" i="2"/>
  <c r="B1438" i="9" s="1"/>
  <c r="A1438" i="2"/>
  <c r="A1438" i="9" s="1"/>
  <c r="B1437" i="2"/>
  <c r="B1437" i="9" s="1"/>
  <c r="A1437" i="2"/>
  <c r="A1437" i="9" s="1"/>
  <c r="B1436" i="2"/>
  <c r="B1436" i="9" s="1"/>
  <c r="A1436" i="2"/>
  <c r="A1436" i="9" s="1"/>
  <c r="B1435" i="2"/>
  <c r="B1435" i="9" s="1"/>
  <c r="A1435" i="2"/>
  <c r="A1435" i="9" s="1"/>
  <c r="B1434" i="2"/>
  <c r="B1434" i="9" s="1"/>
  <c r="A1434" i="2"/>
  <c r="A1434" i="9" s="1"/>
  <c r="B1433" i="2"/>
  <c r="B1433" i="9" s="1"/>
  <c r="A1433" i="2"/>
  <c r="A1433" i="9" s="1"/>
  <c r="B1432" i="2"/>
  <c r="B1432" i="9" s="1"/>
  <c r="A1432" i="2"/>
  <c r="A1432" i="9" s="1"/>
  <c r="B1431" i="2"/>
  <c r="B1431" i="9" s="1"/>
  <c r="A1431" i="2"/>
  <c r="A1431" i="9" s="1"/>
  <c r="B1430" i="2"/>
  <c r="B1430" i="9" s="1"/>
  <c r="A1430" i="2"/>
  <c r="A1430" i="9" s="1"/>
  <c r="B1429" i="2"/>
  <c r="B1429" i="9" s="1"/>
  <c r="A1429" i="2"/>
  <c r="A1429" i="9" s="1"/>
  <c r="B1428" i="2"/>
  <c r="B1428" i="9" s="1"/>
  <c r="A1428" i="2"/>
  <c r="A1428" i="9" s="1"/>
  <c r="B1427" i="2"/>
  <c r="B1427" i="9" s="1"/>
  <c r="A1427" i="2"/>
  <c r="A1427" i="9" s="1"/>
  <c r="B1426" i="2"/>
  <c r="B1426" i="9" s="1"/>
  <c r="A1426" i="2"/>
  <c r="A1426" i="9" s="1"/>
  <c r="B1425" i="2"/>
  <c r="B1425" i="9" s="1"/>
  <c r="A1425" i="2"/>
  <c r="A1425" i="9" s="1"/>
  <c r="B1424" i="2"/>
  <c r="B1424" i="9" s="1"/>
  <c r="A1424" i="2"/>
  <c r="A1424" i="9" s="1"/>
  <c r="B1423" i="2"/>
  <c r="B1423" i="9" s="1"/>
  <c r="A1423" i="2"/>
  <c r="A1423" i="9" s="1"/>
  <c r="B1422" i="2"/>
  <c r="B1422" i="9" s="1"/>
  <c r="A1422" i="2"/>
  <c r="A1422" i="9" s="1"/>
  <c r="B1421" i="2"/>
  <c r="B1421" i="9" s="1"/>
  <c r="A1421" i="2"/>
  <c r="A1421" i="9" s="1"/>
  <c r="B1420" i="2"/>
  <c r="B1420" i="9" s="1"/>
  <c r="A1420" i="2"/>
  <c r="A1420" i="9" s="1"/>
  <c r="B1419" i="2"/>
  <c r="B1419" i="9" s="1"/>
  <c r="A1419" i="2"/>
  <c r="A1419" i="9" s="1"/>
  <c r="B1418" i="2"/>
  <c r="B1418" i="9" s="1"/>
  <c r="A1418" i="2"/>
  <c r="A1418" i="9" s="1"/>
  <c r="B1417" i="2"/>
  <c r="B1417" i="9" s="1"/>
  <c r="A1417" i="2"/>
  <c r="A1417" i="9" s="1"/>
  <c r="B1416" i="2"/>
  <c r="B1416" i="9" s="1"/>
  <c r="A1416" i="2"/>
  <c r="A1416" i="9" s="1"/>
  <c r="B1415" i="2"/>
  <c r="B1415" i="9" s="1"/>
  <c r="A1415" i="2"/>
  <c r="A1415" i="9" s="1"/>
  <c r="B1414" i="2"/>
  <c r="B1414" i="9" s="1"/>
  <c r="A1414" i="2"/>
  <c r="A1414" i="9" s="1"/>
  <c r="B1413" i="2"/>
  <c r="B1413" i="9" s="1"/>
  <c r="A1413" i="2"/>
  <c r="A1413" i="9" s="1"/>
  <c r="B1412" i="2"/>
  <c r="B1412" i="9" s="1"/>
  <c r="A1412" i="2"/>
  <c r="A1412" i="9" s="1"/>
  <c r="B1411" i="2"/>
  <c r="B1411" i="9" s="1"/>
  <c r="A1411" i="2"/>
  <c r="A1411" i="9" s="1"/>
  <c r="B1410" i="2"/>
  <c r="B1410" i="9" s="1"/>
  <c r="A1410" i="2"/>
  <c r="A1410" i="9" s="1"/>
  <c r="B1409" i="2"/>
  <c r="B1409" i="9" s="1"/>
  <c r="A1409" i="2"/>
  <c r="A1409" i="9" s="1"/>
  <c r="B1408" i="2"/>
  <c r="B1408" i="9" s="1"/>
  <c r="A1408" i="2"/>
  <c r="A1408" i="9" s="1"/>
  <c r="B1407" i="2"/>
  <c r="B1407" i="9" s="1"/>
  <c r="A1407" i="2"/>
  <c r="A1407" i="9" s="1"/>
  <c r="B1406" i="2"/>
  <c r="B1406" i="9" s="1"/>
  <c r="A1406" i="2"/>
  <c r="A1406" i="9" s="1"/>
  <c r="B1405" i="2"/>
  <c r="B1405" i="9" s="1"/>
  <c r="A1405" i="2"/>
  <c r="A1405" i="9" s="1"/>
  <c r="B1404" i="2"/>
  <c r="B1404" i="9" s="1"/>
  <c r="A1404" i="2"/>
  <c r="A1404" i="9" s="1"/>
  <c r="B1403" i="2"/>
  <c r="B1403" i="9" s="1"/>
  <c r="A1403" i="2"/>
  <c r="A1403" i="9" s="1"/>
  <c r="B1402" i="2"/>
  <c r="B1402" i="9" s="1"/>
  <c r="A1402" i="2"/>
  <c r="A1402" i="9" s="1"/>
  <c r="B1401" i="2"/>
  <c r="B1401" i="9" s="1"/>
  <c r="A1401" i="2"/>
  <c r="A1401" i="9" s="1"/>
  <c r="B1400" i="2"/>
  <c r="B1400" i="9" s="1"/>
  <c r="A1400" i="2"/>
  <c r="A1400" i="9" s="1"/>
  <c r="B1399" i="2"/>
  <c r="B1399" i="9" s="1"/>
  <c r="A1399" i="2"/>
  <c r="A1399" i="9" s="1"/>
  <c r="B1398" i="2"/>
  <c r="B1398" i="9" s="1"/>
  <c r="A1398" i="2"/>
  <c r="A1398" i="9" s="1"/>
  <c r="B1397" i="2"/>
  <c r="B1397" i="9" s="1"/>
  <c r="A1397" i="2"/>
  <c r="A1397" i="9" s="1"/>
  <c r="B1396" i="2"/>
  <c r="B1396" i="9" s="1"/>
  <c r="A1396" i="2"/>
  <c r="A1396" i="9" s="1"/>
  <c r="B1395" i="2"/>
  <c r="B1395" i="9" s="1"/>
  <c r="A1395" i="2"/>
  <c r="A1395" i="9" s="1"/>
  <c r="B1394" i="2"/>
  <c r="B1394" i="9" s="1"/>
  <c r="A1394" i="2"/>
  <c r="A1394" i="9" s="1"/>
  <c r="B1393" i="2"/>
  <c r="B1393" i="9" s="1"/>
  <c r="A1393" i="2"/>
  <c r="A1393" i="9" s="1"/>
  <c r="B1392" i="2"/>
  <c r="B1392" i="9" s="1"/>
  <c r="A1392" i="2"/>
  <c r="A1392" i="9" s="1"/>
  <c r="B1391" i="2"/>
  <c r="B1391" i="9" s="1"/>
  <c r="A1391" i="2"/>
  <c r="A1391" i="9" s="1"/>
  <c r="B1390" i="2"/>
  <c r="B1390" i="9" s="1"/>
  <c r="A1390" i="2"/>
  <c r="A1390" i="9" s="1"/>
  <c r="B1389" i="2"/>
  <c r="B1389" i="9" s="1"/>
  <c r="A1389" i="2"/>
  <c r="A1389" i="9" s="1"/>
  <c r="B1388" i="2"/>
  <c r="B1388" i="9" s="1"/>
  <c r="A1388" i="2"/>
  <c r="A1388" i="9" s="1"/>
  <c r="B1387" i="2"/>
  <c r="B1387" i="9" s="1"/>
  <c r="A1387" i="2"/>
  <c r="A1387" i="9" s="1"/>
  <c r="B1386" i="2"/>
  <c r="B1386" i="9" s="1"/>
  <c r="A1386" i="2"/>
  <c r="A1386" i="9" s="1"/>
  <c r="B1385" i="2"/>
  <c r="B1385" i="9" s="1"/>
  <c r="A1385" i="2"/>
  <c r="A1385" i="9" s="1"/>
  <c r="B1384" i="2"/>
  <c r="B1384" i="9" s="1"/>
  <c r="A1384" i="2"/>
  <c r="A1384" i="9" s="1"/>
  <c r="B1383" i="2"/>
  <c r="B1383" i="9" s="1"/>
  <c r="A1383" i="2"/>
  <c r="A1383" i="9" s="1"/>
  <c r="B1382" i="2"/>
  <c r="B1382" i="9" s="1"/>
  <c r="A1382" i="2"/>
  <c r="A1382" i="9" s="1"/>
  <c r="B1381" i="2"/>
  <c r="B1381" i="9" s="1"/>
  <c r="A1381" i="2"/>
  <c r="A1381" i="9" s="1"/>
  <c r="B1380" i="2"/>
  <c r="B1380" i="9" s="1"/>
  <c r="A1380" i="2"/>
  <c r="A1380" i="9" s="1"/>
  <c r="B1379" i="2"/>
  <c r="B1379" i="9" s="1"/>
  <c r="A1379" i="2"/>
  <c r="A1379" i="9" s="1"/>
  <c r="B1378" i="2"/>
  <c r="B1378" i="9" s="1"/>
  <c r="A1378" i="2"/>
  <c r="A1378" i="9" s="1"/>
  <c r="B1377" i="2"/>
  <c r="B1377" i="9" s="1"/>
  <c r="A1377" i="2"/>
  <c r="A1377" i="9" s="1"/>
  <c r="B1376" i="2"/>
  <c r="B1376" i="9" s="1"/>
  <c r="A1376" i="2"/>
  <c r="A1376" i="9" s="1"/>
  <c r="B1375" i="2"/>
  <c r="B1375" i="9" s="1"/>
  <c r="A1375" i="2"/>
  <c r="A1375" i="9" s="1"/>
  <c r="B1374" i="2"/>
  <c r="B1374" i="9" s="1"/>
  <c r="A1374" i="2"/>
  <c r="A1374" i="9" s="1"/>
  <c r="B1373" i="2"/>
  <c r="B1373" i="9" s="1"/>
  <c r="A1373" i="2"/>
  <c r="A1373" i="9" s="1"/>
  <c r="B1372" i="2"/>
  <c r="B1372" i="9" s="1"/>
  <c r="A1372" i="2"/>
  <c r="A1372" i="9" s="1"/>
  <c r="B1371" i="2"/>
  <c r="B1371" i="9" s="1"/>
  <c r="A1371" i="2"/>
  <c r="A1371" i="9" s="1"/>
  <c r="B1370" i="2"/>
  <c r="B1370" i="9" s="1"/>
  <c r="A1370" i="2"/>
  <c r="A1370" i="9" s="1"/>
  <c r="B1369" i="2"/>
  <c r="B1369" i="9" s="1"/>
  <c r="A1369" i="2"/>
  <c r="A1369" i="9" s="1"/>
  <c r="B1368" i="2"/>
  <c r="B1368" i="9" s="1"/>
  <c r="A1368" i="2"/>
  <c r="A1368" i="9" s="1"/>
  <c r="B1367" i="2"/>
  <c r="B1367" i="9" s="1"/>
  <c r="A1367" i="2"/>
  <c r="A1367" i="9" s="1"/>
  <c r="B1366" i="2"/>
  <c r="B1366" i="9" s="1"/>
  <c r="A1366" i="2"/>
  <c r="A1366" i="9" s="1"/>
  <c r="B1365" i="2"/>
  <c r="B1365" i="9" s="1"/>
  <c r="A1365" i="2"/>
  <c r="A1365" i="9" s="1"/>
  <c r="B1364" i="2"/>
  <c r="B1364" i="9" s="1"/>
  <c r="A1364" i="2"/>
  <c r="A1364" i="9" s="1"/>
  <c r="B1363" i="2"/>
  <c r="B1363" i="9" s="1"/>
  <c r="A1363" i="2"/>
  <c r="A1363" i="9" s="1"/>
  <c r="B1362" i="2"/>
  <c r="B1362" i="9" s="1"/>
  <c r="A1362" i="2"/>
  <c r="A1362" i="9" s="1"/>
  <c r="B1361" i="2"/>
  <c r="B1361" i="9" s="1"/>
  <c r="A1361" i="2"/>
  <c r="A1361" i="9" s="1"/>
  <c r="B1360" i="2"/>
  <c r="B1360" i="9" s="1"/>
  <c r="A1360" i="2"/>
  <c r="A1360" i="9" s="1"/>
  <c r="B1359" i="2"/>
  <c r="B1359" i="9" s="1"/>
  <c r="A1359" i="2"/>
  <c r="A1359" i="9" s="1"/>
  <c r="B1358" i="2"/>
  <c r="B1358" i="9" s="1"/>
  <c r="A1358" i="2"/>
  <c r="A1358" i="9" s="1"/>
  <c r="B1357" i="2"/>
  <c r="B1357" i="9" s="1"/>
  <c r="A1357" i="2"/>
  <c r="A1357" i="9" s="1"/>
  <c r="B1356" i="2"/>
  <c r="B1356" i="9" s="1"/>
  <c r="A1356" i="2"/>
  <c r="A1356" i="9" s="1"/>
  <c r="B1355" i="2"/>
  <c r="B1355" i="9" s="1"/>
  <c r="A1355" i="2"/>
  <c r="A1355" i="9" s="1"/>
  <c r="B1354" i="2"/>
  <c r="B1354" i="9" s="1"/>
  <c r="A1354" i="2"/>
  <c r="A1354" i="9" s="1"/>
  <c r="B1353" i="2"/>
  <c r="B1353" i="9" s="1"/>
  <c r="A1353" i="2"/>
  <c r="A1353" i="9" s="1"/>
  <c r="B1352" i="2"/>
  <c r="B1352" i="9" s="1"/>
  <c r="A1352" i="2"/>
  <c r="A1352" i="9" s="1"/>
  <c r="B1351" i="2"/>
  <c r="B1351" i="9" s="1"/>
  <c r="A1351" i="2"/>
  <c r="A1351" i="9" s="1"/>
  <c r="B1350" i="2"/>
  <c r="B1350" i="9" s="1"/>
  <c r="A1350" i="2"/>
  <c r="A1350" i="9" s="1"/>
  <c r="B1349" i="2"/>
  <c r="B1349" i="9" s="1"/>
  <c r="A1349" i="2"/>
  <c r="A1349" i="9" s="1"/>
  <c r="B1348" i="2"/>
  <c r="B1348" i="9" s="1"/>
  <c r="A1348" i="2"/>
  <c r="A1348" i="9" s="1"/>
  <c r="B1347" i="2"/>
  <c r="B1347" i="9" s="1"/>
  <c r="A1347" i="2"/>
  <c r="A1347" i="9" s="1"/>
  <c r="B1346" i="2"/>
  <c r="B1346" i="9" s="1"/>
  <c r="A1346" i="2"/>
  <c r="A1346" i="9" s="1"/>
  <c r="B1345" i="2"/>
  <c r="B1345" i="9" s="1"/>
  <c r="A1345" i="2"/>
  <c r="A1345" i="9" s="1"/>
  <c r="B1344" i="2"/>
  <c r="B1344" i="9" s="1"/>
  <c r="A1344" i="2"/>
  <c r="A1344" i="9" s="1"/>
  <c r="B1343" i="2"/>
  <c r="B1343" i="9" s="1"/>
  <c r="A1343" i="2"/>
  <c r="A1343" i="9" s="1"/>
  <c r="B1342" i="2"/>
  <c r="B1342" i="9" s="1"/>
  <c r="A1342" i="2"/>
  <c r="A1342" i="9" s="1"/>
  <c r="B1341" i="2"/>
  <c r="B1341" i="9" s="1"/>
  <c r="A1341" i="2"/>
  <c r="A1341" i="9" s="1"/>
  <c r="B1340" i="2"/>
  <c r="B1340" i="9" s="1"/>
  <c r="A1340" i="2"/>
  <c r="A1340" i="9" s="1"/>
  <c r="B1339" i="2"/>
  <c r="B1339" i="9" s="1"/>
  <c r="A1339" i="2"/>
  <c r="A1339" i="9" s="1"/>
  <c r="B1338" i="2"/>
  <c r="B1338" i="9" s="1"/>
  <c r="A1338" i="2"/>
  <c r="A1338" i="9" s="1"/>
  <c r="B1337" i="2"/>
  <c r="B1337" i="9" s="1"/>
  <c r="A1337" i="2"/>
  <c r="A1337" i="9" s="1"/>
  <c r="B1336" i="2"/>
  <c r="B1336" i="9" s="1"/>
  <c r="A1336" i="2"/>
  <c r="A1336" i="9" s="1"/>
  <c r="B1335" i="2"/>
  <c r="B1335" i="9" s="1"/>
  <c r="A1335" i="2"/>
  <c r="A1335" i="9" s="1"/>
  <c r="B1334" i="2"/>
  <c r="B1334" i="9" s="1"/>
  <c r="A1334" i="2"/>
  <c r="A1334" i="9" s="1"/>
  <c r="B1333" i="2"/>
  <c r="B1333" i="9" s="1"/>
  <c r="A1333" i="2"/>
  <c r="A1333" i="9" s="1"/>
  <c r="B1332" i="2"/>
  <c r="B1332" i="9" s="1"/>
  <c r="A1332" i="2"/>
  <c r="A1332" i="9" s="1"/>
  <c r="B1331" i="2"/>
  <c r="B1331" i="9" s="1"/>
  <c r="A1331" i="2"/>
  <c r="A1331" i="9" s="1"/>
  <c r="B1330" i="2"/>
  <c r="B1330" i="9" s="1"/>
  <c r="A1330" i="2"/>
  <c r="A1330" i="9" s="1"/>
  <c r="B1329" i="2"/>
  <c r="B1329" i="9" s="1"/>
  <c r="A1329" i="2"/>
  <c r="A1329" i="9" s="1"/>
  <c r="B1328" i="2"/>
  <c r="B1328" i="9" s="1"/>
  <c r="A1328" i="2"/>
  <c r="A1328" i="9" s="1"/>
  <c r="B1327" i="2"/>
  <c r="B1327" i="9" s="1"/>
  <c r="A1327" i="2"/>
  <c r="A1327" i="9" s="1"/>
  <c r="B1326" i="2"/>
  <c r="B1326" i="9" s="1"/>
  <c r="A1326" i="2"/>
  <c r="A1326" i="9" s="1"/>
  <c r="B1325" i="2"/>
  <c r="B1325" i="9" s="1"/>
  <c r="A1325" i="2"/>
  <c r="A1325" i="9" s="1"/>
  <c r="B1324" i="2"/>
  <c r="B1324" i="9" s="1"/>
  <c r="A1324" i="2"/>
  <c r="A1324" i="9" s="1"/>
  <c r="B1323" i="2"/>
  <c r="B1323" i="9" s="1"/>
  <c r="A1323" i="2"/>
  <c r="A1323" i="9" s="1"/>
  <c r="B1322" i="2"/>
  <c r="B1322" i="9" s="1"/>
  <c r="A1322" i="2"/>
  <c r="A1322" i="9" s="1"/>
  <c r="B1321" i="2"/>
  <c r="B1321" i="9" s="1"/>
  <c r="A1321" i="2"/>
  <c r="A1321" i="9" s="1"/>
  <c r="B1320" i="2"/>
  <c r="B1320" i="9" s="1"/>
  <c r="A1320" i="2"/>
  <c r="A1320" i="9" s="1"/>
  <c r="B1319" i="2"/>
  <c r="B1319" i="9" s="1"/>
  <c r="A1319" i="2"/>
  <c r="A1319" i="9" s="1"/>
  <c r="B1318" i="2"/>
  <c r="B1318" i="9" s="1"/>
  <c r="A1318" i="2"/>
  <c r="A1318" i="9" s="1"/>
  <c r="B1317" i="2"/>
  <c r="B1317" i="9" s="1"/>
  <c r="A1317" i="2"/>
  <c r="A1317" i="9" s="1"/>
  <c r="B1316" i="2"/>
  <c r="B1316" i="9" s="1"/>
  <c r="A1316" i="2"/>
  <c r="A1316" i="9" s="1"/>
  <c r="B1315" i="2"/>
  <c r="B1315" i="9" s="1"/>
  <c r="A1315" i="2"/>
  <c r="A1315" i="9" s="1"/>
  <c r="B1314" i="2"/>
  <c r="B1314" i="9" s="1"/>
  <c r="A1314" i="2"/>
  <c r="A1314" i="9" s="1"/>
  <c r="B1313" i="2"/>
  <c r="B1313" i="9" s="1"/>
  <c r="A1313" i="2"/>
  <c r="A1313" i="9" s="1"/>
  <c r="B1312" i="2"/>
  <c r="B1312" i="9" s="1"/>
  <c r="A1312" i="2"/>
  <c r="A1312" i="9" s="1"/>
  <c r="B1311" i="2"/>
  <c r="B1311" i="9" s="1"/>
  <c r="A1311" i="2"/>
  <c r="A1311" i="9" s="1"/>
  <c r="B1310" i="2"/>
  <c r="B1310" i="9" s="1"/>
  <c r="A1310" i="2"/>
  <c r="A1310" i="9" s="1"/>
  <c r="B1309" i="2"/>
  <c r="B1309" i="9" s="1"/>
  <c r="A1309" i="2"/>
  <c r="A1309" i="9" s="1"/>
  <c r="B1308" i="2"/>
  <c r="B1308" i="9" s="1"/>
  <c r="A1308" i="2"/>
  <c r="A1308" i="9" s="1"/>
  <c r="B1307" i="2"/>
  <c r="B1307" i="9" s="1"/>
  <c r="A1307" i="2"/>
  <c r="A1307" i="9" s="1"/>
  <c r="B1306" i="2"/>
  <c r="B1306" i="9" s="1"/>
  <c r="A1306" i="2"/>
  <c r="A1306" i="9" s="1"/>
  <c r="B1305" i="2"/>
  <c r="B1305" i="9" s="1"/>
  <c r="A1305" i="2"/>
  <c r="A1305" i="9" s="1"/>
  <c r="B1304" i="2"/>
  <c r="B1304" i="9" s="1"/>
  <c r="A1304" i="2"/>
  <c r="A1304" i="9" s="1"/>
  <c r="B1303" i="2"/>
  <c r="B1303" i="9" s="1"/>
  <c r="A1303" i="2"/>
  <c r="A1303" i="9" s="1"/>
  <c r="B1302" i="2"/>
  <c r="B1302" i="9" s="1"/>
  <c r="A1302" i="2"/>
  <c r="A1302" i="9" s="1"/>
  <c r="B1301" i="2"/>
  <c r="B1301" i="9" s="1"/>
  <c r="A1301" i="2"/>
  <c r="A1301" i="9" s="1"/>
  <c r="B1300" i="2"/>
  <c r="B1300" i="9" s="1"/>
  <c r="A1300" i="2"/>
  <c r="A1300" i="9" s="1"/>
  <c r="B1299" i="2"/>
  <c r="B1299" i="9" s="1"/>
  <c r="A1299" i="2"/>
  <c r="A1299" i="9" s="1"/>
  <c r="B1298" i="2"/>
  <c r="B1298" i="9" s="1"/>
  <c r="A1298" i="2"/>
  <c r="A1298" i="9" s="1"/>
  <c r="B1297" i="2"/>
  <c r="B1297" i="9" s="1"/>
  <c r="A1297" i="2"/>
  <c r="A1297" i="9" s="1"/>
  <c r="B1296" i="2"/>
  <c r="B1296" i="9" s="1"/>
  <c r="A1296" i="2"/>
  <c r="A1296" i="9" s="1"/>
  <c r="B1295" i="2"/>
  <c r="B1295" i="9" s="1"/>
  <c r="A1295" i="2"/>
  <c r="A1295" i="9" s="1"/>
  <c r="B1294" i="2"/>
  <c r="B1294" i="9" s="1"/>
  <c r="A1294" i="2"/>
  <c r="A1294" i="9" s="1"/>
  <c r="B1293" i="2"/>
  <c r="B1293" i="9" s="1"/>
  <c r="A1293" i="2"/>
  <c r="A1293" i="9" s="1"/>
  <c r="B1292" i="2"/>
  <c r="B1292" i="9" s="1"/>
  <c r="A1292" i="2"/>
  <c r="A1292" i="9" s="1"/>
  <c r="B1291" i="2"/>
  <c r="B1291" i="9" s="1"/>
  <c r="A1291" i="2"/>
  <c r="A1291" i="9" s="1"/>
  <c r="B1290" i="2"/>
  <c r="B1290" i="9" s="1"/>
  <c r="A1290" i="2"/>
  <c r="A1290" i="9" s="1"/>
  <c r="B1289" i="2"/>
  <c r="B1289" i="9" s="1"/>
  <c r="A1289" i="2"/>
  <c r="A1289" i="9" s="1"/>
  <c r="B1288" i="2"/>
  <c r="B1288" i="9" s="1"/>
  <c r="A1288" i="2"/>
  <c r="A1288" i="9" s="1"/>
  <c r="B1287" i="2"/>
  <c r="B1287" i="9" s="1"/>
  <c r="A1287" i="2"/>
  <c r="A1287" i="9" s="1"/>
  <c r="B1286" i="2"/>
  <c r="B1286" i="9" s="1"/>
  <c r="A1286" i="2"/>
  <c r="A1286" i="9" s="1"/>
  <c r="B1285" i="2"/>
  <c r="B1285" i="9" s="1"/>
  <c r="A1285" i="2"/>
  <c r="A1285" i="9" s="1"/>
  <c r="B1284" i="2"/>
  <c r="B1284" i="9" s="1"/>
  <c r="A1284" i="2"/>
  <c r="A1284" i="9" s="1"/>
  <c r="B1283" i="2"/>
  <c r="B1283" i="9" s="1"/>
  <c r="A1283" i="2"/>
  <c r="A1283" i="9" s="1"/>
  <c r="B1282" i="2"/>
  <c r="B1282" i="9" s="1"/>
  <c r="A1282" i="2"/>
  <c r="A1282" i="9" s="1"/>
  <c r="B1281" i="2"/>
  <c r="B1281" i="9" s="1"/>
  <c r="A1281" i="2"/>
  <c r="A1281" i="9" s="1"/>
  <c r="B1280" i="2"/>
  <c r="B1280" i="9" s="1"/>
  <c r="A1280" i="2"/>
  <c r="A1280" i="9" s="1"/>
  <c r="B1279" i="2"/>
  <c r="B1279" i="9" s="1"/>
  <c r="A1279" i="2"/>
  <c r="A1279" i="9" s="1"/>
  <c r="B1278" i="2"/>
  <c r="B1278" i="9" s="1"/>
  <c r="A1278" i="2"/>
  <c r="A1278" i="9" s="1"/>
  <c r="B1277" i="2"/>
  <c r="B1277" i="9" s="1"/>
  <c r="A1277" i="2"/>
  <c r="A1277" i="9" s="1"/>
  <c r="B1276" i="2"/>
  <c r="B1276" i="9" s="1"/>
  <c r="A1276" i="2"/>
  <c r="A1276" i="9" s="1"/>
  <c r="B1275" i="2"/>
  <c r="B1275" i="9" s="1"/>
  <c r="A1275" i="2"/>
  <c r="A1275" i="9" s="1"/>
  <c r="B1274" i="2"/>
  <c r="B1274" i="9" s="1"/>
  <c r="A1274" i="2"/>
  <c r="A1274" i="9" s="1"/>
  <c r="B1273" i="2"/>
  <c r="B1273" i="9" s="1"/>
  <c r="A1273" i="2"/>
  <c r="A1273" i="9" s="1"/>
  <c r="B1272" i="2"/>
  <c r="B1272" i="9" s="1"/>
  <c r="A1272" i="2"/>
  <c r="A1272" i="9" s="1"/>
  <c r="B1271" i="2"/>
  <c r="B1271" i="9" s="1"/>
  <c r="A1271" i="2"/>
  <c r="A1271" i="9" s="1"/>
  <c r="B1270" i="2"/>
  <c r="B1270" i="9" s="1"/>
  <c r="A1270" i="2"/>
  <c r="A1270" i="9" s="1"/>
  <c r="B1269" i="2"/>
  <c r="B1269" i="9" s="1"/>
  <c r="A1269" i="2"/>
  <c r="A1269" i="9" s="1"/>
  <c r="B1268" i="2"/>
  <c r="B1268" i="9" s="1"/>
  <c r="A1268" i="2"/>
  <c r="A1268" i="9" s="1"/>
  <c r="B1267" i="2"/>
  <c r="B1267" i="9" s="1"/>
  <c r="A1267" i="2"/>
  <c r="A1267" i="9" s="1"/>
  <c r="B1266" i="2"/>
  <c r="B1266" i="9" s="1"/>
  <c r="A1266" i="2"/>
  <c r="A1266" i="9" s="1"/>
  <c r="B1265" i="2"/>
  <c r="B1265" i="9" s="1"/>
  <c r="A1265" i="2"/>
  <c r="A1265" i="9" s="1"/>
  <c r="B1264" i="2"/>
  <c r="B1264" i="9" s="1"/>
  <c r="A1264" i="2"/>
  <c r="A1264" i="9" s="1"/>
  <c r="B1263" i="2"/>
  <c r="B1263" i="9" s="1"/>
  <c r="A1263" i="2"/>
  <c r="A1263" i="9" s="1"/>
  <c r="B1262" i="2"/>
  <c r="B1262" i="9" s="1"/>
  <c r="A1262" i="2"/>
  <c r="A1262" i="9" s="1"/>
  <c r="B1261" i="2"/>
  <c r="B1261" i="9" s="1"/>
  <c r="A1261" i="2"/>
  <c r="A1261" i="9" s="1"/>
  <c r="B1260" i="2"/>
  <c r="B1260" i="9" s="1"/>
  <c r="A1260" i="2"/>
  <c r="A1260" i="9" s="1"/>
  <c r="B1259" i="2"/>
  <c r="B1259" i="9" s="1"/>
  <c r="A1259" i="2"/>
  <c r="A1259" i="9" s="1"/>
  <c r="B1258" i="2"/>
  <c r="B1258" i="9" s="1"/>
  <c r="A1258" i="2"/>
  <c r="A1258" i="9" s="1"/>
  <c r="B1257" i="2"/>
  <c r="B1257" i="9" s="1"/>
  <c r="A1257" i="2"/>
  <c r="A1257" i="9" s="1"/>
  <c r="B1256" i="2"/>
  <c r="B1256" i="9" s="1"/>
  <c r="A1256" i="2"/>
  <c r="A1256" i="9" s="1"/>
  <c r="B1255" i="2"/>
  <c r="B1255" i="9" s="1"/>
  <c r="A1255" i="2"/>
  <c r="A1255" i="9" s="1"/>
  <c r="B1254" i="2"/>
  <c r="B1254" i="9" s="1"/>
  <c r="A1254" i="2"/>
  <c r="A1254" i="9" s="1"/>
  <c r="B1253" i="2"/>
  <c r="B1253" i="9" s="1"/>
  <c r="A1253" i="2"/>
  <c r="A1253" i="9" s="1"/>
  <c r="B1252" i="2"/>
  <c r="B1252" i="9" s="1"/>
  <c r="A1252" i="2"/>
  <c r="A1252" i="9" s="1"/>
  <c r="B1251" i="2"/>
  <c r="B1251" i="9" s="1"/>
  <c r="A1251" i="2"/>
  <c r="A1251" i="9" s="1"/>
  <c r="B1250" i="2"/>
  <c r="B1250" i="9" s="1"/>
  <c r="A1250" i="2"/>
  <c r="A1250" i="9" s="1"/>
  <c r="B1249" i="2"/>
  <c r="B1249" i="9" s="1"/>
  <c r="A1249" i="2"/>
  <c r="A1249" i="9" s="1"/>
  <c r="B1248" i="2"/>
  <c r="B1248" i="9" s="1"/>
  <c r="A1248" i="2"/>
  <c r="A1248" i="9" s="1"/>
  <c r="B1247" i="2"/>
  <c r="B1247" i="9" s="1"/>
  <c r="A1247" i="2"/>
  <c r="A1247" i="9" s="1"/>
  <c r="B1246" i="2"/>
  <c r="B1246" i="9" s="1"/>
  <c r="A1246" i="2"/>
  <c r="A1246" i="9" s="1"/>
  <c r="B1245" i="2"/>
  <c r="B1245" i="9" s="1"/>
  <c r="A1245" i="2"/>
  <c r="A1245" i="9" s="1"/>
  <c r="B1244" i="2"/>
  <c r="B1244" i="9" s="1"/>
  <c r="A1244" i="2"/>
  <c r="A1244" i="9" s="1"/>
  <c r="B1243" i="2"/>
  <c r="B1243" i="9" s="1"/>
  <c r="A1243" i="2"/>
  <c r="A1243" i="9" s="1"/>
  <c r="B1242" i="2"/>
  <c r="B1242" i="9" s="1"/>
  <c r="A1242" i="2"/>
  <c r="A1242" i="9" s="1"/>
  <c r="B1241" i="2"/>
  <c r="B1241" i="9" s="1"/>
  <c r="A1241" i="2"/>
  <c r="A1241" i="9" s="1"/>
  <c r="B1240" i="2"/>
  <c r="B1240" i="9" s="1"/>
  <c r="A1240" i="2"/>
  <c r="A1240" i="9" s="1"/>
  <c r="B1239" i="2"/>
  <c r="B1239" i="9" s="1"/>
  <c r="A1239" i="2"/>
  <c r="A1239" i="9" s="1"/>
  <c r="B1238" i="2"/>
  <c r="B1238" i="9" s="1"/>
  <c r="A1238" i="2"/>
  <c r="A1238" i="9" s="1"/>
  <c r="B1237" i="2"/>
  <c r="B1237" i="9" s="1"/>
  <c r="A1237" i="2"/>
  <c r="A1237" i="9" s="1"/>
  <c r="B1236" i="2"/>
  <c r="B1236" i="9" s="1"/>
  <c r="A1236" i="2"/>
  <c r="A1236" i="9" s="1"/>
  <c r="B1235" i="2"/>
  <c r="B1235" i="9" s="1"/>
  <c r="A1235" i="2"/>
  <c r="A1235" i="9" s="1"/>
  <c r="B1234" i="2"/>
  <c r="B1234" i="9" s="1"/>
  <c r="A1234" i="2"/>
  <c r="A1234" i="9" s="1"/>
  <c r="B1233" i="2"/>
  <c r="B1233" i="9" s="1"/>
  <c r="A1233" i="2"/>
  <c r="A1233" i="9" s="1"/>
  <c r="B1232" i="2"/>
  <c r="B1232" i="9" s="1"/>
  <c r="A1232" i="2"/>
  <c r="A1232" i="9" s="1"/>
  <c r="B1231" i="2"/>
  <c r="B1231" i="9" s="1"/>
  <c r="A1231" i="2"/>
  <c r="A1231" i="9" s="1"/>
  <c r="B1230" i="2"/>
  <c r="B1230" i="9" s="1"/>
  <c r="A1230" i="2"/>
  <c r="A1230" i="9" s="1"/>
  <c r="B1229" i="2"/>
  <c r="B1229" i="9" s="1"/>
  <c r="A1229" i="2"/>
  <c r="A1229" i="9" s="1"/>
  <c r="B1228" i="2"/>
  <c r="B1228" i="9" s="1"/>
  <c r="A1228" i="2"/>
  <c r="A1228" i="9" s="1"/>
  <c r="B1227" i="2"/>
  <c r="B1227" i="9" s="1"/>
  <c r="A1227" i="2"/>
  <c r="A1227" i="9" s="1"/>
  <c r="B1226" i="2"/>
  <c r="B1226" i="9" s="1"/>
  <c r="A1226" i="2"/>
  <c r="A1226" i="9" s="1"/>
  <c r="B1225" i="2"/>
  <c r="B1225" i="9" s="1"/>
  <c r="A1225" i="2"/>
  <c r="A1225" i="9" s="1"/>
  <c r="B1224" i="2"/>
  <c r="B1224" i="9" s="1"/>
  <c r="A1224" i="2"/>
  <c r="A1224" i="9" s="1"/>
  <c r="B1223" i="2"/>
  <c r="B1223" i="9" s="1"/>
  <c r="A1223" i="2"/>
  <c r="A1223" i="9" s="1"/>
  <c r="B1222" i="2"/>
  <c r="B1222" i="9" s="1"/>
  <c r="A1222" i="2"/>
  <c r="A1222" i="9" s="1"/>
  <c r="B1221" i="2"/>
  <c r="B1221" i="9" s="1"/>
  <c r="A1221" i="2"/>
  <c r="A1221" i="9" s="1"/>
  <c r="B1220" i="2"/>
  <c r="B1220" i="9" s="1"/>
  <c r="A1220" i="2"/>
  <c r="A1220" i="9" s="1"/>
  <c r="B1219" i="2"/>
  <c r="B1219" i="9" s="1"/>
  <c r="A1219" i="2"/>
  <c r="A1219" i="9" s="1"/>
  <c r="B1218" i="2"/>
  <c r="B1218" i="9" s="1"/>
  <c r="A1218" i="2"/>
  <c r="A1218" i="9" s="1"/>
  <c r="B1217" i="2"/>
  <c r="B1217" i="9" s="1"/>
  <c r="A1217" i="2"/>
  <c r="A1217" i="9" s="1"/>
  <c r="B1216" i="2"/>
  <c r="B1216" i="9" s="1"/>
  <c r="A1216" i="2"/>
  <c r="A1216" i="9" s="1"/>
  <c r="B1215" i="2"/>
  <c r="B1215" i="9" s="1"/>
  <c r="A1215" i="2"/>
  <c r="A1215" i="9" s="1"/>
  <c r="B1214" i="2"/>
  <c r="B1214" i="9" s="1"/>
  <c r="A1214" i="2"/>
  <c r="A1214" i="9" s="1"/>
  <c r="B1213" i="2"/>
  <c r="B1213" i="9" s="1"/>
  <c r="A1213" i="2"/>
  <c r="A1213" i="9" s="1"/>
  <c r="B1212" i="2"/>
  <c r="B1212" i="9" s="1"/>
  <c r="A1212" i="2"/>
  <c r="A1212" i="9" s="1"/>
  <c r="B1211" i="2"/>
  <c r="B1211" i="9" s="1"/>
  <c r="A1211" i="2"/>
  <c r="A1211" i="9" s="1"/>
  <c r="B1210" i="2"/>
  <c r="B1210" i="9" s="1"/>
  <c r="A1210" i="2"/>
  <c r="A1210" i="9" s="1"/>
  <c r="B1209" i="2"/>
  <c r="B1209" i="9" s="1"/>
  <c r="A1209" i="2"/>
  <c r="A1209" i="9" s="1"/>
  <c r="B1208" i="2"/>
  <c r="B1208" i="9" s="1"/>
  <c r="A1208" i="2"/>
  <c r="A1208" i="9" s="1"/>
  <c r="B1207" i="2"/>
  <c r="B1207" i="9" s="1"/>
  <c r="A1207" i="2"/>
  <c r="A1207" i="9" s="1"/>
  <c r="B1206" i="2"/>
  <c r="B1206" i="9" s="1"/>
  <c r="A1206" i="2"/>
  <c r="A1206" i="9" s="1"/>
  <c r="B1205" i="2"/>
  <c r="B1205" i="9" s="1"/>
  <c r="A1205" i="2"/>
  <c r="A1205" i="9" s="1"/>
  <c r="B1204" i="2"/>
  <c r="B1204" i="9" s="1"/>
  <c r="A1204" i="2"/>
  <c r="A1204" i="9" s="1"/>
  <c r="B1203" i="2"/>
  <c r="B1203" i="9" s="1"/>
  <c r="A1203" i="2"/>
  <c r="A1203" i="9" s="1"/>
  <c r="B1202" i="2"/>
  <c r="B1202" i="9" s="1"/>
  <c r="A1202" i="2"/>
  <c r="A1202" i="9" s="1"/>
  <c r="B1201" i="2"/>
  <c r="B1201" i="9" s="1"/>
  <c r="A1201" i="2"/>
  <c r="A1201" i="9" s="1"/>
  <c r="B1200" i="2"/>
  <c r="B1200" i="9" s="1"/>
  <c r="A1200" i="2"/>
  <c r="A1200" i="9" s="1"/>
  <c r="B1199" i="2"/>
  <c r="B1199" i="9" s="1"/>
  <c r="A1199" i="2"/>
  <c r="A1199" i="9" s="1"/>
  <c r="B1198" i="2"/>
  <c r="B1198" i="9" s="1"/>
  <c r="A1198" i="2"/>
  <c r="A1198" i="9" s="1"/>
  <c r="B1197" i="2"/>
  <c r="B1197" i="9" s="1"/>
  <c r="A1197" i="2"/>
  <c r="A1197" i="9" s="1"/>
  <c r="B1196" i="2"/>
  <c r="B1196" i="9" s="1"/>
  <c r="A1196" i="2"/>
  <c r="A1196" i="9" s="1"/>
  <c r="B1195" i="2"/>
  <c r="B1195" i="9" s="1"/>
  <c r="A1195" i="2"/>
  <c r="A1195" i="9" s="1"/>
  <c r="B1194" i="2"/>
  <c r="B1194" i="9" s="1"/>
  <c r="A1194" i="2"/>
  <c r="A1194" i="9" s="1"/>
  <c r="B1193" i="2"/>
  <c r="B1193" i="9" s="1"/>
  <c r="A1193" i="2"/>
  <c r="A1193" i="9" s="1"/>
  <c r="B1192" i="2"/>
  <c r="B1192" i="9" s="1"/>
  <c r="A1192" i="2"/>
  <c r="A1192" i="9" s="1"/>
  <c r="B1191" i="2"/>
  <c r="B1191" i="9" s="1"/>
  <c r="A1191" i="2"/>
  <c r="A1191" i="9" s="1"/>
  <c r="B1190" i="2"/>
  <c r="B1190" i="9" s="1"/>
  <c r="A1190" i="2"/>
  <c r="A1190" i="9" s="1"/>
  <c r="B1189" i="2"/>
  <c r="B1189" i="9" s="1"/>
  <c r="A1189" i="2"/>
  <c r="A1189" i="9" s="1"/>
  <c r="B1188" i="2"/>
  <c r="B1188" i="9" s="1"/>
  <c r="A1188" i="2"/>
  <c r="A1188" i="9" s="1"/>
  <c r="B1187" i="2"/>
  <c r="B1187" i="9" s="1"/>
  <c r="A1187" i="2"/>
  <c r="A1187" i="9" s="1"/>
  <c r="B1186" i="2"/>
  <c r="B1186" i="9" s="1"/>
  <c r="A1186" i="2"/>
  <c r="A1186" i="9" s="1"/>
  <c r="B1185" i="2"/>
  <c r="B1185" i="9" s="1"/>
  <c r="A1185" i="2"/>
  <c r="A1185" i="9" s="1"/>
  <c r="B1184" i="2"/>
  <c r="B1184" i="9" s="1"/>
  <c r="A1184" i="2"/>
  <c r="A1184" i="9" s="1"/>
  <c r="B1183" i="2"/>
  <c r="B1183" i="9" s="1"/>
  <c r="A1183" i="2"/>
  <c r="A1183" i="9" s="1"/>
  <c r="B1182" i="2"/>
  <c r="B1182" i="9" s="1"/>
  <c r="A1182" i="2"/>
  <c r="A1182" i="9" s="1"/>
  <c r="B1181" i="2"/>
  <c r="B1181" i="9" s="1"/>
  <c r="A1181" i="2"/>
  <c r="A1181" i="9" s="1"/>
  <c r="B1180" i="2"/>
  <c r="B1180" i="9" s="1"/>
  <c r="A1180" i="2"/>
  <c r="A1180" i="9" s="1"/>
  <c r="B1179" i="2"/>
  <c r="B1179" i="9" s="1"/>
  <c r="A1179" i="2"/>
  <c r="A1179" i="9" s="1"/>
  <c r="B1178" i="2"/>
  <c r="B1178" i="9" s="1"/>
  <c r="A1178" i="2"/>
  <c r="A1178" i="9" s="1"/>
  <c r="B1177" i="2"/>
  <c r="B1177" i="9" s="1"/>
  <c r="A1177" i="2"/>
  <c r="A1177" i="9" s="1"/>
  <c r="B1176" i="2"/>
  <c r="B1176" i="9" s="1"/>
  <c r="A1176" i="2"/>
  <c r="A1176" i="9" s="1"/>
  <c r="B1175" i="2"/>
  <c r="B1175" i="9" s="1"/>
  <c r="A1175" i="2"/>
  <c r="A1175" i="9" s="1"/>
  <c r="B1174" i="2"/>
  <c r="B1174" i="9" s="1"/>
  <c r="A1174" i="2"/>
  <c r="A1174" i="9" s="1"/>
  <c r="B1173" i="2"/>
  <c r="B1173" i="9" s="1"/>
  <c r="A1173" i="2"/>
  <c r="A1173" i="9" s="1"/>
  <c r="B1172" i="2"/>
  <c r="B1172" i="9" s="1"/>
  <c r="A1172" i="2"/>
  <c r="A1172" i="9" s="1"/>
  <c r="B1171" i="2"/>
  <c r="B1171" i="9" s="1"/>
  <c r="A1171" i="2"/>
  <c r="A1171" i="9" s="1"/>
  <c r="B1170" i="2"/>
  <c r="B1170" i="9" s="1"/>
  <c r="A1170" i="2"/>
  <c r="A1170" i="9" s="1"/>
  <c r="B1169" i="2"/>
  <c r="B1169" i="9" s="1"/>
  <c r="A1169" i="2"/>
  <c r="A1169" i="9" s="1"/>
  <c r="B1168" i="2"/>
  <c r="B1168" i="9" s="1"/>
  <c r="A1168" i="2"/>
  <c r="A1168" i="9" s="1"/>
  <c r="B1167" i="2"/>
  <c r="B1167" i="9" s="1"/>
  <c r="A1167" i="2"/>
  <c r="A1167" i="9" s="1"/>
  <c r="B1166" i="2"/>
  <c r="B1166" i="9" s="1"/>
  <c r="A1166" i="2"/>
  <c r="A1166" i="9" s="1"/>
  <c r="B1165" i="2"/>
  <c r="B1165" i="9" s="1"/>
  <c r="A1165" i="2"/>
  <c r="A1165" i="9" s="1"/>
  <c r="B1164" i="2"/>
  <c r="B1164" i="9" s="1"/>
  <c r="A1164" i="2"/>
  <c r="A1164" i="9" s="1"/>
  <c r="B1163" i="2"/>
  <c r="B1163" i="9" s="1"/>
  <c r="A1163" i="2"/>
  <c r="A1163" i="9" s="1"/>
  <c r="B1162" i="2"/>
  <c r="B1162" i="9" s="1"/>
  <c r="A1162" i="2"/>
  <c r="A1162" i="9" s="1"/>
  <c r="B1161" i="2"/>
  <c r="B1161" i="9" s="1"/>
  <c r="A1161" i="2"/>
  <c r="A1161" i="9" s="1"/>
  <c r="B1160" i="2"/>
  <c r="B1160" i="9" s="1"/>
  <c r="A1160" i="2"/>
  <c r="A1160" i="9" s="1"/>
  <c r="B1159" i="2"/>
  <c r="B1159" i="9" s="1"/>
  <c r="A1159" i="2"/>
  <c r="A1159" i="9" s="1"/>
  <c r="B1158" i="2"/>
  <c r="B1158" i="9" s="1"/>
  <c r="A1158" i="2"/>
  <c r="A1158" i="9" s="1"/>
  <c r="B1157" i="2"/>
  <c r="B1157" i="9" s="1"/>
  <c r="A1157" i="2"/>
  <c r="A1157" i="9" s="1"/>
  <c r="B1156" i="2"/>
  <c r="B1156" i="9" s="1"/>
  <c r="A1156" i="2"/>
  <c r="A1156" i="9" s="1"/>
  <c r="B1155" i="2"/>
  <c r="B1155" i="9" s="1"/>
  <c r="A1155" i="2"/>
  <c r="A1155" i="9" s="1"/>
  <c r="B1154" i="2"/>
  <c r="B1154" i="9" s="1"/>
  <c r="A1154" i="2"/>
  <c r="A1154" i="9" s="1"/>
  <c r="B1153" i="2"/>
  <c r="B1153" i="9" s="1"/>
  <c r="A1153" i="2"/>
  <c r="A1153" i="9" s="1"/>
  <c r="B1152" i="2"/>
  <c r="B1152" i="9" s="1"/>
  <c r="A1152" i="2"/>
  <c r="A1152" i="9" s="1"/>
  <c r="B1151" i="2"/>
  <c r="B1151" i="9" s="1"/>
  <c r="A1151" i="2"/>
  <c r="A1151" i="9" s="1"/>
  <c r="B1150" i="2"/>
  <c r="B1150" i="9" s="1"/>
  <c r="A1150" i="2"/>
  <c r="A1150" i="9" s="1"/>
  <c r="B1149" i="2"/>
  <c r="B1149" i="9" s="1"/>
  <c r="A1149" i="2"/>
  <c r="A1149" i="9" s="1"/>
  <c r="B1148" i="2"/>
  <c r="B1148" i="9" s="1"/>
  <c r="A1148" i="2"/>
  <c r="A1148" i="9" s="1"/>
  <c r="B1147" i="2"/>
  <c r="B1147" i="9" s="1"/>
  <c r="A1147" i="2"/>
  <c r="A1147" i="9" s="1"/>
  <c r="B1146" i="2"/>
  <c r="B1146" i="9" s="1"/>
  <c r="A1146" i="2"/>
  <c r="A1146" i="9" s="1"/>
  <c r="B1145" i="2"/>
  <c r="B1145" i="9" s="1"/>
  <c r="A1145" i="2"/>
  <c r="A1145" i="9" s="1"/>
  <c r="B1144" i="2"/>
  <c r="B1144" i="9" s="1"/>
  <c r="A1144" i="2"/>
  <c r="A1144" i="9" s="1"/>
  <c r="B1143" i="2"/>
  <c r="B1143" i="9" s="1"/>
  <c r="A1143" i="2"/>
  <c r="A1143" i="9" s="1"/>
  <c r="B1142" i="2"/>
  <c r="B1142" i="9" s="1"/>
  <c r="A1142" i="2"/>
  <c r="A1142" i="9" s="1"/>
  <c r="B1141" i="2"/>
  <c r="B1141" i="9" s="1"/>
  <c r="A1141" i="2"/>
  <c r="A1141" i="9" s="1"/>
  <c r="B1140" i="2"/>
  <c r="B1140" i="9" s="1"/>
  <c r="A1140" i="2"/>
  <c r="A1140" i="9" s="1"/>
  <c r="B1139" i="2"/>
  <c r="B1139" i="9" s="1"/>
  <c r="A1139" i="2"/>
  <c r="A1139" i="9" s="1"/>
  <c r="B1138" i="2"/>
  <c r="B1138" i="9" s="1"/>
  <c r="A1138" i="2"/>
  <c r="A1138" i="9" s="1"/>
  <c r="B1137" i="2"/>
  <c r="B1137" i="9" s="1"/>
  <c r="A1137" i="2"/>
  <c r="A1137" i="9" s="1"/>
  <c r="B1136" i="2"/>
  <c r="B1136" i="9" s="1"/>
  <c r="A1136" i="2"/>
  <c r="A1136" i="9" s="1"/>
  <c r="B1135" i="2"/>
  <c r="B1135" i="9" s="1"/>
  <c r="A1135" i="2"/>
  <c r="A1135" i="9" s="1"/>
  <c r="B1134" i="2"/>
  <c r="B1134" i="9" s="1"/>
  <c r="A1134" i="2"/>
  <c r="A1134" i="9" s="1"/>
  <c r="B1133" i="2"/>
  <c r="B1133" i="9" s="1"/>
  <c r="A1133" i="2"/>
  <c r="A1133" i="9" s="1"/>
  <c r="B1132" i="2"/>
  <c r="B1132" i="9" s="1"/>
  <c r="A1132" i="2"/>
  <c r="A1132" i="9" s="1"/>
  <c r="B1131" i="2"/>
  <c r="B1131" i="9" s="1"/>
  <c r="A1131" i="2"/>
  <c r="A1131" i="9" s="1"/>
  <c r="B1130" i="2"/>
  <c r="B1130" i="9" s="1"/>
  <c r="A1130" i="2"/>
  <c r="A1130" i="9" s="1"/>
  <c r="B1129" i="2"/>
  <c r="B1129" i="9" s="1"/>
  <c r="A1129" i="2"/>
  <c r="A1129" i="9" s="1"/>
  <c r="B1128" i="2"/>
  <c r="B1128" i="9" s="1"/>
  <c r="A1128" i="2"/>
  <c r="A1128" i="9" s="1"/>
  <c r="B1127" i="2"/>
  <c r="B1127" i="9" s="1"/>
  <c r="A1127" i="2"/>
  <c r="A1127" i="9" s="1"/>
  <c r="B1126" i="2"/>
  <c r="B1126" i="9" s="1"/>
  <c r="A1126" i="2"/>
  <c r="A1126" i="9" s="1"/>
  <c r="B1125" i="2"/>
  <c r="B1125" i="9" s="1"/>
  <c r="A1125" i="2"/>
  <c r="A1125" i="9" s="1"/>
  <c r="B1124" i="2"/>
  <c r="B1124" i="9" s="1"/>
  <c r="A1124" i="2"/>
  <c r="A1124" i="9" s="1"/>
  <c r="B1123" i="2"/>
  <c r="B1123" i="9" s="1"/>
  <c r="A1123" i="2"/>
  <c r="A1123" i="9" s="1"/>
  <c r="B1122" i="2"/>
  <c r="B1122" i="9" s="1"/>
  <c r="A1122" i="2"/>
  <c r="A1122" i="9" s="1"/>
  <c r="B1121" i="2"/>
  <c r="B1121" i="9" s="1"/>
  <c r="A1121" i="2"/>
  <c r="A1121" i="9" s="1"/>
  <c r="B1120" i="2"/>
  <c r="B1120" i="9" s="1"/>
  <c r="A1120" i="2"/>
  <c r="A1120" i="9" s="1"/>
  <c r="B1119" i="2"/>
  <c r="B1119" i="9" s="1"/>
  <c r="A1119" i="2"/>
  <c r="A1119" i="9" s="1"/>
  <c r="B1118" i="2"/>
  <c r="B1118" i="9" s="1"/>
  <c r="A1118" i="2"/>
  <c r="A1118" i="9" s="1"/>
  <c r="B1117" i="2"/>
  <c r="B1117" i="9" s="1"/>
  <c r="A1117" i="2"/>
  <c r="A1117" i="9" s="1"/>
  <c r="B1116" i="2"/>
  <c r="B1116" i="9" s="1"/>
  <c r="A1116" i="2"/>
  <c r="A1116" i="9" s="1"/>
  <c r="B1115" i="2"/>
  <c r="B1115" i="9" s="1"/>
  <c r="A1115" i="2"/>
  <c r="A1115" i="9" s="1"/>
  <c r="B1114" i="2"/>
  <c r="B1114" i="9" s="1"/>
  <c r="A1114" i="2"/>
  <c r="A1114" i="9" s="1"/>
  <c r="B1113" i="2"/>
  <c r="B1113" i="9" s="1"/>
  <c r="A1113" i="2"/>
  <c r="A1113" i="9" s="1"/>
  <c r="B1112" i="2"/>
  <c r="B1112" i="9" s="1"/>
  <c r="A1112" i="2"/>
  <c r="A1112" i="9" s="1"/>
  <c r="B1111" i="2"/>
  <c r="B1111" i="9" s="1"/>
  <c r="A1111" i="2"/>
  <c r="A1111" i="9" s="1"/>
  <c r="B1110" i="2"/>
  <c r="B1110" i="9" s="1"/>
  <c r="A1110" i="2"/>
  <c r="A1110" i="9" s="1"/>
  <c r="B1109" i="2"/>
  <c r="B1109" i="9" s="1"/>
  <c r="A1109" i="2"/>
  <c r="A1109" i="9" s="1"/>
  <c r="B1108" i="2"/>
  <c r="B1108" i="9" s="1"/>
  <c r="A1108" i="2"/>
  <c r="A1108" i="9" s="1"/>
  <c r="B1107" i="2"/>
  <c r="B1107" i="9" s="1"/>
  <c r="A1107" i="2"/>
  <c r="A1107" i="9" s="1"/>
  <c r="B1106" i="2"/>
  <c r="B1106" i="9" s="1"/>
  <c r="A1106" i="2"/>
  <c r="A1106" i="9" s="1"/>
  <c r="B1105" i="2"/>
  <c r="B1105" i="9" s="1"/>
  <c r="A1105" i="2"/>
  <c r="A1105" i="9" s="1"/>
  <c r="B1104" i="2"/>
  <c r="B1104" i="9" s="1"/>
  <c r="A1104" i="2"/>
  <c r="A1104" i="9" s="1"/>
  <c r="B1103" i="2"/>
  <c r="B1103" i="9" s="1"/>
  <c r="A1103" i="2"/>
  <c r="A1103" i="9" s="1"/>
  <c r="B1102" i="2"/>
  <c r="B1102" i="9" s="1"/>
  <c r="A1102" i="2"/>
  <c r="A1102" i="9" s="1"/>
  <c r="B1101" i="2"/>
  <c r="B1101" i="9" s="1"/>
  <c r="A1101" i="2"/>
  <c r="A1101" i="9" s="1"/>
  <c r="B1100" i="2"/>
  <c r="B1100" i="9" s="1"/>
  <c r="A1100" i="2"/>
  <c r="A1100" i="9" s="1"/>
  <c r="B1099" i="2"/>
  <c r="B1099" i="9" s="1"/>
  <c r="A1099" i="2"/>
  <c r="A1099" i="9" s="1"/>
  <c r="B1098" i="2"/>
  <c r="B1098" i="9" s="1"/>
  <c r="A1098" i="2"/>
  <c r="A1098" i="9" s="1"/>
  <c r="B1097" i="2"/>
  <c r="B1097" i="9" s="1"/>
  <c r="A1097" i="2"/>
  <c r="A1097" i="9" s="1"/>
  <c r="B1096" i="2"/>
  <c r="B1096" i="9" s="1"/>
  <c r="A1096" i="2"/>
  <c r="A1096" i="9" s="1"/>
  <c r="B1095" i="2"/>
  <c r="B1095" i="9" s="1"/>
  <c r="A1095" i="2"/>
  <c r="A1095" i="9" s="1"/>
  <c r="B1094" i="2"/>
  <c r="B1094" i="9" s="1"/>
  <c r="A1094" i="2"/>
  <c r="A1094" i="9" s="1"/>
  <c r="B1093" i="2"/>
  <c r="B1093" i="9" s="1"/>
  <c r="A1093" i="2"/>
  <c r="A1093" i="9" s="1"/>
  <c r="B1092" i="2"/>
  <c r="B1092" i="9" s="1"/>
  <c r="A1092" i="2"/>
  <c r="A1092" i="9" s="1"/>
  <c r="B1091" i="2"/>
  <c r="B1091" i="9" s="1"/>
  <c r="A1091" i="2"/>
  <c r="A1091" i="9" s="1"/>
  <c r="B1090" i="2"/>
  <c r="B1090" i="9" s="1"/>
  <c r="A1090" i="2"/>
  <c r="A1090" i="9" s="1"/>
  <c r="B1089" i="2"/>
  <c r="B1089" i="9" s="1"/>
  <c r="A1089" i="2"/>
  <c r="A1089" i="9" s="1"/>
  <c r="B1088" i="2"/>
  <c r="B1088" i="9" s="1"/>
  <c r="A1088" i="2"/>
  <c r="A1088" i="9" s="1"/>
  <c r="B1087" i="2"/>
  <c r="B1087" i="9" s="1"/>
  <c r="A1087" i="2"/>
  <c r="A1087" i="9" s="1"/>
  <c r="B1086" i="2"/>
  <c r="B1086" i="9" s="1"/>
  <c r="A1086" i="2"/>
  <c r="A1086" i="9" s="1"/>
  <c r="B1085" i="2"/>
  <c r="B1085" i="9" s="1"/>
  <c r="A1085" i="2"/>
  <c r="A1085" i="9" s="1"/>
  <c r="B1084" i="2"/>
  <c r="B1084" i="9" s="1"/>
  <c r="A1084" i="2"/>
  <c r="A1084" i="9" s="1"/>
  <c r="B1083" i="2"/>
  <c r="B1083" i="9" s="1"/>
  <c r="A1083" i="2"/>
  <c r="A1083" i="9" s="1"/>
  <c r="B1082" i="2"/>
  <c r="B1082" i="9" s="1"/>
  <c r="A1082" i="2"/>
  <c r="A1082" i="9" s="1"/>
  <c r="B1081" i="2"/>
  <c r="B1081" i="9" s="1"/>
  <c r="A1081" i="2"/>
  <c r="A1081" i="9" s="1"/>
  <c r="B1080" i="2"/>
  <c r="B1080" i="9" s="1"/>
  <c r="A1080" i="2"/>
  <c r="A1080" i="9" s="1"/>
  <c r="B1079" i="2"/>
  <c r="B1079" i="9" s="1"/>
  <c r="A1079" i="2"/>
  <c r="A1079" i="9" s="1"/>
  <c r="B1078" i="2"/>
  <c r="B1078" i="9" s="1"/>
  <c r="A1078" i="2"/>
  <c r="A1078" i="9" s="1"/>
  <c r="B1077" i="2"/>
  <c r="B1077" i="9" s="1"/>
  <c r="A1077" i="2"/>
  <c r="A1077" i="9" s="1"/>
  <c r="B1076" i="2"/>
  <c r="B1076" i="9" s="1"/>
  <c r="A1076" i="2"/>
  <c r="A1076" i="9" s="1"/>
  <c r="B1075" i="2"/>
  <c r="B1075" i="9" s="1"/>
  <c r="A1075" i="2"/>
  <c r="A1075" i="9" s="1"/>
  <c r="B1074" i="2"/>
  <c r="B1074" i="9" s="1"/>
  <c r="A1074" i="2"/>
  <c r="A1074" i="9" s="1"/>
  <c r="B1073" i="2"/>
  <c r="B1073" i="9" s="1"/>
  <c r="A1073" i="2"/>
  <c r="A1073" i="9" s="1"/>
  <c r="B1072" i="2"/>
  <c r="B1072" i="9" s="1"/>
  <c r="A1072" i="2"/>
  <c r="A1072" i="9" s="1"/>
  <c r="B1071" i="2"/>
  <c r="B1071" i="9" s="1"/>
  <c r="A1071" i="2"/>
  <c r="A1071" i="9" s="1"/>
  <c r="B1070" i="2"/>
  <c r="B1070" i="9" s="1"/>
  <c r="A1070" i="2"/>
  <c r="A1070" i="9" s="1"/>
  <c r="B1069" i="2"/>
  <c r="B1069" i="9" s="1"/>
  <c r="A1069" i="2"/>
  <c r="A1069" i="9" s="1"/>
  <c r="B1068" i="2"/>
  <c r="B1068" i="9" s="1"/>
  <c r="A1068" i="2"/>
  <c r="A1068" i="9" s="1"/>
  <c r="B1067" i="2"/>
  <c r="B1067" i="9" s="1"/>
  <c r="A1067" i="2"/>
  <c r="A1067" i="9" s="1"/>
  <c r="B1066" i="2"/>
  <c r="B1066" i="9" s="1"/>
  <c r="A1066" i="2"/>
  <c r="A1066" i="9" s="1"/>
  <c r="B1065" i="2"/>
  <c r="B1065" i="9" s="1"/>
  <c r="A1065" i="2"/>
  <c r="A1065" i="9" s="1"/>
  <c r="B1064" i="2"/>
  <c r="B1064" i="9" s="1"/>
  <c r="A1064" i="2"/>
  <c r="A1064" i="9" s="1"/>
  <c r="B1063" i="2"/>
  <c r="B1063" i="9" s="1"/>
  <c r="A1063" i="2"/>
  <c r="A1063" i="9" s="1"/>
  <c r="B1062" i="2"/>
  <c r="B1062" i="9" s="1"/>
  <c r="A1062" i="2"/>
  <c r="A1062" i="9" s="1"/>
  <c r="B1061" i="2"/>
  <c r="B1061" i="9" s="1"/>
  <c r="A1061" i="2"/>
  <c r="A1061" i="9" s="1"/>
  <c r="B1060" i="2"/>
  <c r="B1060" i="9" s="1"/>
  <c r="A1060" i="2"/>
  <c r="A1060" i="9" s="1"/>
  <c r="B1059" i="2"/>
  <c r="B1059" i="9" s="1"/>
  <c r="A1059" i="2"/>
  <c r="A1059" i="9" s="1"/>
  <c r="B1058" i="2"/>
  <c r="B1058" i="9" s="1"/>
  <c r="A1058" i="2"/>
  <c r="A1058" i="9" s="1"/>
  <c r="B1057" i="2"/>
  <c r="B1057" i="9" s="1"/>
  <c r="A1057" i="2"/>
  <c r="A1057" i="9" s="1"/>
  <c r="B1056" i="2"/>
  <c r="B1056" i="9" s="1"/>
  <c r="A1056" i="2"/>
  <c r="A1056" i="9" s="1"/>
  <c r="B1055" i="2"/>
  <c r="B1055" i="9" s="1"/>
  <c r="A1055" i="2"/>
  <c r="A1055" i="9" s="1"/>
  <c r="B1054" i="2"/>
  <c r="B1054" i="9" s="1"/>
  <c r="A1054" i="2"/>
  <c r="A1054" i="9" s="1"/>
  <c r="B1053" i="2"/>
  <c r="B1053" i="9" s="1"/>
  <c r="A1053" i="2"/>
  <c r="A1053" i="9" s="1"/>
  <c r="B1052" i="2"/>
  <c r="B1052" i="9" s="1"/>
  <c r="A1052" i="2"/>
  <c r="A1052" i="9" s="1"/>
  <c r="B1051" i="2"/>
  <c r="B1051" i="9" s="1"/>
  <c r="A1051" i="2"/>
  <c r="A1051" i="9" s="1"/>
  <c r="B1050" i="2"/>
  <c r="B1050" i="9" s="1"/>
  <c r="A1050" i="2"/>
  <c r="A1050" i="9" s="1"/>
  <c r="B1049" i="2"/>
  <c r="B1049" i="9" s="1"/>
  <c r="A1049" i="2"/>
  <c r="A1049" i="9" s="1"/>
  <c r="B1048" i="2"/>
  <c r="B1048" i="9" s="1"/>
  <c r="A1048" i="2"/>
  <c r="A1048" i="9" s="1"/>
  <c r="B1047" i="2"/>
  <c r="B1047" i="9" s="1"/>
  <c r="A1047" i="2"/>
  <c r="A1047" i="9" s="1"/>
  <c r="B1046" i="2"/>
  <c r="B1046" i="9" s="1"/>
  <c r="A1046" i="2"/>
  <c r="A1046" i="9" s="1"/>
  <c r="B1045" i="2"/>
  <c r="B1045" i="9" s="1"/>
  <c r="A1045" i="2"/>
  <c r="A1045" i="9" s="1"/>
  <c r="B1044" i="2"/>
  <c r="B1044" i="9" s="1"/>
  <c r="A1044" i="2"/>
  <c r="A1044" i="9" s="1"/>
  <c r="B1043" i="2"/>
  <c r="B1043" i="9" s="1"/>
  <c r="A1043" i="2"/>
  <c r="A1043" i="9" s="1"/>
  <c r="B1042" i="2"/>
  <c r="B1042" i="9" s="1"/>
  <c r="A1042" i="2"/>
  <c r="A1042" i="9" s="1"/>
  <c r="B1041" i="2"/>
  <c r="B1041" i="9" s="1"/>
  <c r="A1041" i="2"/>
  <c r="A1041" i="9" s="1"/>
  <c r="B1040" i="2"/>
  <c r="B1040" i="9" s="1"/>
  <c r="A1040" i="2"/>
  <c r="A1040" i="9" s="1"/>
  <c r="B1039" i="2"/>
  <c r="B1039" i="9" s="1"/>
  <c r="A1039" i="2"/>
  <c r="A1039" i="9" s="1"/>
  <c r="B1038" i="2"/>
  <c r="B1038" i="9" s="1"/>
  <c r="A1038" i="2"/>
  <c r="A1038" i="9" s="1"/>
  <c r="B1037" i="2"/>
  <c r="B1037" i="9" s="1"/>
  <c r="A1037" i="2"/>
  <c r="A1037" i="9" s="1"/>
  <c r="B1036" i="2"/>
  <c r="B1036" i="9" s="1"/>
  <c r="A1036" i="2"/>
  <c r="A1036" i="9" s="1"/>
  <c r="B1035" i="2"/>
  <c r="B1035" i="9" s="1"/>
  <c r="A1035" i="2"/>
  <c r="A1035" i="9" s="1"/>
  <c r="B1034" i="2"/>
  <c r="B1034" i="9" s="1"/>
  <c r="A1034" i="2"/>
  <c r="A1034" i="9" s="1"/>
  <c r="B1033" i="2"/>
  <c r="B1033" i="9" s="1"/>
  <c r="A1033" i="2"/>
  <c r="A1033" i="9" s="1"/>
  <c r="B1032" i="2"/>
  <c r="B1032" i="9" s="1"/>
  <c r="A1032" i="2"/>
  <c r="A1032" i="9" s="1"/>
  <c r="B1031" i="2"/>
  <c r="B1031" i="9" s="1"/>
  <c r="A1031" i="2"/>
  <c r="A1031" i="9" s="1"/>
  <c r="B1030" i="2"/>
  <c r="B1030" i="9" s="1"/>
  <c r="A1030" i="2"/>
  <c r="A1030" i="9" s="1"/>
  <c r="B1029" i="2"/>
  <c r="B1029" i="9" s="1"/>
  <c r="A1029" i="2"/>
  <c r="A1029" i="9" s="1"/>
  <c r="B1028" i="2"/>
  <c r="B1028" i="9" s="1"/>
  <c r="A1028" i="2"/>
  <c r="A1028" i="9" s="1"/>
  <c r="B1027" i="2"/>
  <c r="B1027" i="9" s="1"/>
  <c r="A1027" i="2"/>
  <c r="A1027" i="9" s="1"/>
  <c r="B1026" i="2"/>
  <c r="B1026" i="9" s="1"/>
  <c r="A1026" i="2"/>
  <c r="A1026" i="9" s="1"/>
  <c r="B1025" i="2"/>
  <c r="B1025" i="9" s="1"/>
  <c r="A1025" i="2"/>
  <c r="A1025" i="9" s="1"/>
  <c r="B1024" i="2"/>
  <c r="B1024" i="9" s="1"/>
  <c r="A1024" i="2"/>
  <c r="A1024" i="9" s="1"/>
  <c r="B1023" i="2"/>
  <c r="B1023" i="9" s="1"/>
  <c r="A1023" i="2"/>
  <c r="A1023" i="9" s="1"/>
  <c r="B1022" i="2"/>
  <c r="B1022" i="9" s="1"/>
  <c r="A1022" i="2"/>
  <c r="A1022" i="9" s="1"/>
  <c r="B1021" i="2"/>
  <c r="B1021" i="9" s="1"/>
  <c r="A1021" i="2"/>
  <c r="A1021" i="9" s="1"/>
  <c r="B1020" i="2"/>
  <c r="B1020" i="9" s="1"/>
  <c r="A1020" i="2"/>
  <c r="A1020" i="9" s="1"/>
  <c r="B1019" i="2"/>
  <c r="B1019" i="9" s="1"/>
  <c r="A1019" i="2"/>
  <c r="A1019" i="9" s="1"/>
  <c r="B1018" i="2"/>
  <c r="B1018" i="9" s="1"/>
  <c r="A1018" i="2"/>
  <c r="A1018" i="9" s="1"/>
  <c r="B1017" i="2"/>
  <c r="B1017" i="9" s="1"/>
  <c r="A1017" i="2"/>
  <c r="A1017" i="9" s="1"/>
  <c r="B1016" i="2"/>
  <c r="B1016" i="9" s="1"/>
  <c r="A1016" i="2"/>
  <c r="A1016" i="9" s="1"/>
  <c r="B1015" i="2"/>
  <c r="B1015" i="9" s="1"/>
  <c r="A1015" i="2"/>
  <c r="A1015" i="9" s="1"/>
  <c r="B1014" i="2"/>
  <c r="B1014" i="9" s="1"/>
  <c r="A1014" i="2"/>
  <c r="A1014" i="9" s="1"/>
  <c r="B1013" i="2"/>
  <c r="B1013" i="9" s="1"/>
  <c r="A1013" i="2"/>
  <c r="A1013" i="9" s="1"/>
  <c r="B1012" i="2"/>
  <c r="B1012" i="9" s="1"/>
  <c r="A1012" i="2"/>
  <c r="A1012" i="9" s="1"/>
  <c r="B1011" i="2"/>
  <c r="B1011" i="9" s="1"/>
  <c r="A1011" i="2"/>
  <c r="A1011" i="9" s="1"/>
  <c r="B1010" i="2"/>
  <c r="B1010" i="9" s="1"/>
  <c r="A1010" i="2"/>
  <c r="A1010" i="9" s="1"/>
  <c r="B1009" i="2"/>
  <c r="B1009" i="9" s="1"/>
  <c r="A1009" i="2"/>
  <c r="A1009" i="9" s="1"/>
  <c r="B1008" i="2"/>
  <c r="B1008" i="9" s="1"/>
  <c r="A1008" i="2"/>
  <c r="A1008" i="9" s="1"/>
  <c r="B1007" i="2"/>
  <c r="B1007" i="9" s="1"/>
  <c r="A1007" i="2"/>
  <c r="A1007" i="9" s="1"/>
  <c r="B1006" i="2"/>
  <c r="B1006" i="9" s="1"/>
  <c r="A1006" i="2"/>
  <c r="A1006" i="9" s="1"/>
  <c r="B1005" i="2"/>
  <c r="B1005" i="9" s="1"/>
  <c r="A1005" i="2"/>
  <c r="A1005" i="9" s="1"/>
  <c r="B1004" i="2"/>
  <c r="B1004" i="9" s="1"/>
  <c r="A1004" i="2"/>
  <c r="A1004" i="9" s="1"/>
  <c r="B1003" i="2"/>
  <c r="B1003" i="9" s="1"/>
  <c r="A1003" i="2"/>
  <c r="A1003" i="9" s="1"/>
  <c r="B1002" i="2"/>
  <c r="B1002" i="9" s="1"/>
  <c r="A1002" i="2"/>
  <c r="A1002" i="9" s="1"/>
  <c r="B1001" i="2"/>
  <c r="B1001" i="9" s="1"/>
  <c r="A1001" i="2"/>
  <c r="A1001" i="9" s="1"/>
  <c r="B1000" i="2"/>
  <c r="B1000" i="9" s="1"/>
  <c r="A1000" i="2"/>
  <c r="A1000" i="9" s="1"/>
  <c r="B999" i="2"/>
  <c r="B999" i="9" s="1"/>
  <c r="A999" i="2"/>
  <c r="A999" i="9" s="1"/>
  <c r="B998" i="2"/>
  <c r="B998" i="9" s="1"/>
  <c r="A998" i="2"/>
  <c r="A998" i="9" s="1"/>
  <c r="B997" i="2"/>
  <c r="B997" i="9" s="1"/>
  <c r="A997" i="2"/>
  <c r="A997" i="9" s="1"/>
  <c r="B996" i="2"/>
  <c r="B996" i="9" s="1"/>
  <c r="A996" i="2"/>
  <c r="A996" i="9" s="1"/>
  <c r="B995" i="2"/>
  <c r="B995" i="9" s="1"/>
  <c r="A995" i="2"/>
  <c r="A995" i="9" s="1"/>
  <c r="B994" i="2"/>
  <c r="B994" i="9" s="1"/>
  <c r="A994" i="2"/>
  <c r="A994" i="9" s="1"/>
  <c r="B993" i="2"/>
  <c r="B993" i="9" s="1"/>
  <c r="A993" i="2"/>
  <c r="A993" i="9" s="1"/>
  <c r="B992" i="2"/>
  <c r="B992" i="9" s="1"/>
  <c r="A992" i="2"/>
  <c r="A992" i="9" s="1"/>
  <c r="B991" i="2"/>
  <c r="B991" i="9" s="1"/>
  <c r="A991" i="2"/>
  <c r="A991" i="9" s="1"/>
  <c r="B990" i="2"/>
  <c r="B990" i="9" s="1"/>
  <c r="A990" i="2"/>
  <c r="A990" i="9" s="1"/>
  <c r="B989" i="2"/>
  <c r="B989" i="9" s="1"/>
  <c r="A989" i="2"/>
  <c r="A989" i="9" s="1"/>
  <c r="B988" i="2"/>
  <c r="B988" i="9" s="1"/>
  <c r="A988" i="2"/>
  <c r="A988" i="9" s="1"/>
  <c r="B987" i="2"/>
  <c r="B987" i="9" s="1"/>
  <c r="A987" i="2"/>
  <c r="A987" i="9" s="1"/>
  <c r="B986" i="2"/>
  <c r="B986" i="9" s="1"/>
  <c r="A986" i="2"/>
  <c r="A986" i="9" s="1"/>
  <c r="B985" i="2"/>
  <c r="B985" i="9" s="1"/>
  <c r="A985" i="2"/>
  <c r="A985" i="9" s="1"/>
  <c r="B984" i="2"/>
  <c r="B984" i="9" s="1"/>
  <c r="A984" i="2"/>
  <c r="A984" i="9" s="1"/>
  <c r="B983" i="2"/>
  <c r="B983" i="9" s="1"/>
  <c r="A983" i="2"/>
  <c r="A983" i="9" s="1"/>
  <c r="B982" i="2"/>
  <c r="B982" i="9" s="1"/>
  <c r="A982" i="2"/>
  <c r="A982" i="9" s="1"/>
  <c r="B981" i="2"/>
  <c r="B981" i="9" s="1"/>
  <c r="A981" i="2"/>
  <c r="A981" i="9" s="1"/>
  <c r="B980" i="2"/>
  <c r="B980" i="9" s="1"/>
  <c r="A980" i="2"/>
  <c r="A980" i="9" s="1"/>
  <c r="B979" i="2"/>
  <c r="B979" i="9" s="1"/>
  <c r="A979" i="2"/>
  <c r="A979" i="9" s="1"/>
  <c r="B978" i="2"/>
  <c r="B978" i="9" s="1"/>
  <c r="A978" i="2"/>
  <c r="A978" i="9" s="1"/>
  <c r="B977" i="2"/>
  <c r="B977" i="9" s="1"/>
  <c r="A977" i="2"/>
  <c r="A977" i="9" s="1"/>
  <c r="B976" i="2"/>
  <c r="B976" i="9" s="1"/>
  <c r="A976" i="2"/>
  <c r="A976" i="9" s="1"/>
  <c r="B975" i="2"/>
  <c r="B975" i="9" s="1"/>
  <c r="A975" i="2"/>
  <c r="A975" i="9" s="1"/>
  <c r="B974" i="2"/>
  <c r="B974" i="9" s="1"/>
  <c r="A974" i="2"/>
  <c r="A974" i="9" s="1"/>
  <c r="B973" i="2"/>
  <c r="B973" i="9" s="1"/>
  <c r="A973" i="2"/>
  <c r="A973" i="9" s="1"/>
  <c r="B972" i="2"/>
  <c r="B972" i="9" s="1"/>
  <c r="A972" i="2"/>
  <c r="A972" i="9" s="1"/>
  <c r="B971" i="2"/>
  <c r="B971" i="9" s="1"/>
  <c r="A971" i="2"/>
  <c r="A971" i="9" s="1"/>
  <c r="B970" i="2"/>
  <c r="B970" i="9" s="1"/>
  <c r="A970" i="2"/>
  <c r="A970" i="9" s="1"/>
  <c r="B969" i="2"/>
  <c r="B969" i="9" s="1"/>
  <c r="A969" i="2"/>
  <c r="A969" i="9" s="1"/>
  <c r="B968" i="2"/>
  <c r="B968" i="9" s="1"/>
  <c r="A968" i="2"/>
  <c r="A968" i="9" s="1"/>
  <c r="B967" i="2"/>
  <c r="B967" i="9" s="1"/>
  <c r="A967" i="2"/>
  <c r="A967" i="9" s="1"/>
  <c r="B966" i="2"/>
  <c r="B966" i="9" s="1"/>
  <c r="A966" i="2"/>
  <c r="A966" i="9" s="1"/>
  <c r="B965" i="2"/>
  <c r="B965" i="9" s="1"/>
  <c r="A965" i="2"/>
  <c r="A965" i="9" s="1"/>
  <c r="B964" i="2"/>
  <c r="B964" i="9" s="1"/>
  <c r="A964" i="2"/>
  <c r="A964" i="9" s="1"/>
  <c r="B963" i="2"/>
  <c r="B963" i="9" s="1"/>
  <c r="A963" i="2"/>
  <c r="A963" i="9" s="1"/>
  <c r="B962" i="2"/>
  <c r="B962" i="9" s="1"/>
  <c r="A962" i="2"/>
  <c r="A962" i="9" s="1"/>
  <c r="B961" i="2"/>
  <c r="B961" i="9" s="1"/>
  <c r="A961" i="2"/>
  <c r="A961" i="9" s="1"/>
  <c r="B960" i="2"/>
  <c r="B960" i="9" s="1"/>
  <c r="A960" i="2"/>
  <c r="A960" i="9" s="1"/>
  <c r="B959" i="2"/>
  <c r="B959" i="9" s="1"/>
  <c r="A959" i="2"/>
  <c r="A959" i="9" s="1"/>
  <c r="B958" i="2"/>
  <c r="B958" i="9" s="1"/>
  <c r="A958" i="2"/>
  <c r="A958" i="9" s="1"/>
  <c r="B957" i="2"/>
  <c r="B957" i="9" s="1"/>
  <c r="A957" i="2"/>
  <c r="A957" i="9" s="1"/>
  <c r="B956" i="2"/>
  <c r="B956" i="9" s="1"/>
  <c r="A956" i="2"/>
  <c r="A956" i="9" s="1"/>
  <c r="B955" i="2"/>
  <c r="B955" i="9" s="1"/>
  <c r="A955" i="2"/>
  <c r="A955" i="9" s="1"/>
  <c r="B954" i="2"/>
  <c r="B954" i="9" s="1"/>
  <c r="A954" i="2"/>
  <c r="A954" i="9" s="1"/>
  <c r="B953" i="2"/>
  <c r="B953" i="9" s="1"/>
  <c r="A953" i="2"/>
  <c r="A953" i="9" s="1"/>
  <c r="B952" i="2"/>
  <c r="B952" i="9" s="1"/>
  <c r="A952" i="2"/>
  <c r="A952" i="9" s="1"/>
  <c r="B951" i="2"/>
  <c r="B951" i="9" s="1"/>
  <c r="A951" i="2"/>
  <c r="A951" i="9" s="1"/>
  <c r="B950" i="2"/>
  <c r="B950" i="9" s="1"/>
  <c r="A950" i="2"/>
  <c r="A950" i="9" s="1"/>
  <c r="B949" i="2"/>
  <c r="B949" i="9" s="1"/>
  <c r="A949" i="2"/>
  <c r="A949" i="9" s="1"/>
  <c r="B948" i="2"/>
  <c r="B948" i="9" s="1"/>
  <c r="A948" i="2"/>
  <c r="A948" i="9" s="1"/>
  <c r="B947" i="2"/>
  <c r="B947" i="9" s="1"/>
  <c r="A947" i="2"/>
  <c r="A947" i="9" s="1"/>
  <c r="B946" i="2"/>
  <c r="B946" i="9" s="1"/>
  <c r="A946" i="2"/>
  <c r="A946" i="9" s="1"/>
  <c r="B945" i="2"/>
  <c r="B945" i="9" s="1"/>
  <c r="A945" i="2"/>
  <c r="A945" i="9" s="1"/>
  <c r="B944" i="2"/>
  <c r="B944" i="9" s="1"/>
  <c r="A944" i="2"/>
  <c r="A944" i="9" s="1"/>
  <c r="B943" i="2"/>
  <c r="B943" i="9" s="1"/>
  <c r="A943" i="2"/>
  <c r="A943" i="9" s="1"/>
  <c r="B942" i="2"/>
  <c r="B942" i="9" s="1"/>
  <c r="A942" i="2"/>
  <c r="A942" i="9" s="1"/>
  <c r="B941" i="2"/>
  <c r="B941" i="9" s="1"/>
  <c r="A941" i="2"/>
  <c r="A941" i="9" s="1"/>
  <c r="B940" i="2"/>
  <c r="B940" i="9" s="1"/>
  <c r="A940" i="2"/>
  <c r="A940" i="9" s="1"/>
  <c r="B939" i="2"/>
  <c r="B939" i="9" s="1"/>
  <c r="A939" i="2"/>
  <c r="A939" i="9" s="1"/>
  <c r="B938" i="2"/>
  <c r="B938" i="9" s="1"/>
  <c r="A938" i="2"/>
  <c r="A938" i="9" s="1"/>
  <c r="B937" i="2"/>
  <c r="B937" i="9" s="1"/>
  <c r="A937" i="2"/>
  <c r="A937" i="9" s="1"/>
  <c r="B936" i="2"/>
  <c r="B936" i="9" s="1"/>
  <c r="A936" i="2"/>
  <c r="A936" i="9" s="1"/>
  <c r="B935" i="2"/>
  <c r="B935" i="9" s="1"/>
  <c r="A935" i="2"/>
  <c r="A935" i="9" s="1"/>
  <c r="B934" i="2"/>
  <c r="B934" i="9" s="1"/>
  <c r="A934" i="2"/>
  <c r="A934" i="9" s="1"/>
  <c r="B933" i="2"/>
  <c r="B933" i="9" s="1"/>
  <c r="A933" i="2"/>
  <c r="A933" i="9" s="1"/>
  <c r="B932" i="2"/>
  <c r="B932" i="9" s="1"/>
  <c r="A932" i="2"/>
  <c r="A932" i="9" s="1"/>
  <c r="B931" i="2"/>
  <c r="B931" i="9" s="1"/>
  <c r="A931" i="2"/>
  <c r="A931" i="9" s="1"/>
  <c r="B930" i="2"/>
  <c r="B930" i="9" s="1"/>
  <c r="A930" i="2"/>
  <c r="A930" i="9" s="1"/>
  <c r="B929" i="2"/>
  <c r="B929" i="9" s="1"/>
  <c r="A929" i="2"/>
  <c r="A929" i="9" s="1"/>
  <c r="B928" i="2"/>
  <c r="B928" i="9" s="1"/>
  <c r="A928" i="2"/>
  <c r="A928" i="9" s="1"/>
  <c r="B927" i="2"/>
  <c r="B927" i="9" s="1"/>
  <c r="A927" i="2"/>
  <c r="A927" i="9" s="1"/>
  <c r="B926" i="2"/>
  <c r="B926" i="9" s="1"/>
  <c r="A926" i="2"/>
  <c r="A926" i="9" s="1"/>
  <c r="B925" i="2"/>
  <c r="B925" i="9" s="1"/>
  <c r="A925" i="2"/>
  <c r="A925" i="9" s="1"/>
  <c r="B924" i="2"/>
  <c r="B924" i="9" s="1"/>
  <c r="A924" i="2"/>
  <c r="A924" i="9" s="1"/>
  <c r="B923" i="2"/>
  <c r="B923" i="9" s="1"/>
  <c r="A923" i="2"/>
  <c r="A923" i="9" s="1"/>
  <c r="B922" i="2"/>
  <c r="B922" i="9" s="1"/>
  <c r="A922" i="2"/>
  <c r="A922" i="9" s="1"/>
  <c r="B921" i="2"/>
  <c r="B921" i="9" s="1"/>
  <c r="A921" i="2"/>
  <c r="A921" i="9" s="1"/>
  <c r="B920" i="2"/>
  <c r="B920" i="9" s="1"/>
  <c r="A920" i="2"/>
  <c r="A920" i="9" s="1"/>
  <c r="B919" i="2"/>
  <c r="B919" i="9" s="1"/>
  <c r="A919" i="2"/>
  <c r="A919" i="9" s="1"/>
  <c r="B918" i="2"/>
  <c r="B918" i="9" s="1"/>
  <c r="A918" i="2"/>
  <c r="A918" i="9" s="1"/>
  <c r="B917" i="2"/>
  <c r="B917" i="9" s="1"/>
  <c r="A917" i="2"/>
  <c r="A917" i="9" s="1"/>
  <c r="B916" i="2"/>
  <c r="B916" i="9" s="1"/>
  <c r="A916" i="2"/>
  <c r="A916" i="9" s="1"/>
  <c r="B915" i="2"/>
  <c r="B915" i="9" s="1"/>
  <c r="A915" i="2"/>
  <c r="A915" i="9" s="1"/>
  <c r="B914" i="2"/>
  <c r="B914" i="9" s="1"/>
  <c r="A914" i="2"/>
  <c r="A914" i="9" s="1"/>
  <c r="B913" i="2"/>
  <c r="B913" i="9" s="1"/>
  <c r="A913" i="2"/>
  <c r="A913" i="9" s="1"/>
  <c r="B912" i="2"/>
  <c r="B912" i="9" s="1"/>
  <c r="A912" i="2"/>
  <c r="A912" i="9" s="1"/>
  <c r="B911" i="2"/>
  <c r="B911" i="9" s="1"/>
  <c r="A911" i="2"/>
  <c r="A911" i="9" s="1"/>
  <c r="B910" i="2"/>
  <c r="B910" i="9" s="1"/>
  <c r="A910" i="2"/>
  <c r="A910" i="9" s="1"/>
  <c r="B909" i="2"/>
  <c r="B909" i="9" s="1"/>
  <c r="A909" i="2"/>
  <c r="A909" i="9" s="1"/>
  <c r="B908" i="2"/>
  <c r="B908" i="9" s="1"/>
  <c r="A908" i="2"/>
  <c r="A908" i="9" s="1"/>
  <c r="B907" i="2"/>
  <c r="B907" i="9" s="1"/>
  <c r="A907" i="2"/>
  <c r="A907" i="9" s="1"/>
  <c r="B906" i="2"/>
  <c r="B906" i="9" s="1"/>
  <c r="A906" i="2"/>
  <c r="A906" i="9" s="1"/>
  <c r="B905" i="2"/>
  <c r="B905" i="9" s="1"/>
  <c r="A905" i="2"/>
  <c r="A905" i="9" s="1"/>
  <c r="B904" i="2"/>
  <c r="B904" i="9" s="1"/>
  <c r="A904" i="2"/>
  <c r="A904" i="9" s="1"/>
  <c r="B903" i="2"/>
  <c r="B903" i="9" s="1"/>
  <c r="A903" i="2"/>
  <c r="A903" i="9" s="1"/>
  <c r="B902" i="2"/>
  <c r="B902" i="9" s="1"/>
  <c r="A902" i="2"/>
  <c r="A902" i="9" s="1"/>
  <c r="B901" i="2"/>
  <c r="B901" i="9" s="1"/>
  <c r="A901" i="2"/>
  <c r="A901" i="9" s="1"/>
  <c r="B900" i="2"/>
  <c r="B900" i="9" s="1"/>
  <c r="A900" i="2"/>
  <c r="A900" i="9" s="1"/>
  <c r="B899" i="2"/>
  <c r="B899" i="9" s="1"/>
  <c r="A899" i="2"/>
  <c r="A899" i="9" s="1"/>
  <c r="B898" i="2"/>
  <c r="B898" i="9" s="1"/>
  <c r="A898" i="2"/>
  <c r="A898" i="9" s="1"/>
  <c r="B897" i="2"/>
  <c r="B897" i="9" s="1"/>
  <c r="A897" i="2"/>
  <c r="A897" i="9" s="1"/>
  <c r="B896" i="2"/>
  <c r="B896" i="9" s="1"/>
  <c r="A896" i="2"/>
  <c r="A896" i="9" s="1"/>
  <c r="B895" i="2"/>
  <c r="B895" i="9" s="1"/>
  <c r="A895" i="2"/>
  <c r="A895" i="9" s="1"/>
  <c r="B894" i="2"/>
  <c r="B894" i="9" s="1"/>
  <c r="A894" i="2"/>
  <c r="A894" i="9" s="1"/>
  <c r="B893" i="2"/>
  <c r="B893" i="9" s="1"/>
  <c r="A893" i="2"/>
  <c r="A893" i="9" s="1"/>
  <c r="B892" i="2"/>
  <c r="B892" i="9" s="1"/>
  <c r="A892" i="2"/>
  <c r="A892" i="9" s="1"/>
  <c r="B891" i="2"/>
  <c r="B891" i="9" s="1"/>
  <c r="A891" i="2"/>
  <c r="A891" i="9" s="1"/>
  <c r="B890" i="2"/>
  <c r="B890" i="9" s="1"/>
  <c r="A890" i="2"/>
  <c r="A890" i="9" s="1"/>
  <c r="B889" i="2"/>
  <c r="B889" i="9" s="1"/>
  <c r="A889" i="2"/>
  <c r="A889" i="9" s="1"/>
  <c r="B888" i="2"/>
  <c r="B888" i="9" s="1"/>
  <c r="A888" i="2"/>
  <c r="A888" i="9" s="1"/>
  <c r="B887" i="2"/>
  <c r="B887" i="9" s="1"/>
  <c r="A887" i="2"/>
  <c r="A887" i="9" s="1"/>
  <c r="B886" i="2"/>
  <c r="B886" i="9" s="1"/>
  <c r="A886" i="2"/>
  <c r="A886" i="9" s="1"/>
  <c r="B885" i="2"/>
  <c r="B885" i="9" s="1"/>
  <c r="A885" i="2"/>
  <c r="A885" i="9" s="1"/>
  <c r="B884" i="2"/>
  <c r="B884" i="9" s="1"/>
  <c r="A884" i="2"/>
  <c r="A884" i="9" s="1"/>
  <c r="B883" i="2"/>
  <c r="B883" i="9" s="1"/>
  <c r="A883" i="2"/>
  <c r="A883" i="9" s="1"/>
  <c r="B882" i="2"/>
  <c r="B882" i="9" s="1"/>
  <c r="A882" i="2"/>
  <c r="A882" i="9" s="1"/>
  <c r="B881" i="2"/>
  <c r="B881" i="9" s="1"/>
  <c r="A881" i="2"/>
  <c r="A881" i="9" s="1"/>
  <c r="B880" i="2"/>
  <c r="B880" i="9" s="1"/>
  <c r="A880" i="2"/>
  <c r="A880" i="9" s="1"/>
  <c r="B879" i="2"/>
  <c r="B879" i="9" s="1"/>
  <c r="A879" i="2"/>
  <c r="A879" i="9" s="1"/>
  <c r="B878" i="2"/>
  <c r="B878" i="9" s="1"/>
  <c r="A878" i="2"/>
  <c r="A878" i="9" s="1"/>
  <c r="B877" i="2"/>
  <c r="B877" i="9" s="1"/>
  <c r="A877" i="2"/>
  <c r="A877" i="9" s="1"/>
  <c r="B876" i="2"/>
  <c r="B876" i="9" s="1"/>
  <c r="A876" i="2"/>
  <c r="A876" i="9" s="1"/>
  <c r="B875" i="2"/>
  <c r="B875" i="9" s="1"/>
  <c r="A875" i="2"/>
  <c r="A875" i="9" s="1"/>
  <c r="B874" i="2"/>
  <c r="B874" i="9" s="1"/>
  <c r="A874" i="2"/>
  <c r="A874" i="9" s="1"/>
  <c r="B873" i="2"/>
  <c r="B873" i="9" s="1"/>
  <c r="A873" i="2"/>
  <c r="A873" i="9" s="1"/>
  <c r="B872" i="2"/>
  <c r="B872" i="9" s="1"/>
  <c r="A872" i="2"/>
  <c r="A872" i="9" s="1"/>
  <c r="B871" i="2"/>
  <c r="B871" i="9" s="1"/>
  <c r="A871" i="2"/>
  <c r="A871" i="9" s="1"/>
  <c r="B870" i="2"/>
  <c r="B870" i="9" s="1"/>
  <c r="A870" i="2"/>
  <c r="A870" i="9" s="1"/>
  <c r="B869" i="2"/>
  <c r="B869" i="9" s="1"/>
  <c r="A869" i="2"/>
  <c r="A869" i="9" s="1"/>
  <c r="B868" i="2"/>
  <c r="B868" i="9" s="1"/>
  <c r="A868" i="2"/>
  <c r="A868" i="9" s="1"/>
  <c r="B867" i="2"/>
  <c r="B867" i="9" s="1"/>
  <c r="A867" i="2"/>
  <c r="A867" i="9" s="1"/>
  <c r="B866" i="2"/>
  <c r="B866" i="9" s="1"/>
  <c r="A866" i="2"/>
  <c r="A866" i="9" s="1"/>
  <c r="B865" i="2"/>
  <c r="B865" i="9" s="1"/>
  <c r="A865" i="2"/>
  <c r="A865" i="9" s="1"/>
  <c r="B864" i="2"/>
  <c r="B864" i="9" s="1"/>
  <c r="A864" i="2"/>
  <c r="A864" i="9" s="1"/>
  <c r="B863" i="2"/>
  <c r="B863" i="9" s="1"/>
  <c r="A863" i="2"/>
  <c r="A863" i="9" s="1"/>
  <c r="B862" i="2"/>
  <c r="B862" i="9" s="1"/>
  <c r="A862" i="2"/>
  <c r="A862" i="9" s="1"/>
  <c r="B861" i="2"/>
  <c r="B861" i="9" s="1"/>
  <c r="A861" i="2"/>
  <c r="A861" i="9" s="1"/>
  <c r="B860" i="2"/>
  <c r="B860" i="9" s="1"/>
  <c r="A860" i="2"/>
  <c r="A860" i="9" s="1"/>
  <c r="B859" i="2"/>
  <c r="B859" i="9" s="1"/>
  <c r="A859" i="2"/>
  <c r="A859" i="9" s="1"/>
  <c r="B858" i="2"/>
  <c r="B858" i="9" s="1"/>
  <c r="A858" i="2"/>
  <c r="A858" i="9" s="1"/>
  <c r="B857" i="2"/>
  <c r="B857" i="9" s="1"/>
  <c r="A857" i="2"/>
  <c r="A857" i="9" s="1"/>
  <c r="B856" i="2"/>
  <c r="B856" i="9" s="1"/>
  <c r="A856" i="2"/>
  <c r="A856" i="9" s="1"/>
  <c r="B855" i="2"/>
  <c r="B855" i="9" s="1"/>
  <c r="A855" i="2"/>
  <c r="A855" i="9" s="1"/>
  <c r="B854" i="2"/>
  <c r="B854" i="9" s="1"/>
  <c r="A854" i="2"/>
  <c r="A854" i="9" s="1"/>
  <c r="B853" i="2"/>
  <c r="B853" i="9" s="1"/>
  <c r="A853" i="2"/>
  <c r="A853" i="9" s="1"/>
  <c r="B852" i="2"/>
  <c r="B852" i="9" s="1"/>
  <c r="A852" i="2"/>
  <c r="A852" i="9" s="1"/>
  <c r="B851" i="2"/>
  <c r="B851" i="9" s="1"/>
  <c r="A851" i="2"/>
  <c r="A851" i="9" s="1"/>
  <c r="B850" i="2"/>
  <c r="B850" i="9" s="1"/>
  <c r="A850" i="2"/>
  <c r="A850" i="9" s="1"/>
  <c r="B849" i="2"/>
  <c r="B849" i="9" s="1"/>
  <c r="A849" i="2"/>
  <c r="A849" i="9" s="1"/>
  <c r="B848" i="2"/>
  <c r="B848" i="9" s="1"/>
  <c r="A848" i="2"/>
  <c r="A848" i="9" s="1"/>
  <c r="B847" i="2"/>
  <c r="B847" i="9" s="1"/>
  <c r="A847" i="2"/>
  <c r="A847" i="9" s="1"/>
  <c r="B846" i="2"/>
  <c r="B846" i="9" s="1"/>
  <c r="A846" i="2"/>
  <c r="A846" i="9" s="1"/>
  <c r="B845" i="2"/>
  <c r="B845" i="9" s="1"/>
  <c r="A845" i="2"/>
  <c r="A845" i="9" s="1"/>
  <c r="B844" i="2"/>
  <c r="B844" i="9" s="1"/>
  <c r="A844" i="2"/>
  <c r="A844" i="9" s="1"/>
  <c r="B843" i="2"/>
  <c r="B843" i="9" s="1"/>
  <c r="A843" i="2"/>
  <c r="A843" i="9" s="1"/>
  <c r="B842" i="2"/>
  <c r="B842" i="9" s="1"/>
  <c r="A842" i="2"/>
  <c r="A842" i="9" s="1"/>
  <c r="B841" i="2"/>
  <c r="B841" i="9" s="1"/>
  <c r="A841" i="2"/>
  <c r="A841" i="9" s="1"/>
  <c r="B840" i="2"/>
  <c r="B840" i="9" s="1"/>
  <c r="A840" i="2"/>
  <c r="A840" i="9" s="1"/>
  <c r="B839" i="2"/>
  <c r="B839" i="9" s="1"/>
  <c r="A839" i="2"/>
  <c r="A839" i="9" s="1"/>
  <c r="B838" i="2"/>
  <c r="B838" i="9" s="1"/>
  <c r="A838" i="2"/>
  <c r="A838" i="9" s="1"/>
  <c r="B837" i="2"/>
  <c r="B837" i="9" s="1"/>
  <c r="A837" i="2"/>
  <c r="A837" i="9" s="1"/>
  <c r="B836" i="2"/>
  <c r="B836" i="9" s="1"/>
  <c r="A836" i="2"/>
  <c r="A836" i="9" s="1"/>
  <c r="B835" i="2"/>
  <c r="B835" i="9" s="1"/>
  <c r="A835" i="2"/>
  <c r="A835" i="9" s="1"/>
  <c r="B834" i="2"/>
  <c r="B834" i="9" s="1"/>
  <c r="A834" i="2"/>
  <c r="A834" i="9" s="1"/>
  <c r="B833" i="2"/>
  <c r="B833" i="9" s="1"/>
  <c r="A833" i="2"/>
  <c r="A833" i="9" s="1"/>
  <c r="B832" i="2"/>
  <c r="B832" i="9" s="1"/>
  <c r="A832" i="2"/>
  <c r="A832" i="9" s="1"/>
  <c r="B831" i="2"/>
  <c r="B831" i="9" s="1"/>
  <c r="A831" i="2"/>
  <c r="A831" i="9" s="1"/>
  <c r="B830" i="2"/>
  <c r="B830" i="9" s="1"/>
  <c r="A830" i="2"/>
  <c r="A830" i="9" s="1"/>
  <c r="B829" i="2"/>
  <c r="B829" i="9" s="1"/>
  <c r="A829" i="2"/>
  <c r="A829" i="9" s="1"/>
  <c r="B828" i="2"/>
  <c r="B828" i="9" s="1"/>
  <c r="A828" i="2"/>
  <c r="A828" i="9" s="1"/>
  <c r="B827" i="2"/>
  <c r="B827" i="9" s="1"/>
  <c r="A827" i="2"/>
  <c r="A827" i="9" s="1"/>
  <c r="B826" i="2"/>
  <c r="B826" i="9" s="1"/>
  <c r="A826" i="2"/>
  <c r="A826" i="9" s="1"/>
  <c r="B825" i="2"/>
  <c r="B825" i="9" s="1"/>
  <c r="A825" i="2"/>
  <c r="A825" i="9" s="1"/>
  <c r="B824" i="2"/>
  <c r="B824" i="9" s="1"/>
  <c r="A824" i="2"/>
  <c r="A824" i="9" s="1"/>
  <c r="B823" i="2"/>
  <c r="B823" i="9" s="1"/>
  <c r="A823" i="2"/>
  <c r="A823" i="9" s="1"/>
  <c r="B822" i="2"/>
  <c r="B822" i="9" s="1"/>
  <c r="A822" i="2"/>
  <c r="A822" i="9" s="1"/>
  <c r="B821" i="2"/>
  <c r="B821" i="9" s="1"/>
  <c r="A821" i="2"/>
  <c r="A821" i="9" s="1"/>
  <c r="B820" i="2"/>
  <c r="B820" i="9" s="1"/>
  <c r="A820" i="2"/>
  <c r="A820" i="9" s="1"/>
  <c r="B819" i="2"/>
  <c r="B819" i="9" s="1"/>
  <c r="A819" i="2"/>
  <c r="A819" i="9" s="1"/>
  <c r="B818" i="2"/>
  <c r="B818" i="9" s="1"/>
  <c r="A818" i="2"/>
  <c r="A818" i="9" s="1"/>
  <c r="B817" i="2"/>
  <c r="B817" i="9" s="1"/>
  <c r="A817" i="2"/>
  <c r="A817" i="9" s="1"/>
  <c r="B816" i="2"/>
  <c r="B816" i="9" s="1"/>
  <c r="A816" i="2"/>
  <c r="A816" i="9" s="1"/>
  <c r="B815" i="2"/>
  <c r="B815" i="9" s="1"/>
  <c r="A815" i="2"/>
  <c r="A815" i="9" s="1"/>
  <c r="B814" i="2"/>
  <c r="B814" i="9" s="1"/>
  <c r="A814" i="2"/>
  <c r="A814" i="9" s="1"/>
  <c r="B813" i="2"/>
  <c r="B813" i="9" s="1"/>
  <c r="A813" i="2"/>
  <c r="A813" i="9" s="1"/>
  <c r="B812" i="2"/>
  <c r="B812" i="9" s="1"/>
  <c r="A812" i="2"/>
  <c r="A812" i="9" s="1"/>
  <c r="B811" i="2"/>
  <c r="B811" i="9" s="1"/>
  <c r="A811" i="2"/>
  <c r="A811" i="9" s="1"/>
  <c r="B810" i="2"/>
  <c r="B810" i="9" s="1"/>
  <c r="A810" i="2"/>
  <c r="A810" i="9" s="1"/>
  <c r="B809" i="2"/>
  <c r="B809" i="9" s="1"/>
  <c r="A809" i="2"/>
  <c r="A809" i="9" s="1"/>
  <c r="B808" i="2"/>
  <c r="B808" i="9" s="1"/>
  <c r="A808" i="2"/>
  <c r="A808" i="9" s="1"/>
  <c r="B807" i="2"/>
  <c r="B807" i="9" s="1"/>
  <c r="A807" i="2"/>
  <c r="A807" i="9" s="1"/>
  <c r="B806" i="2"/>
  <c r="B806" i="9" s="1"/>
  <c r="A806" i="2"/>
  <c r="A806" i="9" s="1"/>
  <c r="B805" i="2"/>
  <c r="B805" i="9" s="1"/>
  <c r="A805" i="2"/>
  <c r="A805" i="9" s="1"/>
  <c r="B804" i="2"/>
  <c r="B804" i="9" s="1"/>
  <c r="A804" i="2"/>
  <c r="A804" i="9" s="1"/>
  <c r="B803" i="2"/>
  <c r="B803" i="9" s="1"/>
  <c r="A803" i="2"/>
  <c r="A803" i="9" s="1"/>
  <c r="B802" i="2"/>
  <c r="B802" i="9" s="1"/>
  <c r="A802" i="2"/>
  <c r="A802" i="9" s="1"/>
  <c r="B801" i="2"/>
  <c r="B801" i="9" s="1"/>
  <c r="A801" i="2"/>
  <c r="A801" i="9" s="1"/>
  <c r="B800" i="2"/>
  <c r="B800" i="9" s="1"/>
  <c r="A800" i="2"/>
  <c r="A800" i="9" s="1"/>
  <c r="B799" i="2"/>
  <c r="B799" i="9" s="1"/>
  <c r="A799" i="2"/>
  <c r="A799" i="9" s="1"/>
  <c r="B798" i="2"/>
  <c r="B798" i="9" s="1"/>
  <c r="A798" i="2"/>
  <c r="A798" i="9" s="1"/>
  <c r="B797" i="2"/>
  <c r="B797" i="9" s="1"/>
  <c r="A797" i="2"/>
  <c r="A797" i="9" s="1"/>
  <c r="B796" i="2"/>
  <c r="B796" i="9" s="1"/>
  <c r="A796" i="2"/>
  <c r="A796" i="9" s="1"/>
  <c r="B795" i="2"/>
  <c r="B795" i="9" s="1"/>
  <c r="A795" i="2"/>
  <c r="A795" i="9" s="1"/>
  <c r="B794" i="2"/>
  <c r="B794" i="9" s="1"/>
  <c r="A794" i="2"/>
  <c r="A794" i="9" s="1"/>
  <c r="B793" i="2"/>
  <c r="B793" i="9" s="1"/>
  <c r="A793" i="2"/>
  <c r="A793" i="9" s="1"/>
  <c r="B792" i="2"/>
  <c r="B792" i="9" s="1"/>
  <c r="A792" i="2"/>
  <c r="A792" i="9" s="1"/>
  <c r="B791" i="2"/>
  <c r="B791" i="9" s="1"/>
  <c r="A791" i="2"/>
  <c r="A791" i="9" s="1"/>
  <c r="B790" i="2"/>
  <c r="B790" i="9" s="1"/>
  <c r="A790" i="2"/>
  <c r="A790" i="9" s="1"/>
  <c r="B789" i="2"/>
  <c r="B789" i="9" s="1"/>
  <c r="A789" i="2"/>
  <c r="A789" i="9" s="1"/>
  <c r="B788" i="2"/>
  <c r="B788" i="9" s="1"/>
  <c r="A788" i="2"/>
  <c r="A788" i="9" s="1"/>
  <c r="B787" i="2"/>
  <c r="B787" i="9" s="1"/>
  <c r="A787" i="2"/>
  <c r="A787" i="9" s="1"/>
  <c r="B786" i="2"/>
  <c r="B786" i="9" s="1"/>
  <c r="A786" i="2"/>
  <c r="A786" i="9" s="1"/>
  <c r="B785" i="2"/>
  <c r="B785" i="9" s="1"/>
  <c r="A785" i="2"/>
  <c r="A785" i="9" s="1"/>
  <c r="B784" i="2"/>
  <c r="B784" i="9" s="1"/>
  <c r="A784" i="2"/>
  <c r="A784" i="9" s="1"/>
  <c r="B783" i="2"/>
  <c r="B783" i="9" s="1"/>
  <c r="A783" i="2"/>
  <c r="A783" i="9" s="1"/>
  <c r="B782" i="2"/>
  <c r="B782" i="9" s="1"/>
  <c r="A782" i="2"/>
  <c r="A782" i="9" s="1"/>
  <c r="B781" i="2"/>
  <c r="B781" i="9" s="1"/>
  <c r="A781" i="2"/>
  <c r="A781" i="9" s="1"/>
  <c r="B780" i="2"/>
  <c r="B780" i="9" s="1"/>
  <c r="A780" i="2"/>
  <c r="A780" i="9" s="1"/>
  <c r="B779" i="2"/>
  <c r="B779" i="9" s="1"/>
  <c r="A779" i="2"/>
  <c r="A779" i="9" s="1"/>
  <c r="B778" i="2"/>
  <c r="B778" i="9" s="1"/>
  <c r="A778" i="2"/>
  <c r="A778" i="9" s="1"/>
  <c r="B777" i="2"/>
  <c r="B777" i="9" s="1"/>
  <c r="A777" i="2"/>
  <c r="A777" i="9" s="1"/>
  <c r="B776" i="2"/>
  <c r="B776" i="9" s="1"/>
  <c r="A776" i="2"/>
  <c r="A776" i="9" s="1"/>
  <c r="B775" i="2"/>
  <c r="B775" i="9" s="1"/>
  <c r="A775" i="2"/>
  <c r="A775" i="9" s="1"/>
  <c r="B774" i="2"/>
  <c r="B774" i="9" s="1"/>
  <c r="A774" i="2"/>
  <c r="A774" i="9" s="1"/>
  <c r="B773" i="2"/>
  <c r="B773" i="9" s="1"/>
  <c r="A773" i="2"/>
  <c r="A773" i="9" s="1"/>
  <c r="B772" i="2"/>
  <c r="B772" i="9" s="1"/>
  <c r="A772" i="2"/>
  <c r="A772" i="9" s="1"/>
  <c r="B771" i="2"/>
  <c r="B771" i="9" s="1"/>
  <c r="A771" i="2"/>
  <c r="A771" i="9" s="1"/>
  <c r="B770" i="2"/>
  <c r="B770" i="9" s="1"/>
  <c r="A770" i="2"/>
  <c r="A770" i="9" s="1"/>
  <c r="B769" i="2"/>
  <c r="B769" i="9" s="1"/>
  <c r="A769" i="2"/>
  <c r="A769" i="9" s="1"/>
  <c r="B768" i="2"/>
  <c r="B768" i="9" s="1"/>
  <c r="A768" i="2"/>
  <c r="A768" i="9" s="1"/>
  <c r="B767" i="2"/>
  <c r="B767" i="9" s="1"/>
  <c r="A767" i="2"/>
  <c r="A767" i="9" s="1"/>
  <c r="B766" i="2"/>
  <c r="B766" i="9" s="1"/>
  <c r="A766" i="2"/>
  <c r="A766" i="9" s="1"/>
  <c r="B765" i="2"/>
  <c r="B765" i="9" s="1"/>
  <c r="A765" i="2"/>
  <c r="A765" i="9" s="1"/>
  <c r="B764" i="2"/>
  <c r="B764" i="9" s="1"/>
  <c r="A764" i="2"/>
  <c r="A764" i="9" s="1"/>
  <c r="B763" i="2"/>
  <c r="B763" i="9" s="1"/>
  <c r="A763" i="2"/>
  <c r="A763" i="9" s="1"/>
  <c r="B762" i="2"/>
  <c r="B762" i="9" s="1"/>
  <c r="A762" i="2"/>
  <c r="A762" i="9" s="1"/>
  <c r="B761" i="2"/>
  <c r="B761" i="9" s="1"/>
  <c r="A761" i="2"/>
  <c r="A761" i="9" s="1"/>
  <c r="B760" i="2"/>
  <c r="B760" i="9" s="1"/>
  <c r="A760" i="2"/>
  <c r="A760" i="9" s="1"/>
  <c r="B759" i="2"/>
  <c r="B759" i="9" s="1"/>
  <c r="A759" i="2"/>
  <c r="A759" i="9" s="1"/>
  <c r="B758" i="2"/>
  <c r="B758" i="9" s="1"/>
  <c r="A758" i="2"/>
  <c r="A758" i="9" s="1"/>
  <c r="B757" i="2"/>
  <c r="B757" i="9" s="1"/>
  <c r="A757" i="2"/>
  <c r="A757" i="9" s="1"/>
  <c r="B756" i="2"/>
  <c r="B756" i="9" s="1"/>
  <c r="A756" i="2"/>
  <c r="A756" i="9" s="1"/>
  <c r="B755" i="2"/>
  <c r="B755" i="9" s="1"/>
  <c r="A755" i="2"/>
  <c r="A755" i="9" s="1"/>
  <c r="B754" i="2"/>
  <c r="B754" i="9" s="1"/>
  <c r="A754" i="2"/>
  <c r="A754" i="9" s="1"/>
  <c r="B753" i="2"/>
  <c r="B753" i="9" s="1"/>
  <c r="A753" i="2"/>
  <c r="A753" i="9" s="1"/>
  <c r="B752" i="2"/>
  <c r="B752" i="9" s="1"/>
  <c r="A752" i="2"/>
  <c r="A752" i="9" s="1"/>
  <c r="B751" i="2"/>
  <c r="B751" i="9" s="1"/>
  <c r="A751" i="2"/>
  <c r="A751" i="9" s="1"/>
  <c r="B750" i="2"/>
  <c r="B750" i="9" s="1"/>
  <c r="A750" i="2"/>
  <c r="A750" i="9" s="1"/>
  <c r="B749" i="2"/>
  <c r="B749" i="9" s="1"/>
  <c r="A749" i="2"/>
  <c r="A749" i="9" s="1"/>
  <c r="B748" i="2"/>
  <c r="B748" i="9" s="1"/>
  <c r="A748" i="2"/>
  <c r="A748" i="9" s="1"/>
  <c r="B747" i="2"/>
  <c r="B747" i="9" s="1"/>
  <c r="A747" i="2"/>
  <c r="A747" i="9" s="1"/>
  <c r="B746" i="2"/>
  <c r="B746" i="9" s="1"/>
  <c r="A746" i="2"/>
  <c r="A746" i="9" s="1"/>
  <c r="B745" i="2"/>
  <c r="B745" i="9" s="1"/>
  <c r="A745" i="2"/>
  <c r="A745" i="9" s="1"/>
  <c r="B744" i="2"/>
  <c r="B744" i="9" s="1"/>
  <c r="A744" i="2"/>
  <c r="A744" i="9" s="1"/>
  <c r="B743" i="2"/>
  <c r="B743" i="9" s="1"/>
  <c r="A743" i="2"/>
  <c r="A743" i="9" s="1"/>
  <c r="B742" i="2"/>
  <c r="B742" i="9" s="1"/>
  <c r="A742" i="2"/>
  <c r="A742" i="9" s="1"/>
  <c r="B741" i="2"/>
  <c r="B741" i="9" s="1"/>
  <c r="A741" i="2"/>
  <c r="A741" i="9" s="1"/>
  <c r="B740" i="2"/>
  <c r="B740" i="9" s="1"/>
  <c r="A740" i="2"/>
  <c r="A740" i="9" s="1"/>
  <c r="B739" i="2"/>
  <c r="B739" i="9" s="1"/>
  <c r="A739" i="2"/>
  <c r="A739" i="9" s="1"/>
  <c r="B738" i="2"/>
  <c r="B738" i="9" s="1"/>
  <c r="A738" i="2"/>
  <c r="A738" i="9" s="1"/>
  <c r="B737" i="2"/>
  <c r="B737" i="9" s="1"/>
  <c r="A737" i="2"/>
  <c r="A737" i="9" s="1"/>
  <c r="B736" i="2"/>
  <c r="B736" i="9" s="1"/>
  <c r="A736" i="2"/>
  <c r="A736" i="9" s="1"/>
  <c r="B735" i="2"/>
  <c r="B735" i="9" s="1"/>
  <c r="A735" i="2"/>
  <c r="A735" i="9" s="1"/>
  <c r="B734" i="2"/>
  <c r="B734" i="9" s="1"/>
  <c r="A734" i="2"/>
  <c r="A734" i="9" s="1"/>
  <c r="B733" i="2"/>
  <c r="B733" i="9" s="1"/>
  <c r="A733" i="2"/>
  <c r="A733" i="9" s="1"/>
  <c r="B732" i="2"/>
  <c r="B732" i="9" s="1"/>
  <c r="A732" i="2"/>
  <c r="A732" i="9" s="1"/>
  <c r="B731" i="2"/>
  <c r="B731" i="9" s="1"/>
  <c r="A731" i="2"/>
  <c r="A731" i="9" s="1"/>
  <c r="B730" i="2"/>
  <c r="B730" i="9" s="1"/>
  <c r="A730" i="2"/>
  <c r="A730" i="9" s="1"/>
  <c r="B729" i="2"/>
  <c r="B729" i="9" s="1"/>
  <c r="A729" i="2"/>
  <c r="A729" i="9" s="1"/>
  <c r="B728" i="2"/>
  <c r="B728" i="9" s="1"/>
  <c r="A728" i="2"/>
  <c r="A728" i="9" s="1"/>
  <c r="B727" i="2"/>
  <c r="B727" i="9" s="1"/>
  <c r="A727" i="2"/>
  <c r="A727" i="9" s="1"/>
  <c r="B726" i="2"/>
  <c r="B726" i="9" s="1"/>
  <c r="A726" i="2"/>
  <c r="A726" i="9" s="1"/>
  <c r="B725" i="2"/>
  <c r="B725" i="9" s="1"/>
  <c r="A725" i="2"/>
  <c r="A725" i="9" s="1"/>
  <c r="B724" i="2"/>
  <c r="B724" i="9" s="1"/>
  <c r="A724" i="2"/>
  <c r="A724" i="9" s="1"/>
  <c r="B723" i="2"/>
  <c r="B723" i="9" s="1"/>
  <c r="A723" i="2"/>
  <c r="A723" i="9" s="1"/>
  <c r="B722" i="2"/>
  <c r="B722" i="9" s="1"/>
  <c r="A722" i="2"/>
  <c r="A722" i="9" s="1"/>
  <c r="B721" i="2"/>
  <c r="B721" i="9" s="1"/>
  <c r="A721" i="2"/>
  <c r="A721" i="9" s="1"/>
  <c r="B720" i="2"/>
  <c r="B720" i="9" s="1"/>
  <c r="A720" i="2"/>
  <c r="A720" i="9" s="1"/>
  <c r="B719" i="2"/>
  <c r="B719" i="9" s="1"/>
  <c r="A719" i="2"/>
  <c r="A719" i="9" s="1"/>
  <c r="B718" i="2"/>
  <c r="B718" i="9" s="1"/>
  <c r="A718" i="2"/>
  <c r="A718" i="9" s="1"/>
  <c r="B717" i="2"/>
  <c r="B717" i="9" s="1"/>
  <c r="A717" i="2"/>
  <c r="A717" i="9" s="1"/>
  <c r="B716" i="2"/>
  <c r="B716" i="9" s="1"/>
  <c r="A716" i="2"/>
  <c r="A716" i="9" s="1"/>
  <c r="B715" i="2"/>
  <c r="B715" i="9" s="1"/>
  <c r="A715" i="2"/>
  <c r="A715" i="9" s="1"/>
  <c r="B714" i="2"/>
  <c r="B714" i="9" s="1"/>
  <c r="A714" i="2"/>
  <c r="A714" i="9" s="1"/>
  <c r="B713" i="2"/>
  <c r="B713" i="9" s="1"/>
  <c r="A713" i="2"/>
  <c r="A713" i="9" s="1"/>
  <c r="B712" i="2"/>
  <c r="B712" i="9" s="1"/>
  <c r="A712" i="2"/>
  <c r="A712" i="9" s="1"/>
  <c r="B711" i="2"/>
  <c r="B711" i="9" s="1"/>
  <c r="A711" i="2"/>
  <c r="A711" i="9" s="1"/>
  <c r="B710" i="2"/>
  <c r="B710" i="9" s="1"/>
  <c r="A710" i="2"/>
  <c r="A710" i="9" s="1"/>
  <c r="B709" i="2"/>
  <c r="B709" i="9" s="1"/>
  <c r="A709" i="2"/>
  <c r="A709" i="9" s="1"/>
  <c r="B708" i="2"/>
  <c r="B708" i="9" s="1"/>
  <c r="A708" i="2"/>
  <c r="A708" i="9" s="1"/>
  <c r="B707" i="2"/>
  <c r="B707" i="9" s="1"/>
  <c r="A707" i="2"/>
  <c r="A707" i="9" s="1"/>
  <c r="B706" i="2"/>
  <c r="B706" i="9" s="1"/>
  <c r="A706" i="2"/>
  <c r="A706" i="9" s="1"/>
  <c r="B705" i="2"/>
  <c r="B705" i="9" s="1"/>
  <c r="A705" i="2"/>
  <c r="A705" i="9" s="1"/>
  <c r="B704" i="2"/>
  <c r="B704" i="9" s="1"/>
  <c r="A704" i="2"/>
  <c r="A704" i="9" s="1"/>
  <c r="B703" i="2"/>
  <c r="B703" i="9" s="1"/>
  <c r="A703" i="2"/>
  <c r="A703" i="9" s="1"/>
  <c r="B702" i="2"/>
  <c r="B702" i="9" s="1"/>
  <c r="A702" i="2"/>
  <c r="A702" i="9" s="1"/>
  <c r="B701" i="2"/>
  <c r="B701" i="9" s="1"/>
  <c r="A701" i="2"/>
  <c r="A701" i="9" s="1"/>
  <c r="B700" i="2"/>
  <c r="B700" i="9" s="1"/>
  <c r="A700" i="2"/>
  <c r="A700" i="9" s="1"/>
  <c r="B699" i="2"/>
  <c r="B699" i="9" s="1"/>
  <c r="A699" i="2"/>
  <c r="A699" i="9" s="1"/>
  <c r="B698" i="2"/>
  <c r="B698" i="9" s="1"/>
  <c r="A698" i="2"/>
  <c r="A698" i="9" s="1"/>
  <c r="B697" i="2"/>
  <c r="B697" i="9" s="1"/>
  <c r="A697" i="2"/>
  <c r="A697" i="9" s="1"/>
  <c r="B696" i="2"/>
  <c r="B696" i="9" s="1"/>
  <c r="A696" i="2"/>
  <c r="A696" i="9" s="1"/>
  <c r="B695" i="2"/>
  <c r="B695" i="9" s="1"/>
  <c r="A695" i="2"/>
  <c r="A695" i="9" s="1"/>
  <c r="B694" i="2"/>
  <c r="B694" i="9" s="1"/>
  <c r="A694" i="2"/>
  <c r="A694" i="9" s="1"/>
  <c r="B693" i="2"/>
  <c r="B693" i="9" s="1"/>
  <c r="A693" i="2"/>
  <c r="A693" i="9" s="1"/>
  <c r="B692" i="2"/>
  <c r="B692" i="9" s="1"/>
  <c r="A692" i="2"/>
  <c r="A692" i="9" s="1"/>
  <c r="B691" i="2"/>
  <c r="B691" i="9" s="1"/>
  <c r="A691" i="2"/>
  <c r="A691" i="9" s="1"/>
  <c r="B690" i="2"/>
  <c r="B690" i="9" s="1"/>
  <c r="A690" i="2"/>
  <c r="A690" i="9" s="1"/>
  <c r="B689" i="2"/>
  <c r="B689" i="9" s="1"/>
  <c r="A689" i="2"/>
  <c r="A689" i="9" s="1"/>
  <c r="B688" i="2"/>
  <c r="B688" i="9" s="1"/>
  <c r="A688" i="2"/>
  <c r="A688" i="9" s="1"/>
  <c r="B687" i="2"/>
  <c r="B687" i="9" s="1"/>
  <c r="A687" i="2"/>
  <c r="A687" i="9" s="1"/>
  <c r="B686" i="2"/>
  <c r="B686" i="9" s="1"/>
  <c r="A686" i="2"/>
  <c r="A686" i="9" s="1"/>
  <c r="B685" i="2"/>
  <c r="B685" i="9" s="1"/>
  <c r="A685" i="2"/>
  <c r="A685" i="9" s="1"/>
  <c r="B684" i="2"/>
  <c r="B684" i="9" s="1"/>
  <c r="A684" i="2"/>
  <c r="A684" i="9" s="1"/>
  <c r="B683" i="2"/>
  <c r="B683" i="9" s="1"/>
  <c r="A683" i="2"/>
  <c r="A683" i="9" s="1"/>
  <c r="B682" i="2"/>
  <c r="B682" i="9" s="1"/>
  <c r="A682" i="2"/>
  <c r="A682" i="9" s="1"/>
  <c r="B681" i="2"/>
  <c r="B681" i="9" s="1"/>
  <c r="A681" i="2"/>
  <c r="A681" i="9" s="1"/>
  <c r="B680" i="2"/>
  <c r="B680" i="9" s="1"/>
  <c r="A680" i="2"/>
  <c r="A680" i="9" s="1"/>
  <c r="B679" i="2"/>
  <c r="B679" i="9" s="1"/>
  <c r="A679" i="2"/>
  <c r="A679" i="9" s="1"/>
  <c r="B678" i="2"/>
  <c r="B678" i="9" s="1"/>
  <c r="A678" i="2"/>
  <c r="A678" i="9" s="1"/>
  <c r="B677" i="2"/>
  <c r="B677" i="9" s="1"/>
  <c r="A677" i="2"/>
  <c r="A677" i="9" s="1"/>
  <c r="B676" i="2"/>
  <c r="B676" i="9" s="1"/>
  <c r="A676" i="2"/>
  <c r="A676" i="9" s="1"/>
  <c r="B675" i="2"/>
  <c r="B675" i="9" s="1"/>
  <c r="A675" i="2"/>
  <c r="A675" i="9" s="1"/>
  <c r="B674" i="2"/>
  <c r="B674" i="9" s="1"/>
  <c r="A674" i="2"/>
  <c r="A674" i="9" s="1"/>
  <c r="B673" i="2"/>
  <c r="B673" i="9" s="1"/>
  <c r="A673" i="2"/>
  <c r="A673" i="9" s="1"/>
  <c r="B672" i="2"/>
  <c r="B672" i="9" s="1"/>
  <c r="A672" i="2"/>
  <c r="A672" i="9" s="1"/>
  <c r="B671" i="2"/>
  <c r="B671" i="9" s="1"/>
  <c r="A671" i="2"/>
  <c r="A671" i="9" s="1"/>
  <c r="B670" i="2"/>
  <c r="B670" i="9" s="1"/>
  <c r="A670" i="2"/>
  <c r="A670" i="9" s="1"/>
  <c r="B669" i="2"/>
  <c r="B669" i="9" s="1"/>
  <c r="A669" i="2"/>
  <c r="A669" i="9" s="1"/>
  <c r="B668" i="2"/>
  <c r="B668" i="9" s="1"/>
  <c r="A668" i="2"/>
  <c r="A668" i="9" s="1"/>
  <c r="B667" i="2"/>
  <c r="B667" i="9" s="1"/>
  <c r="A667" i="2"/>
  <c r="A667" i="9" s="1"/>
  <c r="B666" i="2"/>
  <c r="B666" i="9" s="1"/>
  <c r="A666" i="2"/>
  <c r="A666" i="9" s="1"/>
  <c r="B665" i="2"/>
  <c r="B665" i="9" s="1"/>
  <c r="A665" i="2"/>
  <c r="A665" i="9" s="1"/>
  <c r="B664" i="2"/>
  <c r="B664" i="9" s="1"/>
  <c r="A664" i="2"/>
  <c r="A664" i="9" s="1"/>
  <c r="B663" i="2"/>
  <c r="B663" i="9" s="1"/>
  <c r="A663" i="2"/>
  <c r="A663" i="9" s="1"/>
  <c r="B662" i="2"/>
  <c r="B662" i="9" s="1"/>
  <c r="A662" i="2"/>
  <c r="A662" i="9" s="1"/>
  <c r="B661" i="2"/>
  <c r="B661" i="9" s="1"/>
  <c r="A661" i="2"/>
  <c r="A661" i="9" s="1"/>
  <c r="B660" i="2"/>
  <c r="B660" i="9" s="1"/>
  <c r="A660" i="2"/>
  <c r="A660" i="9" s="1"/>
  <c r="B659" i="2"/>
  <c r="B659" i="9" s="1"/>
  <c r="A659" i="2"/>
  <c r="A659" i="9" s="1"/>
  <c r="B658" i="2"/>
  <c r="B658" i="9" s="1"/>
  <c r="A658" i="2"/>
  <c r="A658" i="9" s="1"/>
  <c r="B657" i="2"/>
  <c r="B657" i="9" s="1"/>
  <c r="A657" i="2"/>
  <c r="A657" i="9" s="1"/>
  <c r="B656" i="2"/>
  <c r="B656" i="9" s="1"/>
  <c r="A656" i="2"/>
  <c r="A656" i="9" s="1"/>
  <c r="B655" i="2"/>
  <c r="B655" i="9" s="1"/>
  <c r="A655" i="2"/>
  <c r="A655" i="9" s="1"/>
  <c r="B654" i="2"/>
  <c r="B654" i="9" s="1"/>
  <c r="A654" i="2"/>
  <c r="A654" i="9" s="1"/>
  <c r="B653" i="2"/>
  <c r="B653" i="9" s="1"/>
  <c r="A653" i="2"/>
  <c r="A653" i="9" s="1"/>
  <c r="B652" i="2"/>
  <c r="B652" i="9" s="1"/>
  <c r="A652" i="2"/>
  <c r="A652" i="9" s="1"/>
  <c r="B651" i="2"/>
  <c r="B651" i="9" s="1"/>
  <c r="A651" i="2"/>
  <c r="A651" i="9" s="1"/>
  <c r="B650" i="2"/>
  <c r="B650" i="9" s="1"/>
  <c r="A650" i="2"/>
  <c r="A650" i="9" s="1"/>
  <c r="B649" i="2"/>
  <c r="B649" i="9" s="1"/>
  <c r="A649" i="2"/>
  <c r="A649" i="9" s="1"/>
  <c r="B648" i="2"/>
  <c r="B648" i="9" s="1"/>
  <c r="A648" i="2"/>
  <c r="A648" i="9" s="1"/>
  <c r="B647" i="2"/>
  <c r="B647" i="9" s="1"/>
  <c r="A647" i="2"/>
  <c r="A647" i="9" s="1"/>
  <c r="B646" i="2"/>
  <c r="B646" i="9" s="1"/>
  <c r="A646" i="2"/>
  <c r="A646" i="9" s="1"/>
  <c r="B645" i="2"/>
  <c r="B645" i="9" s="1"/>
  <c r="A645" i="2"/>
  <c r="A645" i="9" s="1"/>
  <c r="B644" i="2"/>
  <c r="B644" i="9" s="1"/>
  <c r="A644" i="2"/>
  <c r="A644" i="9" s="1"/>
  <c r="B643" i="2"/>
  <c r="B643" i="9" s="1"/>
  <c r="A643" i="2"/>
  <c r="A643" i="9" s="1"/>
  <c r="B642" i="2"/>
  <c r="B642" i="9" s="1"/>
  <c r="A642" i="2"/>
  <c r="A642" i="9" s="1"/>
  <c r="B641" i="2"/>
  <c r="B641" i="9" s="1"/>
  <c r="A641" i="2"/>
  <c r="A641" i="9" s="1"/>
  <c r="B640" i="2"/>
  <c r="B640" i="9" s="1"/>
  <c r="A640" i="2"/>
  <c r="A640" i="9" s="1"/>
  <c r="B639" i="2"/>
  <c r="B639" i="9" s="1"/>
  <c r="A639" i="2"/>
  <c r="A639" i="9" s="1"/>
  <c r="B638" i="2"/>
  <c r="B638" i="9" s="1"/>
  <c r="A638" i="2"/>
  <c r="A638" i="9" s="1"/>
  <c r="B637" i="2"/>
  <c r="B637" i="9" s="1"/>
  <c r="A637" i="2"/>
  <c r="A637" i="9" s="1"/>
  <c r="B636" i="2"/>
  <c r="B636" i="9" s="1"/>
  <c r="A636" i="2"/>
  <c r="A636" i="9" s="1"/>
  <c r="B635" i="2"/>
  <c r="B635" i="9" s="1"/>
  <c r="A635" i="2"/>
  <c r="A635" i="9" s="1"/>
  <c r="B634" i="2"/>
  <c r="B634" i="9" s="1"/>
  <c r="A634" i="2"/>
  <c r="A634" i="9" s="1"/>
  <c r="B633" i="2"/>
  <c r="B633" i="9" s="1"/>
  <c r="A633" i="2"/>
  <c r="A633" i="9" s="1"/>
  <c r="B632" i="2"/>
  <c r="B632" i="9" s="1"/>
  <c r="A632" i="2"/>
  <c r="A632" i="9" s="1"/>
  <c r="B631" i="2"/>
  <c r="B631" i="9" s="1"/>
  <c r="A631" i="2"/>
  <c r="A631" i="9" s="1"/>
  <c r="B630" i="2"/>
  <c r="B630" i="9" s="1"/>
  <c r="A630" i="2"/>
  <c r="A630" i="9" s="1"/>
  <c r="B629" i="2"/>
  <c r="B629" i="9" s="1"/>
  <c r="A629" i="2"/>
  <c r="A629" i="9" s="1"/>
  <c r="B628" i="2"/>
  <c r="B628" i="9" s="1"/>
  <c r="A628" i="2"/>
  <c r="A628" i="9" s="1"/>
  <c r="B627" i="2"/>
  <c r="B627" i="9" s="1"/>
  <c r="A627" i="2"/>
  <c r="A627" i="9" s="1"/>
  <c r="B626" i="2"/>
  <c r="B626" i="9" s="1"/>
  <c r="A626" i="2"/>
  <c r="A626" i="9" s="1"/>
  <c r="B625" i="2"/>
  <c r="B625" i="9" s="1"/>
  <c r="A625" i="2"/>
  <c r="A625" i="9" s="1"/>
  <c r="B624" i="2"/>
  <c r="B624" i="9" s="1"/>
  <c r="A624" i="2"/>
  <c r="A624" i="9" s="1"/>
  <c r="B623" i="2"/>
  <c r="B623" i="9" s="1"/>
  <c r="A623" i="2"/>
  <c r="A623" i="9" s="1"/>
  <c r="B622" i="2"/>
  <c r="B622" i="9" s="1"/>
  <c r="A622" i="2"/>
  <c r="A622" i="9" s="1"/>
  <c r="B621" i="2"/>
  <c r="B621" i="9" s="1"/>
  <c r="A621" i="2"/>
  <c r="A621" i="9" s="1"/>
  <c r="B620" i="2"/>
  <c r="B620" i="9" s="1"/>
  <c r="A620" i="2"/>
  <c r="A620" i="9" s="1"/>
  <c r="B619" i="2"/>
  <c r="B619" i="9" s="1"/>
  <c r="A619" i="2"/>
  <c r="A619" i="9" s="1"/>
  <c r="B618" i="2"/>
  <c r="B618" i="9" s="1"/>
  <c r="A618" i="2"/>
  <c r="A618" i="9" s="1"/>
  <c r="B617" i="2"/>
  <c r="B617" i="9" s="1"/>
  <c r="A617" i="2"/>
  <c r="A617" i="9" s="1"/>
  <c r="B616" i="2"/>
  <c r="B616" i="9" s="1"/>
  <c r="A616" i="2"/>
  <c r="A616" i="9" s="1"/>
  <c r="B615" i="2"/>
  <c r="B615" i="9" s="1"/>
  <c r="A615" i="2"/>
  <c r="A615" i="9" s="1"/>
  <c r="B614" i="2"/>
  <c r="B614" i="9" s="1"/>
  <c r="A614" i="2"/>
  <c r="A614" i="9" s="1"/>
  <c r="B613" i="2"/>
  <c r="B613" i="9" s="1"/>
  <c r="A613" i="2"/>
  <c r="A613" i="9" s="1"/>
  <c r="B612" i="2"/>
  <c r="B612" i="9" s="1"/>
  <c r="A612" i="2"/>
  <c r="A612" i="9" s="1"/>
  <c r="B611" i="2"/>
  <c r="B611" i="9" s="1"/>
  <c r="A611" i="2"/>
  <c r="A611" i="9" s="1"/>
  <c r="B610" i="2"/>
  <c r="B610" i="9" s="1"/>
  <c r="A610" i="2"/>
  <c r="A610" i="9" s="1"/>
  <c r="B609" i="2"/>
  <c r="B609" i="9" s="1"/>
  <c r="A609" i="2"/>
  <c r="A609" i="9" s="1"/>
  <c r="B608" i="2"/>
  <c r="B608" i="9" s="1"/>
  <c r="A608" i="2"/>
  <c r="A608" i="9" s="1"/>
  <c r="B607" i="2"/>
  <c r="B607" i="9" s="1"/>
  <c r="A607" i="2"/>
  <c r="A607" i="9" s="1"/>
  <c r="B606" i="2"/>
  <c r="B606" i="9" s="1"/>
  <c r="A606" i="2"/>
  <c r="A606" i="9" s="1"/>
  <c r="B605" i="2"/>
  <c r="B605" i="9" s="1"/>
  <c r="A605" i="2"/>
  <c r="A605" i="9" s="1"/>
  <c r="B604" i="2"/>
  <c r="B604" i="9" s="1"/>
  <c r="A604" i="2"/>
  <c r="A604" i="9" s="1"/>
  <c r="B603" i="2"/>
  <c r="B603" i="9" s="1"/>
  <c r="A603" i="2"/>
  <c r="A603" i="9" s="1"/>
  <c r="B602" i="2"/>
  <c r="B602" i="9" s="1"/>
  <c r="A602" i="2"/>
  <c r="A602" i="9" s="1"/>
  <c r="B601" i="2"/>
  <c r="B601" i="9" s="1"/>
  <c r="A601" i="2"/>
  <c r="A601" i="9" s="1"/>
  <c r="B600" i="2"/>
  <c r="B600" i="9" s="1"/>
  <c r="A600" i="2"/>
  <c r="A600" i="9" s="1"/>
  <c r="B599" i="2"/>
  <c r="B599" i="9" s="1"/>
  <c r="A599" i="2"/>
  <c r="A599" i="9" s="1"/>
  <c r="B598" i="2"/>
  <c r="B598" i="9" s="1"/>
  <c r="A598" i="2"/>
  <c r="A598" i="9" s="1"/>
  <c r="B597" i="2"/>
  <c r="B597" i="9" s="1"/>
  <c r="A597" i="2"/>
  <c r="A597" i="9" s="1"/>
  <c r="B596" i="2"/>
  <c r="B596" i="9" s="1"/>
  <c r="A596" i="2"/>
  <c r="A596" i="9" s="1"/>
  <c r="B595" i="2"/>
  <c r="B595" i="9" s="1"/>
  <c r="A595" i="2"/>
  <c r="A595" i="9" s="1"/>
  <c r="B594" i="2"/>
  <c r="B594" i="9" s="1"/>
  <c r="A594" i="2"/>
  <c r="A594" i="9" s="1"/>
  <c r="B593" i="2"/>
  <c r="B593" i="9" s="1"/>
  <c r="A593" i="2"/>
  <c r="A593" i="9" s="1"/>
  <c r="B592" i="2"/>
  <c r="B592" i="9" s="1"/>
  <c r="A592" i="2"/>
  <c r="A592" i="9" s="1"/>
  <c r="B591" i="2"/>
  <c r="B591" i="9" s="1"/>
  <c r="A591" i="2"/>
  <c r="A591" i="9" s="1"/>
  <c r="B590" i="2"/>
  <c r="B590" i="9" s="1"/>
  <c r="A590" i="2"/>
  <c r="A590" i="9" s="1"/>
  <c r="B589" i="2"/>
  <c r="B589" i="9" s="1"/>
  <c r="A589" i="2"/>
  <c r="A589" i="9" s="1"/>
  <c r="B588" i="2"/>
  <c r="B588" i="9" s="1"/>
  <c r="A588" i="2"/>
  <c r="A588" i="9" s="1"/>
  <c r="B587" i="2"/>
  <c r="B587" i="9" s="1"/>
  <c r="A587" i="2"/>
  <c r="A587" i="9" s="1"/>
  <c r="B586" i="2"/>
  <c r="B586" i="9" s="1"/>
  <c r="A586" i="2"/>
  <c r="A586" i="9" s="1"/>
  <c r="B585" i="2"/>
  <c r="B585" i="9" s="1"/>
  <c r="A585" i="2"/>
  <c r="A585" i="9" s="1"/>
  <c r="B584" i="2"/>
  <c r="B584" i="9" s="1"/>
  <c r="A584" i="2"/>
  <c r="A584" i="9" s="1"/>
  <c r="B583" i="2"/>
  <c r="B583" i="9" s="1"/>
  <c r="A583" i="2"/>
  <c r="A583" i="9" s="1"/>
  <c r="B582" i="2"/>
  <c r="B582" i="9" s="1"/>
  <c r="A582" i="2"/>
  <c r="A582" i="9" s="1"/>
  <c r="B581" i="2"/>
  <c r="B581" i="9" s="1"/>
  <c r="A581" i="2"/>
  <c r="A581" i="9" s="1"/>
  <c r="B580" i="2"/>
  <c r="B580" i="9" s="1"/>
  <c r="A580" i="2"/>
  <c r="A580" i="9" s="1"/>
  <c r="B579" i="2"/>
  <c r="B579" i="9" s="1"/>
  <c r="A579" i="2"/>
  <c r="A579" i="9" s="1"/>
  <c r="B578" i="2"/>
  <c r="B578" i="9" s="1"/>
  <c r="A578" i="2"/>
  <c r="A578" i="9" s="1"/>
  <c r="B577" i="2"/>
  <c r="B577" i="9" s="1"/>
  <c r="A577" i="2"/>
  <c r="A577" i="9" s="1"/>
  <c r="B576" i="2"/>
  <c r="B576" i="9" s="1"/>
  <c r="A576" i="2"/>
  <c r="A576" i="9" s="1"/>
  <c r="B575" i="2"/>
  <c r="B575" i="9" s="1"/>
  <c r="A575" i="2"/>
  <c r="A575" i="9" s="1"/>
  <c r="B574" i="2"/>
  <c r="B574" i="9" s="1"/>
  <c r="A574" i="2"/>
  <c r="A574" i="9" s="1"/>
  <c r="B573" i="2"/>
  <c r="B573" i="9" s="1"/>
  <c r="A573" i="2"/>
  <c r="A573" i="9" s="1"/>
  <c r="B572" i="2"/>
  <c r="B572" i="9" s="1"/>
  <c r="A572" i="2"/>
  <c r="A572" i="9" s="1"/>
  <c r="B571" i="2"/>
  <c r="B571" i="9" s="1"/>
  <c r="A571" i="2"/>
  <c r="A571" i="9" s="1"/>
  <c r="B570" i="2"/>
  <c r="B570" i="9" s="1"/>
  <c r="A570" i="2"/>
  <c r="A570" i="9" s="1"/>
  <c r="B569" i="2"/>
  <c r="B569" i="9" s="1"/>
  <c r="A569" i="2"/>
  <c r="A569" i="9" s="1"/>
  <c r="B568" i="2"/>
  <c r="B568" i="9" s="1"/>
  <c r="A568" i="2"/>
  <c r="A568" i="9" s="1"/>
  <c r="B567" i="2"/>
  <c r="B567" i="9" s="1"/>
  <c r="A567" i="2"/>
  <c r="A567" i="9" s="1"/>
  <c r="B566" i="2"/>
  <c r="B566" i="9" s="1"/>
  <c r="A566" i="2"/>
  <c r="A566" i="9" s="1"/>
  <c r="B565" i="2"/>
  <c r="B565" i="9" s="1"/>
  <c r="A565" i="2"/>
  <c r="A565" i="9" s="1"/>
  <c r="B564" i="2"/>
  <c r="B564" i="9" s="1"/>
  <c r="A564" i="2"/>
  <c r="A564" i="9" s="1"/>
  <c r="B563" i="2"/>
  <c r="B563" i="9" s="1"/>
  <c r="A563" i="2"/>
  <c r="A563" i="9" s="1"/>
  <c r="B562" i="2"/>
  <c r="B562" i="9" s="1"/>
  <c r="A562" i="2"/>
  <c r="A562" i="9" s="1"/>
  <c r="B561" i="2"/>
  <c r="B561" i="9" s="1"/>
  <c r="A561" i="2"/>
  <c r="A561" i="9" s="1"/>
  <c r="B560" i="2"/>
  <c r="B560" i="9" s="1"/>
  <c r="A560" i="2"/>
  <c r="A560" i="9" s="1"/>
  <c r="B559" i="2"/>
  <c r="B559" i="9" s="1"/>
  <c r="A559" i="2"/>
  <c r="A559" i="9" s="1"/>
  <c r="B558" i="2"/>
  <c r="B558" i="9" s="1"/>
  <c r="A558" i="2"/>
  <c r="A558" i="9" s="1"/>
  <c r="B557" i="2"/>
  <c r="B557" i="9" s="1"/>
  <c r="A557" i="2"/>
  <c r="A557" i="9" s="1"/>
  <c r="B556" i="2"/>
  <c r="B556" i="9" s="1"/>
  <c r="A556" i="2"/>
  <c r="A556" i="9" s="1"/>
  <c r="B555" i="2"/>
  <c r="B555" i="9" s="1"/>
  <c r="A555" i="2"/>
  <c r="A555" i="9" s="1"/>
  <c r="B554" i="2"/>
  <c r="B554" i="9" s="1"/>
  <c r="A554" i="2"/>
  <c r="A554" i="9" s="1"/>
  <c r="B553" i="2"/>
  <c r="B553" i="9" s="1"/>
  <c r="A553" i="2"/>
  <c r="A553" i="9" s="1"/>
  <c r="B552" i="2"/>
  <c r="B552" i="9" s="1"/>
  <c r="A552" i="2"/>
  <c r="A552" i="9" s="1"/>
  <c r="B551" i="2"/>
  <c r="B551" i="9" s="1"/>
  <c r="A551" i="2"/>
  <c r="A551" i="9" s="1"/>
  <c r="B550" i="2"/>
  <c r="B550" i="9" s="1"/>
  <c r="A550" i="2"/>
  <c r="A550" i="9" s="1"/>
  <c r="B549" i="2"/>
  <c r="B549" i="9" s="1"/>
  <c r="A549" i="2"/>
  <c r="A549" i="9" s="1"/>
  <c r="B548" i="2"/>
  <c r="B548" i="9" s="1"/>
  <c r="A548" i="2"/>
  <c r="A548" i="9" s="1"/>
  <c r="B547" i="2"/>
  <c r="B547" i="9" s="1"/>
  <c r="A547" i="2"/>
  <c r="A547" i="9" s="1"/>
  <c r="B546" i="2"/>
  <c r="B546" i="9" s="1"/>
  <c r="A546" i="2"/>
  <c r="A546" i="9" s="1"/>
  <c r="B545" i="2"/>
  <c r="B545" i="9" s="1"/>
  <c r="A545" i="2"/>
  <c r="A545" i="9" s="1"/>
  <c r="B544" i="2"/>
  <c r="B544" i="9" s="1"/>
  <c r="A544" i="2"/>
  <c r="A544" i="9" s="1"/>
  <c r="B543" i="2"/>
  <c r="B543" i="9" s="1"/>
  <c r="A543" i="2"/>
  <c r="A543" i="9" s="1"/>
  <c r="B542" i="2"/>
  <c r="B542" i="9" s="1"/>
  <c r="A542" i="2"/>
  <c r="A542" i="9" s="1"/>
  <c r="B541" i="2"/>
  <c r="B541" i="9" s="1"/>
  <c r="A541" i="2"/>
  <c r="A541" i="9" s="1"/>
  <c r="B540" i="2"/>
  <c r="B540" i="9" s="1"/>
  <c r="A540" i="2"/>
  <c r="A540" i="9" s="1"/>
  <c r="B539" i="2"/>
  <c r="B539" i="9" s="1"/>
  <c r="A539" i="2"/>
  <c r="A539" i="9" s="1"/>
  <c r="B538" i="2"/>
  <c r="B538" i="9" s="1"/>
  <c r="A538" i="2"/>
  <c r="A538" i="9" s="1"/>
  <c r="B537" i="2"/>
  <c r="B537" i="9" s="1"/>
  <c r="A537" i="2"/>
  <c r="A537" i="9" s="1"/>
  <c r="B536" i="2"/>
  <c r="B536" i="9" s="1"/>
  <c r="A536" i="2"/>
  <c r="A536" i="9" s="1"/>
  <c r="B535" i="2"/>
  <c r="B535" i="9" s="1"/>
  <c r="A535" i="2"/>
  <c r="A535" i="9" s="1"/>
  <c r="B534" i="2"/>
  <c r="B534" i="9" s="1"/>
  <c r="A534" i="2"/>
  <c r="A534" i="9" s="1"/>
  <c r="B533" i="2"/>
  <c r="B533" i="9" s="1"/>
  <c r="A533" i="2"/>
  <c r="A533" i="9" s="1"/>
  <c r="B532" i="2"/>
  <c r="B532" i="9" s="1"/>
  <c r="A532" i="2"/>
  <c r="A532" i="9" s="1"/>
  <c r="B531" i="2"/>
  <c r="B531" i="9" s="1"/>
  <c r="A531" i="2"/>
  <c r="A531" i="9" s="1"/>
  <c r="B530" i="2"/>
  <c r="B530" i="9" s="1"/>
  <c r="A530" i="2"/>
  <c r="A530" i="9" s="1"/>
  <c r="B529" i="2"/>
  <c r="B529" i="9" s="1"/>
  <c r="A529" i="2"/>
  <c r="A529" i="9" s="1"/>
  <c r="B528" i="2"/>
  <c r="B528" i="9" s="1"/>
  <c r="A528" i="2"/>
  <c r="A528" i="9" s="1"/>
  <c r="B527" i="2"/>
  <c r="B527" i="9" s="1"/>
  <c r="A527" i="2"/>
  <c r="A527" i="9" s="1"/>
  <c r="B526" i="2"/>
  <c r="B526" i="9" s="1"/>
  <c r="A526" i="2"/>
  <c r="A526" i="9" s="1"/>
  <c r="B525" i="2"/>
  <c r="B525" i="9" s="1"/>
  <c r="A525" i="2"/>
  <c r="A525" i="9" s="1"/>
  <c r="B524" i="2"/>
  <c r="B524" i="9" s="1"/>
  <c r="A524" i="2"/>
  <c r="A524" i="9" s="1"/>
  <c r="B523" i="2"/>
  <c r="B523" i="9" s="1"/>
  <c r="A523" i="2"/>
  <c r="A523" i="9" s="1"/>
  <c r="B522" i="2"/>
  <c r="B522" i="9" s="1"/>
  <c r="A522" i="2"/>
  <c r="A522" i="9" s="1"/>
  <c r="B521" i="2"/>
  <c r="B521" i="9" s="1"/>
  <c r="A521" i="2"/>
  <c r="A521" i="9" s="1"/>
  <c r="B520" i="2"/>
  <c r="B520" i="9" s="1"/>
  <c r="A520" i="2"/>
  <c r="A520" i="9" s="1"/>
  <c r="B519" i="2"/>
  <c r="B519" i="9" s="1"/>
  <c r="A519" i="2"/>
  <c r="A519" i="9" s="1"/>
  <c r="B518" i="2"/>
  <c r="B518" i="9" s="1"/>
  <c r="A518" i="2"/>
  <c r="A518" i="9" s="1"/>
  <c r="B517" i="2"/>
  <c r="B517" i="9" s="1"/>
  <c r="A517" i="2"/>
  <c r="A517" i="9" s="1"/>
  <c r="B516" i="2"/>
  <c r="B516" i="9" s="1"/>
  <c r="A516" i="2"/>
  <c r="A516" i="9" s="1"/>
  <c r="B515" i="2"/>
  <c r="B515" i="9" s="1"/>
  <c r="A515" i="2"/>
  <c r="A515" i="9" s="1"/>
  <c r="B514" i="2"/>
  <c r="B514" i="9" s="1"/>
  <c r="A514" i="2"/>
  <c r="A514" i="9" s="1"/>
  <c r="B513" i="2"/>
  <c r="B513" i="9" s="1"/>
  <c r="A513" i="2"/>
  <c r="A513" i="9" s="1"/>
  <c r="B512" i="2"/>
  <c r="B512" i="9" s="1"/>
  <c r="A512" i="2"/>
  <c r="A512" i="9" s="1"/>
  <c r="B511" i="2"/>
  <c r="B511" i="9" s="1"/>
  <c r="A511" i="2"/>
  <c r="A511" i="9" s="1"/>
  <c r="B510" i="2"/>
  <c r="B510" i="9" s="1"/>
  <c r="A510" i="2"/>
  <c r="A510" i="9" s="1"/>
  <c r="B509" i="2"/>
  <c r="B509" i="9" s="1"/>
  <c r="A509" i="2"/>
  <c r="A509" i="9" s="1"/>
  <c r="B508" i="2"/>
  <c r="B508" i="9" s="1"/>
  <c r="A508" i="2"/>
  <c r="A508" i="9" s="1"/>
  <c r="B507" i="2"/>
  <c r="B507" i="9" s="1"/>
  <c r="A507" i="2"/>
  <c r="A507" i="9" s="1"/>
  <c r="B506" i="2"/>
  <c r="B506" i="9" s="1"/>
  <c r="A506" i="2"/>
  <c r="A506" i="9" s="1"/>
  <c r="B505" i="2"/>
  <c r="B505" i="9" s="1"/>
  <c r="A505" i="2"/>
  <c r="A505" i="9" s="1"/>
  <c r="B504" i="2"/>
  <c r="B504" i="9" s="1"/>
  <c r="A504" i="2"/>
  <c r="A504" i="9" s="1"/>
  <c r="B503" i="2"/>
  <c r="B503" i="9" s="1"/>
  <c r="A503" i="2"/>
  <c r="A503" i="9" s="1"/>
  <c r="B502" i="2"/>
  <c r="B502" i="9" s="1"/>
  <c r="A502" i="2"/>
  <c r="A502" i="9" s="1"/>
  <c r="B501" i="2"/>
  <c r="B501" i="9" s="1"/>
  <c r="A501" i="2"/>
  <c r="A501" i="9" s="1"/>
  <c r="B500" i="2"/>
  <c r="B500" i="9" s="1"/>
  <c r="A500" i="2"/>
  <c r="A500" i="9" s="1"/>
  <c r="B499" i="2"/>
  <c r="B499" i="9" s="1"/>
  <c r="A499" i="2"/>
  <c r="A499" i="9" s="1"/>
  <c r="B498" i="2"/>
  <c r="B498" i="9" s="1"/>
  <c r="A498" i="2"/>
  <c r="A498" i="9" s="1"/>
  <c r="B497" i="2"/>
  <c r="B497" i="9" s="1"/>
  <c r="A497" i="2"/>
  <c r="A497" i="9" s="1"/>
  <c r="B496" i="2"/>
  <c r="B496" i="9" s="1"/>
  <c r="A496" i="2"/>
  <c r="A496" i="9" s="1"/>
  <c r="B495" i="2"/>
  <c r="B495" i="9" s="1"/>
  <c r="A495" i="2"/>
  <c r="A495" i="9" s="1"/>
  <c r="B494" i="2"/>
  <c r="B494" i="9" s="1"/>
  <c r="A494" i="2"/>
  <c r="A494" i="9" s="1"/>
  <c r="B493" i="2"/>
  <c r="B493" i="9" s="1"/>
  <c r="A493" i="2"/>
  <c r="A493" i="9" s="1"/>
  <c r="B492" i="2"/>
  <c r="B492" i="9" s="1"/>
  <c r="A492" i="2"/>
  <c r="A492" i="9" s="1"/>
  <c r="B491" i="2"/>
  <c r="B491" i="9" s="1"/>
  <c r="A491" i="2"/>
  <c r="A491" i="9" s="1"/>
  <c r="B490" i="2"/>
  <c r="B490" i="9" s="1"/>
  <c r="A490" i="2"/>
  <c r="A490" i="9" s="1"/>
  <c r="B489" i="2"/>
  <c r="B489" i="9" s="1"/>
  <c r="A489" i="2"/>
  <c r="A489" i="9" s="1"/>
  <c r="B488" i="2"/>
  <c r="B488" i="9" s="1"/>
  <c r="A488" i="2"/>
  <c r="A488" i="9" s="1"/>
  <c r="B487" i="2"/>
  <c r="B487" i="9" s="1"/>
  <c r="A487" i="2"/>
  <c r="A487" i="9" s="1"/>
  <c r="B486" i="2"/>
  <c r="B486" i="9" s="1"/>
  <c r="A486" i="2"/>
  <c r="A486" i="9" s="1"/>
  <c r="B485" i="2"/>
  <c r="B485" i="9" s="1"/>
  <c r="A485" i="2"/>
  <c r="A485" i="9" s="1"/>
  <c r="B484" i="2"/>
  <c r="B484" i="9" s="1"/>
  <c r="A484" i="2"/>
  <c r="A484" i="9" s="1"/>
  <c r="B483" i="2"/>
  <c r="B483" i="9" s="1"/>
  <c r="A483" i="2"/>
  <c r="A483" i="9" s="1"/>
  <c r="B482" i="2"/>
  <c r="B482" i="9" s="1"/>
  <c r="A482" i="2"/>
  <c r="A482" i="9" s="1"/>
  <c r="B481" i="2"/>
  <c r="B481" i="9" s="1"/>
  <c r="A481" i="2"/>
  <c r="A481" i="9" s="1"/>
  <c r="B480" i="2"/>
  <c r="B480" i="9" s="1"/>
  <c r="A480" i="2"/>
  <c r="A480" i="9" s="1"/>
  <c r="B479" i="2"/>
  <c r="B479" i="9" s="1"/>
  <c r="A479" i="2"/>
  <c r="A479" i="9" s="1"/>
  <c r="B478" i="2"/>
  <c r="B478" i="9" s="1"/>
  <c r="A478" i="2"/>
  <c r="A478" i="9" s="1"/>
  <c r="B477" i="2"/>
  <c r="B477" i="9" s="1"/>
  <c r="A477" i="2"/>
  <c r="A477" i="9" s="1"/>
  <c r="B476" i="2"/>
  <c r="B476" i="9" s="1"/>
  <c r="A476" i="2"/>
  <c r="A476" i="9" s="1"/>
  <c r="B475" i="2"/>
  <c r="B475" i="9" s="1"/>
  <c r="A475" i="2"/>
  <c r="A475" i="9" s="1"/>
  <c r="B474" i="2"/>
  <c r="B474" i="9" s="1"/>
  <c r="A474" i="2"/>
  <c r="A474" i="9" s="1"/>
  <c r="B473" i="2"/>
  <c r="B473" i="9" s="1"/>
  <c r="A473" i="2"/>
  <c r="A473" i="9" s="1"/>
  <c r="B472" i="2"/>
  <c r="B472" i="9" s="1"/>
  <c r="A472" i="2"/>
  <c r="A472" i="9" s="1"/>
  <c r="B471" i="2"/>
  <c r="B471" i="9" s="1"/>
  <c r="A471" i="2"/>
  <c r="A471" i="9" s="1"/>
  <c r="B470" i="2"/>
  <c r="B470" i="9" s="1"/>
  <c r="A470" i="2"/>
  <c r="A470" i="9" s="1"/>
  <c r="B469" i="2"/>
  <c r="B469" i="9" s="1"/>
  <c r="A469" i="2"/>
  <c r="A469" i="9" s="1"/>
  <c r="B468" i="2"/>
  <c r="B468" i="9" s="1"/>
  <c r="A468" i="2"/>
  <c r="A468" i="9" s="1"/>
  <c r="B467" i="2"/>
  <c r="B467" i="9" s="1"/>
  <c r="A467" i="2"/>
  <c r="A467" i="9" s="1"/>
  <c r="B466" i="2"/>
  <c r="B466" i="9" s="1"/>
  <c r="A466" i="2"/>
  <c r="A466" i="9" s="1"/>
  <c r="B465" i="2"/>
  <c r="B465" i="9" s="1"/>
  <c r="A465" i="2"/>
  <c r="A465" i="9" s="1"/>
  <c r="B464" i="2"/>
  <c r="B464" i="9" s="1"/>
  <c r="A464" i="2"/>
  <c r="A464" i="9" s="1"/>
  <c r="B463" i="2"/>
  <c r="B463" i="9" s="1"/>
  <c r="A463" i="2"/>
  <c r="A463" i="9" s="1"/>
  <c r="B462" i="2"/>
  <c r="B462" i="9" s="1"/>
  <c r="A462" i="2"/>
  <c r="A462" i="9" s="1"/>
  <c r="B461" i="2"/>
  <c r="B461" i="9" s="1"/>
  <c r="A461" i="2"/>
  <c r="A461" i="9" s="1"/>
  <c r="B460" i="2"/>
  <c r="B460" i="9" s="1"/>
  <c r="A460" i="2"/>
  <c r="A460" i="9" s="1"/>
  <c r="B459" i="2"/>
  <c r="B459" i="9" s="1"/>
  <c r="A459" i="2"/>
  <c r="A459" i="9" s="1"/>
  <c r="B458" i="2"/>
  <c r="B458" i="9" s="1"/>
  <c r="A458" i="2"/>
  <c r="A458" i="9" s="1"/>
  <c r="B457" i="2"/>
  <c r="B457" i="9" s="1"/>
  <c r="A457" i="2"/>
  <c r="A457" i="9" s="1"/>
  <c r="B456" i="2"/>
  <c r="B456" i="9" s="1"/>
  <c r="A456" i="2"/>
  <c r="A456" i="9" s="1"/>
  <c r="B455" i="2"/>
  <c r="B455" i="9" s="1"/>
  <c r="A455" i="2"/>
  <c r="A455" i="9" s="1"/>
  <c r="B454" i="2"/>
  <c r="B454" i="9" s="1"/>
  <c r="A454" i="2"/>
  <c r="A454" i="9" s="1"/>
  <c r="B453" i="2"/>
  <c r="B453" i="9" s="1"/>
  <c r="A453" i="2"/>
  <c r="A453" i="9" s="1"/>
  <c r="B452" i="2"/>
  <c r="B452" i="9" s="1"/>
  <c r="A452" i="2"/>
  <c r="A452" i="9" s="1"/>
  <c r="B451" i="2"/>
  <c r="B451" i="9" s="1"/>
  <c r="A451" i="2"/>
  <c r="A451" i="9" s="1"/>
  <c r="B450" i="2"/>
  <c r="B450" i="9" s="1"/>
  <c r="A450" i="2"/>
  <c r="A450" i="9" s="1"/>
  <c r="B449" i="2"/>
  <c r="B449" i="9" s="1"/>
  <c r="A449" i="2"/>
  <c r="A449" i="9" s="1"/>
  <c r="B448" i="2"/>
  <c r="B448" i="9" s="1"/>
  <c r="A448" i="2"/>
  <c r="A448" i="9" s="1"/>
  <c r="B447" i="2"/>
  <c r="B447" i="9" s="1"/>
  <c r="A447" i="2"/>
  <c r="A447" i="9" s="1"/>
  <c r="B446" i="2"/>
  <c r="B446" i="9" s="1"/>
  <c r="A446" i="2"/>
  <c r="A446" i="9" s="1"/>
  <c r="B445" i="2"/>
  <c r="B445" i="9" s="1"/>
  <c r="A445" i="2"/>
  <c r="A445" i="9" s="1"/>
  <c r="B444" i="2"/>
  <c r="B444" i="9" s="1"/>
  <c r="A444" i="2"/>
  <c r="A444" i="9" s="1"/>
  <c r="B443" i="2"/>
  <c r="B443" i="9" s="1"/>
  <c r="A443" i="2"/>
  <c r="A443" i="9" s="1"/>
  <c r="B442" i="2"/>
  <c r="B442" i="9" s="1"/>
  <c r="A442" i="2"/>
  <c r="A442" i="9" s="1"/>
  <c r="B441" i="2"/>
  <c r="B441" i="9" s="1"/>
  <c r="A441" i="2"/>
  <c r="A441" i="9" s="1"/>
  <c r="B440" i="2"/>
  <c r="B440" i="9" s="1"/>
  <c r="A440" i="2"/>
  <c r="A440" i="9" s="1"/>
  <c r="B439" i="2"/>
  <c r="B439" i="9" s="1"/>
  <c r="A439" i="2"/>
  <c r="A439" i="9" s="1"/>
  <c r="B438" i="2"/>
  <c r="B438" i="9" s="1"/>
  <c r="A438" i="2"/>
  <c r="A438" i="9" s="1"/>
  <c r="B437" i="2"/>
  <c r="B437" i="9" s="1"/>
  <c r="A437" i="2"/>
  <c r="A437" i="9" s="1"/>
  <c r="B436" i="2"/>
  <c r="B436" i="9" s="1"/>
  <c r="A436" i="2"/>
  <c r="A436" i="9" s="1"/>
  <c r="B435" i="2"/>
  <c r="B435" i="9" s="1"/>
  <c r="A435" i="2"/>
  <c r="A435" i="9" s="1"/>
  <c r="B434" i="2"/>
  <c r="B434" i="9" s="1"/>
  <c r="A434" i="2"/>
  <c r="A434" i="9" s="1"/>
  <c r="B433" i="2"/>
  <c r="B433" i="9" s="1"/>
  <c r="A433" i="2"/>
  <c r="A433" i="9" s="1"/>
  <c r="B432" i="2"/>
  <c r="B432" i="9" s="1"/>
  <c r="A432" i="2"/>
  <c r="A432" i="9" s="1"/>
  <c r="B431" i="2"/>
  <c r="B431" i="9" s="1"/>
  <c r="A431" i="2"/>
  <c r="A431" i="9" s="1"/>
  <c r="B430" i="2"/>
  <c r="B430" i="9" s="1"/>
  <c r="A430" i="2"/>
  <c r="A430" i="9" s="1"/>
  <c r="B429" i="2"/>
  <c r="B429" i="9" s="1"/>
  <c r="A429" i="2"/>
  <c r="A429" i="9" s="1"/>
  <c r="B428" i="2"/>
  <c r="B428" i="9" s="1"/>
  <c r="A428" i="2"/>
  <c r="A428" i="9" s="1"/>
  <c r="B427" i="2"/>
  <c r="B427" i="9" s="1"/>
  <c r="A427" i="2"/>
  <c r="A427" i="9" s="1"/>
  <c r="B426" i="2"/>
  <c r="B426" i="9" s="1"/>
  <c r="A426" i="2"/>
  <c r="A426" i="9" s="1"/>
  <c r="B425" i="2"/>
  <c r="B425" i="9" s="1"/>
  <c r="A425" i="2"/>
  <c r="A425" i="9" s="1"/>
  <c r="B424" i="2"/>
  <c r="B424" i="9" s="1"/>
  <c r="A424" i="2"/>
  <c r="A424" i="9" s="1"/>
  <c r="B423" i="2"/>
  <c r="B423" i="9" s="1"/>
  <c r="A423" i="2"/>
  <c r="A423" i="9" s="1"/>
  <c r="B422" i="2"/>
  <c r="B422" i="9" s="1"/>
  <c r="A422" i="2"/>
  <c r="A422" i="9" s="1"/>
  <c r="B421" i="2"/>
  <c r="B421" i="9" s="1"/>
  <c r="A421" i="2"/>
  <c r="A421" i="9" s="1"/>
  <c r="B420" i="2"/>
  <c r="B420" i="9" s="1"/>
  <c r="A420" i="2"/>
  <c r="A420" i="9" s="1"/>
  <c r="B419" i="2"/>
  <c r="B419" i="9" s="1"/>
  <c r="A419" i="2"/>
  <c r="A419" i="9" s="1"/>
  <c r="B418" i="2"/>
  <c r="B418" i="9" s="1"/>
  <c r="A418" i="2"/>
  <c r="A418" i="9" s="1"/>
  <c r="B417" i="2"/>
  <c r="B417" i="9" s="1"/>
  <c r="A417" i="2"/>
  <c r="A417" i="9" s="1"/>
  <c r="B416" i="2"/>
  <c r="B416" i="9" s="1"/>
  <c r="A416" i="2"/>
  <c r="A416" i="9" s="1"/>
  <c r="B415" i="2"/>
  <c r="B415" i="9" s="1"/>
  <c r="A415" i="2"/>
  <c r="A415" i="9" s="1"/>
  <c r="B414" i="2"/>
  <c r="B414" i="9" s="1"/>
  <c r="A414" i="2"/>
  <c r="A414" i="9" s="1"/>
  <c r="B413" i="2"/>
  <c r="B413" i="9" s="1"/>
  <c r="A413" i="2"/>
  <c r="A413" i="9" s="1"/>
  <c r="B412" i="2"/>
  <c r="B412" i="9" s="1"/>
  <c r="A412" i="2"/>
  <c r="A412" i="9" s="1"/>
  <c r="B411" i="2"/>
  <c r="B411" i="9" s="1"/>
  <c r="A411" i="2"/>
  <c r="A411" i="9" s="1"/>
  <c r="B410" i="2"/>
  <c r="B410" i="9" s="1"/>
  <c r="A410" i="2"/>
  <c r="A410" i="9" s="1"/>
  <c r="B409" i="2"/>
  <c r="B409" i="9" s="1"/>
  <c r="A409" i="2"/>
  <c r="A409" i="9" s="1"/>
  <c r="B408" i="2"/>
  <c r="B408" i="9" s="1"/>
  <c r="A408" i="2"/>
  <c r="A408" i="9" s="1"/>
  <c r="B407" i="2"/>
  <c r="B407" i="9" s="1"/>
  <c r="A407" i="2"/>
  <c r="A407" i="9" s="1"/>
  <c r="B406" i="2"/>
  <c r="B406" i="9" s="1"/>
  <c r="A406" i="2"/>
  <c r="A406" i="9" s="1"/>
  <c r="B405" i="2"/>
  <c r="B405" i="9" s="1"/>
  <c r="A405" i="2"/>
  <c r="A405" i="9" s="1"/>
  <c r="B404" i="2"/>
  <c r="B404" i="9" s="1"/>
  <c r="A404" i="2"/>
  <c r="A404" i="9" s="1"/>
  <c r="B403" i="2"/>
  <c r="B403" i="9" s="1"/>
  <c r="A403" i="2"/>
  <c r="A403" i="9" s="1"/>
  <c r="B402" i="2"/>
  <c r="B402" i="9" s="1"/>
  <c r="A402" i="2"/>
  <c r="A402" i="9" s="1"/>
  <c r="B401" i="2"/>
  <c r="B401" i="9" s="1"/>
  <c r="A401" i="2"/>
  <c r="A401" i="9" s="1"/>
  <c r="B400" i="2"/>
  <c r="B400" i="9" s="1"/>
  <c r="A400" i="2"/>
  <c r="A400" i="9" s="1"/>
  <c r="B399" i="2"/>
  <c r="B399" i="9" s="1"/>
  <c r="A399" i="2"/>
  <c r="A399" i="9" s="1"/>
  <c r="B398" i="2"/>
  <c r="B398" i="9" s="1"/>
  <c r="A398" i="2"/>
  <c r="A398" i="9" s="1"/>
  <c r="B397" i="2"/>
  <c r="B397" i="9" s="1"/>
  <c r="A397" i="2"/>
  <c r="A397" i="9" s="1"/>
  <c r="B396" i="2"/>
  <c r="B396" i="9" s="1"/>
  <c r="A396" i="2"/>
  <c r="A396" i="9" s="1"/>
  <c r="B395" i="2"/>
  <c r="B395" i="9" s="1"/>
  <c r="A395" i="2"/>
  <c r="A395" i="9" s="1"/>
  <c r="B394" i="2"/>
  <c r="B394" i="9" s="1"/>
  <c r="A394" i="2"/>
  <c r="A394" i="9" s="1"/>
  <c r="B393" i="2"/>
  <c r="B393" i="9" s="1"/>
  <c r="A393" i="2"/>
  <c r="A393" i="9" s="1"/>
  <c r="B392" i="2"/>
  <c r="B392" i="9" s="1"/>
  <c r="A392" i="2"/>
  <c r="A392" i="9" s="1"/>
  <c r="B391" i="2"/>
  <c r="B391" i="9" s="1"/>
  <c r="A391" i="2"/>
  <c r="A391" i="9" s="1"/>
  <c r="B390" i="2"/>
  <c r="B390" i="9" s="1"/>
  <c r="A390" i="2"/>
  <c r="A390" i="9" s="1"/>
  <c r="B389" i="2"/>
  <c r="B389" i="9" s="1"/>
  <c r="A389" i="2"/>
  <c r="A389" i="9" s="1"/>
  <c r="B388" i="2"/>
  <c r="B388" i="9" s="1"/>
  <c r="A388" i="2"/>
  <c r="A388" i="9" s="1"/>
  <c r="B387" i="2"/>
  <c r="B387" i="9" s="1"/>
  <c r="A387" i="2"/>
  <c r="A387" i="9" s="1"/>
  <c r="B386" i="2"/>
  <c r="B386" i="9" s="1"/>
  <c r="A386" i="2"/>
  <c r="A386" i="9" s="1"/>
  <c r="B385" i="2"/>
  <c r="B385" i="9" s="1"/>
  <c r="A385" i="2"/>
  <c r="A385" i="9" s="1"/>
  <c r="B384" i="2"/>
  <c r="B384" i="9" s="1"/>
  <c r="A384" i="2"/>
  <c r="A384" i="9" s="1"/>
  <c r="B383" i="2"/>
  <c r="B383" i="9" s="1"/>
  <c r="A383" i="2"/>
  <c r="A383" i="9" s="1"/>
  <c r="B382" i="2"/>
  <c r="B382" i="9" s="1"/>
  <c r="A382" i="2"/>
  <c r="A382" i="9" s="1"/>
  <c r="B381" i="2"/>
  <c r="B381" i="9" s="1"/>
  <c r="A381" i="2"/>
  <c r="A381" i="9" s="1"/>
  <c r="B380" i="2"/>
  <c r="B380" i="9" s="1"/>
  <c r="A380" i="2"/>
  <c r="A380" i="9" s="1"/>
  <c r="B379" i="2"/>
  <c r="B379" i="9" s="1"/>
  <c r="A379" i="2"/>
  <c r="A379" i="9" s="1"/>
  <c r="B378" i="2"/>
  <c r="B378" i="9" s="1"/>
  <c r="A378" i="2"/>
  <c r="A378" i="9" s="1"/>
  <c r="B377" i="2"/>
  <c r="B377" i="9" s="1"/>
  <c r="A377" i="2"/>
  <c r="A377" i="9" s="1"/>
  <c r="B376" i="2"/>
  <c r="B376" i="9" s="1"/>
  <c r="A376" i="2"/>
  <c r="A376" i="9" s="1"/>
  <c r="B375" i="2"/>
  <c r="B375" i="9" s="1"/>
  <c r="A375" i="2"/>
  <c r="A375" i="9" s="1"/>
  <c r="B374" i="2"/>
  <c r="B374" i="9" s="1"/>
  <c r="A374" i="2"/>
  <c r="A374" i="9" s="1"/>
  <c r="B373" i="2"/>
  <c r="B373" i="9" s="1"/>
  <c r="A373" i="2"/>
  <c r="A373" i="9" s="1"/>
  <c r="B372" i="2"/>
  <c r="B372" i="9" s="1"/>
  <c r="A372" i="2"/>
  <c r="A372" i="9" s="1"/>
  <c r="B371" i="2"/>
  <c r="B371" i="9" s="1"/>
  <c r="A371" i="2"/>
  <c r="A371" i="9" s="1"/>
  <c r="B370" i="2"/>
  <c r="B370" i="9" s="1"/>
  <c r="A370" i="2"/>
  <c r="A370" i="9" s="1"/>
  <c r="B369" i="2"/>
  <c r="B369" i="9" s="1"/>
  <c r="A369" i="2"/>
  <c r="A369" i="9" s="1"/>
  <c r="B368" i="2"/>
  <c r="B368" i="9" s="1"/>
  <c r="A368" i="2"/>
  <c r="A368" i="9" s="1"/>
  <c r="B367" i="2"/>
  <c r="B367" i="9" s="1"/>
  <c r="A367" i="2"/>
  <c r="A367" i="9" s="1"/>
  <c r="B366" i="2"/>
  <c r="B366" i="9" s="1"/>
  <c r="A366" i="2"/>
  <c r="A366" i="9" s="1"/>
  <c r="B365" i="2"/>
  <c r="B365" i="9" s="1"/>
  <c r="A365" i="2"/>
  <c r="A365" i="9" s="1"/>
  <c r="B364" i="2"/>
  <c r="B364" i="9" s="1"/>
  <c r="A364" i="2"/>
  <c r="A364" i="9" s="1"/>
  <c r="B363" i="2"/>
  <c r="B363" i="9" s="1"/>
  <c r="A363" i="2"/>
  <c r="A363" i="9" s="1"/>
  <c r="B362" i="2"/>
  <c r="B362" i="9" s="1"/>
  <c r="A362" i="2"/>
  <c r="A362" i="9" s="1"/>
  <c r="B361" i="2"/>
  <c r="B361" i="9" s="1"/>
  <c r="A361" i="2"/>
  <c r="A361" i="9" s="1"/>
  <c r="B360" i="2"/>
  <c r="B360" i="9" s="1"/>
  <c r="A360" i="2"/>
  <c r="A360" i="9" s="1"/>
  <c r="B359" i="2"/>
  <c r="B359" i="9" s="1"/>
  <c r="A359" i="2"/>
  <c r="A359" i="9" s="1"/>
  <c r="B358" i="2"/>
  <c r="B358" i="9" s="1"/>
  <c r="A358" i="2"/>
  <c r="A358" i="9" s="1"/>
  <c r="B357" i="2"/>
  <c r="B357" i="9" s="1"/>
  <c r="A357" i="2"/>
  <c r="A357" i="9" s="1"/>
  <c r="B356" i="2"/>
  <c r="B356" i="9" s="1"/>
  <c r="A356" i="2"/>
  <c r="A356" i="9" s="1"/>
  <c r="B355" i="2"/>
  <c r="B355" i="9" s="1"/>
  <c r="A355" i="2"/>
  <c r="A355" i="9" s="1"/>
  <c r="B354" i="2"/>
  <c r="B354" i="9" s="1"/>
  <c r="A354" i="2"/>
  <c r="A354" i="9" s="1"/>
  <c r="B353" i="2"/>
  <c r="B353" i="9" s="1"/>
  <c r="A353" i="2"/>
  <c r="A353" i="9" s="1"/>
  <c r="B352" i="2"/>
  <c r="B352" i="9" s="1"/>
  <c r="A352" i="2"/>
  <c r="A352" i="9" s="1"/>
  <c r="B351" i="2"/>
  <c r="B351" i="9" s="1"/>
  <c r="A351" i="2"/>
  <c r="A351" i="9" s="1"/>
  <c r="B350" i="2"/>
  <c r="B350" i="9" s="1"/>
  <c r="A350" i="2"/>
  <c r="A350" i="9" s="1"/>
  <c r="B349" i="2"/>
  <c r="B349" i="9" s="1"/>
  <c r="A349" i="2"/>
  <c r="A349" i="9" s="1"/>
  <c r="B348" i="2"/>
  <c r="B348" i="9" s="1"/>
  <c r="A348" i="2"/>
  <c r="A348" i="9" s="1"/>
  <c r="B347" i="2"/>
  <c r="B347" i="9" s="1"/>
  <c r="A347" i="2"/>
  <c r="A347" i="9" s="1"/>
  <c r="B346" i="2"/>
  <c r="B346" i="9" s="1"/>
  <c r="A346" i="2"/>
  <c r="A346" i="9" s="1"/>
  <c r="B345" i="2"/>
  <c r="B345" i="9" s="1"/>
  <c r="A345" i="2"/>
  <c r="A345" i="9" s="1"/>
  <c r="B344" i="2"/>
  <c r="B344" i="9" s="1"/>
  <c r="A344" i="2"/>
  <c r="A344" i="9" s="1"/>
  <c r="B343" i="2"/>
  <c r="B343" i="9" s="1"/>
  <c r="A343" i="2"/>
  <c r="A343" i="9" s="1"/>
  <c r="B342" i="2"/>
  <c r="B342" i="9" s="1"/>
  <c r="A342" i="2"/>
  <c r="A342" i="9" s="1"/>
  <c r="B341" i="2"/>
  <c r="B341" i="9" s="1"/>
  <c r="A341" i="2"/>
  <c r="A341" i="9" s="1"/>
  <c r="B340" i="2"/>
  <c r="B340" i="9" s="1"/>
  <c r="A340" i="2"/>
  <c r="A340" i="9" s="1"/>
  <c r="B339" i="2"/>
  <c r="B339" i="9" s="1"/>
  <c r="A339" i="2"/>
  <c r="A339" i="9" s="1"/>
  <c r="B338" i="2"/>
  <c r="B338" i="9" s="1"/>
  <c r="A338" i="2"/>
  <c r="A338" i="9" s="1"/>
  <c r="B337" i="2"/>
  <c r="B337" i="9" s="1"/>
  <c r="A337" i="2"/>
  <c r="A337" i="9" s="1"/>
  <c r="B336" i="2"/>
  <c r="B336" i="9" s="1"/>
  <c r="A336" i="2"/>
  <c r="A336" i="9" s="1"/>
  <c r="B335" i="2"/>
  <c r="B335" i="9" s="1"/>
  <c r="A335" i="2"/>
  <c r="A335" i="9" s="1"/>
  <c r="B334" i="2"/>
  <c r="B334" i="9" s="1"/>
  <c r="A334" i="2"/>
  <c r="A334" i="9" s="1"/>
  <c r="B333" i="2"/>
  <c r="B333" i="9" s="1"/>
  <c r="A333" i="2"/>
  <c r="A333" i="9" s="1"/>
  <c r="B332" i="2"/>
  <c r="B332" i="9" s="1"/>
  <c r="A332" i="2"/>
  <c r="A332" i="9" s="1"/>
  <c r="B331" i="2"/>
  <c r="B331" i="9" s="1"/>
  <c r="A331" i="2"/>
  <c r="A331" i="9" s="1"/>
  <c r="B330" i="2"/>
  <c r="B330" i="9" s="1"/>
  <c r="A330" i="2"/>
  <c r="A330" i="9" s="1"/>
  <c r="B329" i="2"/>
  <c r="B329" i="9" s="1"/>
  <c r="A329" i="2"/>
  <c r="A329" i="9" s="1"/>
  <c r="B328" i="2"/>
  <c r="B328" i="9" s="1"/>
  <c r="A328" i="2"/>
  <c r="A328" i="9" s="1"/>
  <c r="B327" i="2"/>
  <c r="B327" i="9" s="1"/>
  <c r="A327" i="2"/>
  <c r="A327" i="9" s="1"/>
  <c r="B326" i="2"/>
  <c r="B326" i="9" s="1"/>
  <c r="A326" i="2"/>
  <c r="A326" i="9" s="1"/>
  <c r="B325" i="2"/>
  <c r="B325" i="9" s="1"/>
  <c r="A325" i="2"/>
  <c r="A325" i="9" s="1"/>
  <c r="B324" i="2"/>
  <c r="B324" i="9" s="1"/>
  <c r="A324" i="2"/>
  <c r="A324" i="9" s="1"/>
  <c r="B323" i="2"/>
  <c r="B323" i="9" s="1"/>
  <c r="A323" i="2"/>
  <c r="A323" i="9" s="1"/>
  <c r="B322" i="2"/>
  <c r="B322" i="9" s="1"/>
  <c r="A322" i="2"/>
  <c r="A322" i="9" s="1"/>
  <c r="B321" i="2"/>
  <c r="B321" i="9" s="1"/>
  <c r="A321" i="2"/>
  <c r="A321" i="9" s="1"/>
  <c r="B320" i="2"/>
  <c r="B320" i="9" s="1"/>
  <c r="A320" i="2"/>
  <c r="A320" i="9" s="1"/>
  <c r="B319" i="2"/>
  <c r="B319" i="9" s="1"/>
  <c r="A319" i="2"/>
  <c r="A319" i="9" s="1"/>
  <c r="B318" i="2"/>
  <c r="B318" i="9" s="1"/>
  <c r="A318" i="2"/>
  <c r="A318" i="9" s="1"/>
  <c r="B317" i="2"/>
  <c r="B317" i="9" s="1"/>
  <c r="A317" i="2"/>
  <c r="A317" i="9" s="1"/>
  <c r="B316" i="2"/>
  <c r="B316" i="9" s="1"/>
  <c r="A316" i="2"/>
  <c r="A316" i="9" s="1"/>
  <c r="B315" i="2"/>
  <c r="B315" i="9" s="1"/>
  <c r="A315" i="2"/>
  <c r="A315" i="9" s="1"/>
  <c r="B314" i="2"/>
  <c r="B314" i="9" s="1"/>
  <c r="A314" i="2"/>
  <c r="A314" i="9" s="1"/>
  <c r="B313" i="2"/>
  <c r="B313" i="9" s="1"/>
  <c r="A313" i="2"/>
  <c r="A313" i="9" s="1"/>
  <c r="B312" i="2"/>
  <c r="B312" i="9" s="1"/>
  <c r="A312" i="2"/>
  <c r="A312" i="9" s="1"/>
  <c r="B311" i="2"/>
  <c r="B311" i="9" s="1"/>
  <c r="A311" i="2"/>
  <c r="A311" i="9" s="1"/>
  <c r="B310" i="2"/>
  <c r="B310" i="9" s="1"/>
  <c r="A310" i="2"/>
  <c r="A310" i="9" s="1"/>
  <c r="B309" i="2"/>
  <c r="B309" i="9" s="1"/>
  <c r="A309" i="2"/>
  <c r="A309" i="9" s="1"/>
  <c r="B308" i="2"/>
  <c r="B308" i="9" s="1"/>
  <c r="A308" i="2"/>
  <c r="A308" i="9" s="1"/>
  <c r="B307" i="2"/>
  <c r="B307" i="9" s="1"/>
  <c r="A307" i="2"/>
  <c r="A307" i="9" s="1"/>
  <c r="B306" i="2"/>
  <c r="B306" i="9" s="1"/>
  <c r="A306" i="2"/>
  <c r="A306" i="9" s="1"/>
  <c r="B305" i="2"/>
  <c r="B305" i="9" s="1"/>
  <c r="A305" i="2"/>
  <c r="A305" i="9" s="1"/>
  <c r="B304" i="2"/>
  <c r="B304" i="9" s="1"/>
  <c r="A304" i="2"/>
  <c r="A304" i="9" s="1"/>
  <c r="B303" i="2"/>
  <c r="B303" i="9" s="1"/>
  <c r="A303" i="2"/>
  <c r="A303" i="9" s="1"/>
  <c r="B302" i="2"/>
  <c r="B302" i="9" s="1"/>
  <c r="A302" i="2"/>
  <c r="A302" i="9" s="1"/>
  <c r="B301" i="2"/>
  <c r="B301" i="9" s="1"/>
  <c r="A301" i="2"/>
  <c r="A301" i="9" s="1"/>
  <c r="B300" i="2"/>
  <c r="B300" i="9" s="1"/>
  <c r="A300" i="2"/>
  <c r="A300" i="9" s="1"/>
  <c r="B299" i="2"/>
  <c r="B299" i="9" s="1"/>
  <c r="A299" i="2"/>
  <c r="A299" i="9" s="1"/>
  <c r="B298" i="2"/>
  <c r="B298" i="9" s="1"/>
  <c r="A298" i="2"/>
  <c r="A298" i="9" s="1"/>
  <c r="B297" i="2"/>
  <c r="B297" i="9" s="1"/>
  <c r="A297" i="2"/>
  <c r="A297" i="9" s="1"/>
  <c r="B296" i="2"/>
  <c r="B296" i="9" s="1"/>
  <c r="A296" i="2"/>
  <c r="A296" i="9" s="1"/>
  <c r="B295" i="2"/>
  <c r="B295" i="9" s="1"/>
  <c r="A295" i="2"/>
  <c r="A295" i="9" s="1"/>
  <c r="B294" i="2"/>
  <c r="B294" i="9" s="1"/>
  <c r="A294" i="2"/>
  <c r="A294" i="9" s="1"/>
  <c r="B293" i="2"/>
  <c r="B293" i="9" s="1"/>
  <c r="A293" i="2"/>
  <c r="A293" i="9" s="1"/>
  <c r="B292" i="2"/>
  <c r="B292" i="9" s="1"/>
  <c r="A292" i="2"/>
  <c r="A292" i="9" s="1"/>
  <c r="B291" i="2"/>
  <c r="B291" i="9" s="1"/>
  <c r="A291" i="2"/>
  <c r="A291" i="9" s="1"/>
  <c r="B290" i="2"/>
  <c r="B290" i="9" s="1"/>
  <c r="A290" i="2"/>
  <c r="A290" i="9" s="1"/>
  <c r="B289" i="2"/>
  <c r="B289" i="9" s="1"/>
  <c r="A289" i="2"/>
  <c r="A289" i="9" s="1"/>
  <c r="B288" i="2"/>
  <c r="B288" i="9" s="1"/>
  <c r="A288" i="2"/>
  <c r="A288" i="9" s="1"/>
  <c r="B287" i="2"/>
  <c r="B287" i="9" s="1"/>
  <c r="A287" i="2"/>
  <c r="A287" i="9" s="1"/>
  <c r="B286" i="2"/>
  <c r="B286" i="9" s="1"/>
  <c r="A286" i="2"/>
  <c r="A286" i="9" s="1"/>
  <c r="B285" i="2"/>
  <c r="B285" i="9" s="1"/>
  <c r="A285" i="2"/>
  <c r="A285" i="9" s="1"/>
  <c r="B284" i="2"/>
  <c r="B284" i="9" s="1"/>
  <c r="A284" i="2"/>
  <c r="A284" i="9" s="1"/>
  <c r="B283" i="2"/>
  <c r="B283" i="9" s="1"/>
  <c r="A283" i="2"/>
  <c r="A283" i="9" s="1"/>
  <c r="B282" i="2"/>
  <c r="B282" i="9" s="1"/>
  <c r="A282" i="2"/>
  <c r="A282" i="9" s="1"/>
  <c r="B281" i="2"/>
  <c r="B281" i="9" s="1"/>
  <c r="A281" i="2"/>
  <c r="A281" i="9" s="1"/>
  <c r="B280" i="2"/>
  <c r="B280" i="9" s="1"/>
  <c r="A280" i="2"/>
  <c r="A280" i="9" s="1"/>
  <c r="B279" i="2"/>
  <c r="B279" i="9" s="1"/>
  <c r="A279" i="2"/>
  <c r="A279" i="9" s="1"/>
  <c r="B278" i="2"/>
  <c r="B278" i="9" s="1"/>
  <c r="A278" i="2"/>
  <c r="A278" i="9" s="1"/>
  <c r="B277" i="2"/>
  <c r="B277" i="9" s="1"/>
  <c r="A277" i="2"/>
  <c r="A277" i="9" s="1"/>
  <c r="B276" i="2"/>
  <c r="B276" i="9" s="1"/>
  <c r="A276" i="2"/>
  <c r="A276" i="9" s="1"/>
  <c r="B275" i="2"/>
  <c r="B275" i="9" s="1"/>
  <c r="A275" i="2"/>
  <c r="A275" i="9" s="1"/>
  <c r="B274" i="2"/>
  <c r="B274" i="9" s="1"/>
  <c r="A274" i="2"/>
  <c r="A274" i="9" s="1"/>
  <c r="B273" i="2"/>
  <c r="B273" i="9" s="1"/>
  <c r="A273" i="2"/>
  <c r="A273" i="9" s="1"/>
  <c r="B272" i="2"/>
  <c r="B272" i="9" s="1"/>
  <c r="A272" i="2"/>
  <c r="A272" i="9" s="1"/>
  <c r="B271" i="2"/>
  <c r="B271" i="9" s="1"/>
  <c r="A271" i="2"/>
  <c r="A271" i="9" s="1"/>
  <c r="B270" i="2"/>
  <c r="B270" i="9" s="1"/>
  <c r="A270" i="2"/>
  <c r="A270" i="9" s="1"/>
  <c r="B269" i="2"/>
  <c r="B269" i="9" s="1"/>
  <c r="A269" i="2"/>
  <c r="A269" i="9" s="1"/>
  <c r="B268" i="2"/>
  <c r="B268" i="9" s="1"/>
  <c r="A268" i="2"/>
  <c r="A268" i="9" s="1"/>
  <c r="B267" i="2"/>
  <c r="B267" i="9" s="1"/>
  <c r="A267" i="2"/>
  <c r="A267" i="9" s="1"/>
  <c r="B266" i="2"/>
  <c r="B266" i="9" s="1"/>
  <c r="A266" i="2"/>
  <c r="A266" i="9" s="1"/>
  <c r="B265" i="2"/>
  <c r="B265" i="9" s="1"/>
  <c r="A265" i="2"/>
  <c r="A265" i="9" s="1"/>
  <c r="B264" i="2"/>
  <c r="B264" i="9" s="1"/>
  <c r="A264" i="2"/>
  <c r="A264" i="9" s="1"/>
  <c r="B263" i="2"/>
  <c r="B263" i="9" s="1"/>
  <c r="A263" i="2"/>
  <c r="A263" i="9" s="1"/>
  <c r="B262" i="2"/>
  <c r="B262" i="9" s="1"/>
  <c r="A262" i="2"/>
  <c r="A262" i="9" s="1"/>
  <c r="B261" i="2"/>
  <c r="B261" i="9" s="1"/>
  <c r="A261" i="2"/>
  <c r="A261" i="9" s="1"/>
  <c r="B260" i="2"/>
  <c r="B260" i="9" s="1"/>
  <c r="A260" i="2"/>
  <c r="A260" i="9" s="1"/>
  <c r="B259" i="2"/>
  <c r="B259" i="9" s="1"/>
  <c r="A259" i="2"/>
  <c r="A259" i="9" s="1"/>
  <c r="B258" i="2"/>
  <c r="B258" i="9" s="1"/>
  <c r="A258" i="2"/>
  <c r="A258" i="9" s="1"/>
  <c r="B257" i="2"/>
  <c r="B257" i="9" s="1"/>
  <c r="A257" i="2"/>
  <c r="A257" i="9" s="1"/>
  <c r="B256" i="2"/>
  <c r="B256" i="9" s="1"/>
  <c r="A256" i="2"/>
  <c r="A256" i="9" s="1"/>
  <c r="B255" i="2"/>
  <c r="B255" i="9" s="1"/>
  <c r="A255" i="2"/>
  <c r="A255" i="9" s="1"/>
  <c r="B254" i="2"/>
  <c r="B254" i="9" s="1"/>
  <c r="A254" i="2"/>
  <c r="A254" i="9" s="1"/>
  <c r="B253" i="2"/>
  <c r="B253" i="9" s="1"/>
  <c r="A253" i="2"/>
  <c r="A253" i="9" s="1"/>
  <c r="B252" i="2"/>
  <c r="B252" i="9" s="1"/>
  <c r="A252" i="2"/>
  <c r="A252" i="9" s="1"/>
  <c r="B251" i="2"/>
  <c r="B251" i="9" s="1"/>
  <c r="A251" i="2"/>
  <c r="A251" i="9" s="1"/>
  <c r="B250" i="2"/>
  <c r="B250" i="9" s="1"/>
  <c r="A250" i="2"/>
  <c r="A250" i="9" s="1"/>
  <c r="B249" i="2"/>
  <c r="B249" i="9" s="1"/>
  <c r="A249" i="2"/>
  <c r="A249" i="9" s="1"/>
  <c r="B248" i="2"/>
  <c r="B248" i="9" s="1"/>
  <c r="A248" i="2"/>
  <c r="A248" i="9" s="1"/>
  <c r="B247" i="2"/>
  <c r="B247" i="9" s="1"/>
  <c r="A247" i="2"/>
  <c r="A247" i="9" s="1"/>
  <c r="B246" i="2"/>
  <c r="B246" i="9" s="1"/>
  <c r="A246" i="2"/>
  <c r="A246" i="9" s="1"/>
  <c r="B245" i="2"/>
  <c r="B245" i="9" s="1"/>
  <c r="A245" i="2"/>
  <c r="A245" i="9" s="1"/>
  <c r="B244" i="2"/>
  <c r="B244" i="9" s="1"/>
  <c r="A244" i="2"/>
  <c r="A244" i="9" s="1"/>
  <c r="B243" i="2"/>
  <c r="B243" i="9" s="1"/>
  <c r="A243" i="2"/>
  <c r="A243" i="9" s="1"/>
  <c r="B242" i="2"/>
  <c r="B242" i="9" s="1"/>
  <c r="A242" i="2"/>
  <c r="A242" i="9" s="1"/>
  <c r="B241" i="2"/>
  <c r="B241" i="9" s="1"/>
  <c r="A241" i="2"/>
  <c r="A241" i="9" s="1"/>
  <c r="B240" i="2"/>
  <c r="B240" i="9" s="1"/>
  <c r="A240" i="2"/>
  <c r="A240" i="9" s="1"/>
  <c r="B239" i="2"/>
  <c r="B239" i="9" s="1"/>
  <c r="A239" i="2"/>
  <c r="A239" i="9" s="1"/>
  <c r="B238" i="2"/>
  <c r="B238" i="9" s="1"/>
  <c r="A238" i="2"/>
  <c r="A238" i="9" s="1"/>
  <c r="B237" i="2"/>
  <c r="B237" i="9" s="1"/>
  <c r="A237" i="2"/>
  <c r="A237" i="9" s="1"/>
  <c r="B236" i="2"/>
  <c r="B236" i="9" s="1"/>
  <c r="A236" i="2"/>
  <c r="A236" i="9" s="1"/>
  <c r="B235" i="2"/>
  <c r="B235" i="9" s="1"/>
  <c r="A235" i="2"/>
  <c r="A235" i="9" s="1"/>
  <c r="B234" i="2"/>
  <c r="B234" i="9" s="1"/>
  <c r="A234" i="2"/>
  <c r="A234" i="9" s="1"/>
  <c r="B233" i="2"/>
  <c r="B233" i="9" s="1"/>
  <c r="A233" i="2"/>
  <c r="A233" i="9" s="1"/>
  <c r="B232" i="2"/>
  <c r="B232" i="9" s="1"/>
  <c r="A232" i="2"/>
  <c r="A232" i="9" s="1"/>
  <c r="B231" i="2"/>
  <c r="B231" i="9" s="1"/>
  <c r="A231" i="2"/>
  <c r="A231" i="9" s="1"/>
  <c r="B230" i="2"/>
  <c r="B230" i="9" s="1"/>
  <c r="A230" i="2"/>
  <c r="A230" i="9" s="1"/>
  <c r="B229" i="2"/>
  <c r="B229" i="9" s="1"/>
  <c r="A229" i="2"/>
  <c r="A229" i="9" s="1"/>
  <c r="B228" i="2"/>
  <c r="B228" i="9" s="1"/>
  <c r="A228" i="2"/>
  <c r="A228" i="9" s="1"/>
  <c r="B227" i="2"/>
  <c r="B227" i="9" s="1"/>
  <c r="A227" i="2"/>
  <c r="A227" i="9" s="1"/>
  <c r="B226" i="2"/>
  <c r="B226" i="9" s="1"/>
  <c r="A226" i="2"/>
  <c r="A226" i="9" s="1"/>
  <c r="B225" i="2"/>
  <c r="B225" i="9" s="1"/>
  <c r="A225" i="2"/>
  <c r="A225" i="9" s="1"/>
  <c r="B224" i="2"/>
  <c r="B224" i="9" s="1"/>
  <c r="A224" i="2"/>
  <c r="A224" i="9" s="1"/>
  <c r="B223" i="2"/>
  <c r="B223" i="9" s="1"/>
  <c r="A223" i="2"/>
  <c r="A223" i="9" s="1"/>
  <c r="B222" i="2"/>
  <c r="B222" i="9" s="1"/>
  <c r="A222" i="2"/>
  <c r="A222" i="9" s="1"/>
  <c r="B221" i="2"/>
  <c r="B221" i="9" s="1"/>
  <c r="A221" i="2"/>
  <c r="A221" i="9" s="1"/>
  <c r="B220" i="2"/>
  <c r="B220" i="9" s="1"/>
  <c r="A220" i="2"/>
  <c r="A220" i="9" s="1"/>
  <c r="B219" i="2"/>
  <c r="B219" i="9" s="1"/>
  <c r="A219" i="2"/>
  <c r="A219" i="9" s="1"/>
  <c r="B218" i="2"/>
  <c r="B218" i="9" s="1"/>
  <c r="A218" i="2"/>
  <c r="A218" i="9" s="1"/>
  <c r="B217" i="2"/>
  <c r="B217" i="9" s="1"/>
  <c r="A217" i="2"/>
  <c r="A217" i="9" s="1"/>
  <c r="B216" i="2"/>
  <c r="B216" i="9" s="1"/>
  <c r="A216" i="2"/>
  <c r="A216" i="9" s="1"/>
  <c r="B215" i="2"/>
  <c r="B215" i="9" s="1"/>
  <c r="A215" i="2"/>
  <c r="A215" i="9" s="1"/>
  <c r="B214" i="2"/>
  <c r="B214" i="9" s="1"/>
  <c r="A214" i="2"/>
  <c r="A214" i="9" s="1"/>
  <c r="B213" i="2"/>
  <c r="B213" i="9" s="1"/>
  <c r="A213" i="2"/>
  <c r="A213" i="9" s="1"/>
  <c r="B212" i="2"/>
  <c r="B212" i="9" s="1"/>
  <c r="A212" i="2"/>
  <c r="A212" i="9" s="1"/>
  <c r="B211" i="2"/>
  <c r="B211" i="9" s="1"/>
  <c r="A211" i="2"/>
  <c r="A211" i="9" s="1"/>
  <c r="B210" i="2"/>
  <c r="B210" i="9" s="1"/>
  <c r="A210" i="2"/>
  <c r="A210" i="9" s="1"/>
  <c r="B209" i="2"/>
  <c r="B209" i="9" s="1"/>
  <c r="A209" i="2"/>
  <c r="A209" i="9" s="1"/>
  <c r="B208" i="2"/>
  <c r="B208" i="9" s="1"/>
  <c r="A208" i="2"/>
  <c r="A208" i="9" s="1"/>
  <c r="B207" i="2"/>
  <c r="B207" i="9" s="1"/>
  <c r="A207" i="2"/>
  <c r="A207" i="9" s="1"/>
  <c r="B206" i="2"/>
  <c r="B206" i="9" s="1"/>
  <c r="A206" i="2"/>
  <c r="A206" i="9" s="1"/>
  <c r="B205" i="2"/>
  <c r="B205" i="9" s="1"/>
  <c r="A205" i="2"/>
  <c r="A205" i="9" s="1"/>
  <c r="B204" i="2"/>
  <c r="B204" i="9" s="1"/>
  <c r="A204" i="2"/>
  <c r="A204" i="9" s="1"/>
  <c r="B203" i="2"/>
  <c r="B203" i="9" s="1"/>
  <c r="A203" i="2"/>
  <c r="A203" i="9" s="1"/>
  <c r="B202" i="2"/>
  <c r="B202" i="9" s="1"/>
  <c r="A202" i="2"/>
  <c r="A202" i="9" s="1"/>
  <c r="B201" i="2"/>
  <c r="B201" i="9" s="1"/>
  <c r="A201" i="2"/>
  <c r="A201" i="9" s="1"/>
  <c r="B200" i="2"/>
  <c r="B200" i="9" s="1"/>
  <c r="A200" i="2"/>
  <c r="A200" i="9" s="1"/>
  <c r="B199" i="2"/>
  <c r="B199" i="9" s="1"/>
  <c r="A199" i="2"/>
  <c r="A199" i="9" s="1"/>
  <c r="B198" i="2"/>
  <c r="B198" i="9" s="1"/>
  <c r="A198" i="2"/>
  <c r="A198" i="9" s="1"/>
  <c r="B197" i="2"/>
  <c r="B197" i="9" s="1"/>
  <c r="A197" i="2"/>
  <c r="A197" i="9" s="1"/>
  <c r="B196" i="2"/>
  <c r="B196" i="9" s="1"/>
  <c r="A196" i="2"/>
  <c r="A196" i="9" s="1"/>
  <c r="B195" i="2"/>
  <c r="B195" i="9" s="1"/>
  <c r="A195" i="2"/>
  <c r="A195" i="9" s="1"/>
  <c r="B194" i="2"/>
  <c r="B194" i="9" s="1"/>
  <c r="A194" i="2"/>
  <c r="A194" i="9" s="1"/>
  <c r="B193" i="2"/>
  <c r="B193" i="9" s="1"/>
  <c r="A193" i="2"/>
  <c r="A193" i="9" s="1"/>
  <c r="B192" i="2"/>
  <c r="B192" i="9" s="1"/>
  <c r="A192" i="2"/>
  <c r="A192" i="9" s="1"/>
  <c r="B191" i="2"/>
  <c r="B191" i="9" s="1"/>
  <c r="A191" i="2"/>
  <c r="A191" i="9" s="1"/>
  <c r="B190" i="2"/>
  <c r="B190" i="9" s="1"/>
  <c r="A190" i="2"/>
  <c r="A190" i="9" s="1"/>
  <c r="B189" i="2"/>
  <c r="B189" i="9" s="1"/>
  <c r="A189" i="2"/>
  <c r="A189" i="9" s="1"/>
  <c r="B188" i="2"/>
  <c r="B188" i="9" s="1"/>
  <c r="A188" i="2"/>
  <c r="A188" i="9" s="1"/>
  <c r="B187" i="2"/>
  <c r="B187" i="9" s="1"/>
  <c r="A187" i="2"/>
  <c r="A187" i="9" s="1"/>
  <c r="B186" i="2"/>
  <c r="B186" i="9" s="1"/>
  <c r="A186" i="2"/>
  <c r="A186" i="9" s="1"/>
  <c r="B185" i="2"/>
  <c r="B185" i="9" s="1"/>
  <c r="A185" i="2"/>
  <c r="A185" i="9" s="1"/>
  <c r="B184" i="2"/>
  <c r="B184" i="9" s="1"/>
  <c r="A184" i="2"/>
  <c r="A184" i="9" s="1"/>
  <c r="B183" i="2"/>
  <c r="B183" i="9" s="1"/>
  <c r="A183" i="2"/>
  <c r="A183" i="9" s="1"/>
  <c r="B182" i="2"/>
  <c r="B182" i="9" s="1"/>
  <c r="A182" i="2"/>
  <c r="A182" i="9" s="1"/>
  <c r="B181" i="2"/>
  <c r="B181" i="9" s="1"/>
  <c r="A181" i="2"/>
  <c r="A181" i="9" s="1"/>
  <c r="B180" i="2"/>
  <c r="B180" i="9" s="1"/>
  <c r="A180" i="2"/>
  <c r="A180" i="9" s="1"/>
  <c r="B179" i="2"/>
  <c r="B179" i="9" s="1"/>
  <c r="A179" i="2"/>
  <c r="A179" i="9" s="1"/>
  <c r="B178" i="2"/>
  <c r="B178" i="9" s="1"/>
  <c r="A178" i="2"/>
  <c r="A178" i="9" s="1"/>
  <c r="B177" i="2"/>
  <c r="B177" i="9" s="1"/>
  <c r="A177" i="2"/>
  <c r="A177" i="9" s="1"/>
  <c r="B176" i="2"/>
  <c r="B176" i="9" s="1"/>
  <c r="A176" i="2"/>
  <c r="A176" i="9" s="1"/>
  <c r="B175" i="2"/>
  <c r="B175" i="9" s="1"/>
  <c r="A175" i="2"/>
  <c r="A175" i="9" s="1"/>
  <c r="B174" i="2"/>
  <c r="B174" i="9" s="1"/>
  <c r="A174" i="2"/>
  <c r="A174" i="9" s="1"/>
  <c r="B173" i="2"/>
  <c r="B173" i="9" s="1"/>
  <c r="A173" i="2"/>
  <c r="A173" i="9" s="1"/>
  <c r="B172" i="2"/>
  <c r="B172" i="9" s="1"/>
  <c r="A172" i="2"/>
  <c r="A172" i="9" s="1"/>
  <c r="B171" i="2"/>
  <c r="B171" i="9" s="1"/>
  <c r="A171" i="2"/>
  <c r="A171" i="9" s="1"/>
  <c r="B170" i="2"/>
  <c r="B170" i="9" s="1"/>
  <c r="A170" i="2"/>
  <c r="A170" i="9" s="1"/>
  <c r="B169" i="2"/>
  <c r="B169" i="9" s="1"/>
  <c r="A169" i="2"/>
  <c r="A169" i="9" s="1"/>
  <c r="B168" i="2"/>
  <c r="B168" i="9" s="1"/>
  <c r="A168" i="2"/>
  <c r="A168" i="9" s="1"/>
  <c r="B167" i="2"/>
  <c r="B167" i="9" s="1"/>
  <c r="A167" i="2"/>
  <c r="A167" i="9" s="1"/>
  <c r="B166" i="2"/>
  <c r="B166" i="9" s="1"/>
  <c r="A166" i="2"/>
  <c r="A166" i="9" s="1"/>
  <c r="B165" i="2"/>
  <c r="B165" i="9" s="1"/>
  <c r="A165" i="2"/>
  <c r="A165" i="9" s="1"/>
  <c r="B164" i="2"/>
  <c r="B164" i="9" s="1"/>
  <c r="A164" i="2"/>
  <c r="A164" i="9" s="1"/>
  <c r="B163" i="2"/>
  <c r="B163" i="9" s="1"/>
  <c r="A163" i="2"/>
  <c r="A163" i="9" s="1"/>
  <c r="B162" i="2"/>
  <c r="B162" i="9" s="1"/>
  <c r="A162" i="2"/>
  <c r="A162" i="9" s="1"/>
  <c r="B161" i="2"/>
  <c r="B161" i="9" s="1"/>
  <c r="A161" i="2"/>
  <c r="A161" i="9" s="1"/>
  <c r="B160" i="2"/>
  <c r="B160" i="9" s="1"/>
  <c r="A160" i="2"/>
  <c r="A160" i="9" s="1"/>
  <c r="B159" i="2"/>
  <c r="B159" i="9" s="1"/>
  <c r="A159" i="2"/>
  <c r="A159" i="9" s="1"/>
  <c r="B158" i="2"/>
  <c r="B158" i="9" s="1"/>
  <c r="A158" i="2"/>
  <c r="A158" i="9" s="1"/>
  <c r="B157" i="2"/>
  <c r="B157" i="9" s="1"/>
  <c r="A157" i="2"/>
  <c r="A157" i="9" s="1"/>
  <c r="B156" i="2"/>
  <c r="B156" i="9" s="1"/>
  <c r="A156" i="2"/>
  <c r="A156" i="9" s="1"/>
  <c r="B155" i="2"/>
  <c r="B155" i="9" s="1"/>
  <c r="A155" i="2"/>
  <c r="A155" i="9" s="1"/>
  <c r="B154" i="2"/>
  <c r="B154" i="9" s="1"/>
  <c r="A154" i="2"/>
  <c r="A154" i="9" s="1"/>
  <c r="B153" i="2"/>
  <c r="B153" i="9" s="1"/>
  <c r="A153" i="2"/>
  <c r="A153" i="9" s="1"/>
  <c r="B152" i="2"/>
  <c r="B152" i="9" s="1"/>
  <c r="A152" i="2"/>
  <c r="A152" i="9" s="1"/>
  <c r="B151" i="2"/>
  <c r="B151" i="9" s="1"/>
  <c r="A151" i="2"/>
  <c r="A151" i="9" s="1"/>
  <c r="B150" i="2"/>
  <c r="B150" i="9" s="1"/>
  <c r="A150" i="2"/>
  <c r="A150" i="9" s="1"/>
  <c r="B149" i="2"/>
  <c r="B149" i="9" s="1"/>
  <c r="A149" i="2"/>
  <c r="A149" i="9" s="1"/>
  <c r="B148" i="2"/>
  <c r="B148" i="9" s="1"/>
  <c r="A148" i="2"/>
  <c r="A148" i="9" s="1"/>
  <c r="B147" i="2"/>
  <c r="B147" i="9" s="1"/>
  <c r="A147" i="2"/>
  <c r="A147" i="9" s="1"/>
  <c r="B146" i="2"/>
  <c r="B146" i="9" s="1"/>
  <c r="A146" i="2"/>
  <c r="A146" i="9" s="1"/>
  <c r="B145" i="2"/>
  <c r="B145" i="9" s="1"/>
  <c r="A145" i="2"/>
  <c r="A145" i="9" s="1"/>
  <c r="B144" i="2"/>
  <c r="B144" i="9" s="1"/>
  <c r="A144" i="2"/>
  <c r="A144" i="9" s="1"/>
  <c r="B143" i="2"/>
  <c r="B143" i="9" s="1"/>
  <c r="A143" i="2"/>
  <c r="A143" i="9" s="1"/>
  <c r="B142" i="2"/>
  <c r="B142" i="9" s="1"/>
  <c r="A142" i="2"/>
  <c r="A142" i="9" s="1"/>
  <c r="B141" i="2"/>
  <c r="B141" i="9" s="1"/>
  <c r="A141" i="2"/>
  <c r="A141" i="9" s="1"/>
  <c r="B140" i="2"/>
  <c r="B140" i="9" s="1"/>
  <c r="A140" i="2"/>
  <c r="A140" i="9" s="1"/>
  <c r="B139" i="2"/>
  <c r="B139" i="9" s="1"/>
  <c r="A139" i="2"/>
  <c r="A139" i="9" s="1"/>
  <c r="B138" i="2"/>
  <c r="B138" i="9" s="1"/>
  <c r="A138" i="2"/>
  <c r="A138" i="9" s="1"/>
  <c r="B137" i="2"/>
  <c r="B137" i="9" s="1"/>
  <c r="A137" i="2"/>
  <c r="A137" i="9" s="1"/>
  <c r="B136" i="2"/>
  <c r="B136" i="9" s="1"/>
  <c r="A136" i="2"/>
  <c r="A136" i="9" s="1"/>
  <c r="B135" i="2"/>
  <c r="B135" i="9" s="1"/>
  <c r="A135" i="2"/>
  <c r="A135" i="9" s="1"/>
  <c r="B134" i="2"/>
  <c r="B134" i="9" s="1"/>
  <c r="A134" i="2"/>
  <c r="A134" i="9" s="1"/>
  <c r="B133" i="2"/>
  <c r="B133" i="9" s="1"/>
  <c r="A133" i="2"/>
  <c r="A133" i="9" s="1"/>
  <c r="B132" i="2"/>
  <c r="B132" i="9" s="1"/>
  <c r="A132" i="2"/>
  <c r="A132" i="9" s="1"/>
  <c r="B131" i="2"/>
  <c r="B131" i="9" s="1"/>
  <c r="A131" i="2"/>
  <c r="A131" i="9" s="1"/>
  <c r="B130" i="2"/>
  <c r="B130" i="9" s="1"/>
  <c r="A130" i="2"/>
  <c r="A130" i="9" s="1"/>
  <c r="B129" i="2"/>
  <c r="B129" i="9" s="1"/>
  <c r="A129" i="2"/>
  <c r="A129" i="9" s="1"/>
  <c r="B128" i="2"/>
  <c r="B128" i="9" s="1"/>
  <c r="A128" i="2"/>
  <c r="A128" i="9" s="1"/>
  <c r="B127" i="2"/>
  <c r="B127" i="9" s="1"/>
  <c r="A127" i="2"/>
  <c r="A127" i="9" s="1"/>
  <c r="B126" i="2"/>
  <c r="B126" i="9" s="1"/>
  <c r="A126" i="2"/>
  <c r="A126" i="9" s="1"/>
  <c r="B125" i="2"/>
  <c r="B125" i="9" s="1"/>
  <c r="A125" i="2"/>
  <c r="A125" i="9" s="1"/>
  <c r="B124" i="2"/>
  <c r="B124" i="9" s="1"/>
  <c r="A124" i="2"/>
  <c r="A124" i="9" s="1"/>
  <c r="B123" i="2"/>
  <c r="B123" i="9" s="1"/>
  <c r="A123" i="2"/>
  <c r="A123" i="9" s="1"/>
  <c r="B122" i="2"/>
  <c r="B122" i="9" s="1"/>
  <c r="A122" i="2"/>
  <c r="A122" i="9" s="1"/>
  <c r="B121" i="2"/>
  <c r="B121" i="9" s="1"/>
  <c r="A121" i="2"/>
  <c r="A121" i="9" s="1"/>
  <c r="B120" i="2"/>
  <c r="B120" i="9" s="1"/>
  <c r="A120" i="2"/>
  <c r="A120" i="9" s="1"/>
  <c r="B119" i="2"/>
  <c r="B119" i="9" s="1"/>
  <c r="A119" i="2"/>
  <c r="A119" i="9" s="1"/>
  <c r="B118" i="2"/>
  <c r="B118" i="9" s="1"/>
  <c r="A118" i="2"/>
  <c r="A118" i="9" s="1"/>
  <c r="B117" i="2"/>
  <c r="B117" i="9" s="1"/>
  <c r="A117" i="2"/>
  <c r="A117" i="9" s="1"/>
  <c r="B116" i="2"/>
  <c r="B116" i="9" s="1"/>
  <c r="A116" i="2"/>
  <c r="A116" i="9" s="1"/>
  <c r="B115" i="2"/>
  <c r="B115" i="9" s="1"/>
  <c r="A115" i="2"/>
  <c r="A115" i="9" s="1"/>
  <c r="B114" i="2"/>
  <c r="B114" i="9" s="1"/>
  <c r="A114" i="2"/>
  <c r="A114" i="9" s="1"/>
  <c r="B113" i="2"/>
  <c r="B113" i="9" s="1"/>
  <c r="A113" i="2"/>
  <c r="A113" i="9" s="1"/>
  <c r="B112" i="2"/>
  <c r="B112" i="9" s="1"/>
  <c r="A112" i="2"/>
  <c r="A112" i="9" s="1"/>
  <c r="B111" i="2"/>
  <c r="B111" i="9" s="1"/>
  <c r="A111" i="2"/>
  <c r="A111" i="9" s="1"/>
  <c r="B110" i="2"/>
  <c r="B110" i="9" s="1"/>
  <c r="A110" i="2"/>
  <c r="A110" i="9" s="1"/>
  <c r="B109" i="2"/>
  <c r="B109" i="9" s="1"/>
  <c r="A109" i="2"/>
  <c r="A109" i="9" s="1"/>
  <c r="B108" i="2"/>
  <c r="B108" i="9" s="1"/>
  <c r="A108" i="2"/>
  <c r="A108" i="9" s="1"/>
  <c r="B107" i="2"/>
  <c r="B107" i="9" s="1"/>
  <c r="A107" i="2"/>
  <c r="A107" i="9" s="1"/>
  <c r="B106" i="2"/>
  <c r="B106" i="9" s="1"/>
  <c r="A106" i="2"/>
  <c r="A106" i="9" s="1"/>
  <c r="B105" i="2"/>
  <c r="B105" i="9" s="1"/>
  <c r="A105" i="2"/>
  <c r="A105" i="9" s="1"/>
  <c r="B104" i="2"/>
  <c r="B104" i="9" s="1"/>
  <c r="A104" i="2"/>
  <c r="A104" i="9" s="1"/>
  <c r="B103" i="2"/>
  <c r="B103" i="9" s="1"/>
  <c r="A103" i="2"/>
  <c r="A103" i="9" s="1"/>
  <c r="B102" i="2"/>
  <c r="B102" i="9" s="1"/>
  <c r="A102" i="2"/>
  <c r="A102" i="9" s="1"/>
  <c r="B101" i="2"/>
  <c r="B101" i="9" s="1"/>
  <c r="A101" i="2"/>
  <c r="A101" i="9" s="1"/>
  <c r="B100" i="2"/>
  <c r="B100" i="9" s="1"/>
  <c r="A100" i="2"/>
  <c r="A100" i="9" s="1"/>
  <c r="B99" i="2"/>
  <c r="B99" i="9" s="1"/>
  <c r="A99" i="2"/>
  <c r="A99" i="9" s="1"/>
  <c r="B98" i="2"/>
  <c r="B98" i="9" s="1"/>
  <c r="A98" i="2"/>
  <c r="A98" i="9" s="1"/>
  <c r="B97" i="2"/>
  <c r="B97" i="9" s="1"/>
  <c r="A97" i="2"/>
  <c r="A97" i="9" s="1"/>
  <c r="B96" i="2"/>
  <c r="B96" i="9" s="1"/>
  <c r="A96" i="2"/>
  <c r="A96" i="9" s="1"/>
  <c r="B95" i="2"/>
  <c r="B95" i="9" s="1"/>
  <c r="A95" i="2"/>
  <c r="A95" i="9" s="1"/>
  <c r="B94" i="2"/>
  <c r="B94" i="9" s="1"/>
  <c r="A94" i="2"/>
  <c r="A94" i="9" s="1"/>
  <c r="B93" i="2"/>
  <c r="B93" i="9" s="1"/>
  <c r="A93" i="2"/>
  <c r="A93" i="9" s="1"/>
  <c r="B92" i="2"/>
  <c r="B92" i="9" s="1"/>
  <c r="A92" i="2"/>
  <c r="A92" i="9" s="1"/>
  <c r="B91" i="2"/>
  <c r="B91" i="9" s="1"/>
  <c r="A91" i="2"/>
  <c r="A91" i="9" s="1"/>
  <c r="B90" i="2"/>
  <c r="B90" i="9" s="1"/>
  <c r="A90" i="2"/>
  <c r="A90" i="9" s="1"/>
  <c r="B89" i="2"/>
  <c r="B89" i="9" s="1"/>
  <c r="A89" i="2"/>
  <c r="A89" i="9" s="1"/>
  <c r="B88" i="2"/>
  <c r="B88" i="9" s="1"/>
  <c r="A88" i="2"/>
  <c r="A88" i="9" s="1"/>
  <c r="B87" i="2"/>
  <c r="B87" i="9" s="1"/>
  <c r="A87" i="2"/>
  <c r="A87" i="9" s="1"/>
  <c r="B86" i="2"/>
  <c r="B86" i="9" s="1"/>
  <c r="A86" i="2"/>
  <c r="A86" i="9" s="1"/>
  <c r="B85" i="2"/>
  <c r="B85" i="9" s="1"/>
  <c r="A85" i="2"/>
  <c r="A85" i="9" s="1"/>
  <c r="B84" i="2"/>
  <c r="B84" i="9" s="1"/>
  <c r="A84" i="2"/>
  <c r="A84" i="9" s="1"/>
  <c r="B83" i="2"/>
  <c r="B83" i="9" s="1"/>
  <c r="A83" i="2"/>
  <c r="A83" i="9" s="1"/>
  <c r="B82" i="2"/>
  <c r="B82" i="9" s="1"/>
  <c r="A82" i="2"/>
  <c r="A82" i="9" s="1"/>
  <c r="B81" i="2"/>
  <c r="B81" i="9" s="1"/>
  <c r="A81" i="2"/>
  <c r="A81" i="9" s="1"/>
  <c r="B80" i="2"/>
  <c r="B80" i="9" s="1"/>
  <c r="A80" i="2"/>
  <c r="A80" i="9" s="1"/>
  <c r="B79" i="2"/>
  <c r="B79" i="9" s="1"/>
  <c r="A79" i="2"/>
  <c r="A79" i="9" s="1"/>
  <c r="B78" i="2"/>
  <c r="B78" i="9" s="1"/>
  <c r="A78" i="2"/>
  <c r="A78" i="9" s="1"/>
  <c r="B77" i="2"/>
  <c r="B77" i="9" s="1"/>
  <c r="A77" i="2"/>
  <c r="A77" i="9" s="1"/>
  <c r="B76" i="2"/>
  <c r="B76" i="9" s="1"/>
  <c r="A76" i="2"/>
  <c r="A76" i="9" s="1"/>
  <c r="B75" i="2"/>
  <c r="B75" i="9" s="1"/>
  <c r="A75" i="2"/>
  <c r="A75" i="9" s="1"/>
  <c r="B74" i="2"/>
  <c r="B74" i="9" s="1"/>
  <c r="A74" i="2"/>
  <c r="A74" i="9" s="1"/>
  <c r="B73" i="2"/>
  <c r="B73" i="9" s="1"/>
  <c r="A73" i="2"/>
  <c r="A73" i="9" s="1"/>
  <c r="B72" i="2"/>
  <c r="B72" i="9" s="1"/>
  <c r="A72" i="2"/>
  <c r="A72" i="9" s="1"/>
  <c r="B71" i="2"/>
  <c r="B71" i="9" s="1"/>
  <c r="A71" i="2"/>
  <c r="A71" i="9" s="1"/>
  <c r="B70" i="2"/>
  <c r="B70" i="9" s="1"/>
  <c r="A70" i="2"/>
  <c r="A70" i="9" s="1"/>
  <c r="B69" i="2"/>
  <c r="B69" i="9" s="1"/>
  <c r="A69" i="2"/>
  <c r="A69" i="9" s="1"/>
  <c r="B68" i="2"/>
  <c r="B68" i="9" s="1"/>
  <c r="A68" i="2"/>
  <c r="A68" i="9" s="1"/>
  <c r="B67" i="2"/>
  <c r="B67" i="9" s="1"/>
  <c r="A67" i="2"/>
  <c r="A67" i="9" s="1"/>
  <c r="B66" i="2"/>
  <c r="B66" i="9" s="1"/>
  <c r="A66" i="2"/>
  <c r="A66" i="9" s="1"/>
  <c r="B65" i="2"/>
  <c r="B65" i="9" s="1"/>
  <c r="A65" i="2"/>
  <c r="A65" i="9" s="1"/>
  <c r="B64" i="2"/>
  <c r="B64" i="9" s="1"/>
  <c r="A64" i="2"/>
  <c r="A64" i="9" s="1"/>
  <c r="B63" i="2"/>
  <c r="B63" i="9" s="1"/>
  <c r="A63" i="2"/>
  <c r="A63" i="9" s="1"/>
  <c r="B62" i="2"/>
  <c r="B62" i="9" s="1"/>
  <c r="A62" i="2"/>
  <c r="A62" i="9" s="1"/>
  <c r="B61" i="2"/>
  <c r="B61" i="9" s="1"/>
  <c r="A61" i="2"/>
  <c r="A61" i="9" s="1"/>
  <c r="B60" i="2"/>
  <c r="B60" i="9" s="1"/>
  <c r="A60" i="2"/>
  <c r="A60" i="9" s="1"/>
  <c r="B59" i="2"/>
  <c r="B59" i="9" s="1"/>
  <c r="A59" i="2"/>
  <c r="A59" i="9" s="1"/>
  <c r="B58" i="2"/>
  <c r="B58" i="9" s="1"/>
  <c r="A58" i="2"/>
  <c r="A58" i="9" s="1"/>
  <c r="B57" i="2"/>
  <c r="B57" i="9" s="1"/>
  <c r="A57" i="2"/>
  <c r="A57" i="9" s="1"/>
  <c r="B56" i="2"/>
  <c r="B56" i="9" s="1"/>
  <c r="A56" i="2"/>
  <c r="A56" i="9" s="1"/>
  <c r="B55" i="2"/>
  <c r="B55" i="9" s="1"/>
  <c r="A55" i="2"/>
  <c r="A55" i="9" s="1"/>
  <c r="B54" i="2"/>
  <c r="B54" i="9" s="1"/>
  <c r="A54" i="2"/>
  <c r="A54" i="9" s="1"/>
  <c r="B53" i="2"/>
  <c r="B53" i="9" s="1"/>
  <c r="A53" i="2"/>
  <c r="A53" i="9" s="1"/>
  <c r="B52" i="2"/>
  <c r="B52" i="9" s="1"/>
  <c r="A52" i="2"/>
  <c r="A52" i="9" s="1"/>
  <c r="B51" i="2"/>
  <c r="B51" i="9" s="1"/>
  <c r="A51" i="2"/>
  <c r="A51" i="9" s="1"/>
  <c r="B50" i="2"/>
  <c r="B50" i="9" s="1"/>
  <c r="A50" i="2"/>
  <c r="A50" i="9" s="1"/>
  <c r="B49" i="2"/>
  <c r="B49" i="9" s="1"/>
  <c r="A49" i="2"/>
  <c r="A49" i="9" s="1"/>
  <c r="B48" i="2"/>
  <c r="B48" i="9" s="1"/>
  <c r="A48" i="2"/>
  <c r="A48" i="9" s="1"/>
  <c r="B47" i="2"/>
  <c r="B47" i="9" s="1"/>
  <c r="A47" i="2"/>
  <c r="A47" i="9" s="1"/>
  <c r="B46" i="2"/>
  <c r="B46" i="9" s="1"/>
  <c r="A46" i="2"/>
  <c r="A46" i="9" s="1"/>
  <c r="B45" i="2"/>
  <c r="B45" i="9" s="1"/>
  <c r="A45" i="2"/>
  <c r="A45" i="9" s="1"/>
  <c r="B44" i="2"/>
  <c r="B44" i="9" s="1"/>
  <c r="A44" i="2"/>
  <c r="A44" i="9" s="1"/>
  <c r="B43" i="2"/>
  <c r="B43" i="9" s="1"/>
  <c r="A43" i="2"/>
  <c r="A43" i="9" s="1"/>
  <c r="B42" i="2"/>
  <c r="B42" i="9" s="1"/>
  <c r="A42" i="2"/>
  <c r="A42" i="9" s="1"/>
  <c r="B41" i="2"/>
  <c r="B41" i="9" s="1"/>
  <c r="A41" i="2"/>
  <c r="A41" i="9" s="1"/>
  <c r="B40" i="2"/>
  <c r="B40" i="9" s="1"/>
  <c r="A40" i="2"/>
  <c r="A40" i="9" s="1"/>
  <c r="B39" i="2"/>
  <c r="B39" i="9" s="1"/>
  <c r="A39" i="2"/>
  <c r="A39" i="9" s="1"/>
  <c r="B38" i="2"/>
  <c r="B38" i="9" s="1"/>
  <c r="A38" i="2"/>
  <c r="A38" i="9" s="1"/>
  <c r="B37" i="2"/>
  <c r="B37" i="9" s="1"/>
  <c r="A37" i="2"/>
  <c r="A37" i="9" s="1"/>
  <c r="B36" i="2"/>
  <c r="B36" i="9" s="1"/>
  <c r="A36" i="2"/>
  <c r="A36" i="9" s="1"/>
  <c r="B35" i="2"/>
  <c r="B35" i="9" s="1"/>
  <c r="A35" i="2"/>
  <c r="A35" i="9" s="1"/>
  <c r="B34" i="2"/>
  <c r="B34" i="9" s="1"/>
  <c r="A34" i="2"/>
  <c r="A34" i="9" s="1"/>
  <c r="B33" i="2"/>
  <c r="B33" i="9" s="1"/>
  <c r="A33" i="2"/>
  <c r="A33" i="9" s="1"/>
  <c r="B32" i="2"/>
  <c r="B32" i="9" s="1"/>
  <c r="A32" i="2"/>
  <c r="A32" i="9" s="1"/>
  <c r="B31" i="2"/>
  <c r="B31" i="9" s="1"/>
  <c r="A31" i="2"/>
  <c r="A31" i="9" s="1"/>
  <c r="B30" i="2"/>
  <c r="B30" i="9" s="1"/>
  <c r="A30" i="2"/>
  <c r="A30" i="9" s="1"/>
  <c r="B29" i="2"/>
  <c r="B29" i="9" s="1"/>
  <c r="A29" i="2"/>
  <c r="A29" i="9" s="1"/>
  <c r="B28" i="2"/>
  <c r="B28" i="9" s="1"/>
  <c r="A28" i="2"/>
  <c r="A28" i="9" s="1"/>
  <c r="B27" i="2"/>
  <c r="B27" i="9" s="1"/>
  <c r="A27" i="2"/>
  <c r="A27" i="9" s="1"/>
  <c r="B26" i="2"/>
  <c r="B26" i="9" s="1"/>
  <c r="A26" i="2"/>
  <c r="A26" i="9" s="1"/>
  <c r="B25" i="2"/>
  <c r="B25" i="9" s="1"/>
  <c r="A25" i="2"/>
  <c r="A25" i="9" s="1"/>
  <c r="B24" i="2"/>
  <c r="B24" i="9" s="1"/>
  <c r="A24" i="2"/>
  <c r="A24" i="9" s="1"/>
  <c r="B23" i="2"/>
  <c r="B23" i="9" s="1"/>
  <c r="A23" i="2"/>
  <c r="A23" i="9" s="1"/>
  <c r="B22" i="2"/>
  <c r="B22" i="9" s="1"/>
  <c r="A22" i="2"/>
  <c r="A22" i="9" s="1"/>
  <c r="B21" i="2"/>
  <c r="B21" i="9" s="1"/>
  <c r="A21" i="2"/>
  <c r="A21" i="9" s="1"/>
  <c r="B20" i="2"/>
  <c r="B20" i="9" s="1"/>
  <c r="A20" i="2"/>
  <c r="A20" i="9" s="1"/>
  <c r="B19" i="2"/>
  <c r="B19" i="9" s="1"/>
  <c r="A19" i="2"/>
  <c r="A19" i="9" s="1"/>
  <c r="B18" i="2"/>
  <c r="B18" i="9" s="1"/>
  <c r="A18" i="2"/>
  <c r="A18" i="9" s="1"/>
  <c r="B17" i="2"/>
  <c r="B17" i="9" s="1"/>
  <c r="A17" i="2"/>
  <c r="A17" i="9" s="1"/>
  <c r="B16" i="2"/>
  <c r="B16" i="9" s="1"/>
  <c r="A16" i="2"/>
  <c r="A16" i="9" s="1"/>
  <c r="B15" i="2"/>
  <c r="B15" i="9" s="1"/>
  <c r="A15" i="2"/>
  <c r="A15" i="9" s="1"/>
  <c r="B14" i="2"/>
  <c r="B14" i="9" s="1"/>
  <c r="A14" i="2"/>
  <c r="A14" i="9" s="1"/>
  <c r="B13" i="2"/>
  <c r="B13" i="9" s="1"/>
  <c r="A13" i="2"/>
  <c r="A13" i="9" s="1"/>
  <c r="B12" i="2"/>
  <c r="B12" i="9" s="1"/>
  <c r="A12" i="2"/>
  <c r="A12" i="9" s="1"/>
  <c r="B11" i="2"/>
  <c r="B11" i="9" s="1"/>
  <c r="A11" i="2"/>
  <c r="A11" i="9" s="1"/>
  <c r="B10" i="2"/>
  <c r="B10" i="9" s="1"/>
  <c r="A10" i="2"/>
  <c r="A10" i="9" s="1"/>
  <c r="B9" i="2"/>
  <c r="B9" i="9" s="1"/>
  <c r="A9" i="2"/>
  <c r="A9" i="9" s="1"/>
  <c r="B8" i="2"/>
  <c r="B8" i="9" s="1"/>
  <c r="A8" i="2"/>
  <c r="A8" i="9" s="1"/>
  <c r="B7" i="2"/>
  <c r="B7" i="9" s="1"/>
  <c r="A7" i="2"/>
  <c r="A7" i="9" s="1"/>
  <c r="B6" i="2"/>
  <c r="B6" i="9" s="1"/>
  <c r="A6" i="2"/>
  <c r="A6" i="9" s="1"/>
  <c r="B5" i="2"/>
  <c r="B5" i="9" s="1"/>
  <c r="A5" i="2"/>
  <c r="A5" i="9" s="1"/>
  <c r="B4" i="2"/>
  <c r="B4" i="9" s="1"/>
  <c r="A4" i="2"/>
  <c r="A4" i="9" s="1"/>
  <c r="B3" i="2"/>
  <c r="B3" i="9" s="1"/>
  <c r="A3" i="2"/>
  <c r="A3" i="9" s="1"/>
  <c r="B2" i="2"/>
  <c r="B2" i="9" s="1"/>
  <c r="A2" i="2"/>
  <c r="A2" i="9" s="1"/>
  <c r="D2542" i="1"/>
  <c r="C2542" i="1"/>
  <c r="B2542" i="1"/>
  <c r="A2542" i="1"/>
  <c r="D2541" i="1"/>
  <c r="C2541" i="1"/>
  <c r="B2541" i="1"/>
  <c r="A2541" i="1"/>
  <c r="D2540" i="1"/>
  <c r="C2540" i="1"/>
  <c r="B2540" i="1"/>
  <c r="A2540" i="1"/>
  <c r="D2539" i="1"/>
  <c r="C2539" i="1"/>
  <c r="B2539" i="1"/>
  <c r="A2539" i="1"/>
  <c r="D2538" i="1"/>
  <c r="C2538" i="1"/>
  <c r="B2538" i="1"/>
  <c r="A2538" i="1"/>
  <c r="D2537" i="1"/>
  <c r="C2537" i="1"/>
  <c r="B2537" i="1"/>
  <c r="A2537" i="1"/>
  <c r="D2536" i="1"/>
  <c r="C2536" i="1"/>
  <c r="B2536" i="1"/>
  <c r="A2536" i="1"/>
  <c r="D2535" i="1"/>
  <c r="C2535" i="1"/>
  <c r="B2535" i="1"/>
  <c r="A2535" i="1"/>
  <c r="D2534" i="1"/>
  <c r="C2534" i="1"/>
  <c r="B2534" i="1"/>
  <c r="A2534" i="1"/>
  <c r="D2533" i="1"/>
  <c r="C2533" i="1"/>
  <c r="B2533" i="1"/>
  <c r="A2533" i="1"/>
  <c r="D2532" i="1"/>
  <c r="C2532" i="1"/>
  <c r="B2532" i="1"/>
  <c r="A2532" i="1"/>
  <c r="D2531" i="1"/>
  <c r="C2531" i="1"/>
  <c r="B2531" i="1"/>
  <c r="A2531" i="1"/>
  <c r="D2530" i="1"/>
  <c r="C2530" i="1"/>
  <c r="B2530" i="1"/>
  <c r="A2530" i="1"/>
  <c r="D2529" i="1"/>
  <c r="C2529" i="1"/>
  <c r="B2529" i="1"/>
  <c r="A2529" i="1"/>
  <c r="D2528" i="1"/>
  <c r="C2528" i="1"/>
  <c r="B2528" i="1"/>
  <c r="A2528" i="1"/>
  <c r="D2527" i="1"/>
  <c r="C2527" i="1"/>
  <c r="B2527" i="1"/>
  <c r="A2527" i="1"/>
  <c r="D2526" i="1"/>
  <c r="C2526" i="1"/>
  <c r="B2526" i="1"/>
  <c r="A2526" i="1"/>
  <c r="D2525" i="1"/>
  <c r="C2525" i="1"/>
  <c r="B2525" i="1"/>
  <c r="A2525" i="1"/>
  <c r="D2524" i="1"/>
  <c r="C2524" i="1"/>
  <c r="B2524" i="1"/>
  <c r="A2524" i="1"/>
  <c r="D2523" i="1"/>
  <c r="C2523" i="1"/>
  <c r="B2523" i="1"/>
  <c r="A2523" i="1"/>
  <c r="D2522" i="1"/>
  <c r="C2522" i="1"/>
  <c r="B2522" i="1"/>
  <c r="A2522" i="1"/>
  <c r="D2521" i="1"/>
  <c r="C2521" i="1"/>
  <c r="B2521" i="1"/>
  <c r="A2521" i="1"/>
  <c r="D2520" i="1"/>
  <c r="C2520" i="1"/>
  <c r="B2520" i="1"/>
  <c r="A2520" i="1"/>
  <c r="D2519" i="1"/>
  <c r="C2519" i="1"/>
  <c r="B2519" i="1"/>
  <c r="A2519" i="1"/>
  <c r="D2518" i="1"/>
  <c r="C2518" i="1"/>
  <c r="B2518" i="1"/>
  <c r="A2518" i="1"/>
  <c r="D2517" i="1"/>
  <c r="C2517" i="1"/>
  <c r="B2517" i="1"/>
  <c r="A2517" i="1"/>
  <c r="D2516" i="1"/>
  <c r="C2516" i="1"/>
  <c r="B2516" i="1"/>
  <c r="A2516" i="1"/>
  <c r="D2515" i="1"/>
  <c r="C2515" i="1"/>
  <c r="B2515" i="1"/>
  <c r="A2515" i="1"/>
  <c r="D2514" i="1"/>
  <c r="C2514" i="1"/>
  <c r="B2514" i="1"/>
  <c r="A2514" i="1"/>
  <c r="D2513" i="1"/>
  <c r="C2513" i="1"/>
  <c r="B2513" i="1"/>
  <c r="A2513" i="1"/>
  <c r="D2512" i="1"/>
  <c r="C2512" i="1"/>
  <c r="B2512" i="1"/>
  <c r="A2512" i="1"/>
  <c r="D2511" i="1"/>
  <c r="C2511" i="1"/>
  <c r="B2511" i="1"/>
  <c r="A2511" i="1"/>
  <c r="D2510" i="1"/>
  <c r="C2510" i="1"/>
  <c r="B2510" i="1"/>
  <c r="A2510" i="1"/>
  <c r="D2509" i="1"/>
  <c r="C2509" i="1"/>
  <c r="B2509" i="1"/>
  <c r="A2509" i="1"/>
  <c r="D2508" i="1"/>
  <c r="C2508" i="1"/>
  <c r="B2508" i="1"/>
  <c r="A2508" i="1"/>
  <c r="D2507" i="1"/>
  <c r="C2507" i="1"/>
  <c r="B2507" i="1"/>
  <c r="A2507" i="1"/>
  <c r="D2506" i="1"/>
  <c r="C2506" i="1"/>
  <c r="B2506" i="1"/>
  <c r="A2506" i="1"/>
  <c r="D2505" i="1"/>
  <c r="C2505" i="1"/>
  <c r="B2505" i="1"/>
  <c r="A2505" i="1"/>
  <c r="D2504" i="1"/>
  <c r="C2504" i="1"/>
  <c r="B2504" i="1"/>
  <c r="A2504" i="1"/>
  <c r="D2503" i="1"/>
  <c r="C2503" i="1"/>
  <c r="B2503" i="1"/>
  <c r="A2503" i="1"/>
  <c r="D2502" i="1"/>
  <c r="C2502" i="1"/>
  <c r="B2502" i="1"/>
  <c r="A2502" i="1"/>
  <c r="D2501" i="1"/>
  <c r="C2501" i="1"/>
  <c r="B2501" i="1"/>
  <c r="A2501" i="1"/>
  <c r="D2500" i="1"/>
  <c r="C2500" i="1"/>
  <c r="B2500" i="1"/>
  <c r="A2500" i="1"/>
  <c r="D2499" i="1"/>
  <c r="C2499" i="1"/>
  <c r="B2499" i="1"/>
  <c r="A2499" i="1"/>
  <c r="D2498" i="1"/>
  <c r="C2498" i="1"/>
  <c r="B2498" i="1"/>
  <c r="A2498" i="1"/>
  <c r="D2497" i="1"/>
  <c r="C2497" i="1"/>
  <c r="B2497" i="1"/>
  <c r="A2497" i="1"/>
  <c r="D2496" i="1"/>
  <c r="C2496" i="1"/>
  <c r="B2496" i="1"/>
  <c r="A2496" i="1"/>
  <c r="D2495" i="1"/>
  <c r="C2495" i="1"/>
  <c r="B2495" i="1"/>
  <c r="A2495" i="1"/>
  <c r="D2494" i="1"/>
  <c r="C2494" i="1"/>
  <c r="B2494" i="1"/>
  <c r="A2494" i="1"/>
  <c r="D2493" i="1"/>
  <c r="C2493" i="1"/>
  <c r="B2493" i="1"/>
  <c r="A2493" i="1"/>
  <c r="D2492" i="1"/>
  <c r="C2492" i="1"/>
  <c r="B2492" i="1"/>
  <c r="A2492" i="1"/>
  <c r="D2491" i="1"/>
  <c r="C2491" i="1"/>
  <c r="B2491" i="1"/>
  <c r="A2491" i="1"/>
  <c r="D2490" i="1"/>
  <c r="C2490" i="1"/>
  <c r="B2490" i="1"/>
  <c r="A2490" i="1"/>
  <c r="D2489" i="1"/>
  <c r="C2489" i="1"/>
  <c r="B2489" i="1"/>
  <c r="A2489" i="1"/>
  <c r="D2488" i="1"/>
  <c r="C2488" i="1"/>
  <c r="B2488" i="1"/>
  <c r="A2488" i="1"/>
  <c r="D2487" i="1"/>
  <c r="C2487" i="1"/>
  <c r="B2487" i="1"/>
  <c r="A2487" i="1"/>
  <c r="D2486" i="1"/>
  <c r="C2486" i="1"/>
  <c r="B2486" i="1"/>
  <c r="A2486" i="1"/>
  <c r="D2485" i="1"/>
  <c r="C2485" i="1"/>
  <c r="B2485" i="1"/>
  <c r="A2485" i="1"/>
  <c r="D2484" i="1"/>
  <c r="C2484" i="1"/>
  <c r="B2484" i="1"/>
  <c r="A2484" i="1"/>
  <c r="D2483" i="1"/>
  <c r="C2483" i="1"/>
  <c r="B2483" i="1"/>
  <c r="A2483" i="1"/>
  <c r="D2482" i="1"/>
  <c r="C2482" i="1"/>
  <c r="B2482" i="1"/>
  <c r="A2482" i="1"/>
  <c r="D2481" i="1"/>
  <c r="C2481" i="1"/>
  <c r="B2481" i="1"/>
  <c r="A2481" i="1"/>
  <c r="D2480" i="1"/>
  <c r="C2480" i="1"/>
  <c r="B2480" i="1"/>
  <c r="A2480" i="1"/>
  <c r="D2479" i="1"/>
  <c r="C2479" i="1"/>
  <c r="B2479" i="1"/>
  <c r="A2479" i="1"/>
  <c r="D2478" i="1"/>
  <c r="C2478" i="1"/>
  <c r="B2478" i="1"/>
  <c r="A2478" i="1"/>
  <c r="D2477" i="1"/>
  <c r="C2477" i="1"/>
  <c r="B2477" i="1"/>
  <c r="A2477" i="1"/>
  <c r="D2476" i="1"/>
  <c r="C2476" i="1"/>
  <c r="B2476" i="1"/>
  <c r="A2476" i="1"/>
  <c r="D2475" i="1"/>
  <c r="C2475" i="1"/>
  <c r="B2475" i="1"/>
  <c r="A2475" i="1"/>
  <c r="D2474" i="1"/>
  <c r="C2474" i="1"/>
  <c r="B2474" i="1"/>
  <c r="A2474" i="1"/>
  <c r="D2473" i="1"/>
  <c r="C2473" i="1"/>
  <c r="B2473" i="1"/>
  <c r="A2473" i="1"/>
  <c r="D2472" i="1"/>
  <c r="C2472" i="1"/>
  <c r="B2472" i="1"/>
  <c r="A2472" i="1"/>
  <c r="D2471" i="1"/>
  <c r="C2471" i="1"/>
  <c r="B2471" i="1"/>
  <c r="A2471" i="1"/>
  <c r="D2470" i="1"/>
  <c r="C2470" i="1"/>
  <c r="B2470" i="1"/>
  <c r="A2470" i="1"/>
  <c r="D2469" i="1"/>
  <c r="C2469" i="1"/>
  <c r="B2469" i="1"/>
  <c r="A2469" i="1"/>
  <c r="D2468" i="1"/>
  <c r="C2468" i="1"/>
  <c r="B2468" i="1"/>
  <c r="A2468" i="1"/>
  <c r="D2467" i="1"/>
  <c r="C2467" i="1"/>
  <c r="B2467" i="1"/>
  <c r="A2467" i="1"/>
  <c r="D2466" i="1"/>
  <c r="C2466" i="1"/>
  <c r="B2466" i="1"/>
  <c r="A2466" i="1"/>
  <c r="D2465" i="1"/>
  <c r="C2465" i="1"/>
  <c r="B2465" i="1"/>
  <c r="A2465" i="1"/>
  <c r="D2464" i="1"/>
  <c r="C2464" i="1"/>
  <c r="B2464" i="1"/>
  <c r="A2464" i="1"/>
  <c r="D2463" i="1"/>
  <c r="C2463" i="1"/>
  <c r="B2463" i="1"/>
  <c r="A2463" i="1"/>
  <c r="D2462" i="1"/>
  <c r="C2462" i="1"/>
  <c r="B2462" i="1"/>
  <c r="A2462" i="1"/>
  <c r="D2461" i="1"/>
  <c r="C2461" i="1"/>
  <c r="B2461" i="1"/>
  <c r="A2461" i="1"/>
  <c r="D2460" i="1"/>
  <c r="C2460" i="1"/>
  <c r="B2460" i="1"/>
  <c r="A2460" i="1"/>
  <c r="D2459" i="1"/>
  <c r="C2459" i="1"/>
  <c r="B2459" i="1"/>
  <c r="A2459" i="1"/>
  <c r="D2458" i="1"/>
  <c r="C2458" i="1"/>
  <c r="B2458" i="1"/>
  <c r="A2458" i="1"/>
  <c r="D2457" i="1"/>
  <c r="C2457" i="1"/>
  <c r="B2457" i="1"/>
  <c r="A2457" i="1"/>
  <c r="D2456" i="1"/>
  <c r="C2456" i="1"/>
  <c r="B2456" i="1"/>
  <c r="A2456" i="1"/>
  <c r="D2455" i="1"/>
  <c r="C2455" i="1"/>
  <c r="B2455" i="1"/>
  <c r="A2455" i="1"/>
  <c r="D2454" i="1"/>
  <c r="C2454" i="1"/>
  <c r="B2454" i="1"/>
  <c r="A2454" i="1"/>
  <c r="D2453" i="1"/>
  <c r="C2453" i="1"/>
  <c r="B2453" i="1"/>
  <c r="A2453" i="1"/>
  <c r="D2452" i="1"/>
  <c r="C2452" i="1"/>
  <c r="B2452" i="1"/>
  <c r="A2452" i="1"/>
  <c r="D2451" i="1"/>
  <c r="C2451" i="1"/>
  <c r="B2451" i="1"/>
  <c r="A2451" i="1"/>
  <c r="D2450" i="1"/>
  <c r="C2450" i="1"/>
  <c r="B2450" i="1"/>
  <c r="A2450" i="1"/>
  <c r="D2449" i="1"/>
  <c r="C2449" i="1"/>
  <c r="B2449" i="1"/>
  <c r="A2449" i="1"/>
  <c r="D2448" i="1"/>
  <c r="C2448" i="1"/>
  <c r="B2448" i="1"/>
  <c r="A2448" i="1"/>
  <c r="D2447" i="1"/>
  <c r="C2447" i="1"/>
  <c r="B2447" i="1"/>
  <c r="A2447" i="1"/>
  <c r="D2446" i="1"/>
  <c r="C2446" i="1"/>
  <c r="B2446" i="1"/>
  <c r="A2446" i="1"/>
  <c r="D2445" i="1"/>
  <c r="C2445" i="1"/>
  <c r="B2445" i="1"/>
  <c r="A2445" i="1"/>
  <c r="D2444" i="1"/>
  <c r="C2444" i="1"/>
  <c r="B2444" i="1"/>
  <c r="A2444" i="1"/>
  <c r="D2443" i="1"/>
  <c r="C2443" i="1"/>
  <c r="B2443" i="1"/>
  <c r="A2443" i="1"/>
  <c r="D2442" i="1"/>
  <c r="C2442" i="1"/>
  <c r="B2442" i="1"/>
  <c r="A2442" i="1"/>
  <c r="D2441" i="1"/>
  <c r="C2441" i="1"/>
  <c r="B2441" i="1"/>
  <c r="A2441" i="1"/>
  <c r="D2440" i="1"/>
  <c r="C2440" i="1"/>
  <c r="B2440" i="1"/>
  <c r="A2440" i="1"/>
  <c r="D2439" i="1"/>
  <c r="C2439" i="1"/>
  <c r="B2439" i="1"/>
  <c r="A2439" i="1"/>
  <c r="D2438" i="1"/>
  <c r="C2438" i="1"/>
  <c r="B2438" i="1"/>
  <c r="A2438" i="1"/>
  <c r="D2437" i="1"/>
  <c r="C2437" i="1"/>
  <c r="B2437" i="1"/>
  <c r="A2437" i="1"/>
  <c r="D2436" i="1"/>
  <c r="C2436" i="1"/>
  <c r="B2436" i="1"/>
  <c r="A2436" i="1"/>
  <c r="D2435" i="1"/>
  <c r="C2435" i="1"/>
  <c r="B2435" i="1"/>
  <c r="A2435" i="1"/>
  <c r="D2434" i="1"/>
  <c r="C2434" i="1"/>
  <c r="B2434" i="1"/>
  <c r="A2434" i="1"/>
  <c r="D2433" i="1"/>
  <c r="C2433" i="1"/>
  <c r="B2433" i="1"/>
  <c r="A2433" i="1"/>
  <c r="D2432" i="1"/>
  <c r="C2432" i="1"/>
  <c r="B2432" i="1"/>
  <c r="A2432" i="1"/>
  <c r="D2431" i="1"/>
  <c r="C2431" i="1"/>
  <c r="B2431" i="1"/>
  <c r="A2431" i="1"/>
  <c r="D2430" i="1"/>
  <c r="C2430" i="1"/>
  <c r="B2430" i="1"/>
  <c r="A2430" i="1"/>
  <c r="D2429" i="1"/>
  <c r="C2429" i="1"/>
  <c r="B2429" i="1"/>
  <c r="A2429" i="1"/>
  <c r="D2428" i="1"/>
  <c r="C2428" i="1"/>
  <c r="B2428" i="1"/>
  <c r="A2428" i="1"/>
  <c r="D2427" i="1"/>
  <c r="C2427" i="1"/>
  <c r="B2427" i="1"/>
  <c r="A2427" i="1"/>
  <c r="D2426" i="1"/>
  <c r="C2426" i="1"/>
  <c r="B2426" i="1"/>
  <c r="A2426" i="1"/>
  <c r="D2425" i="1"/>
  <c r="C2425" i="1"/>
  <c r="B2425" i="1"/>
  <c r="A2425" i="1"/>
  <c r="D2424" i="1"/>
  <c r="C2424" i="1"/>
  <c r="B2424" i="1"/>
  <c r="A2424" i="1"/>
  <c r="D2423" i="1"/>
  <c r="C2423" i="1"/>
  <c r="B2423" i="1"/>
  <c r="A2423" i="1"/>
  <c r="D2422" i="1"/>
  <c r="C2422" i="1"/>
  <c r="B2422" i="1"/>
  <c r="A2422" i="1"/>
  <c r="D2421" i="1"/>
  <c r="C2421" i="1"/>
  <c r="B2421" i="1"/>
  <c r="A2421" i="1"/>
  <c r="D2420" i="1"/>
  <c r="C2420" i="1"/>
  <c r="B2420" i="1"/>
  <c r="A2420" i="1"/>
  <c r="D2419" i="1"/>
  <c r="C2419" i="1"/>
  <c r="B2419" i="1"/>
  <c r="A2419" i="1"/>
  <c r="D2418" i="1"/>
  <c r="C2418" i="1"/>
  <c r="B2418" i="1"/>
  <c r="A2418" i="1"/>
  <c r="D2417" i="1"/>
  <c r="C2417" i="1"/>
  <c r="B2417" i="1"/>
  <c r="A2417" i="1"/>
  <c r="D2416" i="1"/>
  <c r="C2416" i="1"/>
  <c r="B2416" i="1"/>
  <c r="A2416" i="1"/>
  <c r="D2415" i="1"/>
  <c r="C2415" i="1"/>
  <c r="B2415" i="1"/>
  <c r="A2415" i="1"/>
  <c r="D2414" i="1"/>
  <c r="C2414" i="1"/>
  <c r="B2414" i="1"/>
  <c r="A2414" i="1"/>
  <c r="D2413" i="1"/>
  <c r="C2413" i="1"/>
  <c r="B2413" i="1"/>
  <c r="A2413" i="1"/>
  <c r="D2412" i="1"/>
  <c r="C2412" i="1"/>
  <c r="B2412" i="1"/>
  <c r="A2412" i="1"/>
  <c r="D2411" i="1"/>
  <c r="C2411" i="1"/>
  <c r="B2411" i="1"/>
  <c r="A2411" i="1"/>
  <c r="D2410" i="1"/>
  <c r="C2410" i="1"/>
  <c r="B2410" i="1"/>
  <c r="A2410" i="1"/>
  <c r="D2409" i="1"/>
  <c r="C2409" i="1"/>
  <c r="B2409" i="1"/>
  <c r="A2409" i="1"/>
  <c r="D2408" i="1"/>
  <c r="C2408" i="1"/>
  <c r="B2408" i="1"/>
  <c r="A2408" i="1"/>
  <c r="D2407" i="1"/>
  <c r="C2407" i="1"/>
  <c r="B2407" i="1"/>
  <c r="A2407" i="1"/>
  <c r="D2406" i="1"/>
  <c r="C2406" i="1"/>
  <c r="B2406" i="1"/>
  <c r="A2406" i="1"/>
  <c r="D2405" i="1"/>
  <c r="C2405" i="1"/>
  <c r="B2405" i="1"/>
  <c r="A2405" i="1"/>
  <c r="D2404" i="1"/>
  <c r="C2404" i="1"/>
  <c r="B2404" i="1"/>
  <c r="A2404" i="1"/>
  <c r="D2403" i="1"/>
  <c r="C2403" i="1"/>
  <c r="B2403" i="1"/>
  <c r="A2403" i="1"/>
  <c r="D2402" i="1"/>
  <c r="C2402" i="1"/>
  <c r="B2402" i="1"/>
  <c r="A2402" i="1"/>
  <c r="D2401" i="1"/>
  <c r="C2401" i="1"/>
  <c r="B2401" i="1"/>
  <c r="A2401" i="1"/>
  <c r="D2400" i="1"/>
  <c r="C2400" i="1"/>
  <c r="B2400" i="1"/>
  <c r="A2400" i="1"/>
  <c r="D2399" i="1"/>
  <c r="C2399" i="1"/>
  <c r="B2399" i="1"/>
  <c r="A2399" i="1"/>
  <c r="D2398" i="1"/>
  <c r="C2398" i="1"/>
  <c r="B2398" i="1"/>
  <c r="A2398" i="1"/>
  <c r="D2397" i="1"/>
  <c r="C2397" i="1"/>
  <c r="B2397" i="1"/>
  <c r="A2397" i="1"/>
  <c r="D2396" i="1"/>
  <c r="C2396" i="1"/>
  <c r="B2396" i="1"/>
  <c r="A2396" i="1"/>
  <c r="D2395" i="1"/>
  <c r="C2395" i="1"/>
  <c r="B2395" i="1"/>
  <c r="A2395" i="1"/>
  <c r="D2394" i="1"/>
  <c r="C2394" i="1"/>
  <c r="B2394" i="1"/>
  <c r="A2394" i="1"/>
  <c r="D2393" i="1"/>
  <c r="C2393" i="1"/>
  <c r="B2393" i="1"/>
  <c r="A2393" i="1"/>
  <c r="D2392" i="1"/>
  <c r="C2392" i="1"/>
  <c r="B2392" i="1"/>
  <c r="A2392" i="1"/>
  <c r="D2391" i="1"/>
  <c r="C2391" i="1"/>
  <c r="B2391" i="1"/>
  <c r="A2391" i="1"/>
  <c r="D2390" i="1"/>
  <c r="C2390" i="1"/>
  <c r="B2390" i="1"/>
  <c r="A2390" i="1"/>
  <c r="D2389" i="1"/>
  <c r="C2389" i="1"/>
  <c r="B2389" i="1"/>
  <c r="A2389" i="1"/>
  <c r="D2388" i="1"/>
  <c r="C2388" i="1"/>
  <c r="B2388" i="1"/>
  <c r="A2388" i="1"/>
  <c r="D2387" i="1"/>
  <c r="C2387" i="1"/>
  <c r="B2387" i="1"/>
  <c r="A2387" i="1"/>
  <c r="D2386" i="1"/>
  <c r="C2386" i="1"/>
  <c r="B2386" i="1"/>
  <c r="A2386" i="1"/>
  <c r="D2385" i="1"/>
  <c r="C2385" i="1"/>
  <c r="B2385" i="1"/>
  <c r="A2385" i="1"/>
  <c r="D2384" i="1"/>
  <c r="C2384" i="1"/>
  <c r="B2384" i="1"/>
  <c r="A2384" i="1"/>
  <c r="D2383" i="1"/>
  <c r="C2383" i="1"/>
  <c r="B2383" i="1"/>
  <c r="A2383" i="1"/>
  <c r="D2382" i="1"/>
  <c r="C2382" i="1"/>
  <c r="B2382" i="1"/>
  <c r="A2382" i="1"/>
  <c r="D2381" i="1"/>
  <c r="C2381" i="1"/>
  <c r="B2381" i="1"/>
  <c r="A2381" i="1"/>
  <c r="D2380" i="1"/>
  <c r="C2380" i="1"/>
  <c r="B2380" i="1"/>
  <c r="A2380" i="1"/>
  <c r="D2379" i="1"/>
  <c r="C2379" i="1"/>
  <c r="B2379" i="1"/>
  <c r="A2379" i="1"/>
  <c r="D2378" i="1"/>
  <c r="C2378" i="1"/>
  <c r="B2378" i="1"/>
  <c r="A2378" i="1"/>
  <c r="D2377" i="1"/>
  <c r="C2377" i="1"/>
  <c r="B2377" i="1"/>
  <c r="A2377" i="1"/>
  <c r="D2376" i="1"/>
  <c r="C2376" i="1"/>
  <c r="B2376" i="1"/>
  <c r="A2376" i="1"/>
  <c r="D2375" i="1"/>
  <c r="C2375" i="1"/>
  <c r="B2375" i="1"/>
  <c r="A2375" i="1"/>
  <c r="D2374" i="1"/>
  <c r="C2374" i="1"/>
  <c r="B2374" i="1"/>
  <c r="A2374" i="1"/>
  <c r="D2373" i="1"/>
  <c r="C2373" i="1"/>
  <c r="B2373" i="1"/>
  <c r="A2373" i="1"/>
  <c r="D2372" i="1"/>
  <c r="C2372" i="1"/>
  <c r="B2372" i="1"/>
  <c r="A2372" i="1"/>
  <c r="D2371" i="1"/>
  <c r="C2371" i="1"/>
  <c r="B2371" i="1"/>
  <c r="A2371" i="1"/>
  <c r="D2370" i="1"/>
  <c r="C2370" i="1"/>
  <c r="B2370" i="1"/>
  <c r="A2370" i="1"/>
  <c r="D2369" i="1"/>
  <c r="C2369" i="1"/>
  <c r="B2369" i="1"/>
  <c r="A2369" i="1"/>
  <c r="D2368" i="1"/>
  <c r="C2368" i="1"/>
  <c r="B2368" i="1"/>
  <c r="A2368" i="1"/>
  <c r="D2367" i="1"/>
  <c r="C2367" i="1"/>
  <c r="B2367" i="1"/>
  <c r="A2367" i="1"/>
  <c r="D2366" i="1"/>
  <c r="C2366" i="1"/>
  <c r="B2366" i="1"/>
  <c r="A2366" i="1"/>
  <c r="D2365" i="1"/>
  <c r="C2365" i="1"/>
  <c r="B2365" i="1"/>
  <c r="A2365" i="1"/>
  <c r="D2364" i="1"/>
  <c r="C2364" i="1"/>
  <c r="B2364" i="1"/>
  <c r="A2364" i="1"/>
  <c r="D2363" i="1"/>
  <c r="C2363" i="1"/>
  <c r="B2363" i="1"/>
  <c r="A2363" i="1"/>
  <c r="D2362" i="1"/>
  <c r="C2362" i="1"/>
  <c r="B2362" i="1"/>
  <c r="A2362" i="1"/>
  <c r="D2361" i="1"/>
  <c r="C2361" i="1"/>
  <c r="B2361" i="1"/>
  <c r="A2361" i="1"/>
  <c r="D2360" i="1"/>
  <c r="C2360" i="1"/>
  <c r="B2360" i="1"/>
  <c r="A2360" i="1"/>
  <c r="D2359" i="1"/>
  <c r="C2359" i="1"/>
  <c r="B2359" i="1"/>
  <c r="A2359" i="1"/>
  <c r="D2358" i="1"/>
  <c r="C2358" i="1"/>
  <c r="B2358" i="1"/>
  <c r="A2358" i="1"/>
  <c r="D2357" i="1"/>
  <c r="C2357" i="1"/>
  <c r="B2357" i="1"/>
  <c r="A2357" i="1"/>
  <c r="D2356" i="1"/>
  <c r="C2356" i="1"/>
  <c r="B2356" i="1"/>
  <c r="A2356" i="1"/>
  <c r="D2355" i="1"/>
  <c r="C2355" i="1"/>
  <c r="B2355" i="1"/>
  <c r="A2355" i="1"/>
  <c r="D2354" i="1"/>
  <c r="C2354" i="1"/>
  <c r="B2354" i="1"/>
  <c r="A2354" i="1"/>
  <c r="D2353" i="1"/>
  <c r="C2353" i="1"/>
  <c r="B2353" i="1"/>
  <c r="A2353" i="1"/>
  <c r="D2352" i="1"/>
  <c r="C2352" i="1"/>
  <c r="B2352" i="1"/>
  <c r="A2352" i="1"/>
  <c r="D2351" i="1"/>
  <c r="C2351" i="1"/>
  <c r="B2351" i="1"/>
  <c r="A2351" i="1"/>
  <c r="D2350" i="1"/>
  <c r="C2350" i="1"/>
  <c r="B2350" i="1"/>
  <c r="A2350" i="1"/>
  <c r="D2349" i="1"/>
  <c r="C2349" i="1"/>
  <c r="B2349" i="1"/>
  <c r="A2349" i="1"/>
  <c r="D2348" i="1"/>
  <c r="C2348" i="1"/>
  <c r="B2348" i="1"/>
  <c r="A2348" i="1"/>
  <c r="D2347" i="1"/>
  <c r="C2347" i="1"/>
  <c r="B2347" i="1"/>
  <c r="A2347" i="1"/>
  <c r="D2346" i="1"/>
  <c r="C2346" i="1"/>
  <c r="B2346" i="1"/>
  <c r="A2346" i="1"/>
  <c r="D2345" i="1"/>
  <c r="C2345" i="1"/>
  <c r="B2345" i="1"/>
  <c r="A2345" i="1"/>
  <c r="D2344" i="1"/>
  <c r="C2344" i="1"/>
  <c r="B2344" i="1"/>
  <c r="A2344" i="1"/>
  <c r="D2343" i="1"/>
  <c r="C2343" i="1"/>
  <c r="B2343" i="1"/>
  <c r="A2343" i="1"/>
  <c r="D2342" i="1"/>
  <c r="C2342" i="1"/>
  <c r="B2342" i="1"/>
  <c r="A2342" i="1"/>
  <c r="D2341" i="1"/>
  <c r="C2341" i="1"/>
  <c r="B2341" i="1"/>
  <c r="A2341" i="1"/>
  <c r="D2340" i="1"/>
  <c r="C2340" i="1"/>
  <c r="B2340" i="1"/>
  <c r="A2340" i="1"/>
  <c r="D2339" i="1"/>
  <c r="C2339" i="1"/>
  <c r="B2339" i="1"/>
  <c r="A2339" i="1"/>
  <c r="D2338" i="1"/>
  <c r="C2338" i="1"/>
  <c r="B2338" i="1"/>
  <c r="A2338" i="1"/>
  <c r="D2337" i="1"/>
  <c r="C2337" i="1"/>
  <c r="B2337" i="1"/>
  <c r="A2337" i="1"/>
  <c r="D2336" i="1"/>
  <c r="C2336" i="1"/>
  <c r="B2336" i="1"/>
  <c r="A2336" i="1"/>
  <c r="D2335" i="1"/>
  <c r="C2335" i="1"/>
  <c r="B2335" i="1"/>
  <c r="A2335" i="1"/>
  <c r="D2334" i="1"/>
  <c r="C2334" i="1"/>
  <c r="B2334" i="1"/>
  <c r="A2334" i="1"/>
  <c r="D2333" i="1"/>
  <c r="C2333" i="1"/>
  <c r="B2333" i="1"/>
  <c r="A2333" i="1"/>
  <c r="D2332" i="1"/>
  <c r="C2332" i="1"/>
  <c r="B2332" i="1"/>
  <c r="A2332" i="1"/>
  <c r="D2331" i="1"/>
  <c r="C2331" i="1"/>
  <c r="B2331" i="1"/>
  <c r="A2331" i="1"/>
  <c r="D2330" i="1"/>
  <c r="C2330" i="1"/>
  <c r="B2330" i="1"/>
  <c r="A2330" i="1"/>
  <c r="D2329" i="1"/>
  <c r="C2329" i="1"/>
  <c r="B2329" i="1"/>
  <c r="A2329" i="1"/>
  <c r="D2328" i="1"/>
  <c r="C2328" i="1"/>
  <c r="B2328" i="1"/>
  <c r="A2328" i="1"/>
  <c r="D2327" i="1"/>
  <c r="C2327" i="1"/>
  <c r="B2327" i="1"/>
  <c r="A2327" i="1"/>
  <c r="D2326" i="1"/>
  <c r="C2326" i="1"/>
  <c r="B2326" i="1"/>
  <c r="A2326" i="1"/>
  <c r="D2325" i="1"/>
  <c r="C2325" i="1"/>
  <c r="B2325" i="1"/>
  <c r="A2325" i="1"/>
  <c r="D2324" i="1"/>
  <c r="C2324" i="1"/>
  <c r="B2324" i="1"/>
  <c r="A2324" i="1"/>
  <c r="D2323" i="1"/>
  <c r="C2323" i="1"/>
  <c r="B2323" i="1"/>
  <c r="A2323" i="1"/>
  <c r="D2322" i="1"/>
  <c r="C2322" i="1"/>
  <c r="B2322" i="1"/>
  <c r="A2322" i="1"/>
  <c r="D2321" i="1"/>
  <c r="C2321" i="1"/>
  <c r="B2321" i="1"/>
  <c r="A2321" i="1"/>
  <c r="D2320" i="1"/>
  <c r="C2320" i="1"/>
  <c r="B2320" i="1"/>
  <c r="A2320" i="1"/>
  <c r="D2319" i="1"/>
  <c r="C2319" i="1"/>
  <c r="B2319" i="1"/>
  <c r="A2319" i="1"/>
  <c r="D2318" i="1"/>
  <c r="C2318" i="1"/>
  <c r="B2318" i="1"/>
  <c r="A2318" i="1"/>
  <c r="D2317" i="1"/>
  <c r="C2317" i="1"/>
  <c r="B2317" i="1"/>
  <c r="A2317" i="1"/>
  <c r="D2316" i="1"/>
  <c r="C2316" i="1"/>
  <c r="B2316" i="1"/>
  <c r="A2316" i="1"/>
  <c r="D2315" i="1"/>
  <c r="C2315" i="1"/>
  <c r="B2315" i="1"/>
  <c r="A2315" i="1"/>
  <c r="D2314" i="1"/>
  <c r="C2314" i="1"/>
  <c r="B2314" i="1"/>
  <c r="A2314" i="1"/>
  <c r="D2313" i="1"/>
  <c r="C2313" i="1"/>
  <c r="B2313" i="1"/>
  <c r="A2313" i="1"/>
  <c r="D2312" i="1"/>
  <c r="C2312" i="1"/>
  <c r="B2312" i="1"/>
  <c r="A2312" i="1"/>
  <c r="D2311" i="1"/>
  <c r="C2311" i="1"/>
  <c r="B2311" i="1"/>
  <c r="A2311" i="1"/>
  <c r="D2310" i="1"/>
  <c r="C2310" i="1"/>
  <c r="B2310" i="1"/>
  <c r="A2310" i="1"/>
  <c r="D2309" i="1"/>
  <c r="C2309" i="1"/>
  <c r="B2309" i="1"/>
  <c r="A2309" i="1"/>
  <c r="D2308" i="1"/>
  <c r="C2308" i="1"/>
  <c r="B2308" i="1"/>
  <c r="A2308" i="1"/>
  <c r="D2307" i="1"/>
  <c r="C2307" i="1"/>
  <c r="B2307" i="1"/>
  <c r="A2307" i="1"/>
  <c r="D2306" i="1"/>
  <c r="C2306" i="1"/>
  <c r="B2306" i="1"/>
  <c r="A2306" i="1"/>
  <c r="D2305" i="1"/>
  <c r="C2305" i="1"/>
  <c r="B2305" i="1"/>
  <c r="A2305" i="1"/>
  <c r="D2304" i="1"/>
  <c r="C2304" i="1"/>
  <c r="B2304" i="1"/>
  <c r="A2304" i="1"/>
  <c r="D2303" i="1"/>
  <c r="C2303" i="1"/>
  <c r="B2303" i="1"/>
  <c r="A2303" i="1"/>
  <c r="D2302" i="1"/>
  <c r="C2302" i="1"/>
  <c r="B2302" i="1"/>
  <c r="A2302" i="1"/>
  <c r="D2301" i="1"/>
  <c r="C2301" i="1"/>
  <c r="B2301" i="1"/>
  <c r="A2301" i="1"/>
  <c r="D2300" i="1"/>
  <c r="C2300" i="1"/>
  <c r="B2300" i="1"/>
  <c r="A2300" i="1"/>
  <c r="D2299" i="1"/>
  <c r="C2299" i="1"/>
  <c r="B2299" i="1"/>
  <c r="A2299" i="1"/>
  <c r="D2298" i="1"/>
  <c r="C2298" i="1"/>
  <c r="B2298" i="1"/>
  <c r="A2298" i="1"/>
  <c r="D2297" i="1"/>
  <c r="C2297" i="1"/>
  <c r="B2297" i="1"/>
  <c r="A2297" i="1"/>
  <c r="D2296" i="1"/>
  <c r="C2296" i="1"/>
  <c r="B2296" i="1"/>
  <c r="A2296" i="1"/>
  <c r="D2295" i="1"/>
  <c r="C2295" i="1"/>
  <c r="B2295" i="1"/>
  <c r="A2295" i="1"/>
  <c r="D2294" i="1"/>
  <c r="C2294" i="1"/>
  <c r="B2294" i="1"/>
  <c r="A2294" i="1"/>
  <c r="D2293" i="1"/>
  <c r="C2293" i="1"/>
  <c r="B2293" i="1"/>
  <c r="A2293" i="1"/>
  <c r="D2292" i="1"/>
  <c r="C2292" i="1"/>
  <c r="B2292" i="1"/>
  <c r="A2292" i="1"/>
  <c r="D2291" i="1"/>
  <c r="C2291" i="1"/>
  <c r="B2291" i="1"/>
  <c r="A2291" i="1"/>
  <c r="D2290" i="1"/>
  <c r="C2290" i="1"/>
  <c r="B2290" i="1"/>
  <c r="A2290" i="1"/>
  <c r="D2289" i="1"/>
  <c r="C2289" i="1"/>
  <c r="B2289" i="1"/>
  <c r="A2289" i="1"/>
  <c r="D2288" i="1"/>
  <c r="C2288" i="1"/>
  <c r="B2288" i="1"/>
  <c r="A2288" i="1"/>
  <c r="D2287" i="1"/>
  <c r="C2287" i="1"/>
  <c r="B2287" i="1"/>
  <c r="A2287" i="1"/>
  <c r="D2286" i="1"/>
  <c r="C2286" i="1"/>
  <c r="B2286" i="1"/>
  <c r="A2286" i="1"/>
  <c r="D2285" i="1"/>
  <c r="C2285" i="1"/>
  <c r="B2285" i="1"/>
  <c r="A2285" i="1"/>
  <c r="D2284" i="1"/>
  <c r="C2284" i="1"/>
  <c r="B2284" i="1"/>
  <c r="A2284" i="1"/>
  <c r="D2283" i="1"/>
  <c r="C2283" i="1"/>
  <c r="B2283" i="1"/>
  <c r="A2283" i="1"/>
  <c r="D2282" i="1"/>
  <c r="C2282" i="1"/>
  <c r="B2282" i="1"/>
  <c r="A2282" i="1"/>
  <c r="D2281" i="1"/>
  <c r="C2281" i="1"/>
  <c r="B2281" i="1"/>
  <c r="A2281" i="1"/>
  <c r="D2280" i="1"/>
  <c r="C2280" i="1"/>
  <c r="B2280" i="1"/>
  <c r="A2280" i="1"/>
  <c r="D2279" i="1"/>
  <c r="C2279" i="1"/>
  <c r="B2279" i="1"/>
  <c r="A2279" i="1"/>
  <c r="D2278" i="1"/>
  <c r="C2278" i="1"/>
  <c r="B2278" i="1"/>
  <c r="A2278" i="1"/>
  <c r="D2277" i="1"/>
  <c r="C2277" i="1"/>
  <c r="B2277" i="1"/>
  <c r="A2277" i="1"/>
  <c r="D2276" i="1"/>
  <c r="C2276" i="1"/>
  <c r="B2276" i="1"/>
  <c r="A2276" i="1"/>
  <c r="D2275" i="1"/>
  <c r="C2275" i="1"/>
  <c r="B2275" i="1"/>
  <c r="A2275" i="1"/>
  <c r="D2274" i="1"/>
  <c r="C2274" i="1"/>
  <c r="B2274" i="1"/>
  <c r="A2274" i="1"/>
  <c r="D2273" i="1"/>
  <c r="C2273" i="1"/>
  <c r="B2273" i="1"/>
  <c r="A2273" i="1"/>
  <c r="D2272" i="1"/>
  <c r="C2272" i="1"/>
  <c r="B2272" i="1"/>
  <c r="A2272" i="1"/>
  <c r="D2271" i="1"/>
  <c r="C2271" i="1"/>
  <c r="B2271" i="1"/>
  <c r="A2271" i="1"/>
  <c r="D2270" i="1"/>
  <c r="C2270" i="1"/>
  <c r="B2270" i="1"/>
  <c r="A2270" i="1"/>
  <c r="D2269" i="1"/>
  <c r="C2269" i="1"/>
  <c r="B2269" i="1"/>
  <c r="A2269" i="1"/>
  <c r="D2268" i="1"/>
  <c r="C2268" i="1"/>
  <c r="B2268" i="1"/>
  <c r="A2268" i="1"/>
  <c r="D2267" i="1"/>
  <c r="C2267" i="1"/>
  <c r="B2267" i="1"/>
  <c r="A2267" i="1"/>
  <c r="D2266" i="1"/>
  <c r="C2266" i="1"/>
  <c r="B2266" i="1"/>
  <c r="A2266" i="1"/>
  <c r="D2265" i="1"/>
  <c r="C2265" i="1"/>
  <c r="B2265" i="1"/>
  <c r="A2265" i="1"/>
  <c r="D2264" i="1"/>
  <c r="C2264" i="1"/>
  <c r="B2264" i="1"/>
  <c r="A2264" i="1"/>
  <c r="D2263" i="1"/>
  <c r="C2263" i="1"/>
  <c r="B2263" i="1"/>
  <c r="A2263" i="1"/>
  <c r="D2262" i="1"/>
  <c r="C2262" i="1"/>
  <c r="B2262" i="1"/>
  <c r="A2262" i="1"/>
  <c r="D2261" i="1"/>
  <c r="C2261" i="1"/>
  <c r="B2261" i="1"/>
  <c r="A2261" i="1"/>
  <c r="D2260" i="1"/>
  <c r="C2260" i="1"/>
  <c r="B2260" i="1"/>
  <c r="A2260" i="1"/>
  <c r="D2259" i="1"/>
  <c r="C2259" i="1"/>
  <c r="B2259" i="1"/>
  <c r="A2259" i="1"/>
  <c r="D2258" i="1"/>
  <c r="C2258" i="1"/>
  <c r="B2258" i="1"/>
  <c r="A2258" i="1"/>
  <c r="D2257" i="1"/>
  <c r="C2257" i="1"/>
  <c r="B2257" i="1"/>
  <c r="A2257" i="1"/>
  <c r="D2256" i="1"/>
  <c r="C2256" i="1"/>
  <c r="B2256" i="1"/>
  <c r="A2256" i="1"/>
  <c r="D2255" i="1"/>
  <c r="C2255" i="1"/>
  <c r="B2255" i="1"/>
  <c r="A2255" i="1"/>
  <c r="D2254" i="1"/>
  <c r="C2254" i="1"/>
  <c r="B2254" i="1"/>
  <c r="A2254" i="1"/>
  <c r="D2253" i="1"/>
  <c r="C2253" i="1"/>
  <c r="B2253" i="1"/>
  <c r="A2253" i="1"/>
  <c r="D2252" i="1"/>
  <c r="C2252" i="1"/>
  <c r="B2252" i="1"/>
  <c r="A2252" i="1"/>
  <c r="D2251" i="1"/>
  <c r="C2251" i="1"/>
  <c r="B2251" i="1"/>
  <c r="A2251" i="1"/>
  <c r="D2250" i="1"/>
  <c r="C2250" i="1"/>
  <c r="B2250" i="1"/>
  <c r="A2250" i="1"/>
  <c r="D2249" i="1"/>
  <c r="C2249" i="1"/>
  <c r="B2249" i="1"/>
  <c r="A2249" i="1"/>
  <c r="D2248" i="1"/>
  <c r="C2248" i="1"/>
  <c r="B2248" i="1"/>
  <c r="A2248" i="1"/>
  <c r="D2247" i="1"/>
  <c r="C2247" i="1"/>
  <c r="B2247" i="1"/>
  <c r="A2247" i="1"/>
  <c r="D2246" i="1"/>
  <c r="C2246" i="1"/>
  <c r="B2246" i="1"/>
  <c r="A2246" i="1"/>
  <c r="D2245" i="1"/>
  <c r="C2245" i="1"/>
  <c r="B2245" i="1"/>
  <c r="A2245" i="1"/>
  <c r="D2244" i="1"/>
  <c r="C2244" i="1"/>
  <c r="B2244" i="1"/>
  <c r="A2244" i="1"/>
  <c r="D2243" i="1"/>
  <c r="C2243" i="1"/>
  <c r="B2243" i="1"/>
  <c r="A2243" i="1"/>
  <c r="D2242" i="1"/>
  <c r="C2242" i="1"/>
  <c r="B2242" i="1"/>
  <c r="A2242" i="1"/>
  <c r="D2241" i="1"/>
  <c r="C2241" i="1"/>
  <c r="B2241" i="1"/>
  <c r="A2241" i="1"/>
  <c r="D2240" i="1"/>
  <c r="C2240" i="1"/>
  <c r="B2240" i="1"/>
  <c r="A2240" i="1"/>
  <c r="D2239" i="1"/>
  <c r="C2239" i="1"/>
  <c r="B2239" i="1"/>
  <c r="A2239" i="1"/>
  <c r="D2238" i="1"/>
  <c r="C2238" i="1"/>
  <c r="B2238" i="1"/>
  <c r="A2238" i="1"/>
  <c r="D2237" i="1"/>
  <c r="C2237" i="1"/>
  <c r="B2237" i="1"/>
  <c r="A2237" i="1"/>
  <c r="D2236" i="1"/>
  <c r="C2236" i="1"/>
  <c r="B2236" i="1"/>
  <c r="A2236" i="1"/>
  <c r="D2235" i="1"/>
  <c r="C2235" i="1"/>
  <c r="B2235" i="1"/>
  <c r="A2235" i="1"/>
  <c r="D2234" i="1"/>
  <c r="C2234" i="1"/>
  <c r="B2234" i="1"/>
  <c r="A2234" i="1"/>
  <c r="D2233" i="1"/>
  <c r="C2233" i="1"/>
  <c r="B2233" i="1"/>
  <c r="A2233" i="1"/>
  <c r="D2232" i="1"/>
  <c r="C2232" i="1"/>
  <c r="B2232" i="1"/>
  <c r="A2232" i="1"/>
  <c r="D2231" i="1"/>
  <c r="C2231" i="1"/>
  <c r="B2231" i="1"/>
  <c r="A2231" i="1"/>
  <c r="D2230" i="1"/>
  <c r="C2230" i="1"/>
  <c r="B2230" i="1"/>
  <c r="A2230" i="1"/>
  <c r="D2229" i="1"/>
  <c r="C2229" i="1"/>
  <c r="B2229" i="1"/>
  <c r="A2229" i="1"/>
  <c r="D2228" i="1"/>
  <c r="C2228" i="1"/>
  <c r="B2228" i="1"/>
  <c r="A2228" i="1"/>
  <c r="D2227" i="1"/>
  <c r="C2227" i="1"/>
  <c r="B2227" i="1"/>
  <c r="A2227" i="1"/>
  <c r="D2226" i="1"/>
  <c r="C2226" i="1"/>
  <c r="B2226" i="1"/>
  <c r="A2226" i="1"/>
  <c r="D2225" i="1"/>
  <c r="C2225" i="1"/>
  <c r="B2225" i="1"/>
  <c r="A2225" i="1"/>
  <c r="D2224" i="1"/>
  <c r="C2224" i="1"/>
  <c r="B2224" i="1"/>
  <c r="A2224" i="1"/>
  <c r="D2223" i="1"/>
  <c r="C2223" i="1"/>
  <c r="B2223" i="1"/>
  <c r="A2223" i="1"/>
  <c r="D2222" i="1"/>
  <c r="C2222" i="1"/>
  <c r="B2222" i="1"/>
  <c r="A2222" i="1"/>
  <c r="D2221" i="1"/>
  <c r="C2221" i="1"/>
  <c r="B2221" i="1"/>
  <c r="A2221" i="1"/>
  <c r="D2220" i="1"/>
  <c r="C2220" i="1"/>
  <c r="B2220" i="1"/>
  <c r="A2220" i="1"/>
  <c r="D2219" i="1"/>
  <c r="C2219" i="1"/>
  <c r="B2219" i="1"/>
  <c r="A2219" i="1"/>
  <c r="D2218" i="1"/>
  <c r="C2218" i="1"/>
  <c r="B2218" i="1"/>
  <c r="A2218" i="1"/>
  <c r="D2217" i="1"/>
  <c r="C2217" i="1"/>
  <c r="B2217" i="1"/>
  <c r="A2217" i="1"/>
  <c r="D2216" i="1"/>
  <c r="C2216" i="1"/>
  <c r="B2216" i="1"/>
  <c r="A2216" i="1"/>
  <c r="D2215" i="1"/>
  <c r="C2215" i="1"/>
  <c r="B2215" i="1"/>
  <c r="A2215" i="1"/>
  <c r="D2214" i="1"/>
  <c r="C2214" i="1"/>
  <c r="B2214" i="1"/>
  <c r="A2214" i="1"/>
  <c r="D2213" i="1"/>
  <c r="C2213" i="1"/>
  <c r="B2213" i="1"/>
  <c r="A2213" i="1"/>
  <c r="D2212" i="1"/>
  <c r="C2212" i="1"/>
  <c r="B2212" i="1"/>
  <c r="A2212" i="1"/>
  <c r="D2211" i="1"/>
  <c r="C2211" i="1"/>
  <c r="B2211" i="1"/>
  <c r="A2211" i="1"/>
  <c r="D2210" i="1"/>
  <c r="C2210" i="1"/>
  <c r="B2210" i="1"/>
  <c r="A2210" i="1"/>
  <c r="D2209" i="1"/>
  <c r="C2209" i="1"/>
  <c r="B2209" i="1"/>
  <c r="A2209" i="1"/>
  <c r="D2208" i="1"/>
  <c r="C2208" i="1"/>
  <c r="B2208" i="1"/>
  <c r="A2208" i="1"/>
  <c r="D2207" i="1"/>
  <c r="C2207" i="1"/>
  <c r="B2207" i="1"/>
  <c r="A2207" i="1"/>
  <c r="D2206" i="1"/>
  <c r="C2206" i="1"/>
  <c r="B2206" i="1"/>
  <c r="A2206" i="1"/>
  <c r="D2205" i="1"/>
  <c r="C2205" i="1"/>
  <c r="B2205" i="1"/>
  <c r="A2205" i="1"/>
  <c r="D2204" i="1"/>
  <c r="C2204" i="1"/>
  <c r="B2204" i="1"/>
  <c r="A2204" i="1"/>
  <c r="D2203" i="1"/>
  <c r="C2203" i="1"/>
  <c r="B2203" i="1"/>
  <c r="A2203" i="1"/>
  <c r="D2202" i="1"/>
  <c r="C2202" i="1"/>
  <c r="B2202" i="1"/>
  <c r="A2202" i="1"/>
  <c r="D2201" i="1"/>
  <c r="C2201" i="1"/>
  <c r="B2201" i="1"/>
  <c r="A2201" i="1"/>
  <c r="D2200" i="1"/>
  <c r="C2200" i="1"/>
  <c r="B2200" i="1"/>
  <c r="A2200" i="1"/>
  <c r="D2199" i="1"/>
  <c r="C2199" i="1"/>
  <c r="B2199" i="1"/>
  <c r="A2199" i="1"/>
  <c r="D2198" i="1"/>
  <c r="C2198" i="1"/>
  <c r="B2198" i="1"/>
  <c r="A2198" i="1"/>
  <c r="D2197" i="1"/>
  <c r="C2197" i="1"/>
  <c r="B2197" i="1"/>
  <c r="A2197" i="1"/>
  <c r="D2196" i="1"/>
  <c r="C2196" i="1"/>
  <c r="B2196" i="1"/>
  <c r="A2196" i="1"/>
  <c r="D2195" i="1"/>
  <c r="C2195" i="1"/>
  <c r="B2195" i="1"/>
  <c r="A2195" i="1"/>
  <c r="D2194" i="1"/>
  <c r="C2194" i="1"/>
  <c r="B2194" i="1"/>
  <c r="A2194" i="1"/>
  <c r="D2193" i="1"/>
  <c r="C2193" i="1"/>
  <c r="B2193" i="1"/>
  <c r="A2193" i="1"/>
  <c r="D2192" i="1"/>
  <c r="C2192" i="1"/>
  <c r="B2192" i="1"/>
  <c r="A2192" i="1"/>
  <c r="D2191" i="1"/>
  <c r="C2191" i="1"/>
  <c r="B2191" i="1"/>
  <c r="A2191" i="1"/>
  <c r="D2190" i="1"/>
  <c r="C2190" i="1"/>
  <c r="B2190" i="1"/>
  <c r="A2190" i="1"/>
  <c r="D2189" i="1"/>
  <c r="C2189" i="1"/>
  <c r="B2189" i="1"/>
  <c r="A2189" i="1"/>
  <c r="D2188" i="1"/>
  <c r="C2188" i="1"/>
  <c r="B2188" i="1"/>
  <c r="A2188" i="1"/>
  <c r="D2187" i="1"/>
  <c r="C2187" i="1"/>
  <c r="B2187" i="1"/>
  <c r="A2187" i="1"/>
  <c r="D2186" i="1"/>
  <c r="C2186" i="1"/>
  <c r="B2186" i="1"/>
  <c r="A2186" i="1"/>
  <c r="D2185" i="1"/>
  <c r="C2185" i="1"/>
  <c r="B2185" i="1"/>
  <c r="A2185" i="1"/>
  <c r="D2184" i="1"/>
  <c r="C2184" i="1"/>
  <c r="B2184" i="1"/>
  <c r="A2184" i="1"/>
  <c r="D2183" i="1"/>
  <c r="C2183" i="1"/>
  <c r="B2183" i="1"/>
  <c r="A2183" i="1"/>
  <c r="D2182" i="1"/>
  <c r="C2182" i="1"/>
  <c r="B2182" i="1"/>
  <c r="A2182" i="1"/>
  <c r="D2181" i="1"/>
  <c r="C2181" i="1"/>
  <c r="B2181" i="1"/>
  <c r="A2181" i="1"/>
  <c r="D2180" i="1"/>
  <c r="C2180" i="1"/>
  <c r="B2180" i="1"/>
  <c r="A2180" i="1"/>
  <c r="D2179" i="1"/>
  <c r="C2179" i="1"/>
  <c r="B2179" i="1"/>
  <c r="A2179" i="1"/>
  <c r="D2178" i="1"/>
  <c r="C2178" i="1"/>
  <c r="B2178" i="1"/>
  <c r="A2178" i="1"/>
  <c r="D2177" i="1"/>
  <c r="C2177" i="1"/>
  <c r="B2177" i="1"/>
  <c r="A2177" i="1"/>
  <c r="D2176" i="1"/>
  <c r="C2176" i="1"/>
  <c r="B2176" i="1"/>
  <c r="A2176" i="1"/>
  <c r="D2175" i="1"/>
  <c r="C2175" i="1"/>
  <c r="B2175" i="1"/>
  <c r="A2175" i="1"/>
  <c r="D2174" i="1"/>
  <c r="C2174" i="1"/>
  <c r="B2174" i="1"/>
  <c r="A2174" i="1"/>
  <c r="D2173" i="1"/>
  <c r="C2173" i="1"/>
  <c r="B2173" i="1"/>
  <c r="A2173" i="1"/>
  <c r="D2172" i="1"/>
  <c r="C2172" i="1"/>
  <c r="B2172" i="1"/>
  <c r="A2172" i="1"/>
  <c r="D2171" i="1"/>
  <c r="C2171" i="1"/>
  <c r="B2171" i="1"/>
  <c r="A2171" i="1"/>
  <c r="D2170" i="1"/>
  <c r="C2170" i="1"/>
  <c r="B2170" i="1"/>
  <c r="A2170" i="1"/>
  <c r="D2169" i="1"/>
  <c r="C2169" i="1"/>
  <c r="B2169" i="1"/>
  <c r="A2169" i="1"/>
  <c r="D2168" i="1"/>
  <c r="C2168" i="1"/>
  <c r="B2168" i="1"/>
  <c r="A2168" i="1"/>
  <c r="D2167" i="1"/>
  <c r="C2167" i="1"/>
  <c r="B2167" i="1"/>
  <c r="A2167" i="1"/>
  <c r="D2166" i="1"/>
  <c r="C2166" i="1"/>
  <c r="B2166" i="1"/>
  <c r="A2166" i="1"/>
  <c r="D2165" i="1"/>
  <c r="C2165" i="1"/>
  <c r="B2165" i="1"/>
  <c r="A2165" i="1"/>
  <c r="D2164" i="1"/>
  <c r="C2164" i="1"/>
  <c r="B2164" i="1"/>
  <c r="A2164" i="1"/>
  <c r="D2163" i="1"/>
  <c r="C2163" i="1"/>
  <c r="B2163" i="1"/>
  <c r="A2163" i="1"/>
  <c r="D2162" i="1"/>
  <c r="C2162" i="1"/>
  <c r="B2162" i="1"/>
  <c r="A2162" i="1"/>
  <c r="D2161" i="1"/>
  <c r="C2161" i="1"/>
  <c r="B2161" i="1"/>
  <c r="A2161" i="1"/>
  <c r="D2160" i="1"/>
  <c r="C2160" i="1"/>
  <c r="B2160" i="1"/>
  <c r="A2160" i="1"/>
  <c r="D2159" i="1"/>
  <c r="C2159" i="1"/>
  <c r="B2159" i="1"/>
  <c r="A2159" i="1"/>
  <c r="D2158" i="1"/>
  <c r="C2158" i="1"/>
  <c r="B2158" i="1"/>
  <c r="A2158" i="1"/>
  <c r="D2157" i="1"/>
  <c r="C2157" i="1"/>
  <c r="B2157" i="1"/>
  <c r="A2157" i="1"/>
  <c r="D2156" i="1"/>
  <c r="C2156" i="1"/>
  <c r="B2156" i="1"/>
  <c r="A2156" i="1"/>
  <c r="D2155" i="1"/>
  <c r="C2155" i="1"/>
  <c r="B2155" i="1"/>
  <c r="A2155" i="1"/>
  <c r="D2154" i="1"/>
  <c r="C2154" i="1"/>
  <c r="B2154" i="1"/>
  <c r="A2154" i="1"/>
  <c r="D2153" i="1"/>
  <c r="C2153" i="1"/>
  <c r="B2153" i="1"/>
  <c r="A2153" i="1"/>
  <c r="D2152" i="1"/>
  <c r="C2152" i="1"/>
  <c r="B2152" i="1"/>
  <c r="A2152" i="1"/>
  <c r="D2151" i="1"/>
  <c r="C2151" i="1"/>
  <c r="B2151" i="1"/>
  <c r="A2151" i="1"/>
  <c r="D2150" i="1"/>
  <c r="C2150" i="1"/>
  <c r="B2150" i="1"/>
  <c r="A2150" i="1"/>
  <c r="D2149" i="1"/>
  <c r="C2149" i="1"/>
  <c r="B2149" i="1"/>
  <c r="A2149" i="1"/>
  <c r="D2148" i="1"/>
  <c r="C2148" i="1"/>
  <c r="B2148" i="1"/>
  <c r="A2148" i="1"/>
  <c r="D2147" i="1"/>
  <c r="C2147" i="1"/>
  <c r="B2147" i="1"/>
  <c r="A2147" i="1"/>
  <c r="D2146" i="1"/>
  <c r="C2146" i="1"/>
  <c r="B2146" i="1"/>
  <c r="A2146" i="1"/>
  <c r="D2145" i="1"/>
  <c r="C2145" i="1"/>
  <c r="B2145" i="1"/>
  <c r="A2145" i="1"/>
  <c r="D2144" i="1"/>
  <c r="C2144" i="1"/>
  <c r="B2144" i="1"/>
  <c r="A2144" i="1"/>
  <c r="D2143" i="1"/>
  <c r="C2143" i="1"/>
  <c r="B2143" i="1"/>
  <c r="A2143" i="1"/>
  <c r="D2142" i="1"/>
  <c r="C2142" i="1"/>
  <c r="B2142" i="1"/>
  <c r="A2142" i="1"/>
  <c r="D2141" i="1"/>
  <c r="C2141" i="1"/>
  <c r="B2141" i="1"/>
  <c r="A2141" i="1"/>
  <c r="D2140" i="1"/>
  <c r="C2140" i="1"/>
  <c r="B2140" i="1"/>
  <c r="A2140" i="1"/>
  <c r="D2139" i="1"/>
  <c r="C2139" i="1"/>
  <c r="B2139" i="1"/>
  <c r="A2139" i="1"/>
  <c r="D2138" i="1"/>
  <c r="C2138" i="1"/>
  <c r="B2138" i="1"/>
  <c r="A2138" i="1"/>
  <c r="D2137" i="1"/>
  <c r="C2137" i="1"/>
  <c r="B2137" i="1"/>
  <c r="A2137" i="1"/>
  <c r="D2136" i="1"/>
  <c r="C2136" i="1"/>
  <c r="B2136" i="1"/>
  <c r="A2136" i="1"/>
  <c r="D2135" i="1"/>
  <c r="C2135" i="1"/>
  <c r="B2135" i="1"/>
  <c r="A2135" i="1"/>
  <c r="D2134" i="1"/>
  <c r="C2134" i="1"/>
  <c r="B2134" i="1"/>
  <c r="A2134" i="1"/>
  <c r="D2133" i="1"/>
  <c r="C2133" i="1"/>
  <c r="B2133" i="1"/>
  <c r="A2133" i="1"/>
  <c r="D2132" i="1"/>
  <c r="C2132" i="1"/>
  <c r="B2132" i="1"/>
  <c r="A2132" i="1"/>
  <c r="D2131" i="1"/>
  <c r="C2131" i="1"/>
  <c r="B2131" i="1"/>
  <c r="A2131" i="1"/>
  <c r="D2130" i="1"/>
  <c r="C2130" i="1"/>
  <c r="B2130" i="1"/>
  <c r="A2130" i="1"/>
  <c r="D2129" i="1"/>
  <c r="C2129" i="1"/>
  <c r="B2129" i="1"/>
  <c r="A2129" i="1"/>
  <c r="D2128" i="1"/>
  <c r="C2128" i="1"/>
  <c r="B2128" i="1"/>
  <c r="A2128" i="1"/>
  <c r="D2127" i="1"/>
  <c r="C2127" i="1"/>
  <c r="B2127" i="1"/>
  <c r="A2127" i="1"/>
  <c r="D2126" i="1"/>
  <c r="C2126" i="1"/>
  <c r="B2126" i="1"/>
  <c r="A2126" i="1"/>
  <c r="D2125" i="1"/>
  <c r="C2125" i="1"/>
  <c r="B2125" i="1"/>
  <c r="A2125" i="1"/>
  <c r="D2124" i="1"/>
  <c r="C2124" i="1"/>
  <c r="B2124" i="1"/>
  <c r="A2124" i="1"/>
  <c r="D2123" i="1"/>
  <c r="C2123" i="1"/>
  <c r="B2123" i="1"/>
  <c r="A2123" i="1"/>
  <c r="D2122" i="1"/>
  <c r="C2122" i="1"/>
  <c r="B2122" i="1"/>
  <c r="A2122" i="1"/>
  <c r="D2121" i="1"/>
  <c r="C2121" i="1"/>
  <c r="B2121" i="1"/>
  <c r="A2121" i="1"/>
  <c r="D2120" i="1"/>
  <c r="C2120" i="1"/>
  <c r="B2120" i="1"/>
  <c r="A2120" i="1"/>
  <c r="D2119" i="1"/>
  <c r="C2119" i="1"/>
  <c r="B2119" i="1"/>
  <c r="A2119" i="1"/>
  <c r="D2118" i="1"/>
  <c r="C2118" i="1"/>
  <c r="B2118" i="1"/>
  <c r="A2118" i="1"/>
  <c r="D2117" i="1"/>
  <c r="C2117" i="1"/>
  <c r="B2117" i="1"/>
  <c r="A2117" i="1"/>
  <c r="D2116" i="1"/>
  <c r="C2116" i="1"/>
  <c r="B2116" i="1"/>
  <c r="A2116" i="1"/>
  <c r="D2115" i="1"/>
  <c r="C2115" i="1"/>
  <c r="B2115" i="1"/>
  <c r="A2115" i="1"/>
  <c r="D2114" i="1"/>
  <c r="C2114" i="1"/>
  <c r="B2114" i="1"/>
  <c r="A2114" i="1"/>
  <c r="D2113" i="1"/>
  <c r="C2113" i="1"/>
  <c r="B2113" i="1"/>
  <c r="A2113" i="1"/>
  <c r="D2112" i="1"/>
  <c r="C2112" i="1"/>
  <c r="B2112" i="1"/>
  <c r="A2112" i="1"/>
  <c r="D2111" i="1"/>
  <c r="C2111" i="1"/>
  <c r="B2111" i="1"/>
  <c r="A2111" i="1"/>
  <c r="D2110" i="1"/>
  <c r="C2110" i="1"/>
  <c r="B2110" i="1"/>
  <c r="A2110" i="1"/>
  <c r="D2109" i="1"/>
  <c r="C2109" i="1"/>
  <c r="B2109" i="1"/>
  <c r="A2109" i="1"/>
  <c r="D2108" i="1"/>
  <c r="C2108" i="1"/>
  <c r="B2108" i="1"/>
  <c r="A2108" i="1"/>
  <c r="D2107" i="1"/>
  <c r="C2107" i="1"/>
  <c r="B2107" i="1"/>
  <c r="A2107" i="1"/>
  <c r="D2106" i="1"/>
  <c r="C2106" i="1"/>
  <c r="B2106" i="1"/>
  <c r="A2106" i="1"/>
  <c r="D2105" i="1"/>
  <c r="C2105" i="1"/>
  <c r="B2105" i="1"/>
  <c r="A2105" i="1"/>
  <c r="D2104" i="1"/>
  <c r="C2104" i="1"/>
  <c r="B2104" i="1"/>
  <c r="A2104" i="1"/>
  <c r="D2103" i="1"/>
  <c r="C2103" i="1"/>
  <c r="B2103" i="1"/>
  <c r="A2103" i="1"/>
  <c r="D2102" i="1"/>
  <c r="C2102" i="1"/>
  <c r="B2102" i="1"/>
  <c r="A2102" i="1"/>
  <c r="D2101" i="1"/>
  <c r="C2101" i="1"/>
  <c r="B2101" i="1"/>
  <c r="A2101" i="1"/>
  <c r="D2100" i="1"/>
  <c r="C2100" i="1"/>
  <c r="B2100" i="1"/>
  <c r="A2100" i="1"/>
  <c r="D2099" i="1"/>
  <c r="C2099" i="1"/>
  <c r="B2099" i="1"/>
  <c r="A2099" i="1"/>
  <c r="D2098" i="1"/>
  <c r="C2098" i="1"/>
  <c r="B2098" i="1"/>
  <c r="A2098" i="1"/>
  <c r="D2097" i="1"/>
  <c r="C2097" i="1"/>
  <c r="B2097" i="1"/>
  <c r="A2097" i="1"/>
  <c r="D2096" i="1"/>
  <c r="C2096" i="1"/>
  <c r="B2096" i="1"/>
  <c r="A2096" i="1"/>
  <c r="D2095" i="1"/>
  <c r="C2095" i="1"/>
  <c r="B2095" i="1"/>
  <c r="A2095" i="1"/>
  <c r="D2094" i="1"/>
  <c r="C2094" i="1"/>
  <c r="B2094" i="1"/>
  <c r="A2094" i="1"/>
  <c r="D2093" i="1"/>
  <c r="C2093" i="1"/>
  <c r="B2093" i="1"/>
  <c r="A2093" i="1"/>
  <c r="D2092" i="1"/>
  <c r="C2092" i="1"/>
  <c r="B2092" i="1"/>
  <c r="A2092" i="1"/>
  <c r="D2091" i="1"/>
  <c r="C2091" i="1"/>
  <c r="B2091" i="1"/>
  <c r="A2091" i="1"/>
  <c r="D2090" i="1"/>
  <c r="C2090" i="1"/>
  <c r="B2090" i="1"/>
  <c r="A2090" i="1"/>
  <c r="D2089" i="1"/>
  <c r="C2089" i="1"/>
  <c r="B2089" i="1"/>
  <c r="A2089" i="1"/>
  <c r="D2088" i="1"/>
  <c r="C2088" i="1"/>
  <c r="B2088" i="1"/>
  <c r="A2088" i="1"/>
  <c r="D2087" i="1"/>
  <c r="C2087" i="1"/>
  <c r="B2087" i="1"/>
  <c r="A2087" i="1"/>
  <c r="D2086" i="1"/>
  <c r="C2086" i="1"/>
  <c r="B2086" i="1"/>
  <c r="A2086" i="1"/>
  <c r="D2085" i="1"/>
  <c r="C2085" i="1"/>
  <c r="B2085" i="1"/>
  <c r="A2085" i="1"/>
  <c r="D2084" i="1"/>
  <c r="C2084" i="1"/>
  <c r="B2084" i="1"/>
  <c r="A2084" i="1"/>
  <c r="D2083" i="1"/>
  <c r="C2083" i="1"/>
  <c r="B2083" i="1"/>
  <c r="A2083" i="1"/>
  <c r="D2082" i="1"/>
  <c r="C2082" i="1"/>
  <c r="B2082" i="1"/>
  <c r="A2082" i="1"/>
  <c r="D2081" i="1"/>
  <c r="C2081" i="1"/>
  <c r="B2081" i="1"/>
  <c r="A2081" i="1"/>
  <c r="D2080" i="1"/>
  <c r="C2080" i="1"/>
  <c r="B2080" i="1"/>
  <c r="A2080" i="1"/>
  <c r="D2079" i="1"/>
  <c r="C2079" i="1"/>
  <c r="B2079" i="1"/>
  <c r="A2079" i="1"/>
  <c r="D2078" i="1"/>
  <c r="C2078" i="1"/>
  <c r="B2078" i="1"/>
  <c r="A2078" i="1"/>
  <c r="D2077" i="1"/>
  <c r="C2077" i="1"/>
  <c r="B2077" i="1"/>
  <c r="A2077" i="1"/>
  <c r="D2076" i="1"/>
  <c r="C2076" i="1"/>
  <c r="B2076" i="1"/>
  <c r="A2076" i="1"/>
  <c r="D2075" i="1"/>
  <c r="C2075" i="1"/>
  <c r="B2075" i="1"/>
  <c r="A2075" i="1"/>
  <c r="D2074" i="1"/>
  <c r="C2074" i="1"/>
  <c r="B2074" i="1"/>
  <c r="A2074" i="1"/>
  <c r="D2073" i="1"/>
  <c r="C2073" i="1"/>
  <c r="B2073" i="1"/>
  <c r="A2073" i="1"/>
  <c r="D2072" i="1"/>
  <c r="C2072" i="1"/>
  <c r="B2072" i="1"/>
  <c r="A2072" i="1"/>
  <c r="D2071" i="1"/>
  <c r="C2071" i="1"/>
  <c r="B2071" i="1"/>
  <c r="A2071" i="1"/>
  <c r="D2070" i="1"/>
  <c r="C2070" i="1"/>
  <c r="B2070" i="1"/>
  <c r="A2070" i="1"/>
  <c r="D2069" i="1"/>
  <c r="C2069" i="1"/>
  <c r="B2069" i="1"/>
  <c r="A2069" i="1"/>
  <c r="D2068" i="1"/>
  <c r="C2068" i="1"/>
  <c r="B2068" i="1"/>
  <c r="A2068" i="1"/>
  <c r="D2067" i="1"/>
  <c r="C2067" i="1"/>
  <c r="B2067" i="1"/>
  <c r="A2067" i="1"/>
  <c r="D2066" i="1"/>
  <c r="C2066" i="1"/>
  <c r="B2066" i="1"/>
  <c r="A2066" i="1"/>
  <c r="D2065" i="1"/>
  <c r="C2065" i="1"/>
  <c r="B2065" i="1"/>
  <c r="A2065" i="1"/>
  <c r="D2064" i="1"/>
  <c r="C2064" i="1"/>
  <c r="B2064" i="1"/>
  <c r="A2064" i="1"/>
  <c r="D2063" i="1"/>
  <c r="C2063" i="1"/>
  <c r="B2063" i="1"/>
  <c r="A2063" i="1"/>
  <c r="D2062" i="1"/>
  <c r="C2062" i="1"/>
  <c r="B2062" i="1"/>
  <c r="A2062" i="1"/>
  <c r="D2061" i="1"/>
  <c r="C2061" i="1"/>
  <c r="B2061" i="1"/>
  <c r="A2061" i="1"/>
  <c r="D2060" i="1"/>
  <c r="C2060" i="1"/>
  <c r="B2060" i="1"/>
  <c r="A2060" i="1"/>
  <c r="D2059" i="1"/>
  <c r="C2059" i="1"/>
  <c r="B2059" i="1"/>
  <c r="A2059" i="1"/>
  <c r="D2058" i="1"/>
  <c r="C2058" i="1"/>
  <c r="B2058" i="1"/>
  <c r="A2058" i="1"/>
  <c r="D2057" i="1"/>
  <c r="C2057" i="1"/>
  <c r="B2057" i="1"/>
  <c r="A2057" i="1"/>
  <c r="D2056" i="1"/>
  <c r="C2056" i="1"/>
  <c r="B2056" i="1"/>
  <c r="A2056" i="1"/>
  <c r="D2055" i="1"/>
  <c r="C2055" i="1"/>
  <c r="B2055" i="1"/>
  <c r="A2055" i="1"/>
  <c r="D2054" i="1"/>
  <c r="C2054" i="1"/>
  <c r="B2054" i="1"/>
  <c r="A2054" i="1"/>
  <c r="D2053" i="1"/>
  <c r="C2053" i="1"/>
  <c r="B2053" i="1"/>
  <c r="A2053" i="1"/>
  <c r="D2052" i="1"/>
  <c r="C2052" i="1"/>
  <c r="B2052" i="1"/>
  <c r="A2052" i="1"/>
  <c r="D2051" i="1"/>
  <c r="C2051" i="1"/>
  <c r="B2051" i="1"/>
  <c r="A2051" i="1"/>
  <c r="D2050" i="1"/>
  <c r="C2050" i="1"/>
  <c r="B2050" i="1"/>
  <c r="A2050" i="1"/>
  <c r="D2049" i="1"/>
  <c r="C2049" i="1"/>
  <c r="B2049" i="1"/>
  <c r="A2049" i="1"/>
  <c r="D2048" i="1"/>
  <c r="C2048" i="1"/>
  <c r="B2048" i="1"/>
  <c r="A2048" i="1"/>
  <c r="D2047" i="1"/>
  <c r="C2047" i="1"/>
  <c r="B2047" i="1"/>
  <c r="A2047" i="1"/>
  <c r="D2046" i="1"/>
  <c r="C2046" i="1"/>
  <c r="B2046" i="1"/>
  <c r="A2046" i="1"/>
  <c r="D2045" i="1"/>
  <c r="C2045" i="1"/>
  <c r="B2045" i="1"/>
  <c r="A2045" i="1"/>
  <c r="D2044" i="1"/>
  <c r="C2044" i="1"/>
  <c r="B2044" i="1"/>
  <c r="A2044" i="1"/>
  <c r="D2043" i="1"/>
  <c r="C2043" i="1"/>
  <c r="B2043" i="1"/>
  <c r="A2043" i="1"/>
  <c r="D2042" i="1"/>
  <c r="C2042" i="1"/>
  <c r="B2042" i="1"/>
  <c r="A2042" i="1"/>
  <c r="D2041" i="1"/>
  <c r="C2041" i="1"/>
  <c r="B2041" i="1"/>
  <c r="A2041" i="1"/>
  <c r="D2040" i="1"/>
  <c r="C2040" i="1"/>
  <c r="B2040" i="1"/>
  <c r="A2040" i="1"/>
  <c r="D2039" i="1"/>
  <c r="C2039" i="1"/>
  <c r="B2039" i="1"/>
  <c r="A2039" i="1"/>
  <c r="D2038" i="1"/>
  <c r="C2038" i="1"/>
  <c r="B2038" i="1"/>
  <c r="A2038" i="1"/>
  <c r="D2037" i="1"/>
  <c r="C2037" i="1"/>
  <c r="B2037" i="1"/>
  <c r="A2037" i="1"/>
  <c r="D2036" i="1"/>
  <c r="C2036" i="1"/>
  <c r="B2036" i="1"/>
  <c r="A2036" i="1"/>
  <c r="D2035" i="1"/>
  <c r="C2035" i="1"/>
  <c r="B2035" i="1"/>
  <c r="A2035" i="1"/>
  <c r="D2034" i="1"/>
  <c r="C2034" i="1"/>
  <c r="B2034" i="1"/>
  <c r="A2034" i="1"/>
  <c r="D2033" i="1"/>
  <c r="C2033" i="1"/>
  <c r="B2033" i="1"/>
  <c r="A2033" i="1"/>
  <c r="D2032" i="1"/>
  <c r="C2032" i="1"/>
  <c r="B2032" i="1"/>
  <c r="A2032" i="1"/>
  <c r="D2031" i="1"/>
  <c r="C2031" i="1"/>
  <c r="B2031" i="1"/>
  <c r="A2031" i="1"/>
  <c r="D2030" i="1"/>
  <c r="C2030" i="1"/>
  <c r="B2030" i="1"/>
  <c r="A2030" i="1"/>
  <c r="D2029" i="1"/>
  <c r="C2029" i="1"/>
  <c r="B2029" i="1"/>
  <c r="A2029" i="1"/>
  <c r="D2028" i="1"/>
  <c r="C2028" i="1"/>
  <c r="B2028" i="1"/>
  <c r="A2028" i="1"/>
  <c r="D2027" i="1"/>
  <c r="C2027" i="1"/>
  <c r="B2027" i="1"/>
  <c r="A2027" i="1"/>
  <c r="D2026" i="1"/>
  <c r="C2026" i="1"/>
  <c r="B2026" i="1"/>
  <c r="A2026" i="1"/>
  <c r="D2025" i="1"/>
  <c r="C2025" i="1"/>
  <c r="B2025" i="1"/>
  <c r="A2025" i="1"/>
  <c r="D2024" i="1"/>
  <c r="C2024" i="1"/>
  <c r="B2024" i="1"/>
  <c r="A2024" i="1"/>
  <c r="D2023" i="1"/>
  <c r="C2023" i="1"/>
  <c r="B2023" i="1"/>
  <c r="A2023" i="1"/>
  <c r="D2022" i="1"/>
  <c r="C2022" i="1"/>
  <c r="B2022" i="1"/>
  <c r="A2022" i="1"/>
  <c r="D2021" i="1"/>
  <c r="C2021" i="1"/>
  <c r="B2021" i="1"/>
  <c r="A2021" i="1"/>
  <c r="D2020" i="1"/>
  <c r="C2020" i="1"/>
  <c r="B2020" i="1"/>
  <c r="A2020" i="1"/>
  <c r="D2019" i="1"/>
  <c r="C2019" i="1"/>
  <c r="B2019" i="1"/>
  <c r="A2019" i="1"/>
  <c r="D2018" i="1"/>
  <c r="C2018" i="1"/>
  <c r="B2018" i="1"/>
  <c r="A2018" i="1"/>
  <c r="D2017" i="1"/>
  <c r="C2017" i="1"/>
  <c r="B2017" i="1"/>
  <c r="A2017" i="1"/>
  <c r="D2016" i="1"/>
  <c r="C2016" i="1"/>
  <c r="B2016" i="1"/>
  <c r="A2016" i="1"/>
  <c r="D2015" i="1"/>
  <c r="C2015" i="1"/>
  <c r="B2015" i="1"/>
  <c r="A2015" i="1"/>
  <c r="D2014" i="1"/>
  <c r="C2014" i="1"/>
  <c r="B2014" i="1"/>
  <c r="A2014" i="1"/>
  <c r="D2013" i="1"/>
  <c r="C2013" i="1"/>
  <c r="B2013" i="1"/>
  <c r="A2013" i="1"/>
  <c r="D2012" i="1"/>
  <c r="C2012" i="1"/>
  <c r="B2012" i="1"/>
  <c r="A2012" i="1"/>
  <c r="D2011" i="1"/>
  <c r="C2011" i="1"/>
  <c r="B2011" i="1"/>
  <c r="A2011" i="1"/>
  <c r="D2010" i="1"/>
  <c r="C2010" i="1"/>
  <c r="B2010" i="1"/>
  <c r="A2010" i="1"/>
  <c r="D2009" i="1"/>
  <c r="C2009" i="1"/>
  <c r="B2009" i="1"/>
  <c r="A2009" i="1"/>
  <c r="D2008" i="1"/>
  <c r="C2008" i="1"/>
  <c r="B2008" i="1"/>
  <c r="A2008" i="1"/>
  <c r="D2007" i="1"/>
  <c r="C2007" i="1"/>
  <c r="B2007" i="1"/>
  <c r="A2007" i="1"/>
  <c r="D2006" i="1"/>
  <c r="C2006" i="1"/>
  <c r="B2006" i="1"/>
  <c r="A2006" i="1"/>
  <c r="D2005" i="1"/>
  <c r="C2005" i="1"/>
  <c r="B2005" i="1"/>
  <c r="A2005" i="1"/>
  <c r="D2004" i="1"/>
  <c r="C2004" i="1"/>
  <c r="B2004" i="1"/>
  <c r="A2004" i="1"/>
  <c r="D2003" i="1"/>
  <c r="C2003" i="1"/>
  <c r="B2003" i="1"/>
  <c r="A2003" i="1"/>
  <c r="D2002" i="1"/>
  <c r="C2002" i="1"/>
  <c r="B2002" i="1"/>
  <c r="A2002" i="1"/>
  <c r="D2001" i="1"/>
  <c r="C2001" i="1"/>
  <c r="B2001" i="1"/>
  <c r="A2001" i="1"/>
  <c r="D2000" i="1"/>
  <c r="C2000" i="1"/>
  <c r="B2000" i="1"/>
  <c r="A2000" i="1"/>
  <c r="D1999" i="1"/>
  <c r="C1999" i="1"/>
  <c r="B1999" i="1"/>
  <c r="A1999" i="1"/>
  <c r="D1998" i="1"/>
  <c r="C1998" i="1"/>
  <c r="B1998" i="1"/>
  <c r="A1998" i="1"/>
  <c r="D1997" i="1"/>
  <c r="C1997" i="1"/>
  <c r="B1997" i="1"/>
  <c r="A1997" i="1"/>
  <c r="D1996" i="1"/>
  <c r="C1996" i="1"/>
  <c r="B1996" i="1"/>
  <c r="A1996" i="1"/>
  <c r="D1995" i="1"/>
  <c r="C1995" i="1"/>
  <c r="B1995" i="1"/>
  <c r="A1995" i="1"/>
  <c r="D1994" i="1"/>
  <c r="C1994" i="1"/>
  <c r="B1994" i="1"/>
  <c r="A1994" i="1"/>
  <c r="D1993" i="1"/>
  <c r="C1993" i="1"/>
  <c r="B1993" i="1"/>
  <c r="A1993" i="1"/>
  <c r="D1992" i="1"/>
  <c r="C1992" i="1"/>
  <c r="B1992" i="1"/>
  <c r="A1992" i="1"/>
  <c r="D1991" i="1"/>
  <c r="C1991" i="1"/>
  <c r="B1991" i="1"/>
  <c r="A1991" i="1"/>
  <c r="D1990" i="1"/>
  <c r="C1990" i="1"/>
  <c r="B1990" i="1"/>
  <c r="A1990" i="1"/>
  <c r="D1989" i="1"/>
  <c r="C1989" i="1"/>
  <c r="B1989" i="1"/>
  <c r="A1989" i="1"/>
  <c r="D1988" i="1"/>
  <c r="C1988" i="1"/>
  <c r="B1988" i="1"/>
  <c r="A1988" i="1"/>
  <c r="D1987" i="1"/>
  <c r="C1987" i="1"/>
  <c r="B1987" i="1"/>
  <c r="A1987" i="1"/>
  <c r="D1986" i="1"/>
  <c r="C1986" i="1"/>
  <c r="B1986" i="1"/>
  <c r="A1986" i="1"/>
  <c r="D1985" i="1"/>
  <c r="C1985" i="1"/>
  <c r="B1985" i="1"/>
  <c r="A1985" i="1"/>
  <c r="D1984" i="1"/>
  <c r="C1984" i="1"/>
  <c r="B1984" i="1"/>
  <c r="A1984" i="1"/>
  <c r="D1983" i="1"/>
  <c r="C1983" i="1"/>
  <c r="B1983" i="1"/>
  <c r="A1983" i="1"/>
  <c r="D1982" i="1"/>
  <c r="C1982" i="1"/>
  <c r="B1982" i="1"/>
  <c r="A1982" i="1"/>
  <c r="D1981" i="1"/>
  <c r="C1981" i="1"/>
  <c r="B1981" i="1"/>
  <c r="A1981" i="1"/>
  <c r="D1980" i="1"/>
  <c r="C1980" i="1"/>
  <c r="B1980" i="1"/>
  <c r="A1980" i="1"/>
  <c r="D1979" i="1"/>
  <c r="C1979" i="1"/>
  <c r="B1979" i="1"/>
  <c r="A1979" i="1"/>
  <c r="D1978" i="1"/>
  <c r="C1978" i="1"/>
  <c r="B1978" i="1"/>
  <c r="A1978" i="1"/>
  <c r="D1977" i="1"/>
  <c r="C1977" i="1"/>
  <c r="B1977" i="1"/>
  <c r="A1977" i="1"/>
  <c r="D1976" i="1"/>
  <c r="C1976" i="1"/>
  <c r="B1976" i="1"/>
  <c r="A1976" i="1"/>
  <c r="D1975" i="1"/>
  <c r="C1975" i="1"/>
  <c r="B1975" i="1"/>
  <c r="A1975" i="1"/>
  <c r="D1974" i="1"/>
  <c r="C1974" i="1"/>
  <c r="B1974" i="1"/>
  <c r="A1974" i="1"/>
  <c r="D1973" i="1"/>
  <c r="C1973" i="1"/>
  <c r="B1973" i="1"/>
  <c r="A1973" i="1"/>
  <c r="D1972" i="1"/>
  <c r="C1972" i="1"/>
  <c r="B1972" i="1"/>
  <c r="A1972" i="1"/>
  <c r="D1971" i="1"/>
  <c r="C1971" i="1"/>
  <c r="B1971" i="1"/>
  <c r="A1971" i="1"/>
  <c r="D1970" i="1"/>
  <c r="C1970" i="1"/>
  <c r="B1970" i="1"/>
  <c r="A1970" i="1"/>
  <c r="D1969" i="1"/>
  <c r="C1969" i="1"/>
  <c r="B1969" i="1"/>
  <c r="A1969" i="1"/>
  <c r="D1968" i="1"/>
  <c r="C1968" i="1"/>
  <c r="B1968" i="1"/>
  <c r="A1968" i="1"/>
  <c r="D1967" i="1"/>
  <c r="C1967" i="1"/>
  <c r="B1967" i="1"/>
  <c r="A1967" i="1"/>
  <c r="D1966" i="1"/>
  <c r="C1966" i="1"/>
  <c r="B1966" i="1"/>
  <c r="A1966" i="1"/>
  <c r="D1965" i="1"/>
  <c r="C1965" i="1"/>
  <c r="B1965" i="1"/>
  <c r="A1965" i="1"/>
  <c r="D1964" i="1"/>
  <c r="C1964" i="1"/>
  <c r="B1964" i="1"/>
  <c r="A1964" i="1"/>
  <c r="D1963" i="1"/>
  <c r="C1963" i="1"/>
  <c r="B1963" i="1"/>
  <c r="A1963" i="1"/>
  <c r="D1962" i="1"/>
  <c r="C1962" i="1"/>
  <c r="B1962" i="1"/>
  <c r="A1962" i="1"/>
  <c r="D1961" i="1"/>
  <c r="C1961" i="1"/>
  <c r="B1961" i="1"/>
  <c r="A1961" i="1"/>
  <c r="D1960" i="1"/>
  <c r="C1960" i="1"/>
  <c r="B1960" i="1"/>
  <c r="A1960" i="1"/>
  <c r="D1959" i="1"/>
  <c r="C1959" i="1"/>
  <c r="B1959" i="1"/>
  <c r="A1959" i="1"/>
  <c r="D1958" i="1"/>
  <c r="C1958" i="1"/>
  <c r="B1958" i="1"/>
  <c r="A1958" i="1"/>
  <c r="D1957" i="1"/>
  <c r="C1957" i="1"/>
  <c r="B1957" i="1"/>
  <c r="A1957" i="1"/>
  <c r="D1956" i="1"/>
  <c r="C1956" i="1"/>
  <c r="B1956" i="1"/>
  <c r="A1956" i="1"/>
  <c r="D1955" i="1"/>
  <c r="C1955" i="1"/>
  <c r="B1955" i="1"/>
  <c r="A1955" i="1"/>
  <c r="D1954" i="1"/>
  <c r="C1954" i="1"/>
  <c r="B1954" i="1"/>
  <c r="A1954" i="1"/>
  <c r="D1953" i="1"/>
  <c r="C1953" i="1"/>
  <c r="B1953" i="1"/>
  <c r="A1953" i="1"/>
  <c r="D1952" i="1"/>
  <c r="C1952" i="1"/>
  <c r="B1952" i="1"/>
  <c r="A1952" i="1"/>
  <c r="D1951" i="1"/>
  <c r="C1951" i="1"/>
  <c r="B1951" i="1"/>
  <c r="A1951" i="1"/>
  <c r="D1950" i="1"/>
  <c r="C1950" i="1"/>
  <c r="B1950" i="1"/>
  <c r="A1950" i="1"/>
  <c r="D1949" i="1"/>
  <c r="C1949" i="1"/>
  <c r="B1949" i="1"/>
  <c r="A1949" i="1"/>
  <c r="D1948" i="1"/>
  <c r="C1948" i="1"/>
  <c r="B1948" i="1"/>
  <c r="A1948" i="1"/>
  <c r="D1947" i="1"/>
  <c r="C1947" i="1"/>
  <c r="B1947" i="1"/>
  <c r="A1947" i="1"/>
  <c r="D1946" i="1"/>
  <c r="C1946" i="1"/>
  <c r="B1946" i="1"/>
  <c r="A1946" i="1"/>
  <c r="D1945" i="1"/>
  <c r="C1945" i="1"/>
  <c r="B1945" i="1"/>
  <c r="A1945" i="1"/>
  <c r="D1944" i="1"/>
  <c r="C1944" i="1"/>
  <c r="B1944" i="1"/>
  <c r="A1944" i="1"/>
  <c r="D1943" i="1"/>
  <c r="C1943" i="1"/>
  <c r="B1943" i="1"/>
  <c r="A1943" i="1"/>
  <c r="D1942" i="1"/>
  <c r="C1942" i="1"/>
  <c r="B1942" i="1"/>
  <c r="A1942" i="1"/>
  <c r="D1941" i="1"/>
  <c r="C1941" i="1"/>
  <c r="B1941" i="1"/>
  <c r="A1941" i="1"/>
  <c r="D1940" i="1"/>
  <c r="C1940" i="1"/>
  <c r="B1940" i="1"/>
  <c r="A1940" i="1"/>
  <c r="D1939" i="1"/>
  <c r="C1939" i="1"/>
  <c r="B1939" i="1"/>
  <c r="A1939" i="1"/>
  <c r="D1938" i="1"/>
  <c r="C1938" i="1"/>
  <c r="B1938" i="1"/>
  <c r="A1938" i="1"/>
  <c r="D1937" i="1"/>
  <c r="C1937" i="1"/>
  <c r="B1937" i="1"/>
  <c r="A1937" i="1"/>
  <c r="D1936" i="1"/>
  <c r="C1936" i="1"/>
  <c r="B1936" i="1"/>
  <c r="A1936" i="1"/>
  <c r="D1935" i="1"/>
  <c r="C1935" i="1"/>
  <c r="B1935" i="1"/>
  <c r="A1935" i="1"/>
  <c r="D1934" i="1"/>
  <c r="C1934" i="1"/>
  <c r="B1934" i="1"/>
  <c r="A1934" i="1"/>
  <c r="D1933" i="1"/>
  <c r="C1933" i="1"/>
  <c r="B1933" i="1"/>
  <c r="A1933" i="1"/>
  <c r="D1932" i="1"/>
  <c r="C1932" i="1"/>
  <c r="B1932" i="1"/>
  <c r="A1932" i="1"/>
  <c r="D1931" i="1"/>
  <c r="C1931" i="1"/>
  <c r="B1931" i="1"/>
  <c r="A1931" i="1"/>
  <c r="D1930" i="1"/>
  <c r="C1930" i="1"/>
  <c r="B1930" i="1"/>
  <c r="A1930" i="1"/>
  <c r="D1929" i="1"/>
  <c r="C1929" i="1"/>
  <c r="B1929" i="1"/>
  <c r="A1929" i="1"/>
  <c r="D1928" i="1"/>
  <c r="C1928" i="1"/>
  <c r="B1928" i="1"/>
  <c r="A1928" i="1"/>
  <c r="D1927" i="1"/>
  <c r="C1927" i="1"/>
  <c r="B1927" i="1"/>
  <c r="A1927" i="1"/>
  <c r="D1926" i="1"/>
  <c r="C1926" i="1"/>
  <c r="B1926" i="1"/>
  <c r="A1926" i="1"/>
  <c r="D1925" i="1"/>
  <c r="C1925" i="1"/>
  <c r="B1925" i="1"/>
  <c r="A1925" i="1"/>
  <c r="D1924" i="1"/>
  <c r="C1924" i="1"/>
  <c r="B1924" i="1"/>
  <c r="A1924" i="1"/>
  <c r="D1923" i="1"/>
  <c r="C1923" i="1"/>
  <c r="B1923" i="1"/>
  <c r="A1923" i="1"/>
  <c r="D1922" i="1"/>
  <c r="C1922" i="1"/>
  <c r="B1922" i="1"/>
  <c r="A1922" i="1"/>
  <c r="D1921" i="1"/>
  <c r="C1921" i="1"/>
  <c r="B1921" i="1"/>
  <c r="A1921" i="1"/>
  <c r="D1920" i="1"/>
  <c r="C1920" i="1"/>
  <c r="B1920" i="1"/>
  <c r="A1920" i="1"/>
  <c r="D1919" i="1"/>
  <c r="C1919" i="1"/>
  <c r="B1919" i="1"/>
  <c r="A1919" i="1"/>
  <c r="D1918" i="1"/>
  <c r="C1918" i="1"/>
  <c r="B1918" i="1"/>
  <c r="A1918" i="1"/>
  <c r="D1917" i="1"/>
  <c r="C1917" i="1"/>
  <c r="B1917" i="1"/>
  <c r="A1917" i="1"/>
  <c r="D1916" i="1"/>
  <c r="C1916" i="1"/>
  <c r="B1916" i="1"/>
  <c r="A1916" i="1"/>
  <c r="D1915" i="1"/>
  <c r="C1915" i="1"/>
  <c r="B1915" i="1"/>
  <c r="A1915" i="1"/>
  <c r="D1914" i="1"/>
  <c r="C1914" i="1"/>
  <c r="B1914" i="1"/>
  <c r="A1914" i="1"/>
  <c r="D1913" i="1"/>
  <c r="C1913" i="1"/>
  <c r="B1913" i="1"/>
  <c r="A1913" i="1"/>
  <c r="D1912" i="1"/>
  <c r="C1912" i="1"/>
  <c r="B1912" i="1"/>
  <c r="A1912" i="1"/>
  <c r="D1911" i="1"/>
  <c r="C1911" i="1"/>
  <c r="B1911" i="1"/>
  <c r="A1911" i="1"/>
  <c r="D1910" i="1"/>
  <c r="C1910" i="1"/>
  <c r="B1910" i="1"/>
  <c r="A1910" i="1"/>
  <c r="D1909" i="1"/>
  <c r="C1909" i="1"/>
  <c r="B1909" i="1"/>
  <c r="A1909" i="1"/>
  <c r="D1908" i="1"/>
  <c r="C1908" i="1"/>
  <c r="B1908" i="1"/>
  <c r="A1908" i="1"/>
  <c r="D1907" i="1"/>
  <c r="C1907" i="1"/>
  <c r="B1907" i="1"/>
  <c r="A1907" i="1"/>
  <c r="D1906" i="1"/>
  <c r="C1906" i="1"/>
  <c r="B1906" i="1"/>
  <c r="A1906" i="1"/>
  <c r="D1905" i="1"/>
  <c r="C1905" i="1"/>
  <c r="B1905" i="1"/>
  <c r="A1905" i="1"/>
  <c r="D1904" i="1"/>
  <c r="C1904" i="1"/>
  <c r="B1904" i="1"/>
  <c r="A1904" i="1"/>
  <c r="D1903" i="1"/>
  <c r="C1903" i="1"/>
  <c r="B1903" i="1"/>
  <c r="A1903" i="1"/>
  <c r="D1902" i="1"/>
  <c r="C1902" i="1"/>
  <c r="B1902" i="1"/>
  <c r="A1902" i="1"/>
  <c r="D1901" i="1"/>
  <c r="C1901" i="1"/>
  <c r="B1901" i="1"/>
  <c r="A1901" i="1"/>
  <c r="D1900" i="1"/>
  <c r="C1900" i="1"/>
  <c r="B1900" i="1"/>
  <c r="A1900" i="1"/>
  <c r="D1899" i="1"/>
  <c r="C1899" i="1"/>
  <c r="B1899" i="1"/>
  <c r="A1899" i="1"/>
  <c r="D1898" i="1"/>
  <c r="C1898" i="1"/>
  <c r="B1898" i="1"/>
  <c r="A1898" i="1"/>
  <c r="D1897" i="1"/>
  <c r="C1897" i="1"/>
  <c r="B1897" i="1"/>
  <c r="A1897" i="1"/>
  <c r="D1896" i="1"/>
  <c r="C1896" i="1"/>
  <c r="B1896" i="1"/>
  <c r="A1896" i="1"/>
  <c r="D1895" i="1"/>
  <c r="C1895" i="1"/>
  <c r="B1895" i="1"/>
  <c r="A1895" i="1"/>
  <c r="D1894" i="1"/>
  <c r="C1894" i="1"/>
  <c r="B1894" i="1"/>
  <c r="A1894" i="1"/>
  <c r="D1893" i="1"/>
  <c r="C1893" i="1"/>
  <c r="B1893" i="1"/>
  <c r="A1893" i="1"/>
  <c r="D1892" i="1"/>
  <c r="C1892" i="1"/>
  <c r="B1892" i="1"/>
  <c r="A1892" i="1"/>
  <c r="D1891" i="1"/>
  <c r="C1891" i="1"/>
  <c r="B1891" i="1"/>
  <c r="A1891" i="1"/>
  <c r="D1890" i="1"/>
  <c r="C1890" i="1"/>
  <c r="B1890" i="1"/>
  <c r="A1890" i="1"/>
  <c r="D1889" i="1"/>
  <c r="C1889" i="1"/>
  <c r="B1889" i="1"/>
  <c r="A1889" i="1"/>
  <c r="D1888" i="1"/>
  <c r="C1888" i="1"/>
  <c r="B1888" i="1"/>
  <c r="A1888" i="1"/>
  <c r="D1887" i="1"/>
  <c r="C1887" i="1"/>
  <c r="B1887" i="1"/>
  <c r="A1887" i="1"/>
  <c r="D1886" i="1"/>
  <c r="C1886" i="1"/>
  <c r="B1886" i="1"/>
  <c r="A1886" i="1"/>
  <c r="D1885" i="1"/>
  <c r="C1885" i="1"/>
  <c r="B1885" i="1"/>
  <c r="A1885" i="1"/>
  <c r="D1884" i="1"/>
  <c r="C1884" i="1"/>
  <c r="B1884" i="1"/>
  <c r="A1884" i="1"/>
  <c r="D1883" i="1"/>
  <c r="C1883" i="1"/>
  <c r="B1883" i="1"/>
  <c r="A1883" i="1"/>
  <c r="D1882" i="1"/>
  <c r="C1882" i="1"/>
  <c r="B1882" i="1"/>
  <c r="A1882" i="1"/>
  <c r="D1881" i="1"/>
  <c r="C1881" i="1"/>
  <c r="B1881" i="1"/>
  <c r="A1881" i="1"/>
  <c r="D1880" i="1"/>
  <c r="C1880" i="1"/>
  <c r="B1880" i="1"/>
  <c r="A1880" i="1"/>
  <c r="D1879" i="1"/>
  <c r="C1879" i="1"/>
  <c r="B1879" i="1"/>
  <c r="A1879" i="1"/>
  <c r="D1878" i="1"/>
  <c r="C1878" i="1"/>
  <c r="B1878" i="1"/>
  <c r="A1878" i="1"/>
  <c r="D1877" i="1"/>
  <c r="C1877" i="1"/>
  <c r="B1877" i="1"/>
  <c r="A1877" i="1"/>
  <c r="D1876" i="1"/>
  <c r="C1876" i="1"/>
  <c r="B1876" i="1"/>
  <c r="A1876" i="1"/>
  <c r="D1875" i="1"/>
  <c r="C1875" i="1"/>
  <c r="B1875" i="1"/>
  <c r="A1875" i="1"/>
  <c r="D1874" i="1"/>
  <c r="C1874" i="1"/>
  <c r="B1874" i="1"/>
  <c r="A1874" i="1"/>
  <c r="D1873" i="1"/>
  <c r="C1873" i="1"/>
  <c r="B1873" i="1"/>
  <c r="A1873" i="1"/>
  <c r="D1872" i="1"/>
  <c r="C1872" i="1"/>
  <c r="B1872" i="1"/>
  <c r="A1872" i="1"/>
  <c r="D1871" i="1"/>
  <c r="C1871" i="1"/>
  <c r="B1871" i="1"/>
  <c r="A1871" i="1"/>
  <c r="D1870" i="1"/>
  <c r="C1870" i="1"/>
  <c r="B1870" i="1"/>
  <c r="A1870" i="1"/>
  <c r="D1869" i="1"/>
  <c r="C1869" i="1"/>
  <c r="B1869" i="1"/>
  <c r="A1869" i="1"/>
  <c r="D1868" i="1"/>
  <c r="C1868" i="1"/>
  <c r="B1868" i="1"/>
  <c r="A1868" i="1"/>
  <c r="D1867" i="1"/>
  <c r="C1867" i="1"/>
  <c r="B1867" i="1"/>
  <c r="A1867" i="1"/>
  <c r="D1866" i="1"/>
  <c r="C1866" i="1"/>
  <c r="B1866" i="1"/>
  <c r="A1866" i="1"/>
  <c r="D1865" i="1"/>
  <c r="C1865" i="1"/>
  <c r="B1865" i="1"/>
  <c r="A1865" i="1"/>
  <c r="D1864" i="1"/>
  <c r="C1864" i="1"/>
  <c r="B1864" i="1"/>
  <c r="A1864" i="1"/>
  <c r="D1863" i="1"/>
  <c r="C1863" i="1"/>
  <c r="B1863" i="1"/>
  <c r="A1863" i="1"/>
  <c r="D1862" i="1"/>
  <c r="C1862" i="1"/>
  <c r="B1862" i="1"/>
  <c r="A1862" i="1"/>
  <c r="D1861" i="1"/>
  <c r="C1861" i="1"/>
  <c r="B1861" i="1"/>
  <c r="A1861" i="1"/>
  <c r="D1860" i="1"/>
  <c r="C1860" i="1"/>
  <c r="B1860" i="1"/>
  <c r="A1860" i="1"/>
  <c r="D1859" i="1"/>
  <c r="C1859" i="1"/>
  <c r="B1859" i="1"/>
  <c r="A1859" i="1"/>
  <c r="D1858" i="1"/>
  <c r="C1858" i="1"/>
  <c r="B1858" i="1"/>
  <c r="A1858" i="1"/>
  <c r="D1857" i="1"/>
  <c r="C1857" i="1"/>
  <c r="B1857" i="1"/>
  <c r="A1857" i="1"/>
  <c r="D1856" i="1"/>
  <c r="C1856" i="1"/>
  <c r="B1856" i="1"/>
  <c r="A1856" i="1"/>
  <c r="D1855" i="1"/>
  <c r="C1855" i="1"/>
  <c r="B1855" i="1"/>
  <c r="A1855" i="1"/>
  <c r="D1854" i="1"/>
  <c r="C1854" i="1"/>
  <c r="B1854" i="1"/>
  <c r="A1854" i="1"/>
  <c r="D1853" i="1"/>
  <c r="C1853" i="1"/>
  <c r="B1853" i="1"/>
  <c r="A1853" i="1"/>
  <c r="D1852" i="1"/>
  <c r="C1852" i="1"/>
  <c r="B1852" i="1"/>
  <c r="A1852" i="1"/>
  <c r="D1851" i="1"/>
  <c r="C1851" i="1"/>
  <c r="B1851" i="1"/>
  <c r="A1851" i="1"/>
  <c r="D1850" i="1"/>
  <c r="C1850" i="1"/>
  <c r="B1850" i="1"/>
  <c r="A1850" i="1"/>
  <c r="D1849" i="1"/>
  <c r="C1849" i="1"/>
  <c r="B1849" i="1"/>
  <c r="A1849" i="1"/>
  <c r="D1848" i="1"/>
  <c r="C1848" i="1"/>
  <c r="B1848" i="1"/>
  <c r="A1848" i="1"/>
  <c r="D1847" i="1"/>
  <c r="C1847" i="1"/>
  <c r="B1847" i="1"/>
  <c r="A1847" i="1"/>
  <c r="D1846" i="1"/>
  <c r="C1846" i="1"/>
  <c r="B1846" i="1"/>
  <c r="A1846" i="1"/>
  <c r="D1845" i="1"/>
  <c r="C1845" i="1"/>
  <c r="B1845" i="1"/>
  <c r="A1845" i="1"/>
  <c r="D1844" i="1"/>
  <c r="C1844" i="1"/>
  <c r="B1844" i="1"/>
  <c r="A1844" i="1"/>
  <c r="D1843" i="1"/>
  <c r="C1843" i="1"/>
  <c r="B1843" i="1"/>
  <c r="A1843" i="1"/>
  <c r="D1842" i="1"/>
  <c r="C1842" i="1"/>
  <c r="B1842" i="1"/>
  <c r="A1842" i="1"/>
  <c r="D1841" i="1"/>
  <c r="C1841" i="1"/>
  <c r="B1841" i="1"/>
  <c r="A1841" i="1"/>
  <c r="D1840" i="1"/>
  <c r="C1840" i="1"/>
  <c r="B1840" i="1"/>
  <c r="A1840" i="1"/>
  <c r="D1839" i="1"/>
  <c r="C1839" i="1"/>
  <c r="B1839" i="1"/>
  <c r="A1839" i="1"/>
  <c r="D1838" i="1"/>
  <c r="C1838" i="1"/>
  <c r="B1838" i="1"/>
  <c r="A1838" i="1"/>
  <c r="D1837" i="1"/>
  <c r="C1837" i="1"/>
  <c r="B1837" i="1"/>
  <c r="A1837" i="1"/>
  <c r="D1836" i="1"/>
  <c r="C1836" i="1"/>
  <c r="B1836" i="1"/>
  <c r="A1836" i="1"/>
  <c r="D1835" i="1"/>
  <c r="C1835" i="1"/>
  <c r="B1835" i="1"/>
  <c r="A1835" i="1"/>
  <c r="D1834" i="1"/>
  <c r="C1834" i="1"/>
  <c r="B1834" i="1"/>
  <c r="A1834" i="1"/>
  <c r="D1833" i="1"/>
  <c r="C1833" i="1"/>
  <c r="B1833" i="1"/>
  <c r="A1833" i="1"/>
  <c r="D1832" i="1"/>
  <c r="C1832" i="1"/>
  <c r="B1832" i="1"/>
  <c r="A1832" i="1"/>
  <c r="D1831" i="1"/>
  <c r="C1831" i="1"/>
  <c r="B1831" i="1"/>
  <c r="A1831" i="1"/>
  <c r="D1830" i="1"/>
  <c r="C1830" i="1"/>
  <c r="B1830" i="1"/>
  <c r="A1830" i="1"/>
  <c r="D1829" i="1"/>
  <c r="C1829" i="1"/>
  <c r="B1829" i="1"/>
  <c r="A1829" i="1"/>
  <c r="D1828" i="1"/>
  <c r="C1828" i="1"/>
  <c r="B1828" i="1"/>
  <c r="A1828" i="1"/>
  <c r="D1827" i="1"/>
  <c r="C1827" i="1"/>
  <c r="B1827" i="1"/>
  <c r="A1827" i="1"/>
  <c r="D1826" i="1"/>
  <c r="C1826" i="1"/>
  <c r="B1826" i="1"/>
  <c r="A1826" i="1"/>
  <c r="D1825" i="1"/>
  <c r="C1825" i="1"/>
  <c r="B1825" i="1"/>
  <c r="A1825" i="1"/>
  <c r="D1824" i="1"/>
  <c r="C1824" i="1"/>
  <c r="B1824" i="1"/>
  <c r="A1824" i="1"/>
  <c r="D1823" i="1"/>
  <c r="C1823" i="1"/>
  <c r="B1823" i="1"/>
  <c r="A1823" i="1"/>
  <c r="D1822" i="1"/>
  <c r="C1822" i="1"/>
  <c r="B1822" i="1"/>
  <c r="A1822" i="1"/>
  <c r="D1821" i="1"/>
  <c r="C1821" i="1"/>
  <c r="B1821" i="1"/>
  <c r="A1821" i="1"/>
  <c r="D1820" i="1"/>
  <c r="C1820" i="1"/>
  <c r="B1820" i="1"/>
  <c r="A1820" i="1"/>
  <c r="D1819" i="1"/>
  <c r="C1819" i="1"/>
  <c r="B1819" i="1"/>
  <c r="A1819" i="1"/>
  <c r="D1818" i="1"/>
  <c r="C1818" i="1"/>
  <c r="B1818" i="1"/>
  <c r="A1818" i="1"/>
  <c r="D1817" i="1"/>
  <c r="C1817" i="1"/>
  <c r="B1817" i="1"/>
  <c r="A1817" i="1"/>
  <c r="D1816" i="1"/>
  <c r="C1816" i="1"/>
  <c r="B1816" i="1"/>
  <c r="A1816" i="1"/>
  <c r="D1815" i="1"/>
  <c r="C1815" i="1"/>
  <c r="B1815" i="1"/>
  <c r="A1815" i="1"/>
  <c r="D1814" i="1"/>
  <c r="C1814" i="1"/>
  <c r="B1814" i="1"/>
  <c r="A1814" i="1"/>
  <c r="D1813" i="1"/>
  <c r="C1813" i="1"/>
  <c r="B1813" i="1"/>
  <c r="A1813" i="1"/>
  <c r="D1812" i="1"/>
  <c r="C1812" i="1"/>
  <c r="B1812" i="1"/>
  <c r="A1812" i="1"/>
  <c r="D1811" i="1"/>
  <c r="C1811" i="1"/>
  <c r="B1811" i="1"/>
  <c r="A1811" i="1"/>
  <c r="D1810" i="1"/>
  <c r="C1810" i="1"/>
  <c r="B1810" i="1"/>
  <c r="A1810" i="1"/>
  <c r="D1809" i="1"/>
  <c r="C1809" i="1"/>
  <c r="B1809" i="1"/>
  <c r="A1809" i="1"/>
  <c r="D1808" i="1"/>
  <c r="C1808" i="1"/>
  <c r="B1808" i="1"/>
  <c r="A1808" i="1"/>
  <c r="D1807" i="1"/>
  <c r="C1807" i="1"/>
  <c r="B1807" i="1"/>
  <c r="A1807" i="1"/>
  <c r="D1806" i="1"/>
  <c r="C1806" i="1"/>
  <c r="B1806" i="1"/>
  <c r="A1806" i="1"/>
  <c r="D1805" i="1"/>
  <c r="C1805" i="1"/>
  <c r="B1805" i="1"/>
  <c r="A1805" i="1"/>
  <c r="D1804" i="1"/>
  <c r="C1804" i="1"/>
  <c r="B1804" i="1"/>
  <c r="A1804" i="1"/>
  <c r="D1803" i="1"/>
  <c r="C1803" i="1"/>
  <c r="B1803" i="1"/>
  <c r="A1803" i="1"/>
  <c r="D1802" i="1"/>
  <c r="C1802" i="1"/>
  <c r="B1802" i="1"/>
  <c r="A1802" i="1"/>
  <c r="D1801" i="1"/>
  <c r="C1801" i="1"/>
  <c r="B1801" i="1"/>
  <c r="A1801" i="1"/>
  <c r="D1800" i="1"/>
  <c r="C1800" i="1"/>
  <c r="B1800" i="1"/>
  <c r="A1800" i="1"/>
  <c r="D1799" i="1"/>
  <c r="C1799" i="1"/>
  <c r="B1799" i="1"/>
  <c r="A1799" i="1"/>
  <c r="D1798" i="1"/>
  <c r="C1798" i="1"/>
  <c r="B1798" i="1"/>
  <c r="A1798" i="1"/>
  <c r="D1797" i="1"/>
  <c r="C1797" i="1"/>
  <c r="B1797" i="1"/>
  <c r="A1797" i="1"/>
  <c r="D1796" i="1"/>
  <c r="C1796" i="1"/>
  <c r="B1796" i="1"/>
  <c r="A1796" i="1"/>
  <c r="D1795" i="1"/>
  <c r="C1795" i="1"/>
  <c r="B1795" i="1"/>
  <c r="A1795" i="1"/>
  <c r="D1794" i="1"/>
  <c r="C1794" i="1"/>
  <c r="B1794" i="1"/>
  <c r="A1794" i="1"/>
  <c r="D1793" i="1"/>
  <c r="C1793" i="1"/>
  <c r="B1793" i="1"/>
  <c r="A1793" i="1"/>
  <c r="D1792" i="1"/>
  <c r="C1792" i="1"/>
  <c r="B1792" i="1"/>
  <c r="A1792" i="1"/>
  <c r="D1791" i="1"/>
  <c r="C1791" i="1"/>
  <c r="B1791" i="1"/>
  <c r="A1791" i="1"/>
  <c r="D1790" i="1"/>
  <c r="C1790" i="1"/>
  <c r="B1790" i="1"/>
  <c r="A1790" i="1"/>
  <c r="D1789" i="1"/>
  <c r="C1789" i="1"/>
  <c r="B1789" i="1"/>
  <c r="A1789" i="1"/>
  <c r="D1788" i="1"/>
  <c r="C1788" i="1"/>
  <c r="B1788" i="1"/>
  <c r="A1788" i="1"/>
  <c r="D1787" i="1"/>
  <c r="C1787" i="1"/>
  <c r="B1787" i="1"/>
  <c r="A1787" i="1"/>
  <c r="D1786" i="1"/>
  <c r="C1786" i="1"/>
  <c r="B1786" i="1"/>
  <c r="A1786" i="1"/>
  <c r="D1785" i="1"/>
  <c r="C1785" i="1"/>
  <c r="B1785" i="1"/>
  <c r="A1785" i="1"/>
  <c r="D1784" i="1"/>
  <c r="C1784" i="1"/>
  <c r="B1784" i="1"/>
  <c r="A1784" i="1"/>
  <c r="D1783" i="1"/>
  <c r="C1783" i="1"/>
  <c r="B1783" i="1"/>
  <c r="A1783" i="1"/>
  <c r="D1782" i="1"/>
  <c r="C1782" i="1"/>
  <c r="B1782" i="1"/>
  <c r="A1782" i="1"/>
  <c r="D1781" i="1"/>
  <c r="C1781" i="1"/>
  <c r="B1781" i="1"/>
  <c r="A1781" i="1"/>
  <c r="D1780" i="1"/>
  <c r="C1780" i="1"/>
  <c r="B1780" i="1"/>
  <c r="A1780" i="1"/>
  <c r="D1779" i="1"/>
  <c r="C1779" i="1"/>
  <c r="B1779" i="1"/>
  <c r="A1779" i="1"/>
  <c r="D1778" i="1"/>
  <c r="C1778" i="1"/>
  <c r="B1778" i="1"/>
  <c r="A1778" i="1"/>
  <c r="D1777" i="1"/>
  <c r="C1777" i="1"/>
  <c r="B1777" i="1"/>
  <c r="A1777" i="1"/>
  <c r="D1776" i="1"/>
  <c r="C1776" i="1"/>
  <c r="B1776" i="1"/>
  <c r="A1776" i="1"/>
  <c r="D1775" i="1"/>
  <c r="C1775" i="1"/>
  <c r="B1775" i="1"/>
  <c r="A1775" i="1"/>
  <c r="D1774" i="1"/>
  <c r="C1774" i="1"/>
  <c r="B1774" i="1"/>
  <c r="A1774" i="1"/>
  <c r="D1773" i="1"/>
  <c r="C1773" i="1"/>
  <c r="B1773" i="1"/>
  <c r="A1773" i="1"/>
  <c r="D1772" i="1"/>
  <c r="C1772" i="1"/>
  <c r="B1772" i="1"/>
  <c r="A1772" i="1"/>
  <c r="D1771" i="1"/>
  <c r="C1771" i="1"/>
  <c r="B1771" i="1"/>
  <c r="A1771" i="1"/>
  <c r="D1770" i="1"/>
  <c r="C1770" i="1"/>
  <c r="B1770" i="1"/>
  <c r="A1770" i="1"/>
  <c r="D1769" i="1"/>
  <c r="C1769" i="1"/>
  <c r="B1769" i="1"/>
  <c r="A1769" i="1"/>
  <c r="D1768" i="1"/>
  <c r="C1768" i="1"/>
  <c r="B1768" i="1"/>
  <c r="A1768" i="1"/>
  <c r="D1767" i="1"/>
  <c r="C1767" i="1"/>
  <c r="B1767" i="1"/>
  <c r="A1767" i="1"/>
  <c r="D1766" i="1"/>
  <c r="C1766" i="1"/>
  <c r="B1766" i="1"/>
  <c r="A1766" i="1"/>
  <c r="D1765" i="1"/>
  <c r="C1765" i="1"/>
  <c r="B1765" i="1"/>
  <c r="A1765" i="1"/>
  <c r="D1764" i="1"/>
  <c r="C1764" i="1"/>
  <c r="B1764" i="1"/>
  <c r="A1764" i="1"/>
  <c r="D1763" i="1"/>
  <c r="C1763" i="1"/>
  <c r="B1763" i="1"/>
  <c r="A1763" i="1"/>
  <c r="D1762" i="1"/>
  <c r="C1762" i="1"/>
  <c r="B1762" i="1"/>
  <c r="A1762" i="1"/>
  <c r="D1761" i="1"/>
  <c r="C1761" i="1"/>
  <c r="B1761" i="1"/>
  <c r="A1761" i="1"/>
  <c r="D1760" i="1"/>
  <c r="C1760" i="1"/>
  <c r="B1760" i="1"/>
  <c r="A1760" i="1"/>
  <c r="D1759" i="1"/>
  <c r="C1759" i="1"/>
  <c r="B1759" i="1"/>
  <c r="A1759" i="1"/>
  <c r="D1758" i="1"/>
  <c r="C1758" i="1"/>
  <c r="B1758" i="1"/>
  <c r="A1758" i="1"/>
  <c r="D1757" i="1"/>
  <c r="C1757" i="1"/>
  <c r="B1757" i="1"/>
  <c r="A1757" i="1"/>
  <c r="D1756" i="1"/>
  <c r="C1756" i="1"/>
  <c r="B1756" i="1"/>
  <c r="A1756" i="1"/>
  <c r="D1755" i="1"/>
  <c r="C1755" i="1"/>
  <c r="B1755" i="1"/>
  <c r="A1755" i="1"/>
  <c r="D1754" i="1"/>
  <c r="C1754" i="1"/>
  <c r="B1754" i="1"/>
  <c r="A1754" i="1"/>
  <c r="D1753" i="1"/>
  <c r="C1753" i="1"/>
  <c r="B1753" i="1"/>
  <c r="A1753" i="1"/>
  <c r="D1752" i="1"/>
  <c r="C1752" i="1"/>
  <c r="B1752" i="1"/>
  <c r="A1752" i="1"/>
  <c r="D1751" i="1"/>
  <c r="C1751" i="1"/>
  <c r="B1751" i="1"/>
  <c r="A1751" i="1"/>
  <c r="D1750" i="1"/>
  <c r="C1750" i="1"/>
  <c r="B1750" i="1"/>
  <c r="A1750" i="1"/>
  <c r="D1749" i="1"/>
  <c r="C1749" i="1"/>
  <c r="B1749" i="1"/>
  <c r="A1749" i="1"/>
  <c r="D1748" i="1"/>
  <c r="C1748" i="1"/>
  <c r="B1748" i="1"/>
  <c r="A1748" i="1"/>
  <c r="D1747" i="1"/>
  <c r="C1747" i="1"/>
  <c r="B1747" i="1"/>
  <c r="A1747" i="1"/>
  <c r="D1746" i="1"/>
  <c r="C1746" i="1"/>
  <c r="B1746" i="1"/>
  <c r="A1746" i="1"/>
  <c r="D1745" i="1"/>
  <c r="C1745" i="1"/>
  <c r="B1745" i="1"/>
  <c r="A1745" i="1"/>
  <c r="D1744" i="1"/>
  <c r="C1744" i="1"/>
  <c r="B1744" i="1"/>
  <c r="A1744" i="1"/>
  <c r="D1743" i="1"/>
  <c r="C1743" i="1"/>
  <c r="B1743" i="1"/>
  <c r="A1743" i="1"/>
  <c r="D1742" i="1"/>
  <c r="C1742" i="1"/>
  <c r="B1742" i="1"/>
  <c r="A1742" i="1"/>
  <c r="D1741" i="1"/>
  <c r="C1741" i="1"/>
  <c r="B1741" i="1"/>
  <c r="A1741" i="1"/>
  <c r="D1740" i="1"/>
  <c r="C1740" i="1"/>
  <c r="B1740" i="1"/>
  <c r="A1740" i="1"/>
  <c r="D1739" i="1"/>
  <c r="C1739" i="1"/>
  <c r="B1739" i="1"/>
  <c r="A1739" i="1"/>
  <c r="D1738" i="1"/>
  <c r="C1738" i="1"/>
  <c r="B1738" i="1"/>
  <c r="A1738" i="1"/>
  <c r="D1737" i="1"/>
  <c r="C1737" i="1"/>
  <c r="B1737" i="1"/>
  <c r="A1737" i="1"/>
  <c r="D1736" i="1"/>
  <c r="C1736" i="1"/>
  <c r="B1736" i="1"/>
  <c r="A1736" i="1"/>
  <c r="D1735" i="1"/>
  <c r="C1735" i="1"/>
  <c r="B1735" i="1"/>
  <c r="A1735" i="1"/>
  <c r="D1734" i="1"/>
  <c r="C1734" i="1"/>
  <c r="B1734" i="1"/>
  <c r="A1734" i="1"/>
  <c r="D1733" i="1"/>
  <c r="C1733" i="1"/>
  <c r="B1733" i="1"/>
  <c r="A1733" i="1"/>
  <c r="D1732" i="1"/>
  <c r="C1732" i="1"/>
  <c r="B1732" i="1"/>
  <c r="A1732" i="1"/>
  <c r="D1731" i="1"/>
  <c r="C1731" i="1"/>
  <c r="B1731" i="1"/>
  <c r="A1731" i="1"/>
  <c r="D1730" i="1"/>
  <c r="C1730" i="1"/>
  <c r="B1730" i="1"/>
  <c r="A1730" i="1"/>
  <c r="D1729" i="1"/>
  <c r="C1729" i="1"/>
  <c r="B1729" i="1"/>
  <c r="A1729" i="1"/>
  <c r="D1728" i="1"/>
  <c r="C1728" i="1"/>
  <c r="B1728" i="1"/>
  <c r="A1728" i="1"/>
  <c r="D1727" i="1"/>
  <c r="C1727" i="1"/>
  <c r="B1727" i="1"/>
  <c r="A1727" i="1"/>
  <c r="D1726" i="1"/>
  <c r="C1726" i="1"/>
  <c r="B1726" i="1"/>
  <c r="A1726" i="1"/>
  <c r="D1725" i="1"/>
  <c r="C1725" i="1"/>
  <c r="B1725" i="1"/>
  <c r="A1725" i="1"/>
  <c r="D1724" i="1"/>
  <c r="C1724" i="1"/>
  <c r="B1724" i="1"/>
  <c r="A1724" i="1"/>
  <c r="D1723" i="1"/>
  <c r="C1723" i="1"/>
  <c r="B1723" i="1"/>
  <c r="A1723" i="1"/>
  <c r="D1722" i="1"/>
  <c r="C1722" i="1"/>
  <c r="B1722" i="1"/>
  <c r="A1722" i="1"/>
  <c r="D1721" i="1"/>
  <c r="C1721" i="1"/>
  <c r="B1721" i="1"/>
  <c r="A1721" i="1"/>
  <c r="D1720" i="1"/>
  <c r="C1720" i="1"/>
  <c r="B1720" i="1"/>
  <c r="A1720" i="1"/>
  <c r="D1719" i="1"/>
  <c r="C1719" i="1"/>
  <c r="B1719" i="1"/>
  <c r="A1719" i="1"/>
  <c r="D1718" i="1"/>
  <c r="C1718" i="1"/>
  <c r="B1718" i="1"/>
  <c r="A1718" i="1"/>
  <c r="D1717" i="1"/>
  <c r="C1717" i="1"/>
  <c r="B1717" i="1"/>
  <c r="A1717" i="1"/>
  <c r="D1716" i="1"/>
  <c r="C1716" i="1"/>
  <c r="B1716" i="1"/>
  <c r="A1716" i="1"/>
  <c r="D1715" i="1"/>
  <c r="C1715" i="1"/>
  <c r="B1715" i="1"/>
  <c r="A1715" i="1"/>
  <c r="D1714" i="1"/>
  <c r="C1714" i="1"/>
  <c r="B1714" i="1"/>
  <c r="A1714" i="1"/>
  <c r="D1713" i="1"/>
  <c r="C1713" i="1"/>
  <c r="B1713" i="1"/>
  <c r="A1713" i="1"/>
  <c r="D1712" i="1"/>
  <c r="C1712" i="1"/>
  <c r="B1712" i="1"/>
  <c r="A1712" i="1"/>
  <c r="D1711" i="1"/>
  <c r="C1711" i="1"/>
  <c r="B1711" i="1"/>
  <c r="A1711" i="1"/>
  <c r="D1710" i="1"/>
  <c r="C1710" i="1"/>
  <c r="B1710" i="1"/>
  <c r="A1710" i="1"/>
  <c r="D1709" i="1"/>
  <c r="C1709" i="1"/>
  <c r="B1709" i="1"/>
  <c r="A1709" i="1"/>
  <c r="D1708" i="1"/>
  <c r="C1708" i="1"/>
  <c r="B1708" i="1"/>
  <c r="A1708" i="1"/>
  <c r="D1707" i="1"/>
  <c r="C1707" i="1"/>
  <c r="B1707" i="1"/>
  <c r="A1707" i="1"/>
  <c r="D1706" i="1"/>
  <c r="C1706" i="1"/>
  <c r="B1706" i="1"/>
  <c r="A1706" i="1"/>
  <c r="D1705" i="1"/>
  <c r="C1705" i="1"/>
  <c r="B1705" i="1"/>
  <c r="A1705" i="1"/>
  <c r="D1704" i="1"/>
  <c r="C1704" i="1"/>
  <c r="B1704" i="1"/>
  <c r="A1704" i="1"/>
  <c r="D1703" i="1"/>
  <c r="C1703" i="1"/>
  <c r="B1703" i="1"/>
  <c r="A1703" i="1"/>
  <c r="D1702" i="1"/>
  <c r="C1702" i="1"/>
  <c r="B1702" i="1"/>
  <c r="A1702" i="1"/>
  <c r="D1701" i="1"/>
  <c r="C1701" i="1"/>
  <c r="B1701" i="1"/>
  <c r="A1701" i="1"/>
  <c r="D1700" i="1"/>
  <c r="C1700" i="1"/>
  <c r="B1700" i="1"/>
  <c r="A1700" i="1"/>
  <c r="D1699" i="1"/>
  <c r="C1699" i="1"/>
  <c r="B1699" i="1"/>
  <c r="A1699" i="1"/>
  <c r="D1698" i="1"/>
  <c r="C1698" i="1"/>
  <c r="B1698" i="1"/>
  <c r="A1698" i="1"/>
  <c r="D1697" i="1"/>
  <c r="C1697" i="1"/>
  <c r="B1697" i="1"/>
  <c r="A1697" i="1"/>
  <c r="D1696" i="1"/>
  <c r="C1696" i="1"/>
  <c r="B1696" i="1"/>
  <c r="A1696" i="1"/>
  <c r="D1695" i="1"/>
  <c r="C1695" i="1"/>
  <c r="B1695" i="1"/>
  <c r="A1695" i="1"/>
  <c r="D1694" i="1"/>
  <c r="C1694" i="1"/>
  <c r="B1694" i="1"/>
  <c r="A1694" i="1"/>
  <c r="D1693" i="1"/>
  <c r="C1693" i="1"/>
  <c r="B1693" i="1"/>
  <c r="A1693" i="1"/>
  <c r="D1692" i="1"/>
  <c r="C1692" i="1"/>
  <c r="B1692" i="1"/>
  <c r="A1692" i="1"/>
  <c r="D1691" i="1"/>
  <c r="C1691" i="1"/>
  <c r="B1691" i="1"/>
  <c r="A1691" i="1"/>
  <c r="D1690" i="1"/>
  <c r="C1690" i="1"/>
  <c r="B1690" i="1"/>
  <c r="A1690" i="1"/>
  <c r="D1689" i="1"/>
  <c r="C1689" i="1"/>
  <c r="B1689" i="1"/>
  <c r="A1689" i="1"/>
  <c r="D1688" i="1"/>
  <c r="C1688" i="1"/>
  <c r="B1688" i="1"/>
  <c r="A1688" i="1"/>
  <c r="D1687" i="1"/>
  <c r="C1687" i="1"/>
  <c r="B1687" i="1"/>
  <c r="A1687" i="1"/>
  <c r="D1686" i="1"/>
  <c r="C1686" i="1"/>
  <c r="B1686" i="1"/>
  <c r="A1686" i="1"/>
  <c r="D1685" i="1"/>
  <c r="C1685" i="1"/>
  <c r="B1685" i="1"/>
  <c r="A1685" i="1"/>
  <c r="D1684" i="1"/>
  <c r="C1684" i="1"/>
  <c r="B1684" i="1"/>
  <c r="A1684" i="1"/>
  <c r="D1683" i="1"/>
  <c r="C1683" i="1"/>
  <c r="B1683" i="1"/>
  <c r="A1683" i="1"/>
  <c r="D1682" i="1"/>
  <c r="C1682" i="1"/>
  <c r="B1682" i="1"/>
  <c r="A1682" i="1"/>
  <c r="D1681" i="1"/>
  <c r="C1681" i="1"/>
  <c r="B1681" i="1"/>
  <c r="A1681" i="1"/>
  <c r="D1680" i="1"/>
  <c r="C1680" i="1"/>
  <c r="B1680" i="1"/>
  <c r="A1680" i="1"/>
  <c r="D1679" i="1"/>
  <c r="C1679" i="1"/>
  <c r="B1679" i="1"/>
  <c r="A1679" i="1"/>
  <c r="D1678" i="1"/>
  <c r="C1678" i="1"/>
  <c r="B1678" i="1"/>
  <c r="A1678" i="1"/>
  <c r="D1677" i="1"/>
  <c r="C1677" i="1"/>
  <c r="B1677" i="1"/>
  <c r="A1677" i="1"/>
  <c r="D1676" i="1"/>
  <c r="C1676" i="1"/>
  <c r="B1676" i="1"/>
  <c r="A1676" i="1"/>
  <c r="D1675" i="1"/>
  <c r="C1675" i="1"/>
  <c r="B1675" i="1"/>
  <c r="A1675" i="1"/>
  <c r="D1674" i="1"/>
  <c r="C1674" i="1"/>
  <c r="B1674" i="1"/>
  <c r="A1674" i="1"/>
  <c r="D1673" i="1"/>
  <c r="C1673" i="1"/>
  <c r="B1673" i="1"/>
  <c r="A1673" i="1"/>
  <c r="D1672" i="1"/>
  <c r="C1672" i="1"/>
  <c r="B1672" i="1"/>
  <c r="A1672" i="1"/>
  <c r="D1671" i="1"/>
  <c r="C1671" i="1"/>
  <c r="B1671" i="1"/>
  <c r="A1671" i="1"/>
  <c r="D1670" i="1"/>
  <c r="C1670" i="1"/>
  <c r="B1670" i="1"/>
  <c r="A1670" i="1"/>
  <c r="D1669" i="1"/>
  <c r="C1669" i="1"/>
  <c r="B1669" i="1"/>
  <c r="A1669" i="1"/>
  <c r="D1668" i="1"/>
  <c r="C1668" i="1"/>
  <c r="B1668" i="1"/>
  <c r="A1668" i="1"/>
  <c r="D1667" i="1"/>
  <c r="C1667" i="1"/>
  <c r="B1667" i="1"/>
  <c r="A1667" i="1"/>
  <c r="D1666" i="1"/>
  <c r="C1666" i="1"/>
  <c r="B1666" i="1"/>
  <c r="A1666" i="1"/>
  <c r="D1665" i="1"/>
  <c r="C1665" i="1"/>
  <c r="B1665" i="1"/>
  <c r="A1665" i="1"/>
  <c r="D1664" i="1"/>
  <c r="C1664" i="1"/>
  <c r="B1664" i="1"/>
  <c r="A1664" i="1"/>
  <c r="D1663" i="1"/>
  <c r="C1663" i="1"/>
  <c r="B1663" i="1"/>
  <c r="A1663" i="1"/>
  <c r="D1662" i="1"/>
  <c r="C1662" i="1"/>
  <c r="B1662" i="1"/>
  <c r="A1662" i="1"/>
  <c r="D1661" i="1"/>
  <c r="C1661" i="1"/>
  <c r="B1661" i="1"/>
  <c r="A1661" i="1"/>
  <c r="D1660" i="1"/>
  <c r="C1660" i="1"/>
  <c r="B1660" i="1"/>
  <c r="A1660" i="1"/>
  <c r="D1659" i="1"/>
  <c r="C1659" i="1"/>
  <c r="B1659" i="1"/>
  <c r="A1659" i="1"/>
  <c r="D1658" i="1"/>
  <c r="C1658" i="1"/>
  <c r="B1658" i="1"/>
  <c r="A1658" i="1"/>
  <c r="D1657" i="1"/>
  <c r="C1657" i="1"/>
  <c r="B1657" i="1"/>
  <c r="A1657" i="1"/>
  <c r="D1656" i="1"/>
  <c r="C1656" i="1"/>
  <c r="B1656" i="1"/>
  <c r="A1656" i="1"/>
  <c r="D1655" i="1"/>
  <c r="C1655" i="1"/>
  <c r="B1655" i="1"/>
  <c r="A1655" i="1"/>
  <c r="D1654" i="1"/>
  <c r="C1654" i="1"/>
  <c r="B1654" i="1"/>
  <c r="A1654" i="1"/>
  <c r="D1653" i="1"/>
  <c r="C1653" i="1"/>
  <c r="B1653" i="1"/>
  <c r="A1653" i="1"/>
  <c r="D1652" i="1"/>
  <c r="C1652" i="1"/>
  <c r="B1652" i="1"/>
  <c r="A1652" i="1"/>
  <c r="D1651" i="1"/>
  <c r="C1651" i="1"/>
  <c r="B1651" i="1"/>
  <c r="A1651" i="1"/>
  <c r="D1650" i="1"/>
  <c r="C1650" i="1"/>
  <c r="B1650" i="1"/>
  <c r="A1650" i="1"/>
  <c r="D1649" i="1"/>
  <c r="C1649" i="1"/>
  <c r="B1649" i="1"/>
  <c r="A1649" i="1"/>
  <c r="D1648" i="1"/>
  <c r="C1648" i="1"/>
  <c r="B1648" i="1"/>
  <c r="A1648" i="1"/>
  <c r="D1647" i="1"/>
  <c r="C1647" i="1"/>
  <c r="B1647" i="1"/>
  <c r="A1647" i="1"/>
  <c r="D1646" i="1"/>
  <c r="C1646" i="1"/>
  <c r="B1646" i="1"/>
  <c r="A1646" i="1"/>
  <c r="D1645" i="1"/>
  <c r="C1645" i="1"/>
  <c r="B1645" i="1"/>
  <c r="A1645" i="1"/>
  <c r="D1644" i="1"/>
  <c r="C1644" i="1"/>
  <c r="B1644" i="1"/>
  <c r="A1644" i="1"/>
  <c r="D1643" i="1"/>
  <c r="C1643" i="1"/>
  <c r="B1643" i="1"/>
  <c r="A1643" i="1"/>
  <c r="D1642" i="1"/>
  <c r="C1642" i="1"/>
  <c r="B1642" i="1"/>
  <c r="A1642" i="1"/>
  <c r="D1641" i="1"/>
  <c r="C1641" i="1"/>
  <c r="B1641" i="1"/>
  <c r="A1641" i="1"/>
  <c r="D1640" i="1"/>
  <c r="C1640" i="1"/>
  <c r="B1640" i="1"/>
  <c r="A1640" i="1"/>
  <c r="D1639" i="1"/>
  <c r="C1639" i="1"/>
  <c r="B1639" i="1"/>
  <c r="A1639" i="1"/>
  <c r="D1638" i="1"/>
  <c r="C1638" i="1"/>
  <c r="B1638" i="1"/>
  <c r="A1638" i="1"/>
  <c r="D1637" i="1"/>
  <c r="C1637" i="1"/>
  <c r="B1637" i="1"/>
  <c r="A1637" i="1"/>
  <c r="D1636" i="1"/>
  <c r="C1636" i="1"/>
  <c r="B1636" i="1"/>
  <c r="A1636" i="1"/>
  <c r="D1635" i="1"/>
  <c r="C1635" i="1"/>
  <c r="B1635" i="1"/>
  <c r="A1635" i="1"/>
  <c r="D1634" i="1"/>
  <c r="C1634" i="1"/>
  <c r="B1634" i="1"/>
  <c r="A1634" i="1"/>
  <c r="D1633" i="1"/>
  <c r="C1633" i="1"/>
  <c r="B1633" i="1"/>
  <c r="A1633" i="1"/>
  <c r="D1632" i="1"/>
  <c r="C1632" i="1"/>
  <c r="B1632" i="1"/>
  <c r="A1632" i="1"/>
  <c r="D1631" i="1"/>
  <c r="C1631" i="1"/>
  <c r="B1631" i="1"/>
  <c r="A1631" i="1"/>
  <c r="D1630" i="1"/>
  <c r="C1630" i="1"/>
  <c r="B1630" i="1"/>
  <c r="A1630" i="1"/>
  <c r="D1629" i="1"/>
  <c r="C1629" i="1"/>
  <c r="B1629" i="1"/>
  <c r="A1629" i="1"/>
  <c r="D1628" i="1"/>
  <c r="C1628" i="1"/>
  <c r="B1628" i="1"/>
  <c r="A1628" i="1"/>
  <c r="D1627" i="1"/>
  <c r="C1627" i="1"/>
  <c r="B1627" i="1"/>
  <c r="A1627" i="1"/>
  <c r="D1626" i="1"/>
  <c r="C1626" i="1"/>
  <c r="B1626" i="1"/>
  <c r="A1626" i="1"/>
  <c r="D1625" i="1"/>
  <c r="C1625" i="1"/>
  <c r="B1625" i="1"/>
  <c r="A1625" i="1"/>
  <c r="D1624" i="1"/>
  <c r="C1624" i="1"/>
  <c r="B1624" i="1"/>
  <c r="A1624" i="1"/>
  <c r="D1623" i="1"/>
  <c r="C1623" i="1"/>
  <c r="B1623" i="1"/>
  <c r="A1623" i="1"/>
  <c r="D1622" i="1"/>
  <c r="C1622" i="1"/>
  <c r="B1622" i="1"/>
  <c r="A1622" i="1"/>
  <c r="D1621" i="1"/>
  <c r="C1621" i="1"/>
  <c r="B1621" i="1"/>
  <c r="A1621" i="1"/>
  <c r="D1620" i="1"/>
  <c r="C1620" i="1"/>
  <c r="B1620" i="1"/>
  <c r="A1620" i="1"/>
  <c r="D1619" i="1"/>
  <c r="C1619" i="1"/>
  <c r="B1619" i="1"/>
  <c r="A1619" i="1"/>
  <c r="D1618" i="1"/>
  <c r="C1618" i="1"/>
  <c r="B1618" i="1"/>
  <c r="A1618" i="1"/>
  <c r="D1617" i="1"/>
  <c r="C1617" i="1"/>
  <c r="B1617" i="1"/>
  <c r="A1617" i="1"/>
  <c r="D1616" i="1"/>
  <c r="C1616" i="1"/>
  <c r="B1616" i="1"/>
  <c r="A1616" i="1"/>
  <c r="D1615" i="1"/>
  <c r="C1615" i="1"/>
  <c r="B1615" i="1"/>
  <c r="A1615" i="1"/>
  <c r="D1614" i="1"/>
  <c r="C1614" i="1"/>
  <c r="B1614" i="1"/>
  <c r="A1614" i="1"/>
  <c r="D1613" i="1"/>
  <c r="C1613" i="1"/>
  <c r="B1613" i="1"/>
  <c r="A1613" i="1"/>
  <c r="D1612" i="1"/>
  <c r="C1612" i="1"/>
  <c r="B1612" i="1"/>
  <c r="A1612" i="1"/>
  <c r="D1611" i="1"/>
  <c r="C1611" i="1"/>
  <c r="B1611" i="1"/>
  <c r="A1611" i="1"/>
  <c r="D1610" i="1"/>
  <c r="C1610" i="1"/>
  <c r="B1610" i="1"/>
  <c r="A1610" i="1"/>
  <c r="D1609" i="1"/>
  <c r="C1609" i="1"/>
  <c r="B1609" i="1"/>
  <c r="A1609" i="1"/>
  <c r="D1608" i="1"/>
  <c r="C1608" i="1"/>
  <c r="B1608" i="1"/>
  <c r="A1608" i="1"/>
  <c r="D1607" i="1"/>
  <c r="C1607" i="1"/>
  <c r="B1607" i="1"/>
  <c r="A1607" i="1"/>
  <c r="D1606" i="1"/>
  <c r="C1606" i="1"/>
  <c r="B1606" i="1"/>
  <c r="A1606" i="1"/>
  <c r="D1605" i="1"/>
  <c r="C1605" i="1"/>
  <c r="B1605" i="1"/>
  <c r="A1605" i="1"/>
  <c r="D1604" i="1"/>
  <c r="C1604" i="1"/>
  <c r="B1604" i="1"/>
  <c r="A1604" i="1"/>
  <c r="D1603" i="1"/>
  <c r="C1603" i="1"/>
  <c r="B1603" i="1"/>
  <c r="A1603" i="1"/>
  <c r="D1602" i="1"/>
  <c r="C1602" i="1"/>
  <c r="B1602" i="1"/>
  <c r="A1602" i="1"/>
  <c r="D1601" i="1"/>
  <c r="C1601" i="1"/>
  <c r="B1601" i="1"/>
  <c r="A1601" i="1"/>
  <c r="D1600" i="1"/>
  <c r="C1600" i="1"/>
  <c r="B1600" i="1"/>
  <c r="A1600" i="1"/>
  <c r="D1599" i="1"/>
  <c r="C1599" i="1"/>
  <c r="B1599" i="1"/>
  <c r="A1599" i="1"/>
  <c r="D1598" i="1"/>
  <c r="C1598" i="1"/>
  <c r="B1598" i="1"/>
  <c r="A1598" i="1"/>
  <c r="D1597" i="1"/>
  <c r="C1597" i="1"/>
  <c r="B1597" i="1"/>
  <c r="A1597" i="1"/>
  <c r="D1596" i="1"/>
  <c r="C1596" i="1"/>
  <c r="B1596" i="1"/>
  <c r="A1596" i="1"/>
  <c r="D1595" i="1"/>
  <c r="C1595" i="1"/>
  <c r="B1595" i="1"/>
  <c r="A1595" i="1"/>
  <c r="D1594" i="1"/>
  <c r="C1594" i="1"/>
  <c r="B1594" i="1"/>
  <c r="A1594" i="1"/>
  <c r="D1593" i="1"/>
  <c r="C1593" i="1"/>
  <c r="B1593" i="1"/>
  <c r="A1593" i="1"/>
  <c r="D1592" i="1"/>
  <c r="C1592" i="1"/>
  <c r="B1592" i="1"/>
  <c r="A1592" i="1"/>
  <c r="D1591" i="1"/>
  <c r="C1591" i="1"/>
  <c r="B1591" i="1"/>
  <c r="A1591" i="1"/>
  <c r="D1590" i="1"/>
  <c r="C1590" i="1"/>
  <c r="B1590" i="1"/>
  <c r="A1590" i="1"/>
  <c r="D1589" i="1"/>
  <c r="C1589" i="1"/>
  <c r="B1589" i="1"/>
  <c r="A1589" i="1"/>
  <c r="D1588" i="1"/>
  <c r="C1588" i="1"/>
  <c r="B1588" i="1"/>
  <c r="A1588" i="1"/>
  <c r="D1587" i="1"/>
  <c r="C1587" i="1"/>
  <c r="B1587" i="1"/>
  <c r="A1587" i="1"/>
  <c r="D1586" i="1"/>
  <c r="C1586" i="1"/>
  <c r="B1586" i="1"/>
  <c r="A1586" i="1"/>
  <c r="D1585" i="1"/>
  <c r="C1585" i="1"/>
  <c r="B1585" i="1"/>
  <c r="A1585" i="1"/>
  <c r="D1584" i="1"/>
  <c r="C1584" i="1"/>
  <c r="B1584" i="1"/>
  <c r="A1584" i="1"/>
  <c r="D1583" i="1"/>
  <c r="C1583" i="1"/>
  <c r="B1583" i="1"/>
  <c r="A1583" i="1"/>
  <c r="D1582" i="1"/>
  <c r="C1582" i="1"/>
  <c r="B1582" i="1"/>
  <c r="A1582" i="1"/>
  <c r="D1581" i="1"/>
  <c r="C1581" i="1"/>
  <c r="B1581" i="1"/>
  <c r="A1581" i="1"/>
  <c r="D1580" i="1"/>
  <c r="C1580" i="1"/>
  <c r="B1580" i="1"/>
  <c r="A1580" i="1"/>
  <c r="D1579" i="1"/>
  <c r="C1579" i="1"/>
  <c r="B1579" i="1"/>
  <c r="A1579" i="1"/>
  <c r="D1578" i="1"/>
  <c r="C1578" i="1"/>
  <c r="B1578" i="1"/>
  <c r="A1578" i="1"/>
  <c r="D1577" i="1"/>
  <c r="C1577" i="1"/>
  <c r="B1577" i="1"/>
  <c r="A1577" i="1"/>
  <c r="D1576" i="1"/>
  <c r="C1576" i="1"/>
  <c r="B1576" i="1"/>
  <c r="A1576" i="1"/>
  <c r="D1575" i="1"/>
  <c r="C1575" i="1"/>
  <c r="B1575" i="1"/>
  <c r="A1575" i="1"/>
  <c r="D1574" i="1"/>
  <c r="C1574" i="1"/>
  <c r="B1574" i="1"/>
  <c r="A1574" i="1"/>
  <c r="D1573" i="1"/>
  <c r="C1573" i="1"/>
  <c r="B1573" i="1"/>
  <c r="A1573" i="1"/>
  <c r="D1572" i="1"/>
  <c r="C1572" i="1"/>
  <c r="B1572" i="1"/>
  <c r="A1572" i="1"/>
  <c r="D1571" i="1"/>
  <c r="C1571" i="1"/>
  <c r="B1571" i="1"/>
  <c r="A1571" i="1"/>
  <c r="D1570" i="1"/>
  <c r="C1570" i="1"/>
  <c r="B1570" i="1"/>
  <c r="A1570" i="1"/>
  <c r="D1569" i="1"/>
  <c r="C1569" i="1"/>
  <c r="B1569" i="1"/>
  <c r="A1569" i="1"/>
  <c r="D1568" i="1"/>
  <c r="C1568" i="1"/>
  <c r="B1568" i="1"/>
  <c r="A1568" i="1"/>
  <c r="D1567" i="1"/>
  <c r="C1567" i="1"/>
  <c r="B1567" i="1"/>
  <c r="A1567" i="1"/>
  <c r="D1566" i="1"/>
  <c r="C1566" i="1"/>
  <c r="B1566" i="1"/>
  <c r="A1566" i="1"/>
  <c r="D1565" i="1"/>
  <c r="C1565" i="1"/>
  <c r="B1565" i="1"/>
  <c r="A1565" i="1"/>
  <c r="D1564" i="1"/>
  <c r="C1564" i="1"/>
  <c r="B1564" i="1"/>
  <c r="A1564" i="1"/>
  <c r="D1563" i="1"/>
  <c r="C1563" i="1"/>
  <c r="B1563" i="1"/>
  <c r="A1563" i="1"/>
  <c r="D1562" i="1"/>
  <c r="C1562" i="1"/>
  <c r="B1562" i="1"/>
  <c r="A1562" i="1"/>
  <c r="D1561" i="1"/>
  <c r="C1561" i="1"/>
  <c r="B1561" i="1"/>
  <c r="A1561" i="1"/>
  <c r="D1560" i="1"/>
  <c r="C1560" i="1"/>
  <c r="B1560" i="1"/>
  <c r="A1560" i="1"/>
  <c r="D1559" i="1"/>
  <c r="C1559" i="1"/>
  <c r="B1559" i="1"/>
  <c r="A1559" i="1"/>
  <c r="D1558" i="1"/>
  <c r="C1558" i="1"/>
  <c r="B1558" i="1"/>
  <c r="A1558" i="1"/>
  <c r="D1557" i="1"/>
  <c r="C1557" i="1"/>
  <c r="B1557" i="1"/>
  <c r="A1557" i="1"/>
  <c r="D1556" i="1"/>
  <c r="C1556" i="1"/>
  <c r="B1556" i="1"/>
  <c r="A1556" i="1"/>
  <c r="D1555" i="1"/>
  <c r="C1555" i="1"/>
  <c r="B1555" i="1"/>
  <c r="A1555" i="1"/>
  <c r="D1554" i="1"/>
  <c r="C1554" i="1"/>
  <c r="B1554" i="1"/>
  <c r="A1554" i="1"/>
  <c r="D1553" i="1"/>
  <c r="C1553" i="1"/>
  <c r="B1553" i="1"/>
  <c r="A1553" i="1"/>
  <c r="D1552" i="1"/>
  <c r="C1552" i="1"/>
  <c r="B1552" i="1"/>
  <c r="A1552" i="1"/>
  <c r="D1551" i="1"/>
  <c r="C1551" i="1"/>
  <c r="B1551" i="1"/>
  <c r="A1551" i="1"/>
  <c r="D1550" i="1"/>
  <c r="C1550" i="1"/>
  <c r="B1550" i="1"/>
  <c r="A1550" i="1"/>
  <c r="D1549" i="1"/>
  <c r="C1549" i="1"/>
  <c r="B1549" i="1"/>
  <c r="A1549" i="1"/>
  <c r="D1548" i="1"/>
  <c r="C1548" i="1"/>
  <c r="B1548" i="1"/>
  <c r="A1548" i="1"/>
  <c r="D1547" i="1"/>
  <c r="C1547" i="1"/>
  <c r="B1547" i="1"/>
  <c r="A1547" i="1"/>
  <c r="D1546" i="1"/>
  <c r="C1546" i="1"/>
  <c r="B1546" i="1"/>
  <c r="A1546" i="1"/>
  <c r="D1545" i="1"/>
  <c r="C1545" i="1"/>
  <c r="B1545" i="1"/>
  <c r="A1545" i="1"/>
  <c r="D1544" i="1"/>
  <c r="C1544" i="1"/>
  <c r="B1544" i="1"/>
  <c r="A1544" i="1"/>
  <c r="D1543" i="1"/>
  <c r="C1543" i="1"/>
  <c r="B1543" i="1"/>
  <c r="A1543" i="1"/>
  <c r="D1542" i="1"/>
  <c r="C1542" i="1"/>
  <c r="B1542" i="1"/>
  <c r="A1542" i="1"/>
  <c r="D1541" i="1"/>
  <c r="C1541" i="1"/>
  <c r="B1541" i="1"/>
  <c r="A1541" i="1"/>
  <c r="D1540" i="1"/>
  <c r="C1540" i="1"/>
  <c r="B1540" i="1"/>
  <c r="A1540" i="1"/>
  <c r="D1539" i="1"/>
  <c r="C1539" i="1"/>
  <c r="B1539" i="1"/>
  <c r="A1539" i="1"/>
  <c r="D1538" i="1"/>
  <c r="C1538" i="1"/>
  <c r="B1538" i="1"/>
  <c r="A1538" i="1"/>
  <c r="D1537" i="1"/>
  <c r="C1537" i="1"/>
  <c r="B1537" i="1"/>
  <c r="A1537" i="1"/>
  <c r="D1536" i="1"/>
  <c r="C1536" i="1"/>
  <c r="B1536" i="1"/>
  <c r="A1536" i="1"/>
  <c r="D1535" i="1"/>
  <c r="C1535" i="1"/>
  <c r="B1535" i="1"/>
  <c r="A1535" i="1"/>
  <c r="D1534" i="1"/>
  <c r="C1534" i="1"/>
  <c r="B1534" i="1"/>
  <c r="A1534" i="1"/>
  <c r="D1533" i="1"/>
  <c r="C1533" i="1"/>
  <c r="B1533" i="1"/>
  <c r="A1533" i="1"/>
  <c r="D1532" i="1"/>
  <c r="C1532" i="1"/>
  <c r="B1532" i="1"/>
  <c r="A1532" i="1"/>
  <c r="D1531" i="1"/>
  <c r="C1531" i="1"/>
  <c r="B1531" i="1"/>
  <c r="A1531" i="1"/>
  <c r="D1530" i="1"/>
  <c r="C1530" i="1"/>
  <c r="B1530" i="1"/>
  <c r="A1530" i="1"/>
  <c r="D1529" i="1"/>
  <c r="C1529" i="1"/>
  <c r="B1529" i="1"/>
  <c r="A1529" i="1"/>
  <c r="D1528" i="1"/>
  <c r="C1528" i="1"/>
  <c r="B1528" i="1"/>
  <c r="A1528" i="1"/>
  <c r="D1527" i="1"/>
  <c r="C1527" i="1"/>
  <c r="B1527" i="1"/>
  <c r="A1527" i="1"/>
  <c r="D1526" i="1"/>
  <c r="C1526" i="1"/>
  <c r="B1526" i="1"/>
  <c r="A1526" i="1"/>
  <c r="D1525" i="1"/>
  <c r="C1525" i="1"/>
  <c r="B1525" i="1"/>
  <c r="A1525" i="1"/>
  <c r="D1524" i="1"/>
  <c r="C1524" i="1"/>
  <c r="B1524" i="1"/>
  <c r="A1524" i="1"/>
  <c r="D1523" i="1"/>
  <c r="C1523" i="1"/>
  <c r="B1523" i="1"/>
  <c r="A1523" i="1"/>
  <c r="D1522" i="1"/>
  <c r="C1522" i="1"/>
  <c r="B1522" i="1"/>
  <c r="A1522" i="1"/>
  <c r="D1521" i="1"/>
  <c r="C1521" i="1"/>
  <c r="B1521" i="1"/>
  <c r="A1521" i="1"/>
  <c r="D1520" i="1"/>
  <c r="C1520" i="1"/>
  <c r="B1520" i="1"/>
  <c r="A1520" i="1"/>
  <c r="D1519" i="1"/>
  <c r="C1519" i="1"/>
  <c r="B1519" i="1"/>
  <c r="A1519" i="1"/>
  <c r="D1518" i="1"/>
  <c r="C1518" i="1"/>
  <c r="B1518" i="1"/>
  <c r="A1518" i="1"/>
  <c r="D1517" i="1"/>
  <c r="C1517" i="1"/>
  <c r="B1517" i="1"/>
  <c r="A1517" i="1"/>
  <c r="D1516" i="1"/>
  <c r="C1516" i="1"/>
  <c r="B1516" i="1"/>
  <c r="A1516" i="1"/>
  <c r="D1515" i="1"/>
  <c r="C1515" i="1"/>
  <c r="B1515" i="1"/>
  <c r="A1515" i="1"/>
  <c r="D1514" i="1"/>
  <c r="C1514" i="1"/>
  <c r="B1514" i="1"/>
  <c r="A1514" i="1"/>
  <c r="D1513" i="1"/>
  <c r="C1513" i="1"/>
  <c r="B1513" i="1"/>
  <c r="A1513" i="1"/>
  <c r="D1512" i="1"/>
  <c r="C1512" i="1"/>
  <c r="B1512" i="1"/>
  <c r="A1512" i="1"/>
  <c r="D1511" i="1"/>
  <c r="C1511" i="1"/>
  <c r="B1511" i="1"/>
  <c r="A1511" i="1"/>
  <c r="D1510" i="1"/>
  <c r="C1510" i="1"/>
  <c r="B1510" i="1"/>
  <c r="A1510" i="1"/>
  <c r="D1509" i="1"/>
  <c r="C1509" i="1"/>
  <c r="B1509" i="1"/>
  <c r="A1509" i="1"/>
  <c r="D1508" i="1"/>
  <c r="C1508" i="1"/>
  <c r="B1508" i="1"/>
  <c r="A1508" i="1"/>
  <c r="D1507" i="1"/>
  <c r="C1507" i="1"/>
  <c r="B1507" i="1"/>
  <c r="A1507" i="1"/>
  <c r="D1506" i="1"/>
  <c r="C1506" i="1"/>
  <c r="B1506" i="1"/>
  <c r="A1506" i="1"/>
  <c r="D1505" i="1"/>
  <c r="C1505" i="1"/>
  <c r="B1505" i="1"/>
  <c r="A1505" i="1"/>
  <c r="D1504" i="1"/>
  <c r="C1504" i="1"/>
  <c r="B1504" i="1"/>
  <c r="A1504" i="1"/>
  <c r="D1503" i="1"/>
  <c r="C1503" i="1"/>
  <c r="B1503" i="1"/>
  <c r="A1503" i="1"/>
  <c r="D1502" i="1"/>
  <c r="C1502" i="1"/>
  <c r="B1502" i="1"/>
  <c r="A1502" i="1"/>
  <c r="D1501" i="1"/>
  <c r="C1501" i="1"/>
  <c r="B1501" i="1"/>
  <c r="A1501" i="1"/>
  <c r="D1500" i="1"/>
  <c r="C1500" i="1"/>
  <c r="B1500" i="1"/>
  <c r="A1500" i="1"/>
  <c r="D1499" i="1"/>
  <c r="C1499" i="1"/>
  <c r="B1499" i="1"/>
  <c r="A1499" i="1"/>
  <c r="D1498" i="1"/>
  <c r="C1498" i="1"/>
  <c r="B1498" i="1"/>
  <c r="A1498" i="1"/>
  <c r="D1497" i="1"/>
  <c r="C1497" i="1"/>
  <c r="B1497" i="1"/>
  <c r="A1497" i="1"/>
  <c r="D1496" i="1"/>
  <c r="C1496" i="1"/>
  <c r="B1496" i="1"/>
  <c r="A1496" i="1"/>
  <c r="D1495" i="1"/>
  <c r="C1495" i="1"/>
  <c r="B1495" i="1"/>
  <c r="A1495" i="1"/>
  <c r="D1494" i="1"/>
  <c r="C1494" i="1"/>
  <c r="B1494" i="1"/>
  <c r="A1494" i="1"/>
  <c r="D1493" i="1"/>
  <c r="C1493" i="1"/>
  <c r="B1493" i="1"/>
  <c r="A1493" i="1"/>
  <c r="D1492" i="1"/>
  <c r="C1492" i="1"/>
  <c r="B1492" i="1"/>
  <c r="A1492" i="1"/>
  <c r="D1491" i="1"/>
  <c r="C1491" i="1"/>
  <c r="B1491" i="1"/>
  <c r="A1491" i="1"/>
  <c r="D1490" i="1"/>
  <c r="C1490" i="1"/>
  <c r="B1490" i="1"/>
  <c r="A1490" i="1"/>
  <c r="D1489" i="1"/>
  <c r="C1489" i="1"/>
  <c r="B1489" i="1"/>
  <c r="A1489" i="1"/>
  <c r="D1488" i="1"/>
  <c r="C1488" i="1"/>
  <c r="B1488" i="1"/>
  <c r="A1488" i="1"/>
  <c r="D1487" i="1"/>
  <c r="C1487" i="1"/>
  <c r="B1487" i="1"/>
  <c r="A1487" i="1"/>
  <c r="D1486" i="1"/>
  <c r="C1486" i="1"/>
  <c r="B1486" i="1"/>
  <c r="A1486" i="1"/>
  <c r="D1485" i="1"/>
  <c r="C1485" i="1"/>
  <c r="B1485" i="1"/>
  <c r="A1485" i="1"/>
  <c r="D1484" i="1"/>
  <c r="C1484" i="1"/>
  <c r="B1484" i="1"/>
  <c r="A1484" i="1"/>
  <c r="D1483" i="1"/>
  <c r="C1483" i="1"/>
  <c r="B1483" i="1"/>
  <c r="A1483" i="1"/>
  <c r="D1482" i="1"/>
  <c r="C1482" i="1"/>
  <c r="B1482" i="1"/>
  <c r="A1482" i="1"/>
  <c r="D1481" i="1"/>
  <c r="C1481" i="1"/>
  <c r="B1481" i="1"/>
  <c r="A1481" i="1"/>
  <c r="D1480" i="1"/>
  <c r="C1480" i="1"/>
  <c r="B1480" i="1"/>
  <c r="A1480" i="1"/>
  <c r="D1479" i="1"/>
  <c r="C1479" i="1"/>
  <c r="B1479" i="1"/>
  <c r="A1479" i="1"/>
  <c r="D1478" i="1"/>
  <c r="C1478" i="1"/>
  <c r="B1478" i="1"/>
  <c r="A1478" i="1"/>
  <c r="D1477" i="1"/>
  <c r="C1477" i="1"/>
  <c r="B1477" i="1"/>
  <c r="A1477" i="1"/>
  <c r="D1476" i="1"/>
  <c r="C1476" i="1"/>
  <c r="B1476" i="1"/>
  <c r="A1476" i="1"/>
  <c r="D1475" i="1"/>
  <c r="C1475" i="1"/>
  <c r="B1475" i="1"/>
  <c r="A1475" i="1"/>
  <c r="D1474" i="1"/>
  <c r="C1474" i="1"/>
  <c r="B1474" i="1"/>
  <c r="A1474" i="1"/>
  <c r="D1473" i="1"/>
  <c r="C1473" i="1"/>
  <c r="B1473" i="1"/>
  <c r="A1473" i="1"/>
  <c r="D1472" i="1"/>
  <c r="C1472" i="1"/>
  <c r="B1472" i="1"/>
  <c r="A1472" i="1"/>
  <c r="D1471" i="1"/>
  <c r="C1471" i="1"/>
  <c r="B1471" i="1"/>
  <c r="A1471" i="1"/>
  <c r="D1470" i="1"/>
  <c r="C1470" i="1"/>
  <c r="B1470" i="1"/>
  <c r="A1470" i="1"/>
  <c r="D1469" i="1"/>
  <c r="C1469" i="1"/>
  <c r="B1469" i="1"/>
  <c r="A1469" i="1"/>
  <c r="D1468" i="1"/>
  <c r="C1468" i="1"/>
  <c r="B1468" i="1"/>
  <c r="A1468" i="1"/>
  <c r="D1467" i="1"/>
  <c r="C1467" i="1"/>
  <c r="B1467" i="1"/>
  <c r="A1467" i="1"/>
  <c r="D1466" i="1"/>
  <c r="C1466" i="1"/>
  <c r="B1466" i="1"/>
  <c r="A1466" i="1"/>
  <c r="D1465" i="1"/>
  <c r="C1465" i="1"/>
  <c r="B1465" i="1"/>
  <c r="A1465" i="1"/>
  <c r="D1464" i="1"/>
  <c r="C1464" i="1"/>
  <c r="B1464" i="1"/>
  <c r="A1464" i="1"/>
  <c r="D1463" i="1"/>
  <c r="C1463" i="1"/>
  <c r="B1463" i="1"/>
  <c r="A1463" i="1"/>
  <c r="D1462" i="1"/>
  <c r="C1462" i="1"/>
  <c r="B1462" i="1"/>
  <c r="A1462" i="1"/>
  <c r="D1461" i="1"/>
  <c r="C1461" i="1"/>
  <c r="B1461" i="1"/>
  <c r="A1461" i="1"/>
  <c r="D1460" i="1"/>
  <c r="C1460" i="1"/>
  <c r="B1460" i="1"/>
  <c r="A1460" i="1"/>
  <c r="D1459" i="1"/>
  <c r="C1459" i="1"/>
  <c r="B1459" i="1"/>
  <c r="A1459" i="1"/>
  <c r="D1458" i="1"/>
  <c r="C1458" i="1"/>
  <c r="B1458" i="1"/>
  <c r="A1458" i="1"/>
  <c r="D1457" i="1"/>
  <c r="C1457" i="1"/>
  <c r="B1457" i="1"/>
  <c r="A1457" i="1"/>
  <c r="D1456" i="1"/>
  <c r="C1456" i="1"/>
  <c r="B1456" i="1"/>
  <c r="A1456" i="1"/>
  <c r="D1455" i="1"/>
  <c r="C1455" i="1"/>
  <c r="B1455" i="1"/>
  <c r="A1455" i="1"/>
  <c r="D1454" i="1"/>
  <c r="C1454" i="1"/>
  <c r="B1454" i="1"/>
  <c r="A1454" i="1"/>
  <c r="D1453" i="1"/>
  <c r="C1453" i="1"/>
  <c r="B1453" i="1"/>
  <c r="A1453" i="1"/>
  <c r="D1452" i="1"/>
  <c r="C1452" i="1"/>
  <c r="B1452" i="1"/>
  <c r="A1452" i="1"/>
  <c r="D1451" i="1"/>
  <c r="C1451" i="1"/>
  <c r="B1451" i="1"/>
  <c r="A1451" i="1"/>
  <c r="D1450" i="1"/>
  <c r="C1450" i="1"/>
  <c r="B1450" i="1"/>
  <c r="A1450" i="1"/>
  <c r="D1449" i="1"/>
  <c r="C1449" i="1"/>
  <c r="B1449" i="1"/>
  <c r="A1449" i="1"/>
  <c r="D1448" i="1"/>
  <c r="C1448" i="1"/>
  <c r="B1448" i="1"/>
  <c r="A1448" i="1"/>
  <c r="D1447" i="1"/>
  <c r="C1447" i="1"/>
  <c r="B1447" i="1"/>
  <c r="A1447" i="1"/>
  <c r="D1446" i="1"/>
  <c r="C1446" i="1"/>
  <c r="B1446" i="1"/>
  <c r="A1446" i="1"/>
  <c r="D1445" i="1"/>
  <c r="C1445" i="1"/>
  <c r="B1445" i="1"/>
  <c r="A1445" i="1"/>
  <c r="D1444" i="1"/>
  <c r="C1444" i="1"/>
  <c r="B1444" i="1"/>
  <c r="A1444" i="1"/>
  <c r="D1443" i="1"/>
  <c r="C1443" i="1"/>
  <c r="B1443" i="1"/>
  <c r="A1443" i="1"/>
  <c r="D1442" i="1"/>
  <c r="C1442" i="1"/>
  <c r="B1442" i="1"/>
  <c r="A1442" i="1"/>
  <c r="D1441" i="1"/>
  <c r="C1441" i="1"/>
  <c r="B1441" i="1"/>
  <c r="A1441" i="1"/>
  <c r="D1440" i="1"/>
  <c r="C1440" i="1"/>
  <c r="B1440" i="1"/>
  <c r="A1440" i="1"/>
  <c r="D1439" i="1"/>
  <c r="C1439" i="1"/>
  <c r="B1439" i="1"/>
  <c r="A1439" i="1"/>
  <c r="D1438" i="1"/>
  <c r="C1438" i="1"/>
  <c r="B1438" i="1"/>
  <c r="A1438" i="1"/>
  <c r="D1437" i="1"/>
  <c r="C1437" i="1"/>
  <c r="B1437" i="1"/>
  <c r="A1437" i="1"/>
  <c r="D1436" i="1"/>
  <c r="C1436" i="1"/>
  <c r="B1436" i="1"/>
  <c r="A1436" i="1"/>
  <c r="D1435" i="1"/>
  <c r="C1435" i="1"/>
  <c r="B1435" i="1"/>
  <c r="A1435" i="1"/>
  <c r="D1434" i="1"/>
  <c r="C1434" i="1"/>
  <c r="B1434" i="1"/>
  <c r="A1434" i="1"/>
  <c r="D1433" i="1"/>
  <c r="C1433" i="1"/>
  <c r="B1433" i="1"/>
  <c r="A1433" i="1"/>
  <c r="D1432" i="1"/>
  <c r="C1432" i="1"/>
  <c r="B1432" i="1"/>
  <c r="A1432" i="1"/>
  <c r="D1431" i="1"/>
  <c r="C1431" i="1"/>
  <c r="B1431" i="1"/>
  <c r="A1431" i="1"/>
  <c r="D1430" i="1"/>
  <c r="C1430" i="1"/>
  <c r="B1430" i="1"/>
  <c r="A1430" i="1"/>
  <c r="D1429" i="1"/>
  <c r="C1429" i="1"/>
  <c r="B1429" i="1"/>
  <c r="A1429" i="1"/>
  <c r="D1428" i="1"/>
  <c r="C1428" i="1"/>
  <c r="B1428" i="1"/>
  <c r="A1428" i="1"/>
  <c r="D1427" i="1"/>
  <c r="C1427" i="1"/>
  <c r="B1427" i="1"/>
  <c r="A1427" i="1"/>
  <c r="D1426" i="1"/>
  <c r="C1426" i="1"/>
  <c r="B1426" i="1"/>
  <c r="A1426" i="1"/>
  <c r="D1425" i="1"/>
  <c r="C1425" i="1"/>
  <c r="B1425" i="1"/>
  <c r="A1425" i="1"/>
  <c r="D1424" i="1"/>
  <c r="C1424" i="1"/>
  <c r="B1424" i="1"/>
  <c r="A1424" i="1"/>
  <c r="D1423" i="1"/>
  <c r="C1423" i="1"/>
  <c r="B1423" i="1"/>
  <c r="A1423" i="1"/>
  <c r="D1422" i="1"/>
  <c r="C1422" i="1"/>
  <c r="B1422" i="1"/>
  <c r="A1422" i="1"/>
  <c r="D1421" i="1"/>
  <c r="C1421" i="1"/>
  <c r="B1421" i="1"/>
  <c r="A1421" i="1"/>
  <c r="D1420" i="1"/>
  <c r="C1420" i="1"/>
  <c r="B1420" i="1"/>
  <c r="A1420" i="1"/>
  <c r="D1419" i="1"/>
  <c r="C1419" i="1"/>
  <c r="B1419" i="1"/>
  <c r="A1419" i="1"/>
  <c r="D1418" i="1"/>
  <c r="C1418" i="1"/>
  <c r="B1418" i="1"/>
  <c r="A1418" i="1"/>
  <c r="D1417" i="1"/>
  <c r="C1417" i="1"/>
  <c r="B1417" i="1"/>
  <c r="A1417" i="1"/>
  <c r="D1416" i="1"/>
  <c r="C1416" i="1"/>
  <c r="B1416" i="1"/>
  <c r="A1416" i="1"/>
  <c r="D1415" i="1"/>
  <c r="C1415" i="1"/>
  <c r="B1415" i="1"/>
  <c r="A1415" i="1"/>
  <c r="D1414" i="1"/>
  <c r="C1414" i="1"/>
  <c r="B1414" i="1"/>
  <c r="A1414" i="1"/>
  <c r="D1413" i="1"/>
  <c r="C1413" i="1"/>
  <c r="B1413" i="1"/>
  <c r="A1413" i="1"/>
  <c r="D1412" i="1"/>
  <c r="C1412" i="1"/>
  <c r="B1412" i="1"/>
  <c r="A1412" i="1"/>
  <c r="D1411" i="1"/>
  <c r="C1411" i="1"/>
  <c r="B1411" i="1"/>
  <c r="A1411" i="1"/>
  <c r="D1410" i="1"/>
  <c r="C1410" i="1"/>
  <c r="B1410" i="1"/>
  <c r="A1410" i="1"/>
  <c r="D1409" i="1"/>
  <c r="C1409" i="1"/>
  <c r="B1409" i="1"/>
  <c r="A1409" i="1"/>
  <c r="D1408" i="1"/>
  <c r="C1408" i="1"/>
  <c r="B1408" i="1"/>
  <c r="A1408" i="1"/>
  <c r="D1407" i="1"/>
  <c r="C1407" i="1"/>
  <c r="B1407" i="1"/>
  <c r="A1407" i="1"/>
  <c r="D1406" i="1"/>
  <c r="C1406" i="1"/>
  <c r="B1406" i="1"/>
  <c r="A1406" i="1"/>
  <c r="D1405" i="1"/>
  <c r="C1405" i="1"/>
  <c r="B1405" i="1"/>
  <c r="A1405" i="1"/>
  <c r="D1404" i="1"/>
  <c r="C1404" i="1"/>
  <c r="B1404" i="1"/>
  <c r="A1404" i="1"/>
  <c r="D1403" i="1"/>
  <c r="C1403" i="1"/>
  <c r="B1403" i="1"/>
  <c r="A1403" i="1"/>
  <c r="D1402" i="1"/>
  <c r="C1402" i="1"/>
  <c r="B1402" i="1"/>
  <c r="A1402" i="1"/>
  <c r="D1401" i="1"/>
  <c r="C1401" i="1"/>
  <c r="B1401" i="1"/>
  <c r="A1401" i="1"/>
  <c r="D1400" i="1"/>
  <c r="C1400" i="1"/>
  <c r="B1400" i="1"/>
  <c r="A1400" i="1"/>
  <c r="D1399" i="1"/>
  <c r="C1399" i="1"/>
  <c r="B1399" i="1"/>
  <c r="A1399" i="1"/>
  <c r="D1398" i="1"/>
  <c r="C1398" i="1"/>
  <c r="B1398" i="1"/>
  <c r="A1398" i="1"/>
  <c r="D1397" i="1"/>
  <c r="C1397" i="1"/>
  <c r="B1397" i="1"/>
  <c r="A1397" i="1"/>
  <c r="D1396" i="1"/>
  <c r="C1396" i="1"/>
  <c r="B1396" i="1"/>
  <c r="A1396" i="1"/>
  <c r="D1395" i="1"/>
  <c r="C1395" i="1"/>
  <c r="B1395" i="1"/>
  <c r="A1395" i="1"/>
  <c r="D1394" i="1"/>
  <c r="C1394" i="1"/>
  <c r="B1394" i="1"/>
  <c r="A1394" i="1"/>
  <c r="D1393" i="1"/>
  <c r="C1393" i="1"/>
  <c r="B1393" i="1"/>
  <c r="A1393" i="1"/>
  <c r="D1392" i="1"/>
  <c r="C1392" i="1"/>
  <c r="B1392" i="1"/>
  <c r="A1392" i="1"/>
  <c r="D1391" i="1"/>
  <c r="C1391" i="1"/>
  <c r="B1391" i="1"/>
  <c r="A1391" i="1"/>
  <c r="D1390" i="1"/>
  <c r="C1390" i="1"/>
  <c r="B1390" i="1"/>
  <c r="A1390" i="1"/>
  <c r="D1389" i="1"/>
  <c r="C1389" i="1"/>
  <c r="B1389" i="1"/>
  <c r="A1389" i="1"/>
  <c r="D1388" i="1"/>
  <c r="C1388" i="1"/>
  <c r="B1388" i="1"/>
  <c r="A1388" i="1"/>
  <c r="D1387" i="1"/>
  <c r="C1387" i="1"/>
  <c r="B1387" i="1"/>
  <c r="A1387" i="1"/>
  <c r="D1386" i="1"/>
  <c r="C1386" i="1"/>
  <c r="B1386" i="1"/>
  <c r="A1386" i="1"/>
  <c r="D1385" i="1"/>
  <c r="C1385" i="1"/>
  <c r="B1385" i="1"/>
  <c r="A1385" i="1"/>
  <c r="D1384" i="1"/>
  <c r="C1384" i="1"/>
  <c r="B1384" i="1"/>
  <c r="A1384" i="1"/>
  <c r="D1383" i="1"/>
  <c r="C1383" i="1"/>
  <c r="B1383" i="1"/>
  <c r="A1383" i="1"/>
  <c r="D1382" i="1"/>
  <c r="C1382" i="1"/>
  <c r="B1382" i="1"/>
  <c r="A1382" i="1"/>
  <c r="D1381" i="1"/>
  <c r="C1381" i="1"/>
  <c r="B1381" i="1"/>
  <c r="A1381" i="1"/>
  <c r="D1380" i="1"/>
  <c r="C1380" i="1"/>
  <c r="B1380" i="1"/>
  <c r="A1380" i="1"/>
  <c r="D1379" i="1"/>
  <c r="C1379" i="1"/>
  <c r="B1379" i="1"/>
  <c r="A1379" i="1"/>
  <c r="D1378" i="1"/>
  <c r="C1378" i="1"/>
  <c r="B1378" i="1"/>
  <c r="A1378" i="1"/>
  <c r="D1377" i="1"/>
  <c r="C1377" i="1"/>
  <c r="B1377" i="1"/>
  <c r="A1377" i="1"/>
  <c r="D1376" i="1"/>
  <c r="C1376" i="1"/>
  <c r="B1376" i="1"/>
  <c r="A1376" i="1"/>
  <c r="D1375" i="1"/>
  <c r="C1375" i="1"/>
  <c r="B1375" i="1"/>
  <c r="A1375" i="1"/>
  <c r="D1374" i="1"/>
  <c r="C1374" i="1"/>
  <c r="B1374" i="1"/>
  <c r="A1374" i="1"/>
  <c r="D1373" i="1"/>
  <c r="C1373" i="1"/>
  <c r="B1373" i="1"/>
  <c r="A1373" i="1"/>
  <c r="D1372" i="1"/>
  <c r="C1372" i="1"/>
  <c r="B1372" i="1"/>
  <c r="A1372" i="1"/>
  <c r="D1371" i="1"/>
  <c r="C1371" i="1"/>
  <c r="B1371" i="1"/>
  <c r="A1371" i="1"/>
  <c r="D1370" i="1"/>
  <c r="C1370" i="1"/>
  <c r="B1370" i="1"/>
  <c r="A1370" i="1"/>
  <c r="D1369" i="1"/>
  <c r="C1369" i="1"/>
  <c r="B1369" i="1"/>
  <c r="A1369" i="1"/>
  <c r="D1368" i="1"/>
  <c r="C1368" i="1"/>
  <c r="B1368" i="1"/>
  <c r="A1368" i="1"/>
  <c r="D1367" i="1"/>
  <c r="C1367" i="1"/>
  <c r="B1367" i="1"/>
  <c r="A1367" i="1"/>
  <c r="D1366" i="1"/>
  <c r="C1366" i="1"/>
  <c r="B1366" i="1"/>
  <c r="A1366" i="1"/>
  <c r="D1365" i="1"/>
  <c r="C1365" i="1"/>
  <c r="B1365" i="1"/>
  <c r="A1365" i="1"/>
  <c r="D1364" i="1"/>
  <c r="C1364" i="1"/>
  <c r="B1364" i="1"/>
  <c r="A1364" i="1"/>
  <c r="D1363" i="1"/>
  <c r="C1363" i="1"/>
  <c r="B1363" i="1"/>
  <c r="A1363" i="1"/>
  <c r="D1362" i="1"/>
  <c r="C1362" i="1"/>
  <c r="B1362" i="1"/>
  <c r="A1362" i="1"/>
  <c r="D1361" i="1"/>
  <c r="C1361" i="1"/>
  <c r="B1361" i="1"/>
  <c r="A1361" i="1"/>
  <c r="D1360" i="1"/>
  <c r="C1360" i="1"/>
  <c r="B1360" i="1"/>
  <c r="A1360" i="1"/>
  <c r="D1359" i="1"/>
  <c r="C1359" i="1"/>
  <c r="B1359" i="1"/>
  <c r="A1359" i="1"/>
  <c r="D1358" i="1"/>
  <c r="C1358" i="1"/>
  <c r="B1358" i="1"/>
  <c r="A1358" i="1"/>
  <c r="D1357" i="1"/>
  <c r="C1357" i="1"/>
  <c r="B1357" i="1"/>
  <c r="A1357" i="1"/>
  <c r="D1356" i="1"/>
  <c r="C1356" i="1"/>
  <c r="B1356" i="1"/>
  <c r="A1356" i="1"/>
  <c r="D1355" i="1"/>
  <c r="C1355" i="1"/>
  <c r="B1355" i="1"/>
  <c r="A1355" i="1"/>
  <c r="D1354" i="1"/>
  <c r="C1354" i="1"/>
  <c r="B1354" i="1"/>
  <c r="A1354" i="1"/>
  <c r="D1353" i="1"/>
  <c r="C1353" i="1"/>
  <c r="B1353" i="1"/>
  <c r="A1353" i="1"/>
  <c r="D1352" i="1"/>
  <c r="C1352" i="1"/>
  <c r="B1352" i="1"/>
  <c r="A1352" i="1"/>
  <c r="D1351" i="1"/>
  <c r="C1351" i="1"/>
  <c r="B1351" i="1"/>
  <c r="A1351" i="1"/>
  <c r="D1350" i="1"/>
  <c r="C1350" i="1"/>
  <c r="B1350" i="1"/>
  <c r="A1350" i="1"/>
  <c r="D1349" i="1"/>
  <c r="C1349" i="1"/>
  <c r="B1349" i="1"/>
  <c r="A1349" i="1"/>
  <c r="D1348" i="1"/>
  <c r="C1348" i="1"/>
  <c r="B1348" i="1"/>
  <c r="A1348" i="1"/>
  <c r="D1347" i="1"/>
  <c r="C1347" i="1"/>
  <c r="B1347" i="1"/>
  <c r="A1347" i="1"/>
  <c r="D1346" i="1"/>
  <c r="C1346" i="1"/>
  <c r="B1346" i="1"/>
  <c r="A1346" i="1"/>
  <c r="D1345" i="1"/>
  <c r="C1345" i="1"/>
  <c r="B1345" i="1"/>
  <c r="A1345" i="1"/>
  <c r="D1344" i="1"/>
  <c r="C1344" i="1"/>
  <c r="B1344" i="1"/>
  <c r="A1344" i="1"/>
  <c r="D1343" i="1"/>
  <c r="C1343" i="1"/>
  <c r="B1343" i="1"/>
  <c r="A1343" i="1"/>
  <c r="D1342" i="1"/>
  <c r="C1342" i="1"/>
  <c r="B1342" i="1"/>
  <c r="A1342" i="1"/>
  <c r="D1341" i="1"/>
  <c r="C1341" i="1"/>
  <c r="B1341" i="1"/>
  <c r="A1341" i="1"/>
  <c r="D1340" i="1"/>
  <c r="C1340" i="1"/>
  <c r="B1340" i="1"/>
  <c r="A1340" i="1"/>
  <c r="D1339" i="1"/>
  <c r="C1339" i="1"/>
  <c r="B1339" i="1"/>
  <c r="A1339" i="1"/>
  <c r="D1338" i="1"/>
  <c r="C1338" i="1"/>
  <c r="B1338" i="1"/>
  <c r="A1338" i="1"/>
  <c r="D1337" i="1"/>
  <c r="C1337" i="1"/>
  <c r="B1337" i="1"/>
  <c r="A1337" i="1"/>
  <c r="D1336" i="1"/>
  <c r="C1336" i="1"/>
  <c r="B1336" i="1"/>
  <c r="A1336" i="1"/>
  <c r="D1335" i="1"/>
  <c r="C1335" i="1"/>
  <c r="B1335" i="1"/>
  <c r="A1335" i="1"/>
  <c r="D1334" i="1"/>
  <c r="C1334" i="1"/>
  <c r="B1334" i="1"/>
  <c r="A1334" i="1"/>
  <c r="D1333" i="1"/>
  <c r="C1333" i="1"/>
  <c r="B1333" i="1"/>
  <c r="A1333" i="1"/>
  <c r="D1332" i="1"/>
  <c r="C1332" i="1"/>
  <c r="B1332" i="1"/>
  <c r="A1332" i="1"/>
  <c r="D1331" i="1"/>
  <c r="C1331" i="1"/>
  <c r="B1331" i="1"/>
  <c r="A1331" i="1"/>
  <c r="D1330" i="1"/>
  <c r="C1330" i="1"/>
  <c r="B1330" i="1"/>
  <c r="A1330" i="1"/>
  <c r="D1329" i="1"/>
  <c r="C1329" i="1"/>
  <c r="B1329" i="1"/>
  <c r="A1329" i="1"/>
  <c r="D1328" i="1"/>
  <c r="C1328" i="1"/>
  <c r="B1328" i="1"/>
  <c r="A1328" i="1"/>
  <c r="D1327" i="1"/>
  <c r="C1327" i="1"/>
  <c r="B1327" i="1"/>
  <c r="A1327" i="1"/>
  <c r="D1326" i="1"/>
  <c r="C1326" i="1"/>
  <c r="B1326" i="1"/>
  <c r="A1326" i="1"/>
  <c r="D1325" i="1"/>
  <c r="C1325" i="1"/>
  <c r="B1325" i="1"/>
  <c r="A1325" i="1"/>
  <c r="D1324" i="1"/>
  <c r="C1324" i="1"/>
  <c r="B1324" i="1"/>
  <c r="A1324" i="1"/>
  <c r="D1323" i="1"/>
  <c r="C1323" i="1"/>
  <c r="B1323" i="1"/>
  <c r="A1323" i="1"/>
  <c r="D1322" i="1"/>
  <c r="C1322" i="1"/>
  <c r="B1322" i="1"/>
  <c r="A1322" i="1"/>
  <c r="D1321" i="1"/>
  <c r="C1321" i="1"/>
  <c r="B1321" i="1"/>
  <c r="A1321" i="1"/>
  <c r="D1320" i="1"/>
  <c r="C1320" i="1"/>
  <c r="B1320" i="1"/>
  <c r="A1320" i="1"/>
  <c r="D1319" i="1"/>
  <c r="C1319" i="1"/>
  <c r="B1319" i="1"/>
  <c r="A1319" i="1"/>
  <c r="D1318" i="1"/>
  <c r="C1318" i="1"/>
  <c r="B1318" i="1"/>
  <c r="A1318" i="1"/>
  <c r="D1317" i="1"/>
  <c r="C1317" i="1"/>
  <c r="B1317" i="1"/>
  <c r="A1317" i="1"/>
  <c r="D1316" i="1"/>
  <c r="C1316" i="1"/>
  <c r="B1316" i="1"/>
  <c r="A1316" i="1"/>
  <c r="D1315" i="1"/>
  <c r="C1315" i="1"/>
  <c r="B1315" i="1"/>
  <c r="A1315" i="1"/>
  <c r="D1314" i="1"/>
  <c r="C1314" i="1"/>
  <c r="B1314" i="1"/>
  <c r="A1314" i="1"/>
  <c r="D1313" i="1"/>
  <c r="C1313" i="1"/>
  <c r="B1313" i="1"/>
  <c r="A1313" i="1"/>
  <c r="D1312" i="1"/>
  <c r="C1312" i="1"/>
  <c r="B1312" i="1"/>
  <c r="A1312" i="1"/>
  <c r="D1311" i="1"/>
  <c r="C1311" i="1"/>
  <c r="B1311" i="1"/>
  <c r="A1311" i="1"/>
  <c r="D1310" i="1"/>
  <c r="C1310" i="1"/>
  <c r="B1310" i="1"/>
  <c r="A1310" i="1"/>
  <c r="D1309" i="1"/>
  <c r="C1309" i="1"/>
  <c r="B1309" i="1"/>
  <c r="A1309" i="1"/>
  <c r="D1308" i="1"/>
  <c r="C1308" i="1"/>
  <c r="B1308" i="1"/>
  <c r="A1308" i="1"/>
  <c r="D1307" i="1"/>
  <c r="C1307" i="1"/>
  <c r="B1307" i="1"/>
  <c r="A1307" i="1"/>
  <c r="D1306" i="1"/>
  <c r="C1306" i="1"/>
  <c r="B1306" i="1"/>
  <c r="A1306" i="1"/>
  <c r="D1305" i="1"/>
  <c r="C1305" i="1"/>
  <c r="B1305" i="1"/>
  <c r="A1305" i="1"/>
  <c r="D1304" i="1"/>
  <c r="C1304" i="1"/>
  <c r="B1304" i="1"/>
  <c r="A1304" i="1"/>
  <c r="D1303" i="1"/>
  <c r="C1303" i="1"/>
  <c r="B1303" i="1"/>
  <c r="A1303" i="1"/>
  <c r="D1302" i="1"/>
  <c r="C1302" i="1"/>
  <c r="B1302" i="1"/>
  <c r="A1302" i="1"/>
  <c r="D1301" i="1"/>
  <c r="C1301" i="1"/>
  <c r="B1301" i="1"/>
  <c r="A1301" i="1"/>
  <c r="D1300" i="1"/>
  <c r="C1300" i="1"/>
  <c r="B1300" i="1"/>
  <c r="A1300" i="1"/>
  <c r="D1299" i="1"/>
  <c r="C1299" i="1"/>
  <c r="B1299" i="1"/>
  <c r="A1299" i="1"/>
  <c r="D1298" i="1"/>
  <c r="C1298" i="1"/>
  <c r="B1298" i="1"/>
  <c r="A1298" i="1"/>
  <c r="D1297" i="1"/>
  <c r="C1297" i="1"/>
  <c r="B1297" i="1"/>
  <c r="A1297" i="1"/>
  <c r="D1296" i="1"/>
  <c r="C1296" i="1"/>
  <c r="B1296" i="1"/>
  <c r="A1296" i="1"/>
  <c r="D1295" i="1"/>
  <c r="C1295" i="1"/>
  <c r="B1295" i="1"/>
  <c r="A1295" i="1"/>
  <c r="D1294" i="1"/>
  <c r="C1294" i="1"/>
  <c r="B1294" i="1"/>
  <c r="A1294" i="1"/>
  <c r="D1293" i="1"/>
  <c r="C1293" i="1"/>
  <c r="B1293" i="1"/>
  <c r="A1293" i="1"/>
  <c r="D1292" i="1"/>
  <c r="C1292" i="1"/>
  <c r="B1292" i="1"/>
  <c r="A1292" i="1"/>
  <c r="D1291" i="1"/>
  <c r="C1291" i="1"/>
  <c r="B1291" i="1"/>
  <c r="A1291" i="1"/>
  <c r="D1290" i="1"/>
  <c r="C1290" i="1"/>
  <c r="B1290" i="1"/>
  <c r="A1290" i="1"/>
  <c r="D1289" i="1"/>
  <c r="C1289" i="1"/>
  <c r="B1289" i="1"/>
  <c r="A1289" i="1"/>
  <c r="D1288" i="1"/>
  <c r="C1288" i="1"/>
  <c r="B1288" i="1"/>
  <c r="A1288" i="1"/>
  <c r="D1287" i="1"/>
  <c r="C1287" i="1"/>
  <c r="B1287" i="1"/>
  <c r="A1287" i="1"/>
  <c r="D1286" i="1"/>
  <c r="C1286" i="1"/>
  <c r="B1286" i="1"/>
  <c r="A1286" i="1"/>
  <c r="D1285" i="1"/>
  <c r="C1285" i="1"/>
  <c r="B1285" i="1"/>
  <c r="A1285" i="1"/>
  <c r="D1284" i="1"/>
  <c r="C1284" i="1"/>
  <c r="B1284" i="1"/>
  <c r="A1284" i="1"/>
  <c r="D1283" i="1"/>
  <c r="C1283" i="1"/>
  <c r="B1283" i="1"/>
  <c r="A1283" i="1"/>
  <c r="D1282" i="1"/>
  <c r="C1282" i="1"/>
  <c r="B1282" i="1"/>
  <c r="A1282" i="1"/>
  <c r="D1281" i="1"/>
  <c r="C1281" i="1"/>
  <c r="B1281" i="1"/>
  <c r="A1281" i="1"/>
  <c r="D1280" i="1"/>
  <c r="C1280" i="1"/>
  <c r="B1280" i="1"/>
  <c r="A1280" i="1"/>
  <c r="D1279" i="1"/>
  <c r="C1279" i="1"/>
  <c r="B1279" i="1"/>
  <c r="A1279" i="1"/>
  <c r="D1278" i="1"/>
  <c r="C1278" i="1"/>
  <c r="B1278" i="1"/>
  <c r="A1278" i="1"/>
  <c r="D1277" i="1"/>
  <c r="C1277" i="1"/>
  <c r="B1277" i="1"/>
  <c r="A1277" i="1"/>
  <c r="D1276" i="1"/>
  <c r="C1276" i="1"/>
  <c r="B1276" i="1"/>
  <c r="A1276" i="1"/>
  <c r="D1275" i="1"/>
  <c r="C1275" i="1"/>
  <c r="B1275" i="1"/>
  <c r="A1275" i="1"/>
  <c r="D1274" i="1"/>
  <c r="C1274" i="1"/>
  <c r="B1274" i="1"/>
  <c r="A1274" i="1"/>
  <c r="D1273" i="1"/>
  <c r="C1273" i="1"/>
  <c r="B1273" i="1"/>
  <c r="A1273" i="1"/>
  <c r="D1272" i="1"/>
  <c r="C1272" i="1"/>
  <c r="B1272" i="1"/>
  <c r="A1272" i="1"/>
  <c r="D1271" i="1"/>
  <c r="C1271" i="1"/>
  <c r="B1271" i="1"/>
  <c r="A1271" i="1"/>
  <c r="D1270" i="1"/>
  <c r="C1270" i="1"/>
  <c r="B1270" i="1"/>
  <c r="A1270" i="1"/>
  <c r="D1269" i="1"/>
  <c r="C1269" i="1"/>
  <c r="B1269" i="1"/>
  <c r="A1269" i="1"/>
  <c r="D1268" i="1"/>
  <c r="C1268" i="1"/>
  <c r="B1268" i="1"/>
  <c r="A1268" i="1"/>
  <c r="D1267" i="1"/>
  <c r="C1267" i="1"/>
  <c r="B1267" i="1"/>
  <c r="A1267" i="1"/>
  <c r="D1266" i="1"/>
  <c r="C1266" i="1"/>
  <c r="B1266" i="1"/>
  <c r="A1266" i="1"/>
  <c r="D1265" i="1"/>
  <c r="C1265" i="1"/>
  <c r="B1265" i="1"/>
  <c r="A1265" i="1"/>
  <c r="D1264" i="1"/>
  <c r="C1264" i="1"/>
  <c r="B1264" i="1"/>
  <c r="A1264" i="1"/>
  <c r="D1263" i="1"/>
  <c r="C1263" i="1"/>
  <c r="B1263" i="1"/>
  <c r="A1263" i="1"/>
  <c r="D1262" i="1"/>
  <c r="C1262" i="1"/>
  <c r="B1262" i="1"/>
  <c r="A1262" i="1"/>
  <c r="D1261" i="1"/>
  <c r="C1261" i="1"/>
  <c r="B1261" i="1"/>
  <c r="A1261" i="1"/>
  <c r="D1260" i="1"/>
  <c r="C1260" i="1"/>
  <c r="B1260" i="1"/>
  <c r="A1260" i="1"/>
  <c r="D1259" i="1"/>
  <c r="C1259" i="1"/>
  <c r="B1259" i="1"/>
  <c r="A1259" i="1"/>
  <c r="D1258" i="1"/>
  <c r="C1258" i="1"/>
  <c r="B1258" i="1"/>
  <c r="A1258" i="1"/>
  <c r="D1257" i="1"/>
  <c r="C1257" i="1"/>
  <c r="B1257" i="1"/>
  <c r="A1257" i="1"/>
  <c r="D1256" i="1"/>
  <c r="C1256" i="1"/>
  <c r="B1256" i="1"/>
  <c r="A1256" i="1"/>
  <c r="D1255" i="1"/>
  <c r="C1255" i="1"/>
  <c r="B1255" i="1"/>
  <c r="A1255" i="1"/>
  <c r="D1254" i="1"/>
  <c r="C1254" i="1"/>
  <c r="B1254" i="1"/>
  <c r="A1254" i="1"/>
  <c r="D1253" i="1"/>
  <c r="C1253" i="1"/>
  <c r="B1253" i="1"/>
  <c r="A1253" i="1"/>
  <c r="D1252" i="1"/>
  <c r="C1252" i="1"/>
  <c r="B1252" i="1"/>
  <c r="A1252" i="1"/>
  <c r="D1251" i="1"/>
  <c r="C1251" i="1"/>
  <c r="B1251" i="1"/>
  <c r="A1251" i="1"/>
  <c r="D1250" i="1"/>
  <c r="C1250" i="1"/>
  <c r="B1250" i="1"/>
  <c r="A1250" i="1"/>
  <c r="D1249" i="1"/>
  <c r="C1249" i="1"/>
  <c r="B1249" i="1"/>
  <c r="A1249" i="1"/>
  <c r="D1248" i="1"/>
  <c r="C1248" i="1"/>
  <c r="B1248" i="1"/>
  <c r="A1248" i="1"/>
  <c r="D1247" i="1"/>
  <c r="C1247" i="1"/>
  <c r="B1247" i="1"/>
  <c r="A1247" i="1"/>
  <c r="D1246" i="1"/>
  <c r="C1246" i="1"/>
  <c r="B1246" i="1"/>
  <c r="A1246" i="1"/>
  <c r="D1245" i="1"/>
  <c r="C1245" i="1"/>
  <c r="B1245" i="1"/>
  <c r="A1245" i="1"/>
  <c r="D1244" i="1"/>
  <c r="C1244" i="1"/>
  <c r="B1244" i="1"/>
  <c r="A1244" i="1"/>
  <c r="D1243" i="1"/>
  <c r="C1243" i="1"/>
  <c r="B1243" i="1"/>
  <c r="A1243" i="1"/>
  <c r="D1242" i="1"/>
  <c r="C1242" i="1"/>
  <c r="B1242" i="1"/>
  <c r="A1242" i="1"/>
  <c r="D1241" i="1"/>
  <c r="C1241" i="1"/>
  <c r="B1241" i="1"/>
  <c r="A1241" i="1"/>
  <c r="D1240" i="1"/>
  <c r="C1240" i="1"/>
  <c r="B1240" i="1"/>
  <c r="A1240" i="1"/>
  <c r="D1239" i="1"/>
  <c r="C1239" i="1"/>
  <c r="B1239" i="1"/>
  <c r="A1239" i="1"/>
  <c r="D1238" i="1"/>
  <c r="C1238" i="1"/>
  <c r="B1238" i="1"/>
  <c r="A1238" i="1"/>
  <c r="D1237" i="1"/>
  <c r="C1237" i="1"/>
  <c r="B1237" i="1"/>
  <c r="A1237" i="1"/>
  <c r="D1236" i="1"/>
  <c r="C1236" i="1"/>
  <c r="B1236" i="1"/>
  <c r="A1236" i="1"/>
  <c r="D1235" i="1"/>
  <c r="C1235" i="1"/>
  <c r="B1235" i="1"/>
  <c r="A1235" i="1"/>
  <c r="D1234" i="1"/>
  <c r="C1234" i="1"/>
  <c r="B1234" i="1"/>
  <c r="A1234" i="1"/>
  <c r="D1233" i="1"/>
  <c r="C1233" i="1"/>
  <c r="B1233" i="1"/>
  <c r="A1233" i="1"/>
  <c r="D1232" i="1"/>
  <c r="C1232" i="1"/>
  <c r="B1232" i="1"/>
  <c r="A1232" i="1"/>
  <c r="D1231" i="1"/>
  <c r="C1231" i="1"/>
  <c r="B1231" i="1"/>
  <c r="A1231" i="1"/>
  <c r="D1230" i="1"/>
  <c r="C1230" i="1"/>
  <c r="B1230" i="1"/>
  <c r="A1230" i="1"/>
  <c r="D1229" i="1"/>
  <c r="C1229" i="1"/>
  <c r="B1229" i="1"/>
  <c r="A1229" i="1"/>
  <c r="D1228" i="1"/>
  <c r="C1228" i="1"/>
  <c r="B1228" i="1"/>
  <c r="A1228" i="1"/>
  <c r="D1227" i="1"/>
  <c r="C1227" i="1"/>
  <c r="B1227" i="1"/>
  <c r="A1227" i="1"/>
  <c r="D1226" i="1"/>
  <c r="C1226" i="1"/>
  <c r="B1226" i="1"/>
  <c r="A1226" i="1"/>
  <c r="D1225" i="1"/>
  <c r="C1225" i="1"/>
  <c r="B1225" i="1"/>
  <c r="A1225" i="1"/>
  <c r="D1224" i="1"/>
  <c r="C1224" i="1"/>
  <c r="B1224" i="1"/>
  <c r="A1224" i="1"/>
  <c r="D1223" i="1"/>
  <c r="C1223" i="1"/>
  <c r="B1223" i="1"/>
  <c r="A1223" i="1"/>
  <c r="D1222" i="1"/>
  <c r="C1222" i="1"/>
  <c r="B1222" i="1"/>
  <c r="A1222" i="1"/>
  <c r="D1221" i="1"/>
  <c r="C1221" i="1"/>
  <c r="B1221" i="1"/>
  <c r="A1221" i="1"/>
  <c r="D1220" i="1"/>
  <c r="C1220" i="1"/>
  <c r="B1220" i="1"/>
  <c r="A1220" i="1"/>
  <c r="D1219" i="1"/>
  <c r="C1219" i="1"/>
  <c r="B1219" i="1"/>
  <c r="A1219" i="1"/>
  <c r="D1218" i="1"/>
  <c r="C1218" i="1"/>
  <c r="B1218" i="1"/>
  <c r="A1218" i="1"/>
  <c r="D1217" i="1"/>
  <c r="C1217" i="1"/>
  <c r="B1217" i="1"/>
  <c r="A1217" i="1"/>
  <c r="D1216" i="1"/>
  <c r="C1216" i="1"/>
  <c r="B1216" i="1"/>
  <c r="A1216" i="1"/>
  <c r="D1215" i="1"/>
  <c r="C1215" i="1"/>
  <c r="B1215" i="1"/>
  <c r="A1215" i="1"/>
  <c r="D1214" i="1"/>
  <c r="C1214" i="1"/>
  <c r="B1214" i="1"/>
  <c r="A1214" i="1"/>
  <c r="D1213" i="1"/>
  <c r="C1213" i="1"/>
  <c r="B1213" i="1"/>
  <c r="A1213" i="1"/>
  <c r="D1212" i="1"/>
  <c r="C1212" i="1"/>
  <c r="B1212" i="1"/>
  <c r="A1212" i="1"/>
  <c r="D1211" i="1"/>
  <c r="C1211" i="1"/>
  <c r="B1211" i="1"/>
  <c r="A1211" i="1"/>
  <c r="D1210" i="1"/>
  <c r="C1210" i="1"/>
  <c r="B1210" i="1"/>
  <c r="A1210" i="1"/>
  <c r="D1209" i="1"/>
  <c r="C1209" i="1"/>
  <c r="B1209" i="1"/>
  <c r="A1209" i="1"/>
  <c r="D1208" i="1"/>
  <c r="C1208" i="1"/>
  <c r="B1208" i="1"/>
  <c r="A1208" i="1"/>
  <c r="D1207" i="1"/>
  <c r="C1207" i="1"/>
  <c r="B1207" i="1"/>
  <c r="A1207" i="1"/>
  <c r="D1206" i="1"/>
  <c r="C1206" i="1"/>
  <c r="B1206" i="1"/>
  <c r="A1206" i="1"/>
  <c r="D1205" i="1"/>
  <c r="C1205" i="1"/>
  <c r="B1205" i="1"/>
  <c r="A1205" i="1"/>
  <c r="D1204" i="1"/>
  <c r="C1204" i="1"/>
  <c r="B1204" i="1"/>
  <c r="A1204" i="1"/>
  <c r="D1203" i="1"/>
  <c r="C1203" i="1"/>
  <c r="B1203" i="1"/>
  <c r="A1203" i="1"/>
  <c r="D1202" i="1"/>
  <c r="C1202" i="1"/>
  <c r="B1202" i="1"/>
  <c r="A1202" i="1"/>
  <c r="D1201" i="1"/>
  <c r="C1201" i="1"/>
  <c r="B1201" i="1"/>
  <c r="A1201" i="1"/>
  <c r="D1200" i="1"/>
  <c r="C1200" i="1"/>
  <c r="B1200" i="1"/>
  <c r="A1200" i="1"/>
  <c r="D1199" i="1"/>
  <c r="C1199" i="1"/>
  <c r="B1199" i="1"/>
  <c r="A1199" i="1"/>
  <c r="D1198" i="1"/>
  <c r="C1198" i="1"/>
  <c r="B1198" i="1"/>
  <c r="A1198" i="1"/>
  <c r="D1197" i="1"/>
  <c r="C1197" i="1"/>
  <c r="B1197" i="1"/>
  <c r="A1197" i="1"/>
  <c r="D1196" i="1"/>
  <c r="C1196" i="1"/>
  <c r="B1196" i="1"/>
  <c r="A1196" i="1"/>
  <c r="D1195" i="1"/>
  <c r="C1195" i="1"/>
  <c r="B1195" i="1"/>
  <c r="A1195" i="1"/>
  <c r="D1194" i="1"/>
  <c r="C1194" i="1"/>
  <c r="B1194" i="1"/>
  <c r="A1194" i="1"/>
  <c r="D1193" i="1"/>
  <c r="C1193" i="1"/>
  <c r="B1193" i="1"/>
  <c r="A1193" i="1"/>
  <c r="D1192" i="1"/>
  <c r="C1192" i="1"/>
  <c r="B1192" i="1"/>
  <c r="A1192" i="1"/>
  <c r="D1191" i="1"/>
  <c r="C1191" i="1"/>
  <c r="B1191" i="1"/>
  <c r="A1191" i="1"/>
  <c r="D1190" i="1"/>
  <c r="C1190" i="1"/>
  <c r="B1190" i="1"/>
  <c r="A1190" i="1"/>
  <c r="D1189" i="1"/>
  <c r="C1189" i="1"/>
  <c r="B1189" i="1"/>
  <c r="A1189" i="1"/>
  <c r="D1188" i="1"/>
  <c r="C1188" i="1"/>
  <c r="B1188" i="1"/>
  <c r="A1188" i="1"/>
  <c r="D1187" i="1"/>
  <c r="C1187" i="1"/>
  <c r="B1187" i="1"/>
  <c r="A1187" i="1"/>
  <c r="D1186" i="1"/>
  <c r="C1186" i="1"/>
  <c r="B1186" i="1"/>
  <c r="A1186" i="1"/>
  <c r="D1185" i="1"/>
  <c r="C1185" i="1"/>
  <c r="B1185" i="1"/>
  <c r="A1185" i="1"/>
  <c r="D1184" i="1"/>
  <c r="C1184" i="1"/>
  <c r="B1184" i="1"/>
  <c r="A1184" i="1"/>
  <c r="D1183" i="1"/>
  <c r="C1183" i="1"/>
  <c r="B1183" i="1"/>
  <c r="A1183" i="1"/>
  <c r="D1182" i="1"/>
  <c r="C1182" i="1"/>
  <c r="B1182" i="1"/>
  <c r="A1182" i="1"/>
  <c r="D1181" i="1"/>
  <c r="C1181" i="1"/>
  <c r="B1181" i="1"/>
  <c r="A1181" i="1"/>
  <c r="D1180" i="1"/>
  <c r="C1180" i="1"/>
  <c r="B1180" i="1"/>
  <c r="A1180" i="1"/>
  <c r="D1179" i="1"/>
  <c r="C1179" i="1"/>
  <c r="B1179" i="1"/>
  <c r="A1179" i="1"/>
  <c r="D1178" i="1"/>
  <c r="C1178" i="1"/>
  <c r="B1178" i="1"/>
  <c r="A1178" i="1"/>
  <c r="D1177" i="1"/>
  <c r="C1177" i="1"/>
  <c r="B1177" i="1"/>
  <c r="A1177" i="1"/>
  <c r="D1176" i="1"/>
  <c r="C1176" i="1"/>
  <c r="B1176" i="1"/>
  <c r="A1176" i="1"/>
  <c r="D1175" i="1"/>
  <c r="C1175" i="1"/>
  <c r="B1175" i="1"/>
  <c r="A1175" i="1"/>
  <c r="D1174" i="1"/>
  <c r="C1174" i="1"/>
  <c r="B1174" i="1"/>
  <c r="A1174" i="1"/>
  <c r="D1173" i="1"/>
  <c r="C1173" i="1"/>
  <c r="B1173" i="1"/>
  <c r="A1173" i="1"/>
  <c r="D1172" i="1"/>
  <c r="C1172" i="1"/>
  <c r="B1172" i="1"/>
  <c r="A1172" i="1"/>
  <c r="D1171" i="1"/>
  <c r="C1171" i="1"/>
  <c r="B1171" i="1"/>
  <c r="A1171" i="1"/>
  <c r="D1170" i="1"/>
  <c r="C1170" i="1"/>
  <c r="B1170" i="1"/>
  <c r="A1170" i="1"/>
  <c r="D1169" i="1"/>
  <c r="C1169" i="1"/>
  <c r="B1169" i="1"/>
  <c r="A1169" i="1"/>
  <c r="D1168" i="1"/>
  <c r="C1168" i="1"/>
  <c r="B1168" i="1"/>
  <c r="A1168" i="1"/>
  <c r="D1167" i="1"/>
  <c r="C1167" i="1"/>
  <c r="B1167" i="1"/>
  <c r="A1167" i="1"/>
  <c r="D1166" i="1"/>
  <c r="C1166" i="1"/>
  <c r="B1166" i="1"/>
  <c r="A1166" i="1"/>
  <c r="D1165" i="1"/>
  <c r="C1165" i="1"/>
  <c r="B1165" i="1"/>
  <c r="A1165" i="1"/>
  <c r="D1164" i="1"/>
  <c r="C1164" i="1"/>
  <c r="B1164" i="1"/>
  <c r="A1164" i="1"/>
  <c r="D1163" i="1"/>
  <c r="C1163" i="1"/>
  <c r="B1163" i="1"/>
  <c r="A1163" i="1"/>
  <c r="D1162" i="1"/>
  <c r="C1162" i="1"/>
  <c r="B1162" i="1"/>
  <c r="A1162" i="1"/>
  <c r="D1161" i="1"/>
  <c r="C1161" i="1"/>
  <c r="B1161" i="1"/>
  <c r="A1161" i="1"/>
  <c r="D1160" i="1"/>
  <c r="C1160" i="1"/>
  <c r="B1160" i="1"/>
  <c r="A1160" i="1"/>
  <c r="D1159" i="1"/>
  <c r="C1159" i="1"/>
  <c r="B1159" i="1"/>
  <c r="A1159" i="1"/>
  <c r="D1158" i="1"/>
  <c r="C1158" i="1"/>
  <c r="B1158" i="1"/>
  <c r="A1158" i="1"/>
  <c r="D1157" i="1"/>
  <c r="C1157" i="1"/>
  <c r="B1157" i="1"/>
  <c r="A1157" i="1"/>
  <c r="D1156" i="1"/>
  <c r="C1156" i="1"/>
  <c r="B1156" i="1"/>
  <c r="A1156" i="1"/>
  <c r="D1155" i="1"/>
  <c r="C1155" i="1"/>
  <c r="B1155" i="1"/>
  <c r="A1155" i="1"/>
  <c r="D1154" i="1"/>
  <c r="C1154" i="1"/>
  <c r="B1154" i="1"/>
  <c r="A1154" i="1"/>
  <c r="D1153" i="1"/>
  <c r="C1153" i="1"/>
  <c r="B1153" i="1"/>
  <c r="A1153" i="1"/>
  <c r="D1152" i="1"/>
  <c r="C1152" i="1"/>
  <c r="B1152" i="1"/>
  <c r="A1152" i="1"/>
  <c r="D1151" i="1"/>
  <c r="C1151" i="1"/>
  <c r="B1151" i="1"/>
  <c r="A1151" i="1"/>
  <c r="D1150" i="1"/>
  <c r="C1150" i="1"/>
  <c r="B1150" i="1"/>
  <c r="A1150" i="1"/>
  <c r="D1149" i="1"/>
  <c r="C1149" i="1"/>
  <c r="B1149" i="1"/>
  <c r="A1149" i="1"/>
  <c r="D1148" i="1"/>
  <c r="C1148" i="1"/>
  <c r="B1148" i="1"/>
  <c r="A1148" i="1"/>
  <c r="D1147" i="1"/>
  <c r="C1147" i="1"/>
  <c r="B1147" i="1"/>
  <c r="A1147" i="1"/>
  <c r="D1146" i="1"/>
  <c r="C1146" i="1"/>
  <c r="B1146" i="1"/>
  <c r="A1146" i="1"/>
  <c r="D1145" i="1"/>
  <c r="C1145" i="1"/>
  <c r="B1145" i="1"/>
  <c r="A1145" i="1"/>
  <c r="D1144" i="1"/>
  <c r="C1144" i="1"/>
  <c r="B1144" i="1"/>
  <c r="A1144" i="1"/>
  <c r="D1143" i="1"/>
  <c r="C1143" i="1"/>
  <c r="B1143" i="1"/>
  <c r="A1143" i="1"/>
  <c r="D1142" i="1"/>
  <c r="C1142" i="1"/>
  <c r="B1142" i="1"/>
  <c r="A1142" i="1"/>
  <c r="D1141" i="1"/>
  <c r="C1141" i="1"/>
  <c r="B1141" i="1"/>
  <c r="A1141" i="1"/>
  <c r="D1140" i="1"/>
  <c r="C1140" i="1"/>
  <c r="B1140" i="1"/>
  <c r="A1140" i="1"/>
  <c r="D1139" i="1"/>
  <c r="C1139" i="1"/>
  <c r="B1139" i="1"/>
  <c r="A1139" i="1"/>
  <c r="D1138" i="1"/>
  <c r="C1138" i="1"/>
  <c r="B1138" i="1"/>
  <c r="A1138" i="1"/>
  <c r="D1137" i="1"/>
  <c r="C1137" i="1"/>
  <c r="B1137" i="1"/>
  <c r="A1137" i="1"/>
  <c r="D1136" i="1"/>
  <c r="C1136" i="1"/>
  <c r="B1136" i="1"/>
  <c r="A1136" i="1"/>
  <c r="D1135" i="1"/>
  <c r="C1135" i="1"/>
  <c r="B1135" i="1"/>
  <c r="A1135" i="1"/>
  <c r="D1134" i="1"/>
  <c r="C1134" i="1"/>
  <c r="B1134" i="1"/>
  <c r="A1134" i="1"/>
  <c r="D1133" i="1"/>
  <c r="C1133" i="1"/>
  <c r="B1133" i="1"/>
  <c r="A1133" i="1"/>
  <c r="D1132" i="1"/>
  <c r="C1132" i="1"/>
  <c r="B1132" i="1"/>
  <c r="A1132" i="1"/>
  <c r="D1131" i="1"/>
  <c r="C1131" i="1"/>
  <c r="B1131" i="1"/>
  <c r="A1131" i="1"/>
  <c r="D1130" i="1"/>
  <c r="C1130" i="1"/>
  <c r="B1130" i="1"/>
  <c r="A1130" i="1"/>
  <c r="D1129" i="1"/>
  <c r="C1129" i="1"/>
  <c r="B1129" i="1"/>
  <c r="A1129" i="1"/>
  <c r="D1128" i="1"/>
  <c r="C1128" i="1"/>
  <c r="B1128" i="1"/>
  <c r="A1128" i="1"/>
  <c r="D1127" i="1"/>
  <c r="C1127" i="1"/>
  <c r="B1127" i="1"/>
  <c r="A1127" i="1"/>
  <c r="D1126" i="1"/>
  <c r="C1126" i="1"/>
  <c r="B1126" i="1"/>
  <c r="A1126" i="1"/>
  <c r="D1125" i="1"/>
  <c r="C1125" i="1"/>
  <c r="B1125" i="1"/>
  <c r="A1125" i="1"/>
  <c r="D1124" i="1"/>
  <c r="C1124" i="1"/>
  <c r="B1124" i="1"/>
  <c r="A1124" i="1"/>
  <c r="D1123" i="1"/>
  <c r="C1123" i="1"/>
  <c r="B1123" i="1"/>
  <c r="A1123" i="1"/>
  <c r="D1122" i="1"/>
  <c r="C1122" i="1"/>
  <c r="B1122" i="1"/>
  <c r="A1122" i="1"/>
  <c r="D1121" i="1"/>
  <c r="C1121" i="1"/>
  <c r="B1121" i="1"/>
  <c r="A1121" i="1"/>
  <c r="D1120" i="1"/>
  <c r="C1120" i="1"/>
  <c r="B1120" i="1"/>
  <c r="A1120" i="1"/>
  <c r="D1119" i="1"/>
  <c r="C1119" i="1"/>
  <c r="B1119" i="1"/>
  <c r="A1119" i="1"/>
  <c r="D1118" i="1"/>
  <c r="C1118" i="1"/>
  <c r="B1118" i="1"/>
  <c r="A1118" i="1"/>
  <c r="D1117" i="1"/>
  <c r="C1117" i="1"/>
  <c r="B1117" i="1"/>
  <c r="A1117" i="1"/>
  <c r="D1116" i="1"/>
  <c r="C1116" i="1"/>
  <c r="B1116" i="1"/>
  <c r="A1116" i="1"/>
  <c r="D1115" i="1"/>
  <c r="C1115" i="1"/>
  <c r="B1115" i="1"/>
  <c r="A1115" i="1"/>
  <c r="D1114" i="1"/>
  <c r="C1114" i="1"/>
  <c r="B1114" i="1"/>
  <c r="A1114" i="1"/>
  <c r="D1113" i="1"/>
  <c r="C1113" i="1"/>
  <c r="B1113" i="1"/>
  <c r="A1113" i="1"/>
  <c r="D1112" i="1"/>
  <c r="C1112" i="1"/>
  <c r="B1112" i="1"/>
  <c r="A1112" i="1"/>
  <c r="D1111" i="1"/>
  <c r="C1111" i="1"/>
  <c r="B1111" i="1"/>
  <c r="A1111" i="1"/>
  <c r="D1110" i="1"/>
  <c r="C1110" i="1"/>
  <c r="B1110" i="1"/>
  <c r="A1110" i="1"/>
  <c r="D1109" i="1"/>
  <c r="C1109" i="1"/>
  <c r="B1109" i="1"/>
  <c r="A1109" i="1"/>
  <c r="D1108" i="1"/>
  <c r="C1108" i="1"/>
  <c r="B1108" i="1"/>
  <c r="A1108" i="1"/>
  <c r="D1107" i="1"/>
  <c r="C1107" i="1"/>
  <c r="B1107" i="1"/>
  <c r="A1107" i="1"/>
  <c r="D1106" i="1"/>
  <c r="C1106" i="1"/>
  <c r="B1106" i="1"/>
  <c r="A1106" i="1"/>
  <c r="D1105" i="1"/>
  <c r="C1105" i="1"/>
  <c r="B1105" i="1"/>
  <c r="A1105" i="1"/>
  <c r="D1104" i="1"/>
  <c r="C1104" i="1"/>
  <c r="B1104" i="1"/>
  <c r="A1104" i="1"/>
  <c r="D1103" i="1"/>
  <c r="C1103" i="1"/>
  <c r="B1103" i="1"/>
  <c r="A1103" i="1"/>
  <c r="D1102" i="1"/>
  <c r="C1102" i="1"/>
  <c r="B1102" i="1"/>
  <c r="A1102" i="1"/>
  <c r="D1101" i="1"/>
  <c r="C1101" i="1"/>
  <c r="B1101" i="1"/>
  <c r="A1101" i="1"/>
  <c r="D1100" i="1"/>
  <c r="C1100" i="1"/>
  <c r="B1100" i="1"/>
  <c r="A1100" i="1"/>
  <c r="D1099" i="1"/>
  <c r="C1099" i="1"/>
  <c r="B1099" i="1"/>
  <c r="A1099" i="1"/>
  <c r="D1098" i="1"/>
  <c r="C1098" i="1"/>
  <c r="B1098" i="1"/>
  <c r="A1098" i="1"/>
  <c r="D1097" i="1"/>
  <c r="C1097" i="1"/>
  <c r="B1097" i="1"/>
  <c r="A1097" i="1"/>
  <c r="D1096" i="1"/>
  <c r="C1096" i="1"/>
  <c r="B1096" i="1"/>
  <c r="A1096" i="1"/>
  <c r="D1095" i="1"/>
  <c r="C1095" i="1"/>
  <c r="B1095" i="1"/>
  <c r="A1095" i="1"/>
  <c r="D1094" i="1"/>
  <c r="C1094" i="1"/>
  <c r="B1094" i="1"/>
  <c r="A1094" i="1"/>
  <c r="D1093" i="1"/>
  <c r="C1093" i="1"/>
  <c r="B1093" i="1"/>
  <c r="A1093" i="1"/>
  <c r="D1092" i="1"/>
  <c r="C1092" i="1"/>
  <c r="B1092" i="1"/>
  <c r="A1092" i="1"/>
  <c r="D1091" i="1"/>
  <c r="C1091" i="1"/>
  <c r="B1091" i="1"/>
  <c r="A1091" i="1"/>
  <c r="D1090" i="1"/>
  <c r="C1090" i="1"/>
  <c r="B1090" i="1"/>
  <c r="A1090" i="1"/>
  <c r="D1089" i="1"/>
  <c r="C1089" i="1"/>
  <c r="B1089" i="1"/>
  <c r="A1089" i="1"/>
  <c r="D1088" i="1"/>
  <c r="C1088" i="1"/>
  <c r="B1088" i="1"/>
  <c r="A1088" i="1"/>
  <c r="D1087" i="1"/>
  <c r="C1087" i="1"/>
  <c r="B1087" i="1"/>
  <c r="A1087" i="1"/>
  <c r="D1086" i="1"/>
  <c r="C1086" i="1"/>
  <c r="B1086" i="1"/>
  <c r="A1086" i="1"/>
  <c r="D1085" i="1"/>
  <c r="C1085" i="1"/>
  <c r="B1085" i="1"/>
  <c r="A1085" i="1"/>
  <c r="D1084" i="1"/>
  <c r="C1084" i="1"/>
  <c r="B1084" i="1"/>
  <c r="A1084" i="1"/>
  <c r="D1083" i="1"/>
  <c r="C1083" i="1"/>
  <c r="B1083" i="1"/>
  <c r="A1083" i="1"/>
  <c r="D1082" i="1"/>
  <c r="C1082" i="1"/>
  <c r="B1082" i="1"/>
  <c r="A1082" i="1"/>
  <c r="D1081" i="1"/>
  <c r="C1081" i="1"/>
  <c r="B1081" i="1"/>
  <c r="A1081" i="1"/>
  <c r="D1080" i="1"/>
  <c r="C1080" i="1"/>
  <c r="B1080" i="1"/>
  <c r="A1080" i="1"/>
  <c r="D1079" i="1"/>
  <c r="C1079" i="1"/>
  <c r="B1079" i="1"/>
  <c r="A1079" i="1"/>
  <c r="D1078" i="1"/>
  <c r="C1078" i="1"/>
  <c r="B1078" i="1"/>
  <c r="A1078" i="1"/>
  <c r="D1077" i="1"/>
  <c r="C1077" i="1"/>
  <c r="B1077" i="1"/>
  <c r="A1077" i="1"/>
  <c r="D1076" i="1"/>
  <c r="C1076" i="1"/>
  <c r="B1076" i="1"/>
  <c r="A1076" i="1"/>
  <c r="D1075" i="1"/>
  <c r="C1075" i="1"/>
  <c r="B1075" i="1"/>
  <c r="A1075" i="1"/>
  <c r="D1074" i="1"/>
  <c r="C1074" i="1"/>
  <c r="B1074" i="1"/>
  <c r="A1074" i="1"/>
  <c r="D1073" i="1"/>
  <c r="C1073" i="1"/>
  <c r="B1073" i="1"/>
  <c r="A1073" i="1"/>
  <c r="D1072" i="1"/>
  <c r="C1072" i="1"/>
  <c r="B1072" i="1"/>
  <c r="A1072" i="1"/>
  <c r="D1071" i="1"/>
  <c r="C1071" i="1"/>
  <c r="B1071" i="1"/>
  <c r="A1071" i="1"/>
  <c r="D1070" i="1"/>
  <c r="C1070" i="1"/>
  <c r="B1070" i="1"/>
  <c r="A1070" i="1"/>
  <c r="D1069" i="1"/>
  <c r="C1069" i="1"/>
  <c r="B1069" i="1"/>
  <c r="A1069" i="1"/>
  <c r="D1068" i="1"/>
  <c r="C1068" i="1"/>
  <c r="B1068" i="1"/>
  <c r="A1068" i="1"/>
  <c r="D1067" i="1"/>
  <c r="C1067" i="1"/>
  <c r="B1067" i="1"/>
  <c r="A1067" i="1"/>
  <c r="D1066" i="1"/>
  <c r="C1066" i="1"/>
  <c r="B1066" i="1"/>
  <c r="A1066" i="1"/>
  <c r="D1065" i="1"/>
  <c r="C1065" i="1"/>
  <c r="B1065" i="1"/>
  <c r="A1065" i="1"/>
  <c r="D1064" i="1"/>
  <c r="C1064" i="1"/>
  <c r="B1064" i="1"/>
  <c r="A1064" i="1"/>
  <c r="D1063" i="1"/>
  <c r="C1063" i="1"/>
  <c r="B1063" i="1"/>
  <c r="A1063" i="1"/>
  <c r="D1062" i="1"/>
  <c r="C1062" i="1"/>
  <c r="B1062" i="1"/>
  <c r="A1062" i="1"/>
  <c r="D1061" i="1"/>
  <c r="C1061" i="1"/>
  <c r="B1061" i="1"/>
  <c r="A1061" i="1"/>
  <c r="D1060" i="1"/>
  <c r="C1060" i="1"/>
  <c r="B1060" i="1"/>
  <c r="A1060" i="1"/>
  <c r="D1059" i="1"/>
  <c r="C1059" i="1"/>
  <c r="B1059" i="1"/>
  <c r="A1059" i="1"/>
  <c r="D1058" i="1"/>
  <c r="C1058" i="1"/>
  <c r="B1058" i="1"/>
  <c r="A1058" i="1"/>
  <c r="D1057" i="1"/>
  <c r="C1057" i="1"/>
  <c r="B1057" i="1"/>
  <c r="A1057" i="1"/>
  <c r="D1056" i="1"/>
  <c r="C1056" i="1"/>
  <c r="B1056" i="1"/>
  <c r="A1056" i="1"/>
  <c r="D1055" i="1"/>
  <c r="C1055" i="1"/>
  <c r="B1055" i="1"/>
  <c r="A1055" i="1"/>
  <c r="D1054" i="1"/>
  <c r="C1054" i="1"/>
  <c r="B1054" i="1"/>
  <c r="A1054" i="1"/>
  <c r="D1053" i="1"/>
  <c r="C1053" i="1"/>
  <c r="B1053" i="1"/>
  <c r="A1053" i="1"/>
  <c r="D1052" i="1"/>
  <c r="C1052" i="1"/>
  <c r="B1052" i="1"/>
  <c r="A1052" i="1"/>
  <c r="D1051" i="1"/>
  <c r="C1051" i="1"/>
  <c r="B1051" i="1"/>
  <c r="A1051" i="1"/>
  <c r="D1050" i="1"/>
  <c r="C1050" i="1"/>
  <c r="B1050" i="1"/>
  <c r="A1050" i="1"/>
  <c r="D1049" i="1"/>
  <c r="C1049" i="1"/>
  <c r="B1049" i="1"/>
  <c r="A1049" i="1"/>
  <c r="D1048" i="1"/>
  <c r="C1048" i="1"/>
  <c r="B1048" i="1"/>
  <c r="A1048" i="1"/>
  <c r="D1047" i="1"/>
  <c r="C1047" i="1"/>
  <c r="B1047" i="1"/>
  <c r="A1047" i="1"/>
  <c r="D1046" i="1"/>
  <c r="C1046" i="1"/>
  <c r="B1046" i="1"/>
  <c r="A1046" i="1"/>
  <c r="D1045" i="1"/>
  <c r="C1045" i="1"/>
  <c r="B1045" i="1"/>
  <c r="A1045" i="1"/>
  <c r="D1044" i="1"/>
  <c r="C1044" i="1"/>
  <c r="B1044" i="1"/>
  <c r="A1044" i="1"/>
  <c r="D1043" i="1"/>
  <c r="C1043" i="1"/>
  <c r="B1043" i="1"/>
  <c r="A1043" i="1"/>
  <c r="D1042" i="1"/>
  <c r="C1042" i="1"/>
  <c r="B1042" i="1"/>
  <c r="A1042" i="1"/>
  <c r="D1041" i="1"/>
  <c r="C1041" i="1"/>
  <c r="B1041" i="1"/>
  <c r="A1041" i="1"/>
  <c r="D1040" i="1"/>
  <c r="C1040" i="1"/>
  <c r="B1040" i="1"/>
  <c r="A1040" i="1"/>
  <c r="D1039" i="1"/>
  <c r="C1039" i="1"/>
  <c r="B1039" i="1"/>
  <c r="A1039" i="1"/>
  <c r="D1038" i="1"/>
  <c r="C1038" i="1"/>
  <c r="B1038" i="1"/>
  <c r="A1038" i="1"/>
  <c r="D1037" i="1"/>
  <c r="C1037" i="1"/>
  <c r="B1037" i="1"/>
  <c r="A1037" i="1"/>
  <c r="D1036" i="1"/>
  <c r="C1036" i="1"/>
  <c r="B1036" i="1"/>
  <c r="A1036" i="1"/>
  <c r="D1035" i="1"/>
  <c r="C1035" i="1"/>
  <c r="B1035" i="1"/>
  <c r="A1035" i="1"/>
  <c r="D1034" i="1"/>
  <c r="C1034" i="1"/>
  <c r="B1034" i="1"/>
  <c r="A1034" i="1"/>
  <c r="D1033" i="1"/>
  <c r="C1033" i="1"/>
  <c r="B1033" i="1"/>
  <c r="A1033" i="1"/>
  <c r="D1032" i="1"/>
  <c r="C1032" i="1"/>
  <c r="B1032" i="1"/>
  <c r="A1032" i="1"/>
  <c r="D1031" i="1"/>
  <c r="C1031" i="1"/>
  <c r="B1031" i="1"/>
  <c r="A1031" i="1"/>
  <c r="D1030" i="1"/>
  <c r="C1030" i="1"/>
  <c r="B1030" i="1"/>
  <c r="A1030" i="1"/>
  <c r="D1029" i="1"/>
  <c r="C1029" i="1"/>
  <c r="B1029" i="1"/>
  <c r="A1029" i="1"/>
  <c r="D1028" i="1"/>
  <c r="C1028" i="1"/>
  <c r="B1028" i="1"/>
  <c r="A1028" i="1"/>
  <c r="D1027" i="1"/>
  <c r="C1027" i="1"/>
  <c r="B1027" i="1"/>
  <c r="A1027" i="1"/>
  <c r="D1026" i="1"/>
  <c r="C1026" i="1"/>
  <c r="B1026" i="1"/>
  <c r="A1026" i="1"/>
  <c r="D1025" i="1"/>
  <c r="C1025" i="1"/>
  <c r="B1025" i="1"/>
  <c r="A1025" i="1"/>
  <c r="D1024" i="1"/>
  <c r="C1024" i="1"/>
  <c r="B1024" i="1"/>
  <c r="A1024" i="1"/>
  <c r="D1023" i="1"/>
  <c r="C1023" i="1"/>
  <c r="B1023" i="1"/>
  <c r="A1023" i="1"/>
  <c r="D1022" i="1"/>
  <c r="C1022" i="1"/>
  <c r="B1022" i="1"/>
  <c r="A1022" i="1"/>
  <c r="D1021" i="1"/>
  <c r="C1021" i="1"/>
  <c r="B1021" i="1"/>
  <c r="A1021" i="1"/>
  <c r="D1020" i="1"/>
  <c r="C1020" i="1"/>
  <c r="B1020" i="1"/>
  <c r="A1020" i="1"/>
  <c r="D1019" i="1"/>
  <c r="C1019" i="1"/>
  <c r="B1019" i="1"/>
  <c r="A1019" i="1"/>
  <c r="D1018" i="1"/>
  <c r="C1018" i="1"/>
  <c r="B1018" i="1"/>
  <c r="A1018" i="1"/>
  <c r="D1017" i="1"/>
  <c r="C1017" i="1"/>
  <c r="B1017" i="1"/>
  <c r="A1017" i="1"/>
  <c r="D1016" i="1"/>
  <c r="C1016" i="1"/>
  <c r="B1016" i="1"/>
  <c r="A1016" i="1"/>
  <c r="D1015" i="1"/>
  <c r="C1015" i="1"/>
  <c r="B1015" i="1"/>
  <c r="A1015" i="1"/>
  <c r="D1014" i="1"/>
  <c r="C1014" i="1"/>
  <c r="B1014" i="1"/>
  <c r="A1014" i="1"/>
  <c r="D1013" i="1"/>
  <c r="C1013" i="1"/>
  <c r="B1013" i="1"/>
  <c r="A1013" i="1"/>
  <c r="D1012" i="1"/>
  <c r="C1012" i="1"/>
  <c r="B1012" i="1"/>
  <c r="A1012" i="1"/>
  <c r="D1011" i="1"/>
  <c r="C1011" i="1"/>
  <c r="B1011" i="1"/>
  <c r="A1011" i="1"/>
  <c r="D1010" i="1"/>
  <c r="C1010" i="1"/>
  <c r="B1010" i="1"/>
  <c r="A1010" i="1"/>
  <c r="D1009" i="1"/>
  <c r="C1009" i="1"/>
  <c r="B1009" i="1"/>
  <c r="A1009" i="1"/>
  <c r="D1008" i="1"/>
  <c r="C1008" i="1"/>
  <c r="B1008" i="1"/>
  <c r="A1008" i="1"/>
  <c r="D1007" i="1"/>
  <c r="C1007" i="1"/>
  <c r="B1007" i="1"/>
  <c r="A1007" i="1"/>
  <c r="D1006" i="1"/>
  <c r="C1006" i="1"/>
  <c r="B1006" i="1"/>
  <c r="A1006" i="1"/>
  <c r="D1005" i="1"/>
  <c r="C1005" i="1"/>
  <c r="B1005" i="1"/>
  <c r="A1005" i="1"/>
  <c r="D1004" i="1"/>
  <c r="C1004" i="1"/>
  <c r="B1004" i="1"/>
  <c r="A1004" i="1"/>
  <c r="D1003" i="1"/>
  <c r="C1003" i="1"/>
  <c r="B1003" i="1"/>
  <c r="A1003" i="1"/>
  <c r="D1002" i="1"/>
  <c r="C1002" i="1"/>
  <c r="B1002" i="1"/>
  <c r="A1002" i="1"/>
  <c r="D1001" i="1"/>
  <c r="C1001" i="1"/>
  <c r="B1001" i="1"/>
  <c r="A1001" i="1"/>
  <c r="D1000" i="1"/>
  <c r="C1000" i="1"/>
  <c r="B1000" i="1"/>
  <c r="A1000" i="1"/>
  <c r="D999" i="1"/>
  <c r="C999" i="1"/>
  <c r="B999" i="1"/>
  <c r="A999" i="1"/>
  <c r="D998" i="1"/>
  <c r="C998" i="1"/>
  <c r="B998" i="1"/>
  <c r="A998" i="1"/>
  <c r="D997" i="1"/>
  <c r="C997" i="1"/>
  <c r="B997" i="1"/>
  <c r="A997" i="1"/>
  <c r="D996" i="1"/>
  <c r="C996" i="1"/>
  <c r="B996" i="1"/>
  <c r="A996" i="1"/>
  <c r="D995" i="1"/>
  <c r="C995" i="1"/>
  <c r="B995" i="1"/>
  <c r="A995" i="1"/>
  <c r="D994" i="1"/>
  <c r="C994" i="1"/>
  <c r="B994" i="1"/>
  <c r="A994" i="1"/>
  <c r="D993" i="1"/>
  <c r="C993" i="1"/>
  <c r="B993" i="1"/>
  <c r="A993" i="1"/>
  <c r="D992" i="1"/>
  <c r="C992" i="1"/>
  <c r="B992" i="1"/>
  <c r="A992" i="1"/>
  <c r="D991" i="1"/>
  <c r="C991" i="1"/>
  <c r="B991" i="1"/>
  <c r="A991" i="1"/>
  <c r="D990" i="1"/>
  <c r="C990" i="1"/>
  <c r="B990" i="1"/>
  <c r="A990" i="1"/>
  <c r="D989" i="1"/>
  <c r="C989" i="1"/>
  <c r="B989" i="1"/>
  <c r="A989" i="1"/>
  <c r="D988" i="1"/>
  <c r="C988" i="1"/>
  <c r="B988" i="1"/>
  <c r="A988" i="1"/>
  <c r="D987" i="1"/>
  <c r="C987" i="1"/>
  <c r="B987" i="1"/>
  <c r="A987" i="1"/>
  <c r="D986" i="1"/>
  <c r="C986" i="1"/>
  <c r="B986" i="1"/>
  <c r="A986" i="1"/>
  <c r="D985" i="1"/>
  <c r="C985" i="1"/>
  <c r="B985" i="1"/>
  <c r="A985" i="1"/>
  <c r="D984" i="1"/>
  <c r="C984" i="1"/>
  <c r="B984" i="1"/>
  <c r="A984" i="1"/>
  <c r="D983" i="1"/>
  <c r="C983" i="1"/>
  <c r="B983" i="1"/>
  <c r="A983" i="1"/>
  <c r="D982" i="1"/>
  <c r="C982" i="1"/>
  <c r="B982" i="1"/>
  <c r="A982" i="1"/>
  <c r="D981" i="1"/>
  <c r="C981" i="1"/>
  <c r="B981" i="1"/>
  <c r="A981" i="1"/>
  <c r="D980" i="1"/>
  <c r="C980" i="1"/>
  <c r="B980" i="1"/>
  <c r="A980" i="1"/>
  <c r="D979" i="1"/>
  <c r="C979" i="1"/>
  <c r="B979" i="1"/>
  <c r="A979" i="1"/>
  <c r="D978" i="1"/>
  <c r="C978" i="1"/>
  <c r="B978" i="1"/>
  <c r="A978" i="1"/>
  <c r="D977" i="1"/>
  <c r="C977" i="1"/>
  <c r="B977" i="1"/>
  <c r="A977" i="1"/>
  <c r="D976" i="1"/>
  <c r="C976" i="1"/>
  <c r="B976" i="1"/>
  <c r="A976" i="1"/>
  <c r="D975" i="1"/>
  <c r="C975" i="1"/>
  <c r="B975" i="1"/>
  <c r="A975" i="1"/>
  <c r="D974" i="1"/>
  <c r="C974" i="1"/>
  <c r="B974" i="1"/>
  <c r="A974" i="1"/>
  <c r="D973" i="1"/>
  <c r="C973" i="1"/>
  <c r="B973" i="1"/>
  <c r="A973" i="1"/>
  <c r="D972" i="1"/>
  <c r="C972" i="1"/>
  <c r="B972" i="1"/>
  <c r="A972" i="1"/>
  <c r="D971" i="1"/>
  <c r="C971" i="1"/>
  <c r="B971" i="1"/>
  <c r="A971" i="1"/>
  <c r="D970" i="1"/>
  <c r="C970" i="1"/>
  <c r="B970" i="1"/>
  <c r="A970" i="1"/>
  <c r="D969" i="1"/>
  <c r="C969" i="1"/>
  <c r="B969" i="1"/>
  <c r="A969" i="1"/>
  <c r="D968" i="1"/>
  <c r="C968" i="1"/>
  <c r="B968" i="1"/>
  <c r="A968" i="1"/>
  <c r="D967" i="1"/>
  <c r="C967" i="1"/>
  <c r="B967" i="1"/>
  <c r="A967" i="1"/>
  <c r="D966" i="1"/>
  <c r="C966" i="1"/>
  <c r="B966" i="1"/>
  <c r="A966" i="1"/>
  <c r="D965" i="1"/>
  <c r="C965" i="1"/>
  <c r="B965" i="1"/>
  <c r="A965" i="1"/>
  <c r="D964" i="1"/>
  <c r="C964" i="1"/>
  <c r="B964" i="1"/>
  <c r="A964" i="1"/>
  <c r="D963" i="1"/>
  <c r="C963" i="1"/>
  <c r="B963" i="1"/>
  <c r="A963" i="1"/>
  <c r="D962" i="1"/>
  <c r="C962" i="1"/>
  <c r="B962" i="1"/>
  <c r="A962" i="1"/>
  <c r="D961" i="1"/>
  <c r="C961" i="1"/>
  <c r="B961" i="1"/>
  <c r="A961" i="1"/>
  <c r="D960" i="1"/>
  <c r="C960" i="1"/>
  <c r="B960" i="1"/>
  <c r="A960" i="1"/>
  <c r="D959" i="1"/>
  <c r="C959" i="1"/>
  <c r="B959" i="1"/>
  <c r="A959" i="1"/>
  <c r="D958" i="1"/>
  <c r="C958" i="1"/>
  <c r="B958" i="1"/>
  <c r="A958" i="1"/>
  <c r="D957" i="1"/>
  <c r="C957" i="1"/>
  <c r="B957" i="1"/>
  <c r="A957" i="1"/>
  <c r="D956" i="1"/>
  <c r="C956" i="1"/>
  <c r="B956" i="1"/>
  <c r="A956" i="1"/>
  <c r="D955" i="1"/>
  <c r="C955" i="1"/>
  <c r="B955" i="1"/>
  <c r="A955" i="1"/>
  <c r="D954" i="1"/>
  <c r="C954" i="1"/>
  <c r="B954" i="1"/>
  <c r="A954" i="1"/>
  <c r="D953" i="1"/>
  <c r="C953" i="1"/>
  <c r="B953" i="1"/>
  <c r="A953" i="1"/>
  <c r="D952" i="1"/>
  <c r="C952" i="1"/>
  <c r="B952" i="1"/>
  <c r="A952" i="1"/>
  <c r="D951" i="1"/>
  <c r="C951" i="1"/>
  <c r="B951" i="1"/>
  <c r="A951" i="1"/>
  <c r="D950" i="1"/>
  <c r="C950" i="1"/>
  <c r="B950" i="1"/>
  <c r="A950" i="1"/>
  <c r="D949" i="1"/>
  <c r="C949" i="1"/>
  <c r="B949" i="1"/>
  <c r="A949" i="1"/>
  <c r="D948" i="1"/>
  <c r="C948" i="1"/>
  <c r="B948" i="1"/>
  <c r="A948" i="1"/>
  <c r="D947" i="1"/>
  <c r="C947" i="1"/>
  <c r="B947" i="1"/>
  <c r="A947" i="1"/>
  <c r="D946" i="1"/>
  <c r="C946" i="1"/>
  <c r="B946" i="1"/>
  <c r="A946" i="1"/>
  <c r="D945" i="1"/>
  <c r="C945" i="1"/>
  <c r="B945" i="1"/>
  <c r="A945" i="1"/>
  <c r="D944" i="1"/>
  <c r="C944" i="1"/>
  <c r="B944" i="1"/>
  <c r="A944" i="1"/>
  <c r="D943" i="1"/>
  <c r="C943" i="1"/>
  <c r="B943" i="1"/>
  <c r="A943" i="1"/>
  <c r="D942" i="1"/>
  <c r="C942" i="1"/>
  <c r="B942" i="1"/>
  <c r="A942" i="1"/>
  <c r="D941" i="1"/>
  <c r="C941" i="1"/>
  <c r="B941" i="1"/>
  <c r="A941" i="1"/>
  <c r="D940" i="1"/>
  <c r="C940" i="1"/>
  <c r="B940" i="1"/>
  <c r="A940" i="1"/>
  <c r="D939" i="1"/>
  <c r="C939" i="1"/>
  <c r="B939" i="1"/>
  <c r="A939" i="1"/>
  <c r="D938" i="1"/>
  <c r="C938" i="1"/>
  <c r="B938" i="1"/>
  <c r="A938" i="1"/>
  <c r="D937" i="1"/>
  <c r="C937" i="1"/>
  <c r="B937" i="1"/>
  <c r="A937" i="1"/>
  <c r="D936" i="1"/>
  <c r="C936" i="1"/>
  <c r="B936" i="1"/>
  <c r="A936" i="1"/>
  <c r="D935" i="1"/>
  <c r="C935" i="1"/>
  <c r="B935" i="1"/>
  <c r="A935" i="1"/>
  <c r="D934" i="1"/>
  <c r="C934" i="1"/>
  <c r="B934" i="1"/>
  <c r="A934" i="1"/>
  <c r="D933" i="1"/>
  <c r="C933" i="1"/>
  <c r="B933" i="1"/>
  <c r="A933" i="1"/>
  <c r="D932" i="1"/>
  <c r="C932" i="1"/>
  <c r="B932" i="1"/>
  <c r="A932" i="1"/>
  <c r="D931" i="1"/>
  <c r="C931" i="1"/>
  <c r="B931" i="1"/>
  <c r="A931" i="1"/>
  <c r="D930" i="1"/>
  <c r="C930" i="1"/>
  <c r="B930" i="1"/>
  <c r="A930" i="1"/>
  <c r="D929" i="1"/>
  <c r="C929" i="1"/>
  <c r="B929" i="1"/>
  <c r="A929" i="1"/>
  <c r="D928" i="1"/>
  <c r="C928" i="1"/>
  <c r="B928" i="1"/>
  <c r="A928" i="1"/>
  <c r="D927" i="1"/>
  <c r="C927" i="1"/>
  <c r="B927" i="1"/>
  <c r="A927" i="1"/>
  <c r="D926" i="1"/>
  <c r="C926" i="1"/>
  <c r="B926" i="1"/>
  <c r="A926" i="1"/>
  <c r="D925" i="1"/>
  <c r="C925" i="1"/>
  <c r="B925" i="1"/>
  <c r="A925" i="1"/>
  <c r="D924" i="1"/>
  <c r="C924" i="1"/>
  <c r="B924" i="1"/>
  <c r="A924" i="1"/>
  <c r="D923" i="1"/>
  <c r="C923" i="1"/>
  <c r="B923" i="1"/>
  <c r="A923" i="1"/>
  <c r="D922" i="1"/>
  <c r="C922" i="1"/>
  <c r="B922" i="1"/>
  <c r="A922" i="1"/>
  <c r="D921" i="1"/>
  <c r="C921" i="1"/>
  <c r="B921" i="1"/>
  <c r="A921" i="1"/>
  <c r="D920" i="1"/>
  <c r="C920" i="1"/>
  <c r="B920" i="1"/>
  <c r="A920" i="1"/>
  <c r="D919" i="1"/>
  <c r="C919" i="1"/>
  <c r="B919" i="1"/>
  <c r="A919" i="1"/>
  <c r="D918" i="1"/>
  <c r="C918" i="1"/>
  <c r="B918" i="1"/>
  <c r="A918" i="1"/>
  <c r="D917" i="1"/>
  <c r="C917" i="1"/>
  <c r="B917" i="1"/>
  <c r="A917" i="1"/>
  <c r="D916" i="1"/>
  <c r="C916" i="1"/>
  <c r="B916" i="1"/>
  <c r="A916" i="1"/>
  <c r="D915" i="1"/>
  <c r="C915" i="1"/>
  <c r="B915" i="1"/>
  <c r="A915" i="1"/>
  <c r="D914" i="1"/>
  <c r="C914" i="1"/>
  <c r="B914" i="1"/>
  <c r="A914" i="1"/>
  <c r="D913" i="1"/>
  <c r="C913" i="1"/>
  <c r="B913" i="1"/>
  <c r="A913" i="1"/>
  <c r="D912" i="1"/>
  <c r="C912" i="1"/>
  <c r="B912" i="1"/>
  <c r="A912" i="1"/>
  <c r="D911" i="1"/>
  <c r="C911" i="1"/>
  <c r="B911" i="1"/>
  <c r="A911" i="1"/>
  <c r="D910" i="1"/>
  <c r="C910" i="1"/>
  <c r="B910" i="1"/>
  <c r="A910" i="1"/>
  <c r="D909" i="1"/>
  <c r="C909" i="1"/>
  <c r="B909" i="1"/>
  <c r="A909" i="1"/>
  <c r="D908" i="1"/>
  <c r="C908" i="1"/>
  <c r="B908" i="1"/>
  <c r="A908" i="1"/>
  <c r="D907" i="1"/>
  <c r="C907" i="1"/>
  <c r="B907" i="1"/>
  <c r="A907" i="1"/>
  <c r="D906" i="1"/>
  <c r="C906" i="1"/>
  <c r="B906" i="1"/>
  <c r="A906" i="1"/>
  <c r="D905" i="1"/>
  <c r="C905" i="1"/>
  <c r="B905" i="1"/>
  <c r="A905" i="1"/>
  <c r="D904" i="1"/>
  <c r="C904" i="1"/>
  <c r="B904" i="1"/>
  <c r="A904" i="1"/>
  <c r="D903" i="1"/>
  <c r="C903" i="1"/>
  <c r="B903" i="1"/>
  <c r="A903" i="1"/>
  <c r="D902" i="1"/>
  <c r="C902" i="1"/>
  <c r="B902" i="1"/>
  <c r="A902" i="1"/>
  <c r="D901" i="1"/>
  <c r="C901" i="1"/>
  <c r="B901" i="1"/>
  <c r="A901" i="1"/>
  <c r="D900" i="1"/>
  <c r="C900" i="1"/>
  <c r="B900" i="1"/>
  <c r="A900" i="1"/>
  <c r="D899" i="1"/>
  <c r="C899" i="1"/>
  <c r="B899" i="1"/>
  <c r="A899" i="1"/>
  <c r="D898" i="1"/>
  <c r="C898" i="1"/>
  <c r="B898" i="1"/>
  <c r="A898" i="1"/>
  <c r="D897" i="1"/>
  <c r="C897" i="1"/>
  <c r="B897" i="1"/>
  <c r="A897" i="1"/>
  <c r="D896" i="1"/>
  <c r="C896" i="1"/>
  <c r="B896" i="1"/>
  <c r="A896" i="1"/>
  <c r="D895" i="1"/>
  <c r="C895" i="1"/>
  <c r="B895" i="1"/>
  <c r="A895" i="1"/>
  <c r="D894" i="1"/>
  <c r="C894" i="1"/>
  <c r="B894" i="1"/>
  <c r="A894" i="1"/>
  <c r="D893" i="1"/>
  <c r="C893" i="1"/>
  <c r="B893" i="1"/>
  <c r="A893" i="1"/>
  <c r="D892" i="1"/>
  <c r="C892" i="1"/>
  <c r="B892" i="1"/>
  <c r="A892" i="1"/>
  <c r="D891" i="1"/>
  <c r="C891" i="1"/>
  <c r="B891" i="1"/>
  <c r="A891" i="1"/>
  <c r="D890" i="1"/>
  <c r="C890" i="1"/>
  <c r="B890" i="1"/>
  <c r="A890" i="1"/>
  <c r="D889" i="1"/>
  <c r="C889" i="1"/>
  <c r="B889" i="1"/>
  <c r="A889" i="1"/>
  <c r="D888" i="1"/>
  <c r="C888" i="1"/>
  <c r="B888" i="1"/>
  <c r="A888" i="1"/>
  <c r="D887" i="1"/>
  <c r="C887" i="1"/>
  <c r="B887" i="1"/>
  <c r="A887" i="1"/>
  <c r="D886" i="1"/>
  <c r="C886" i="1"/>
  <c r="B886" i="1"/>
  <c r="A886" i="1"/>
  <c r="D885" i="1"/>
  <c r="C885" i="1"/>
  <c r="B885" i="1"/>
  <c r="A885" i="1"/>
  <c r="D884" i="1"/>
  <c r="C884" i="1"/>
  <c r="B884" i="1"/>
  <c r="A884" i="1"/>
  <c r="D883" i="1"/>
  <c r="C883" i="1"/>
  <c r="B883" i="1"/>
  <c r="A883" i="1"/>
  <c r="D882" i="1"/>
  <c r="C882" i="1"/>
  <c r="B882" i="1"/>
  <c r="A882" i="1"/>
  <c r="D881" i="1"/>
  <c r="C881" i="1"/>
  <c r="B881" i="1"/>
  <c r="A881" i="1"/>
  <c r="D880" i="1"/>
  <c r="C880" i="1"/>
  <c r="B880" i="1"/>
  <c r="A880" i="1"/>
  <c r="D879" i="1"/>
  <c r="C879" i="1"/>
  <c r="B879" i="1"/>
  <c r="A879" i="1"/>
  <c r="D878" i="1"/>
  <c r="C878" i="1"/>
  <c r="B878" i="1"/>
  <c r="A878" i="1"/>
  <c r="D877" i="1"/>
  <c r="C877" i="1"/>
  <c r="B877" i="1"/>
  <c r="A877" i="1"/>
  <c r="D876" i="1"/>
  <c r="C876" i="1"/>
  <c r="B876" i="1"/>
  <c r="A876" i="1"/>
  <c r="D875" i="1"/>
  <c r="C875" i="1"/>
  <c r="B875" i="1"/>
  <c r="A875" i="1"/>
  <c r="D874" i="1"/>
  <c r="C874" i="1"/>
  <c r="B874" i="1"/>
  <c r="A874" i="1"/>
  <c r="D873" i="1"/>
  <c r="C873" i="1"/>
  <c r="B873" i="1"/>
  <c r="A873" i="1"/>
  <c r="D872" i="1"/>
  <c r="C872" i="1"/>
  <c r="B872" i="1"/>
  <c r="A872" i="1"/>
  <c r="D871" i="1"/>
  <c r="C871" i="1"/>
  <c r="B871" i="1"/>
  <c r="A871" i="1"/>
  <c r="D870" i="1"/>
  <c r="C870" i="1"/>
  <c r="B870" i="1"/>
  <c r="A870" i="1"/>
  <c r="D869" i="1"/>
  <c r="C869" i="1"/>
  <c r="B869" i="1"/>
  <c r="A869" i="1"/>
  <c r="D868" i="1"/>
  <c r="C868" i="1"/>
  <c r="B868" i="1"/>
  <c r="A868" i="1"/>
  <c r="D867" i="1"/>
  <c r="C867" i="1"/>
  <c r="B867" i="1"/>
  <c r="A867" i="1"/>
  <c r="D866" i="1"/>
  <c r="C866" i="1"/>
  <c r="B866" i="1"/>
  <c r="A866" i="1"/>
  <c r="D865" i="1"/>
  <c r="C865" i="1"/>
  <c r="B865" i="1"/>
  <c r="A865" i="1"/>
  <c r="D864" i="1"/>
  <c r="C864" i="1"/>
  <c r="B864" i="1"/>
  <c r="A864" i="1"/>
  <c r="D863" i="1"/>
  <c r="C863" i="1"/>
  <c r="B863" i="1"/>
  <c r="A863" i="1"/>
  <c r="D862" i="1"/>
  <c r="C862" i="1"/>
  <c r="B862" i="1"/>
  <c r="A862" i="1"/>
  <c r="D861" i="1"/>
  <c r="C861" i="1"/>
  <c r="B861" i="1"/>
  <c r="A861" i="1"/>
  <c r="D860" i="1"/>
  <c r="C860" i="1"/>
  <c r="B860" i="1"/>
  <c r="A860" i="1"/>
  <c r="D859" i="1"/>
  <c r="C859" i="1"/>
  <c r="B859" i="1"/>
  <c r="A859" i="1"/>
  <c r="D858" i="1"/>
  <c r="C858" i="1"/>
  <c r="B858" i="1"/>
  <c r="A858" i="1"/>
  <c r="D857" i="1"/>
  <c r="C857" i="1"/>
  <c r="B857" i="1"/>
  <c r="A857" i="1"/>
  <c r="D856" i="1"/>
  <c r="C856" i="1"/>
  <c r="B856" i="1"/>
  <c r="A856" i="1"/>
  <c r="D855" i="1"/>
  <c r="C855" i="1"/>
  <c r="B855" i="1"/>
  <c r="A855" i="1"/>
  <c r="D854" i="1"/>
  <c r="C854" i="1"/>
  <c r="B854" i="1"/>
  <c r="A854" i="1"/>
  <c r="D853" i="1"/>
  <c r="C853" i="1"/>
  <c r="B853" i="1"/>
  <c r="A853" i="1"/>
  <c r="D852" i="1"/>
  <c r="C852" i="1"/>
  <c r="B852" i="1"/>
  <c r="A852" i="1"/>
  <c r="D851" i="1"/>
  <c r="C851" i="1"/>
  <c r="B851" i="1"/>
  <c r="A851" i="1"/>
  <c r="D850" i="1"/>
  <c r="C850" i="1"/>
  <c r="B850" i="1"/>
  <c r="A850" i="1"/>
  <c r="D849" i="1"/>
  <c r="C849" i="1"/>
  <c r="B849" i="1"/>
  <c r="A849" i="1"/>
  <c r="D848" i="1"/>
  <c r="C848" i="1"/>
  <c r="B848" i="1"/>
  <c r="A848" i="1"/>
  <c r="D847" i="1"/>
  <c r="C847" i="1"/>
  <c r="B847" i="1"/>
  <c r="A847" i="1"/>
  <c r="D846" i="1"/>
  <c r="C846" i="1"/>
  <c r="B846" i="1"/>
  <c r="A846" i="1"/>
  <c r="D845" i="1"/>
  <c r="C845" i="1"/>
  <c r="B845" i="1"/>
  <c r="A845" i="1"/>
  <c r="D844" i="1"/>
  <c r="C844" i="1"/>
  <c r="B844" i="1"/>
  <c r="A844" i="1"/>
  <c r="D843" i="1"/>
  <c r="C843" i="1"/>
  <c r="B843" i="1"/>
  <c r="A843" i="1"/>
  <c r="D842" i="1"/>
  <c r="C842" i="1"/>
  <c r="B842" i="1"/>
  <c r="A842" i="1"/>
  <c r="D841" i="1"/>
  <c r="C841" i="1"/>
  <c r="B841" i="1"/>
  <c r="A841" i="1"/>
  <c r="D840" i="1"/>
  <c r="C840" i="1"/>
  <c r="B840" i="1"/>
  <c r="A840" i="1"/>
  <c r="D839" i="1"/>
  <c r="C839" i="1"/>
  <c r="B839" i="1"/>
  <c r="A839" i="1"/>
  <c r="D838" i="1"/>
  <c r="C838" i="1"/>
  <c r="B838" i="1"/>
  <c r="A838" i="1"/>
  <c r="D837" i="1"/>
  <c r="C837" i="1"/>
  <c r="B837" i="1"/>
  <c r="A837" i="1"/>
  <c r="D836" i="1"/>
  <c r="C836" i="1"/>
  <c r="B836" i="1"/>
  <c r="A836" i="1"/>
  <c r="D835" i="1"/>
  <c r="C835" i="1"/>
  <c r="B835" i="1"/>
  <c r="A835" i="1"/>
  <c r="D834" i="1"/>
  <c r="C834" i="1"/>
  <c r="B834" i="1"/>
  <c r="A834" i="1"/>
  <c r="D833" i="1"/>
  <c r="C833" i="1"/>
  <c r="B833" i="1"/>
  <c r="A833" i="1"/>
  <c r="D832" i="1"/>
  <c r="C832" i="1"/>
  <c r="B832" i="1"/>
  <c r="A832" i="1"/>
  <c r="D831" i="1"/>
  <c r="C831" i="1"/>
  <c r="B831" i="1"/>
  <c r="A831" i="1"/>
  <c r="D830" i="1"/>
  <c r="C830" i="1"/>
  <c r="B830" i="1"/>
  <c r="A830" i="1"/>
  <c r="D829" i="1"/>
  <c r="C829" i="1"/>
  <c r="B829" i="1"/>
  <c r="A829" i="1"/>
  <c r="D828" i="1"/>
  <c r="C828" i="1"/>
  <c r="B828" i="1"/>
  <c r="A828" i="1"/>
  <c r="D827" i="1"/>
  <c r="C827" i="1"/>
  <c r="B827" i="1"/>
  <c r="A827" i="1"/>
  <c r="D826" i="1"/>
  <c r="C826" i="1"/>
  <c r="B826" i="1"/>
  <c r="A826" i="1"/>
  <c r="D825" i="1"/>
  <c r="C825" i="1"/>
  <c r="B825" i="1"/>
  <c r="A825" i="1"/>
  <c r="D824" i="1"/>
  <c r="C824" i="1"/>
  <c r="B824" i="1"/>
  <c r="A824" i="1"/>
  <c r="D823" i="1"/>
  <c r="C823" i="1"/>
  <c r="B823" i="1"/>
  <c r="A823" i="1"/>
  <c r="D822" i="1"/>
  <c r="C822" i="1"/>
  <c r="B822" i="1"/>
  <c r="A822" i="1"/>
  <c r="D821" i="1"/>
  <c r="C821" i="1"/>
  <c r="B821" i="1"/>
  <c r="A821" i="1"/>
  <c r="D820" i="1"/>
  <c r="C820" i="1"/>
  <c r="B820" i="1"/>
  <c r="A820" i="1"/>
  <c r="D819" i="1"/>
  <c r="C819" i="1"/>
  <c r="B819" i="1"/>
  <c r="A819" i="1"/>
  <c r="D818" i="1"/>
  <c r="C818" i="1"/>
  <c r="B818" i="1"/>
  <c r="A818" i="1"/>
  <c r="D817" i="1"/>
  <c r="C817" i="1"/>
  <c r="B817" i="1"/>
  <c r="A817" i="1"/>
  <c r="D816" i="1"/>
  <c r="C816" i="1"/>
  <c r="B816" i="1"/>
  <c r="A816" i="1"/>
  <c r="D815" i="1"/>
  <c r="C815" i="1"/>
  <c r="B815" i="1"/>
  <c r="A815" i="1"/>
  <c r="D814" i="1"/>
  <c r="C814" i="1"/>
  <c r="B814" i="1"/>
  <c r="A814" i="1"/>
  <c r="D813" i="1"/>
  <c r="C813" i="1"/>
  <c r="B813" i="1"/>
  <c r="A813" i="1"/>
  <c r="D812" i="1"/>
  <c r="C812" i="1"/>
  <c r="B812" i="1"/>
  <c r="A812" i="1"/>
  <c r="D811" i="1"/>
  <c r="C811" i="1"/>
  <c r="B811" i="1"/>
  <c r="A811" i="1"/>
  <c r="D810" i="1"/>
  <c r="C810" i="1"/>
  <c r="B810" i="1"/>
  <c r="A810" i="1"/>
  <c r="D809" i="1"/>
  <c r="C809" i="1"/>
  <c r="B809" i="1"/>
  <c r="A809" i="1"/>
  <c r="D808" i="1"/>
  <c r="C808" i="1"/>
  <c r="B808" i="1"/>
  <c r="A808" i="1"/>
  <c r="D807" i="1"/>
  <c r="C807" i="1"/>
  <c r="B807" i="1"/>
  <c r="A807" i="1"/>
  <c r="D806" i="1"/>
  <c r="C806" i="1"/>
  <c r="B806" i="1"/>
  <c r="A806" i="1"/>
  <c r="D805" i="1"/>
  <c r="C805" i="1"/>
  <c r="B805" i="1"/>
  <c r="A805" i="1"/>
  <c r="D804" i="1"/>
  <c r="C804" i="1"/>
  <c r="B804" i="1"/>
  <c r="A804" i="1"/>
  <c r="D803" i="1"/>
  <c r="C803" i="1"/>
  <c r="B803" i="1"/>
  <c r="A803" i="1"/>
  <c r="D802" i="1"/>
  <c r="C802" i="1"/>
  <c r="B802" i="1"/>
  <c r="A802" i="1"/>
  <c r="D801" i="1"/>
  <c r="C801" i="1"/>
  <c r="B801" i="1"/>
  <c r="A801" i="1"/>
  <c r="D800" i="1"/>
  <c r="C800" i="1"/>
  <c r="B800" i="1"/>
  <c r="A800" i="1"/>
  <c r="D799" i="1"/>
  <c r="C799" i="1"/>
  <c r="B799" i="1"/>
  <c r="A799" i="1"/>
  <c r="D798" i="1"/>
  <c r="C798" i="1"/>
  <c r="B798" i="1"/>
  <c r="A798" i="1"/>
  <c r="D797" i="1"/>
  <c r="C797" i="1"/>
  <c r="B797" i="1"/>
  <c r="A797" i="1"/>
  <c r="D796" i="1"/>
  <c r="C796" i="1"/>
  <c r="B796" i="1"/>
  <c r="A796" i="1"/>
  <c r="D795" i="1"/>
  <c r="C795" i="1"/>
  <c r="B795" i="1"/>
  <c r="A795" i="1"/>
  <c r="D794" i="1"/>
  <c r="C794" i="1"/>
  <c r="B794" i="1"/>
  <c r="A794" i="1"/>
  <c r="D793" i="1"/>
  <c r="C793" i="1"/>
  <c r="B793" i="1"/>
  <c r="A793" i="1"/>
  <c r="D792" i="1"/>
  <c r="C792" i="1"/>
  <c r="B792" i="1"/>
  <c r="A792" i="1"/>
  <c r="D791" i="1"/>
  <c r="C791" i="1"/>
  <c r="B791" i="1"/>
  <c r="A791" i="1"/>
  <c r="D790" i="1"/>
  <c r="C790" i="1"/>
  <c r="B790" i="1"/>
  <c r="A790" i="1"/>
  <c r="D789" i="1"/>
  <c r="C789" i="1"/>
  <c r="B789" i="1"/>
  <c r="A789" i="1"/>
  <c r="D788" i="1"/>
  <c r="C788" i="1"/>
  <c r="B788" i="1"/>
  <c r="A788" i="1"/>
  <c r="D787" i="1"/>
  <c r="C787" i="1"/>
  <c r="B787" i="1"/>
  <c r="A787" i="1"/>
  <c r="D786" i="1"/>
  <c r="C786" i="1"/>
  <c r="B786" i="1"/>
  <c r="A786" i="1"/>
  <c r="D785" i="1"/>
  <c r="C785" i="1"/>
  <c r="B785" i="1"/>
  <c r="A785" i="1"/>
  <c r="D784" i="1"/>
  <c r="C784" i="1"/>
  <c r="B784" i="1"/>
  <c r="A784" i="1"/>
  <c r="D783" i="1"/>
  <c r="C783" i="1"/>
  <c r="B783" i="1"/>
  <c r="A783" i="1"/>
  <c r="D782" i="1"/>
  <c r="C782" i="1"/>
  <c r="B782" i="1"/>
  <c r="A782" i="1"/>
  <c r="D781" i="1"/>
  <c r="C781" i="1"/>
  <c r="B781" i="1"/>
  <c r="A781" i="1"/>
  <c r="D780" i="1"/>
  <c r="C780" i="1"/>
  <c r="B780" i="1"/>
  <c r="A780" i="1"/>
  <c r="D779" i="1"/>
  <c r="C779" i="1"/>
  <c r="B779" i="1"/>
  <c r="A779" i="1"/>
  <c r="D778" i="1"/>
  <c r="C778" i="1"/>
  <c r="B778" i="1"/>
  <c r="A778" i="1"/>
  <c r="D777" i="1"/>
  <c r="C777" i="1"/>
  <c r="B777" i="1"/>
  <c r="A777" i="1"/>
  <c r="D776" i="1"/>
  <c r="C776" i="1"/>
  <c r="B776" i="1"/>
  <c r="A776" i="1"/>
  <c r="D775" i="1"/>
  <c r="C775" i="1"/>
  <c r="B775" i="1"/>
  <c r="A775" i="1"/>
  <c r="D774" i="1"/>
  <c r="C774" i="1"/>
  <c r="B774" i="1"/>
  <c r="A774" i="1"/>
  <c r="D773" i="1"/>
  <c r="C773" i="1"/>
  <c r="B773" i="1"/>
  <c r="A773" i="1"/>
  <c r="D772" i="1"/>
  <c r="C772" i="1"/>
  <c r="B772" i="1"/>
  <c r="A772" i="1"/>
  <c r="D771" i="1"/>
  <c r="C771" i="1"/>
  <c r="B771" i="1"/>
  <c r="A771" i="1"/>
  <c r="D770" i="1"/>
  <c r="C770" i="1"/>
  <c r="B770" i="1"/>
  <c r="A770" i="1"/>
  <c r="D769" i="1"/>
  <c r="C769" i="1"/>
  <c r="B769" i="1"/>
  <c r="A769" i="1"/>
  <c r="D768" i="1"/>
  <c r="C768" i="1"/>
  <c r="B768" i="1"/>
  <c r="A768" i="1"/>
  <c r="D767" i="1"/>
  <c r="C767" i="1"/>
  <c r="B767" i="1"/>
  <c r="A767" i="1"/>
  <c r="D766" i="1"/>
  <c r="C766" i="1"/>
  <c r="B766" i="1"/>
  <c r="A766" i="1"/>
  <c r="D765" i="1"/>
  <c r="C765" i="1"/>
  <c r="B765" i="1"/>
  <c r="A765" i="1"/>
  <c r="D764" i="1"/>
  <c r="C764" i="1"/>
  <c r="B764" i="1"/>
  <c r="A764" i="1"/>
  <c r="D763" i="1"/>
  <c r="C763" i="1"/>
  <c r="B763" i="1"/>
  <c r="A763" i="1"/>
  <c r="D762" i="1"/>
  <c r="C762" i="1"/>
  <c r="B762" i="1"/>
  <c r="A762" i="1"/>
  <c r="D761" i="1"/>
  <c r="C761" i="1"/>
  <c r="B761" i="1"/>
  <c r="A761" i="1"/>
  <c r="D760" i="1"/>
  <c r="C760" i="1"/>
  <c r="B760" i="1"/>
  <c r="A760" i="1"/>
  <c r="D759" i="1"/>
  <c r="C759" i="1"/>
  <c r="B759" i="1"/>
  <c r="A759" i="1"/>
  <c r="D758" i="1"/>
  <c r="C758" i="1"/>
  <c r="B758" i="1"/>
  <c r="A758" i="1"/>
  <c r="D757" i="1"/>
  <c r="C757" i="1"/>
  <c r="B757" i="1"/>
  <c r="A757" i="1"/>
  <c r="D756" i="1"/>
  <c r="C756" i="1"/>
  <c r="B756" i="1"/>
  <c r="A756" i="1"/>
  <c r="D755" i="1"/>
  <c r="C755" i="1"/>
  <c r="B755" i="1"/>
  <c r="A755" i="1"/>
  <c r="D754" i="1"/>
  <c r="C754" i="1"/>
  <c r="B754" i="1"/>
  <c r="A754" i="1"/>
  <c r="D753" i="1"/>
  <c r="C753" i="1"/>
  <c r="B753" i="1"/>
  <c r="A753" i="1"/>
  <c r="D752" i="1"/>
  <c r="C752" i="1"/>
  <c r="B752" i="1"/>
  <c r="A752" i="1"/>
  <c r="D751" i="1"/>
  <c r="C751" i="1"/>
  <c r="B751" i="1"/>
  <c r="A751" i="1"/>
  <c r="D750" i="1"/>
  <c r="C750" i="1"/>
  <c r="B750" i="1"/>
  <c r="A750" i="1"/>
  <c r="D749" i="1"/>
  <c r="C749" i="1"/>
  <c r="B749" i="1"/>
  <c r="A749" i="1"/>
  <c r="D748" i="1"/>
  <c r="C748" i="1"/>
  <c r="B748" i="1"/>
  <c r="A748" i="1"/>
  <c r="D747" i="1"/>
  <c r="C747" i="1"/>
  <c r="B747" i="1"/>
  <c r="A747" i="1"/>
  <c r="D746" i="1"/>
  <c r="C746" i="1"/>
  <c r="B746" i="1"/>
  <c r="A746" i="1"/>
  <c r="D745" i="1"/>
  <c r="C745" i="1"/>
  <c r="B745" i="1"/>
  <c r="A745" i="1"/>
  <c r="D744" i="1"/>
  <c r="C744" i="1"/>
  <c r="B744" i="1"/>
  <c r="A744" i="1"/>
  <c r="D743" i="1"/>
  <c r="C743" i="1"/>
  <c r="B743" i="1"/>
  <c r="A743" i="1"/>
  <c r="D742" i="1"/>
  <c r="C742" i="1"/>
  <c r="B742" i="1"/>
  <c r="A742" i="1"/>
  <c r="D741" i="1"/>
  <c r="C741" i="1"/>
  <c r="B741" i="1"/>
  <c r="A741" i="1"/>
  <c r="D740" i="1"/>
  <c r="C740" i="1"/>
  <c r="B740" i="1"/>
  <c r="A740" i="1"/>
  <c r="D739" i="1"/>
  <c r="C739" i="1"/>
  <c r="B739" i="1"/>
  <c r="A739" i="1"/>
  <c r="D738" i="1"/>
  <c r="C738" i="1"/>
  <c r="B738" i="1"/>
  <c r="A738" i="1"/>
  <c r="D737" i="1"/>
  <c r="C737" i="1"/>
  <c r="B737" i="1"/>
  <c r="A737" i="1"/>
  <c r="D736" i="1"/>
  <c r="C736" i="1"/>
  <c r="B736" i="1"/>
  <c r="A736" i="1"/>
  <c r="D735" i="1"/>
  <c r="C735" i="1"/>
  <c r="B735" i="1"/>
  <c r="A735" i="1"/>
  <c r="D734" i="1"/>
  <c r="C734" i="1"/>
  <c r="B734" i="1"/>
  <c r="A734" i="1"/>
  <c r="D733" i="1"/>
  <c r="C733" i="1"/>
  <c r="B733" i="1"/>
  <c r="A733" i="1"/>
  <c r="D732" i="1"/>
  <c r="C732" i="1"/>
  <c r="B732" i="1"/>
  <c r="A732" i="1"/>
  <c r="D731" i="1"/>
  <c r="C731" i="1"/>
  <c r="B731" i="1"/>
  <c r="A731" i="1"/>
  <c r="D730" i="1"/>
  <c r="C730" i="1"/>
  <c r="B730" i="1"/>
  <c r="A730" i="1"/>
  <c r="D729" i="1"/>
  <c r="C729" i="1"/>
  <c r="B729" i="1"/>
  <c r="A729" i="1"/>
  <c r="D728" i="1"/>
  <c r="C728" i="1"/>
  <c r="B728" i="1"/>
  <c r="A728" i="1"/>
  <c r="D727" i="1"/>
  <c r="C727" i="1"/>
  <c r="B727" i="1"/>
  <c r="A727" i="1"/>
  <c r="D726" i="1"/>
  <c r="C726" i="1"/>
  <c r="B726" i="1"/>
  <c r="A726" i="1"/>
  <c r="D725" i="1"/>
  <c r="C725" i="1"/>
  <c r="B725" i="1"/>
  <c r="A725" i="1"/>
  <c r="D724" i="1"/>
  <c r="C724" i="1"/>
  <c r="B724" i="1"/>
  <c r="A724" i="1"/>
  <c r="D723" i="1"/>
  <c r="C723" i="1"/>
  <c r="B723" i="1"/>
  <c r="A723" i="1"/>
  <c r="D722" i="1"/>
  <c r="C722" i="1"/>
  <c r="B722" i="1"/>
  <c r="A722" i="1"/>
  <c r="D721" i="1"/>
  <c r="C721" i="1"/>
  <c r="B721" i="1"/>
  <c r="A721" i="1"/>
  <c r="D720" i="1"/>
  <c r="C720" i="1"/>
  <c r="B720" i="1"/>
  <c r="A720" i="1"/>
  <c r="D719" i="1"/>
  <c r="C719" i="1"/>
  <c r="B719" i="1"/>
  <c r="A719" i="1"/>
  <c r="D718" i="1"/>
  <c r="C718" i="1"/>
  <c r="B718" i="1"/>
  <c r="A718" i="1"/>
  <c r="D717" i="1"/>
  <c r="C717" i="1"/>
  <c r="B717" i="1"/>
  <c r="A717" i="1"/>
  <c r="D716" i="1"/>
  <c r="C716" i="1"/>
  <c r="B716" i="1"/>
  <c r="A716" i="1"/>
  <c r="D715" i="1"/>
  <c r="C715" i="1"/>
  <c r="B715" i="1"/>
  <c r="A715" i="1"/>
  <c r="D714" i="1"/>
  <c r="C714" i="1"/>
  <c r="B714" i="1"/>
  <c r="A714" i="1"/>
  <c r="D713" i="1"/>
  <c r="C713" i="1"/>
  <c r="B713" i="1"/>
  <c r="A713" i="1"/>
  <c r="D712" i="1"/>
  <c r="C712" i="1"/>
  <c r="B712" i="1"/>
  <c r="A712" i="1"/>
  <c r="D711" i="1"/>
  <c r="C711" i="1"/>
  <c r="B711" i="1"/>
  <c r="A711" i="1"/>
  <c r="D710" i="1"/>
  <c r="C710" i="1"/>
  <c r="B710" i="1"/>
  <c r="A710" i="1"/>
  <c r="D709" i="1"/>
  <c r="C709" i="1"/>
  <c r="B709" i="1"/>
  <c r="A709" i="1"/>
  <c r="D708" i="1"/>
  <c r="C708" i="1"/>
  <c r="B708" i="1"/>
  <c r="A708" i="1"/>
  <c r="D707" i="1"/>
  <c r="C707" i="1"/>
  <c r="B707" i="1"/>
  <c r="A707" i="1"/>
  <c r="D706" i="1"/>
  <c r="C706" i="1"/>
  <c r="B706" i="1"/>
  <c r="A706" i="1"/>
  <c r="D705" i="1"/>
  <c r="C705" i="1"/>
  <c r="B705" i="1"/>
  <c r="A705" i="1"/>
  <c r="D704" i="1"/>
  <c r="C704" i="1"/>
  <c r="B704" i="1"/>
  <c r="A704" i="1"/>
  <c r="D703" i="1"/>
  <c r="C703" i="1"/>
  <c r="B703" i="1"/>
  <c r="A703" i="1"/>
  <c r="D702" i="1"/>
  <c r="C702" i="1"/>
  <c r="B702" i="1"/>
  <c r="A702" i="1"/>
  <c r="D701" i="1"/>
  <c r="C701" i="1"/>
  <c r="B701" i="1"/>
  <c r="A701" i="1"/>
  <c r="D700" i="1"/>
  <c r="C700" i="1"/>
  <c r="B700" i="1"/>
  <c r="A700" i="1"/>
  <c r="D699" i="1"/>
  <c r="C699" i="1"/>
  <c r="B699" i="1"/>
  <c r="A699" i="1"/>
  <c r="D698" i="1"/>
  <c r="C698" i="1"/>
  <c r="B698" i="1"/>
  <c r="A698" i="1"/>
  <c r="D697" i="1"/>
  <c r="C697" i="1"/>
  <c r="B697" i="1"/>
  <c r="A697" i="1"/>
  <c r="D696" i="1"/>
  <c r="C696" i="1"/>
  <c r="B696" i="1"/>
  <c r="A696" i="1"/>
  <c r="D695" i="1"/>
  <c r="C695" i="1"/>
  <c r="B695" i="1"/>
  <c r="A695" i="1"/>
  <c r="D694" i="1"/>
  <c r="C694" i="1"/>
  <c r="B694" i="1"/>
  <c r="A694" i="1"/>
  <c r="D693" i="1"/>
  <c r="C693" i="1"/>
  <c r="B693" i="1"/>
  <c r="A693" i="1"/>
  <c r="D692" i="1"/>
  <c r="C692" i="1"/>
  <c r="B692" i="1"/>
  <c r="A692" i="1"/>
  <c r="D691" i="1"/>
  <c r="C691" i="1"/>
  <c r="B691" i="1"/>
  <c r="A691" i="1"/>
  <c r="D690" i="1"/>
  <c r="C690" i="1"/>
  <c r="B690" i="1"/>
  <c r="A690" i="1"/>
  <c r="D689" i="1"/>
  <c r="C689" i="1"/>
  <c r="B689" i="1"/>
  <c r="A689" i="1"/>
  <c r="D688" i="1"/>
  <c r="C688" i="1"/>
  <c r="B688" i="1"/>
  <c r="A688" i="1"/>
  <c r="D687" i="1"/>
  <c r="C687" i="1"/>
  <c r="B687" i="1"/>
  <c r="A687" i="1"/>
  <c r="D686" i="1"/>
  <c r="C686" i="1"/>
  <c r="B686" i="1"/>
  <c r="A686" i="1"/>
  <c r="D685" i="1"/>
  <c r="C685" i="1"/>
  <c r="B685" i="1"/>
  <c r="A685" i="1"/>
  <c r="D684" i="1"/>
  <c r="C684" i="1"/>
  <c r="B684" i="1"/>
  <c r="A684" i="1"/>
  <c r="D683" i="1"/>
  <c r="C683" i="1"/>
  <c r="B683" i="1"/>
  <c r="A683" i="1"/>
  <c r="D682" i="1"/>
  <c r="C682" i="1"/>
  <c r="B682" i="1"/>
  <c r="A682" i="1"/>
  <c r="D681" i="1"/>
  <c r="C681" i="1"/>
  <c r="B681" i="1"/>
  <c r="A681" i="1"/>
  <c r="D680" i="1"/>
  <c r="C680" i="1"/>
  <c r="B680" i="1"/>
  <c r="A680" i="1"/>
  <c r="D679" i="1"/>
  <c r="C679" i="1"/>
  <c r="B679" i="1"/>
  <c r="A679" i="1"/>
  <c r="D678" i="1"/>
  <c r="C678" i="1"/>
  <c r="B678" i="1"/>
  <c r="A678" i="1"/>
  <c r="D677" i="1"/>
  <c r="C677" i="1"/>
  <c r="B677" i="1"/>
  <c r="A677" i="1"/>
  <c r="D676" i="1"/>
  <c r="C676" i="1"/>
  <c r="B676" i="1"/>
  <c r="A676" i="1"/>
  <c r="D675" i="1"/>
  <c r="C675" i="1"/>
  <c r="B675" i="1"/>
  <c r="A675" i="1"/>
  <c r="D674" i="1"/>
  <c r="C674" i="1"/>
  <c r="B674" i="1"/>
  <c r="A674" i="1"/>
  <c r="D673" i="1"/>
  <c r="C673" i="1"/>
  <c r="B673" i="1"/>
  <c r="A673" i="1"/>
  <c r="D672" i="1"/>
  <c r="C672" i="1"/>
  <c r="B672" i="1"/>
  <c r="A672" i="1"/>
  <c r="D671" i="1"/>
  <c r="C671" i="1"/>
  <c r="B671" i="1"/>
  <c r="A671" i="1"/>
  <c r="D670" i="1"/>
  <c r="C670" i="1"/>
  <c r="B670" i="1"/>
  <c r="A670" i="1"/>
  <c r="D669" i="1"/>
  <c r="C669" i="1"/>
  <c r="B669" i="1"/>
  <c r="A669" i="1"/>
  <c r="D668" i="1"/>
  <c r="C668" i="1"/>
  <c r="B668" i="1"/>
  <c r="A668" i="1"/>
  <c r="D667" i="1"/>
  <c r="C667" i="1"/>
  <c r="B667" i="1"/>
  <c r="A667" i="1"/>
  <c r="D666" i="1"/>
  <c r="C666" i="1"/>
  <c r="B666" i="1"/>
  <c r="A666" i="1"/>
  <c r="D665" i="1"/>
  <c r="C665" i="1"/>
  <c r="B665" i="1"/>
  <c r="A665" i="1"/>
  <c r="D664" i="1"/>
  <c r="C664" i="1"/>
  <c r="B664" i="1"/>
  <c r="A664" i="1"/>
  <c r="D663" i="1"/>
  <c r="C663" i="1"/>
  <c r="B663" i="1"/>
  <c r="A663" i="1"/>
  <c r="D662" i="1"/>
  <c r="C662" i="1"/>
  <c r="B662" i="1"/>
  <c r="A662" i="1"/>
  <c r="D661" i="1"/>
  <c r="C661" i="1"/>
  <c r="B661" i="1"/>
  <c r="A661" i="1"/>
  <c r="D660" i="1"/>
  <c r="C660" i="1"/>
  <c r="B660" i="1"/>
  <c r="A660" i="1"/>
  <c r="D659" i="1"/>
  <c r="C659" i="1"/>
  <c r="B659" i="1"/>
  <c r="A659" i="1"/>
  <c r="D658" i="1"/>
  <c r="C658" i="1"/>
  <c r="B658" i="1"/>
  <c r="A658" i="1"/>
  <c r="D657" i="1"/>
  <c r="C657" i="1"/>
  <c r="B657" i="1"/>
  <c r="A657" i="1"/>
  <c r="D656" i="1"/>
  <c r="C656" i="1"/>
  <c r="B656" i="1"/>
  <c r="A656" i="1"/>
  <c r="D655" i="1"/>
  <c r="C655" i="1"/>
  <c r="B655" i="1"/>
  <c r="A655" i="1"/>
  <c r="D654" i="1"/>
  <c r="C654" i="1"/>
  <c r="B654" i="1"/>
  <c r="A654" i="1"/>
  <c r="D653" i="1"/>
  <c r="C653" i="1"/>
  <c r="B653" i="1"/>
  <c r="A653" i="1"/>
  <c r="D652" i="1"/>
  <c r="C652" i="1"/>
  <c r="B652" i="1"/>
  <c r="A652" i="1"/>
  <c r="D651" i="1"/>
  <c r="C651" i="1"/>
  <c r="B651" i="1"/>
  <c r="A651" i="1"/>
  <c r="D650" i="1"/>
  <c r="C650" i="1"/>
  <c r="B650" i="1"/>
  <c r="A650" i="1"/>
  <c r="D649" i="1"/>
  <c r="C649" i="1"/>
  <c r="B649" i="1"/>
  <c r="A649" i="1"/>
  <c r="D648" i="1"/>
  <c r="C648" i="1"/>
  <c r="B648" i="1"/>
  <c r="A648" i="1"/>
  <c r="D647" i="1"/>
  <c r="C647" i="1"/>
  <c r="B647" i="1"/>
  <c r="A647" i="1"/>
  <c r="D646" i="1"/>
  <c r="C646" i="1"/>
  <c r="B646" i="1"/>
  <c r="A646" i="1"/>
  <c r="D645" i="1"/>
  <c r="C645" i="1"/>
  <c r="B645" i="1"/>
  <c r="A645" i="1"/>
  <c r="D644" i="1"/>
  <c r="C644" i="1"/>
  <c r="B644" i="1"/>
  <c r="A644" i="1"/>
  <c r="D643" i="1"/>
  <c r="C643" i="1"/>
  <c r="B643" i="1"/>
  <c r="A643" i="1"/>
  <c r="D642" i="1"/>
  <c r="C642" i="1"/>
  <c r="B642" i="1"/>
  <c r="A642" i="1"/>
  <c r="D641" i="1"/>
  <c r="C641" i="1"/>
  <c r="B641" i="1"/>
  <c r="A641" i="1"/>
  <c r="D640" i="1"/>
  <c r="C640" i="1"/>
  <c r="B640" i="1"/>
  <c r="A640" i="1"/>
  <c r="D639" i="1"/>
  <c r="C639" i="1"/>
  <c r="B639" i="1"/>
  <c r="A639" i="1"/>
  <c r="D638" i="1"/>
  <c r="C638" i="1"/>
  <c r="B638" i="1"/>
  <c r="A638" i="1"/>
  <c r="D637" i="1"/>
  <c r="C637" i="1"/>
  <c r="B637" i="1"/>
  <c r="A637" i="1"/>
  <c r="D636" i="1"/>
  <c r="C636" i="1"/>
  <c r="B636" i="1"/>
  <c r="A636" i="1"/>
  <c r="D635" i="1"/>
  <c r="C635" i="1"/>
  <c r="B635" i="1"/>
  <c r="A635" i="1"/>
  <c r="D634" i="1"/>
  <c r="C634" i="1"/>
  <c r="B634" i="1"/>
  <c r="A634" i="1"/>
  <c r="D633" i="1"/>
  <c r="C633" i="1"/>
  <c r="B633" i="1"/>
  <c r="A633" i="1"/>
  <c r="D632" i="1"/>
  <c r="C632" i="1"/>
  <c r="B632" i="1"/>
  <c r="A632" i="1"/>
  <c r="D631" i="1"/>
  <c r="C631" i="1"/>
  <c r="B631" i="1"/>
  <c r="A631" i="1"/>
  <c r="D630" i="1"/>
  <c r="C630" i="1"/>
  <c r="B630" i="1"/>
  <c r="A630" i="1"/>
  <c r="D629" i="1"/>
  <c r="C629" i="1"/>
  <c r="B629" i="1"/>
  <c r="A629" i="1"/>
  <c r="D628" i="1"/>
  <c r="C628" i="1"/>
  <c r="B628" i="1"/>
  <c r="A628" i="1"/>
  <c r="D627" i="1"/>
  <c r="C627" i="1"/>
  <c r="B627" i="1"/>
  <c r="A627" i="1"/>
  <c r="D626" i="1"/>
  <c r="C626" i="1"/>
  <c r="B626" i="1"/>
  <c r="A626" i="1"/>
  <c r="D625" i="1"/>
  <c r="C625" i="1"/>
  <c r="B625" i="1"/>
  <c r="A625" i="1"/>
  <c r="D624" i="1"/>
  <c r="C624" i="1"/>
  <c r="B624" i="1"/>
  <c r="A624" i="1"/>
  <c r="D623" i="1"/>
  <c r="C623" i="1"/>
  <c r="B623" i="1"/>
  <c r="A623" i="1"/>
  <c r="D622" i="1"/>
  <c r="C622" i="1"/>
  <c r="B622" i="1"/>
  <c r="A622" i="1"/>
  <c r="D621" i="1"/>
  <c r="C621" i="1"/>
  <c r="B621" i="1"/>
  <c r="A621" i="1"/>
  <c r="D620" i="1"/>
  <c r="C620" i="1"/>
  <c r="B620" i="1"/>
  <c r="A620" i="1"/>
  <c r="D619" i="1"/>
  <c r="C619" i="1"/>
  <c r="B619" i="1"/>
  <c r="A619" i="1"/>
  <c r="D618" i="1"/>
  <c r="C618" i="1"/>
  <c r="B618" i="1"/>
  <c r="A618" i="1"/>
  <c r="D617" i="1"/>
  <c r="C617" i="1"/>
  <c r="B617" i="1"/>
  <c r="A617" i="1"/>
  <c r="D616" i="1"/>
  <c r="C616" i="1"/>
  <c r="B616" i="1"/>
  <c r="A616" i="1"/>
  <c r="D615" i="1"/>
  <c r="C615" i="1"/>
  <c r="B615" i="1"/>
  <c r="A615" i="1"/>
  <c r="D614" i="1"/>
  <c r="C614" i="1"/>
  <c r="B614" i="1"/>
  <c r="A614" i="1"/>
  <c r="D613" i="1"/>
  <c r="C613" i="1"/>
  <c r="B613" i="1"/>
  <c r="A613" i="1"/>
  <c r="D612" i="1"/>
  <c r="C612" i="1"/>
  <c r="B612" i="1"/>
  <c r="A612" i="1"/>
  <c r="D611" i="1"/>
  <c r="C611" i="1"/>
  <c r="B611" i="1"/>
  <c r="A611" i="1"/>
  <c r="D610" i="1"/>
  <c r="C610" i="1"/>
  <c r="B610" i="1"/>
  <c r="A610" i="1"/>
  <c r="D609" i="1"/>
  <c r="C609" i="1"/>
  <c r="B609" i="1"/>
  <c r="A609" i="1"/>
  <c r="D608" i="1"/>
  <c r="C608" i="1"/>
  <c r="B608" i="1"/>
  <c r="A608" i="1"/>
  <c r="D607" i="1"/>
  <c r="C607" i="1"/>
  <c r="B607" i="1"/>
  <c r="A607" i="1"/>
  <c r="D606" i="1"/>
  <c r="C606" i="1"/>
  <c r="B606" i="1"/>
  <c r="A606" i="1"/>
  <c r="D605" i="1"/>
  <c r="C605" i="1"/>
  <c r="B605" i="1"/>
  <c r="A605" i="1"/>
  <c r="D604" i="1"/>
  <c r="C604" i="1"/>
  <c r="B604" i="1"/>
  <c r="A604" i="1"/>
  <c r="D603" i="1"/>
  <c r="C603" i="1"/>
  <c r="B603" i="1"/>
  <c r="A603" i="1"/>
  <c r="D602" i="1"/>
  <c r="C602" i="1"/>
  <c r="B602" i="1"/>
  <c r="A602" i="1"/>
  <c r="D601" i="1"/>
  <c r="C601" i="1"/>
  <c r="B601" i="1"/>
  <c r="A601" i="1"/>
  <c r="D600" i="1"/>
  <c r="C600" i="1"/>
  <c r="B600" i="1"/>
  <c r="A600" i="1"/>
  <c r="D599" i="1"/>
  <c r="C599" i="1"/>
  <c r="B599" i="1"/>
  <c r="A599" i="1"/>
  <c r="D598" i="1"/>
  <c r="C598" i="1"/>
  <c r="B598" i="1"/>
  <c r="A598" i="1"/>
  <c r="D597" i="1"/>
  <c r="C597" i="1"/>
  <c r="B597" i="1"/>
  <c r="A597" i="1"/>
  <c r="D596" i="1"/>
  <c r="C596" i="1"/>
  <c r="B596" i="1"/>
  <c r="A596" i="1"/>
  <c r="D595" i="1"/>
  <c r="C595" i="1"/>
  <c r="B595" i="1"/>
  <c r="A595" i="1"/>
  <c r="D594" i="1"/>
  <c r="C594" i="1"/>
  <c r="B594" i="1"/>
  <c r="A594" i="1"/>
  <c r="D593" i="1"/>
  <c r="C593" i="1"/>
  <c r="B593" i="1"/>
  <c r="A593" i="1"/>
  <c r="D592" i="1"/>
  <c r="C592" i="1"/>
  <c r="B592" i="1"/>
  <c r="A592" i="1"/>
  <c r="D591" i="1"/>
  <c r="C591" i="1"/>
  <c r="B591" i="1"/>
  <c r="A591" i="1"/>
  <c r="D590" i="1"/>
  <c r="C590" i="1"/>
  <c r="B590" i="1"/>
  <c r="A590" i="1"/>
  <c r="D589" i="1"/>
  <c r="C589" i="1"/>
  <c r="B589" i="1"/>
  <c r="A589" i="1"/>
  <c r="D588" i="1"/>
  <c r="C588" i="1"/>
  <c r="B588" i="1"/>
  <c r="A588" i="1"/>
  <c r="D587" i="1"/>
  <c r="C587" i="1"/>
  <c r="B587" i="1"/>
  <c r="A587" i="1"/>
  <c r="D586" i="1"/>
  <c r="C586" i="1"/>
  <c r="B586" i="1"/>
  <c r="A586" i="1"/>
  <c r="D585" i="1"/>
  <c r="C585" i="1"/>
  <c r="B585" i="1"/>
  <c r="A585" i="1"/>
  <c r="D584" i="1"/>
  <c r="C584" i="1"/>
  <c r="B584" i="1"/>
  <c r="A584" i="1"/>
  <c r="D583" i="1"/>
  <c r="C583" i="1"/>
  <c r="B583" i="1"/>
  <c r="A583" i="1"/>
  <c r="D582" i="1"/>
  <c r="C582" i="1"/>
  <c r="B582" i="1"/>
  <c r="A582" i="1"/>
  <c r="D581" i="1"/>
  <c r="C581" i="1"/>
  <c r="B581" i="1"/>
  <c r="A581" i="1"/>
  <c r="D580" i="1"/>
  <c r="C580" i="1"/>
  <c r="B580" i="1"/>
  <c r="A580" i="1"/>
  <c r="D579" i="1"/>
  <c r="C579" i="1"/>
  <c r="B579" i="1"/>
  <c r="A579" i="1"/>
  <c r="D578" i="1"/>
  <c r="C578" i="1"/>
  <c r="B578" i="1"/>
  <c r="A578" i="1"/>
  <c r="D577" i="1"/>
  <c r="C577" i="1"/>
  <c r="B577" i="1"/>
  <c r="A577" i="1"/>
  <c r="D576" i="1"/>
  <c r="C576" i="1"/>
  <c r="B576" i="1"/>
  <c r="A576" i="1"/>
  <c r="D575" i="1"/>
  <c r="C575" i="1"/>
  <c r="B575" i="1"/>
  <c r="A575" i="1"/>
  <c r="D574" i="1"/>
  <c r="C574" i="1"/>
  <c r="B574" i="1"/>
  <c r="A574" i="1"/>
  <c r="D573" i="1"/>
  <c r="C573" i="1"/>
  <c r="B573" i="1"/>
  <c r="A573" i="1"/>
  <c r="D572" i="1"/>
  <c r="C572" i="1"/>
  <c r="B572" i="1"/>
  <c r="A572" i="1"/>
  <c r="D571" i="1"/>
  <c r="C571" i="1"/>
  <c r="B571" i="1"/>
  <c r="A571" i="1"/>
  <c r="D570" i="1"/>
  <c r="C570" i="1"/>
  <c r="B570" i="1"/>
  <c r="A570" i="1"/>
  <c r="D569" i="1"/>
  <c r="C569" i="1"/>
  <c r="B569" i="1"/>
  <c r="A569" i="1"/>
  <c r="D568" i="1"/>
  <c r="C568" i="1"/>
  <c r="B568" i="1"/>
  <c r="A568" i="1"/>
  <c r="D567" i="1"/>
  <c r="C567" i="1"/>
  <c r="B567" i="1"/>
  <c r="A567" i="1"/>
  <c r="D566" i="1"/>
  <c r="C566" i="1"/>
  <c r="B566" i="1"/>
  <c r="A566" i="1"/>
  <c r="D565" i="1"/>
  <c r="C565" i="1"/>
  <c r="B565" i="1"/>
  <c r="A565" i="1"/>
  <c r="D564" i="1"/>
  <c r="C564" i="1"/>
  <c r="B564" i="1"/>
  <c r="A564" i="1"/>
  <c r="D563" i="1"/>
  <c r="C563" i="1"/>
  <c r="B563" i="1"/>
  <c r="A563" i="1"/>
  <c r="D562" i="1"/>
  <c r="C562" i="1"/>
  <c r="B562" i="1"/>
  <c r="A562" i="1"/>
  <c r="D561" i="1"/>
  <c r="C561" i="1"/>
  <c r="B561" i="1"/>
  <c r="A561" i="1"/>
  <c r="D560" i="1"/>
  <c r="C560" i="1"/>
  <c r="B560" i="1"/>
  <c r="A560" i="1"/>
  <c r="D559" i="1"/>
  <c r="C559" i="1"/>
  <c r="B559" i="1"/>
  <c r="A559" i="1"/>
  <c r="D558" i="1"/>
  <c r="C558" i="1"/>
  <c r="B558" i="1"/>
  <c r="A558" i="1"/>
  <c r="D557" i="1"/>
  <c r="C557" i="1"/>
  <c r="B557" i="1"/>
  <c r="A557" i="1"/>
  <c r="D556" i="1"/>
  <c r="C556" i="1"/>
  <c r="B556" i="1"/>
  <c r="A556" i="1"/>
  <c r="D555" i="1"/>
  <c r="C555" i="1"/>
  <c r="B555" i="1"/>
  <c r="A555" i="1"/>
  <c r="D554" i="1"/>
  <c r="C554" i="1"/>
  <c r="B554" i="1"/>
  <c r="A554" i="1"/>
  <c r="D553" i="1"/>
  <c r="C553" i="1"/>
  <c r="B553" i="1"/>
  <c r="A553" i="1"/>
  <c r="D552" i="1"/>
  <c r="C552" i="1"/>
  <c r="B552" i="1"/>
  <c r="A552" i="1"/>
  <c r="D551" i="1"/>
  <c r="C551" i="1"/>
  <c r="B551" i="1"/>
  <c r="A551" i="1"/>
  <c r="D550" i="1"/>
  <c r="C550" i="1"/>
  <c r="B550" i="1"/>
  <c r="A550" i="1"/>
  <c r="D549" i="1"/>
  <c r="C549" i="1"/>
  <c r="B549" i="1"/>
  <c r="A549" i="1"/>
  <c r="D548" i="1"/>
  <c r="C548" i="1"/>
  <c r="B548" i="1"/>
  <c r="A548" i="1"/>
  <c r="D547" i="1"/>
  <c r="C547" i="1"/>
  <c r="B547" i="1"/>
  <c r="A547" i="1"/>
  <c r="D546" i="1"/>
  <c r="C546" i="1"/>
  <c r="B546" i="1"/>
  <c r="A546" i="1"/>
  <c r="D545" i="1"/>
  <c r="C545" i="1"/>
  <c r="B545" i="1"/>
  <c r="A545" i="1"/>
  <c r="D544" i="1"/>
  <c r="C544" i="1"/>
  <c r="B544" i="1"/>
  <c r="A544" i="1"/>
  <c r="D543" i="1"/>
  <c r="C543" i="1"/>
  <c r="B543" i="1"/>
  <c r="A543" i="1"/>
  <c r="D542" i="1"/>
  <c r="C542" i="1"/>
  <c r="B542" i="1"/>
  <c r="A542" i="1"/>
  <c r="D541" i="1"/>
  <c r="C541" i="1"/>
  <c r="B541" i="1"/>
  <c r="A541" i="1"/>
  <c r="D540" i="1"/>
  <c r="C540" i="1"/>
  <c r="B540" i="1"/>
  <c r="A540" i="1"/>
  <c r="D539" i="1"/>
  <c r="C539" i="1"/>
  <c r="B539" i="1"/>
  <c r="A539" i="1"/>
  <c r="D538" i="1"/>
  <c r="C538" i="1"/>
  <c r="B538" i="1"/>
  <c r="A538" i="1"/>
  <c r="D537" i="1"/>
  <c r="C537" i="1"/>
  <c r="B537" i="1"/>
  <c r="A537" i="1"/>
  <c r="D536" i="1"/>
  <c r="C536" i="1"/>
  <c r="B536" i="1"/>
  <c r="A536" i="1"/>
  <c r="D535" i="1"/>
  <c r="C535" i="1"/>
  <c r="B535" i="1"/>
  <c r="A535" i="1"/>
  <c r="D534" i="1"/>
  <c r="C534" i="1"/>
  <c r="B534" i="1"/>
  <c r="A534" i="1"/>
  <c r="D533" i="1"/>
  <c r="C533" i="1"/>
  <c r="B533" i="1"/>
  <c r="A533" i="1"/>
  <c r="D532" i="1"/>
  <c r="C532" i="1"/>
  <c r="B532" i="1"/>
  <c r="A532" i="1"/>
  <c r="D531" i="1"/>
  <c r="C531" i="1"/>
  <c r="B531" i="1"/>
  <c r="A531" i="1"/>
  <c r="D530" i="1"/>
  <c r="C530" i="1"/>
  <c r="B530" i="1"/>
  <c r="A530" i="1"/>
  <c r="D529" i="1"/>
  <c r="C529" i="1"/>
  <c r="B529" i="1"/>
  <c r="A529" i="1"/>
  <c r="D528" i="1"/>
  <c r="C528" i="1"/>
  <c r="B528" i="1"/>
  <c r="A528" i="1"/>
  <c r="D527" i="1"/>
  <c r="C527" i="1"/>
  <c r="B527" i="1"/>
  <c r="A527" i="1"/>
  <c r="D526" i="1"/>
  <c r="C526" i="1"/>
  <c r="B526" i="1"/>
  <c r="A526" i="1"/>
  <c r="D525" i="1"/>
  <c r="C525" i="1"/>
  <c r="B525" i="1"/>
  <c r="A525" i="1"/>
  <c r="D524" i="1"/>
  <c r="C524" i="1"/>
  <c r="B524" i="1"/>
  <c r="A524" i="1"/>
  <c r="D523" i="1"/>
  <c r="C523" i="1"/>
  <c r="B523" i="1"/>
  <c r="A523" i="1"/>
  <c r="D522" i="1"/>
  <c r="C522" i="1"/>
  <c r="B522" i="1"/>
  <c r="A522" i="1"/>
  <c r="D521" i="1"/>
  <c r="C521" i="1"/>
  <c r="B521" i="1"/>
  <c r="A521" i="1"/>
  <c r="D520" i="1"/>
  <c r="C520" i="1"/>
  <c r="B520" i="1"/>
  <c r="A520" i="1"/>
  <c r="D519" i="1"/>
  <c r="C519" i="1"/>
  <c r="B519" i="1"/>
  <c r="A519" i="1"/>
  <c r="D518" i="1"/>
  <c r="C518" i="1"/>
  <c r="B518" i="1"/>
  <c r="A518" i="1"/>
  <c r="D517" i="1"/>
  <c r="C517" i="1"/>
  <c r="B517" i="1"/>
  <c r="A517" i="1"/>
  <c r="D516" i="1"/>
  <c r="C516" i="1"/>
  <c r="B516" i="1"/>
  <c r="A516" i="1"/>
  <c r="D515" i="1"/>
  <c r="C515" i="1"/>
  <c r="B515" i="1"/>
  <c r="A515" i="1"/>
  <c r="D514" i="1"/>
  <c r="C514" i="1"/>
  <c r="B514" i="1"/>
  <c r="A514" i="1"/>
  <c r="D513" i="1"/>
  <c r="C513" i="1"/>
  <c r="B513" i="1"/>
  <c r="A513" i="1"/>
  <c r="D512" i="1"/>
  <c r="C512" i="1"/>
  <c r="B512" i="1"/>
  <c r="A512" i="1"/>
  <c r="D511" i="1"/>
  <c r="C511" i="1"/>
  <c r="B511" i="1"/>
  <c r="A511" i="1"/>
  <c r="D510" i="1"/>
  <c r="C510" i="1"/>
  <c r="B510" i="1"/>
  <c r="A510" i="1"/>
  <c r="D509" i="1"/>
  <c r="C509" i="1"/>
  <c r="B509" i="1"/>
  <c r="A509" i="1"/>
  <c r="D508" i="1"/>
  <c r="C508" i="1"/>
  <c r="B508" i="1"/>
  <c r="A508" i="1"/>
  <c r="D507" i="1"/>
  <c r="C507" i="1"/>
  <c r="B507" i="1"/>
  <c r="A507" i="1"/>
  <c r="D506" i="1"/>
  <c r="C506" i="1"/>
  <c r="B506" i="1"/>
  <c r="A506" i="1"/>
  <c r="D505" i="1"/>
  <c r="C505" i="1"/>
  <c r="B505" i="1"/>
  <c r="A505" i="1"/>
  <c r="D504" i="1"/>
  <c r="C504" i="1"/>
  <c r="B504" i="1"/>
  <c r="A504" i="1"/>
  <c r="D503" i="1"/>
  <c r="C503" i="1"/>
  <c r="B503" i="1"/>
  <c r="A503" i="1"/>
  <c r="D502" i="1"/>
  <c r="C502" i="1"/>
  <c r="B502" i="1"/>
  <c r="A502" i="1"/>
  <c r="D501" i="1"/>
  <c r="C501" i="1"/>
  <c r="B501" i="1"/>
  <c r="A501" i="1"/>
  <c r="D500" i="1"/>
  <c r="C500" i="1"/>
  <c r="B500" i="1"/>
  <c r="A500" i="1"/>
  <c r="D499" i="1"/>
  <c r="C499" i="1"/>
  <c r="B499" i="1"/>
  <c r="A499" i="1"/>
  <c r="D498" i="1"/>
  <c r="C498" i="1"/>
  <c r="B498" i="1"/>
  <c r="A498" i="1"/>
  <c r="D497" i="1"/>
  <c r="C497" i="1"/>
  <c r="B497" i="1"/>
  <c r="A497" i="1"/>
  <c r="D496" i="1"/>
  <c r="C496" i="1"/>
  <c r="B496" i="1"/>
  <c r="A496" i="1"/>
  <c r="D495" i="1"/>
  <c r="C495" i="1"/>
  <c r="B495" i="1"/>
  <c r="A495" i="1"/>
  <c r="D494" i="1"/>
  <c r="C494" i="1"/>
  <c r="B494" i="1"/>
  <c r="A494" i="1"/>
  <c r="D493" i="1"/>
  <c r="C493" i="1"/>
  <c r="B493" i="1"/>
  <c r="A493" i="1"/>
  <c r="D492" i="1"/>
  <c r="C492" i="1"/>
  <c r="B492" i="1"/>
  <c r="A492" i="1"/>
  <c r="D491" i="1"/>
  <c r="C491" i="1"/>
  <c r="B491" i="1"/>
  <c r="A491" i="1"/>
  <c r="D490" i="1"/>
  <c r="C490" i="1"/>
  <c r="B490" i="1"/>
  <c r="A490" i="1"/>
  <c r="D489" i="1"/>
  <c r="C489" i="1"/>
  <c r="B489" i="1"/>
  <c r="A489" i="1"/>
  <c r="D488" i="1"/>
  <c r="C488" i="1"/>
  <c r="B488" i="1"/>
  <c r="A488" i="1"/>
  <c r="D487" i="1"/>
  <c r="C487" i="1"/>
  <c r="B487" i="1"/>
  <c r="A487" i="1"/>
  <c r="D486" i="1"/>
  <c r="C486" i="1"/>
  <c r="B486" i="1"/>
  <c r="A486" i="1"/>
  <c r="D485" i="1"/>
  <c r="C485" i="1"/>
  <c r="B485" i="1"/>
  <c r="A485" i="1"/>
  <c r="D484" i="1"/>
  <c r="C484" i="1"/>
  <c r="B484" i="1"/>
  <c r="A484" i="1"/>
  <c r="D483" i="1"/>
  <c r="C483" i="1"/>
  <c r="B483" i="1"/>
  <c r="A483" i="1"/>
  <c r="D482" i="1"/>
  <c r="C482" i="1"/>
  <c r="B482" i="1"/>
  <c r="A482" i="1"/>
  <c r="D481" i="1"/>
  <c r="C481" i="1"/>
  <c r="B481" i="1"/>
  <c r="A481" i="1"/>
  <c r="D480" i="1"/>
  <c r="C480" i="1"/>
  <c r="B480" i="1"/>
  <c r="A480" i="1"/>
  <c r="D479" i="1"/>
  <c r="C479" i="1"/>
  <c r="B479" i="1"/>
  <c r="A479" i="1"/>
  <c r="D478" i="1"/>
  <c r="C478" i="1"/>
  <c r="B478" i="1"/>
  <c r="A478" i="1"/>
  <c r="D477" i="1"/>
  <c r="C477" i="1"/>
  <c r="B477" i="1"/>
  <c r="A477" i="1"/>
  <c r="D476" i="1"/>
  <c r="C476" i="1"/>
  <c r="B476" i="1"/>
  <c r="A476" i="1"/>
  <c r="D475" i="1"/>
  <c r="C475" i="1"/>
  <c r="B475" i="1"/>
  <c r="A475" i="1"/>
  <c r="D474" i="1"/>
  <c r="C474" i="1"/>
  <c r="B474" i="1"/>
  <c r="A474" i="1"/>
  <c r="D473" i="1"/>
  <c r="C473" i="1"/>
  <c r="B473" i="1"/>
  <c r="A473" i="1"/>
  <c r="D472" i="1"/>
  <c r="C472" i="1"/>
  <c r="B472" i="1"/>
  <c r="A472" i="1"/>
  <c r="D471" i="1"/>
  <c r="C471" i="1"/>
  <c r="B471" i="1"/>
  <c r="A471" i="1"/>
  <c r="D470" i="1"/>
  <c r="C470" i="1"/>
  <c r="B470" i="1"/>
  <c r="A470" i="1"/>
  <c r="D469" i="1"/>
  <c r="C469" i="1"/>
  <c r="B469" i="1"/>
  <c r="A469" i="1"/>
  <c r="D468" i="1"/>
  <c r="C468" i="1"/>
  <c r="B468" i="1"/>
  <c r="A468" i="1"/>
  <c r="D467" i="1"/>
  <c r="C467" i="1"/>
  <c r="B467" i="1"/>
  <c r="A467" i="1"/>
  <c r="D466" i="1"/>
  <c r="C466" i="1"/>
  <c r="B466" i="1"/>
  <c r="A466" i="1"/>
  <c r="D465" i="1"/>
  <c r="C465" i="1"/>
  <c r="B465" i="1"/>
  <c r="A465" i="1"/>
  <c r="D464" i="1"/>
  <c r="C464" i="1"/>
  <c r="B464" i="1"/>
  <c r="A464" i="1"/>
  <c r="D463" i="1"/>
  <c r="C463" i="1"/>
  <c r="B463" i="1"/>
  <c r="A463" i="1"/>
  <c r="D462" i="1"/>
  <c r="C462" i="1"/>
  <c r="B462" i="1"/>
  <c r="A462" i="1"/>
  <c r="D461" i="1"/>
  <c r="C461" i="1"/>
  <c r="B461" i="1"/>
  <c r="A461" i="1"/>
  <c r="D460" i="1"/>
  <c r="C460" i="1"/>
  <c r="B460" i="1"/>
  <c r="A460" i="1"/>
  <c r="D459" i="1"/>
  <c r="C459" i="1"/>
  <c r="B459" i="1"/>
  <c r="A459" i="1"/>
  <c r="D458" i="1"/>
  <c r="C458" i="1"/>
  <c r="B458" i="1"/>
  <c r="A458" i="1"/>
  <c r="D457" i="1"/>
  <c r="C457" i="1"/>
  <c r="B457" i="1"/>
  <c r="A457" i="1"/>
  <c r="D456" i="1"/>
  <c r="C456" i="1"/>
  <c r="B456" i="1"/>
  <c r="A456" i="1"/>
  <c r="D455" i="1"/>
  <c r="C455" i="1"/>
  <c r="B455" i="1"/>
  <c r="A455" i="1"/>
  <c r="D454" i="1"/>
  <c r="C454" i="1"/>
  <c r="B454" i="1"/>
  <c r="A454" i="1"/>
  <c r="D453" i="1"/>
  <c r="C453" i="1"/>
  <c r="B453" i="1"/>
  <c r="A453" i="1"/>
  <c r="D452" i="1"/>
  <c r="C452" i="1"/>
  <c r="B452" i="1"/>
  <c r="A452" i="1"/>
  <c r="D451" i="1"/>
  <c r="C451" i="1"/>
  <c r="B451" i="1"/>
  <c r="A451" i="1"/>
  <c r="D450" i="1"/>
  <c r="C450" i="1"/>
  <c r="B450" i="1"/>
  <c r="A450" i="1"/>
  <c r="D449" i="1"/>
  <c r="C449" i="1"/>
  <c r="B449" i="1"/>
  <c r="A449" i="1"/>
  <c r="D448" i="1"/>
  <c r="C448" i="1"/>
  <c r="B448" i="1"/>
  <c r="A448" i="1"/>
  <c r="D447" i="1"/>
  <c r="C447" i="1"/>
  <c r="B447" i="1"/>
  <c r="A447" i="1"/>
  <c r="D446" i="1"/>
  <c r="C446" i="1"/>
  <c r="B446" i="1"/>
  <c r="A446" i="1"/>
  <c r="D445" i="1"/>
  <c r="C445" i="1"/>
  <c r="B445" i="1"/>
  <c r="A445" i="1"/>
  <c r="D444" i="1"/>
  <c r="C444" i="1"/>
  <c r="B444" i="1"/>
  <c r="A444" i="1"/>
  <c r="D443" i="1"/>
  <c r="C443" i="1"/>
  <c r="B443" i="1"/>
  <c r="A443" i="1"/>
  <c r="D442" i="1"/>
  <c r="C442" i="1"/>
  <c r="B442" i="1"/>
  <c r="A442" i="1"/>
  <c r="D441" i="1"/>
  <c r="C441" i="1"/>
  <c r="B441" i="1"/>
  <c r="A441" i="1"/>
  <c r="D440" i="1"/>
  <c r="C440" i="1"/>
  <c r="B440" i="1"/>
  <c r="A440" i="1"/>
  <c r="D439" i="1"/>
  <c r="C439" i="1"/>
  <c r="B439" i="1"/>
  <c r="A439" i="1"/>
  <c r="D438" i="1"/>
  <c r="C438" i="1"/>
  <c r="B438" i="1"/>
  <c r="A438" i="1"/>
  <c r="D437" i="1"/>
  <c r="C437" i="1"/>
  <c r="B437" i="1"/>
  <c r="A437" i="1"/>
  <c r="D436" i="1"/>
  <c r="C436" i="1"/>
  <c r="B436" i="1"/>
  <c r="A436" i="1"/>
  <c r="D435" i="1"/>
  <c r="C435" i="1"/>
  <c r="B435" i="1"/>
  <c r="A435" i="1"/>
  <c r="D434" i="1"/>
  <c r="C434" i="1"/>
  <c r="B434" i="1"/>
  <c r="A434" i="1"/>
  <c r="D433" i="1"/>
  <c r="C433" i="1"/>
  <c r="B433" i="1"/>
  <c r="A433" i="1"/>
  <c r="D432" i="1"/>
  <c r="C432" i="1"/>
  <c r="B432" i="1"/>
  <c r="A432" i="1"/>
  <c r="D431" i="1"/>
  <c r="C431" i="1"/>
  <c r="B431" i="1"/>
  <c r="A431" i="1"/>
  <c r="D430" i="1"/>
  <c r="C430" i="1"/>
  <c r="B430" i="1"/>
  <c r="A430" i="1"/>
  <c r="D429" i="1"/>
  <c r="C429" i="1"/>
  <c r="B429" i="1"/>
  <c r="A429" i="1"/>
  <c r="D428" i="1"/>
  <c r="C428" i="1"/>
  <c r="B428" i="1"/>
  <c r="A428" i="1"/>
  <c r="D427" i="1"/>
  <c r="C427" i="1"/>
  <c r="B427" i="1"/>
  <c r="A427" i="1"/>
  <c r="D426" i="1"/>
  <c r="C426" i="1"/>
  <c r="B426" i="1"/>
  <c r="A426" i="1"/>
  <c r="D425" i="1"/>
  <c r="C425" i="1"/>
  <c r="B425" i="1"/>
  <c r="A425" i="1"/>
  <c r="D424" i="1"/>
  <c r="C424" i="1"/>
  <c r="B424" i="1"/>
  <c r="A424" i="1"/>
  <c r="D423" i="1"/>
  <c r="C423" i="1"/>
  <c r="B423" i="1"/>
  <c r="A423" i="1"/>
  <c r="D422" i="1"/>
  <c r="C422" i="1"/>
  <c r="B422" i="1"/>
  <c r="A422" i="1"/>
  <c r="D421" i="1"/>
  <c r="C421" i="1"/>
  <c r="B421" i="1"/>
  <c r="A421" i="1"/>
  <c r="D420" i="1"/>
  <c r="C420" i="1"/>
  <c r="B420" i="1"/>
  <c r="A420" i="1"/>
  <c r="D419" i="1"/>
  <c r="C419" i="1"/>
  <c r="B419" i="1"/>
  <c r="A419" i="1"/>
  <c r="D418" i="1"/>
  <c r="C418" i="1"/>
  <c r="B418" i="1"/>
  <c r="A418" i="1"/>
  <c r="D417" i="1"/>
  <c r="C417" i="1"/>
  <c r="B417" i="1"/>
  <c r="A417" i="1"/>
  <c r="D416" i="1"/>
  <c r="C416" i="1"/>
  <c r="B416" i="1"/>
  <c r="A416" i="1"/>
  <c r="D415" i="1"/>
  <c r="C415" i="1"/>
  <c r="B415" i="1"/>
  <c r="A415" i="1"/>
  <c r="D414" i="1"/>
  <c r="C414" i="1"/>
  <c r="B414" i="1"/>
  <c r="A414" i="1"/>
  <c r="D413" i="1"/>
  <c r="C413" i="1"/>
  <c r="B413" i="1"/>
  <c r="A413" i="1"/>
  <c r="D412" i="1"/>
  <c r="C412" i="1"/>
  <c r="B412" i="1"/>
  <c r="A412" i="1"/>
  <c r="D411" i="1"/>
  <c r="C411" i="1"/>
  <c r="B411" i="1"/>
  <c r="A411" i="1"/>
  <c r="D410" i="1"/>
  <c r="C410" i="1"/>
  <c r="B410" i="1"/>
  <c r="A410" i="1"/>
  <c r="D409" i="1"/>
  <c r="C409" i="1"/>
  <c r="B409" i="1"/>
  <c r="A409" i="1"/>
  <c r="D408" i="1"/>
  <c r="C408" i="1"/>
  <c r="B408" i="1"/>
  <c r="A408" i="1"/>
  <c r="D407" i="1"/>
  <c r="C407" i="1"/>
  <c r="B407" i="1"/>
  <c r="A407" i="1"/>
  <c r="D406" i="1"/>
  <c r="C406" i="1"/>
  <c r="B406" i="1"/>
  <c r="A406" i="1"/>
  <c r="D405" i="1"/>
  <c r="C405" i="1"/>
  <c r="B405" i="1"/>
  <c r="A405" i="1"/>
  <c r="D404" i="1"/>
  <c r="C404" i="1"/>
  <c r="B404" i="1"/>
  <c r="A404" i="1"/>
  <c r="D403" i="1"/>
  <c r="C403" i="1"/>
  <c r="B403" i="1"/>
  <c r="A403" i="1"/>
  <c r="D402" i="1"/>
  <c r="C402" i="1"/>
  <c r="B402" i="1"/>
  <c r="A402" i="1"/>
  <c r="D401" i="1"/>
  <c r="C401" i="1"/>
  <c r="B401" i="1"/>
  <c r="A401" i="1"/>
  <c r="D400" i="1"/>
  <c r="C400" i="1"/>
  <c r="B400" i="1"/>
  <c r="A400" i="1"/>
  <c r="D399" i="1"/>
  <c r="C399" i="1"/>
  <c r="B399" i="1"/>
  <c r="A399" i="1"/>
  <c r="D398" i="1"/>
  <c r="C398" i="1"/>
  <c r="B398" i="1"/>
  <c r="A398" i="1"/>
  <c r="D397" i="1"/>
  <c r="C397" i="1"/>
  <c r="B397" i="1"/>
  <c r="A397" i="1"/>
  <c r="D396" i="1"/>
  <c r="C396" i="1"/>
  <c r="B396" i="1"/>
  <c r="A396" i="1"/>
  <c r="D395" i="1"/>
  <c r="C395" i="1"/>
  <c r="B395" i="1"/>
  <c r="A395" i="1"/>
  <c r="D394" i="1"/>
  <c r="C394" i="1"/>
  <c r="B394" i="1"/>
  <c r="A394" i="1"/>
  <c r="D393" i="1"/>
  <c r="C393" i="1"/>
  <c r="B393" i="1"/>
  <c r="A393" i="1"/>
  <c r="D392" i="1"/>
  <c r="C392" i="1"/>
  <c r="B392" i="1"/>
  <c r="A392" i="1"/>
  <c r="D391" i="1"/>
  <c r="C391" i="1"/>
  <c r="B391" i="1"/>
  <c r="A391" i="1"/>
  <c r="D390" i="1"/>
  <c r="C390" i="1"/>
  <c r="B390" i="1"/>
  <c r="A390" i="1"/>
  <c r="D389" i="1"/>
  <c r="C389" i="1"/>
  <c r="B389" i="1"/>
  <c r="A389" i="1"/>
  <c r="D388" i="1"/>
  <c r="C388" i="1"/>
  <c r="B388" i="1"/>
  <c r="A388" i="1"/>
  <c r="D387" i="1"/>
  <c r="C387" i="1"/>
  <c r="B387" i="1"/>
  <c r="A387" i="1"/>
  <c r="D386" i="1"/>
  <c r="C386" i="1"/>
  <c r="B386" i="1"/>
  <c r="A386" i="1"/>
  <c r="D385" i="1"/>
  <c r="C385" i="1"/>
  <c r="B385" i="1"/>
  <c r="A385" i="1"/>
  <c r="D384" i="1"/>
  <c r="C384" i="1"/>
  <c r="B384" i="1"/>
  <c r="A384" i="1"/>
  <c r="D383" i="1"/>
  <c r="C383" i="1"/>
  <c r="B383" i="1"/>
  <c r="A383" i="1"/>
  <c r="D382" i="1"/>
  <c r="C382" i="1"/>
  <c r="B382" i="1"/>
  <c r="A382" i="1"/>
  <c r="D381" i="1"/>
  <c r="C381" i="1"/>
  <c r="B381" i="1"/>
  <c r="A381" i="1"/>
  <c r="D380" i="1"/>
  <c r="C380" i="1"/>
  <c r="B380" i="1"/>
  <c r="A380" i="1"/>
  <c r="D379" i="1"/>
  <c r="C379" i="1"/>
  <c r="B379" i="1"/>
  <c r="A379" i="1"/>
  <c r="D378" i="1"/>
  <c r="C378" i="1"/>
  <c r="B378" i="1"/>
  <c r="A378" i="1"/>
  <c r="D377" i="1"/>
  <c r="C377" i="1"/>
  <c r="B377" i="1"/>
  <c r="A377" i="1"/>
  <c r="D376" i="1"/>
  <c r="C376" i="1"/>
  <c r="B376" i="1"/>
  <c r="A376" i="1"/>
  <c r="D375" i="1"/>
  <c r="C375" i="1"/>
  <c r="B375" i="1"/>
  <c r="A375" i="1"/>
  <c r="D374" i="1"/>
  <c r="C374" i="1"/>
  <c r="B374" i="1"/>
  <c r="A374" i="1"/>
  <c r="D373" i="1"/>
  <c r="C373" i="1"/>
  <c r="B373" i="1"/>
  <c r="A373" i="1"/>
  <c r="D372" i="1"/>
  <c r="C372" i="1"/>
  <c r="B372" i="1"/>
  <c r="A372" i="1"/>
  <c r="D371" i="1"/>
  <c r="C371" i="1"/>
  <c r="B371" i="1"/>
  <c r="A371" i="1"/>
  <c r="D370" i="1"/>
  <c r="C370" i="1"/>
  <c r="B370" i="1"/>
  <c r="A370" i="1"/>
  <c r="D369" i="1"/>
  <c r="C369" i="1"/>
  <c r="B369" i="1"/>
  <c r="A369" i="1"/>
  <c r="D368" i="1"/>
  <c r="C368" i="1"/>
  <c r="B368" i="1"/>
  <c r="A368" i="1"/>
  <c r="D367" i="1"/>
  <c r="C367" i="1"/>
  <c r="B367" i="1"/>
  <c r="A367" i="1"/>
  <c r="D366" i="1"/>
  <c r="C366" i="1"/>
  <c r="B366" i="1"/>
  <c r="A366" i="1"/>
  <c r="D365" i="1"/>
  <c r="C365" i="1"/>
  <c r="B365" i="1"/>
  <c r="A365" i="1"/>
  <c r="D364" i="1"/>
  <c r="C364" i="1"/>
  <c r="B364" i="1"/>
  <c r="A364" i="1"/>
  <c r="D363" i="1"/>
  <c r="C363" i="1"/>
  <c r="B363" i="1"/>
  <c r="A363" i="1"/>
  <c r="D362" i="1"/>
  <c r="C362" i="1"/>
  <c r="B362" i="1"/>
  <c r="A362" i="1"/>
  <c r="D361" i="1"/>
  <c r="C361" i="1"/>
  <c r="B361" i="1"/>
  <c r="A361" i="1"/>
  <c r="D360" i="1"/>
  <c r="C360" i="1"/>
  <c r="B360" i="1"/>
  <c r="A360" i="1"/>
  <c r="D359" i="1"/>
  <c r="C359" i="1"/>
  <c r="B359" i="1"/>
  <c r="A359" i="1"/>
  <c r="D358" i="1"/>
  <c r="C358" i="1"/>
  <c r="B358" i="1"/>
  <c r="A358" i="1"/>
  <c r="D357" i="1"/>
  <c r="C357" i="1"/>
  <c r="B357" i="1"/>
  <c r="A357" i="1"/>
  <c r="D356" i="1"/>
  <c r="C356" i="1"/>
  <c r="B356" i="1"/>
  <c r="A356" i="1"/>
  <c r="D355" i="1"/>
  <c r="C355" i="1"/>
  <c r="B355" i="1"/>
  <c r="A355" i="1"/>
  <c r="D354" i="1"/>
  <c r="C354" i="1"/>
  <c r="B354" i="1"/>
  <c r="A354" i="1"/>
  <c r="D353" i="1"/>
  <c r="C353" i="1"/>
  <c r="B353" i="1"/>
  <c r="A353" i="1"/>
  <c r="D352" i="1"/>
  <c r="C352" i="1"/>
  <c r="B352" i="1"/>
  <c r="A352" i="1"/>
  <c r="D351" i="1"/>
  <c r="C351" i="1"/>
  <c r="B351" i="1"/>
  <c r="A351" i="1"/>
  <c r="D350" i="1"/>
  <c r="C350" i="1"/>
  <c r="B350" i="1"/>
  <c r="A350" i="1"/>
  <c r="D349" i="1"/>
  <c r="C349" i="1"/>
  <c r="B349" i="1"/>
  <c r="A349" i="1"/>
  <c r="D348" i="1"/>
  <c r="C348" i="1"/>
  <c r="B348" i="1"/>
  <c r="A348" i="1"/>
  <c r="D347" i="1"/>
  <c r="C347" i="1"/>
  <c r="B347" i="1"/>
  <c r="A347" i="1"/>
  <c r="D346" i="1"/>
  <c r="C346" i="1"/>
  <c r="B346" i="1"/>
  <c r="A346" i="1"/>
  <c r="D345" i="1"/>
  <c r="C345" i="1"/>
  <c r="B345" i="1"/>
  <c r="A345" i="1"/>
  <c r="D344" i="1"/>
  <c r="C344" i="1"/>
  <c r="B344" i="1"/>
  <c r="A344" i="1"/>
  <c r="D343" i="1"/>
  <c r="C343" i="1"/>
  <c r="B343" i="1"/>
  <c r="A343" i="1"/>
  <c r="D342" i="1"/>
  <c r="C342" i="1"/>
  <c r="B342" i="1"/>
  <c r="A342" i="1"/>
  <c r="D341" i="1"/>
  <c r="C341" i="1"/>
  <c r="B341" i="1"/>
  <c r="A341" i="1"/>
  <c r="D340" i="1"/>
  <c r="C340" i="1"/>
  <c r="B340" i="1"/>
  <c r="A340" i="1"/>
  <c r="D339" i="1"/>
  <c r="C339" i="1"/>
  <c r="B339" i="1"/>
  <c r="A339" i="1"/>
  <c r="D338" i="1"/>
  <c r="C338" i="1"/>
  <c r="B338" i="1"/>
  <c r="A338" i="1"/>
  <c r="D337" i="1"/>
  <c r="C337" i="1"/>
  <c r="B337" i="1"/>
  <c r="A337" i="1"/>
  <c r="D336" i="1"/>
  <c r="C336" i="1"/>
  <c r="B336" i="1"/>
  <c r="A336" i="1"/>
  <c r="D335" i="1"/>
  <c r="C335" i="1"/>
  <c r="B335" i="1"/>
  <c r="A335" i="1"/>
  <c r="D334" i="1"/>
  <c r="C334" i="1"/>
  <c r="B334" i="1"/>
  <c r="A334" i="1"/>
  <c r="D333" i="1"/>
  <c r="C333" i="1"/>
  <c r="B333" i="1"/>
  <c r="A333" i="1"/>
  <c r="D332" i="1"/>
  <c r="C332" i="1"/>
  <c r="B332" i="1"/>
  <c r="A332" i="1"/>
  <c r="D331" i="1"/>
  <c r="C331" i="1"/>
  <c r="B331" i="1"/>
  <c r="A331" i="1"/>
  <c r="D330" i="1"/>
  <c r="C330" i="1"/>
  <c r="B330" i="1"/>
  <c r="A330" i="1"/>
  <c r="D329" i="1"/>
  <c r="C329" i="1"/>
  <c r="B329" i="1"/>
  <c r="A329" i="1"/>
  <c r="D328" i="1"/>
  <c r="C328" i="1"/>
  <c r="B328" i="1"/>
  <c r="A328" i="1"/>
  <c r="D327" i="1"/>
  <c r="C327" i="1"/>
  <c r="B327" i="1"/>
  <c r="A327" i="1"/>
  <c r="D326" i="1"/>
  <c r="C326" i="1"/>
  <c r="B326" i="1"/>
  <c r="A326" i="1"/>
  <c r="D325" i="1"/>
  <c r="C325" i="1"/>
  <c r="B325" i="1"/>
  <c r="A325" i="1"/>
  <c r="D324" i="1"/>
  <c r="C324" i="1"/>
  <c r="B324" i="1"/>
  <c r="A324" i="1"/>
  <c r="D323" i="1"/>
  <c r="C323" i="1"/>
  <c r="B323" i="1"/>
  <c r="A323" i="1"/>
  <c r="D322" i="1"/>
  <c r="C322" i="1"/>
  <c r="B322" i="1"/>
  <c r="A322" i="1"/>
  <c r="D321" i="1"/>
  <c r="C321" i="1"/>
  <c r="B321" i="1"/>
  <c r="A321" i="1"/>
  <c r="D320" i="1"/>
  <c r="C320" i="1"/>
  <c r="B320" i="1"/>
  <c r="A320" i="1"/>
  <c r="D319" i="1"/>
  <c r="C319" i="1"/>
  <c r="B319" i="1"/>
  <c r="A319" i="1"/>
  <c r="D318" i="1"/>
  <c r="C318" i="1"/>
  <c r="B318" i="1"/>
  <c r="A318" i="1"/>
  <c r="D317" i="1"/>
  <c r="C317" i="1"/>
  <c r="B317" i="1"/>
  <c r="A317" i="1"/>
  <c r="D316" i="1"/>
  <c r="C316" i="1"/>
  <c r="B316" i="1"/>
  <c r="A316" i="1"/>
  <c r="D315" i="1"/>
  <c r="C315" i="1"/>
  <c r="B315" i="1"/>
  <c r="A315" i="1"/>
  <c r="D314" i="1"/>
  <c r="C314" i="1"/>
  <c r="B314" i="1"/>
  <c r="A314" i="1"/>
  <c r="D313" i="1"/>
  <c r="C313" i="1"/>
  <c r="B313" i="1"/>
  <c r="A313" i="1"/>
  <c r="D312" i="1"/>
  <c r="C312" i="1"/>
  <c r="B312" i="1"/>
  <c r="A312" i="1"/>
  <c r="D311" i="1"/>
  <c r="C311" i="1"/>
  <c r="B311" i="1"/>
  <c r="A311" i="1"/>
  <c r="D310" i="1"/>
  <c r="C310" i="1"/>
  <c r="B310" i="1"/>
  <c r="A310" i="1"/>
  <c r="D309" i="1"/>
  <c r="C309" i="1"/>
  <c r="B309" i="1"/>
  <c r="A309" i="1"/>
  <c r="D308" i="1"/>
  <c r="C308" i="1"/>
  <c r="B308" i="1"/>
  <c r="A308" i="1"/>
  <c r="D307" i="1"/>
  <c r="C307" i="1"/>
  <c r="B307" i="1"/>
  <c r="A307" i="1"/>
  <c r="D306" i="1"/>
  <c r="C306" i="1"/>
  <c r="B306" i="1"/>
  <c r="A306" i="1"/>
  <c r="D305" i="1"/>
  <c r="C305" i="1"/>
  <c r="B305" i="1"/>
  <c r="A305" i="1"/>
  <c r="D304" i="1"/>
  <c r="C304" i="1"/>
  <c r="B304" i="1"/>
  <c r="A304" i="1"/>
  <c r="D303" i="1"/>
  <c r="C303" i="1"/>
  <c r="B303" i="1"/>
  <c r="A303" i="1"/>
  <c r="D302" i="1"/>
  <c r="C302" i="1"/>
  <c r="B302" i="1"/>
  <c r="A302" i="1"/>
  <c r="D301" i="1"/>
  <c r="C301" i="1"/>
  <c r="B301" i="1"/>
  <c r="A301" i="1"/>
  <c r="D300" i="1"/>
  <c r="C300" i="1"/>
  <c r="B300" i="1"/>
  <c r="A300" i="1"/>
  <c r="D299" i="1"/>
  <c r="C299" i="1"/>
  <c r="B299" i="1"/>
  <c r="A299" i="1"/>
  <c r="D298" i="1"/>
  <c r="C298" i="1"/>
  <c r="B298" i="1"/>
  <c r="A298" i="1"/>
  <c r="D297" i="1"/>
  <c r="C297" i="1"/>
  <c r="B297" i="1"/>
  <c r="A297" i="1"/>
  <c r="D296" i="1"/>
  <c r="C296" i="1"/>
  <c r="B296" i="1"/>
  <c r="A296" i="1"/>
  <c r="D295" i="1"/>
  <c r="C295" i="1"/>
  <c r="B295" i="1"/>
  <c r="A295" i="1"/>
  <c r="D294" i="1"/>
  <c r="C294" i="1"/>
  <c r="B294" i="1"/>
  <c r="A294" i="1"/>
  <c r="D293" i="1"/>
  <c r="C293" i="1"/>
  <c r="B293" i="1"/>
  <c r="A293" i="1"/>
  <c r="D292" i="1"/>
  <c r="C292" i="1"/>
  <c r="B292" i="1"/>
  <c r="A292" i="1"/>
  <c r="D291" i="1"/>
  <c r="C291" i="1"/>
  <c r="B291" i="1"/>
  <c r="A291" i="1"/>
  <c r="D290" i="1"/>
  <c r="C290" i="1"/>
  <c r="B290" i="1"/>
  <c r="A290" i="1"/>
  <c r="D289" i="1"/>
  <c r="C289" i="1"/>
  <c r="B289" i="1"/>
  <c r="A289" i="1"/>
  <c r="D288" i="1"/>
  <c r="C288" i="1"/>
  <c r="B288" i="1"/>
  <c r="A288" i="1"/>
  <c r="D287" i="1"/>
  <c r="C287" i="1"/>
  <c r="B287" i="1"/>
  <c r="A287" i="1"/>
  <c r="D286" i="1"/>
  <c r="C286" i="1"/>
  <c r="B286" i="1"/>
  <c r="A286" i="1"/>
  <c r="D285" i="1"/>
  <c r="C285" i="1"/>
  <c r="B285" i="1"/>
  <c r="A285" i="1"/>
  <c r="D284" i="1"/>
  <c r="C284" i="1"/>
  <c r="B284" i="1"/>
  <c r="A284" i="1"/>
  <c r="D283" i="1"/>
  <c r="C283" i="1"/>
  <c r="B283" i="1"/>
  <c r="A283" i="1"/>
  <c r="D282" i="1"/>
  <c r="C282" i="1"/>
  <c r="B282" i="1"/>
  <c r="A282" i="1"/>
  <c r="D281" i="1"/>
  <c r="C281" i="1"/>
  <c r="B281" i="1"/>
  <c r="A281" i="1"/>
  <c r="D280" i="1"/>
  <c r="C280" i="1"/>
  <c r="B280" i="1"/>
  <c r="A280" i="1"/>
  <c r="D279" i="1"/>
  <c r="C279" i="1"/>
  <c r="B279" i="1"/>
  <c r="A279" i="1"/>
  <c r="D278" i="1"/>
  <c r="C278" i="1"/>
  <c r="B278" i="1"/>
  <c r="A278" i="1"/>
  <c r="D277" i="1"/>
  <c r="C277" i="1"/>
  <c r="B277" i="1"/>
  <c r="A277" i="1"/>
  <c r="D276" i="1"/>
  <c r="C276" i="1"/>
  <c r="B276" i="1"/>
  <c r="A276" i="1"/>
  <c r="D275" i="1"/>
  <c r="C275" i="1"/>
  <c r="B275" i="1"/>
  <c r="A275" i="1"/>
  <c r="D274" i="1"/>
  <c r="C274" i="1"/>
  <c r="B274" i="1"/>
  <c r="A274" i="1"/>
  <c r="D273" i="1"/>
  <c r="C273" i="1"/>
  <c r="B273" i="1"/>
  <c r="A273" i="1"/>
  <c r="D272" i="1"/>
  <c r="C272" i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D268" i="1"/>
  <c r="C268" i="1"/>
  <c r="B268" i="1"/>
  <c r="A268" i="1"/>
  <c r="D267" i="1"/>
  <c r="C267" i="1"/>
  <c r="B267" i="1"/>
  <c r="A267" i="1"/>
  <c r="D266" i="1"/>
  <c r="C266" i="1"/>
  <c r="B266" i="1"/>
  <c r="A266" i="1"/>
  <c r="D265" i="1"/>
  <c r="C265" i="1"/>
  <c r="B265" i="1"/>
  <c r="A265" i="1"/>
  <c r="D264" i="1"/>
  <c r="C264" i="1"/>
  <c r="B264" i="1"/>
  <c r="A264" i="1"/>
  <c r="D263" i="1"/>
  <c r="C263" i="1"/>
  <c r="B263" i="1"/>
  <c r="A263" i="1"/>
  <c r="D262" i="1"/>
  <c r="C262" i="1"/>
  <c r="B262" i="1"/>
  <c r="A262" i="1"/>
  <c r="D261" i="1"/>
  <c r="C261" i="1"/>
  <c r="B261" i="1"/>
  <c r="A261" i="1"/>
  <c r="D260" i="1"/>
  <c r="C260" i="1"/>
  <c r="B260" i="1"/>
  <c r="A260" i="1"/>
  <c r="D259" i="1"/>
  <c r="C259" i="1"/>
  <c r="B259" i="1"/>
  <c r="A259" i="1"/>
  <c r="D258" i="1"/>
  <c r="C258" i="1"/>
  <c r="B258" i="1"/>
  <c r="A258" i="1"/>
  <c r="D257" i="1"/>
  <c r="C257" i="1"/>
  <c r="B257" i="1"/>
  <c r="A257" i="1"/>
  <c r="D256" i="1"/>
  <c r="C256" i="1"/>
  <c r="B256" i="1"/>
  <c r="A256" i="1"/>
  <c r="D255" i="1"/>
  <c r="C255" i="1"/>
  <c r="B255" i="1"/>
  <c r="A255" i="1"/>
  <c r="D254" i="1"/>
  <c r="C254" i="1"/>
  <c r="B254" i="1"/>
  <c r="A254" i="1"/>
  <c r="D253" i="1"/>
  <c r="C253" i="1"/>
  <c r="B253" i="1"/>
  <c r="A253" i="1"/>
  <c r="D252" i="1"/>
  <c r="C252" i="1"/>
  <c r="B252" i="1"/>
  <c r="A252" i="1"/>
  <c r="D251" i="1"/>
  <c r="C251" i="1"/>
  <c r="B251" i="1"/>
  <c r="A251" i="1"/>
  <c r="D250" i="1"/>
  <c r="C250" i="1"/>
  <c r="B250" i="1"/>
  <c r="A250" i="1"/>
  <c r="D249" i="1"/>
  <c r="C249" i="1"/>
  <c r="B249" i="1"/>
  <c r="A249" i="1"/>
  <c r="D248" i="1"/>
  <c r="C248" i="1"/>
  <c r="B248" i="1"/>
  <c r="A248" i="1"/>
  <c r="D247" i="1"/>
  <c r="C247" i="1"/>
  <c r="B247" i="1"/>
  <c r="A247" i="1"/>
  <c r="D246" i="1"/>
  <c r="C246" i="1"/>
  <c r="B246" i="1"/>
  <c r="A246" i="1"/>
  <c r="D245" i="1"/>
  <c r="C245" i="1"/>
  <c r="B245" i="1"/>
  <c r="A245" i="1"/>
  <c r="D244" i="1"/>
  <c r="C244" i="1"/>
  <c r="B244" i="1"/>
  <c r="A244" i="1"/>
  <c r="D243" i="1"/>
  <c r="C243" i="1"/>
  <c r="B243" i="1"/>
  <c r="A243" i="1"/>
  <c r="D242" i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D238" i="1"/>
  <c r="C238" i="1"/>
  <c r="B238" i="1"/>
  <c r="A238" i="1"/>
  <c r="D237" i="1"/>
  <c r="C237" i="1"/>
  <c r="B237" i="1"/>
  <c r="A237" i="1"/>
  <c r="D236" i="1"/>
  <c r="C236" i="1"/>
  <c r="B236" i="1"/>
  <c r="A236" i="1"/>
  <c r="D235" i="1"/>
  <c r="C235" i="1"/>
  <c r="B235" i="1"/>
  <c r="A235" i="1"/>
  <c r="D234" i="1"/>
  <c r="C234" i="1"/>
  <c r="B234" i="1"/>
  <c r="A234" i="1"/>
  <c r="D233" i="1"/>
  <c r="C233" i="1"/>
  <c r="B233" i="1"/>
  <c r="A233" i="1"/>
  <c r="D232" i="1"/>
  <c r="C232" i="1"/>
  <c r="B232" i="1"/>
  <c r="A232" i="1"/>
  <c r="D231" i="1"/>
  <c r="C231" i="1"/>
  <c r="B231" i="1"/>
  <c r="A231" i="1"/>
  <c r="D230" i="1"/>
  <c r="C230" i="1"/>
  <c r="B230" i="1"/>
  <c r="A230" i="1"/>
  <c r="D229" i="1"/>
  <c r="C229" i="1"/>
  <c r="B229" i="1"/>
  <c r="A229" i="1"/>
  <c r="D228" i="1"/>
  <c r="C228" i="1"/>
  <c r="B228" i="1"/>
  <c r="A228" i="1"/>
  <c r="D227" i="1"/>
  <c r="C227" i="1"/>
  <c r="B227" i="1"/>
  <c r="A227" i="1"/>
  <c r="D226" i="1"/>
  <c r="C226" i="1"/>
  <c r="B226" i="1"/>
  <c r="A226" i="1"/>
  <c r="D225" i="1"/>
  <c r="C225" i="1"/>
  <c r="B225" i="1"/>
  <c r="A225" i="1"/>
  <c r="D224" i="1"/>
  <c r="C224" i="1"/>
  <c r="B224" i="1"/>
  <c r="A224" i="1"/>
  <c r="D223" i="1"/>
  <c r="C223" i="1"/>
  <c r="B223" i="1"/>
  <c r="A223" i="1"/>
  <c r="D222" i="1"/>
  <c r="C222" i="1"/>
  <c r="B222" i="1"/>
  <c r="A222" i="1"/>
  <c r="D221" i="1"/>
  <c r="C221" i="1"/>
  <c r="B221" i="1"/>
  <c r="A221" i="1"/>
  <c r="D220" i="1"/>
  <c r="C220" i="1"/>
  <c r="B220" i="1"/>
  <c r="A220" i="1"/>
  <c r="D219" i="1"/>
  <c r="C219" i="1"/>
  <c r="B219" i="1"/>
  <c r="A219" i="1"/>
  <c r="D218" i="1"/>
  <c r="C218" i="1"/>
  <c r="B218" i="1"/>
  <c r="A218" i="1"/>
  <c r="D217" i="1"/>
  <c r="C217" i="1"/>
  <c r="B217" i="1"/>
  <c r="A217" i="1"/>
  <c r="D216" i="1"/>
  <c r="C216" i="1"/>
  <c r="B216" i="1"/>
  <c r="A216" i="1"/>
  <c r="D215" i="1"/>
  <c r="C215" i="1"/>
  <c r="B215" i="1"/>
  <c r="A215" i="1"/>
  <c r="D214" i="1"/>
  <c r="C214" i="1"/>
  <c r="B214" i="1"/>
  <c r="A214" i="1"/>
  <c r="D213" i="1"/>
  <c r="C213" i="1"/>
  <c r="B213" i="1"/>
  <c r="A213" i="1"/>
  <c r="D212" i="1"/>
  <c r="C212" i="1"/>
  <c r="B212" i="1"/>
  <c r="A212" i="1"/>
  <c r="D211" i="1"/>
  <c r="C211" i="1"/>
  <c r="B211" i="1"/>
  <c r="A211" i="1"/>
  <c r="D210" i="1"/>
  <c r="C210" i="1"/>
  <c r="B210" i="1"/>
  <c r="A210" i="1"/>
  <c r="D209" i="1"/>
  <c r="C209" i="1"/>
  <c r="B209" i="1"/>
  <c r="A209" i="1"/>
  <c r="D208" i="1"/>
  <c r="C208" i="1"/>
  <c r="B208" i="1"/>
  <c r="A208" i="1"/>
  <c r="D207" i="1"/>
  <c r="C207" i="1"/>
  <c r="B207" i="1"/>
  <c r="A207" i="1"/>
  <c r="D206" i="1"/>
  <c r="C206" i="1"/>
  <c r="B206" i="1"/>
  <c r="A206" i="1"/>
  <c r="D205" i="1"/>
  <c r="C205" i="1"/>
  <c r="B205" i="1"/>
  <c r="A205" i="1"/>
  <c r="D204" i="1"/>
  <c r="C204" i="1"/>
  <c r="B204" i="1"/>
  <c r="A204" i="1"/>
  <c r="D203" i="1"/>
  <c r="C203" i="1"/>
  <c r="B203" i="1"/>
  <c r="A203" i="1"/>
  <c r="D202" i="1"/>
  <c r="C202" i="1"/>
  <c r="B202" i="1"/>
  <c r="A202" i="1"/>
  <c r="D201" i="1"/>
  <c r="C201" i="1"/>
  <c r="B201" i="1"/>
  <c r="A201" i="1"/>
  <c r="D200" i="1"/>
  <c r="C200" i="1"/>
  <c r="B200" i="1"/>
  <c r="A200" i="1"/>
  <c r="D199" i="1"/>
  <c r="C199" i="1"/>
  <c r="B199" i="1"/>
  <c r="A199" i="1"/>
  <c r="D198" i="1"/>
  <c r="C198" i="1"/>
  <c r="B198" i="1"/>
  <c r="A198" i="1"/>
  <c r="D197" i="1"/>
  <c r="C197" i="1"/>
  <c r="B197" i="1"/>
  <c r="A197" i="1"/>
  <c r="D196" i="1"/>
  <c r="C196" i="1"/>
  <c r="B196" i="1"/>
  <c r="A196" i="1"/>
  <c r="D195" i="1"/>
  <c r="C195" i="1"/>
  <c r="B195" i="1"/>
  <c r="A195" i="1"/>
  <c r="D194" i="1"/>
  <c r="C194" i="1"/>
  <c r="B194" i="1"/>
  <c r="A194" i="1"/>
  <c r="D193" i="1"/>
  <c r="C193" i="1"/>
  <c r="B193" i="1"/>
  <c r="A193" i="1"/>
  <c r="D192" i="1"/>
  <c r="C192" i="1"/>
  <c r="B192" i="1"/>
  <c r="A192" i="1"/>
  <c r="D191" i="1"/>
  <c r="C191" i="1"/>
  <c r="B191" i="1"/>
  <c r="A191" i="1"/>
  <c r="D190" i="1"/>
  <c r="C190" i="1"/>
  <c r="B190" i="1"/>
  <c r="A190" i="1"/>
  <c r="D189" i="1"/>
  <c r="C189" i="1"/>
  <c r="B189" i="1"/>
  <c r="A189" i="1"/>
  <c r="D188" i="1"/>
  <c r="C188" i="1"/>
  <c r="B188" i="1"/>
  <c r="A188" i="1"/>
  <c r="D187" i="1"/>
  <c r="C187" i="1"/>
  <c r="B187" i="1"/>
  <c r="A187" i="1"/>
  <c r="D186" i="1"/>
  <c r="C186" i="1"/>
  <c r="B186" i="1"/>
  <c r="A186" i="1"/>
  <c r="D185" i="1"/>
  <c r="C185" i="1"/>
  <c r="B185" i="1"/>
  <c r="A185" i="1"/>
  <c r="D184" i="1"/>
  <c r="C184" i="1"/>
  <c r="B184" i="1"/>
  <c r="A184" i="1"/>
  <c r="D183" i="1"/>
  <c r="C183" i="1"/>
  <c r="B183" i="1"/>
  <c r="A183" i="1"/>
  <c r="D182" i="1"/>
  <c r="C182" i="1"/>
  <c r="B182" i="1"/>
  <c r="A182" i="1"/>
  <c r="D181" i="1"/>
  <c r="C181" i="1"/>
  <c r="B181" i="1"/>
  <c r="A181" i="1"/>
  <c r="D180" i="1"/>
  <c r="C180" i="1"/>
  <c r="B180" i="1"/>
  <c r="A180" i="1"/>
  <c r="D179" i="1"/>
  <c r="C179" i="1"/>
  <c r="B179" i="1"/>
  <c r="A179" i="1"/>
  <c r="D178" i="1"/>
  <c r="C178" i="1"/>
  <c r="B178" i="1"/>
  <c r="A178" i="1"/>
  <c r="D177" i="1"/>
  <c r="C177" i="1"/>
  <c r="B177" i="1"/>
  <c r="A177" i="1"/>
  <c r="D176" i="1"/>
  <c r="C176" i="1"/>
  <c r="B176" i="1"/>
  <c r="A176" i="1"/>
  <c r="D175" i="1"/>
  <c r="C175" i="1"/>
  <c r="B175" i="1"/>
  <c r="A175" i="1"/>
  <c r="D174" i="1"/>
  <c r="C174" i="1"/>
  <c r="B174" i="1"/>
  <c r="A174" i="1"/>
  <c r="D173" i="1"/>
  <c r="C173" i="1"/>
  <c r="B173" i="1"/>
  <c r="A173" i="1"/>
  <c r="D172" i="1"/>
  <c r="C172" i="1"/>
  <c r="B172" i="1"/>
  <c r="A172" i="1"/>
  <c r="D171" i="1"/>
  <c r="C171" i="1"/>
  <c r="B171" i="1"/>
  <c r="A171" i="1"/>
  <c r="D170" i="1"/>
  <c r="C170" i="1"/>
  <c r="B170" i="1"/>
  <c r="A170" i="1"/>
  <c r="D169" i="1"/>
  <c r="C169" i="1"/>
  <c r="B169" i="1"/>
  <c r="A169" i="1"/>
  <c r="D168" i="1"/>
  <c r="C168" i="1"/>
  <c r="B168" i="1"/>
  <c r="A168" i="1"/>
  <c r="D167" i="1"/>
  <c r="C167" i="1"/>
  <c r="B167" i="1"/>
  <c r="A167" i="1"/>
  <c r="D166" i="1"/>
  <c r="C166" i="1"/>
  <c r="B166" i="1"/>
  <c r="A166" i="1"/>
  <c r="D165" i="1"/>
  <c r="C165" i="1"/>
  <c r="B165" i="1"/>
  <c r="A165" i="1"/>
  <c r="D164" i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D160" i="1"/>
  <c r="C160" i="1"/>
  <c r="B160" i="1"/>
  <c r="A160" i="1"/>
  <c r="D159" i="1"/>
  <c r="C159" i="1"/>
  <c r="B159" i="1"/>
  <c r="A159" i="1"/>
  <c r="D158" i="1"/>
  <c r="C158" i="1"/>
  <c r="B158" i="1"/>
  <c r="A158" i="1"/>
  <c r="D157" i="1"/>
  <c r="C157" i="1"/>
  <c r="B157" i="1"/>
  <c r="A157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D153" i="1"/>
  <c r="C153" i="1"/>
  <c r="B153" i="1"/>
  <c r="A153" i="1"/>
  <c r="D152" i="1"/>
  <c r="C152" i="1"/>
  <c r="B152" i="1"/>
  <c r="A152" i="1"/>
  <c r="D151" i="1"/>
  <c r="C151" i="1"/>
  <c r="B151" i="1"/>
  <c r="A151" i="1"/>
  <c r="D150" i="1"/>
  <c r="C150" i="1"/>
  <c r="B150" i="1"/>
  <c r="A150" i="1"/>
  <c r="D149" i="1"/>
  <c r="C149" i="1"/>
  <c r="B149" i="1"/>
  <c r="A149" i="1"/>
  <c r="D148" i="1"/>
  <c r="C148" i="1"/>
  <c r="B148" i="1"/>
  <c r="A148" i="1"/>
  <c r="D147" i="1"/>
  <c r="C147" i="1"/>
  <c r="B147" i="1"/>
  <c r="A147" i="1"/>
  <c r="D146" i="1"/>
  <c r="C146" i="1"/>
  <c r="B146" i="1"/>
  <c r="A146" i="1"/>
  <c r="D145" i="1"/>
  <c r="C145" i="1"/>
  <c r="B145" i="1"/>
  <c r="A145" i="1"/>
  <c r="D144" i="1"/>
  <c r="C144" i="1"/>
  <c r="B144" i="1"/>
  <c r="A144" i="1"/>
  <c r="D143" i="1"/>
  <c r="C143" i="1"/>
  <c r="B143" i="1"/>
  <c r="A143" i="1"/>
  <c r="D142" i="1"/>
  <c r="C142" i="1"/>
  <c r="B142" i="1"/>
  <c r="A142" i="1"/>
  <c r="D141" i="1"/>
  <c r="C141" i="1"/>
  <c r="B141" i="1"/>
  <c r="A141" i="1"/>
  <c r="D140" i="1"/>
  <c r="C140" i="1"/>
  <c r="B140" i="1"/>
  <c r="A140" i="1"/>
  <c r="D139" i="1"/>
  <c r="C139" i="1"/>
  <c r="B139" i="1"/>
  <c r="A139" i="1"/>
  <c r="D138" i="1"/>
  <c r="C138" i="1"/>
  <c r="B138" i="1"/>
  <c r="A138" i="1"/>
  <c r="D137" i="1"/>
  <c r="C137" i="1"/>
  <c r="B137" i="1"/>
  <c r="A137" i="1"/>
  <c r="D136" i="1"/>
  <c r="C136" i="1"/>
  <c r="B136" i="1"/>
  <c r="A136" i="1"/>
  <c r="D135" i="1"/>
  <c r="C135" i="1"/>
  <c r="B135" i="1"/>
  <c r="A135" i="1"/>
  <c r="D134" i="1"/>
  <c r="C134" i="1"/>
  <c r="B134" i="1"/>
  <c r="A134" i="1"/>
  <c r="D133" i="1"/>
  <c r="C133" i="1"/>
  <c r="B133" i="1"/>
  <c r="A133" i="1"/>
  <c r="D132" i="1"/>
  <c r="C132" i="1"/>
  <c r="B132" i="1"/>
  <c r="A132" i="1"/>
  <c r="D131" i="1"/>
  <c r="C131" i="1"/>
  <c r="B131" i="1"/>
  <c r="A131" i="1"/>
  <c r="D130" i="1"/>
  <c r="C130" i="1"/>
  <c r="B130" i="1"/>
  <c r="A130" i="1"/>
  <c r="D129" i="1"/>
  <c r="C129" i="1"/>
  <c r="B129" i="1"/>
  <c r="A129" i="1"/>
  <c r="D128" i="1"/>
  <c r="C128" i="1"/>
  <c r="B128" i="1"/>
  <c r="A128" i="1"/>
  <c r="D127" i="1"/>
  <c r="C127" i="1"/>
  <c r="B127" i="1"/>
  <c r="A127" i="1"/>
  <c r="D126" i="1"/>
  <c r="C126" i="1"/>
  <c r="B126" i="1"/>
  <c r="A126" i="1"/>
  <c r="D125" i="1"/>
  <c r="C125" i="1"/>
  <c r="B125" i="1"/>
  <c r="A125" i="1"/>
  <c r="D124" i="1"/>
  <c r="C124" i="1"/>
  <c r="B124" i="1"/>
  <c r="A124" i="1"/>
  <c r="D123" i="1"/>
  <c r="C123" i="1"/>
  <c r="B123" i="1"/>
  <c r="A123" i="1"/>
  <c r="D122" i="1"/>
  <c r="C122" i="1"/>
  <c r="B122" i="1"/>
  <c r="A122" i="1"/>
  <c r="D121" i="1"/>
  <c r="C121" i="1"/>
  <c r="B121" i="1"/>
  <c r="A121" i="1"/>
  <c r="D120" i="1"/>
  <c r="C120" i="1"/>
  <c r="B120" i="1"/>
  <c r="A120" i="1"/>
  <c r="D119" i="1"/>
  <c r="C119" i="1"/>
  <c r="B119" i="1"/>
  <c r="A119" i="1"/>
  <c r="D118" i="1"/>
  <c r="C118" i="1"/>
  <c r="B118" i="1"/>
  <c r="A118" i="1"/>
  <c r="D117" i="1"/>
  <c r="C117" i="1"/>
  <c r="B117" i="1"/>
  <c r="A117" i="1"/>
  <c r="D116" i="1"/>
  <c r="C116" i="1"/>
  <c r="B116" i="1"/>
  <c r="A116" i="1"/>
  <c r="D115" i="1"/>
  <c r="C115" i="1"/>
  <c r="B115" i="1"/>
  <c r="A115" i="1"/>
  <c r="D114" i="1"/>
  <c r="C114" i="1"/>
  <c r="B114" i="1"/>
  <c r="A114" i="1"/>
  <c r="D113" i="1"/>
  <c r="C113" i="1"/>
  <c r="B113" i="1"/>
  <c r="A113" i="1"/>
  <c r="D112" i="1"/>
  <c r="C112" i="1"/>
  <c r="B112" i="1"/>
  <c r="A112" i="1"/>
  <c r="D111" i="1"/>
  <c r="C111" i="1"/>
  <c r="B111" i="1"/>
  <c r="A111" i="1"/>
  <c r="D110" i="1"/>
  <c r="C110" i="1"/>
  <c r="B110" i="1"/>
  <c r="A110" i="1"/>
  <c r="D109" i="1"/>
  <c r="C109" i="1"/>
  <c r="B109" i="1"/>
  <c r="A109" i="1"/>
  <c r="D108" i="1"/>
  <c r="C108" i="1"/>
  <c r="B108" i="1"/>
  <c r="A108" i="1"/>
  <c r="D107" i="1"/>
  <c r="C107" i="1"/>
  <c r="B107" i="1"/>
  <c r="A107" i="1"/>
  <c r="D106" i="1"/>
  <c r="C106" i="1"/>
  <c r="B106" i="1"/>
  <c r="A106" i="1"/>
  <c r="D105" i="1"/>
  <c r="C105" i="1"/>
  <c r="B105" i="1"/>
  <c r="A105" i="1"/>
  <c r="D104" i="1"/>
  <c r="C104" i="1"/>
  <c r="B104" i="1"/>
  <c r="A104" i="1"/>
  <c r="D103" i="1"/>
  <c r="C103" i="1"/>
  <c r="B103" i="1"/>
  <c r="A103" i="1"/>
  <c r="D102" i="1"/>
  <c r="C102" i="1"/>
  <c r="B102" i="1"/>
  <c r="A102" i="1"/>
  <c r="D101" i="1"/>
  <c r="C101" i="1"/>
  <c r="B101" i="1"/>
  <c r="A101" i="1"/>
  <c r="D100" i="1"/>
  <c r="C100" i="1"/>
  <c r="B100" i="1"/>
  <c r="A100" i="1"/>
  <c r="D99" i="1"/>
  <c r="C99" i="1"/>
  <c r="B99" i="1"/>
  <c r="A99" i="1"/>
  <c r="D98" i="1"/>
  <c r="C98" i="1"/>
  <c r="B98" i="1"/>
  <c r="A98" i="1"/>
  <c r="D97" i="1"/>
  <c r="C97" i="1"/>
  <c r="B97" i="1"/>
  <c r="A97" i="1"/>
  <c r="D96" i="1"/>
  <c r="C96" i="1"/>
  <c r="B96" i="1"/>
  <c r="A96" i="1"/>
  <c r="D95" i="1"/>
  <c r="C95" i="1"/>
  <c r="B95" i="1"/>
  <c r="A95" i="1"/>
  <c r="D94" i="1"/>
  <c r="C94" i="1"/>
  <c r="B94" i="1"/>
  <c r="A94" i="1"/>
  <c r="D93" i="1"/>
  <c r="C93" i="1"/>
  <c r="B93" i="1"/>
  <c r="A93" i="1"/>
  <c r="D92" i="1"/>
  <c r="C92" i="1"/>
  <c r="B92" i="1"/>
  <c r="A92" i="1"/>
  <c r="D91" i="1"/>
  <c r="C91" i="1"/>
  <c r="B91" i="1"/>
  <c r="A91" i="1"/>
  <c r="D90" i="1"/>
  <c r="C90" i="1"/>
  <c r="B90" i="1"/>
  <c r="A90" i="1"/>
  <c r="D89" i="1"/>
  <c r="C89" i="1"/>
  <c r="B89" i="1"/>
  <c r="A89" i="1"/>
  <c r="D88" i="1"/>
  <c r="C88" i="1"/>
  <c r="B88" i="1"/>
  <c r="A88" i="1"/>
  <c r="D87" i="1"/>
  <c r="C87" i="1"/>
  <c r="B87" i="1"/>
  <c r="A87" i="1"/>
  <c r="D86" i="1"/>
  <c r="C86" i="1"/>
  <c r="B86" i="1"/>
  <c r="A86" i="1"/>
  <c r="D85" i="1"/>
  <c r="C85" i="1"/>
  <c r="B85" i="1"/>
  <c r="A85" i="1"/>
  <c r="D84" i="1"/>
  <c r="C84" i="1"/>
  <c r="B84" i="1"/>
  <c r="A84" i="1"/>
  <c r="D83" i="1"/>
  <c r="C83" i="1"/>
  <c r="B83" i="1"/>
  <c r="A83" i="1"/>
  <c r="D82" i="1"/>
  <c r="C82" i="1"/>
  <c r="B82" i="1"/>
  <c r="A82" i="1"/>
  <c r="D81" i="1"/>
  <c r="C81" i="1"/>
  <c r="B81" i="1"/>
  <c r="A81" i="1"/>
  <c r="D80" i="1"/>
  <c r="C80" i="1"/>
  <c r="B80" i="1"/>
  <c r="A80" i="1"/>
  <c r="D79" i="1"/>
  <c r="C79" i="1"/>
  <c r="B79" i="1"/>
  <c r="A79" i="1"/>
  <c r="D78" i="1"/>
  <c r="C78" i="1"/>
  <c r="B78" i="1"/>
  <c r="A78" i="1"/>
  <c r="D77" i="1"/>
  <c r="C77" i="1"/>
  <c r="B77" i="1"/>
  <c r="A77" i="1"/>
  <c r="D76" i="1"/>
  <c r="C76" i="1"/>
  <c r="B76" i="1"/>
  <c r="A76" i="1"/>
  <c r="D75" i="1"/>
  <c r="C75" i="1"/>
  <c r="B75" i="1"/>
  <c r="A75" i="1"/>
  <c r="D74" i="1"/>
  <c r="C74" i="1"/>
  <c r="B74" i="1"/>
  <c r="A74" i="1"/>
  <c r="D73" i="1"/>
  <c r="C73" i="1"/>
  <c r="B73" i="1"/>
  <c r="A73" i="1"/>
  <c r="D72" i="1"/>
  <c r="C72" i="1"/>
  <c r="B72" i="1"/>
  <c r="A72" i="1"/>
  <c r="D71" i="1"/>
  <c r="C71" i="1"/>
  <c r="B71" i="1"/>
  <c r="A71" i="1"/>
  <c r="D70" i="1"/>
  <c r="C70" i="1"/>
  <c r="B70" i="1"/>
  <c r="A70" i="1"/>
  <c r="D69" i="1"/>
  <c r="C69" i="1"/>
  <c r="B69" i="1"/>
  <c r="A69" i="1"/>
  <c r="D68" i="1"/>
  <c r="C68" i="1"/>
  <c r="B68" i="1"/>
  <c r="A68" i="1"/>
  <c r="D67" i="1"/>
  <c r="C67" i="1"/>
  <c r="B67" i="1"/>
  <c r="A67" i="1"/>
  <c r="D66" i="1"/>
  <c r="C66" i="1"/>
  <c r="B66" i="1"/>
  <c r="A66" i="1"/>
  <c r="D65" i="1"/>
  <c r="C65" i="1"/>
  <c r="B65" i="1"/>
  <c r="A65" i="1"/>
  <c r="D64" i="1"/>
  <c r="C64" i="1"/>
  <c r="B64" i="1"/>
  <c r="A64" i="1"/>
  <c r="D63" i="1"/>
  <c r="C63" i="1"/>
  <c r="B63" i="1"/>
  <c r="A63" i="1"/>
  <c r="D62" i="1"/>
  <c r="C62" i="1"/>
  <c r="B62" i="1"/>
  <c r="A62" i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D2" i="1"/>
  <c r="C2" i="1"/>
  <c r="B2" i="1"/>
  <c r="A2" i="1"/>
  <c r="B30" i="8"/>
  <c r="B28" i="8"/>
  <c r="B13" i="8"/>
  <c r="B12" i="8"/>
  <c r="C4" i="8" s="1"/>
  <c r="B11" i="8"/>
  <c r="B10" i="8"/>
  <c r="C3" i="8" s="1"/>
  <c r="C6611" i="2" l="1"/>
  <c r="C6607" i="2"/>
  <c r="C6603" i="2"/>
  <c r="C6599" i="2"/>
  <c r="C6595" i="2"/>
  <c r="C6591" i="2"/>
  <c r="C6587" i="2"/>
  <c r="C6583" i="2"/>
  <c r="C6579" i="2"/>
  <c r="C6575" i="2"/>
  <c r="C6571" i="2"/>
  <c r="C6567" i="2"/>
  <c r="C6563" i="2"/>
  <c r="C6559" i="2"/>
  <c r="C6555" i="2"/>
  <c r="C6551" i="2"/>
  <c r="C6547" i="2"/>
  <c r="C6543" i="2"/>
  <c r="C6539" i="2"/>
  <c r="C6535" i="2"/>
  <c r="C6531" i="2"/>
  <c r="C6527" i="2"/>
  <c r="C6523" i="2"/>
  <c r="C6519" i="2"/>
  <c r="C6515" i="2"/>
  <c r="C6511" i="2"/>
  <c r="C6507" i="2"/>
  <c r="C6503" i="2"/>
  <c r="C6499" i="2"/>
  <c r="C6495" i="2"/>
  <c r="C6491" i="2"/>
  <c r="C6487" i="2"/>
  <c r="C6483" i="2"/>
  <c r="C6479" i="2"/>
  <c r="C6475" i="2"/>
  <c r="C6471" i="2"/>
  <c r="C6467" i="2"/>
  <c r="C6463" i="2"/>
  <c r="C6459" i="2"/>
  <c r="C6455" i="2"/>
  <c r="C6451" i="2"/>
  <c r="C6447" i="2"/>
  <c r="C6443" i="2"/>
  <c r="C6439" i="2"/>
  <c r="C6435" i="2"/>
  <c r="C6431" i="2"/>
  <c r="C6427" i="2"/>
  <c r="C6423" i="2"/>
  <c r="C6419" i="2"/>
  <c r="C6415" i="2"/>
  <c r="C6411" i="2"/>
  <c r="C6407" i="2"/>
  <c r="C6403" i="2"/>
  <c r="C6399" i="2"/>
  <c r="C6395" i="2"/>
  <c r="C6391" i="2"/>
  <c r="C6387" i="2"/>
  <c r="C6383" i="2"/>
  <c r="C6379" i="2"/>
  <c r="C6375" i="2"/>
  <c r="C6371" i="2"/>
  <c r="C6367" i="2"/>
  <c r="C6363" i="2"/>
  <c r="C6359" i="2"/>
  <c r="C6355" i="2"/>
  <c r="C6351" i="2"/>
  <c r="C6347" i="2"/>
  <c r="C6343" i="2"/>
  <c r="C6339" i="2"/>
  <c r="C6335" i="2"/>
  <c r="C6331" i="2"/>
  <c r="C6327" i="2"/>
  <c r="C6323" i="2"/>
  <c r="C6319" i="2"/>
  <c r="C6315" i="2"/>
  <c r="C6311" i="2"/>
  <c r="C6307" i="2"/>
  <c r="C6303" i="2"/>
  <c r="C6299" i="2"/>
  <c r="C6295" i="2"/>
  <c r="C6291" i="2"/>
  <c r="C6287" i="2"/>
  <c r="C6283" i="2"/>
  <c r="C6279" i="2"/>
  <c r="C6275" i="2"/>
  <c r="C6271" i="2"/>
  <c r="C6267" i="2"/>
  <c r="C6263" i="2"/>
  <c r="C6259" i="2"/>
  <c r="C6255" i="2"/>
  <c r="C6251" i="2"/>
  <c r="C6247" i="2"/>
  <c r="C6243" i="2"/>
  <c r="C6239" i="2"/>
  <c r="C6235" i="2"/>
  <c r="C6231" i="2"/>
  <c r="C6227" i="2"/>
  <c r="C6223" i="2"/>
  <c r="C6219" i="2"/>
  <c r="C6215" i="2"/>
  <c r="C6211" i="2"/>
  <c r="C6207" i="2"/>
  <c r="C6203" i="2"/>
  <c r="C6199" i="2"/>
  <c r="C6195" i="2"/>
  <c r="C6191" i="2"/>
  <c r="C6187" i="2"/>
  <c r="C6183" i="2"/>
  <c r="C6179" i="2"/>
  <c r="C6175" i="2"/>
  <c r="C6171" i="2"/>
  <c r="C6167" i="2"/>
  <c r="C6163" i="2"/>
  <c r="C6159" i="2"/>
  <c r="C6155" i="2"/>
  <c r="C6151" i="2"/>
  <c r="C6147" i="2"/>
  <c r="C6143" i="2"/>
  <c r="C6139" i="2"/>
  <c r="C6135" i="2"/>
  <c r="C6131" i="2"/>
  <c r="C6127" i="2"/>
  <c r="C6123" i="2"/>
  <c r="C6119" i="2"/>
  <c r="C6115" i="2"/>
  <c r="C6111" i="2"/>
  <c r="C6107" i="2"/>
  <c r="C6103" i="2"/>
  <c r="C6099" i="2"/>
  <c r="C6095" i="2"/>
  <c r="C6091" i="2"/>
  <c r="C6087" i="2"/>
  <c r="C6083" i="2"/>
  <c r="C6079" i="2"/>
  <c r="C6075" i="2"/>
  <c r="C6071" i="2"/>
  <c r="C6067" i="2"/>
  <c r="C6063" i="2"/>
  <c r="C6059" i="2"/>
  <c r="C6055" i="2"/>
  <c r="C6051" i="2"/>
  <c r="C6047" i="2"/>
  <c r="C6043" i="2"/>
  <c r="C6039" i="2"/>
  <c r="C6035" i="2"/>
  <c r="C6031" i="2"/>
  <c r="C6027" i="2"/>
  <c r="C6023" i="2"/>
  <c r="C6019" i="2"/>
  <c r="C6015" i="2"/>
  <c r="C6011" i="2"/>
  <c r="C6007" i="2"/>
  <c r="C6003" i="2"/>
  <c r="C5999" i="2"/>
  <c r="C5995" i="2"/>
  <c r="C5991" i="2"/>
  <c r="C5987" i="2"/>
  <c r="C5983" i="2"/>
  <c r="C5979" i="2"/>
  <c r="C5975" i="2"/>
  <c r="C5971" i="2"/>
  <c r="C5967" i="2"/>
  <c r="C5963" i="2"/>
  <c r="C5959" i="2"/>
  <c r="C5955" i="2"/>
  <c r="C5951" i="2"/>
  <c r="C5947" i="2"/>
  <c r="C5943" i="2"/>
  <c r="C5939" i="2"/>
  <c r="C5935" i="2"/>
  <c r="C5931" i="2"/>
  <c r="C5927" i="2"/>
  <c r="C5923" i="2"/>
  <c r="C5919" i="2"/>
  <c r="C5915" i="2"/>
  <c r="C5911" i="2"/>
  <c r="C5907" i="2"/>
  <c r="C5903" i="2"/>
  <c r="C5899" i="2"/>
  <c r="C5895" i="2"/>
  <c r="C5891" i="2"/>
  <c r="C5887" i="2"/>
  <c r="C5883" i="2"/>
  <c r="C5879" i="2"/>
  <c r="C5875" i="2"/>
  <c r="C5871" i="2"/>
  <c r="C5867" i="2"/>
  <c r="C5863" i="2"/>
  <c r="C5859" i="2"/>
  <c r="C5855" i="2"/>
  <c r="C5851" i="2"/>
  <c r="C5847" i="2"/>
  <c r="C5843" i="2"/>
  <c r="C5839" i="2"/>
  <c r="C5835" i="2"/>
  <c r="C5831" i="2"/>
  <c r="C5827" i="2"/>
  <c r="C5823" i="2"/>
  <c r="C5819" i="2"/>
  <c r="C5815" i="2"/>
  <c r="C5811" i="2"/>
  <c r="C5807" i="2"/>
  <c r="C5803" i="2"/>
  <c r="C5799" i="2"/>
  <c r="C5795" i="2"/>
  <c r="C5791" i="2"/>
  <c r="C5787" i="2"/>
  <c r="C5783" i="2"/>
  <c r="C5779" i="2"/>
  <c r="C5775" i="2"/>
  <c r="C5771" i="2"/>
  <c r="C5767" i="2"/>
  <c r="C5763" i="2"/>
  <c r="C5759" i="2"/>
  <c r="C5755" i="2"/>
  <c r="C5751" i="2"/>
  <c r="C5747" i="2"/>
  <c r="C5743" i="2"/>
  <c r="C5739" i="2"/>
  <c r="C5735" i="2"/>
  <c r="C5731" i="2"/>
  <c r="C5727" i="2"/>
  <c r="C5723" i="2"/>
  <c r="C5719" i="2"/>
  <c r="C5715" i="2"/>
  <c r="C5711" i="2"/>
  <c r="C5707" i="2"/>
  <c r="C5703" i="2"/>
  <c r="C5699" i="2"/>
  <c r="C5695" i="2"/>
  <c r="C5691" i="2"/>
  <c r="C5687" i="2"/>
  <c r="C5683" i="2"/>
  <c r="C5679" i="2"/>
  <c r="C5675" i="2"/>
  <c r="C5671" i="2"/>
  <c r="C5667" i="2"/>
  <c r="C5663" i="2"/>
  <c r="C5659" i="2"/>
  <c r="C5655" i="2"/>
  <c r="C5651" i="2"/>
  <c r="C5647" i="2"/>
  <c r="C5643" i="2"/>
  <c r="C5639" i="2"/>
  <c r="C5635" i="2"/>
  <c r="C5631" i="2"/>
  <c r="C5627" i="2"/>
  <c r="C5623" i="2"/>
  <c r="C5619" i="2"/>
  <c r="C5615" i="2"/>
  <c r="C5611" i="2"/>
  <c r="C5607" i="2"/>
  <c r="C5603" i="2"/>
  <c r="C5599" i="2"/>
  <c r="C5595" i="2"/>
  <c r="C5591" i="2"/>
  <c r="C5587" i="2"/>
  <c r="C5583" i="2"/>
  <c r="C5579" i="2"/>
  <c r="C5575" i="2"/>
  <c r="C5571" i="2"/>
  <c r="C5567" i="2"/>
  <c r="C5563" i="2"/>
  <c r="C5559" i="2"/>
  <c r="C5555" i="2"/>
  <c r="C5551" i="2"/>
  <c r="C5547" i="2"/>
  <c r="C5543" i="2"/>
  <c r="C5539" i="2"/>
  <c r="C5535" i="2"/>
  <c r="C5531" i="2"/>
  <c r="C5527" i="2"/>
  <c r="C5523" i="2"/>
  <c r="C5519" i="2"/>
  <c r="C5515" i="2"/>
  <c r="C5511" i="2"/>
  <c r="C5507" i="2"/>
  <c r="C5503" i="2"/>
  <c r="C5499" i="2"/>
  <c r="C5495" i="2"/>
  <c r="C5491" i="2"/>
  <c r="C5487" i="2"/>
  <c r="C5483" i="2"/>
  <c r="C5479" i="2"/>
  <c r="C5475" i="2"/>
  <c r="C5471" i="2"/>
  <c r="C5467" i="2"/>
  <c r="C5463" i="2"/>
  <c r="C5459" i="2"/>
  <c r="C5455" i="2"/>
  <c r="C5451" i="2"/>
  <c r="C5447" i="2"/>
  <c r="C5443" i="2"/>
  <c r="C5439" i="2"/>
  <c r="C5435" i="2"/>
  <c r="C5431" i="2"/>
  <c r="C5427" i="2"/>
  <c r="C5423" i="2"/>
  <c r="C5419" i="2"/>
  <c r="C5415" i="2"/>
  <c r="C5411" i="2"/>
  <c r="C5407" i="2"/>
  <c r="C5403" i="2"/>
  <c r="C5399" i="2"/>
  <c r="C5395" i="2"/>
  <c r="C5391" i="2"/>
  <c r="C5387" i="2"/>
  <c r="C5383" i="2"/>
  <c r="C5379" i="2"/>
  <c r="C5375" i="2"/>
  <c r="C5371" i="2"/>
  <c r="C5367" i="2"/>
  <c r="C5363" i="2"/>
  <c r="C5359" i="2"/>
  <c r="C5355" i="2"/>
  <c r="C5351" i="2"/>
  <c r="C5347" i="2"/>
  <c r="C5343" i="2"/>
  <c r="C5339" i="2"/>
  <c r="C5335" i="2"/>
  <c r="C5331" i="2"/>
  <c r="C5327" i="2"/>
  <c r="C5323" i="2"/>
  <c r="C5319" i="2"/>
  <c r="C5315" i="2"/>
  <c r="C5311" i="2"/>
  <c r="C5307" i="2"/>
  <c r="C5303" i="2"/>
  <c r="C5299" i="2"/>
  <c r="C5295" i="2"/>
  <c r="C5291" i="2"/>
  <c r="C5287" i="2"/>
  <c r="C5283" i="2"/>
  <c r="C5279" i="2"/>
  <c r="C5275" i="2"/>
  <c r="C5271" i="2"/>
  <c r="C5267" i="2"/>
  <c r="C5263" i="2"/>
  <c r="C5259" i="2"/>
  <c r="C5255" i="2"/>
  <c r="C5251" i="2"/>
  <c r="C5247" i="2"/>
  <c r="C5243" i="2"/>
  <c r="C5239" i="2"/>
  <c r="C5235" i="2"/>
  <c r="C5231" i="2"/>
  <c r="C5227" i="2"/>
  <c r="C5223" i="2"/>
  <c r="C5219" i="2"/>
  <c r="C5215" i="2"/>
  <c r="C5211" i="2"/>
  <c r="C5207" i="2"/>
  <c r="C5203" i="2"/>
  <c r="C5199" i="2"/>
  <c r="C5195" i="2"/>
  <c r="C5191" i="2"/>
  <c r="C5187" i="2"/>
  <c r="C5183" i="2"/>
  <c r="C5179" i="2"/>
  <c r="C5175" i="2"/>
  <c r="C5171" i="2"/>
  <c r="C5167" i="2"/>
  <c r="C5163" i="2"/>
  <c r="C5159" i="2"/>
  <c r="C5155" i="2"/>
  <c r="C5151" i="2"/>
  <c r="C5147" i="2"/>
  <c r="C5143" i="2"/>
  <c r="C5139" i="2"/>
  <c r="C5135" i="2"/>
  <c r="C5131" i="2"/>
  <c r="C5127" i="2"/>
  <c r="C5123" i="2"/>
  <c r="C5119" i="2"/>
  <c r="C5115" i="2"/>
  <c r="C5111" i="2"/>
  <c r="C5107" i="2"/>
  <c r="C5103" i="2"/>
  <c r="C5099" i="2"/>
  <c r="C5095" i="2"/>
  <c r="C5091" i="2"/>
  <c r="C5087" i="2"/>
  <c r="C5083" i="2"/>
  <c r="C5079" i="2"/>
  <c r="C5075" i="2"/>
  <c r="C5071" i="2"/>
  <c r="C5067" i="2"/>
  <c r="C5063" i="2"/>
  <c r="C5059" i="2"/>
  <c r="C5055" i="2"/>
  <c r="C5051" i="2"/>
  <c r="C5047" i="2"/>
  <c r="C5043" i="2"/>
  <c r="C5039" i="2"/>
  <c r="C5035" i="2"/>
  <c r="C5031" i="2"/>
  <c r="C5027" i="2"/>
  <c r="C5023" i="2"/>
  <c r="C5019" i="2"/>
  <c r="C5015" i="2"/>
  <c r="C5011" i="2"/>
  <c r="C5007" i="2"/>
  <c r="C5003" i="2"/>
  <c r="C4999" i="2"/>
  <c r="C4995" i="2"/>
  <c r="C4991" i="2"/>
  <c r="C4987" i="2"/>
  <c r="C4983" i="2"/>
  <c r="C4979" i="2"/>
  <c r="C4975" i="2"/>
  <c r="C4971" i="2"/>
  <c r="C4967" i="2"/>
  <c r="C4963" i="2"/>
  <c r="C4959" i="2"/>
  <c r="C4955" i="2"/>
  <c r="C4951" i="2"/>
  <c r="C4947" i="2"/>
  <c r="C4943" i="2"/>
  <c r="C4939" i="2"/>
  <c r="C4935" i="2"/>
  <c r="C4931" i="2"/>
  <c r="C4927" i="2"/>
  <c r="C4923" i="2"/>
  <c r="C4919" i="2"/>
  <c r="C4915" i="2"/>
  <c r="C4911" i="2"/>
  <c r="C4907" i="2"/>
  <c r="C4903" i="2"/>
  <c r="C4899" i="2"/>
  <c r="C4895" i="2"/>
  <c r="C4891" i="2"/>
  <c r="C4887" i="2"/>
  <c r="C4883" i="2"/>
  <c r="C4879" i="2"/>
  <c r="C4875" i="2"/>
  <c r="C4871" i="2"/>
  <c r="C4867" i="2"/>
  <c r="C4863" i="2"/>
  <c r="C4859" i="2"/>
  <c r="C4855" i="2"/>
  <c r="C4851" i="2"/>
  <c r="C4847" i="2"/>
  <c r="C4843" i="2"/>
  <c r="C4839" i="2"/>
  <c r="C4835" i="2"/>
  <c r="C4831" i="2"/>
  <c r="C4827" i="2"/>
  <c r="C4823" i="2"/>
  <c r="C4819" i="2"/>
  <c r="C4815" i="2"/>
  <c r="C4811" i="2"/>
  <c r="C4807" i="2"/>
  <c r="C4803" i="2"/>
  <c r="C4799" i="2"/>
  <c r="C4795" i="2"/>
  <c r="C4791" i="2"/>
  <c r="C4787" i="2"/>
  <c r="C4783" i="2"/>
  <c r="C4779" i="2"/>
  <c r="C4775" i="2"/>
  <c r="C4771" i="2"/>
  <c r="C4767" i="2"/>
  <c r="C4763" i="2"/>
  <c r="C4759" i="2"/>
  <c r="C4755" i="2"/>
  <c r="C4751" i="2"/>
  <c r="C4747" i="2"/>
  <c r="C4743" i="2"/>
  <c r="C4739" i="2"/>
  <c r="C4735" i="2"/>
  <c r="C4731" i="2"/>
  <c r="C4727" i="2"/>
  <c r="C4723" i="2"/>
  <c r="C4719" i="2"/>
  <c r="C4715" i="2"/>
  <c r="C4711" i="2"/>
  <c r="C4707" i="2"/>
  <c r="C4703" i="2"/>
  <c r="C4699" i="2"/>
  <c r="C4695" i="2"/>
  <c r="C4691" i="2"/>
  <c r="C4687" i="2"/>
  <c r="C4683" i="2"/>
  <c r="C4679" i="2"/>
  <c r="C4675" i="2"/>
  <c r="C4671" i="2"/>
  <c r="C4667" i="2"/>
  <c r="C4663" i="2"/>
  <c r="C4659" i="2"/>
  <c r="C4655" i="2"/>
  <c r="C4651" i="2"/>
  <c r="C4647" i="2"/>
  <c r="C4643" i="2"/>
  <c r="C4639" i="2"/>
  <c r="C4635" i="2"/>
  <c r="C4631" i="2"/>
  <c r="C4627" i="2"/>
  <c r="C4623" i="2"/>
  <c r="C4619" i="2"/>
  <c r="C4615" i="2"/>
  <c r="C4611" i="2"/>
  <c r="C4607" i="2"/>
  <c r="C4603" i="2"/>
  <c r="C4599" i="2"/>
  <c r="C4595" i="2"/>
  <c r="C4591" i="2"/>
  <c r="C4587" i="2"/>
  <c r="C4583" i="2"/>
  <c r="C4579" i="2"/>
  <c r="C4575" i="2"/>
  <c r="C4571" i="2"/>
  <c r="C4567" i="2"/>
  <c r="C4563" i="2"/>
  <c r="C4559" i="2"/>
  <c r="C4555" i="2"/>
  <c r="C4551" i="2"/>
  <c r="C4547" i="2"/>
  <c r="C4543" i="2"/>
  <c r="C4539" i="2"/>
  <c r="C4535" i="2"/>
  <c r="C4531" i="2"/>
  <c r="C4527" i="2"/>
  <c r="C4523" i="2"/>
  <c r="C4519" i="2"/>
  <c r="C4515" i="2"/>
  <c r="C4511" i="2"/>
  <c r="C4507" i="2"/>
  <c r="C4503" i="2"/>
  <c r="C4499" i="2"/>
  <c r="C4495" i="2"/>
  <c r="C4491" i="2"/>
  <c r="C4487" i="2"/>
  <c r="C4483" i="2"/>
  <c r="C4479" i="2"/>
  <c r="C4475" i="2"/>
  <c r="C4471" i="2"/>
  <c r="C4467" i="2"/>
  <c r="C4463" i="2"/>
  <c r="C4459" i="2"/>
  <c r="C4455" i="2"/>
  <c r="C4451" i="2"/>
  <c r="C4447" i="2"/>
  <c r="C4443" i="2"/>
  <c r="C4439" i="2"/>
  <c r="C4435" i="2"/>
  <c r="C4431" i="2"/>
  <c r="C4427" i="2"/>
  <c r="C4423" i="2"/>
  <c r="C4419" i="2"/>
  <c r="C4415" i="2"/>
  <c r="C4411" i="2"/>
  <c r="C4407" i="2"/>
  <c r="C4403" i="2"/>
  <c r="C4399" i="2"/>
  <c r="C4395" i="2"/>
  <c r="C4391" i="2"/>
  <c r="C4387" i="2"/>
  <c r="C4383" i="2"/>
  <c r="C4379" i="2"/>
  <c r="C4375" i="2"/>
  <c r="C4371" i="2"/>
  <c r="C4367" i="2"/>
  <c r="C4363" i="2"/>
  <c r="C4359" i="2"/>
  <c r="C4355" i="2"/>
  <c r="C4351" i="2"/>
  <c r="C4347" i="2"/>
  <c r="C4343" i="2"/>
  <c r="C4339" i="2"/>
  <c r="C4335" i="2"/>
  <c r="C4331" i="2"/>
  <c r="C4327" i="2"/>
  <c r="C4323" i="2"/>
  <c r="C4319" i="2"/>
  <c r="C4315" i="2"/>
  <c r="C4311" i="2"/>
  <c r="C4307" i="2"/>
  <c r="C4303" i="2"/>
  <c r="C4299" i="2"/>
  <c r="C4295" i="2"/>
  <c r="C4291" i="2"/>
  <c r="C4287" i="2"/>
  <c r="C4283" i="2"/>
  <c r="C4279" i="2"/>
  <c r="C4275" i="2"/>
  <c r="C4271" i="2"/>
  <c r="C4267" i="2"/>
  <c r="C4263" i="2"/>
  <c r="C4259" i="2"/>
  <c r="C4255" i="2"/>
  <c r="C4251" i="2"/>
  <c r="C4247" i="2"/>
  <c r="C4243" i="2"/>
  <c r="C4239" i="2"/>
  <c r="C4235" i="2"/>
  <c r="C4231" i="2"/>
  <c r="C4227" i="2"/>
  <c r="C4223" i="2"/>
  <c r="C4219" i="2"/>
  <c r="C4215" i="2"/>
  <c r="C4211" i="2"/>
  <c r="C4207" i="2"/>
  <c r="C4203" i="2"/>
  <c r="C4199" i="2"/>
  <c r="C4195" i="2"/>
  <c r="C4191" i="2"/>
  <c r="C6610" i="2"/>
  <c r="C6606" i="2"/>
  <c r="C6602" i="2"/>
  <c r="C6598" i="2"/>
  <c r="C6594" i="2"/>
  <c r="C6590" i="2"/>
  <c r="C6586" i="2"/>
  <c r="C6582" i="2"/>
  <c r="C6578" i="2"/>
  <c r="C6574" i="2"/>
  <c r="C6570" i="2"/>
  <c r="C6566" i="2"/>
  <c r="C6562" i="2"/>
  <c r="C6558" i="2"/>
  <c r="C6554" i="2"/>
  <c r="C6550" i="2"/>
  <c r="C6546" i="2"/>
  <c r="C6542" i="2"/>
  <c r="C6538" i="2"/>
  <c r="C6534" i="2"/>
  <c r="C6530" i="2"/>
  <c r="C6526" i="2"/>
  <c r="C6522" i="2"/>
  <c r="C6518" i="2"/>
  <c r="C6514" i="2"/>
  <c r="C6510" i="2"/>
  <c r="C6506" i="2"/>
  <c r="C6502" i="2"/>
  <c r="C6498" i="2"/>
  <c r="C6494" i="2"/>
  <c r="C6490" i="2"/>
  <c r="C6486" i="2"/>
  <c r="C6482" i="2"/>
  <c r="C6478" i="2"/>
  <c r="C6474" i="2"/>
  <c r="C6470" i="2"/>
  <c r="C6466" i="2"/>
  <c r="C6462" i="2"/>
  <c r="C6458" i="2"/>
  <c r="C6454" i="2"/>
  <c r="C6450" i="2"/>
  <c r="C6446" i="2"/>
  <c r="C6442" i="2"/>
  <c r="C6438" i="2"/>
  <c r="C6434" i="2"/>
  <c r="C6430" i="2"/>
  <c r="C6426" i="2"/>
  <c r="C6422" i="2"/>
  <c r="C6418" i="2"/>
  <c r="C6414" i="2"/>
  <c r="C6410" i="2"/>
  <c r="C6406" i="2"/>
  <c r="C6402" i="2"/>
  <c r="C6398" i="2"/>
  <c r="C6394" i="2"/>
  <c r="C6390" i="2"/>
  <c r="C6386" i="2"/>
  <c r="C6382" i="2"/>
  <c r="C6378" i="2"/>
  <c r="C6374" i="2"/>
  <c r="C6370" i="2"/>
  <c r="C6366" i="2"/>
  <c r="C6362" i="2"/>
  <c r="C6358" i="2"/>
  <c r="C6354" i="2"/>
  <c r="C6350" i="2"/>
  <c r="C6346" i="2"/>
  <c r="C6342" i="2"/>
  <c r="C6338" i="2"/>
  <c r="C6334" i="2"/>
  <c r="C6330" i="2"/>
  <c r="C6326" i="2"/>
  <c r="C6322" i="2"/>
  <c r="C6318" i="2"/>
  <c r="C6314" i="2"/>
  <c r="C6310" i="2"/>
  <c r="C6306" i="2"/>
  <c r="C6302" i="2"/>
  <c r="C6298" i="2"/>
  <c r="C6294" i="2"/>
  <c r="C6290" i="2"/>
  <c r="C6286" i="2"/>
  <c r="C6282" i="2"/>
  <c r="C6278" i="2"/>
  <c r="C6274" i="2"/>
  <c r="C6270" i="2"/>
  <c r="C6266" i="2"/>
  <c r="C6262" i="2"/>
  <c r="C6258" i="2"/>
  <c r="C6254" i="2"/>
  <c r="C6250" i="2"/>
  <c r="C6246" i="2"/>
  <c r="C6242" i="2"/>
  <c r="C6238" i="2"/>
  <c r="C6234" i="2"/>
  <c r="C6230" i="2"/>
  <c r="C6226" i="2"/>
  <c r="C6222" i="2"/>
  <c r="C6218" i="2"/>
  <c r="C6214" i="2"/>
  <c r="C6210" i="2"/>
  <c r="C6206" i="2"/>
  <c r="C6202" i="2"/>
  <c r="C6198" i="2"/>
  <c r="C6194" i="2"/>
  <c r="C6190" i="2"/>
  <c r="C6186" i="2"/>
  <c r="C6182" i="2"/>
  <c r="C6178" i="2"/>
  <c r="C6174" i="2"/>
  <c r="C6170" i="2"/>
  <c r="C6166" i="2"/>
  <c r="C6162" i="2"/>
  <c r="C6158" i="2"/>
  <c r="C6154" i="2"/>
  <c r="C6150" i="2"/>
  <c r="C6146" i="2"/>
  <c r="C6142" i="2"/>
  <c r="C6138" i="2"/>
  <c r="C6134" i="2"/>
  <c r="C6130" i="2"/>
  <c r="C6126" i="2"/>
  <c r="C6122" i="2"/>
  <c r="C6118" i="2"/>
  <c r="C6114" i="2"/>
  <c r="C6110" i="2"/>
  <c r="C6106" i="2"/>
  <c r="C6102" i="2"/>
  <c r="C6098" i="2"/>
  <c r="C6094" i="2"/>
  <c r="C6090" i="2"/>
  <c r="C6086" i="2"/>
  <c r="C6082" i="2"/>
  <c r="C6078" i="2"/>
  <c r="C6074" i="2"/>
  <c r="C6070" i="2"/>
  <c r="C6066" i="2"/>
  <c r="C6062" i="2"/>
  <c r="C6058" i="2"/>
  <c r="C6054" i="2"/>
  <c r="C6050" i="2"/>
  <c r="C6046" i="2"/>
  <c r="C6042" i="2"/>
  <c r="C6038" i="2"/>
  <c r="C6034" i="2"/>
  <c r="C6030" i="2"/>
  <c r="C6026" i="2"/>
  <c r="C6022" i="2"/>
  <c r="C6018" i="2"/>
  <c r="C6014" i="2"/>
  <c r="C6010" i="2"/>
  <c r="C6006" i="2"/>
  <c r="C6002" i="2"/>
  <c r="C5998" i="2"/>
  <c r="C5994" i="2"/>
  <c r="C5990" i="2"/>
  <c r="C5986" i="2"/>
  <c r="C5982" i="2"/>
  <c r="C5978" i="2"/>
  <c r="C5974" i="2"/>
  <c r="C5970" i="2"/>
  <c r="C5966" i="2"/>
  <c r="C5962" i="2"/>
  <c r="C5958" i="2"/>
  <c r="C5954" i="2"/>
  <c r="C5950" i="2"/>
  <c r="C5946" i="2"/>
  <c r="C5942" i="2"/>
  <c r="C5938" i="2"/>
  <c r="C5934" i="2"/>
  <c r="C5930" i="2"/>
  <c r="C5926" i="2"/>
  <c r="C5922" i="2"/>
  <c r="C5918" i="2"/>
  <c r="C5914" i="2"/>
  <c r="C5910" i="2"/>
  <c r="C5906" i="2"/>
  <c r="C5902" i="2"/>
  <c r="C5898" i="2"/>
  <c r="C5894" i="2"/>
  <c r="C5890" i="2"/>
  <c r="C5886" i="2"/>
  <c r="C5882" i="2"/>
  <c r="C5878" i="2"/>
  <c r="C5874" i="2"/>
  <c r="C5870" i="2"/>
  <c r="C5866" i="2"/>
  <c r="C5862" i="2"/>
  <c r="C5858" i="2"/>
  <c r="C5854" i="2"/>
  <c r="C5850" i="2"/>
  <c r="C5846" i="2"/>
  <c r="C5842" i="2"/>
  <c r="C5838" i="2"/>
  <c r="C5834" i="2"/>
  <c r="C5830" i="2"/>
  <c r="C5826" i="2"/>
  <c r="C5822" i="2"/>
  <c r="C5818" i="2"/>
  <c r="C5814" i="2"/>
  <c r="C5810" i="2"/>
  <c r="C5806" i="2"/>
  <c r="C5802" i="2"/>
  <c r="C5798" i="2"/>
  <c r="C5794" i="2"/>
  <c r="C5790" i="2"/>
  <c r="C5786" i="2"/>
  <c r="C5782" i="2"/>
  <c r="C5778" i="2"/>
  <c r="C5774" i="2"/>
  <c r="C5770" i="2"/>
  <c r="C5766" i="2"/>
  <c r="C5762" i="2"/>
  <c r="C5758" i="2"/>
  <c r="C5754" i="2"/>
  <c r="C5750" i="2"/>
  <c r="C5746" i="2"/>
  <c r="C5742" i="2"/>
  <c r="C5738" i="2"/>
  <c r="C5734" i="2"/>
  <c r="C5730" i="2"/>
  <c r="C5726" i="2"/>
  <c r="C5722" i="2"/>
  <c r="C5718" i="2"/>
  <c r="C5714" i="2"/>
  <c r="C5710" i="2"/>
  <c r="C5706" i="2"/>
  <c r="C5702" i="2"/>
  <c r="C5698" i="2"/>
  <c r="C5694" i="2"/>
  <c r="C5690" i="2"/>
  <c r="C5686" i="2"/>
  <c r="C5682" i="2"/>
  <c r="C5678" i="2"/>
  <c r="C5674" i="2"/>
  <c r="C5670" i="2"/>
  <c r="C5666" i="2"/>
  <c r="C5662" i="2"/>
  <c r="C5658" i="2"/>
  <c r="C5654" i="2"/>
  <c r="C5650" i="2"/>
  <c r="C5646" i="2"/>
  <c r="C5642" i="2"/>
  <c r="C5638" i="2"/>
  <c r="C5634" i="2"/>
  <c r="C5630" i="2"/>
  <c r="C5626" i="2"/>
  <c r="C5622" i="2"/>
  <c r="C5618" i="2"/>
  <c r="C5614" i="2"/>
  <c r="C5610" i="2"/>
  <c r="C5606" i="2"/>
  <c r="C5602" i="2"/>
  <c r="C5598" i="2"/>
  <c r="C5594" i="2"/>
  <c r="C5590" i="2"/>
  <c r="C5586" i="2"/>
  <c r="C5582" i="2"/>
  <c r="C5578" i="2"/>
  <c r="C5574" i="2"/>
  <c r="C5570" i="2"/>
  <c r="C5566" i="2"/>
  <c r="C5562" i="2"/>
  <c r="C5558" i="2"/>
  <c r="C5554" i="2"/>
  <c r="C5550" i="2"/>
  <c r="C5546" i="2"/>
  <c r="C5542" i="2"/>
  <c r="C5538" i="2"/>
  <c r="C5534" i="2"/>
  <c r="C5530" i="2"/>
  <c r="C5526" i="2"/>
  <c r="C5522" i="2"/>
  <c r="C5518" i="2"/>
  <c r="C5514" i="2"/>
  <c r="C5510" i="2"/>
  <c r="C5506" i="2"/>
  <c r="C5502" i="2"/>
  <c r="C5498" i="2"/>
  <c r="C5494" i="2"/>
  <c r="C5490" i="2"/>
  <c r="C5486" i="2"/>
  <c r="C5482" i="2"/>
  <c r="C5478" i="2"/>
  <c r="C5474" i="2"/>
  <c r="C5470" i="2"/>
  <c r="C5466" i="2"/>
  <c r="C5462" i="2"/>
  <c r="C5458" i="2"/>
  <c r="C5454" i="2"/>
  <c r="C5450" i="2"/>
  <c r="C5446" i="2"/>
  <c r="C5442" i="2"/>
  <c r="C5438" i="2"/>
  <c r="C5434" i="2"/>
  <c r="C5430" i="2"/>
  <c r="C5426" i="2"/>
  <c r="C5422" i="2"/>
  <c r="C5418" i="2"/>
  <c r="C5414" i="2"/>
  <c r="C5410" i="2"/>
  <c r="C5406" i="2"/>
  <c r="C5402" i="2"/>
  <c r="C5398" i="2"/>
  <c r="C5394" i="2"/>
  <c r="C5390" i="2"/>
  <c r="C5386" i="2"/>
  <c r="C5382" i="2"/>
  <c r="C5378" i="2"/>
  <c r="C5374" i="2"/>
  <c r="C5370" i="2"/>
  <c r="C5366" i="2"/>
  <c r="C5362" i="2"/>
  <c r="C5358" i="2"/>
  <c r="C5354" i="2"/>
  <c r="C5350" i="2"/>
  <c r="C5346" i="2"/>
  <c r="C5342" i="2"/>
  <c r="C5338" i="2"/>
  <c r="C5334" i="2"/>
  <c r="C5330" i="2"/>
  <c r="C5326" i="2"/>
  <c r="C5322" i="2"/>
  <c r="C5318" i="2"/>
  <c r="C5314" i="2"/>
  <c r="C5310" i="2"/>
  <c r="C5306" i="2"/>
  <c r="C5302" i="2"/>
  <c r="C5298" i="2"/>
  <c r="C5294" i="2"/>
  <c r="C5290" i="2"/>
  <c r="C5286" i="2"/>
  <c r="C5282" i="2"/>
  <c r="C5278" i="2"/>
  <c r="C5274" i="2"/>
  <c r="C5270" i="2"/>
  <c r="C5266" i="2"/>
  <c r="C5262" i="2"/>
  <c r="C5258" i="2"/>
  <c r="C5254" i="2"/>
  <c r="C5250" i="2"/>
  <c r="C5246" i="2"/>
  <c r="C5242" i="2"/>
  <c r="C5238" i="2"/>
  <c r="C5234" i="2"/>
  <c r="C5230" i="2"/>
  <c r="C5226" i="2"/>
  <c r="C5222" i="2"/>
  <c r="C5218" i="2"/>
  <c r="C5214" i="2"/>
  <c r="C5210" i="2"/>
  <c r="C5206" i="2"/>
  <c r="C5202" i="2"/>
  <c r="C5198" i="2"/>
  <c r="C5194" i="2"/>
  <c r="C5190" i="2"/>
  <c r="C5186" i="2"/>
  <c r="C5182" i="2"/>
  <c r="C5178" i="2"/>
  <c r="C5174" i="2"/>
  <c r="C5170" i="2"/>
  <c r="C5166" i="2"/>
  <c r="C5162" i="2"/>
  <c r="C5158" i="2"/>
  <c r="C5154" i="2"/>
  <c r="C5150" i="2"/>
  <c r="C5146" i="2"/>
  <c r="C5142" i="2"/>
  <c r="C5138" i="2"/>
  <c r="C5134" i="2"/>
  <c r="C5130" i="2"/>
  <c r="C5126" i="2"/>
  <c r="C5122" i="2"/>
  <c r="C5118" i="2"/>
  <c r="C5114" i="2"/>
  <c r="C5110" i="2"/>
  <c r="C5106" i="2"/>
  <c r="C5102" i="2"/>
  <c r="C5098" i="2"/>
  <c r="C5094" i="2"/>
  <c r="C5090" i="2"/>
  <c r="C5086" i="2"/>
  <c r="C5082" i="2"/>
  <c r="C5078" i="2"/>
  <c r="C5074" i="2"/>
  <c r="C5070" i="2"/>
  <c r="C5066" i="2"/>
  <c r="C5062" i="2"/>
  <c r="C5058" i="2"/>
  <c r="C5054" i="2"/>
  <c r="C5050" i="2"/>
  <c r="C5046" i="2"/>
  <c r="C5042" i="2"/>
  <c r="C5038" i="2"/>
  <c r="C5034" i="2"/>
  <c r="C5030" i="2"/>
  <c r="C5026" i="2"/>
  <c r="C5022" i="2"/>
  <c r="C5018" i="2"/>
  <c r="C5014" i="2"/>
  <c r="C5010" i="2"/>
  <c r="C5006" i="2"/>
  <c r="C5002" i="2"/>
  <c r="C4998" i="2"/>
  <c r="C4994" i="2"/>
  <c r="C4990" i="2"/>
  <c r="C4986" i="2"/>
  <c r="C4982" i="2"/>
  <c r="C4978" i="2"/>
  <c r="C4974" i="2"/>
  <c r="C4970" i="2"/>
  <c r="C4966" i="2"/>
  <c r="C4962" i="2"/>
  <c r="C4958" i="2"/>
  <c r="C4954" i="2"/>
  <c r="C4950" i="2"/>
  <c r="C4946" i="2"/>
  <c r="C4942" i="2"/>
  <c r="C4938" i="2"/>
  <c r="C4934" i="2"/>
  <c r="C4930" i="2"/>
  <c r="C4926" i="2"/>
  <c r="C4922" i="2"/>
  <c r="C4918" i="2"/>
  <c r="C4914" i="2"/>
  <c r="C4910" i="2"/>
  <c r="C4906" i="2"/>
  <c r="C4902" i="2"/>
  <c r="C4898" i="2"/>
  <c r="C4894" i="2"/>
  <c r="C4890" i="2"/>
  <c r="C4886" i="2"/>
  <c r="C4882" i="2"/>
  <c r="C4878" i="2"/>
  <c r="C4874" i="2"/>
  <c r="C4870" i="2"/>
  <c r="C4866" i="2"/>
  <c r="C4862" i="2"/>
  <c r="C4858" i="2"/>
  <c r="C4854" i="2"/>
  <c r="C4850" i="2"/>
  <c r="C4846" i="2"/>
  <c r="C4842" i="2"/>
  <c r="C4838" i="2"/>
  <c r="C4834" i="2"/>
  <c r="C4830" i="2"/>
  <c r="C4826" i="2"/>
  <c r="C4822" i="2"/>
  <c r="C4818" i="2"/>
  <c r="C4814" i="2"/>
  <c r="C4810" i="2"/>
  <c r="C4806" i="2"/>
  <c r="C4802" i="2"/>
  <c r="C4798" i="2"/>
  <c r="C4794" i="2"/>
  <c r="C4790" i="2"/>
  <c r="C4786" i="2"/>
  <c r="C4782" i="2"/>
  <c r="C4778" i="2"/>
  <c r="C4774" i="2"/>
  <c r="C4770" i="2"/>
  <c r="C4766" i="2"/>
  <c r="C4762" i="2"/>
  <c r="C4758" i="2"/>
  <c r="C4754" i="2"/>
  <c r="C4750" i="2"/>
  <c r="C4746" i="2"/>
  <c r="C4742" i="2"/>
  <c r="C4738" i="2"/>
  <c r="C4734" i="2"/>
  <c r="C4730" i="2"/>
  <c r="C4726" i="2"/>
  <c r="C4722" i="2"/>
  <c r="C4718" i="2"/>
  <c r="C4714" i="2"/>
  <c r="C4710" i="2"/>
  <c r="C4706" i="2"/>
  <c r="C4702" i="2"/>
  <c r="C4698" i="2"/>
  <c r="C4694" i="2"/>
  <c r="C4690" i="2"/>
  <c r="C4686" i="2"/>
  <c r="C4682" i="2"/>
  <c r="C4678" i="2"/>
  <c r="C4674" i="2"/>
  <c r="C4670" i="2"/>
  <c r="C4666" i="2"/>
  <c r="C4662" i="2"/>
  <c r="C4658" i="2"/>
  <c r="C4654" i="2"/>
  <c r="C4650" i="2"/>
  <c r="C4646" i="2"/>
  <c r="C4642" i="2"/>
  <c r="C4638" i="2"/>
  <c r="C4634" i="2"/>
  <c r="C4630" i="2"/>
  <c r="C4626" i="2"/>
  <c r="C4622" i="2"/>
  <c r="C4618" i="2"/>
  <c r="C4614" i="2"/>
  <c r="C4610" i="2"/>
  <c r="C4606" i="2"/>
  <c r="C4602" i="2"/>
  <c r="C4598" i="2"/>
  <c r="C4594" i="2"/>
  <c r="C4590" i="2"/>
  <c r="C4586" i="2"/>
  <c r="C4582" i="2"/>
  <c r="C4578" i="2"/>
  <c r="C4574" i="2"/>
  <c r="C4570" i="2"/>
  <c r="C4566" i="2"/>
  <c r="C4562" i="2"/>
  <c r="C4558" i="2"/>
  <c r="C4554" i="2"/>
  <c r="C4550" i="2"/>
  <c r="C4546" i="2"/>
  <c r="C4542" i="2"/>
  <c r="C4538" i="2"/>
  <c r="C4534" i="2"/>
  <c r="C4530" i="2"/>
  <c r="C4526" i="2"/>
  <c r="C4522" i="2"/>
  <c r="C4518" i="2"/>
  <c r="C4514" i="2"/>
  <c r="C4510" i="2"/>
  <c r="C4506" i="2"/>
  <c r="C4502" i="2"/>
  <c r="C4498" i="2"/>
  <c r="C4494" i="2"/>
  <c r="C4490" i="2"/>
  <c r="C4486" i="2"/>
  <c r="C4482" i="2"/>
  <c r="C4478" i="2"/>
  <c r="C4474" i="2"/>
  <c r="C4470" i="2"/>
  <c r="C4466" i="2"/>
  <c r="C4462" i="2"/>
  <c r="C4458" i="2"/>
  <c r="C4454" i="2"/>
  <c r="C4450" i="2"/>
  <c r="C4446" i="2"/>
  <c r="C4442" i="2"/>
  <c r="C4438" i="2"/>
  <c r="C4434" i="2"/>
  <c r="C4430" i="2"/>
  <c r="C4426" i="2"/>
  <c r="C4422" i="2"/>
  <c r="C4418" i="2"/>
  <c r="C4414" i="2"/>
  <c r="C4410" i="2"/>
  <c r="C4406" i="2"/>
  <c r="C4402" i="2"/>
  <c r="C4398" i="2"/>
  <c r="C4394" i="2"/>
  <c r="C4390" i="2"/>
  <c r="C4386" i="2"/>
  <c r="C4382" i="2"/>
  <c r="C4378" i="2"/>
  <c r="C4374" i="2"/>
  <c r="C4370" i="2"/>
  <c r="C4366" i="2"/>
  <c r="C4362" i="2"/>
  <c r="C4358" i="2"/>
  <c r="C4354" i="2"/>
  <c r="C4350" i="2"/>
  <c r="C4346" i="2"/>
  <c r="C4342" i="2"/>
  <c r="C4338" i="2"/>
  <c r="C4334" i="2"/>
  <c r="C4330" i="2"/>
  <c r="C4326" i="2"/>
  <c r="C4322" i="2"/>
  <c r="C4318" i="2"/>
  <c r="C4314" i="2"/>
  <c r="C4310" i="2"/>
  <c r="C4306" i="2"/>
  <c r="C4302" i="2"/>
  <c r="C4298" i="2"/>
  <c r="C4294" i="2"/>
  <c r="C4290" i="2"/>
  <c r="C4286" i="2"/>
  <c r="C4282" i="2"/>
  <c r="C4278" i="2"/>
  <c r="C4274" i="2"/>
  <c r="C4270" i="2"/>
  <c r="C4266" i="2"/>
  <c r="C4262" i="2"/>
  <c r="C4258" i="2"/>
  <c r="C4254" i="2"/>
  <c r="C4250" i="2"/>
  <c r="C4246" i="2"/>
  <c r="C4242" i="2"/>
  <c r="C4238" i="2"/>
  <c r="C4234" i="2"/>
  <c r="C4230" i="2"/>
  <c r="C4226" i="2"/>
  <c r="C4222" i="2"/>
  <c r="C4218" i="2"/>
  <c r="C4214" i="2"/>
  <c r="C4210" i="2"/>
  <c r="C4206" i="2"/>
  <c r="C4202" i="2"/>
  <c r="C4198" i="2"/>
  <c r="C4194" i="2"/>
  <c r="C4190" i="2"/>
  <c r="C4186" i="2"/>
  <c r="C4182" i="2"/>
  <c r="C4178" i="2"/>
  <c r="C4174" i="2"/>
  <c r="C4170" i="2"/>
  <c r="C4166" i="2"/>
  <c r="C4162" i="2"/>
  <c r="C4158" i="2"/>
  <c r="C4154" i="2"/>
  <c r="C4150" i="2"/>
  <c r="C4146" i="2"/>
  <c r="C4142" i="2"/>
  <c r="C4138" i="2"/>
  <c r="C4134" i="2"/>
  <c r="C4130" i="2"/>
  <c r="C4126" i="2"/>
  <c r="C4122" i="2"/>
  <c r="C4118" i="2"/>
  <c r="C4114" i="2"/>
  <c r="C4110" i="2"/>
  <c r="C4106" i="2"/>
  <c r="C4102" i="2"/>
  <c r="C4098" i="2"/>
  <c r="C4094" i="2"/>
  <c r="C4090" i="2"/>
  <c r="C4086" i="2"/>
  <c r="C4082" i="2"/>
  <c r="C4078" i="2"/>
  <c r="C4074" i="2"/>
  <c r="C4070" i="2"/>
  <c r="C4066" i="2"/>
  <c r="C4062" i="2"/>
  <c r="C4058" i="2"/>
  <c r="C4054" i="2"/>
  <c r="C4050" i="2"/>
  <c r="C4046" i="2"/>
  <c r="C4042" i="2"/>
  <c r="C4038" i="2"/>
  <c r="C4034" i="2"/>
  <c r="C4030" i="2"/>
  <c r="C4026" i="2"/>
  <c r="C4022" i="2"/>
  <c r="C4018" i="2"/>
  <c r="C4014" i="2"/>
  <c r="C4010" i="2"/>
  <c r="C4006" i="2"/>
  <c r="C4002" i="2"/>
  <c r="C3998" i="2"/>
  <c r="C3994" i="2"/>
  <c r="C3990" i="2"/>
  <c r="C3986" i="2"/>
  <c r="C3982" i="2"/>
  <c r="C3978" i="2"/>
  <c r="C3974" i="2"/>
  <c r="C3970" i="2"/>
  <c r="C3966" i="2"/>
  <c r="C3962" i="2"/>
  <c r="C3958" i="2"/>
  <c r="C3954" i="2"/>
  <c r="C3950" i="2"/>
  <c r="C3946" i="2"/>
  <c r="C3942" i="2"/>
  <c r="C3938" i="2"/>
  <c r="C3934" i="2"/>
  <c r="C3930" i="2"/>
  <c r="C3926" i="2"/>
  <c r="C3922" i="2"/>
  <c r="C3918" i="2"/>
  <c r="C3914" i="2"/>
  <c r="C3910" i="2"/>
  <c r="C3906" i="2"/>
  <c r="C3902" i="2"/>
  <c r="C3898" i="2"/>
  <c r="C3894" i="2"/>
  <c r="C3890" i="2"/>
  <c r="C3886" i="2"/>
  <c r="C3882" i="2"/>
  <c r="C3878" i="2"/>
  <c r="C3874" i="2"/>
  <c r="C3870" i="2"/>
  <c r="C3866" i="2"/>
  <c r="C3862" i="2"/>
  <c r="C3858" i="2"/>
  <c r="C3854" i="2"/>
  <c r="C3850" i="2"/>
  <c r="C3846" i="2"/>
  <c r="C3842" i="2"/>
  <c r="C3838" i="2"/>
  <c r="C3834" i="2"/>
  <c r="C3830" i="2"/>
  <c r="C3826" i="2"/>
  <c r="C3822" i="2"/>
  <c r="C3818" i="2"/>
  <c r="C3814" i="2"/>
  <c r="C3810" i="2"/>
  <c r="C3806" i="2"/>
  <c r="C3802" i="2"/>
  <c r="C3798" i="2"/>
  <c r="C3794" i="2"/>
  <c r="C3790" i="2"/>
  <c r="C3786" i="2"/>
  <c r="C3782" i="2"/>
  <c r="C3778" i="2"/>
  <c r="C3774" i="2"/>
  <c r="C3770" i="2"/>
  <c r="C3766" i="2"/>
  <c r="C3762" i="2"/>
  <c r="C3758" i="2"/>
  <c r="C3754" i="2"/>
  <c r="C3750" i="2"/>
  <c r="C3746" i="2"/>
  <c r="C3742" i="2"/>
  <c r="C3738" i="2"/>
  <c r="C3734" i="2"/>
  <c r="C3730" i="2"/>
  <c r="C6609" i="2"/>
  <c r="C6605" i="2"/>
  <c r="C6601" i="2"/>
  <c r="C6597" i="2"/>
  <c r="C6593" i="2"/>
  <c r="C6589" i="2"/>
  <c r="C6585" i="2"/>
  <c r="C6581" i="2"/>
  <c r="C6577" i="2"/>
  <c r="C6573" i="2"/>
  <c r="C6569" i="2"/>
  <c r="C6565" i="2"/>
  <c r="C6561" i="2"/>
  <c r="C6557" i="2"/>
  <c r="C6553" i="2"/>
  <c r="C6549" i="2"/>
  <c r="C6545" i="2"/>
  <c r="C6541" i="2"/>
  <c r="C6537" i="2"/>
  <c r="C6533" i="2"/>
  <c r="C6529" i="2"/>
  <c r="C6525" i="2"/>
  <c r="C6521" i="2"/>
  <c r="C6517" i="2"/>
  <c r="C6513" i="2"/>
  <c r="C6509" i="2"/>
  <c r="C6505" i="2"/>
  <c r="C6501" i="2"/>
  <c r="C6497" i="2"/>
  <c r="C6493" i="2"/>
  <c r="C6489" i="2"/>
  <c r="C6485" i="2"/>
  <c r="C6481" i="2"/>
  <c r="C6477" i="2"/>
  <c r="C6473" i="2"/>
  <c r="C6469" i="2"/>
  <c r="C6465" i="2"/>
  <c r="C6461" i="2"/>
  <c r="C6457" i="2"/>
  <c r="C6453" i="2"/>
  <c r="C6449" i="2"/>
  <c r="C6445" i="2"/>
  <c r="C6441" i="2"/>
  <c r="C6437" i="2"/>
  <c r="C6433" i="2"/>
  <c r="C6429" i="2"/>
  <c r="C6425" i="2"/>
  <c r="C6421" i="2"/>
  <c r="C6417" i="2"/>
  <c r="C6413" i="2"/>
  <c r="C6409" i="2"/>
  <c r="C6405" i="2"/>
  <c r="C6401" i="2"/>
  <c r="C6397" i="2"/>
  <c r="C6393" i="2"/>
  <c r="C6389" i="2"/>
  <c r="C6385" i="2"/>
  <c r="C6381" i="2"/>
  <c r="C6377" i="2"/>
  <c r="C6373" i="2"/>
  <c r="C6369" i="2"/>
  <c r="C6365" i="2"/>
  <c r="C6361" i="2"/>
  <c r="C6357" i="2"/>
  <c r="C6353" i="2"/>
  <c r="C6349" i="2"/>
  <c r="C6345" i="2"/>
  <c r="C6341" i="2"/>
  <c r="C6337" i="2"/>
  <c r="C6333" i="2"/>
  <c r="C6329" i="2"/>
  <c r="C6325" i="2"/>
  <c r="C6321" i="2"/>
  <c r="C6317" i="2"/>
  <c r="C6313" i="2"/>
  <c r="C6309" i="2"/>
  <c r="C6305" i="2"/>
  <c r="C6301" i="2"/>
  <c r="C6297" i="2"/>
  <c r="C6293" i="2"/>
  <c r="C6289" i="2"/>
  <c r="C6285" i="2"/>
  <c r="C6281" i="2"/>
  <c r="C6277" i="2"/>
  <c r="C6273" i="2"/>
  <c r="C6269" i="2"/>
  <c r="C6265" i="2"/>
  <c r="C6261" i="2"/>
  <c r="C6257" i="2"/>
  <c r="C6253" i="2"/>
  <c r="C6249" i="2"/>
  <c r="C6245" i="2"/>
  <c r="C6241" i="2"/>
  <c r="C6237" i="2"/>
  <c r="C6233" i="2"/>
  <c r="C6229" i="2"/>
  <c r="C6225" i="2"/>
  <c r="C6221" i="2"/>
  <c r="C6217" i="2"/>
  <c r="C6213" i="2"/>
  <c r="C6209" i="2"/>
  <c r="C6205" i="2"/>
  <c r="C6201" i="2"/>
  <c r="C6197" i="2"/>
  <c r="C6193" i="2"/>
  <c r="C6189" i="2"/>
  <c r="C6185" i="2"/>
  <c r="C6181" i="2"/>
  <c r="C6177" i="2"/>
  <c r="C6173" i="2"/>
  <c r="C6169" i="2"/>
  <c r="C6165" i="2"/>
  <c r="C6161" i="2"/>
  <c r="C6157" i="2"/>
  <c r="C6153" i="2"/>
  <c r="C6149" i="2"/>
  <c r="C6145" i="2"/>
  <c r="C6141" i="2"/>
  <c r="C6137" i="2"/>
  <c r="C6133" i="2"/>
  <c r="C6129" i="2"/>
  <c r="C6125" i="2"/>
  <c r="C6121" i="2"/>
  <c r="C6117" i="2"/>
  <c r="C6113" i="2"/>
  <c r="C6109" i="2"/>
  <c r="C6105" i="2"/>
  <c r="C6101" i="2"/>
  <c r="C6097" i="2"/>
  <c r="C6093" i="2"/>
  <c r="C6089" i="2"/>
  <c r="C6085" i="2"/>
  <c r="C6081" i="2"/>
  <c r="C6077" i="2"/>
  <c r="C6073" i="2"/>
  <c r="C6069" i="2"/>
  <c r="C6065" i="2"/>
  <c r="C6061" i="2"/>
  <c r="C6057" i="2"/>
  <c r="C6053" i="2"/>
  <c r="C6049" i="2"/>
  <c r="C6045" i="2"/>
  <c r="C6041" i="2"/>
  <c r="C6037" i="2"/>
  <c r="C6033" i="2"/>
  <c r="C6029" i="2"/>
  <c r="C6025" i="2"/>
  <c r="C6021" i="2"/>
  <c r="C6017" i="2"/>
  <c r="C6013" i="2"/>
  <c r="C6009" i="2"/>
  <c r="C6005" i="2"/>
  <c r="C6001" i="2"/>
  <c r="C5997" i="2"/>
  <c r="C5993" i="2"/>
  <c r="C5989" i="2"/>
  <c r="C5985" i="2"/>
  <c r="C5981" i="2"/>
  <c r="C5977" i="2"/>
  <c r="C5973" i="2"/>
  <c r="C5969" i="2"/>
  <c r="C5965" i="2"/>
  <c r="C5961" i="2"/>
  <c r="C5957" i="2"/>
  <c r="C5953" i="2"/>
  <c r="C5949" i="2"/>
  <c r="C5945" i="2"/>
  <c r="C5941" i="2"/>
  <c r="C5937" i="2"/>
  <c r="C5933" i="2"/>
  <c r="C5929" i="2"/>
  <c r="C5925" i="2"/>
  <c r="C5921" i="2"/>
  <c r="C5917" i="2"/>
  <c r="C5913" i="2"/>
  <c r="C5909" i="2"/>
  <c r="C5905" i="2"/>
  <c r="C5901" i="2"/>
  <c r="C5897" i="2"/>
  <c r="C5893" i="2"/>
  <c r="C5889" i="2"/>
  <c r="C5885" i="2"/>
  <c r="C5881" i="2"/>
  <c r="C5877" i="2"/>
  <c r="C5873" i="2"/>
  <c r="C5869" i="2"/>
  <c r="C5865" i="2"/>
  <c r="C5861" i="2"/>
  <c r="C5857" i="2"/>
  <c r="C5853" i="2"/>
  <c r="C5849" i="2"/>
  <c r="C5845" i="2"/>
  <c r="C5841" i="2"/>
  <c r="C5837" i="2"/>
  <c r="C5833" i="2"/>
  <c r="C5829" i="2"/>
  <c r="C5825" i="2"/>
  <c r="C5821" i="2"/>
  <c r="C5817" i="2"/>
  <c r="C5813" i="2"/>
  <c r="C5809" i="2"/>
  <c r="C5805" i="2"/>
  <c r="C5801" i="2"/>
  <c r="C5797" i="2"/>
  <c r="C5793" i="2"/>
  <c r="C5789" i="2"/>
  <c r="C5785" i="2"/>
  <c r="C5781" i="2"/>
  <c r="C5777" i="2"/>
  <c r="C5773" i="2"/>
  <c r="C5769" i="2"/>
  <c r="C5765" i="2"/>
  <c r="C5761" i="2"/>
  <c r="C5757" i="2"/>
  <c r="C5753" i="2"/>
  <c r="C5749" i="2"/>
  <c r="C5745" i="2"/>
  <c r="C5741" i="2"/>
  <c r="C5737" i="2"/>
  <c r="C5733" i="2"/>
  <c r="C5729" i="2"/>
  <c r="C5725" i="2"/>
  <c r="C5721" i="2"/>
  <c r="C5717" i="2"/>
  <c r="C5713" i="2"/>
  <c r="C5709" i="2"/>
  <c r="C5705" i="2"/>
  <c r="C5701" i="2"/>
  <c r="C5697" i="2"/>
  <c r="C6608" i="2"/>
  <c r="C6604" i="2"/>
  <c r="C6600" i="2"/>
  <c r="C6596" i="2"/>
  <c r="C6592" i="2"/>
  <c r="C6588" i="2"/>
  <c r="C6584" i="2"/>
  <c r="C6580" i="2"/>
  <c r="C6576" i="2"/>
  <c r="C6572" i="2"/>
  <c r="C6568" i="2"/>
  <c r="C6564" i="2"/>
  <c r="C6560" i="2"/>
  <c r="C6556" i="2"/>
  <c r="C6552" i="2"/>
  <c r="C6548" i="2"/>
  <c r="C6544" i="2"/>
  <c r="C6540" i="2"/>
  <c r="C6536" i="2"/>
  <c r="C6532" i="2"/>
  <c r="C6528" i="2"/>
  <c r="C6524" i="2"/>
  <c r="C6520" i="2"/>
  <c r="C6516" i="2"/>
  <c r="C6512" i="2"/>
  <c r="C6508" i="2"/>
  <c r="C6504" i="2"/>
  <c r="C6500" i="2"/>
  <c r="C6496" i="2"/>
  <c r="C6492" i="2"/>
  <c r="C6488" i="2"/>
  <c r="C6484" i="2"/>
  <c r="C6480" i="2"/>
  <c r="C6476" i="2"/>
  <c r="C6472" i="2"/>
  <c r="C6468" i="2"/>
  <c r="C6464" i="2"/>
  <c r="C6460" i="2"/>
  <c r="C6456" i="2"/>
  <c r="C6452" i="2"/>
  <c r="C6448" i="2"/>
  <c r="C6444" i="2"/>
  <c r="C6440" i="2"/>
  <c r="C6436" i="2"/>
  <c r="C6432" i="2"/>
  <c r="C6428" i="2"/>
  <c r="C6424" i="2"/>
  <c r="C6420" i="2"/>
  <c r="C6416" i="2"/>
  <c r="C6412" i="2"/>
  <c r="C6408" i="2"/>
  <c r="C6404" i="2"/>
  <c r="C6400" i="2"/>
  <c r="C6396" i="2"/>
  <c r="C6392" i="2"/>
  <c r="C6388" i="2"/>
  <c r="C6384" i="2"/>
  <c r="C6380" i="2"/>
  <c r="C6376" i="2"/>
  <c r="C6372" i="2"/>
  <c r="C6368" i="2"/>
  <c r="C6364" i="2"/>
  <c r="C6360" i="2"/>
  <c r="C6356" i="2"/>
  <c r="C6352" i="2"/>
  <c r="C6348" i="2"/>
  <c r="C6344" i="2"/>
  <c r="C6340" i="2"/>
  <c r="C6336" i="2"/>
  <c r="C6332" i="2"/>
  <c r="C6328" i="2"/>
  <c r="C6324" i="2"/>
  <c r="C6320" i="2"/>
  <c r="C6316" i="2"/>
  <c r="C6312" i="2"/>
  <c r="C6308" i="2"/>
  <c r="C6304" i="2"/>
  <c r="C6300" i="2"/>
  <c r="C6296" i="2"/>
  <c r="C6292" i="2"/>
  <c r="C6288" i="2"/>
  <c r="C6284" i="2"/>
  <c r="C6280" i="2"/>
  <c r="C6276" i="2"/>
  <c r="C6272" i="2"/>
  <c r="C6268" i="2"/>
  <c r="C6264" i="2"/>
  <c r="C6260" i="2"/>
  <c r="C6256" i="2"/>
  <c r="C6252" i="2"/>
  <c r="C6248" i="2"/>
  <c r="C6244" i="2"/>
  <c r="C6240" i="2"/>
  <c r="C6236" i="2"/>
  <c r="C6232" i="2"/>
  <c r="C6228" i="2"/>
  <c r="C6224" i="2"/>
  <c r="C6220" i="2"/>
  <c r="C6216" i="2"/>
  <c r="C6212" i="2"/>
  <c r="C6208" i="2"/>
  <c r="C6204" i="2"/>
  <c r="C6200" i="2"/>
  <c r="C6196" i="2"/>
  <c r="C6192" i="2"/>
  <c r="C6188" i="2"/>
  <c r="C6184" i="2"/>
  <c r="C6180" i="2"/>
  <c r="C6176" i="2"/>
  <c r="C6172" i="2"/>
  <c r="C6168" i="2"/>
  <c r="C6164" i="2"/>
  <c r="C6160" i="2"/>
  <c r="C6156" i="2"/>
  <c r="C6152" i="2"/>
  <c r="C6148" i="2"/>
  <c r="C6144" i="2"/>
  <c r="C6140" i="2"/>
  <c r="C6136" i="2"/>
  <c r="C6132" i="2"/>
  <c r="C6128" i="2"/>
  <c r="C6124" i="2"/>
  <c r="C6120" i="2"/>
  <c r="C6116" i="2"/>
  <c r="C6112" i="2"/>
  <c r="C6108" i="2"/>
  <c r="C6104" i="2"/>
  <c r="C6100" i="2"/>
  <c r="C6096" i="2"/>
  <c r="C6092" i="2"/>
  <c r="C6088" i="2"/>
  <c r="C6084" i="2"/>
  <c r="C6080" i="2"/>
  <c r="C6076" i="2"/>
  <c r="C6072" i="2"/>
  <c r="C6068" i="2"/>
  <c r="C6064" i="2"/>
  <c r="C6060" i="2"/>
  <c r="C6056" i="2"/>
  <c r="C6052" i="2"/>
  <c r="C6048" i="2"/>
  <c r="C6044" i="2"/>
  <c r="C6040" i="2"/>
  <c r="C6036" i="2"/>
  <c r="C6032" i="2"/>
  <c r="C6028" i="2"/>
  <c r="C6024" i="2"/>
  <c r="C6020" i="2"/>
  <c r="C6016" i="2"/>
  <c r="C6012" i="2"/>
  <c r="C6008" i="2"/>
  <c r="C6004" i="2"/>
  <c r="C6000" i="2"/>
  <c r="C5996" i="2"/>
  <c r="C5992" i="2"/>
  <c r="C5988" i="2"/>
  <c r="C5984" i="2"/>
  <c r="C5980" i="2"/>
  <c r="C5976" i="2"/>
  <c r="C5972" i="2"/>
  <c r="C5968" i="2"/>
  <c r="C5964" i="2"/>
  <c r="C5960" i="2"/>
  <c r="C5956" i="2"/>
  <c r="C5952" i="2"/>
  <c r="C5948" i="2"/>
  <c r="C5944" i="2"/>
  <c r="C5940" i="2"/>
  <c r="C5936" i="2"/>
  <c r="C5932" i="2"/>
  <c r="C5928" i="2"/>
  <c r="C5924" i="2"/>
  <c r="C5920" i="2"/>
  <c r="C5916" i="2"/>
  <c r="C5912" i="2"/>
  <c r="C5908" i="2"/>
  <c r="C5904" i="2"/>
  <c r="C5900" i="2"/>
  <c r="C5896" i="2"/>
  <c r="C5892" i="2"/>
  <c r="C5888" i="2"/>
  <c r="C5884" i="2"/>
  <c r="C5880" i="2"/>
  <c r="C5876" i="2"/>
  <c r="C5872" i="2"/>
  <c r="C5868" i="2"/>
  <c r="C5864" i="2"/>
  <c r="C5860" i="2"/>
  <c r="C5856" i="2"/>
  <c r="C5852" i="2"/>
  <c r="C5848" i="2"/>
  <c r="C5844" i="2"/>
  <c r="C5840" i="2"/>
  <c r="C5836" i="2"/>
  <c r="C5832" i="2"/>
  <c r="C5828" i="2"/>
  <c r="C5824" i="2"/>
  <c r="C5820" i="2"/>
  <c r="C5816" i="2"/>
  <c r="C5812" i="2"/>
  <c r="C5808" i="2"/>
  <c r="C5804" i="2"/>
  <c r="C5800" i="2"/>
  <c r="C5796" i="2"/>
  <c r="C5792" i="2"/>
  <c r="C5788" i="2"/>
  <c r="C5784" i="2"/>
  <c r="C5780" i="2"/>
  <c r="C5776" i="2"/>
  <c r="C5772" i="2"/>
  <c r="C5768" i="2"/>
  <c r="C5764" i="2"/>
  <c r="C5760" i="2"/>
  <c r="C5756" i="2"/>
  <c r="C5752" i="2"/>
  <c r="C5748" i="2"/>
  <c r="C5744" i="2"/>
  <c r="C5740" i="2"/>
  <c r="C5736" i="2"/>
  <c r="C5732" i="2"/>
  <c r="C5728" i="2"/>
  <c r="C5724" i="2"/>
  <c r="C5720" i="2"/>
  <c r="C5716" i="2"/>
  <c r="C5712" i="2"/>
  <c r="C5708" i="2"/>
  <c r="C5704" i="2"/>
  <c r="C5700" i="2"/>
  <c r="C5696" i="2"/>
  <c r="C5692" i="2"/>
  <c r="C5688" i="2"/>
  <c r="C5684" i="2"/>
  <c r="C5680" i="2"/>
  <c r="C5676" i="2"/>
  <c r="C5672" i="2"/>
  <c r="C5668" i="2"/>
  <c r="C5664" i="2"/>
  <c r="C5660" i="2"/>
  <c r="C5656" i="2"/>
  <c r="C5652" i="2"/>
  <c r="C5648" i="2"/>
  <c r="C5644" i="2"/>
  <c r="C5640" i="2"/>
  <c r="C5636" i="2"/>
  <c r="C5632" i="2"/>
  <c r="C5628" i="2"/>
  <c r="C5624" i="2"/>
  <c r="C5620" i="2"/>
  <c r="C5616" i="2"/>
  <c r="C5612" i="2"/>
  <c r="C5608" i="2"/>
  <c r="C5604" i="2"/>
  <c r="C5600" i="2"/>
  <c r="C5596" i="2"/>
  <c r="C5592" i="2"/>
  <c r="C5588" i="2"/>
  <c r="C5584" i="2"/>
  <c r="C5580" i="2"/>
  <c r="C5576" i="2"/>
  <c r="C5572" i="2"/>
  <c r="C5568" i="2"/>
  <c r="C5564" i="2"/>
  <c r="C5560" i="2"/>
  <c r="C5556" i="2"/>
  <c r="C5552" i="2"/>
  <c r="C5548" i="2"/>
  <c r="C5544" i="2"/>
  <c r="C5540" i="2"/>
  <c r="C5536" i="2"/>
  <c r="C5532" i="2"/>
  <c r="C5528" i="2"/>
  <c r="C5524" i="2"/>
  <c r="C5520" i="2"/>
  <c r="C5516" i="2"/>
  <c r="C5512" i="2"/>
  <c r="C5508" i="2"/>
  <c r="C5504" i="2"/>
  <c r="C5500" i="2"/>
  <c r="C5496" i="2"/>
  <c r="C5492" i="2"/>
  <c r="C5488" i="2"/>
  <c r="C5484" i="2"/>
  <c r="C5480" i="2"/>
  <c r="C5476" i="2"/>
  <c r="C5472" i="2"/>
  <c r="C5468" i="2"/>
  <c r="C5464" i="2"/>
  <c r="C5460" i="2"/>
  <c r="C5456" i="2"/>
  <c r="C5452" i="2"/>
  <c r="C5448" i="2"/>
  <c r="C5444" i="2"/>
  <c r="C5440" i="2"/>
  <c r="C5436" i="2"/>
  <c r="C5432" i="2"/>
  <c r="C5428" i="2"/>
  <c r="C5424" i="2"/>
  <c r="C5420" i="2"/>
  <c r="C5416" i="2"/>
  <c r="C5412" i="2"/>
  <c r="C5408" i="2"/>
  <c r="C5404" i="2"/>
  <c r="C5400" i="2"/>
  <c r="C5396" i="2"/>
  <c r="C5392" i="2"/>
  <c r="C5388" i="2"/>
  <c r="C5384" i="2"/>
  <c r="C5380" i="2"/>
  <c r="C5376" i="2"/>
  <c r="C5372" i="2"/>
  <c r="C5368" i="2"/>
  <c r="C5364" i="2"/>
  <c r="C5360" i="2"/>
  <c r="C5356" i="2"/>
  <c r="C5352" i="2"/>
  <c r="C5348" i="2"/>
  <c r="C5344" i="2"/>
  <c r="C5340" i="2"/>
  <c r="C5336" i="2"/>
  <c r="C5332" i="2"/>
  <c r="C5328" i="2"/>
  <c r="C5324" i="2"/>
  <c r="C5320" i="2"/>
  <c r="C5316" i="2"/>
  <c r="C5312" i="2"/>
  <c r="C5308" i="2"/>
  <c r="C5304" i="2"/>
  <c r="C5300" i="2"/>
  <c r="C5296" i="2"/>
  <c r="C5292" i="2"/>
  <c r="C5288" i="2"/>
  <c r="C5284" i="2"/>
  <c r="C5280" i="2"/>
  <c r="C5276" i="2"/>
  <c r="C5272" i="2"/>
  <c r="C5268" i="2"/>
  <c r="C5264" i="2"/>
  <c r="C5260" i="2"/>
  <c r="C5256" i="2"/>
  <c r="C5252" i="2"/>
  <c r="C5248" i="2"/>
  <c r="C5244" i="2"/>
  <c r="C5240" i="2"/>
  <c r="C5236" i="2"/>
  <c r="C5232" i="2"/>
  <c r="C5228" i="2"/>
  <c r="C5224" i="2"/>
  <c r="C5220" i="2"/>
  <c r="C5216" i="2"/>
  <c r="C5212" i="2"/>
  <c r="C5208" i="2"/>
  <c r="C5204" i="2"/>
  <c r="C5200" i="2"/>
  <c r="C5196" i="2"/>
  <c r="C5192" i="2"/>
  <c r="C5188" i="2"/>
  <c r="C5184" i="2"/>
  <c r="C5180" i="2"/>
  <c r="C5176" i="2"/>
  <c r="C5172" i="2"/>
  <c r="C5168" i="2"/>
  <c r="C5164" i="2"/>
  <c r="C5160" i="2"/>
  <c r="C5156" i="2"/>
  <c r="C5152" i="2"/>
  <c r="C5148" i="2"/>
  <c r="C5144" i="2"/>
  <c r="C5140" i="2"/>
  <c r="C5136" i="2"/>
  <c r="C5132" i="2"/>
  <c r="C5128" i="2"/>
  <c r="C5124" i="2"/>
  <c r="C5120" i="2"/>
  <c r="C5116" i="2"/>
  <c r="C5112" i="2"/>
  <c r="C5108" i="2"/>
  <c r="C5104" i="2"/>
  <c r="C5100" i="2"/>
  <c r="C5096" i="2"/>
  <c r="C5092" i="2"/>
  <c r="C5088" i="2"/>
  <c r="C5084" i="2"/>
  <c r="C5080" i="2"/>
  <c r="C5076" i="2"/>
  <c r="C5072" i="2"/>
  <c r="C5068" i="2"/>
  <c r="C5064" i="2"/>
  <c r="C5060" i="2"/>
  <c r="C5056" i="2"/>
  <c r="C5052" i="2"/>
  <c r="C5048" i="2"/>
  <c r="C5044" i="2"/>
  <c r="C5040" i="2"/>
  <c r="C5036" i="2"/>
  <c r="C5032" i="2"/>
  <c r="C5028" i="2"/>
  <c r="C5024" i="2"/>
  <c r="C5020" i="2"/>
  <c r="C5016" i="2"/>
  <c r="C5012" i="2"/>
  <c r="C5008" i="2"/>
  <c r="C5004" i="2"/>
  <c r="C5000" i="2"/>
  <c r="C4996" i="2"/>
  <c r="C4992" i="2"/>
  <c r="C4988" i="2"/>
  <c r="C4984" i="2"/>
  <c r="C4980" i="2"/>
  <c r="C4976" i="2"/>
  <c r="C4972" i="2"/>
  <c r="C4968" i="2"/>
  <c r="C4964" i="2"/>
  <c r="C4960" i="2"/>
  <c r="C4956" i="2"/>
  <c r="C4952" i="2"/>
  <c r="C4948" i="2"/>
  <c r="C4944" i="2"/>
  <c r="C4940" i="2"/>
  <c r="C4936" i="2"/>
  <c r="C4932" i="2"/>
  <c r="C4928" i="2"/>
  <c r="C4924" i="2"/>
  <c r="C4920" i="2"/>
  <c r="C4916" i="2"/>
  <c r="C4912" i="2"/>
  <c r="C4908" i="2"/>
  <c r="C4904" i="2"/>
  <c r="C4900" i="2"/>
  <c r="C4896" i="2"/>
  <c r="C4892" i="2"/>
  <c r="C4888" i="2"/>
  <c r="C4884" i="2"/>
  <c r="C4880" i="2"/>
  <c r="C4876" i="2"/>
  <c r="C4872" i="2"/>
  <c r="C4868" i="2"/>
  <c r="C4864" i="2"/>
  <c r="C4860" i="2"/>
  <c r="C4856" i="2"/>
  <c r="C4852" i="2"/>
  <c r="C4848" i="2"/>
  <c r="C4844" i="2"/>
  <c r="C4840" i="2"/>
  <c r="C4836" i="2"/>
  <c r="C4832" i="2"/>
  <c r="C4828" i="2"/>
  <c r="C4824" i="2"/>
  <c r="C4820" i="2"/>
  <c r="C4816" i="2"/>
  <c r="C4812" i="2"/>
  <c r="C4808" i="2"/>
  <c r="C4804" i="2"/>
  <c r="C4800" i="2"/>
  <c r="C4796" i="2"/>
  <c r="C4792" i="2"/>
  <c r="C4788" i="2"/>
  <c r="C4784" i="2"/>
  <c r="C4780" i="2"/>
  <c r="C4776" i="2"/>
  <c r="C4772" i="2"/>
  <c r="C4768" i="2"/>
  <c r="C4764" i="2"/>
  <c r="C4760" i="2"/>
  <c r="C4756" i="2"/>
  <c r="C4752" i="2"/>
  <c r="C4748" i="2"/>
  <c r="C4744" i="2"/>
  <c r="C4740" i="2"/>
  <c r="C4736" i="2"/>
  <c r="C4732" i="2"/>
  <c r="C4728" i="2"/>
  <c r="C4724" i="2"/>
  <c r="C4720" i="2"/>
  <c r="C4716" i="2"/>
  <c r="C4712" i="2"/>
  <c r="C4708" i="2"/>
  <c r="C4704" i="2"/>
  <c r="C4700" i="2"/>
  <c r="C4696" i="2"/>
  <c r="C4692" i="2"/>
  <c r="C4688" i="2"/>
  <c r="C4684" i="2"/>
  <c r="C4680" i="2"/>
  <c r="C4676" i="2"/>
  <c r="C4672" i="2"/>
  <c r="C4668" i="2"/>
  <c r="C4664" i="2"/>
  <c r="C4660" i="2"/>
  <c r="C4656" i="2"/>
  <c r="C4652" i="2"/>
  <c r="C4648" i="2"/>
  <c r="C4644" i="2"/>
  <c r="C4640" i="2"/>
  <c r="C4636" i="2"/>
  <c r="C4632" i="2"/>
  <c r="C4628" i="2"/>
  <c r="C4624" i="2"/>
  <c r="C4620" i="2"/>
  <c r="C4616" i="2"/>
  <c r="C4612" i="2"/>
  <c r="C4608" i="2"/>
  <c r="C4604" i="2"/>
  <c r="C4600" i="2"/>
  <c r="C4596" i="2"/>
  <c r="C4592" i="2"/>
  <c r="C4588" i="2"/>
  <c r="C4584" i="2"/>
  <c r="C4580" i="2"/>
  <c r="C4576" i="2"/>
  <c r="C4572" i="2"/>
  <c r="C4568" i="2"/>
  <c r="C4564" i="2"/>
  <c r="C4560" i="2"/>
  <c r="C4556" i="2"/>
  <c r="C4552" i="2"/>
  <c r="C4548" i="2"/>
  <c r="C4544" i="2"/>
  <c r="C4540" i="2"/>
  <c r="C4536" i="2"/>
  <c r="C4532" i="2"/>
  <c r="C4528" i="2"/>
  <c r="C4524" i="2"/>
  <c r="C4520" i="2"/>
  <c r="C4516" i="2"/>
  <c r="C4512" i="2"/>
  <c r="C4508" i="2"/>
  <c r="C4504" i="2"/>
  <c r="C4500" i="2"/>
  <c r="C4496" i="2"/>
  <c r="C4492" i="2"/>
  <c r="C4488" i="2"/>
  <c r="C4484" i="2"/>
  <c r="C4480" i="2"/>
  <c r="C4476" i="2"/>
  <c r="C4472" i="2"/>
  <c r="C4468" i="2"/>
  <c r="C4464" i="2"/>
  <c r="C4460" i="2"/>
  <c r="C4456" i="2"/>
  <c r="C4452" i="2"/>
  <c r="C4448" i="2"/>
  <c r="C4444" i="2"/>
  <c r="C4440" i="2"/>
  <c r="C4436" i="2"/>
  <c r="C4432" i="2"/>
  <c r="C4428" i="2"/>
  <c r="C4424" i="2"/>
  <c r="C4420" i="2"/>
  <c r="C4416" i="2"/>
  <c r="C4412" i="2"/>
  <c r="C4408" i="2"/>
  <c r="C4404" i="2"/>
  <c r="C4400" i="2"/>
  <c r="C4396" i="2"/>
  <c r="C4392" i="2"/>
  <c r="C4388" i="2"/>
  <c r="C4384" i="2"/>
  <c r="C4380" i="2"/>
  <c r="C4376" i="2"/>
  <c r="C4372" i="2"/>
  <c r="C4368" i="2"/>
  <c r="C4364" i="2"/>
  <c r="C4360" i="2"/>
  <c r="C4356" i="2"/>
  <c r="C4352" i="2"/>
  <c r="C4348" i="2"/>
  <c r="C4344" i="2"/>
  <c r="C4340" i="2"/>
  <c r="C4336" i="2"/>
  <c r="C4332" i="2"/>
  <c r="C4328" i="2"/>
  <c r="C4324" i="2"/>
  <c r="C4320" i="2"/>
  <c r="C4316" i="2"/>
  <c r="C4312" i="2"/>
  <c r="C4308" i="2"/>
  <c r="C4304" i="2"/>
  <c r="C4300" i="2"/>
  <c r="C4296" i="2"/>
  <c r="C4292" i="2"/>
  <c r="C4288" i="2"/>
  <c r="C4284" i="2"/>
  <c r="C4280" i="2"/>
  <c r="C4276" i="2"/>
  <c r="C4272" i="2"/>
  <c r="C4268" i="2"/>
  <c r="C4264" i="2"/>
  <c r="C4260" i="2"/>
  <c r="C4256" i="2"/>
  <c r="C4252" i="2"/>
  <c r="C4248" i="2"/>
  <c r="C4244" i="2"/>
  <c r="C4240" i="2"/>
  <c r="C4236" i="2"/>
  <c r="C4232" i="2"/>
  <c r="C4228" i="2"/>
  <c r="C4224" i="2"/>
  <c r="C4220" i="2"/>
  <c r="C4216" i="2"/>
  <c r="C4212" i="2"/>
  <c r="C4208" i="2"/>
  <c r="C4204" i="2"/>
  <c r="C4200" i="2"/>
  <c r="C4196" i="2"/>
  <c r="C4192" i="2"/>
  <c r="C4188" i="2"/>
  <c r="C4184" i="2"/>
  <c r="C4180" i="2"/>
  <c r="C4176" i="2"/>
  <c r="C4172" i="2"/>
  <c r="C4168" i="2"/>
  <c r="C4164" i="2"/>
  <c r="C4160" i="2"/>
  <c r="C4156" i="2"/>
  <c r="C4152" i="2"/>
  <c r="C4148" i="2"/>
  <c r="C4144" i="2"/>
  <c r="C4140" i="2"/>
  <c r="C4136" i="2"/>
  <c r="C4132" i="2"/>
  <c r="C4128" i="2"/>
  <c r="C4124" i="2"/>
  <c r="C4120" i="2"/>
  <c r="C4116" i="2"/>
  <c r="C4112" i="2"/>
  <c r="C4108" i="2"/>
  <c r="C4104" i="2"/>
  <c r="C4100" i="2"/>
  <c r="C4096" i="2"/>
  <c r="C4092" i="2"/>
  <c r="C4088" i="2"/>
  <c r="C4084" i="2"/>
  <c r="C4080" i="2"/>
  <c r="C4076" i="2"/>
  <c r="C4072" i="2"/>
  <c r="C4068" i="2"/>
  <c r="C4064" i="2"/>
  <c r="C4060" i="2"/>
  <c r="C4056" i="2"/>
  <c r="C4052" i="2"/>
  <c r="C4048" i="2"/>
  <c r="C4044" i="2"/>
  <c r="C4040" i="2"/>
  <c r="C4036" i="2"/>
  <c r="C4032" i="2"/>
  <c r="C4028" i="2"/>
  <c r="C4024" i="2"/>
  <c r="C4020" i="2"/>
  <c r="C4016" i="2"/>
  <c r="C4012" i="2"/>
  <c r="C4008" i="2"/>
  <c r="C4004" i="2"/>
  <c r="C4000" i="2"/>
  <c r="C3996" i="2"/>
  <c r="C3992" i="2"/>
  <c r="C3988" i="2"/>
  <c r="C3984" i="2"/>
  <c r="C3980" i="2"/>
  <c r="C3976" i="2"/>
  <c r="C3972" i="2"/>
  <c r="C3968" i="2"/>
  <c r="C3964" i="2"/>
  <c r="C3960" i="2"/>
  <c r="C3956" i="2"/>
  <c r="C3952" i="2"/>
  <c r="C3948" i="2"/>
  <c r="C3944" i="2"/>
  <c r="C3940" i="2"/>
  <c r="C3936" i="2"/>
  <c r="C3932" i="2"/>
  <c r="C3928" i="2"/>
  <c r="C3924" i="2"/>
  <c r="C3920" i="2"/>
  <c r="C3916" i="2"/>
  <c r="C3912" i="2"/>
  <c r="C3908" i="2"/>
  <c r="C3904" i="2"/>
  <c r="C3900" i="2"/>
  <c r="C3896" i="2"/>
  <c r="C3892" i="2"/>
  <c r="C3888" i="2"/>
  <c r="C3884" i="2"/>
  <c r="C3880" i="2"/>
  <c r="C3876" i="2"/>
  <c r="C3872" i="2"/>
  <c r="C3868" i="2"/>
  <c r="C3864" i="2"/>
  <c r="C3860" i="2"/>
  <c r="C3856" i="2"/>
  <c r="C3852" i="2"/>
  <c r="C3848" i="2"/>
  <c r="C3844" i="2"/>
  <c r="C3840" i="2"/>
  <c r="C3836" i="2"/>
  <c r="C3832" i="2"/>
  <c r="C3828" i="2"/>
  <c r="C3824" i="2"/>
  <c r="C3820" i="2"/>
  <c r="C3816" i="2"/>
  <c r="C3812" i="2"/>
  <c r="C3808" i="2"/>
  <c r="C3804" i="2"/>
  <c r="C3800" i="2"/>
  <c r="C3796" i="2"/>
  <c r="C3792" i="2"/>
  <c r="C3788" i="2"/>
  <c r="C3784" i="2"/>
  <c r="C3780" i="2"/>
  <c r="C3776" i="2"/>
  <c r="C3772" i="2"/>
  <c r="C3768" i="2"/>
  <c r="C3764" i="2"/>
  <c r="C4167" i="2"/>
  <c r="C4143" i="2"/>
  <c r="C4181" i="2"/>
  <c r="C4157" i="2"/>
  <c r="C4133" i="2"/>
  <c r="C4109" i="2"/>
  <c r="C4085" i="2"/>
  <c r="C4061" i="2"/>
  <c r="C4037" i="2"/>
  <c r="C4013" i="2"/>
  <c r="C3989" i="2"/>
  <c r="C3965" i="2"/>
  <c r="C3941" i="2"/>
  <c r="C3917" i="2"/>
  <c r="C5689" i="2"/>
  <c r="C5673" i="2"/>
  <c r="C5657" i="2"/>
  <c r="C5641" i="2"/>
  <c r="C5625" i="2"/>
  <c r="C5609" i="2"/>
  <c r="C5593" i="2"/>
  <c r="C5577" i="2"/>
  <c r="C5561" i="2"/>
  <c r="C5545" i="2"/>
  <c r="C5529" i="2"/>
  <c r="C5513" i="2"/>
  <c r="C5497" i="2"/>
  <c r="C5481" i="2"/>
  <c r="C5465" i="2"/>
  <c r="C5449" i="2"/>
  <c r="C5433" i="2"/>
  <c r="C5417" i="2"/>
  <c r="C5401" i="2"/>
  <c r="C5385" i="2"/>
  <c r="C5369" i="2"/>
  <c r="C5353" i="2"/>
  <c r="C5337" i="2"/>
  <c r="C5321" i="2"/>
  <c r="C5305" i="2"/>
  <c r="C5289" i="2"/>
  <c r="C5273" i="2"/>
  <c r="C5257" i="2"/>
  <c r="C5241" i="2"/>
  <c r="C5225" i="2"/>
  <c r="C5209" i="2"/>
  <c r="C5193" i="2"/>
  <c r="C5177" i="2"/>
  <c r="C5161" i="2"/>
  <c r="C5145" i="2"/>
  <c r="C5129" i="2"/>
  <c r="C5113" i="2"/>
  <c r="C5097" i="2"/>
  <c r="C5081" i="2"/>
  <c r="C5065" i="2"/>
  <c r="C5049" i="2"/>
  <c r="C5033" i="2"/>
  <c r="C5017" i="2"/>
  <c r="C5001" i="2"/>
  <c r="C4985" i="2"/>
  <c r="C4969" i="2"/>
  <c r="C4953" i="2"/>
  <c r="C4937" i="2"/>
  <c r="C4921" i="2"/>
  <c r="C4905" i="2"/>
  <c r="C4889" i="2"/>
  <c r="C4873" i="2"/>
  <c r="C4857" i="2"/>
  <c r="C4841" i="2"/>
  <c r="C4825" i="2"/>
  <c r="C4809" i="2"/>
  <c r="C4793" i="2"/>
  <c r="C4777" i="2"/>
  <c r="C4761" i="2"/>
  <c r="C4745" i="2"/>
  <c r="C4729" i="2"/>
  <c r="C4713" i="2"/>
  <c r="C4697" i="2"/>
  <c r="C4681" i="2"/>
  <c r="C4665" i="2"/>
  <c r="C4649" i="2"/>
  <c r="C4633" i="2"/>
  <c r="C4617" i="2"/>
  <c r="C4601" i="2"/>
  <c r="C4585" i="2"/>
  <c r="C4569" i="2"/>
  <c r="C4553" i="2"/>
  <c r="C4537" i="2"/>
  <c r="C4521" i="2"/>
  <c r="C4505" i="2"/>
  <c r="C4489" i="2"/>
  <c r="C4473" i="2"/>
  <c r="C4457" i="2"/>
  <c r="C4441" i="2"/>
  <c r="C4425" i="2"/>
  <c r="C4409" i="2"/>
  <c r="C4393" i="2"/>
  <c r="C4377" i="2"/>
  <c r="C4361" i="2"/>
  <c r="C4345" i="2"/>
  <c r="C4329" i="2"/>
  <c r="C4313" i="2"/>
  <c r="C4297" i="2"/>
  <c r="C4281" i="2"/>
  <c r="C4265" i="2"/>
  <c r="C4249" i="2"/>
  <c r="C4233" i="2"/>
  <c r="C4217" i="2"/>
  <c r="C4201" i="2"/>
  <c r="C4171" i="2"/>
  <c r="C4147" i="2"/>
  <c r="C4123" i="2"/>
  <c r="C4099" i="2"/>
  <c r="C4075" i="2"/>
  <c r="C4051" i="2"/>
  <c r="C4027" i="2"/>
  <c r="C4003" i="2"/>
  <c r="C3979" i="2"/>
  <c r="C3955" i="2"/>
  <c r="C3931" i="2"/>
  <c r="C3907" i="2"/>
  <c r="C3883" i="2"/>
  <c r="C3859" i="2"/>
  <c r="C3835" i="2"/>
  <c r="C3811" i="2"/>
  <c r="C3787" i="2"/>
  <c r="C3763" i="2"/>
  <c r="C3741" i="2"/>
  <c r="C3728" i="2"/>
  <c r="C3724" i="2"/>
  <c r="C3720" i="2"/>
  <c r="C3716" i="2"/>
  <c r="C3712" i="2"/>
  <c r="C3708" i="2"/>
  <c r="C3704" i="2"/>
  <c r="C3700" i="2"/>
  <c r="C3696" i="2"/>
  <c r="C3692" i="2"/>
  <c r="C3688" i="2"/>
  <c r="C3684" i="2"/>
  <c r="C3680" i="2"/>
  <c r="C3676" i="2"/>
  <c r="C3672" i="2"/>
  <c r="C3668" i="2"/>
  <c r="C3664" i="2"/>
  <c r="C3660" i="2"/>
  <c r="C3656" i="2"/>
  <c r="C3652" i="2"/>
  <c r="C3648" i="2"/>
  <c r="C3644" i="2"/>
  <c r="C3640" i="2"/>
  <c r="C3636" i="2"/>
  <c r="C3632" i="2"/>
  <c r="C3628" i="2"/>
  <c r="C3624" i="2"/>
  <c r="C3620" i="2"/>
  <c r="C3616" i="2"/>
  <c r="C3612" i="2"/>
  <c r="C3608" i="2"/>
  <c r="C3604" i="2"/>
  <c r="C3600" i="2"/>
  <c r="C3596" i="2"/>
  <c r="C3592" i="2"/>
  <c r="C3588" i="2"/>
  <c r="C3584" i="2"/>
  <c r="C3580" i="2"/>
  <c r="C3576" i="2"/>
  <c r="C3572" i="2"/>
  <c r="C3568" i="2"/>
  <c r="C3564" i="2"/>
  <c r="C3560" i="2"/>
  <c r="C3556" i="2"/>
  <c r="C3552" i="2"/>
  <c r="C3548" i="2"/>
  <c r="C3544" i="2"/>
  <c r="C3540" i="2"/>
  <c r="C3536" i="2"/>
  <c r="C3532" i="2"/>
  <c r="C3528" i="2"/>
  <c r="C3524" i="2"/>
  <c r="C3520" i="2"/>
  <c r="C3516" i="2"/>
  <c r="C3512" i="2"/>
  <c r="C3508" i="2"/>
  <c r="C3504" i="2"/>
  <c r="C3500" i="2"/>
  <c r="C3496" i="2"/>
  <c r="C3492" i="2"/>
  <c r="C3488" i="2"/>
  <c r="C3484" i="2"/>
  <c r="C3480" i="2"/>
  <c r="C3476" i="2"/>
  <c r="C3472" i="2"/>
  <c r="C3468" i="2"/>
  <c r="C3464" i="2"/>
  <c r="C3460" i="2"/>
  <c r="C3456" i="2"/>
  <c r="C3452" i="2"/>
  <c r="C3448" i="2"/>
  <c r="C3444" i="2"/>
  <c r="C3440" i="2"/>
  <c r="C3436" i="2"/>
  <c r="C3432" i="2"/>
  <c r="C3428" i="2"/>
  <c r="C3424" i="2"/>
  <c r="C3420" i="2"/>
  <c r="C3416" i="2"/>
  <c r="C3412" i="2"/>
  <c r="C3408" i="2"/>
  <c r="C3404" i="2"/>
  <c r="C3400" i="2"/>
  <c r="C3396" i="2"/>
  <c r="C3392" i="2"/>
  <c r="C3388" i="2"/>
  <c r="C3384" i="2"/>
  <c r="C3380" i="2"/>
  <c r="C3376" i="2"/>
  <c r="C3372" i="2"/>
  <c r="C3368" i="2"/>
  <c r="C3364" i="2"/>
  <c r="C3360" i="2"/>
  <c r="C3356" i="2"/>
  <c r="C3352" i="2"/>
  <c r="C3348" i="2"/>
  <c r="C3344" i="2"/>
  <c r="C3340" i="2"/>
  <c r="C3336" i="2"/>
  <c r="C3332" i="2"/>
  <c r="C3328" i="2"/>
  <c r="C3324" i="2"/>
  <c r="C3320" i="2"/>
  <c r="C3316" i="2"/>
  <c r="C3312" i="2"/>
  <c r="C3308" i="2"/>
  <c r="C3304" i="2"/>
  <c r="C3300" i="2"/>
  <c r="C3296" i="2"/>
  <c r="C3292" i="2"/>
  <c r="C3288" i="2"/>
  <c r="C3284" i="2"/>
  <c r="C3280" i="2"/>
  <c r="C3276" i="2"/>
  <c r="C3272" i="2"/>
  <c r="C3268" i="2"/>
  <c r="C3264" i="2"/>
  <c r="C3260" i="2"/>
  <c r="C3256" i="2"/>
  <c r="C3252" i="2"/>
  <c r="C3248" i="2"/>
  <c r="C3244" i="2"/>
  <c r="C3240" i="2"/>
  <c r="C3236" i="2"/>
  <c r="C3232" i="2"/>
  <c r="C3228" i="2"/>
  <c r="C3224" i="2"/>
  <c r="C3220" i="2"/>
  <c r="C3216" i="2"/>
  <c r="C3212" i="2"/>
  <c r="C3208" i="2"/>
  <c r="C3204" i="2"/>
  <c r="C3200" i="2"/>
  <c r="C3196" i="2"/>
  <c r="C3192" i="2"/>
  <c r="C3188" i="2"/>
  <c r="C3184" i="2"/>
  <c r="C3180" i="2"/>
  <c r="C3176" i="2"/>
  <c r="C3172" i="2"/>
  <c r="C3168" i="2"/>
  <c r="C3164" i="2"/>
  <c r="C3160" i="2"/>
  <c r="C3156" i="2"/>
  <c r="C3152" i="2"/>
  <c r="C3148" i="2"/>
  <c r="C3144" i="2"/>
  <c r="C3140" i="2"/>
  <c r="C3136" i="2"/>
  <c r="C3132" i="2"/>
  <c r="C3128" i="2"/>
  <c r="C3124" i="2"/>
  <c r="C3120" i="2"/>
  <c r="C3116" i="2"/>
  <c r="C3112" i="2"/>
  <c r="C3108" i="2"/>
  <c r="C3104" i="2"/>
  <c r="C3100" i="2"/>
  <c r="C3096" i="2"/>
  <c r="C3092" i="2"/>
  <c r="C3088" i="2"/>
  <c r="C3084" i="2"/>
  <c r="C3080" i="2"/>
  <c r="C3076" i="2"/>
  <c r="C3072" i="2"/>
  <c r="C3068" i="2"/>
  <c r="C3064" i="2"/>
  <c r="C3060" i="2"/>
  <c r="C3056" i="2"/>
  <c r="C3052" i="2"/>
  <c r="C3048" i="2"/>
  <c r="C3044" i="2"/>
  <c r="C3040" i="2"/>
  <c r="C3036" i="2"/>
  <c r="C3032" i="2"/>
  <c r="C3028" i="2"/>
  <c r="C3024" i="2"/>
  <c r="C3020" i="2"/>
  <c r="C3016" i="2"/>
  <c r="C3012" i="2"/>
  <c r="C3008" i="2"/>
  <c r="C3004" i="2"/>
  <c r="C3000" i="2"/>
  <c r="C2996" i="2"/>
  <c r="C2992" i="2"/>
  <c r="C2988" i="2"/>
  <c r="C2984" i="2"/>
  <c r="C2980" i="2"/>
  <c r="C2976" i="2"/>
  <c r="C2972" i="2"/>
  <c r="C2968" i="2"/>
  <c r="C2964" i="2"/>
  <c r="C2960" i="2"/>
  <c r="C2956" i="2"/>
  <c r="C2952" i="2"/>
  <c r="C2948" i="2"/>
  <c r="C2944" i="2"/>
  <c r="C2940" i="2"/>
  <c r="C2936" i="2"/>
  <c r="C2932" i="2"/>
  <c r="C2928" i="2"/>
  <c r="C2924" i="2"/>
  <c r="C2920" i="2"/>
  <c r="C2916" i="2"/>
  <c r="C2912" i="2"/>
  <c r="C2908" i="2"/>
  <c r="C2904" i="2"/>
  <c r="C2900" i="2"/>
  <c r="C2896" i="2"/>
  <c r="C2892" i="2"/>
  <c r="C2888" i="2"/>
  <c r="C2884" i="2"/>
  <c r="C2880" i="2"/>
  <c r="C2876" i="2"/>
  <c r="C2872" i="2"/>
  <c r="C2868" i="2"/>
  <c r="C2864" i="2"/>
  <c r="C2860" i="2"/>
  <c r="C2856" i="2"/>
  <c r="C2852" i="2"/>
  <c r="C2848" i="2"/>
  <c r="C2844" i="2"/>
  <c r="C2840" i="2"/>
  <c r="C2836" i="2"/>
  <c r="C2832" i="2"/>
  <c r="C2828" i="2"/>
  <c r="C2824" i="2"/>
  <c r="C2820" i="2"/>
  <c r="C2816" i="2"/>
  <c r="C2812" i="2"/>
  <c r="C2808" i="2"/>
  <c r="C2804" i="2"/>
  <c r="C2800" i="2"/>
  <c r="C2796" i="2"/>
  <c r="C2792" i="2"/>
  <c r="C2788" i="2"/>
  <c r="C2784" i="2"/>
  <c r="C2780" i="2"/>
  <c r="C2776" i="2"/>
  <c r="C2772" i="2"/>
  <c r="C2768" i="2"/>
  <c r="C2764" i="2"/>
  <c r="C2760" i="2"/>
  <c r="C2756" i="2"/>
  <c r="C2752" i="2"/>
  <c r="C2748" i="2"/>
  <c r="C2744" i="2"/>
  <c r="C2740" i="2"/>
  <c r="C2736" i="2"/>
  <c r="C2732" i="2"/>
  <c r="C2728" i="2"/>
  <c r="C2724" i="2"/>
  <c r="C2720" i="2"/>
  <c r="C2716" i="2"/>
  <c r="C2712" i="2"/>
  <c r="C2708" i="2"/>
  <c r="C2704" i="2"/>
  <c r="C2700" i="2"/>
  <c r="C2696" i="2"/>
  <c r="C2692" i="2"/>
  <c r="C2688" i="2"/>
  <c r="C2684" i="2"/>
  <c r="C2680" i="2"/>
  <c r="C2676" i="2"/>
  <c r="C2672" i="2"/>
  <c r="C2668" i="2"/>
  <c r="C2664" i="2"/>
  <c r="C2660" i="2"/>
  <c r="C2656" i="2"/>
  <c r="C2652" i="2"/>
  <c r="C2648" i="2"/>
  <c r="C2644" i="2"/>
  <c r="C2640" i="2"/>
  <c r="C2636" i="2"/>
  <c r="C2632" i="2"/>
  <c r="C2628" i="2"/>
  <c r="C2624" i="2"/>
  <c r="C2620" i="2"/>
  <c r="C2616" i="2"/>
  <c r="C2612" i="2"/>
  <c r="C2608" i="2"/>
  <c r="C2604" i="2"/>
  <c r="C2600" i="2"/>
  <c r="C2596" i="2"/>
  <c r="C2592" i="2"/>
  <c r="C2588" i="2"/>
  <c r="C2584" i="2"/>
  <c r="C2580" i="2"/>
  <c r="C2576" i="2"/>
  <c r="C2572" i="2"/>
  <c r="C2568" i="2"/>
  <c r="C2564" i="2"/>
  <c r="C2560" i="2"/>
  <c r="C2556" i="2"/>
  <c r="C2552" i="2"/>
  <c r="C2548" i="2"/>
  <c r="C2544" i="2"/>
  <c r="C2540" i="2"/>
  <c r="C2536" i="2"/>
  <c r="C2532" i="2"/>
  <c r="C2528" i="2"/>
  <c r="C2524" i="2"/>
  <c r="C2520" i="2"/>
  <c r="C2516" i="2"/>
  <c r="C2512" i="2"/>
  <c r="C2508" i="2"/>
  <c r="C2504" i="2"/>
  <c r="C2500" i="2"/>
  <c r="C2496" i="2"/>
  <c r="C2492" i="2"/>
  <c r="C2488" i="2"/>
  <c r="C2484" i="2"/>
  <c r="C2480" i="2"/>
  <c r="C2476" i="2"/>
  <c r="C2472" i="2"/>
  <c r="C2468" i="2"/>
  <c r="C2464" i="2"/>
  <c r="C2460" i="2"/>
  <c r="C2456" i="2"/>
  <c r="C2452" i="2"/>
  <c r="C2448" i="2"/>
  <c r="C2444" i="2"/>
  <c r="C2440" i="2"/>
  <c r="C2436" i="2"/>
  <c r="C2432" i="2"/>
  <c r="C2428" i="2"/>
  <c r="C2424" i="2"/>
  <c r="C2420" i="2"/>
  <c r="C2416" i="2"/>
  <c r="C2412" i="2"/>
  <c r="C2408" i="2"/>
  <c r="C2404" i="2"/>
  <c r="C2400" i="2"/>
  <c r="C2396" i="2"/>
  <c r="C2392" i="2"/>
  <c r="C2388" i="2"/>
  <c r="C2384" i="2"/>
  <c r="C2380" i="2"/>
  <c r="C2376" i="2"/>
  <c r="C2372" i="2"/>
  <c r="C2368" i="2"/>
  <c r="C2364" i="2"/>
  <c r="C2360" i="2"/>
  <c r="C2356" i="2"/>
  <c r="C2352" i="2"/>
  <c r="C2348" i="2"/>
  <c r="C2344" i="2"/>
  <c r="C2340" i="2"/>
  <c r="C2336" i="2"/>
  <c r="C2332" i="2"/>
  <c r="C2328" i="2"/>
  <c r="C2324" i="2"/>
  <c r="C2320" i="2"/>
  <c r="C2316" i="2"/>
  <c r="C2312" i="2"/>
  <c r="C4185" i="2"/>
  <c r="C4161" i="2"/>
  <c r="C4137" i="2"/>
  <c r="C4113" i="2"/>
  <c r="C4089" i="2"/>
  <c r="C4175" i="2"/>
  <c r="C4151" i="2"/>
  <c r="C4127" i="2"/>
  <c r="C4103" i="2"/>
  <c r="C4079" i="2"/>
  <c r="C4055" i="2"/>
  <c r="C5693" i="2"/>
  <c r="C5677" i="2"/>
  <c r="C5661" i="2"/>
  <c r="C5645" i="2"/>
  <c r="C5629" i="2"/>
  <c r="C5613" i="2"/>
  <c r="C5597" i="2"/>
  <c r="C5581" i="2"/>
  <c r="C5565" i="2"/>
  <c r="C5549" i="2"/>
  <c r="C5533" i="2"/>
  <c r="C5517" i="2"/>
  <c r="C5501" i="2"/>
  <c r="C5485" i="2"/>
  <c r="C5469" i="2"/>
  <c r="C5453" i="2"/>
  <c r="C5437" i="2"/>
  <c r="C5421" i="2"/>
  <c r="C5405" i="2"/>
  <c r="C5389" i="2"/>
  <c r="C5373" i="2"/>
  <c r="C5357" i="2"/>
  <c r="C5341" i="2"/>
  <c r="C5325" i="2"/>
  <c r="C5309" i="2"/>
  <c r="C5293" i="2"/>
  <c r="C5277" i="2"/>
  <c r="C5261" i="2"/>
  <c r="C5245" i="2"/>
  <c r="C5229" i="2"/>
  <c r="C5213" i="2"/>
  <c r="C5197" i="2"/>
  <c r="C5181" i="2"/>
  <c r="C5165" i="2"/>
  <c r="C5149" i="2"/>
  <c r="C5133" i="2"/>
  <c r="C5117" i="2"/>
  <c r="C5101" i="2"/>
  <c r="C5085" i="2"/>
  <c r="C5069" i="2"/>
  <c r="C5053" i="2"/>
  <c r="C5037" i="2"/>
  <c r="C5021" i="2"/>
  <c r="C5005" i="2"/>
  <c r="C4989" i="2"/>
  <c r="C4973" i="2"/>
  <c r="C4957" i="2"/>
  <c r="C4941" i="2"/>
  <c r="C4925" i="2"/>
  <c r="C4909" i="2"/>
  <c r="C4893" i="2"/>
  <c r="C4877" i="2"/>
  <c r="C4861" i="2"/>
  <c r="C4845" i="2"/>
  <c r="C4829" i="2"/>
  <c r="C4813" i="2"/>
  <c r="C4797" i="2"/>
  <c r="C4781" i="2"/>
  <c r="C4765" i="2"/>
  <c r="C4749" i="2"/>
  <c r="C4733" i="2"/>
  <c r="C4717" i="2"/>
  <c r="C4701" i="2"/>
  <c r="C4685" i="2"/>
  <c r="C4669" i="2"/>
  <c r="C4653" i="2"/>
  <c r="C4637" i="2"/>
  <c r="C4621" i="2"/>
  <c r="C4605" i="2"/>
  <c r="C4589" i="2"/>
  <c r="C4573" i="2"/>
  <c r="C4557" i="2"/>
  <c r="C4541" i="2"/>
  <c r="C4525" i="2"/>
  <c r="C4509" i="2"/>
  <c r="C4493" i="2"/>
  <c r="C4477" i="2"/>
  <c r="C4461" i="2"/>
  <c r="C4445" i="2"/>
  <c r="C4429" i="2"/>
  <c r="C4413" i="2"/>
  <c r="C4397" i="2"/>
  <c r="C4381" i="2"/>
  <c r="C4365" i="2"/>
  <c r="C4349" i="2"/>
  <c r="C4333" i="2"/>
  <c r="C4317" i="2"/>
  <c r="C4301" i="2"/>
  <c r="C4285" i="2"/>
  <c r="C4269" i="2"/>
  <c r="C4253" i="2"/>
  <c r="C4237" i="2"/>
  <c r="C4221" i="2"/>
  <c r="C4205" i="2"/>
  <c r="C4189" i="2"/>
  <c r="C4165" i="2"/>
  <c r="C4141" i="2"/>
  <c r="C4117" i="2"/>
  <c r="C4093" i="2"/>
  <c r="C4069" i="2"/>
  <c r="C4045" i="2"/>
  <c r="C4021" i="2"/>
  <c r="C3997" i="2"/>
  <c r="C3973" i="2"/>
  <c r="C3949" i="2"/>
  <c r="C3925" i="2"/>
  <c r="C3901" i="2"/>
  <c r="C3877" i="2"/>
  <c r="C3853" i="2"/>
  <c r="C3829" i="2"/>
  <c r="C3805" i="2"/>
  <c r="C3781" i="2"/>
  <c r="C3753" i="2"/>
  <c r="C3740" i="2"/>
  <c r="C3727" i="2"/>
  <c r="C3723" i="2"/>
  <c r="C3719" i="2"/>
  <c r="C3715" i="2"/>
  <c r="C3711" i="2"/>
  <c r="C3707" i="2"/>
  <c r="C3703" i="2"/>
  <c r="C3699" i="2"/>
  <c r="C3695" i="2"/>
  <c r="C3691" i="2"/>
  <c r="C3687" i="2"/>
  <c r="C3683" i="2"/>
  <c r="C3679" i="2"/>
  <c r="C3675" i="2"/>
  <c r="C3671" i="2"/>
  <c r="C3667" i="2"/>
  <c r="C3663" i="2"/>
  <c r="C3659" i="2"/>
  <c r="C3655" i="2"/>
  <c r="C3651" i="2"/>
  <c r="C3647" i="2"/>
  <c r="C3643" i="2"/>
  <c r="C3639" i="2"/>
  <c r="C3635" i="2"/>
  <c r="C3631" i="2"/>
  <c r="C3627" i="2"/>
  <c r="C3623" i="2"/>
  <c r="C3619" i="2"/>
  <c r="C3615" i="2"/>
  <c r="C3611" i="2"/>
  <c r="C3607" i="2"/>
  <c r="C3603" i="2"/>
  <c r="C3599" i="2"/>
  <c r="C3595" i="2"/>
  <c r="C3591" i="2"/>
  <c r="C3587" i="2"/>
  <c r="C3583" i="2"/>
  <c r="C3579" i="2"/>
  <c r="C3575" i="2"/>
  <c r="C3571" i="2"/>
  <c r="C3567" i="2"/>
  <c r="C3563" i="2"/>
  <c r="C3559" i="2"/>
  <c r="C3555" i="2"/>
  <c r="C3551" i="2"/>
  <c r="C3547" i="2"/>
  <c r="C3543" i="2"/>
  <c r="C3539" i="2"/>
  <c r="C3535" i="2"/>
  <c r="C3531" i="2"/>
  <c r="C3527" i="2"/>
  <c r="C3523" i="2"/>
  <c r="C3519" i="2"/>
  <c r="C3515" i="2"/>
  <c r="C3511" i="2"/>
  <c r="C3507" i="2"/>
  <c r="C3503" i="2"/>
  <c r="C3499" i="2"/>
  <c r="C3495" i="2"/>
  <c r="C3491" i="2"/>
  <c r="C3487" i="2"/>
  <c r="C3483" i="2"/>
  <c r="C3479" i="2"/>
  <c r="C3475" i="2"/>
  <c r="C3471" i="2"/>
  <c r="C3467" i="2"/>
  <c r="C3463" i="2"/>
  <c r="C3459" i="2"/>
  <c r="C3455" i="2"/>
  <c r="C3451" i="2"/>
  <c r="C3447" i="2"/>
  <c r="C3443" i="2"/>
  <c r="C3439" i="2"/>
  <c r="C3435" i="2"/>
  <c r="C3431" i="2"/>
  <c r="C3427" i="2"/>
  <c r="C3423" i="2"/>
  <c r="C3419" i="2"/>
  <c r="C3415" i="2"/>
  <c r="C3411" i="2"/>
  <c r="C3407" i="2"/>
  <c r="C3403" i="2"/>
  <c r="C3399" i="2"/>
  <c r="C3395" i="2"/>
  <c r="C3391" i="2"/>
  <c r="C3387" i="2"/>
  <c r="C3383" i="2"/>
  <c r="C3379" i="2"/>
  <c r="C3375" i="2"/>
  <c r="C3371" i="2"/>
  <c r="C3367" i="2"/>
  <c r="C3363" i="2"/>
  <c r="C3359" i="2"/>
  <c r="C3355" i="2"/>
  <c r="C3351" i="2"/>
  <c r="C3347" i="2"/>
  <c r="C3343" i="2"/>
  <c r="C3339" i="2"/>
  <c r="C3335" i="2"/>
  <c r="C3331" i="2"/>
  <c r="C3327" i="2"/>
  <c r="C3323" i="2"/>
  <c r="C3319" i="2"/>
  <c r="C3315" i="2"/>
  <c r="C3311" i="2"/>
  <c r="C3307" i="2"/>
  <c r="C3303" i="2"/>
  <c r="C3299" i="2"/>
  <c r="C3295" i="2"/>
  <c r="C3291" i="2"/>
  <c r="C3287" i="2"/>
  <c r="C3283" i="2"/>
  <c r="C3279" i="2"/>
  <c r="C3275" i="2"/>
  <c r="C3271" i="2"/>
  <c r="C3267" i="2"/>
  <c r="C3263" i="2"/>
  <c r="C3259" i="2"/>
  <c r="C3255" i="2"/>
  <c r="C3251" i="2"/>
  <c r="C3247" i="2"/>
  <c r="C3243" i="2"/>
  <c r="C3239" i="2"/>
  <c r="C3235" i="2"/>
  <c r="C3231" i="2"/>
  <c r="C3227" i="2"/>
  <c r="C3223" i="2"/>
  <c r="C3219" i="2"/>
  <c r="C3215" i="2"/>
  <c r="C3211" i="2"/>
  <c r="C3207" i="2"/>
  <c r="C3203" i="2"/>
  <c r="C3199" i="2"/>
  <c r="C3195" i="2"/>
  <c r="C3191" i="2"/>
  <c r="C3187" i="2"/>
  <c r="C3183" i="2"/>
  <c r="C3179" i="2"/>
  <c r="C3175" i="2"/>
  <c r="C3171" i="2"/>
  <c r="C3167" i="2"/>
  <c r="C3163" i="2"/>
  <c r="C3159" i="2"/>
  <c r="C3155" i="2"/>
  <c r="C3151" i="2"/>
  <c r="C3147" i="2"/>
  <c r="C3143" i="2"/>
  <c r="C3139" i="2"/>
  <c r="C3135" i="2"/>
  <c r="C3131" i="2"/>
  <c r="C3127" i="2"/>
  <c r="C3123" i="2"/>
  <c r="C3119" i="2"/>
  <c r="C3115" i="2"/>
  <c r="C3111" i="2"/>
  <c r="C3107" i="2"/>
  <c r="C3103" i="2"/>
  <c r="C3099" i="2"/>
  <c r="C3095" i="2"/>
  <c r="C3091" i="2"/>
  <c r="C3087" i="2"/>
  <c r="C3083" i="2"/>
  <c r="C3079" i="2"/>
  <c r="C3075" i="2"/>
  <c r="C3071" i="2"/>
  <c r="C3067" i="2"/>
  <c r="C3063" i="2"/>
  <c r="C3059" i="2"/>
  <c r="C3055" i="2"/>
  <c r="C3051" i="2"/>
  <c r="C3047" i="2"/>
  <c r="C3043" i="2"/>
  <c r="C3039" i="2"/>
  <c r="C3035" i="2"/>
  <c r="C3031" i="2"/>
  <c r="C3027" i="2"/>
  <c r="C3023" i="2"/>
  <c r="C3019" i="2"/>
  <c r="C3015" i="2"/>
  <c r="C3011" i="2"/>
  <c r="C3007" i="2"/>
  <c r="C3003" i="2"/>
  <c r="C2999" i="2"/>
  <c r="C2995" i="2"/>
  <c r="C2991" i="2"/>
  <c r="C2987" i="2"/>
  <c r="C2983" i="2"/>
  <c r="C2979" i="2"/>
  <c r="C2975" i="2"/>
  <c r="C2971" i="2"/>
  <c r="C2967" i="2"/>
  <c r="C2963" i="2"/>
  <c r="C2959" i="2"/>
  <c r="C2955" i="2"/>
  <c r="C2951" i="2"/>
  <c r="C2947" i="2"/>
  <c r="C2943" i="2"/>
  <c r="C2939" i="2"/>
  <c r="C2935" i="2"/>
  <c r="C2931" i="2"/>
  <c r="C2927" i="2"/>
  <c r="C2923" i="2"/>
  <c r="C2919" i="2"/>
  <c r="C2915" i="2"/>
  <c r="C2911" i="2"/>
  <c r="C2907" i="2"/>
  <c r="C2903" i="2"/>
  <c r="C2899" i="2"/>
  <c r="C2895" i="2"/>
  <c r="C2891" i="2"/>
  <c r="C2887" i="2"/>
  <c r="C2883" i="2"/>
  <c r="C2879" i="2"/>
  <c r="C2875" i="2"/>
  <c r="C2871" i="2"/>
  <c r="C2867" i="2"/>
  <c r="C2863" i="2"/>
  <c r="C2859" i="2"/>
  <c r="C2855" i="2"/>
  <c r="C2851" i="2"/>
  <c r="C2847" i="2"/>
  <c r="C2843" i="2"/>
  <c r="C2839" i="2"/>
  <c r="C2835" i="2"/>
  <c r="C2831" i="2"/>
  <c r="C2827" i="2"/>
  <c r="C2823" i="2"/>
  <c r="C2819" i="2"/>
  <c r="C2815" i="2"/>
  <c r="C2811" i="2"/>
  <c r="C2807" i="2"/>
  <c r="C2803" i="2"/>
  <c r="C2799" i="2"/>
  <c r="C2795" i="2"/>
  <c r="C2791" i="2"/>
  <c r="C2787" i="2"/>
  <c r="C2783" i="2"/>
  <c r="C2779" i="2"/>
  <c r="C2775" i="2"/>
  <c r="C2771" i="2"/>
  <c r="C2767" i="2"/>
  <c r="C2763" i="2"/>
  <c r="C2759" i="2"/>
  <c r="C2755" i="2"/>
  <c r="C2751" i="2"/>
  <c r="C2747" i="2"/>
  <c r="C2743" i="2"/>
  <c r="C2739" i="2"/>
  <c r="C2735" i="2"/>
  <c r="C2731" i="2"/>
  <c r="C2727" i="2"/>
  <c r="C2723" i="2"/>
  <c r="C2719" i="2"/>
  <c r="C2715" i="2"/>
  <c r="C2711" i="2"/>
  <c r="C2707" i="2"/>
  <c r="C2703" i="2"/>
  <c r="C2699" i="2"/>
  <c r="C2695" i="2"/>
  <c r="C2691" i="2"/>
  <c r="C2687" i="2"/>
  <c r="C2683" i="2"/>
  <c r="C2679" i="2"/>
  <c r="C2675" i="2"/>
  <c r="C2671" i="2"/>
  <c r="C2667" i="2"/>
  <c r="C2663" i="2"/>
  <c r="C2659" i="2"/>
  <c r="C2655" i="2"/>
  <c r="C2651" i="2"/>
  <c r="C2647" i="2"/>
  <c r="C2643" i="2"/>
  <c r="C2639" i="2"/>
  <c r="C2635" i="2"/>
  <c r="C2631" i="2"/>
  <c r="C2627" i="2"/>
  <c r="C2623" i="2"/>
  <c r="C2619" i="2"/>
  <c r="C2615" i="2"/>
  <c r="C2611" i="2"/>
  <c r="C2607" i="2"/>
  <c r="C2603" i="2"/>
  <c r="C2599" i="2"/>
  <c r="C2595" i="2"/>
  <c r="C2591" i="2"/>
  <c r="C2587" i="2"/>
  <c r="C2583" i="2"/>
  <c r="C2579" i="2"/>
  <c r="C2575" i="2"/>
  <c r="C2571" i="2"/>
  <c r="C2567" i="2"/>
  <c r="C2563" i="2"/>
  <c r="C2559" i="2"/>
  <c r="C2555" i="2"/>
  <c r="C2551" i="2"/>
  <c r="C2547" i="2"/>
  <c r="C2543" i="2"/>
  <c r="C2539" i="2"/>
  <c r="C2535" i="2"/>
  <c r="C2531" i="2"/>
  <c r="C2527" i="2"/>
  <c r="C2523" i="2"/>
  <c r="C2519" i="2"/>
  <c r="C2515" i="2"/>
  <c r="C2511" i="2"/>
  <c r="C2507" i="2"/>
  <c r="C2503" i="2"/>
  <c r="C2499" i="2"/>
  <c r="C2495" i="2"/>
  <c r="C2491" i="2"/>
  <c r="C2487" i="2"/>
  <c r="C2483" i="2"/>
  <c r="C2479" i="2"/>
  <c r="C2475" i="2"/>
  <c r="C2471" i="2"/>
  <c r="C2467" i="2"/>
  <c r="C2463" i="2"/>
  <c r="C2459" i="2"/>
  <c r="C2455" i="2"/>
  <c r="C2451" i="2"/>
  <c r="C2447" i="2"/>
  <c r="C2443" i="2"/>
  <c r="C2439" i="2"/>
  <c r="C2435" i="2"/>
  <c r="C2431" i="2"/>
  <c r="C2427" i="2"/>
  <c r="C2423" i="2"/>
  <c r="C2419" i="2"/>
  <c r="C2415" i="2"/>
  <c r="C2411" i="2"/>
  <c r="C2407" i="2"/>
  <c r="C2403" i="2"/>
  <c r="C2399" i="2"/>
  <c r="C2395" i="2"/>
  <c r="C2391" i="2"/>
  <c r="C2387" i="2"/>
  <c r="C2383" i="2"/>
  <c r="C2379" i="2"/>
  <c r="C2375" i="2"/>
  <c r="C2371" i="2"/>
  <c r="C2367" i="2"/>
  <c r="C2363" i="2"/>
  <c r="C2359" i="2"/>
  <c r="C2355" i="2"/>
  <c r="C2351" i="2"/>
  <c r="C2347" i="2"/>
  <c r="C2343" i="2"/>
  <c r="C2339" i="2"/>
  <c r="C2335" i="2"/>
  <c r="C2331" i="2"/>
  <c r="C2327" i="2"/>
  <c r="C2323" i="2"/>
  <c r="C2319" i="2"/>
  <c r="C2315" i="2"/>
  <c r="C4169" i="2"/>
  <c r="C4145" i="2"/>
  <c r="C5681" i="2"/>
  <c r="C5665" i="2"/>
  <c r="C5649" i="2"/>
  <c r="C5633" i="2"/>
  <c r="C5617" i="2"/>
  <c r="C5601" i="2"/>
  <c r="C5585" i="2"/>
  <c r="C5569" i="2"/>
  <c r="C5553" i="2"/>
  <c r="C5537" i="2"/>
  <c r="C5521" i="2"/>
  <c r="C5505" i="2"/>
  <c r="C5489" i="2"/>
  <c r="C5473" i="2"/>
  <c r="C5457" i="2"/>
  <c r="C5441" i="2"/>
  <c r="C5425" i="2"/>
  <c r="C5409" i="2"/>
  <c r="C5393" i="2"/>
  <c r="C5377" i="2"/>
  <c r="C5361" i="2"/>
  <c r="C5345" i="2"/>
  <c r="C5329" i="2"/>
  <c r="C5313" i="2"/>
  <c r="C5297" i="2"/>
  <c r="C5281" i="2"/>
  <c r="C5265" i="2"/>
  <c r="C5249" i="2"/>
  <c r="C5233" i="2"/>
  <c r="C5217" i="2"/>
  <c r="C5201" i="2"/>
  <c r="C5185" i="2"/>
  <c r="C5169" i="2"/>
  <c r="C5153" i="2"/>
  <c r="C5137" i="2"/>
  <c r="C5121" i="2"/>
  <c r="C5105" i="2"/>
  <c r="C5089" i="2"/>
  <c r="C5073" i="2"/>
  <c r="C5057" i="2"/>
  <c r="C5041" i="2"/>
  <c r="C5025" i="2"/>
  <c r="C5009" i="2"/>
  <c r="C4993" i="2"/>
  <c r="C4977" i="2"/>
  <c r="C4961" i="2"/>
  <c r="C4945" i="2"/>
  <c r="C4929" i="2"/>
  <c r="C4913" i="2"/>
  <c r="C4897" i="2"/>
  <c r="C4881" i="2"/>
  <c r="C4865" i="2"/>
  <c r="C4849" i="2"/>
  <c r="C4833" i="2"/>
  <c r="C4817" i="2"/>
  <c r="C4801" i="2"/>
  <c r="C4785" i="2"/>
  <c r="C4769" i="2"/>
  <c r="C4753" i="2"/>
  <c r="C4737" i="2"/>
  <c r="C4187" i="2"/>
  <c r="C4163" i="2"/>
  <c r="C4139" i="2"/>
  <c r="C4115" i="2"/>
  <c r="C4091" i="2"/>
  <c r="C4067" i="2"/>
  <c r="C4043" i="2"/>
  <c r="C4019" i="2"/>
  <c r="C3995" i="2"/>
  <c r="C3971" i="2"/>
  <c r="C3947" i="2"/>
  <c r="C3923" i="2"/>
  <c r="C3899" i="2"/>
  <c r="C3875" i="2"/>
  <c r="C5685" i="2"/>
  <c r="C5669" i="2"/>
  <c r="C5653" i="2"/>
  <c r="C5637" i="2"/>
  <c r="C5621" i="2"/>
  <c r="C5605" i="2"/>
  <c r="C5589" i="2"/>
  <c r="C5573" i="2"/>
  <c r="C5557" i="2"/>
  <c r="C5541" i="2"/>
  <c r="C5525" i="2"/>
  <c r="C5509" i="2"/>
  <c r="C5493" i="2"/>
  <c r="C5477" i="2"/>
  <c r="C5461" i="2"/>
  <c r="C5445" i="2"/>
  <c r="C5429" i="2"/>
  <c r="C5413" i="2"/>
  <c r="C5397" i="2"/>
  <c r="C5381" i="2"/>
  <c r="C5365" i="2"/>
  <c r="C5349" i="2"/>
  <c r="C5333" i="2"/>
  <c r="C5317" i="2"/>
  <c r="C5301" i="2"/>
  <c r="C5285" i="2"/>
  <c r="C5269" i="2"/>
  <c r="C5253" i="2"/>
  <c r="C5237" i="2"/>
  <c r="C5221" i="2"/>
  <c r="C5205" i="2"/>
  <c r="C5189" i="2"/>
  <c r="C5173" i="2"/>
  <c r="C5157" i="2"/>
  <c r="C5141" i="2"/>
  <c r="C5125" i="2"/>
  <c r="C5109" i="2"/>
  <c r="C5093" i="2"/>
  <c r="C5077" i="2"/>
  <c r="C5061" i="2"/>
  <c r="C5045" i="2"/>
  <c r="C5029" i="2"/>
  <c r="C5013" i="2"/>
  <c r="C4997" i="2"/>
  <c r="C4981" i="2"/>
  <c r="C4965" i="2"/>
  <c r="C4949" i="2"/>
  <c r="C4933" i="2"/>
  <c r="C4917" i="2"/>
  <c r="C4901" i="2"/>
  <c r="C4885" i="2"/>
  <c r="C4869" i="2"/>
  <c r="C4853" i="2"/>
  <c r="C4837" i="2"/>
  <c r="C4821" i="2"/>
  <c r="C4805" i="2"/>
  <c r="C4789" i="2"/>
  <c r="C4773" i="2"/>
  <c r="C4757" i="2"/>
  <c r="C4741" i="2"/>
  <c r="C4725" i="2"/>
  <c r="C4709" i="2"/>
  <c r="C4693" i="2"/>
  <c r="C4677" i="2"/>
  <c r="C4661" i="2"/>
  <c r="C4645" i="2"/>
  <c r="C4629" i="2"/>
  <c r="C4613" i="2"/>
  <c r="C4597" i="2"/>
  <c r="C4581" i="2"/>
  <c r="C4565" i="2"/>
  <c r="C4549" i="2"/>
  <c r="C4533" i="2"/>
  <c r="C4517" i="2"/>
  <c r="C4501" i="2"/>
  <c r="C4485" i="2"/>
  <c r="C4469" i="2"/>
  <c r="C4453" i="2"/>
  <c r="C4437" i="2"/>
  <c r="C4421" i="2"/>
  <c r="C4405" i="2"/>
  <c r="C4389" i="2"/>
  <c r="C4373" i="2"/>
  <c r="C4357" i="2"/>
  <c r="C4341" i="2"/>
  <c r="C4325" i="2"/>
  <c r="C4309" i="2"/>
  <c r="C4293" i="2"/>
  <c r="C4277" i="2"/>
  <c r="C4261" i="2"/>
  <c r="C4245" i="2"/>
  <c r="C4229" i="2"/>
  <c r="C4213" i="2"/>
  <c r="C4197" i="2"/>
  <c r="C4177" i="2"/>
  <c r="C4153" i="2"/>
  <c r="C4129" i="2"/>
  <c r="C4105" i="2"/>
  <c r="C4081" i="2"/>
  <c r="C4057" i="2"/>
  <c r="C4033" i="2"/>
  <c r="C4009" i="2"/>
  <c r="C3985" i="2"/>
  <c r="C3961" i="2"/>
  <c r="C3937" i="2"/>
  <c r="C3913" i="2"/>
  <c r="C3889" i="2"/>
  <c r="C4173" i="2"/>
  <c r="C4063" i="2"/>
  <c r="C4047" i="2"/>
  <c r="C4031" i="2"/>
  <c r="C4005" i="2"/>
  <c r="C3963" i="2"/>
  <c r="C3921" i="2"/>
  <c r="C3895" i="2"/>
  <c r="C3885" i="2"/>
  <c r="C3815" i="2"/>
  <c r="C3795" i="2"/>
  <c r="C3785" i="2"/>
  <c r="C3775" i="2"/>
  <c r="C3756" i="2"/>
  <c r="C3747" i="2"/>
  <c r="C3733" i="2"/>
  <c r="C3714" i="2"/>
  <c r="C3690" i="2"/>
  <c r="C3666" i="2"/>
  <c r="C3642" i="2"/>
  <c r="C3618" i="2"/>
  <c r="C3594" i="2"/>
  <c r="C3570" i="2"/>
  <c r="C3546" i="2"/>
  <c r="C3522" i="2"/>
  <c r="C3498" i="2"/>
  <c r="C3474" i="2"/>
  <c r="C3450" i="2"/>
  <c r="C3426" i="2"/>
  <c r="C3402" i="2"/>
  <c r="C3378" i="2"/>
  <c r="C3354" i="2"/>
  <c r="C3330" i="2"/>
  <c r="C3306" i="2"/>
  <c r="C3282" i="2"/>
  <c r="C3258" i="2"/>
  <c r="C3234" i="2"/>
  <c r="C3210" i="2"/>
  <c r="C3186" i="2"/>
  <c r="C3162" i="2"/>
  <c r="C3138" i="2"/>
  <c r="C3114" i="2"/>
  <c r="C3090" i="2"/>
  <c r="C3066" i="2"/>
  <c r="C3042" i="2"/>
  <c r="C3018" i="2"/>
  <c r="C2994" i="2"/>
  <c r="C2970" i="2"/>
  <c r="C2946" i="2"/>
  <c r="C2922" i="2"/>
  <c r="C2898" i="2"/>
  <c r="C2874" i="2"/>
  <c r="C2850" i="2"/>
  <c r="C2826" i="2"/>
  <c r="C2802" i="2"/>
  <c r="C2778" i="2"/>
  <c r="C2754" i="2"/>
  <c r="C2730" i="2"/>
  <c r="C2706" i="2"/>
  <c r="C2682" i="2"/>
  <c r="C2658" i="2"/>
  <c r="C2634" i="2"/>
  <c r="C2610" i="2"/>
  <c r="C2586" i="2"/>
  <c r="C2562" i="2"/>
  <c r="C2538" i="2"/>
  <c r="C2514" i="2"/>
  <c r="C2490" i="2"/>
  <c r="C2466" i="2"/>
  <c r="C2442" i="2"/>
  <c r="C2418" i="2"/>
  <c r="C2394" i="2"/>
  <c r="C2370" i="2"/>
  <c r="C2346" i="2"/>
  <c r="C2322" i="2"/>
  <c r="C4111" i="2"/>
  <c r="C4095" i="2"/>
  <c r="C4073" i="2"/>
  <c r="C4041" i="2"/>
  <c r="C4015" i="2"/>
  <c r="C3905" i="2"/>
  <c r="C3869" i="2"/>
  <c r="C3849" i="2"/>
  <c r="C3765" i="2"/>
  <c r="C3760" i="2"/>
  <c r="C3751" i="2"/>
  <c r="C3737" i="2"/>
  <c r="C3709" i="2"/>
  <c r="C3685" i="2"/>
  <c r="C3661" i="2"/>
  <c r="C3637" i="2"/>
  <c r="C3613" i="2"/>
  <c r="C3589" i="2"/>
  <c r="C3565" i="2"/>
  <c r="C3541" i="2"/>
  <c r="C3517" i="2"/>
  <c r="C3493" i="2"/>
  <c r="C3469" i="2"/>
  <c r="C3445" i="2"/>
  <c r="C3421" i="2"/>
  <c r="C3397" i="2"/>
  <c r="C3373" i="2"/>
  <c r="C3349" i="2"/>
  <c r="C3325" i="2"/>
  <c r="C3301" i="2"/>
  <c r="C3277" i="2"/>
  <c r="C3253" i="2"/>
  <c r="C3229" i="2"/>
  <c r="C3205" i="2"/>
  <c r="C3181" i="2"/>
  <c r="C3157" i="2"/>
  <c r="C3133" i="2"/>
  <c r="C3109" i="2"/>
  <c r="C3085" i="2"/>
  <c r="C3061" i="2"/>
  <c r="C3037" i="2"/>
  <c r="C3013" i="2"/>
  <c r="C2989" i="2"/>
  <c r="C2965" i="2"/>
  <c r="C2941" i="2"/>
  <c r="C2917" i="2"/>
  <c r="C2893" i="2"/>
  <c r="C2869" i="2"/>
  <c r="C2845" i="2"/>
  <c r="C2821" i="2"/>
  <c r="C2797" i="2"/>
  <c r="C2773" i="2"/>
  <c r="C2749" i="2"/>
  <c r="C2725" i="2"/>
  <c r="C2701" i="2"/>
  <c r="C2677" i="2"/>
  <c r="C2653" i="2"/>
  <c r="C2629" i="2"/>
  <c r="C2605" i="2"/>
  <c r="C2581" i="2"/>
  <c r="C2557" i="2"/>
  <c r="C2533" i="2"/>
  <c r="C2509" i="2"/>
  <c r="C2485" i="2"/>
  <c r="C2461" i="2"/>
  <c r="C2437" i="2"/>
  <c r="C2413" i="2"/>
  <c r="C2389" i="2"/>
  <c r="C2365" i="2"/>
  <c r="C2341" i="2"/>
  <c r="C2317" i="2"/>
  <c r="C4689" i="2"/>
  <c r="C4625" i="2"/>
  <c r="C4561" i="2"/>
  <c r="C4497" i="2"/>
  <c r="C4433" i="2"/>
  <c r="C4369" i="2"/>
  <c r="C4305" i="2"/>
  <c r="C4241" i="2"/>
  <c r="C4183" i="2"/>
  <c r="C4155" i="2"/>
  <c r="C4025" i="2"/>
  <c r="C3999" i="2"/>
  <c r="C3983" i="2"/>
  <c r="C3957" i="2"/>
  <c r="C3915" i="2"/>
  <c r="C3879" i="2"/>
  <c r="C3839" i="2"/>
  <c r="C3819" i="2"/>
  <c r="C3809" i="2"/>
  <c r="C3799" i="2"/>
  <c r="C3779" i="2"/>
  <c r="C3718" i="2"/>
  <c r="C3694" i="2"/>
  <c r="C3670" i="2"/>
  <c r="C3646" i="2"/>
  <c r="C3622" i="2"/>
  <c r="C3598" i="2"/>
  <c r="C3574" i="2"/>
  <c r="C3550" i="2"/>
  <c r="C3526" i="2"/>
  <c r="C3502" i="2"/>
  <c r="C3478" i="2"/>
  <c r="C3454" i="2"/>
  <c r="C3430" i="2"/>
  <c r="C3406" i="2"/>
  <c r="C3382" i="2"/>
  <c r="C3358" i="2"/>
  <c r="C3334" i="2"/>
  <c r="C3310" i="2"/>
  <c r="C3286" i="2"/>
  <c r="C3262" i="2"/>
  <c r="C3238" i="2"/>
  <c r="C3214" i="2"/>
  <c r="C3190" i="2"/>
  <c r="C3166" i="2"/>
  <c r="C3142" i="2"/>
  <c r="C3118" i="2"/>
  <c r="C3094" i="2"/>
  <c r="C3070" i="2"/>
  <c r="C3046" i="2"/>
  <c r="C3022" i="2"/>
  <c r="C2998" i="2"/>
  <c r="C2974" i="2"/>
  <c r="C2950" i="2"/>
  <c r="C2926" i="2"/>
  <c r="C2902" i="2"/>
  <c r="C2878" i="2"/>
  <c r="C2854" i="2"/>
  <c r="C2830" i="2"/>
  <c r="C2806" i="2"/>
  <c r="C2782" i="2"/>
  <c r="C2758" i="2"/>
  <c r="C2734" i="2"/>
  <c r="C2710" i="2"/>
  <c r="C2686" i="2"/>
  <c r="C2662" i="2"/>
  <c r="C2638" i="2"/>
  <c r="C2614" i="2"/>
  <c r="C2590" i="2"/>
  <c r="C2566" i="2"/>
  <c r="C2542" i="2"/>
  <c r="C2518" i="2"/>
  <c r="C2494" i="2"/>
  <c r="C2470" i="2"/>
  <c r="C2446" i="2"/>
  <c r="C2422" i="2"/>
  <c r="C2398" i="2"/>
  <c r="C2374" i="2"/>
  <c r="C2350" i="2"/>
  <c r="C2326" i="2"/>
  <c r="C4149" i="2"/>
  <c r="C4121" i="2"/>
  <c r="C4083" i="2"/>
  <c r="C4035" i="2"/>
  <c r="C3993" i="2"/>
  <c r="C3967" i="2"/>
  <c r="C3873" i="2"/>
  <c r="C3789" i="2"/>
  <c r="C3769" i="2"/>
  <c r="C3755" i="2"/>
  <c r="C3732" i="2"/>
  <c r="C3713" i="2"/>
  <c r="C3689" i="2"/>
  <c r="C3665" i="2"/>
  <c r="C3641" i="2"/>
  <c r="C3617" i="2"/>
  <c r="C3593" i="2"/>
  <c r="C3569" i="2"/>
  <c r="C3545" i="2"/>
  <c r="C3521" i="2"/>
  <c r="C3497" i="2"/>
  <c r="C3473" i="2"/>
  <c r="C3449" i="2"/>
  <c r="C3425" i="2"/>
  <c r="C3401" i="2"/>
  <c r="C3377" i="2"/>
  <c r="C3353" i="2"/>
  <c r="C3329" i="2"/>
  <c r="C3305" i="2"/>
  <c r="C3281" i="2"/>
  <c r="C3257" i="2"/>
  <c r="C3233" i="2"/>
  <c r="C3209" i="2"/>
  <c r="C3185" i="2"/>
  <c r="C3161" i="2"/>
  <c r="C3137" i="2"/>
  <c r="C3113" i="2"/>
  <c r="C3089" i="2"/>
  <c r="C3065" i="2"/>
  <c r="C3041" i="2"/>
  <c r="C3017" i="2"/>
  <c r="C2993" i="2"/>
  <c r="C2969" i="2"/>
  <c r="C2945" i="2"/>
  <c r="C2921" i="2"/>
  <c r="C2897" i="2"/>
  <c r="C2873" i="2"/>
  <c r="C2849" i="2"/>
  <c r="C2825" i="2"/>
  <c r="C2801" i="2"/>
  <c r="C2777" i="2"/>
  <c r="C2753" i="2"/>
  <c r="C2729" i="2"/>
  <c r="C2705" i="2"/>
  <c r="C2681" i="2"/>
  <c r="C2657" i="2"/>
  <c r="C2633" i="2"/>
  <c r="C2609" i="2"/>
  <c r="C2585" i="2"/>
  <c r="C2561" i="2"/>
  <c r="C2537" i="2"/>
  <c r="C2513" i="2"/>
  <c r="C2489" i="2"/>
  <c r="C2465" i="2"/>
  <c r="C2441" i="2"/>
  <c r="C2417" i="2"/>
  <c r="C2393" i="2"/>
  <c r="C2369" i="2"/>
  <c r="C2345" i="2"/>
  <c r="C2321" i="2"/>
  <c r="C4077" i="2"/>
  <c r="C3977" i="2"/>
  <c r="C3951" i="2"/>
  <c r="C3935" i="2"/>
  <c r="C3909" i="2"/>
  <c r="C3863" i="2"/>
  <c r="C3843" i="2"/>
  <c r="C3833" i="2"/>
  <c r="C3823" i="2"/>
  <c r="C3803" i="2"/>
  <c r="C3759" i="2"/>
  <c r="C3736" i="2"/>
  <c r="C3722" i="2"/>
  <c r="C3698" i="2"/>
  <c r="C3674" i="2"/>
  <c r="C3650" i="2"/>
  <c r="C3626" i="2"/>
  <c r="C3602" i="2"/>
  <c r="C3578" i="2"/>
  <c r="C3554" i="2"/>
  <c r="C3530" i="2"/>
  <c r="C3506" i="2"/>
  <c r="C3482" i="2"/>
  <c r="C3458" i="2"/>
  <c r="C3434" i="2"/>
  <c r="C3410" i="2"/>
  <c r="C3386" i="2"/>
  <c r="C3362" i="2"/>
  <c r="C3338" i="2"/>
  <c r="C3314" i="2"/>
  <c r="C3290" i="2"/>
  <c r="C3266" i="2"/>
  <c r="C3242" i="2"/>
  <c r="C3218" i="2"/>
  <c r="C3194" i="2"/>
  <c r="C3170" i="2"/>
  <c r="C3146" i="2"/>
  <c r="C3122" i="2"/>
  <c r="C3098" i="2"/>
  <c r="C3074" i="2"/>
  <c r="C3050" i="2"/>
  <c r="C3026" i="2"/>
  <c r="C3002" i="2"/>
  <c r="C2978" i="2"/>
  <c r="C2954" i="2"/>
  <c r="C2930" i="2"/>
  <c r="C2906" i="2"/>
  <c r="C2882" i="2"/>
  <c r="C2858" i="2"/>
  <c r="C2834" i="2"/>
  <c r="C2810" i="2"/>
  <c r="C2786" i="2"/>
  <c r="C2762" i="2"/>
  <c r="C2738" i="2"/>
  <c r="C2714" i="2"/>
  <c r="C2690" i="2"/>
  <c r="C2666" i="2"/>
  <c r="C2642" i="2"/>
  <c r="C2618" i="2"/>
  <c r="C2594" i="2"/>
  <c r="C2570" i="2"/>
  <c r="C2546" i="2"/>
  <c r="C2522" i="2"/>
  <c r="C2498" i="2"/>
  <c r="C2474" i="2"/>
  <c r="C2450" i="2"/>
  <c r="C2426" i="2"/>
  <c r="C2402" i="2"/>
  <c r="C2378" i="2"/>
  <c r="C2354" i="2"/>
  <c r="C2330" i="2"/>
  <c r="C4705" i="2"/>
  <c r="C4641" i="2"/>
  <c r="C4577" i="2"/>
  <c r="C4513" i="2"/>
  <c r="C4449" i="2"/>
  <c r="C4385" i="2"/>
  <c r="C4321" i="2"/>
  <c r="C4257" i="2"/>
  <c r="C4193" i="2"/>
  <c r="C4159" i="2"/>
  <c r="C4131" i="2"/>
  <c r="C4029" i="2"/>
  <c r="C3987" i="2"/>
  <c r="C3945" i="2"/>
  <c r="C3919" i="2"/>
  <c r="C3893" i="2"/>
  <c r="C3813" i="2"/>
  <c r="C3793" i="2"/>
  <c r="C3783" i="2"/>
  <c r="C3773" i="2"/>
  <c r="C3745" i="2"/>
  <c r="C3717" i="2"/>
  <c r="C3693" i="2"/>
  <c r="C3669" i="2"/>
  <c r="C3645" i="2"/>
  <c r="C3621" i="2"/>
  <c r="C3597" i="2"/>
  <c r="C3573" i="2"/>
  <c r="C3549" i="2"/>
  <c r="C3525" i="2"/>
  <c r="C3501" i="2"/>
  <c r="C3477" i="2"/>
  <c r="C3453" i="2"/>
  <c r="C3429" i="2"/>
  <c r="C3405" i="2"/>
  <c r="C3381" i="2"/>
  <c r="C3357" i="2"/>
  <c r="C3333" i="2"/>
  <c r="C3309" i="2"/>
  <c r="C3285" i="2"/>
  <c r="C3261" i="2"/>
  <c r="C3237" i="2"/>
  <c r="C3213" i="2"/>
  <c r="C3189" i="2"/>
  <c r="C3165" i="2"/>
  <c r="C3141" i="2"/>
  <c r="C3117" i="2"/>
  <c r="C3093" i="2"/>
  <c r="C3069" i="2"/>
  <c r="C3045" i="2"/>
  <c r="C3021" i="2"/>
  <c r="C2997" i="2"/>
  <c r="C2973" i="2"/>
  <c r="C2949" i="2"/>
  <c r="C2925" i="2"/>
  <c r="C2901" i="2"/>
  <c r="C2877" i="2"/>
  <c r="C2853" i="2"/>
  <c r="C2829" i="2"/>
  <c r="C2805" i="2"/>
  <c r="C2781" i="2"/>
  <c r="C2757" i="2"/>
  <c r="C2733" i="2"/>
  <c r="C2709" i="2"/>
  <c r="C2685" i="2"/>
  <c r="C2661" i="2"/>
  <c r="C2637" i="2"/>
  <c r="C2613" i="2"/>
  <c r="C2589" i="2"/>
  <c r="C2565" i="2"/>
  <c r="C2541" i="2"/>
  <c r="C2517" i="2"/>
  <c r="C2493" i="2"/>
  <c r="C2469" i="2"/>
  <c r="C2445" i="2"/>
  <c r="C2421" i="2"/>
  <c r="C2397" i="2"/>
  <c r="C2373" i="2"/>
  <c r="C2349" i="2"/>
  <c r="C2325" i="2"/>
  <c r="C4125" i="2"/>
  <c r="C4087" i="2"/>
  <c r="C4071" i="2"/>
  <c r="C4039" i="2"/>
  <c r="C3929" i="2"/>
  <c r="C3903" i="2"/>
  <c r="C3867" i="2"/>
  <c r="C3857" i="2"/>
  <c r="C3847" i="2"/>
  <c r="C3827" i="2"/>
  <c r="C3749" i="2"/>
  <c r="C3731" i="2"/>
  <c r="C3726" i="2"/>
  <c r="C3702" i="2"/>
  <c r="C3678" i="2"/>
  <c r="C3654" i="2"/>
  <c r="C3630" i="2"/>
  <c r="C3606" i="2"/>
  <c r="C3582" i="2"/>
  <c r="C3558" i="2"/>
  <c r="C3534" i="2"/>
  <c r="C3510" i="2"/>
  <c r="C3486" i="2"/>
  <c r="C3462" i="2"/>
  <c r="C3438" i="2"/>
  <c r="C3414" i="2"/>
  <c r="C3390" i="2"/>
  <c r="C3366" i="2"/>
  <c r="C3342" i="2"/>
  <c r="C3318" i="2"/>
  <c r="C3294" i="2"/>
  <c r="C3270" i="2"/>
  <c r="C3246" i="2"/>
  <c r="C3222" i="2"/>
  <c r="C3198" i="2"/>
  <c r="C3174" i="2"/>
  <c r="C3150" i="2"/>
  <c r="C3126" i="2"/>
  <c r="C3102" i="2"/>
  <c r="C3078" i="2"/>
  <c r="C3054" i="2"/>
  <c r="C3030" i="2"/>
  <c r="C3006" i="2"/>
  <c r="C2982" i="2"/>
  <c r="C2958" i="2"/>
  <c r="C2934" i="2"/>
  <c r="C2910" i="2"/>
  <c r="C2886" i="2"/>
  <c r="C2862" i="2"/>
  <c r="C2838" i="2"/>
  <c r="C2814" i="2"/>
  <c r="C2790" i="2"/>
  <c r="C2766" i="2"/>
  <c r="C2742" i="2"/>
  <c r="C2718" i="2"/>
  <c r="C2694" i="2"/>
  <c r="C2670" i="2"/>
  <c r="C2646" i="2"/>
  <c r="C2622" i="2"/>
  <c r="C2598" i="2"/>
  <c r="C2574" i="2"/>
  <c r="C2550" i="2"/>
  <c r="C2526" i="2"/>
  <c r="C2502" i="2"/>
  <c r="C2478" i="2"/>
  <c r="C2454" i="2"/>
  <c r="C2430" i="2"/>
  <c r="C2406" i="2"/>
  <c r="C2382" i="2"/>
  <c r="C2358" i="2"/>
  <c r="C2334" i="2"/>
  <c r="C4065" i="2"/>
  <c r="C4049" i="2"/>
  <c r="C4023" i="2"/>
  <c r="C4007" i="2"/>
  <c r="C3981" i="2"/>
  <c r="C3939" i="2"/>
  <c r="C3897" i="2"/>
  <c r="C3887" i="2"/>
  <c r="C3837" i="2"/>
  <c r="C3817" i="2"/>
  <c r="C3807" i="2"/>
  <c r="C3797" i="2"/>
  <c r="C3777" i="2"/>
  <c r="C3735" i="2"/>
  <c r="C3721" i="2"/>
  <c r="C3697" i="2"/>
  <c r="C3673" i="2"/>
  <c r="C3649" i="2"/>
  <c r="C3625" i="2"/>
  <c r="C3601" i="2"/>
  <c r="C3577" i="2"/>
  <c r="C3553" i="2"/>
  <c r="C3529" i="2"/>
  <c r="C3505" i="2"/>
  <c r="C3481" i="2"/>
  <c r="C3457" i="2"/>
  <c r="C3433" i="2"/>
  <c r="C3409" i="2"/>
  <c r="C3385" i="2"/>
  <c r="C3361" i="2"/>
  <c r="C3337" i="2"/>
  <c r="C3313" i="2"/>
  <c r="C3289" i="2"/>
  <c r="C3265" i="2"/>
  <c r="C3241" i="2"/>
  <c r="C3217" i="2"/>
  <c r="C3193" i="2"/>
  <c r="C3169" i="2"/>
  <c r="C3145" i="2"/>
  <c r="C3121" i="2"/>
  <c r="C3097" i="2"/>
  <c r="C3073" i="2"/>
  <c r="C3049" i="2"/>
  <c r="C3025" i="2"/>
  <c r="C3001" i="2"/>
  <c r="C2977" i="2"/>
  <c r="C2953" i="2"/>
  <c r="C2929" i="2"/>
  <c r="C2905" i="2"/>
  <c r="C2881" i="2"/>
  <c r="C2857" i="2"/>
  <c r="C2833" i="2"/>
  <c r="C2809" i="2"/>
  <c r="C2785" i="2"/>
  <c r="C2761" i="2"/>
  <c r="C2737" i="2"/>
  <c r="C2713" i="2"/>
  <c r="C2689" i="2"/>
  <c r="C2665" i="2"/>
  <c r="C2641" i="2"/>
  <c r="C2617" i="2"/>
  <c r="C2593" i="2"/>
  <c r="C2569" i="2"/>
  <c r="C2545" i="2"/>
  <c r="C2521" i="2"/>
  <c r="C2497" i="2"/>
  <c r="C2473" i="2"/>
  <c r="C2449" i="2"/>
  <c r="C2425" i="2"/>
  <c r="C2401" i="2"/>
  <c r="C2377" i="2"/>
  <c r="C2353" i="2"/>
  <c r="C2329" i="2"/>
  <c r="C4721" i="2"/>
  <c r="C4657" i="2"/>
  <c r="C4593" i="2"/>
  <c r="C4529" i="2"/>
  <c r="C4465" i="2"/>
  <c r="C4401" i="2"/>
  <c r="C4337" i="2"/>
  <c r="C4273" i="2"/>
  <c r="C4209" i="2"/>
  <c r="C4135" i="2"/>
  <c r="C4119" i="2"/>
  <c r="C4097" i="2"/>
  <c r="C4017" i="2"/>
  <c r="C3991" i="2"/>
  <c r="C3871" i="2"/>
  <c r="C3851" i="2"/>
  <c r="C3767" i="2"/>
  <c r="C3744" i="2"/>
  <c r="C3739" i="2"/>
  <c r="C3706" i="2"/>
  <c r="C3682" i="2"/>
  <c r="C3658" i="2"/>
  <c r="C3634" i="2"/>
  <c r="C3610" i="2"/>
  <c r="C3586" i="2"/>
  <c r="C3562" i="2"/>
  <c r="C3538" i="2"/>
  <c r="C3514" i="2"/>
  <c r="C3490" i="2"/>
  <c r="C3466" i="2"/>
  <c r="C3442" i="2"/>
  <c r="C3418" i="2"/>
  <c r="C3394" i="2"/>
  <c r="C3370" i="2"/>
  <c r="C3346" i="2"/>
  <c r="C3322" i="2"/>
  <c r="C3298" i="2"/>
  <c r="C3274" i="2"/>
  <c r="C3250" i="2"/>
  <c r="C3226" i="2"/>
  <c r="C3202" i="2"/>
  <c r="C3178" i="2"/>
  <c r="C3154" i="2"/>
  <c r="C3130" i="2"/>
  <c r="C3106" i="2"/>
  <c r="C3082" i="2"/>
  <c r="C3058" i="2"/>
  <c r="C3034" i="2"/>
  <c r="C3010" i="2"/>
  <c r="C2986" i="2"/>
  <c r="C2962" i="2"/>
  <c r="C2938" i="2"/>
  <c r="C2914" i="2"/>
  <c r="C2890" i="2"/>
  <c r="C2866" i="2"/>
  <c r="C2842" i="2"/>
  <c r="C2818" i="2"/>
  <c r="C2794" i="2"/>
  <c r="C2770" i="2"/>
  <c r="C2746" i="2"/>
  <c r="C2722" i="2"/>
  <c r="C2698" i="2"/>
  <c r="C2674" i="2"/>
  <c r="C2650" i="2"/>
  <c r="C2626" i="2"/>
  <c r="C2602" i="2"/>
  <c r="C2578" i="2"/>
  <c r="C2554" i="2"/>
  <c r="C2530" i="2"/>
  <c r="C2506" i="2"/>
  <c r="C2482" i="2"/>
  <c r="C2458" i="2"/>
  <c r="C2434" i="2"/>
  <c r="C2410" i="2"/>
  <c r="C2386" i="2"/>
  <c r="C2362" i="2"/>
  <c r="C2338" i="2"/>
  <c r="C2314" i="2"/>
  <c r="C4059" i="2"/>
  <c r="C4001" i="2"/>
  <c r="C3975" i="2"/>
  <c r="C3959" i="2"/>
  <c r="C3933" i="2"/>
  <c r="C3881" i="2"/>
  <c r="C3861" i="2"/>
  <c r="C3841" i="2"/>
  <c r="C3831" i="2"/>
  <c r="C3821" i="2"/>
  <c r="C3801" i="2"/>
  <c r="C3757" i="2"/>
  <c r="C3748" i="2"/>
  <c r="C3725" i="2"/>
  <c r="C3701" i="2"/>
  <c r="C3677" i="2"/>
  <c r="C3653" i="2"/>
  <c r="C3629" i="2"/>
  <c r="C3605" i="2"/>
  <c r="C3581" i="2"/>
  <c r="C3557" i="2"/>
  <c r="C3533" i="2"/>
  <c r="C3509" i="2"/>
  <c r="C3485" i="2"/>
  <c r="C3461" i="2"/>
  <c r="C3437" i="2"/>
  <c r="C3413" i="2"/>
  <c r="C3389" i="2"/>
  <c r="C3365" i="2"/>
  <c r="C3341" i="2"/>
  <c r="C3317" i="2"/>
  <c r="C3293" i="2"/>
  <c r="C3269" i="2"/>
  <c r="C3245" i="2"/>
  <c r="C3221" i="2"/>
  <c r="C3197" i="2"/>
  <c r="C3173" i="2"/>
  <c r="C3149" i="2"/>
  <c r="C3125" i="2"/>
  <c r="C3101" i="2"/>
  <c r="C3077" i="2"/>
  <c r="C3053" i="2"/>
  <c r="C3029" i="2"/>
  <c r="C3005" i="2"/>
  <c r="C2981" i="2"/>
  <c r="C2957" i="2"/>
  <c r="C2933" i="2"/>
  <c r="C2909" i="2"/>
  <c r="C2885" i="2"/>
  <c r="C2861" i="2"/>
  <c r="C2837" i="2"/>
  <c r="C2813" i="2"/>
  <c r="C2789" i="2"/>
  <c r="C2765" i="2"/>
  <c r="C2741" i="2"/>
  <c r="C2717" i="2"/>
  <c r="C2693" i="2"/>
  <c r="C2669" i="2"/>
  <c r="C2645" i="2"/>
  <c r="C2621" i="2"/>
  <c r="C2597" i="2"/>
  <c r="C2573" i="2"/>
  <c r="C2549" i="2"/>
  <c r="C2525" i="2"/>
  <c r="C2501" i="2"/>
  <c r="C2477" i="2"/>
  <c r="C2453" i="2"/>
  <c r="C2429" i="2"/>
  <c r="C2405" i="2"/>
  <c r="C2381" i="2"/>
  <c r="C2357" i="2"/>
  <c r="C2333" i="2"/>
  <c r="C4107" i="2"/>
  <c r="C4053" i="2"/>
  <c r="C4011" i="2"/>
  <c r="C3969" i="2"/>
  <c r="C3943" i="2"/>
  <c r="C3891" i="2"/>
  <c r="C3791" i="2"/>
  <c r="C3771" i="2"/>
  <c r="C3761" i="2"/>
  <c r="C3752" i="2"/>
  <c r="C3710" i="2"/>
  <c r="C3686" i="2"/>
  <c r="C3662" i="2"/>
  <c r="C3638" i="2"/>
  <c r="C3614" i="2"/>
  <c r="C3590" i="2"/>
  <c r="C3566" i="2"/>
  <c r="C3542" i="2"/>
  <c r="C3518" i="2"/>
  <c r="C3494" i="2"/>
  <c r="C3470" i="2"/>
  <c r="C3446" i="2"/>
  <c r="C3422" i="2"/>
  <c r="C3398" i="2"/>
  <c r="C3374" i="2"/>
  <c r="C3350" i="2"/>
  <c r="C3326" i="2"/>
  <c r="C3302" i="2"/>
  <c r="C3278" i="2"/>
  <c r="C3254" i="2"/>
  <c r="C3230" i="2"/>
  <c r="C3206" i="2"/>
  <c r="C3182" i="2"/>
  <c r="C3158" i="2"/>
  <c r="C3134" i="2"/>
  <c r="C3110" i="2"/>
  <c r="C3086" i="2"/>
  <c r="C3062" i="2"/>
  <c r="C3038" i="2"/>
  <c r="C3014" i="2"/>
  <c r="C2990" i="2"/>
  <c r="C2966" i="2"/>
  <c r="C2942" i="2"/>
  <c r="C2918" i="2"/>
  <c r="C2894" i="2"/>
  <c r="C2870" i="2"/>
  <c r="C2846" i="2"/>
  <c r="C2822" i="2"/>
  <c r="C2798" i="2"/>
  <c r="C2774" i="2"/>
  <c r="C2750" i="2"/>
  <c r="C2726" i="2"/>
  <c r="C2702" i="2"/>
  <c r="C2678" i="2"/>
  <c r="C2654" i="2"/>
  <c r="C2630" i="2"/>
  <c r="C2606" i="2"/>
  <c r="C2582" i="2"/>
  <c r="C2558" i="2"/>
  <c r="C2534" i="2"/>
  <c r="C2510" i="2"/>
  <c r="C2486" i="2"/>
  <c r="C2462" i="2"/>
  <c r="C2438" i="2"/>
  <c r="C2414" i="2"/>
  <c r="C2390" i="2"/>
  <c r="C2366" i="2"/>
  <c r="C2342" i="2"/>
  <c r="C2318" i="2"/>
  <c r="C4673" i="2"/>
  <c r="C4609" i="2"/>
  <c r="C4545" i="2"/>
  <c r="C4481" i="2"/>
  <c r="C4417" i="2"/>
  <c r="C4353" i="2"/>
  <c r="C4289" i="2"/>
  <c r="C4225" i="2"/>
  <c r="C4179" i="2"/>
  <c r="C4101" i="2"/>
  <c r="C3953" i="2"/>
  <c r="C3927" i="2"/>
  <c r="C3911" i="2"/>
  <c r="C3865" i="2"/>
  <c r="C3855" i="2"/>
  <c r="C3845" i="2"/>
  <c r="C3825" i="2"/>
  <c r="C3743" i="2"/>
  <c r="C3729" i="2"/>
  <c r="C3705" i="2"/>
  <c r="C3681" i="2"/>
  <c r="C3657" i="2"/>
  <c r="C3633" i="2"/>
  <c r="C3609" i="2"/>
  <c r="C3585" i="2"/>
  <c r="C3561" i="2"/>
  <c r="C3537" i="2"/>
  <c r="C3513" i="2"/>
  <c r="C3489" i="2"/>
  <c r="C3465" i="2"/>
  <c r="C3441" i="2"/>
  <c r="C3417" i="2"/>
  <c r="C3393" i="2"/>
  <c r="C3369" i="2"/>
  <c r="C3345" i="2"/>
  <c r="C3321" i="2"/>
  <c r="C3297" i="2"/>
  <c r="C3273" i="2"/>
  <c r="C3249" i="2"/>
  <c r="C3225" i="2"/>
  <c r="C3201" i="2"/>
  <c r="C3177" i="2"/>
  <c r="C3153" i="2"/>
  <c r="C3129" i="2"/>
  <c r="C3105" i="2"/>
  <c r="C3081" i="2"/>
  <c r="C3057" i="2"/>
  <c r="C3033" i="2"/>
  <c r="C3009" i="2"/>
  <c r="C2985" i="2"/>
  <c r="C2961" i="2"/>
  <c r="C2937" i="2"/>
  <c r="C2913" i="2"/>
  <c r="C2889" i="2"/>
  <c r="C2865" i="2"/>
  <c r="C2841" i="2"/>
  <c r="C2817" i="2"/>
  <c r="C2793" i="2"/>
  <c r="C2769" i="2"/>
  <c r="C2745" i="2"/>
  <c r="C2721" i="2"/>
  <c r="C2697" i="2"/>
  <c r="C2673" i="2"/>
  <c r="C2649" i="2"/>
  <c r="C2625" i="2"/>
  <c r="C2601" i="2"/>
  <c r="C2577" i="2"/>
  <c r="C2553" i="2"/>
  <c r="C2529" i="2"/>
  <c r="C2505" i="2"/>
  <c r="C2481" i="2"/>
  <c r="C2457" i="2"/>
  <c r="C2433" i="2"/>
  <c r="C2409" i="2"/>
  <c r="C2385" i="2"/>
  <c r="C2361" i="2"/>
  <c r="C2337" i="2"/>
  <c r="C2313" i="2"/>
  <c r="C2308" i="2"/>
  <c r="C2304" i="2"/>
  <c r="C2300" i="2"/>
  <c r="C2296" i="2"/>
  <c r="C2292" i="2"/>
  <c r="C2288" i="2"/>
  <c r="C2284" i="2"/>
  <c r="C2280" i="2"/>
  <c r="C2276" i="2"/>
  <c r="C2272" i="2"/>
  <c r="C2268" i="2"/>
  <c r="C2264" i="2"/>
  <c r="C2260" i="2"/>
  <c r="C2256" i="2"/>
  <c r="C2252" i="2"/>
  <c r="C2248" i="2"/>
  <c r="C2244" i="2"/>
  <c r="C2240" i="2"/>
  <c r="C2236" i="2"/>
  <c r="C2232" i="2"/>
  <c r="C2228" i="2"/>
  <c r="C2224" i="2"/>
  <c r="C2220" i="2"/>
  <c r="C2216" i="2"/>
  <c r="C2212" i="2"/>
  <c r="C2208" i="2"/>
  <c r="C2204" i="2"/>
  <c r="C2200" i="2"/>
  <c r="C2196" i="2"/>
  <c r="C2192" i="2"/>
  <c r="C2188" i="2"/>
  <c r="C2184" i="2"/>
  <c r="C2180" i="2"/>
  <c r="C2176" i="2"/>
  <c r="C2172" i="2"/>
  <c r="C2168" i="2"/>
  <c r="C2164" i="2"/>
  <c r="C2160" i="2"/>
  <c r="C2156" i="2"/>
  <c r="C2152" i="2"/>
  <c r="C2148" i="2"/>
  <c r="C2144" i="2"/>
  <c r="C2140" i="2"/>
  <c r="C2136" i="2"/>
  <c r="C2132" i="2"/>
  <c r="C2128" i="2"/>
  <c r="C2124" i="2"/>
  <c r="C2120" i="2"/>
  <c r="C2116" i="2"/>
  <c r="C2112" i="2"/>
  <c r="C2108" i="2"/>
  <c r="C2104" i="2"/>
  <c r="C2100" i="2"/>
  <c r="C2096" i="2"/>
  <c r="C2092" i="2"/>
  <c r="C2088" i="2"/>
  <c r="C2084" i="2"/>
  <c r="C2080" i="2"/>
  <c r="C2076" i="2"/>
  <c r="C2072" i="2"/>
  <c r="C2068" i="2"/>
  <c r="C2064" i="2"/>
  <c r="C2060" i="2"/>
  <c r="C2056" i="2"/>
  <c r="C2052" i="2"/>
  <c r="C2048" i="2"/>
  <c r="C2044" i="2"/>
  <c r="C2040" i="2"/>
  <c r="C2036" i="2"/>
  <c r="C2032" i="2"/>
  <c r="C2028" i="2"/>
  <c r="C2024" i="2"/>
  <c r="C2020" i="2"/>
  <c r="C2016" i="2"/>
  <c r="C2012" i="2"/>
  <c r="C2008" i="2"/>
  <c r="C2004" i="2"/>
  <c r="C2000" i="2"/>
  <c r="C1996" i="2"/>
  <c r="C1992" i="2"/>
  <c r="C1988" i="2"/>
  <c r="C1984" i="2"/>
  <c r="C1980" i="2"/>
  <c r="C1976" i="2"/>
  <c r="C1972" i="2"/>
  <c r="C1968" i="2"/>
  <c r="C1964" i="2"/>
  <c r="C1960" i="2"/>
  <c r="C1956" i="2"/>
  <c r="C1952" i="2"/>
  <c r="C1948" i="2"/>
  <c r="C1944" i="2"/>
  <c r="C1940" i="2"/>
  <c r="C1936" i="2"/>
  <c r="C1932" i="2"/>
  <c r="C1928" i="2"/>
  <c r="C1924" i="2"/>
  <c r="C1920" i="2"/>
  <c r="C1916" i="2"/>
  <c r="C1912" i="2"/>
  <c r="C1908" i="2"/>
  <c r="C1904" i="2"/>
  <c r="C1900" i="2"/>
  <c r="C1896" i="2"/>
  <c r="C1892" i="2"/>
  <c r="C1888" i="2"/>
  <c r="C1884" i="2"/>
  <c r="C1880" i="2"/>
  <c r="C1876" i="2"/>
  <c r="C1872" i="2"/>
  <c r="C1868" i="2"/>
  <c r="C1864" i="2"/>
  <c r="C1860" i="2"/>
  <c r="C1856" i="2"/>
  <c r="C1852" i="2"/>
  <c r="C1848" i="2"/>
  <c r="C1844" i="2"/>
  <c r="C1840" i="2"/>
  <c r="C1836" i="2"/>
  <c r="C1832" i="2"/>
  <c r="C1828" i="2"/>
  <c r="C1824" i="2"/>
  <c r="C1820" i="2"/>
  <c r="C1816" i="2"/>
  <c r="C1812" i="2"/>
  <c r="C1808" i="2"/>
  <c r="C1804" i="2"/>
  <c r="C1800" i="2"/>
  <c r="C1796" i="2"/>
  <c r="C1792" i="2"/>
  <c r="C1788" i="2"/>
  <c r="C1784" i="2"/>
  <c r="C1780" i="2"/>
  <c r="C1776" i="2"/>
  <c r="C1772" i="2"/>
  <c r="C1768" i="2"/>
  <c r="C1764" i="2"/>
  <c r="C1760" i="2"/>
  <c r="C1756" i="2"/>
  <c r="C1752" i="2"/>
  <c r="C1748" i="2"/>
  <c r="C1744" i="2"/>
  <c r="C1740" i="2"/>
  <c r="C1736" i="2"/>
  <c r="C1732" i="2"/>
  <c r="C1728" i="2"/>
  <c r="C1724" i="2"/>
  <c r="C1720" i="2"/>
  <c r="C1716" i="2"/>
  <c r="C1712" i="2"/>
  <c r="C1708" i="2"/>
  <c r="C1704" i="2"/>
  <c r="C1700" i="2"/>
  <c r="C1696" i="2"/>
  <c r="C1692" i="2"/>
  <c r="C1688" i="2"/>
  <c r="C1684" i="2"/>
  <c r="C1680" i="2"/>
  <c r="C1676" i="2"/>
  <c r="C1672" i="2"/>
  <c r="C1668" i="2"/>
  <c r="C1664" i="2"/>
  <c r="C1660" i="2"/>
  <c r="C1656" i="2"/>
  <c r="C1652" i="2"/>
  <c r="C1648" i="2"/>
  <c r="C1644" i="2"/>
  <c r="C1640" i="2"/>
  <c r="C1636" i="2"/>
  <c r="C1632" i="2"/>
  <c r="C1628" i="2"/>
  <c r="C1624" i="2"/>
  <c r="C1620" i="2"/>
  <c r="C1616" i="2"/>
  <c r="C1612" i="2"/>
  <c r="C1608" i="2"/>
  <c r="C1604" i="2"/>
  <c r="C1600" i="2"/>
  <c r="C1596" i="2"/>
  <c r="C1592" i="2"/>
  <c r="C1588" i="2"/>
  <c r="C1584" i="2"/>
  <c r="C1580" i="2"/>
  <c r="C1576" i="2"/>
  <c r="C1572" i="2"/>
  <c r="C1568" i="2"/>
  <c r="C1564" i="2"/>
  <c r="C1560" i="2"/>
  <c r="C1556" i="2"/>
  <c r="C1552" i="2"/>
  <c r="C1548" i="2"/>
  <c r="C1544" i="2"/>
  <c r="C1540" i="2"/>
  <c r="C1536" i="2"/>
  <c r="C1532" i="2"/>
  <c r="C2311" i="2"/>
  <c r="C2307" i="2"/>
  <c r="C2303" i="2"/>
  <c r="C2299" i="2"/>
  <c r="C2295" i="2"/>
  <c r="C2291" i="2"/>
  <c r="C2287" i="2"/>
  <c r="C2283" i="2"/>
  <c r="C2279" i="2"/>
  <c r="C2275" i="2"/>
  <c r="C2271" i="2"/>
  <c r="C2267" i="2"/>
  <c r="C2263" i="2"/>
  <c r="C2259" i="2"/>
  <c r="C2255" i="2"/>
  <c r="C2251" i="2"/>
  <c r="C2247" i="2"/>
  <c r="C2243" i="2"/>
  <c r="C2239" i="2"/>
  <c r="C2235" i="2"/>
  <c r="C2231" i="2"/>
  <c r="C2227" i="2"/>
  <c r="C2223" i="2"/>
  <c r="C2219" i="2"/>
  <c r="C2215" i="2"/>
  <c r="C2211" i="2"/>
  <c r="C2207" i="2"/>
  <c r="C2203" i="2"/>
  <c r="C2199" i="2"/>
  <c r="C2195" i="2"/>
  <c r="C2191" i="2"/>
  <c r="C2187" i="2"/>
  <c r="C2183" i="2"/>
  <c r="C2179" i="2"/>
  <c r="C2175" i="2"/>
  <c r="C2171" i="2"/>
  <c r="C2167" i="2"/>
  <c r="C2163" i="2"/>
  <c r="C2159" i="2"/>
  <c r="C2155" i="2"/>
  <c r="C2151" i="2"/>
  <c r="C2147" i="2"/>
  <c r="C2143" i="2"/>
  <c r="C2139" i="2"/>
  <c r="C2135" i="2"/>
  <c r="C2131" i="2"/>
  <c r="C2127" i="2"/>
  <c r="C2123" i="2"/>
  <c r="C2119" i="2"/>
  <c r="C2115" i="2"/>
  <c r="C2111" i="2"/>
  <c r="C2107" i="2"/>
  <c r="C2103" i="2"/>
  <c r="C2099" i="2"/>
  <c r="C2095" i="2"/>
  <c r="C2091" i="2"/>
  <c r="C2087" i="2"/>
  <c r="C2083" i="2"/>
  <c r="C2079" i="2"/>
  <c r="C2075" i="2"/>
  <c r="C2071" i="2"/>
  <c r="C2067" i="2"/>
  <c r="C2063" i="2"/>
  <c r="C2059" i="2"/>
  <c r="C2055" i="2"/>
  <c r="C2051" i="2"/>
  <c r="C2047" i="2"/>
  <c r="C2043" i="2"/>
  <c r="C2039" i="2"/>
  <c r="C2035" i="2"/>
  <c r="C2298" i="2"/>
  <c r="C2274" i="2"/>
  <c r="C2250" i="2"/>
  <c r="C2226" i="2"/>
  <c r="C2202" i="2"/>
  <c r="C2178" i="2"/>
  <c r="C2154" i="2"/>
  <c r="C2130" i="2"/>
  <c r="C2106" i="2"/>
  <c r="C2082" i="2"/>
  <c r="C2058" i="2"/>
  <c r="C2034" i="2"/>
  <c r="C2021" i="2"/>
  <c r="C1999" i="2"/>
  <c r="C1986" i="2"/>
  <c r="C1973" i="2"/>
  <c r="C1951" i="2"/>
  <c r="C1938" i="2"/>
  <c r="C1925" i="2"/>
  <c r="C1903" i="2"/>
  <c r="C1890" i="2"/>
  <c r="C1877" i="2"/>
  <c r="C1855" i="2"/>
  <c r="C1842" i="2"/>
  <c r="C1829" i="2"/>
  <c r="C1807" i="2"/>
  <c r="C1794" i="2"/>
  <c r="C1781" i="2"/>
  <c r="C1759" i="2"/>
  <c r="C1746" i="2"/>
  <c r="C1733" i="2"/>
  <c r="C1711" i="2"/>
  <c r="C1698" i="2"/>
  <c r="C1685" i="2"/>
  <c r="C1663" i="2"/>
  <c r="C1650" i="2"/>
  <c r="C1637" i="2"/>
  <c r="C1615" i="2"/>
  <c r="C1602" i="2"/>
  <c r="C1589" i="2"/>
  <c r="C1567" i="2"/>
  <c r="C1554" i="2"/>
  <c r="C1541" i="2"/>
  <c r="C1528" i="2"/>
  <c r="C1524" i="2"/>
  <c r="C1520" i="2"/>
  <c r="C1516" i="2"/>
  <c r="C1512" i="2"/>
  <c r="C1508" i="2"/>
  <c r="C1504" i="2"/>
  <c r="C1500" i="2"/>
  <c r="C1496" i="2"/>
  <c r="C1492" i="2"/>
  <c r="C1488" i="2"/>
  <c r="C1484" i="2"/>
  <c r="C1480" i="2"/>
  <c r="C1476" i="2"/>
  <c r="C1472" i="2"/>
  <c r="C1468" i="2"/>
  <c r="C1464" i="2"/>
  <c r="C1460" i="2"/>
  <c r="C1456" i="2"/>
  <c r="C1452" i="2"/>
  <c r="C1448" i="2"/>
  <c r="C1444" i="2"/>
  <c r="C1440" i="2"/>
  <c r="C1436" i="2"/>
  <c r="C1432" i="2"/>
  <c r="C1428" i="2"/>
  <c r="C1424" i="2"/>
  <c r="C1420" i="2"/>
  <c r="C1416" i="2"/>
  <c r="C1412" i="2"/>
  <c r="C1408" i="2"/>
  <c r="C1404" i="2"/>
  <c r="C1400" i="2"/>
  <c r="C1396" i="2"/>
  <c r="C1392" i="2"/>
  <c r="C1388" i="2"/>
  <c r="C1384" i="2"/>
  <c r="C1380" i="2"/>
  <c r="C1376" i="2"/>
  <c r="C1372" i="2"/>
  <c r="C1368" i="2"/>
  <c r="C1364" i="2"/>
  <c r="C1360" i="2"/>
  <c r="C1356" i="2"/>
  <c r="C1352" i="2"/>
  <c r="C1348" i="2"/>
  <c r="C1344" i="2"/>
  <c r="C1340" i="2"/>
  <c r="C1336" i="2"/>
  <c r="C1332" i="2"/>
  <c r="C1328" i="2"/>
  <c r="C1324" i="2"/>
  <c r="C1320" i="2"/>
  <c r="C1316" i="2"/>
  <c r="C1312" i="2"/>
  <c r="C1308" i="2"/>
  <c r="C1304" i="2"/>
  <c r="C1300" i="2"/>
  <c r="C1296" i="2"/>
  <c r="C1292" i="2"/>
  <c r="C1288" i="2"/>
  <c r="C1284" i="2"/>
  <c r="C1280" i="2"/>
  <c r="C1276" i="2"/>
  <c r="C1272" i="2"/>
  <c r="C1268" i="2"/>
  <c r="C1264" i="2"/>
  <c r="C1260" i="2"/>
  <c r="C1256" i="2"/>
  <c r="C1252" i="2"/>
  <c r="C1248" i="2"/>
  <c r="C1244" i="2"/>
  <c r="C1240" i="2"/>
  <c r="C1236" i="2"/>
  <c r="C1232" i="2"/>
  <c r="C1228" i="2"/>
  <c r="C1224" i="2"/>
  <c r="C1220" i="2"/>
  <c r="C1216" i="2"/>
  <c r="C1212" i="2"/>
  <c r="C1208" i="2"/>
  <c r="C1204" i="2"/>
  <c r="C1200" i="2"/>
  <c r="C1196" i="2"/>
  <c r="C1192" i="2"/>
  <c r="C1188" i="2"/>
  <c r="C1184" i="2"/>
  <c r="C1180" i="2"/>
  <c r="C1176" i="2"/>
  <c r="C1172" i="2"/>
  <c r="C1168" i="2"/>
  <c r="C1164" i="2"/>
  <c r="C1160" i="2"/>
  <c r="C1156" i="2"/>
  <c r="C1152" i="2"/>
  <c r="C1148" i="2"/>
  <c r="C1144" i="2"/>
  <c r="C1140" i="2"/>
  <c r="C1136" i="2"/>
  <c r="C1132" i="2"/>
  <c r="C1128" i="2"/>
  <c r="C1124" i="2"/>
  <c r="C1120" i="2"/>
  <c r="C1116" i="2"/>
  <c r="C1112" i="2"/>
  <c r="C1108" i="2"/>
  <c r="C1104" i="2"/>
  <c r="C1100" i="2"/>
  <c r="C1096" i="2"/>
  <c r="C1092" i="2"/>
  <c r="C1088" i="2"/>
  <c r="C1084" i="2"/>
  <c r="C1080" i="2"/>
  <c r="C1076" i="2"/>
  <c r="C1072" i="2"/>
  <c r="C1068" i="2"/>
  <c r="C1064" i="2"/>
  <c r="C1060" i="2"/>
  <c r="C1056" i="2"/>
  <c r="C1052" i="2"/>
  <c r="C1048" i="2"/>
  <c r="C1044" i="2"/>
  <c r="C1040" i="2"/>
  <c r="C1036" i="2"/>
  <c r="C1032" i="2"/>
  <c r="C1028" i="2"/>
  <c r="C1024" i="2"/>
  <c r="C1020" i="2"/>
  <c r="C1016" i="2"/>
  <c r="C1012" i="2"/>
  <c r="C1008" i="2"/>
  <c r="C1004" i="2"/>
  <c r="C1000" i="2"/>
  <c r="C996" i="2"/>
  <c r="C992" i="2"/>
  <c r="C988" i="2"/>
  <c r="C984" i="2"/>
  <c r="C980" i="2"/>
  <c r="C976" i="2"/>
  <c r="C972" i="2"/>
  <c r="C968" i="2"/>
  <c r="C964" i="2"/>
  <c r="C960" i="2"/>
  <c r="C956" i="2"/>
  <c r="C952" i="2"/>
  <c r="C948" i="2"/>
  <c r="C944" i="2"/>
  <c r="C940" i="2"/>
  <c r="C936" i="2"/>
  <c r="C932" i="2"/>
  <c r="C928" i="2"/>
  <c r="C924" i="2"/>
  <c r="C920" i="2"/>
  <c r="C916" i="2"/>
  <c r="C912" i="2"/>
  <c r="C908" i="2"/>
  <c r="C904" i="2"/>
  <c r="C900" i="2"/>
  <c r="C896" i="2"/>
  <c r="C892" i="2"/>
  <c r="C888" i="2"/>
  <c r="C884" i="2"/>
  <c r="C880" i="2"/>
  <c r="C876" i="2"/>
  <c r="C872" i="2"/>
  <c r="C868" i="2"/>
  <c r="C864" i="2"/>
  <c r="C860" i="2"/>
  <c r="C856" i="2"/>
  <c r="C852" i="2"/>
  <c r="C848" i="2"/>
  <c r="C844" i="2"/>
  <c r="C840" i="2"/>
  <c r="C836" i="2"/>
  <c r="C832" i="2"/>
  <c r="C828" i="2"/>
  <c r="C824" i="2"/>
  <c r="C820" i="2"/>
  <c r="C816" i="2"/>
  <c r="C812" i="2"/>
  <c r="C808" i="2"/>
  <c r="C804" i="2"/>
  <c r="C800" i="2"/>
  <c r="C796" i="2"/>
  <c r="C792" i="2"/>
  <c r="C788" i="2"/>
  <c r="C784" i="2"/>
  <c r="C780" i="2"/>
  <c r="C776" i="2"/>
  <c r="C772" i="2"/>
  <c r="C768" i="2"/>
  <c r="C764" i="2"/>
  <c r="C760" i="2"/>
  <c r="C756" i="2"/>
  <c r="C752" i="2"/>
  <c r="C748" i="2"/>
  <c r="C744" i="2"/>
  <c r="C740" i="2"/>
  <c r="C736" i="2"/>
  <c r="C732" i="2"/>
  <c r="C728" i="2"/>
  <c r="C724" i="2"/>
  <c r="C720" i="2"/>
  <c r="C716" i="2"/>
  <c r="C712" i="2"/>
  <c r="C708" i="2"/>
  <c r="C704" i="2"/>
  <c r="C700" i="2"/>
  <c r="C696" i="2"/>
  <c r="C692" i="2"/>
  <c r="C688" i="2"/>
  <c r="C684" i="2"/>
  <c r="C680" i="2"/>
  <c r="C676" i="2"/>
  <c r="C672" i="2"/>
  <c r="C668" i="2"/>
  <c r="C664" i="2"/>
  <c r="C660" i="2"/>
  <c r="C656" i="2"/>
  <c r="C652" i="2"/>
  <c r="C648" i="2"/>
  <c r="C644" i="2"/>
  <c r="C640" i="2"/>
  <c r="C636" i="2"/>
  <c r="C632" i="2"/>
  <c r="C628" i="2"/>
  <c r="C624" i="2"/>
  <c r="C620" i="2"/>
  <c r="C616" i="2"/>
  <c r="C612" i="2"/>
  <c r="C608" i="2"/>
  <c r="C604" i="2"/>
  <c r="C600" i="2"/>
  <c r="C596" i="2"/>
  <c r="C592" i="2"/>
  <c r="C588" i="2"/>
  <c r="C584" i="2"/>
  <c r="C580" i="2"/>
  <c r="C576" i="2"/>
  <c r="C572" i="2"/>
  <c r="C568" i="2"/>
  <c r="C564" i="2"/>
  <c r="C560" i="2"/>
  <c r="C556" i="2"/>
  <c r="C552" i="2"/>
  <c r="C548" i="2"/>
  <c r="C544" i="2"/>
  <c r="C540" i="2"/>
  <c r="C536" i="2"/>
  <c r="C532" i="2"/>
  <c r="C528" i="2"/>
  <c r="C524" i="2"/>
  <c r="C520" i="2"/>
  <c r="C516" i="2"/>
  <c r="C512" i="2"/>
  <c r="C508" i="2"/>
  <c r="C504" i="2"/>
  <c r="C500" i="2"/>
  <c r="C496" i="2"/>
  <c r="C492" i="2"/>
  <c r="C488" i="2"/>
  <c r="C484" i="2"/>
  <c r="C480" i="2"/>
  <c r="C476" i="2"/>
  <c r="C472" i="2"/>
  <c r="C468" i="2"/>
  <c r="C464" i="2"/>
  <c r="C460" i="2"/>
  <c r="C456" i="2"/>
  <c r="C452" i="2"/>
  <c r="C448" i="2"/>
  <c r="C444" i="2"/>
  <c r="C440" i="2"/>
  <c r="C436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4" i="2"/>
  <c r="C40" i="2"/>
  <c r="C36" i="2"/>
  <c r="C32" i="2"/>
  <c r="C28" i="2"/>
  <c r="C24" i="2"/>
  <c r="C20" i="2"/>
  <c r="C16" i="2"/>
  <c r="C12" i="2"/>
  <c r="C8" i="2"/>
  <c r="C4" i="2"/>
  <c r="C2293" i="2"/>
  <c r="C2269" i="2"/>
  <c r="C2245" i="2"/>
  <c r="C2221" i="2"/>
  <c r="C2197" i="2"/>
  <c r="C2173" i="2"/>
  <c r="C2149" i="2"/>
  <c r="C2125" i="2"/>
  <c r="C2101" i="2"/>
  <c r="C2077" i="2"/>
  <c r="C2053" i="2"/>
  <c r="C2025" i="2"/>
  <c r="C2003" i="2"/>
  <c r="C1990" i="2"/>
  <c r="C1977" i="2"/>
  <c r="C1955" i="2"/>
  <c r="C1942" i="2"/>
  <c r="C1929" i="2"/>
  <c r="C1907" i="2"/>
  <c r="C1894" i="2"/>
  <c r="C1881" i="2"/>
  <c r="C1859" i="2"/>
  <c r="C1846" i="2"/>
  <c r="C1833" i="2"/>
  <c r="C1811" i="2"/>
  <c r="C1798" i="2"/>
  <c r="C1785" i="2"/>
  <c r="C1763" i="2"/>
  <c r="C1750" i="2"/>
  <c r="C1737" i="2"/>
  <c r="C1715" i="2"/>
  <c r="C1702" i="2"/>
  <c r="C1689" i="2"/>
  <c r="C1667" i="2"/>
  <c r="C1654" i="2"/>
  <c r="C1641" i="2"/>
  <c r="C1619" i="2"/>
  <c r="C1606" i="2"/>
  <c r="C1593" i="2"/>
  <c r="C1571" i="2"/>
  <c r="C1558" i="2"/>
  <c r="C1545" i="2"/>
  <c r="C2302" i="2"/>
  <c r="C2278" i="2"/>
  <c r="C2254" i="2"/>
  <c r="C2230" i="2"/>
  <c r="C2206" i="2"/>
  <c r="C2182" i="2"/>
  <c r="C2158" i="2"/>
  <c r="C2134" i="2"/>
  <c r="C2110" i="2"/>
  <c r="C2086" i="2"/>
  <c r="C2062" i="2"/>
  <c r="C2038" i="2"/>
  <c r="C2029" i="2"/>
  <c r="C2007" i="2"/>
  <c r="C1994" i="2"/>
  <c r="C1981" i="2"/>
  <c r="C1959" i="2"/>
  <c r="C1946" i="2"/>
  <c r="C1933" i="2"/>
  <c r="C1911" i="2"/>
  <c r="C1898" i="2"/>
  <c r="C1885" i="2"/>
  <c r="C1863" i="2"/>
  <c r="C1850" i="2"/>
  <c r="C1837" i="2"/>
  <c r="C1815" i="2"/>
  <c r="C1802" i="2"/>
  <c r="C1789" i="2"/>
  <c r="C1767" i="2"/>
  <c r="C1754" i="2"/>
  <c r="C1741" i="2"/>
  <c r="C1719" i="2"/>
  <c r="C1706" i="2"/>
  <c r="C1693" i="2"/>
  <c r="C1671" i="2"/>
  <c r="C1658" i="2"/>
  <c r="C1645" i="2"/>
  <c r="C1623" i="2"/>
  <c r="C1610" i="2"/>
  <c r="C1597" i="2"/>
  <c r="C1575" i="2"/>
  <c r="C1562" i="2"/>
  <c r="C1549" i="2"/>
  <c r="C2297" i="2"/>
  <c r="C2273" i="2"/>
  <c r="C2249" i="2"/>
  <c r="C2225" i="2"/>
  <c r="C2201" i="2"/>
  <c r="C2177" i="2"/>
  <c r="C2153" i="2"/>
  <c r="C2129" i="2"/>
  <c r="C2105" i="2"/>
  <c r="C2081" i="2"/>
  <c r="C2057" i="2"/>
  <c r="C2033" i="2"/>
  <c r="C2011" i="2"/>
  <c r="C1998" i="2"/>
  <c r="C1985" i="2"/>
  <c r="C1963" i="2"/>
  <c r="C1950" i="2"/>
  <c r="C1937" i="2"/>
  <c r="C1915" i="2"/>
  <c r="C1902" i="2"/>
  <c r="C1889" i="2"/>
  <c r="C1867" i="2"/>
  <c r="C1854" i="2"/>
  <c r="C1841" i="2"/>
  <c r="C1819" i="2"/>
  <c r="C1806" i="2"/>
  <c r="C1793" i="2"/>
  <c r="C1771" i="2"/>
  <c r="C1758" i="2"/>
  <c r="C1745" i="2"/>
  <c r="C1723" i="2"/>
  <c r="C1710" i="2"/>
  <c r="C1697" i="2"/>
  <c r="C1675" i="2"/>
  <c r="C1662" i="2"/>
  <c r="C1649" i="2"/>
  <c r="C1627" i="2"/>
  <c r="C1614" i="2"/>
  <c r="C1601" i="2"/>
  <c r="C1579" i="2"/>
  <c r="C1566" i="2"/>
  <c r="C1553" i="2"/>
  <c r="C1531" i="2"/>
  <c r="C1527" i="2"/>
  <c r="C1523" i="2"/>
  <c r="C1519" i="2"/>
  <c r="C1515" i="2"/>
  <c r="C1511" i="2"/>
  <c r="C1507" i="2"/>
  <c r="C1503" i="2"/>
  <c r="C1499" i="2"/>
  <c r="C1495" i="2"/>
  <c r="C1491" i="2"/>
  <c r="C1487" i="2"/>
  <c r="C1483" i="2"/>
  <c r="C1479" i="2"/>
  <c r="C1475" i="2"/>
  <c r="C1471" i="2"/>
  <c r="C1467" i="2"/>
  <c r="C1463" i="2"/>
  <c r="C1459" i="2"/>
  <c r="C1455" i="2"/>
  <c r="C1451" i="2"/>
  <c r="C1447" i="2"/>
  <c r="C1443" i="2"/>
  <c r="C1439" i="2"/>
  <c r="C1435" i="2"/>
  <c r="C1431" i="2"/>
  <c r="C1427" i="2"/>
  <c r="C1423" i="2"/>
  <c r="C1419" i="2"/>
  <c r="C1415" i="2"/>
  <c r="C1411" i="2"/>
  <c r="C1407" i="2"/>
  <c r="C1403" i="2"/>
  <c r="C1399" i="2"/>
  <c r="C1395" i="2"/>
  <c r="C1391" i="2"/>
  <c r="C1387" i="2"/>
  <c r="C1383" i="2"/>
  <c r="C1379" i="2"/>
  <c r="C1375" i="2"/>
  <c r="C1371" i="2"/>
  <c r="C1367" i="2"/>
  <c r="C1363" i="2"/>
  <c r="C1359" i="2"/>
  <c r="C1355" i="2"/>
  <c r="C1351" i="2"/>
  <c r="C1347" i="2"/>
  <c r="C1343" i="2"/>
  <c r="C1339" i="2"/>
  <c r="C1335" i="2"/>
  <c r="C1331" i="2"/>
  <c r="C1327" i="2"/>
  <c r="C1323" i="2"/>
  <c r="C1319" i="2"/>
  <c r="C1315" i="2"/>
  <c r="C1311" i="2"/>
  <c r="C1307" i="2"/>
  <c r="C1303" i="2"/>
  <c r="C1299" i="2"/>
  <c r="C1295" i="2"/>
  <c r="C1291" i="2"/>
  <c r="C1287" i="2"/>
  <c r="C1283" i="2"/>
  <c r="C1279" i="2"/>
  <c r="C1275" i="2"/>
  <c r="C1271" i="2"/>
  <c r="C1267" i="2"/>
  <c r="C1263" i="2"/>
  <c r="C1259" i="2"/>
  <c r="C1255" i="2"/>
  <c r="C1251" i="2"/>
  <c r="C1247" i="2"/>
  <c r="C1243" i="2"/>
  <c r="C1239" i="2"/>
  <c r="C1235" i="2"/>
  <c r="C1231" i="2"/>
  <c r="C1227" i="2"/>
  <c r="C1223" i="2"/>
  <c r="C1219" i="2"/>
  <c r="C1215" i="2"/>
  <c r="C1211" i="2"/>
  <c r="C1207" i="2"/>
  <c r="C1203" i="2"/>
  <c r="C1199" i="2"/>
  <c r="C1195" i="2"/>
  <c r="C1191" i="2"/>
  <c r="C1187" i="2"/>
  <c r="C1183" i="2"/>
  <c r="C1179" i="2"/>
  <c r="C1175" i="2"/>
  <c r="C1171" i="2"/>
  <c r="C1167" i="2"/>
  <c r="C1163" i="2"/>
  <c r="C1159" i="2"/>
  <c r="C1155" i="2"/>
  <c r="C1151" i="2"/>
  <c r="C1147" i="2"/>
  <c r="C1143" i="2"/>
  <c r="C1139" i="2"/>
  <c r="C1135" i="2"/>
  <c r="C1131" i="2"/>
  <c r="C1127" i="2"/>
  <c r="C1123" i="2"/>
  <c r="C1119" i="2"/>
  <c r="C1115" i="2"/>
  <c r="C1111" i="2"/>
  <c r="C1107" i="2"/>
  <c r="C1103" i="2"/>
  <c r="C1099" i="2"/>
  <c r="C1095" i="2"/>
  <c r="C1091" i="2"/>
  <c r="C1087" i="2"/>
  <c r="C1083" i="2"/>
  <c r="C1079" i="2"/>
  <c r="C1075" i="2"/>
  <c r="C1071" i="2"/>
  <c r="C1067" i="2"/>
  <c r="C1063" i="2"/>
  <c r="C1059" i="2"/>
  <c r="C1055" i="2"/>
  <c r="C1051" i="2"/>
  <c r="C1047" i="2"/>
  <c r="C1043" i="2"/>
  <c r="C1039" i="2"/>
  <c r="C1035" i="2"/>
  <c r="C1031" i="2"/>
  <c r="C1027" i="2"/>
  <c r="C1023" i="2"/>
  <c r="C1019" i="2"/>
  <c r="C1015" i="2"/>
  <c r="C1011" i="2"/>
  <c r="C1007" i="2"/>
  <c r="C1003" i="2"/>
  <c r="C999" i="2"/>
  <c r="C995" i="2"/>
  <c r="C991" i="2"/>
  <c r="C987" i="2"/>
  <c r="C983" i="2"/>
  <c r="C979" i="2"/>
  <c r="C975" i="2"/>
  <c r="C971" i="2"/>
  <c r="C967" i="2"/>
  <c r="C963" i="2"/>
  <c r="C959" i="2"/>
  <c r="C955" i="2"/>
  <c r="C951" i="2"/>
  <c r="C947" i="2"/>
  <c r="C943" i="2"/>
  <c r="C939" i="2"/>
  <c r="C935" i="2"/>
  <c r="C931" i="2"/>
  <c r="C927" i="2"/>
  <c r="C923" i="2"/>
  <c r="C919" i="2"/>
  <c r="C915" i="2"/>
  <c r="C911" i="2"/>
  <c r="C907" i="2"/>
  <c r="C903" i="2"/>
  <c r="C899" i="2"/>
  <c r="C895" i="2"/>
  <c r="C891" i="2"/>
  <c r="C887" i="2"/>
  <c r="C883" i="2"/>
  <c r="C879" i="2"/>
  <c r="C875" i="2"/>
  <c r="C871" i="2"/>
  <c r="C867" i="2"/>
  <c r="C863" i="2"/>
  <c r="C859" i="2"/>
  <c r="C855" i="2"/>
  <c r="C851" i="2"/>
  <c r="C847" i="2"/>
  <c r="C843" i="2"/>
  <c r="C839" i="2"/>
  <c r="C835" i="2"/>
  <c r="C831" i="2"/>
  <c r="C827" i="2"/>
  <c r="C823" i="2"/>
  <c r="C819" i="2"/>
  <c r="C815" i="2"/>
  <c r="C811" i="2"/>
  <c r="C807" i="2"/>
  <c r="C803" i="2"/>
  <c r="C799" i="2"/>
  <c r="C795" i="2"/>
  <c r="C791" i="2"/>
  <c r="C787" i="2"/>
  <c r="C783" i="2"/>
  <c r="C779" i="2"/>
  <c r="C775" i="2"/>
  <c r="C771" i="2"/>
  <c r="C767" i="2"/>
  <c r="C763" i="2"/>
  <c r="C759" i="2"/>
  <c r="C755" i="2"/>
  <c r="C751" i="2"/>
  <c r="C747" i="2"/>
  <c r="C743" i="2"/>
  <c r="C739" i="2"/>
  <c r="C735" i="2"/>
  <c r="C731" i="2"/>
  <c r="C727" i="2"/>
  <c r="C723" i="2"/>
  <c r="C719" i="2"/>
  <c r="C715" i="2"/>
  <c r="C711" i="2"/>
  <c r="C707" i="2"/>
  <c r="C703" i="2"/>
  <c r="C699" i="2"/>
  <c r="C695" i="2"/>
  <c r="C691" i="2"/>
  <c r="C687" i="2"/>
  <c r="C683" i="2"/>
  <c r="C679" i="2"/>
  <c r="C675" i="2"/>
  <c r="C671" i="2"/>
  <c r="C667" i="2"/>
  <c r="C663" i="2"/>
  <c r="C659" i="2"/>
  <c r="C655" i="2"/>
  <c r="C651" i="2"/>
  <c r="C647" i="2"/>
  <c r="C643" i="2"/>
  <c r="C639" i="2"/>
  <c r="C635" i="2"/>
  <c r="C631" i="2"/>
  <c r="C627" i="2"/>
  <c r="C623" i="2"/>
  <c r="C619" i="2"/>
  <c r="C615" i="2"/>
  <c r="C611" i="2"/>
  <c r="C607" i="2"/>
  <c r="C603" i="2"/>
  <c r="C599" i="2"/>
  <c r="C595" i="2"/>
  <c r="C591" i="2"/>
  <c r="C587" i="2"/>
  <c r="C583" i="2"/>
  <c r="C579" i="2"/>
  <c r="C575" i="2"/>
  <c r="C571" i="2"/>
  <c r="C567" i="2"/>
  <c r="C563" i="2"/>
  <c r="C559" i="2"/>
  <c r="C555" i="2"/>
  <c r="C551" i="2"/>
  <c r="C547" i="2"/>
  <c r="C543" i="2"/>
  <c r="C539" i="2"/>
  <c r="C535" i="2"/>
  <c r="C531" i="2"/>
  <c r="C527" i="2"/>
  <c r="C523" i="2"/>
  <c r="C519" i="2"/>
  <c r="C515" i="2"/>
  <c r="C511" i="2"/>
  <c r="C507" i="2"/>
  <c r="C503" i="2"/>
  <c r="C499" i="2"/>
  <c r="C495" i="2"/>
  <c r="C491" i="2"/>
  <c r="C487" i="2"/>
  <c r="C483" i="2"/>
  <c r="C479" i="2"/>
  <c r="C475" i="2"/>
  <c r="C471" i="2"/>
  <c r="C467" i="2"/>
  <c r="C463" i="2"/>
  <c r="C459" i="2"/>
  <c r="C455" i="2"/>
  <c r="C451" i="2"/>
  <c r="C447" i="2"/>
  <c r="C443" i="2"/>
  <c r="C439" i="2"/>
  <c r="C435" i="2"/>
  <c r="C431" i="2"/>
  <c r="C427" i="2"/>
  <c r="C423" i="2"/>
  <c r="C419" i="2"/>
  <c r="C415" i="2"/>
  <c r="C411" i="2"/>
  <c r="C407" i="2"/>
  <c r="C403" i="2"/>
  <c r="C399" i="2"/>
  <c r="C395" i="2"/>
  <c r="C391" i="2"/>
  <c r="C387" i="2"/>
  <c r="C383" i="2"/>
  <c r="C379" i="2"/>
  <c r="C375" i="2"/>
  <c r="C371" i="2"/>
  <c r="C367" i="2"/>
  <c r="C363" i="2"/>
  <c r="C359" i="2"/>
  <c r="C355" i="2"/>
  <c r="C351" i="2"/>
  <c r="C347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295" i="2"/>
  <c r="C291" i="2"/>
  <c r="C287" i="2"/>
  <c r="C283" i="2"/>
  <c r="C279" i="2"/>
  <c r="C275" i="2"/>
  <c r="C271" i="2"/>
  <c r="C267" i="2"/>
  <c r="C263" i="2"/>
  <c r="C259" i="2"/>
  <c r="C255" i="2"/>
  <c r="C251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139" i="2"/>
  <c r="C135" i="2"/>
  <c r="C131" i="2"/>
  <c r="C127" i="2"/>
  <c r="C123" i="2"/>
  <c r="C119" i="2"/>
  <c r="C115" i="2"/>
  <c r="C111" i="2"/>
  <c r="C107" i="2"/>
  <c r="C103" i="2"/>
  <c r="C99" i="2"/>
  <c r="C95" i="2"/>
  <c r="C91" i="2"/>
  <c r="C87" i="2"/>
  <c r="C83" i="2"/>
  <c r="C79" i="2"/>
  <c r="C75" i="2"/>
  <c r="C71" i="2"/>
  <c r="C67" i="2"/>
  <c r="C63" i="2"/>
  <c r="C59" i="2"/>
  <c r="C55" i="2"/>
  <c r="C51" i="2"/>
  <c r="C47" i="2"/>
  <c r="C43" i="2"/>
  <c r="C39" i="2"/>
  <c r="C35" i="2"/>
  <c r="C31" i="2"/>
  <c r="C27" i="2"/>
  <c r="C23" i="2"/>
  <c r="C19" i="2"/>
  <c r="C15" i="2"/>
  <c r="C11" i="2"/>
  <c r="C7" i="2"/>
  <c r="C3" i="2"/>
  <c r="C2306" i="2"/>
  <c r="C2282" i="2"/>
  <c r="C2258" i="2"/>
  <c r="C2234" i="2"/>
  <c r="C2210" i="2"/>
  <c r="C2186" i="2"/>
  <c r="C2162" i="2"/>
  <c r="C2138" i="2"/>
  <c r="C2114" i="2"/>
  <c r="C2090" i="2"/>
  <c r="C2066" i="2"/>
  <c r="C2042" i="2"/>
  <c r="C2015" i="2"/>
  <c r="C2002" i="2"/>
  <c r="C1989" i="2"/>
  <c r="C1967" i="2"/>
  <c r="C1954" i="2"/>
  <c r="C1941" i="2"/>
  <c r="C1919" i="2"/>
  <c r="C1906" i="2"/>
  <c r="C1893" i="2"/>
  <c r="C1871" i="2"/>
  <c r="C1858" i="2"/>
  <c r="C1845" i="2"/>
  <c r="C1823" i="2"/>
  <c r="C1810" i="2"/>
  <c r="C1797" i="2"/>
  <c r="C1775" i="2"/>
  <c r="C1762" i="2"/>
  <c r="C1749" i="2"/>
  <c r="C1727" i="2"/>
  <c r="C1714" i="2"/>
  <c r="C1701" i="2"/>
  <c r="C1679" i="2"/>
  <c r="C1666" i="2"/>
  <c r="C1653" i="2"/>
  <c r="C1631" i="2"/>
  <c r="C1618" i="2"/>
  <c r="C1605" i="2"/>
  <c r="C1583" i="2"/>
  <c r="C1570" i="2"/>
  <c r="C1557" i="2"/>
  <c r="C1535" i="2"/>
  <c r="C2301" i="2"/>
  <c r="C2277" i="2"/>
  <c r="C2253" i="2"/>
  <c r="C2229" i="2"/>
  <c r="C2205" i="2"/>
  <c r="C2181" i="2"/>
  <c r="C2157" i="2"/>
  <c r="C2133" i="2"/>
  <c r="C2109" i="2"/>
  <c r="C2085" i="2"/>
  <c r="C2061" i="2"/>
  <c r="C2037" i="2"/>
  <c r="C2019" i="2"/>
  <c r="C2006" i="2"/>
  <c r="C1993" i="2"/>
  <c r="C1971" i="2"/>
  <c r="C1958" i="2"/>
  <c r="C1945" i="2"/>
  <c r="C1923" i="2"/>
  <c r="C1910" i="2"/>
  <c r="C1897" i="2"/>
  <c r="C1875" i="2"/>
  <c r="C1862" i="2"/>
  <c r="C1849" i="2"/>
  <c r="C1827" i="2"/>
  <c r="C1814" i="2"/>
  <c r="C1801" i="2"/>
  <c r="C1779" i="2"/>
  <c r="C1766" i="2"/>
  <c r="C1753" i="2"/>
  <c r="C1731" i="2"/>
  <c r="C1718" i="2"/>
  <c r="C1705" i="2"/>
  <c r="C1683" i="2"/>
  <c r="C1670" i="2"/>
  <c r="C1657" i="2"/>
  <c r="C1635" i="2"/>
  <c r="C1622" i="2"/>
  <c r="C1609" i="2"/>
  <c r="C1587" i="2"/>
  <c r="C1574" i="2"/>
  <c r="C1561" i="2"/>
  <c r="C1539" i="2"/>
  <c r="C2310" i="2"/>
  <c r="C2286" i="2"/>
  <c r="C2262" i="2"/>
  <c r="C2238" i="2"/>
  <c r="C2214" i="2"/>
  <c r="C2190" i="2"/>
  <c r="C2166" i="2"/>
  <c r="C2142" i="2"/>
  <c r="C2118" i="2"/>
  <c r="C2094" i="2"/>
  <c r="C2070" i="2"/>
  <c r="C2046" i="2"/>
  <c r="C2023" i="2"/>
  <c r="C2010" i="2"/>
  <c r="C1997" i="2"/>
  <c r="C1975" i="2"/>
  <c r="C1962" i="2"/>
  <c r="C1949" i="2"/>
  <c r="C1927" i="2"/>
  <c r="C1914" i="2"/>
  <c r="C1901" i="2"/>
  <c r="C1879" i="2"/>
  <c r="C1866" i="2"/>
  <c r="C1853" i="2"/>
  <c r="C1831" i="2"/>
  <c r="C1818" i="2"/>
  <c r="C1805" i="2"/>
  <c r="C1783" i="2"/>
  <c r="C1770" i="2"/>
  <c r="C1757" i="2"/>
  <c r="C1735" i="2"/>
  <c r="C1722" i="2"/>
  <c r="C1709" i="2"/>
  <c r="C1687" i="2"/>
  <c r="C1674" i="2"/>
  <c r="C1661" i="2"/>
  <c r="C1639" i="2"/>
  <c r="C1626" i="2"/>
  <c r="C1613" i="2"/>
  <c r="C1591" i="2"/>
  <c r="C1578" i="2"/>
  <c r="C1565" i="2"/>
  <c r="C1543" i="2"/>
  <c r="C1530" i="2"/>
  <c r="C1526" i="2"/>
  <c r="C1522" i="2"/>
  <c r="C1518" i="2"/>
  <c r="C1514" i="2"/>
  <c r="C1510" i="2"/>
  <c r="C1506" i="2"/>
  <c r="C1502" i="2"/>
  <c r="C1498" i="2"/>
  <c r="C1494" i="2"/>
  <c r="C1490" i="2"/>
  <c r="C1486" i="2"/>
  <c r="C1482" i="2"/>
  <c r="C1478" i="2"/>
  <c r="C1474" i="2"/>
  <c r="C1470" i="2"/>
  <c r="C1466" i="2"/>
  <c r="C1462" i="2"/>
  <c r="C1458" i="2"/>
  <c r="C1454" i="2"/>
  <c r="C1450" i="2"/>
  <c r="C1446" i="2"/>
  <c r="C1442" i="2"/>
  <c r="C1438" i="2"/>
  <c r="C1434" i="2"/>
  <c r="C1430" i="2"/>
  <c r="C1426" i="2"/>
  <c r="C1422" i="2"/>
  <c r="C1418" i="2"/>
  <c r="C1414" i="2"/>
  <c r="C1410" i="2"/>
  <c r="C1406" i="2"/>
  <c r="C1402" i="2"/>
  <c r="C1398" i="2"/>
  <c r="C1394" i="2"/>
  <c r="C1390" i="2"/>
  <c r="C1386" i="2"/>
  <c r="C1382" i="2"/>
  <c r="C1378" i="2"/>
  <c r="C1374" i="2"/>
  <c r="C1370" i="2"/>
  <c r="C1366" i="2"/>
  <c r="C1362" i="2"/>
  <c r="C1358" i="2"/>
  <c r="C1354" i="2"/>
  <c r="C1350" i="2"/>
  <c r="C1346" i="2"/>
  <c r="C1342" i="2"/>
  <c r="C1338" i="2"/>
  <c r="C1334" i="2"/>
  <c r="C1330" i="2"/>
  <c r="C1326" i="2"/>
  <c r="C1322" i="2"/>
  <c r="C1318" i="2"/>
  <c r="C1314" i="2"/>
  <c r="C1310" i="2"/>
  <c r="C1306" i="2"/>
  <c r="C1302" i="2"/>
  <c r="C1298" i="2"/>
  <c r="C1294" i="2"/>
  <c r="C1290" i="2"/>
  <c r="C1286" i="2"/>
  <c r="C1282" i="2"/>
  <c r="C1278" i="2"/>
  <c r="C1274" i="2"/>
  <c r="C1270" i="2"/>
  <c r="C1266" i="2"/>
  <c r="C1262" i="2"/>
  <c r="C1258" i="2"/>
  <c r="C1254" i="2"/>
  <c r="C1250" i="2"/>
  <c r="C1246" i="2"/>
  <c r="C1242" i="2"/>
  <c r="C1238" i="2"/>
  <c r="C1234" i="2"/>
  <c r="C1230" i="2"/>
  <c r="C1226" i="2"/>
  <c r="C1222" i="2"/>
  <c r="C1218" i="2"/>
  <c r="C1214" i="2"/>
  <c r="C1210" i="2"/>
  <c r="C1206" i="2"/>
  <c r="C1202" i="2"/>
  <c r="C1198" i="2"/>
  <c r="C1194" i="2"/>
  <c r="C1190" i="2"/>
  <c r="C1186" i="2"/>
  <c r="C1182" i="2"/>
  <c r="C1178" i="2"/>
  <c r="C1174" i="2"/>
  <c r="C1170" i="2"/>
  <c r="C1166" i="2"/>
  <c r="C1162" i="2"/>
  <c r="C1158" i="2"/>
  <c r="C1154" i="2"/>
  <c r="C1150" i="2"/>
  <c r="C1146" i="2"/>
  <c r="C1142" i="2"/>
  <c r="C1138" i="2"/>
  <c r="C1134" i="2"/>
  <c r="C1130" i="2"/>
  <c r="C1126" i="2"/>
  <c r="C1122" i="2"/>
  <c r="C1118" i="2"/>
  <c r="C1114" i="2"/>
  <c r="C1110" i="2"/>
  <c r="C1106" i="2"/>
  <c r="C1102" i="2"/>
  <c r="C1098" i="2"/>
  <c r="C1094" i="2"/>
  <c r="C1090" i="2"/>
  <c r="C1086" i="2"/>
  <c r="C1082" i="2"/>
  <c r="C1078" i="2"/>
  <c r="C1074" i="2"/>
  <c r="C1070" i="2"/>
  <c r="C1066" i="2"/>
  <c r="C1062" i="2"/>
  <c r="C1058" i="2"/>
  <c r="C1054" i="2"/>
  <c r="C1050" i="2"/>
  <c r="C1046" i="2"/>
  <c r="C1042" i="2"/>
  <c r="C1038" i="2"/>
  <c r="C1034" i="2"/>
  <c r="C1030" i="2"/>
  <c r="C1026" i="2"/>
  <c r="C1022" i="2"/>
  <c r="C1018" i="2"/>
  <c r="C1014" i="2"/>
  <c r="C1010" i="2"/>
  <c r="C1006" i="2"/>
  <c r="C1002" i="2"/>
  <c r="C998" i="2"/>
  <c r="C994" i="2"/>
  <c r="C990" i="2"/>
  <c r="C986" i="2"/>
  <c r="C982" i="2"/>
  <c r="C978" i="2"/>
  <c r="C974" i="2"/>
  <c r="C970" i="2"/>
  <c r="C966" i="2"/>
  <c r="C962" i="2"/>
  <c r="C958" i="2"/>
  <c r="C954" i="2"/>
  <c r="C950" i="2"/>
  <c r="C946" i="2"/>
  <c r="C942" i="2"/>
  <c r="C938" i="2"/>
  <c r="C934" i="2"/>
  <c r="C930" i="2"/>
  <c r="C926" i="2"/>
  <c r="C922" i="2"/>
  <c r="C918" i="2"/>
  <c r="C914" i="2"/>
  <c r="C910" i="2"/>
  <c r="C906" i="2"/>
  <c r="C902" i="2"/>
  <c r="C898" i="2"/>
  <c r="C894" i="2"/>
  <c r="C890" i="2"/>
  <c r="C886" i="2"/>
  <c r="C882" i="2"/>
  <c r="C878" i="2"/>
  <c r="C874" i="2"/>
  <c r="C870" i="2"/>
  <c r="C866" i="2"/>
  <c r="C862" i="2"/>
  <c r="C858" i="2"/>
  <c r="C854" i="2"/>
  <c r="C850" i="2"/>
  <c r="C846" i="2"/>
  <c r="C842" i="2"/>
  <c r="C838" i="2"/>
  <c r="C834" i="2"/>
  <c r="C830" i="2"/>
  <c r="C826" i="2"/>
  <c r="C822" i="2"/>
  <c r="C818" i="2"/>
  <c r="C814" i="2"/>
  <c r="C810" i="2"/>
  <c r="C806" i="2"/>
  <c r="C802" i="2"/>
  <c r="C798" i="2"/>
  <c r="C794" i="2"/>
  <c r="C790" i="2"/>
  <c r="C786" i="2"/>
  <c r="C782" i="2"/>
  <c r="C778" i="2"/>
  <c r="C774" i="2"/>
  <c r="C770" i="2"/>
  <c r="C766" i="2"/>
  <c r="C762" i="2"/>
  <c r="C758" i="2"/>
  <c r="C754" i="2"/>
  <c r="C750" i="2"/>
  <c r="C746" i="2"/>
  <c r="C742" i="2"/>
  <c r="C738" i="2"/>
  <c r="C734" i="2"/>
  <c r="C730" i="2"/>
  <c r="C726" i="2"/>
  <c r="C722" i="2"/>
  <c r="C718" i="2"/>
  <c r="C714" i="2"/>
  <c r="C710" i="2"/>
  <c r="C706" i="2"/>
  <c r="C702" i="2"/>
  <c r="C698" i="2"/>
  <c r="C694" i="2"/>
  <c r="C690" i="2"/>
  <c r="C686" i="2"/>
  <c r="C682" i="2"/>
  <c r="C678" i="2"/>
  <c r="C674" i="2"/>
  <c r="C670" i="2"/>
  <c r="C666" i="2"/>
  <c r="C662" i="2"/>
  <c r="C658" i="2"/>
  <c r="C654" i="2"/>
  <c r="C650" i="2"/>
  <c r="C646" i="2"/>
  <c r="C642" i="2"/>
  <c r="C638" i="2"/>
  <c r="C634" i="2"/>
  <c r="C630" i="2"/>
  <c r="C626" i="2"/>
  <c r="C622" i="2"/>
  <c r="C618" i="2"/>
  <c r="C614" i="2"/>
  <c r="C610" i="2"/>
  <c r="C606" i="2"/>
  <c r="C602" i="2"/>
  <c r="C598" i="2"/>
  <c r="C594" i="2"/>
  <c r="C590" i="2"/>
  <c r="C586" i="2"/>
  <c r="C582" i="2"/>
  <c r="C578" i="2"/>
  <c r="C574" i="2"/>
  <c r="C570" i="2"/>
  <c r="C566" i="2"/>
  <c r="C562" i="2"/>
  <c r="C558" i="2"/>
  <c r="C554" i="2"/>
  <c r="C550" i="2"/>
  <c r="C546" i="2"/>
  <c r="C542" i="2"/>
  <c r="C538" i="2"/>
  <c r="C534" i="2"/>
  <c r="C530" i="2"/>
  <c r="C526" i="2"/>
  <c r="C522" i="2"/>
  <c r="C518" i="2"/>
  <c r="C514" i="2"/>
  <c r="C510" i="2"/>
  <c r="C506" i="2"/>
  <c r="C502" i="2"/>
  <c r="C498" i="2"/>
  <c r="C494" i="2"/>
  <c r="C490" i="2"/>
  <c r="C486" i="2"/>
  <c r="C482" i="2"/>
  <c r="C478" i="2"/>
  <c r="C474" i="2"/>
  <c r="C470" i="2"/>
  <c r="C466" i="2"/>
  <c r="C462" i="2"/>
  <c r="C458" i="2"/>
  <c r="C454" i="2"/>
  <c r="C450" i="2"/>
  <c r="C446" i="2"/>
  <c r="C442" i="2"/>
  <c r="C438" i="2"/>
  <c r="C434" i="2"/>
  <c r="C430" i="2"/>
  <c r="C426" i="2"/>
  <c r="C422" i="2"/>
  <c r="C418" i="2"/>
  <c r="C414" i="2"/>
  <c r="C410" i="2"/>
  <c r="C406" i="2"/>
  <c r="C402" i="2"/>
  <c r="C398" i="2"/>
  <c r="C394" i="2"/>
  <c r="C390" i="2"/>
  <c r="C386" i="2"/>
  <c r="C382" i="2"/>
  <c r="C378" i="2"/>
  <c r="C374" i="2"/>
  <c r="C370" i="2"/>
  <c r="C366" i="2"/>
  <c r="C362" i="2"/>
  <c r="C358" i="2"/>
  <c r="C354" i="2"/>
  <c r="C350" i="2"/>
  <c r="C346" i="2"/>
  <c r="C342" i="2"/>
  <c r="C338" i="2"/>
  <c r="C334" i="2"/>
  <c r="C330" i="2"/>
  <c r="C326" i="2"/>
  <c r="C322" i="2"/>
  <c r="C318" i="2"/>
  <c r="C314" i="2"/>
  <c r="C310" i="2"/>
  <c r="C306" i="2"/>
  <c r="C302" i="2"/>
  <c r="C298" i="2"/>
  <c r="C294" i="2"/>
  <c r="C290" i="2"/>
  <c r="C286" i="2"/>
  <c r="C282" i="2"/>
  <c r="C278" i="2"/>
  <c r="C274" i="2"/>
  <c r="C270" i="2"/>
  <c r="C266" i="2"/>
  <c r="C262" i="2"/>
  <c r="C258" i="2"/>
  <c r="C254" i="2"/>
  <c r="C250" i="2"/>
  <c r="C246" i="2"/>
  <c r="C242" i="2"/>
  <c r="C238" i="2"/>
  <c r="C234" i="2"/>
  <c r="C230" i="2"/>
  <c r="C226" i="2"/>
  <c r="C222" i="2"/>
  <c r="C218" i="2"/>
  <c r="C214" i="2"/>
  <c r="C210" i="2"/>
  <c r="C206" i="2"/>
  <c r="C202" i="2"/>
  <c r="C198" i="2"/>
  <c r="C194" i="2"/>
  <c r="C190" i="2"/>
  <c r="C186" i="2"/>
  <c r="C182" i="2"/>
  <c r="C178" i="2"/>
  <c r="C174" i="2"/>
  <c r="C170" i="2"/>
  <c r="C166" i="2"/>
  <c r="C162" i="2"/>
  <c r="C158" i="2"/>
  <c r="C154" i="2"/>
  <c r="C150" i="2"/>
  <c r="C146" i="2"/>
  <c r="C142" i="2"/>
  <c r="C138" i="2"/>
  <c r="C134" i="2"/>
  <c r="C130" i="2"/>
  <c r="C126" i="2"/>
  <c r="C122" i="2"/>
  <c r="C118" i="2"/>
  <c r="C114" i="2"/>
  <c r="C110" i="2"/>
  <c r="C106" i="2"/>
  <c r="C102" i="2"/>
  <c r="C98" i="2"/>
  <c r="C94" i="2"/>
  <c r="C90" i="2"/>
  <c r="C86" i="2"/>
  <c r="C82" i="2"/>
  <c r="C78" i="2"/>
  <c r="C74" i="2"/>
  <c r="C70" i="2"/>
  <c r="C66" i="2"/>
  <c r="C62" i="2"/>
  <c r="C58" i="2"/>
  <c r="C54" i="2"/>
  <c r="C50" i="2"/>
  <c r="C46" i="2"/>
  <c r="C42" i="2"/>
  <c r="C38" i="2"/>
  <c r="C34" i="2"/>
  <c r="C30" i="2"/>
  <c r="C26" i="2"/>
  <c r="C22" i="2"/>
  <c r="C18" i="2"/>
  <c r="C14" i="2"/>
  <c r="C10" i="2"/>
  <c r="C6" i="2"/>
  <c r="C2" i="2"/>
  <c r="C2305" i="2"/>
  <c r="C2281" i="2"/>
  <c r="C2257" i="2"/>
  <c r="C2233" i="2"/>
  <c r="C2209" i="2"/>
  <c r="C2185" i="2"/>
  <c r="C2161" i="2"/>
  <c r="C2137" i="2"/>
  <c r="C2113" i="2"/>
  <c r="C2089" i="2"/>
  <c r="C2065" i="2"/>
  <c r="C2041" i="2"/>
  <c r="C2027" i="2"/>
  <c r="C2014" i="2"/>
  <c r="C2001" i="2"/>
  <c r="C1979" i="2"/>
  <c r="C1966" i="2"/>
  <c r="C1953" i="2"/>
  <c r="C1931" i="2"/>
  <c r="C1918" i="2"/>
  <c r="C1905" i="2"/>
  <c r="C1883" i="2"/>
  <c r="C1870" i="2"/>
  <c r="C1857" i="2"/>
  <c r="C1835" i="2"/>
  <c r="C1822" i="2"/>
  <c r="C1809" i="2"/>
  <c r="C1787" i="2"/>
  <c r="C1774" i="2"/>
  <c r="C1761" i="2"/>
  <c r="C1739" i="2"/>
  <c r="C1726" i="2"/>
  <c r="C1713" i="2"/>
  <c r="C1691" i="2"/>
  <c r="C1678" i="2"/>
  <c r="C1665" i="2"/>
  <c r="C1643" i="2"/>
  <c r="C1630" i="2"/>
  <c r="C1617" i="2"/>
  <c r="C1595" i="2"/>
  <c r="C1582" i="2"/>
  <c r="C1569" i="2"/>
  <c r="C1547" i="2"/>
  <c r="C1534" i="2"/>
  <c r="C2290" i="2"/>
  <c r="C2266" i="2"/>
  <c r="C2242" i="2"/>
  <c r="C2218" i="2"/>
  <c r="C2194" i="2"/>
  <c r="C2170" i="2"/>
  <c r="C2146" i="2"/>
  <c r="C2122" i="2"/>
  <c r="C2098" i="2"/>
  <c r="C2074" i="2"/>
  <c r="C2050" i="2"/>
  <c r="C2031" i="2"/>
  <c r="C2018" i="2"/>
  <c r="C2005" i="2"/>
  <c r="C1983" i="2"/>
  <c r="C1970" i="2"/>
  <c r="C1957" i="2"/>
  <c r="C1935" i="2"/>
  <c r="C1922" i="2"/>
  <c r="C1909" i="2"/>
  <c r="C1887" i="2"/>
  <c r="C1874" i="2"/>
  <c r="C1861" i="2"/>
  <c r="C1839" i="2"/>
  <c r="C1826" i="2"/>
  <c r="C1813" i="2"/>
  <c r="C1791" i="2"/>
  <c r="C1778" i="2"/>
  <c r="C1765" i="2"/>
  <c r="C1743" i="2"/>
  <c r="C1730" i="2"/>
  <c r="C1717" i="2"/>
  <c r="C1695" i="2"/>
  <c r="C1682" i="2"/>
  <c r="C1669" i="2"/>
  <c r="C1647" i="2"/>
  <c r="C1634" i="2"/>
  <c r="C1621" i="2"/>
  <c r="C1599" i="2"/>
  <c r="C1586" i="2"/>
  <c r="C1573" i="2"/>
  <c r="C1551" i="2"/>
  <c r="C1538" i="2"/>
  <c r="C2309" i="2"/>
  <c r="C2285" i="2"/>
  <c r="C2261" i="2"/>
  <c r="C2237" i="2"/>
  <c r="C2213" i="2"/>
  <c r="C2189" i="2"/>
  <c r="C2165" i="2"/>
  <c r="C2141" i="2"/>
  <c r="C2117" i="2"/>
  <c r="C2093" i="2"/>
  <c r="C2069" i="2"/>
  <c r="C2045" i="2"/>
  <c r="C2022" i="2"/>
  <c r="C2009" i="2"/>
  <c r="C1987" i="2"/>
  <c r="C1974" i="2"/>
  <c r="C1961" i="2"/>
  <c r="C1939" i="2"/>
  <c r="C1926" i="2"/>
  <c r="C1913" i="2"/>
  <c r="C1891" i="2"/>
  <c r="C1878" i="2"/>
  <c r="C1865" i="2"/>
  <c r="C1843" i="2"/>
  <c r="C1830" i="2"/>
  <c r="C1817" i="2"/>
  <c r="C1795" i="2"/>
  <c r="C1782" i="2"/>
  <c r="C1769" i="2"/>
  <c r="C1747" i="2"/>
  <c r="C1734" i="2"/>
  <c r="C1721" i="2"/>
  <c r="C1699" i="2"/>
  <c r="C1686" i="2"/>
  <c r="C1673" i="2"/>
  <c r="C1651" i="2"/>
  <c r="C1638" i="2"/>
  <c r="C1625" i="2"/>
  <c r="C1603" i="2"/>
  <c r="C1590" i="2"/>
  <c r="C1577" i="2"/>
  <c r="C1555" i="2"/>
  <c r="C1542" i="2"/>
  <c r="C1529" i="2"/>
  <c r="C1525" i="2"/>
  <c r="C1521" i="2"/>
  <c r="C1517" i="2"/>
  <c r="C1513" i="2"/>
  <c r="C1509" i="2"/>
  <c r="C1505" i="2"/>
  <c r="C1501" i="2"/>
  <c r="C1497" i="2"/>
  <c r="C1493" i="2"/>
  <c r="C1489" i="2"/>
  <c r="C1485" i="2"/>
  <c r="C1481" i="2"/>
  <c r="C1477" i="2"/>
  <c r="C1473" i="2"/>
  <c r="C1469" i="2"/>
  <c r="C1465" i="2"/>
  <c r="C1461" i="2"/>
  <c r="C1457" i="2"/>
  <c r="C1453" i="2"/>
  <c r="C1449" i="2"/>
  <c r="C1445" i="2"/>
  <c r="C1441" i="2"/>
  <c r="C1437" i="2"/>
  <c r="C1433" i="2"/>
  <c r="C1429" i="2"/>
  <c r="C1425" i="2"/>
  <c r="C1421" i="2"/>
  <c r="C1417" i="2"/>
  <c r="C1413" i="2"/>
  <c r="C1409" i="2"/>
  <c r="C1405" i="2"/>
  <c r="C1401" i="2"/>
  <c r="C1397" i="2"/>
  <c r="C1393" i="2"/>
  <c r="C1389" i="2"/>
  <c r="C1385" i="2"/>
  <c r="C1381" i="2"/>
  <c r="C1377" i="2"/>
  <c r="C1373" i="2"/>
  <c r="C1369" i="2"/>
  <c r="C1365" i="2"/>
  <c r="C1361" i="2"/>
  <c r="C1357" i="2"/>
  <c r="C1353" i="2"/>
  <c r="C1349" i="2"/>
  <c r="C1345" i="2"/>
  <c r="C1341" i="2"/>
  <c r="C1337" i="2"/>
  <c r="C1333" i="2"/>
  <c r="C1329" i="2"/>
  <c r="C1325" i="2"/>
  <c r="C1321" i="2"/>
  <c r="C1317" i="2"/>
  <c r="C1313" i="2"/>
  <c r="C1309" i="2"/>
  <c r="C1305" i="2"/>
  <c r="C1301" i="2"/>
  <c r="C1297" i="2"/>
  <c r="C1293" i="2"/>
  <c r="C1289" i="2"/>
  <c r="C1285" i="2"/>
  <c r="C1281" i="2"/>
  <c r="C1277" i="2"/>
  <c r="C1273" i="2"/>
  <c r="C1269" i="2"/>
  <c r="C1265" i="2"/>
  <c r="C1261" i="2"/>
  <c r="C1257" i="2"/>
  <c r="C1253" i="2"/>
  <c r="C1249" i="2"/>
  <c r="C1245" i="2"/>
  <c r="C1241" i="2"/>
  <c r="C1237" i="2"/>
  <c r="C1233" i="2"/>
  <c r="C1229" i="2"/>
  <c r="C1225" i="2"/>
  <c r="C1221" i="2"/>
  <c r="C1217" i="2"/>
  <c r="C1213" i="2"/>
  <c r="C1209" i="2"/>
  <c r="C1205" i="2"/>
  <c r="C1201" i="2"/>
  <c r="C1197" i="2"/>
  <c r="C1193" i="2"/>
  <c r="C1189" i="2"/>
  <c r="C1185" i="2"/>
  <c r="C1181" i="2"/>
  <c r="C1177" i="2"/>
  <c r="C1173" i="2"/>
  <c r="C1169" i="2"/>
  <c r="C1165" i="2"/>
  <c r="C1161" i="2"/>
  <c r="C1157" i="2"/>
  <c r="C1153" i="2"/>
  <c r="C1149" i="2"/>
  <c r="C1145" i="2"/>
  <c r="C1141" i="2"/>
  <c r="C1137" i="2"/>
  <c r="C1133" i="2"/>
  <c r="C1129" i="2"/>
  <c r="C1125" i="2"/>
  <c r="C1121" i="2"/>
  <c r="C1117" i="2"/>
  <c r="C1113" i="2"/>
  <c r="C1109" i="2"/>
  <c r="C1105" i="2"/>
  <c r="C1101" i="2"/>
  <c r="C1097" i="2"/>
  <c r="C1093" i="2"/>
  <c r="C1089" i="2"/>
  <c r="C1085" i="2"/>
  <c r="C1081" i="2"/>
  <c r="C1077" i="2"/>
  <c r="C1073" i="2"/>
  <c r="C1069" i="2"/>
  <c r="C1065" i="2"/>
  <c r="C1061" i="2"/>
  <c r="C1057" i="2"/>
  <c r="C1053" i="2"/>
  <c r="C1049" i="2"/>
  <c r="C1045" i="2"/>
  <c r="C1041" i="2"/>
  <c r="C1037" i="2"/>
  <c r="C1033" i="2"/>
  <c r="C1029" i="2"/>
  <c r="C1025" i="2"/>
  <c r="C1021" i="2"/>
  <c r="C1017" i="2"/>
  <c r="C1013" i="2"/>
  <c r="C1009" i="2"/>
  <c r="C1005" i="2"/>
  <c r="C1001" i="2"/>
  <c r="C997" i="2"/>
  <c r="C993" i="2"/>
  <c r="C989" i="2"/>
  <c r="C985" i="2"/>
  <c r="C981" i="2"/>
  <c r="C977" i="2"/>
  <c r="C973" i="2"/>
  <c r="C969" i="2"/>
  <c r="C965" i="2"/>
  <c r="C961" i="2"/>
  <c r="C957" i="2"/>
  <c r="C953" i="2"/>
  <c r="C949" i="2"/>
  <c r="C945" i="2"/>
  <c r="C941" i="2"/>
  <c r="C937" i="2"/>
  <c r="C933" i="2"/>
  <c r="C929" i="2"/>
  <c r="C925" i="2"/>
  <c r="C921" i="2"/>
  <c r="C917" i="2"/>
  <c r="C913" i="2"/>
  <c r="C909" i="2"/>
  <c r="C905" i="2"/>
  <c r="C901" i="2"/>
  <c r="C897" i="2"/>
  <c r="C893" i="2"/>
  <c r="C889" i="2"/>
  <c r="C885" i="2"/>
  <c r="C881" i="2"/>
  <c r="C877" i="2"/>
  <c r="C873" i="2"/>
  <c r="C869" i="2"/>
  <c r="C865" i="2"/>
  <c r="C861" i="2"/>
  <c r="C857" i="2"/>
  <c r="C853" i="2"/>
  <c r="C849" i="2"/>
  <c r="C845" i="2"/>
  <c r="C841" i="2"/>
  <c r="C837" i="2"/>
  <c r="C833" i="2"/>
  <c r="C829" i="2"/>
  <c r="C825" i="2"/>
  <c r="C821" i="2"/>
  <c r="C817" i="2"/>
  <c r="C813" i="2"/>
  <c r="C809" i="2"/>
  <c r="C805" i="2"/>
  <c r="C801" i="2"/>
  <c r="C797" i="2"/>
  <c r="C793" i="2"/>
  <c r="C789" i="2"/>
  <c r="C785" i="2"/>
  <c r="C781" i="2"/>
  <c r="C777" i="2"/>
  <c r="C773" i="2"/>
  <c r="C769" i="2"/>
  <c r="C765" i="2"/>
  <c r="C761" i="2"/>
  <c r="C757" i="2"/>
  <c r="C753" i="2"/>
  <c r="C749" i="2"/>
  <c r="C745" i="2"/>
  <c r="C741" i="2"/>
  <c r="C737" i="2"/>
  <c r="C733" i="2"/>
  <c r="C729" i="2"/>
  <c r="C725" i="2"/>
  <c r="C721" i="2"/>
  <c r="C717" i="2"/>
  <c r="C713" i="2"/>
  <c r="C709" i="2"/>
  <c r="C705" i="2"/>
  <c r="C701" i="2"/>
  <c r="C697" i="2"/>
  <c r="C693" i="2"/>
  <c r="C689" i="2"/>
  <c r="C685" i="2"/>
  <c r="C681" i="2"/>
  <c r="C677" i="2"/>
  <c r="C673" i="2"/>
  <c r="C669" i="2"/>
  <c r="C665" i="2"/>
  <c r="C661" i="2"/>
  <c r="C657" i="2"/>
  <c r="C653" i="2"/>
  <c r="C649" i="2"/>
  <c r="C645" i="2"/>
  <c r="C641" i="2"/>
  <c r="C637" i="2"/>
  <c r="C633" i="2"/>
  <c r="C629" i="2"/>
  <c r="C625" i="2"/>
  <c r="C621" i="2"/>
  <c r="C617" i="2"/>
  <c r="C613" i="2"/>
  <c r="C609" i="2"/>
  <c r="C605" i="2"/>
  <c r="C601" i="2"/>
  <c r="C597" i="2"/>
  <c r="C593" i="2"/>
  <c r="C589" i="2"/>
  <c r="C585" i="2"/>
  <c r="C581" i="2"/>
  <c r="C577" i="2"/>
  <c r="C573" i="2"/>
  <c r="C569" i="2"/>
  <c r="C565" i="2"/>
  <c r="C561" i="2"/>
  <c r="C557" i="2"/>
  <c r="C553" i="2"/>
  <c r="C549" i="2"/>
  <c r="C545" i="2"/>
  <c r="C541" i="2"/>
  <c r="C537" i="2"/>
  <c r="C533" i="2"/>
  <c r="C529" i="2"/>
  <c r="C525" i="2"/>
  <c r="C521" i="2"/>
  <c r="C517" i="2"/>
  <c r="C513" i="2"/>
  <c r="C509" i="2"/>
  <c r="C505" i="2"/>
  <c r="C501" i="2"/>
  <c r="C497" i="2"/>
  <c r="C493" i="2"/>
  <c r="C489" i="2"/>
  <c r="C485" i="2"/>
  <c r="C481" i="2"/>
  <c r="C477" i="2"/>
  <c r="C473" i="2"/>
  <c r="C469" i="2"/>
  <c r="C465" i="2"/>
  <c r="C461" i="2"/>
  <c r="C457" i="2"/>
  <c r="C453" i="2"/>
  <c r="C449" i="2"/>
  <c r="C445" i="2"/>
  <c r="C441" i="2"/>
  <c r="C437" i="2"/>
  <c r="C433" i="2"/>
  <c r="C429" i="2"/>
  <c r="C425" i="2"/>
  <c r="C421" i="2"/>
  <c r="C417" i="2"/>
  <c r="C413" i="2"/>
  <c r="C409" i="2"/>
  <c r="C405" i="2"/>
  <c r="C401" i="2"/>
  <c r="C397" i="2"/>
  <c r="C393" i="2"/>
  <c r="C389" i="2"/>
  <c r="C385" i="2"/>
  <c r="C381" i="2"/>
  <c r="C377" i="2"/>
  <c r="C373" i="2"/>
  <c r="C369" i="2"/>
  <c r="C365" i="2"/>
  <c r="C361" i="2"/>
  <c r="C357" i="2"/>
  <c r="C353" i="2"/>
  <c r="C349" i="2"/>
  <c r="C345" i="2"/>
  <c r="C341" i="2"/>
  <c r="C337" i="2"/>
  <c r="C333" i="2"/>
  <c r="C329" i="2"/>
  <c r="C325" i="2"/>
  <c r="C321" i="2"/>
  <c r="C317" i="2"/>
  <c r="C313" i="2"/>
  <c r="C309" i="2"/>
  <c r="C305" i="2"/>
  <c r="C301" i="2"/>
  <c r="C297" i="2"/>
  <c r="C293" i="2"/>
  <c r="C289" i="2"/>
  <c r="C285" i="2"/>
  <c r="C281" i="2"/>
  <c r="C277" i="2"/>
  <c r="C273" i="2"/>
  <c r="C269" i="2"/>
  <c r="C265" i="2"/>
  <c r="C261" i="2"/>
  <c r="C257" i="2"/>
  <c r="C253" i="2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193" i="2"/>
  <c r="C189" i="2"/>
  <c r="C185" i="2"/>
  <c r="C181" i="2"/>
  <c r="C177" i="2"/>
  <c r="C173" i="2"/>
  <c r="C169" i="2"/>
  <c r="C165" i="2"/>
  <c r="C161" i="2"/>
  <c r="C157" i="2"/>
  <c r="C153" i="2"/>
  <c r="C149" i="2"/>
  <c r="C145" i="2"/>
  <c r="C141" i="2"/>
  <c r="C137" i="2"/>
  <c r="C133" i="2"/>
  <c r="C129" i="2"/>
  <c r="C125" i="2"/>
  <c r="C121" i="2"/>
  <c r="C117" i="2"/>
  <c r="C113" i="2"/>
  <c r="C109" i="2"/>
  <c r="C105" i="2"/>
  <c r="C101" i="2"/>
  <c r="C97" i="2"/>
  <c r="C93" i="2"/>
  <c r="C89" i="2"/>
  <c r="C85" i="2"/>
  <c r="C81" i="2"/>
  <c r="C77" i="2"/>
  <c r="C73" i="2"/>
  <c r="C69" i="2"/>
  <c r="C65" i="2"/>
  <c r="C61" i="2"/>
  <c r="C57" i="2"/>
  <c r="C53" i="2"/>
  <c r="C49" i="2"/>
  <c r="C45" i="2"/>
  <c r="C41" i="2"/>
  <c r="C37" i="2"/>
  <c r="C33" i="2"/>
  <c r="C29" i="2"/>
  <c r="C25" i="2"/>
  <c r="C21" i="2"/>
  <c r="C17" i="2"/>
  <c r="C13" i="2"/>
  <c r="C9" i="2"/>
  <c r="C5" i="2"/>
  <c r="C2294" i="2"/>
  <c r="C2270" i="2"/>
  <c r="C2246" i="2"/>
  <c r="C2222" i="2"/>
  <c r="C2198" i="2"/>
  <c r="C2174" i="2"/>
  <c r="C2150" i="2"/>
  <c r="C2126" i="2"/>
  <c r="C2102" i="2"/>
  <c r="C2078" i="2"/>
  <c r="C2054" i="2"/>
  <c r="C2026" i="2"/>
  <c r="C2013" i="2"/>
  <c r="C1991" i="2"/>
  <c r="C1978" i="2"/>
  <c r="C1965" i="2"/>
  <c r="C1943" i="2"/>
  <c r="C1930" i="2"/>
  <c r="C1917" i="2"/>
  <c r="C1895" i="2"/>
  <c r="C1882" i="2"/>
  <c r="C1869" i="2"/>
  <c r="C1847" i="2"/>
  <c r="C1834" i="2"/>
  <c r="C1821" i="2"/>
  <c r="C1799" i="2"/>
  <c r="C1786" i="2"/>
  <c r="C1773" i="2"/>
  <c r="C1751" i="2"/>
  <c r="C1738" i="2"/>
  <c r="C1725" i="2"/>
  <c r="C1703" i="2"/>
  <c r="C1690" i="2"/>
  <c r="C1677" i="2"/>
  <c r="C1655" i="2"/>
  <c r="C1642" i="2"/>
  <c r="C1629" i="2"/>
  <c r="C1607" i="2"/>
  <c r="C1594" i="2"/>
  <c r="C1581" i="2"/>
  <c r="C1559" i="2"/>
  <c r="C1546" i="2"/>
  <c r="C1533" i="2"/>
  <c r="C2289" i="2"/>
  <c r="C2265" i="2"/>
  <c r="C2241" i="2"/>
  <c r="C2217" i="2"/>
  <c r="C2193" i="2"/>
  <c r="C2169" i="2"/>
  <c r="C2145" i="2"/>
  <c r="C2121" i="2"/>
  <c r="C2097" i="2"/>
  <c r="C2073" i="2"/>
  <c r="C2049" i="2"/>
  <c r="C2030" i="2"/>
  <c r="C2017" i="2"/>
  <c r="C1995" i="2"/>
  <c r="C1982" i="2"/>
  <c r="C1969" i="2"/>
  <c r="C1947" i="2"/>
  <c r="C1934" i="2"/>
  <c r="C1921" i="2"/>
  <c r="C1899" i="2"/>
  <c r="C1886" i="2"/>
  <c r="C1873" i="2"/>
  <c r="C1851" i="2"/>
  <c r="C1838" i="2"/>
  <c r="C1825" i="2"/>
  <c r="C1803" i="2"/>
  <c r="C1790" i="2"/>
  <c r="C1777" i="2"/>
  <c r="C1755" i="2"/>
  <c r="C1742" i="2"/>
  <c r="C1729" i="2"/>
  <c r="C1707" i="2"/>
  <c r="C1694" i="2"/>
  <c r="C1681" i="2"/>
  <c r="C1659" i="2"/>
  <c r="C1646" i="2"/>
  <c r="C1633" i="2"/>
  <c r="C1611" i="2"/>
  <c r="C1598" i="2"/>
  <c r="C1585" i="2"/>
  <c r="C1563" i="2"/>
  <c r="C1550" i="2"/>
  <c r="C1537" i="2"/>
  <c r="E1533" i="9"/>
  <c r="D1533" i="9"/>
  <c r="D1546" i="9"/>
  <c r="C1546" i="9"/>
  <c r="L1546" i="9"/>
  <c r="M1546" i="9" s="1"/>
  <c r="E1546" i="9"/>
  <c r="E1559" i="9"/>
  <c r="C1559" i="9"/>
  <c r="L1559" i="9"/>
  <c r="M1559" i="9" s="1"/>
  <c r="D1559" i="9"/>
  <c r="D1572" i="9"/>
  <c r="C1572" i="9"/>
  <c r="L1572" i="9"/>
  <c r="M1572" i="9" s="1"/>
  <c r="E1572" i="9"/>
  <c r="E1581" i="9"/>
  <c r="D1581" i="9"/>
  <c r="C1581" i="9"/>
  <c r="L1581" i="9"/>
  <c r="M1581" i="9" s="1"/>
  <c r="E1594" i="9"/>
  <c r="D1594" i="9"/>
  <c r="C1594" i="9"/>
  <c r="L1594" i="9"/>
  <c r="M1594" i="9" s="1"/>
  <c r="E1607" i="9"/>
  <c r="D1607" i="9"/>
  <c r="C1607" i="9"/>
  <c r="L1607" i="9"/>
  <c r="M1607" i="9" s="1"/>
  <c r="D1620" i="9"/>
  <c r="C1620" i="9"/>
  <c r="L1620" i="9"/>
  <c r="M1620" i="9" s="1"/>
  <c r="E1620" i="9"/>
  <c r="E1629" i="9"/>
  <c r="D1629" i="9"/>
  <c r="C1629" i="9"/>
  <c r="L1629" i="9"/>
  <c r="M1629" i="9" s="1"/>
  <c r="E1642" i="9"/>
  <c r="D1642" i="9"/>
  <c r="C1642" i="9"/>
  <c r="L1642" i="9"/>
  <c r="M1642" i="9" s="1"/>
  <c r="E1655" i="9"/>
  <c r="D1655" i="9"/>
  <c r="C1655" i="9"/>
  <c r="L1655" i="9"/>
  <c r="M1655" i="9" s="1"/>
  <c r="D1668" i="9"/>
  <c r="C1668" i="9"/>
  <c r="L1668" i="9"/>
  <c r="M1668" i="9" s="1"/>
  <c r="E1668" i="9"/>
  <c r="E1677" i="9"/>
  <c r="D1677" i="9"/>
  <c r="C1677" i="9"/>
  <c r="L1677" i="9"/>
  <c r="M1677" i="9" s="1"/>
  <c r="E1690" i="9"/>
  <c r="D1690" i="9"/>
  <c r="C1690" i="9"/>
  <c r="L1690" i="9"/>
  <c r="M1690" i="9" s="1"/>
  <c r="E1703" i="9"/>
  <c r="D1703" i="9"/>
  <c r="C1703" i="9"/>
  <c r="L1703" i="9"/>
  <c r="M1703" i="9" s="1"/>
  <c r="D1716" i="9"/>
  <c r="C1716" i="9"/>
  <c r="L1716" i="9"/>
  <c r="M1716" i="9" s="1"/>
  <c r="E1716" i="9"/>
  <c r="E1725" i="9"/>
  <c r="D1725" i="9"/>
  <c r="C1725" i="9"/>
  <c r="L1725" i="9"/>
  <c r="M1725" i="9" s="1"/>
  <c r="E1738" i="9"/>
  <c r="D1738" i="9"/>
  <c r="C1738" i="9"/>
  <c r="L1738" i="9"/>
  <c r="M1738" i="9" s="1"/>
  <c r="E1751" i="9"/>
  <c r="D1751" i="9"/>
  <c r="C1751" i="9"/>
  <c r="L1751" i="9"/>
  <c r="M1751" i="9" s="1"/>
  <c r="D1764" i="9"/>
  <c r="C1764" i="9"/>
  <c r="L1764" i="9"/>
  <c r="M1764" i="9" s="1"/>
  <c r="E1764" i="9"/>
  <c r="E1773" i="9"/>
  <c r="D1773" i="9"/>
  <c r="C1773" i="9"/>
  <c r="L1773" i="9"/>
  <c r="M1773" i="9" s="1"/>
  <c r="E1786" i="9"/>
  <c r="D1786" i="9"/>
  <c r="C1786" i="9"/>
  <c r="L1786" i="9"/>
  <c r="M1786" i="9" s="1"/>
  <c r="L1799" i="9"/>
  <c r="M1799" i="9" s="1"/>
  <c r="C1799" i="9"/>
  <c r="E1799" i="9"/>
  <c r="D1799" i="9"/>
  <c r="L1812" i="9"/>
  <c r="M1812" i="9" s="1"/>
  <c r="E1812" i="9"/>
  <c r="D1812" i="9"/>
  <c r="C1812" i="9"/>
  <c r="D1821" i="9"/>
  <c r="C1821" i="9"/>
  <c r="L1821" i="9"/>
  <c r="M1821" i="9" s="1"/>
  <c r="E1821" i="9"/>
  <c r="C1834" i="9"/>
  <c r="E1834" i="9"/>
  <c r="D1834" i="9"/>
  <c r="L1834" i="9"/>
  <c r="M1834" i="9" s="1"/>
  <c r="L1847" i="9"/>
  <c r="M1847" i="9" s="1"/>
  <c r="D1847" i="9"/>
  <c r="C1847" i="9"/>
  <c r="E1847" i="9"/>
  <c r="L1860" i="9"/>
  <c r="M1860" i="9" s="1"/>
  <c r="C1860" i="9"/>
  <c r="E1860" i="9"/>
  <c r="D1860" i="9"/>
  <c r="D1869" i="9"/>
  <c r="C1869" i="9"/>
  <c r="L1869" i="9"/>
  <c r="M1869" i="9" s="1"/>
  <c r="E1869" i="9"/>
  <c r="C1882" i="9"/>
  <c r="E1882" i="9"/>
  <c r="D1882" i="9"/>
  <c r="L1882" i="9"/>
  <c r="M1882" i="9" s="1"/>
  <c r="L1895" i="9"/>
  <c r="M1895" i="9" s="1"/>
  <c r="D1895" i="9"/>
  <c r="C1895" i="9"/>
  <c r="E1895" i="9"/>
  <c r="L1908" i="9"/>
  <c r="M1908" i="9" s="1"/>
  <c r="C1908" i="9"/>
  <c r="E1908" i="9"/>
  <c r="D1908" i="9"/>
  <c r="D1917" i="9"/>
  <c r="C1917" i="9"/>
  <c r="L1917" i="9"/>
  <c r="M1917" i="9" s="1"/>
  <c r="E1917" i="9"/>
  <c r="C1930" i="9"/>
  <c r="E1930" i="9"/>
  <c r="D1930" i="9"/>
  <c r="L1930" i="9"/>
  <c r="M1930" i="9" s="1"/>
  <c r="L1943" i="9"/>
  <c r="M1943" i="9" s="1"/>
  <c r="D1943" i="9"/>
  <c r="C1943" i="9"/>
  <c r="E1943" i="9"/>
  <c r="L1956" i="9"/>
  <c r="M1956" i="9" s="1"/>
  <c r="C1956" i="9"/>
  <c r="E1956" i="9"/>
  <c r="D1956" i="9"/>
  <c r="D1965" i="9"/>
  <c r="C1965" i="9"/>
  <c r="L1965" i="9"/>
  <c r="M1965" i="9" s="1"/>
  <c r="E1965" i="9"/>
  <c r="C1978" i="9"/>
  <c r="E1978" i="9"/>
  <c r="D1978" i="9"/>
  <c r="L1978" i="9"/>
  <c r="M1978" i="9" s="1"/>
  <c r="L1991" i="9"/>
  <c r="M1991" i="9" s="1"/>
  <c r="D1991" i="9"/>
  <c r="C1991" i="9"/>
  <c r="E1991" i="9"/>
  <c r="L2004" i="9"/>
  <c r="M2004" i="9" s="1"/>
  <c r="C2004" i="9"/>
  <c r="E2004" i="9"/>
  <c r="D2004" i="9"/>
  <c r="D2013" i="9"/>
  <c r="C2013" i="9"/>
  <c r="L2013" i="9"/>
  <c r="M2013" i="9" s="1"/>
  <c r="E2013" i="9"/>
  <c r="C2026" i="9"/>
  <c r="E2026" i="9"/>
  <c r="D2026" i="9"/>
  <c r="L2026" i="9"/>
  <c r="M2026" i="9" s="1"/>
  <c r="E2054" i="9"/>
  <c r="L2054" i="9"/>
  <c r="M2054" i="9" s="1"/>
  <c r="D2054" i="9"/>
  <c r="C2054" i="9"/>
  <c r="E2078" i="9"/>
  <c r="L2078" i="9"/>
  <c r="M2078" i="9" s="1"/>
  <c r="D2078" i="9"/>
  <c r="C2078" i="9"/>
  <c r="E2102" i="9"/>
  <c r="L2102" i="9"/>
  <c r="M2102" i="9" s="1"/>
  <c r="D2102" i="9"/>
  <c r="C2102" i="9"/>
  <c r="E2126" i="9"/>
  <c r="L2126" i="9"/>
  <c r="M2126" i="9" s="1"/>
  <c r="D2126" i="9"/>
  <c r="C2126" i="9"/>
  <c r="E2150" i="9"/>
  <c r="L2150" i="9"/>
  <c r="M2150" i="9" s="1"/>
  <c r="D2150" i="9"/>
  <c r="C2150" i="9"/>
  <c r="E2174" i="9"/>
  <c r="L2174" i="9"/>
  <c r="M2174" i="9" s="1"/>
  <c r="D2174" i="9"/>
  <c r="C2174" i="9"/>
  <c r="E2198" i="9"/>
  <c r="L2198" i="9"/>
  <c r="M2198" i="9" s="1"/>
  <c r="D2198" i="9"/>
  <c r="C2198" i="9"/>
  <c r="E2222" i="9"/>
  <c r="L2222" i="9"/>
  <c r="M2222" i="9" s="1"/>
  <c r="D2222" i="9"/>
  <c r="C2222" i="9"/>
  <c r="E2246" i="9"/>
  <c r="L2246" i="9"/>
  <c r="M2246" i="9" s="1"/>
  <c r="D2246" i="9"/>
  <c r="C2246" i="9"/>
  <c r="E2270" i="9"/>
  <c r="L2270" i="9"/>
  <c r="M2270" i="9" s="1"/>
  <c r="D2270" i="9"/>
  <c r="C2270" i="9"/>
  <c r="E2294" i="9"/>
  <c r="L2294" i="9"/>
  <c r="M2294" i="9" s="1"/>
  <c r="D2294" i="9"/>
  <c r="C2294" i="9"/>
  <c r="E2318" i="9"/>
  <c r="D2318" i="9"/>
  <c r="E2342" i="9"/>
  <c r="D2342" i="9"/>
  <c r="E2366" i="9"/>
  <c r="D2366" i="9"/>
  <c r="E2390" i="9"/>
  <c r="L2390" i="9"/>
  <c r="M2390" i="9" s="1"/>
  <c r="D2390" i="9"/>
  <c r="C2390" i="9"/>
  <c r="E2414" i="9"/>
  <c r="L2414" i="9"/>
  <c r="M2414" i="9" s="1"/>
  <c r="D2414" i="9"/>
  <c r="C2414" i="9"/>
  <c r="E2438" i="9"/>
  <c r="L2438" i="9"/>
  <c r="M2438" i="9" s="1"/>
  <c r="C2438" i="9"/>
  <c r="D2438" i="9"/>
  <c r="E2462" i="9"/>
  <c r="L2462" i="9"/>
  <c r="M2462" i="9" s="1"/>
  <c r="D2462" i="9"/>
  <c r="C2462" i="9"/>
  <c r="L2486" i="9"/>
  <c r="M2486" i="9" s="1"/>
  <c r="E2486" i="9"/>
  <c r="D2486" i="9"/>
  <c r="C2486" i="9"/>
  <c r="D2510" i="9"/>
  <c r="L2510" i="9"/>
  <c r="M2510" i="9" s="1"/>
  <c r="E2510" i="9"/>
  <c r="C2510" i="9"/>
  <c r="D2534" i="9"/>
  <c r="E2534" i="9"/>
  <c r="D2558" i="9"/>
  <c r="E2558" i="9"/>
  <c r="D2582" i="9"/>
  <c r="E2582" i="9"/>
  <c r="D2606" i="9"/>
  <c r="C2606" i="9"/>
  <c r="L2606" i="9"/>
  <c r="M2606" i="9" s="1"/>
  <c r="E2606" i="9"/>
  <c r="D2630" i="9"/>
  <c r="C2630" i="9"/>
  <c r="L2630" i="9"/>
  <c r="M2630" i="9" s="1"/>
  <c r="E2630" i="9"/>
  <c r="D2654" i="9"/>
  <c r="C2654" i="9"/>
  <c r="L2654" i="9"/>
  <c r="M2654" i="9" s="1"/>
  <c r="E2654" i="9"/>
  <c r="D2678" i="9"/>
  <c r="C2678" i="9"/>
  <c r="L2678" i="9"/>
  <c r="M2678" i="9" s="1"/>
  <c r="E2678" i="9"/>
  <c r="D2702" i="9"/>
  <c r="C2702" i="9"/>
  <c r="L2702" i="9"/>
  <c r="M2702" i="9" s="1"/>
  <c r="E2702" i="9"/>
  <c r="D2726" i="9"/>
  <c r="E2726" i="9"/>
  <c r="D2750" i="9"/>
  <c r="C2750" i="9"/>
  <c r="L2750" i="9"/>
  <c r="M2750" i="9" s="1"/>
  <c r="E2750" i="9"/>
  <c r="D2774" i="9"/>
  <c r="E2774" i="9"/>
  <c r="L2798" i="9"/>
  <c r="M2798" i="9" s="1"/>
  <c r="E2798" i="9"/>
  <c r="D2798" i="9"/>
  <c r="C2798" i="9"/>
  <c r="L2822" i="9"/>
  <c r="M2822" i="9" s="1"/>
  <c r="E2822" i="9"/>
  <c r="D2822" i="9"/>
  <c r="C2822" i="9"/>
  <c r="E2846" i="9"/>
  <c r="D2846" i="9"/>
  <c r="C2846" i="9"/>
  <c r="L2846" i="9"/>
  <c r="M2846" i="9" s="1"/>
  <c r="L2870" i="9"/>
  <c r="M2870" i="9" s="1"/>
  <c r="E2870" i="9"/>
  <c r="D2870" i="9"/>
  <c r="C2870" i="9"/>
  <c r="L2894" i="9"/>
  <c r="M2894" i="9" s="1"/>
  <c r="E2894" i="9"/>
  <c r="D2894" i="9"/>
  <c r="C2894" i="9"/>
  <c r="E2918" i="9"/>
  <c r="D2918" i="9"/>
  <c r="E2942" i="9"/>
  <c r="D2942" i="9"/>
  <c r="E2966" i="9"/>
  <c r="D2966" i="9"/>
  <c r="E2990" i="9"/>
  <c r="D2990" i="9"/>
  <c r="C2990" i="9"/>
  <c r="L2990" i="9"/>
  <c r="M2990" i="9" s="1"/>
  <c r="L3014" i="9"/>
  <c r="M3014" i="9" s="1"/>
  <c r="E3014" i="9"/>
  <c r="D3014" i="9"/>
  <c r="C3014" i="9"/>
  <c r="L3038" i="9"/>
  <c r="M3038" i="9" s="1"/>
  <c r="E3038" i="9"/>
  <c r="D3038" i="9"/>
  <c r="C3038" i="9"/>
  <c r="C3062" i="9"/>
  <c r="E3062" i="9"/>
  <c r="D3062" i="9"/>
  <c r="L3062" i="9"/>
  <c r="M3062" i="9" s="1"/>
  <c r="C3086" i="9"/>
  <c r="E3086" i="9"/>
  <c r="D3086" i="9"/>
  <c r="L3086" i="9"/>
  <c r="M3086" i="9" s="1"/>
  <c r="C3110" i="9"/>
  <c r="E3110" i="9"/>
  <c r="D3110" i="9"/>
  <c r="L3110" i="9"/>
  <c r="M3110" i="9" s="1"/>
  <c r="E3134" i="9"/>
  <c r="D3134" i="9"/>
  <c r="E3158" i="9"/>
  <c r="D3158" i="9"/>
  <c r="E3182" i="9"/>
  <c r="D3182" i="9"/>
  <c r="C3206" i="9"/>
  <c r="E3206" i="9"/>
  <c r="D3206" i="9"/>
  <c r="L3206" i="9"/>
  <c r="M3206" i="9" s="1"/>
  <c r="C3230" i="9"/>
  <c r="L3230" i="9"/>
  <c r="M3230" i="9" s="1"/>
  <c r="E3230" i="9"/>
  <c r="D3230" i="9"/>
  <c r="E3254" i="9"/>
  <c r="D3254" i="9"/>
  <c r="C3254" i="9"/>
  <c r="L3254" i="9"/>
  <c r="M3254" i="9" s="1"/>
  <c r="E3278" i="9"/>
  <c r="D3278" i="9"/>
  <c r="C3278" i="9"/>
  <c r="L3278" i="9"/>
  <c r="M3278" i="9" s="1"/>
  <c r="E3302" i="9"/>
  <c r="D3302" i="9"/>
  <c r="C3302" i="9"/>
  <c r="L3302" i="9"/>
  <c r="M3302" i="9" s="1"/>
  <c r="E3326" i="9"/>
  <c r="D3326" i="9"/>
  <c r="E3350" i="9"/>
  <c r="D3350" i="9"/>
  <c r="C3350" i="9"/>
  <c r="L3350" i="9"/>
  <c r="M3350" i="9" s="1"/>
  <c r="D3374" i="9"/>
  <c r="E3374" i="9"/>
  <c r="D3398" i="9"/>
  <c r="C3398" i="9"/>
  <c r="L3398" i="9"/>
  <c r="M3398" i="9" s="1"/>
  <c r="E3398" i="9"/>
  <c r="D3422" i="9"/>
  <c r="C3422" i="9"/>
  <c r="L3422" i="9"/>
  <c r="M3422" i="9" s="1"/>
  <c r="E3422" i="9"/>
  <c r="D3446" i="9"/>
  <c r="C3446" i="9"/>
  <c r="L3446" i="9"/>
  <c r="M3446" i="9" s="1"/>
  <c r="E3446" i="9"/>
  <c r="D3470" i="9"/>
  <c r="C3470" i="9"/>
  <c r="L3470" i="9"/>
  <c r="M3470" i="9" s="1"/>
  <c r="E3470" i="9"/>
  <c r="D3494" i="9"/>
  <c r="C3494" i="9"/>
  <c r="L3494" i="9"/>
  <c r="M3494" i="9" s="1"/>
  <c r="E3494" i="9"/>
  <c r="D3518" i="9"/>
  <c r="C3518" i="9"/>
  <c r="L3518" i="9"/>
  <c r="M3518" i="9" s="1"/>
  <c r="E3518" i="9"/>
  <c r="D3542" i="9"/>
  <c r="E3542" i="9"/>
  <c r="D3566" i="9"/>
  <c r="E3566" i="9"/>
  <c r="D3590" i="9"/>
  <c r="C3590" i="9"/>
  <c r="L3590" i="9"/>
  <c r="M3590" i="9" s="1"/>
  <c r="E3590" i="9"/>
  <c r="D3614" i="9"/>
  <c r="C3614" i="9"/>
  <c r="L3614" i="9"/>
  <c r="M3614" i="9" s="1"/>
  <c r="E3614" i="9"/>
  <c r="C3638" i="9"/>
  <c r="L3638" i="9"/>
  <c r="M3638" i="9" s="1"/>
  <c r="E3638" i="9"/>
  <c r="D3638" i="9"/>
  <c r="D3662" i="9"/>
  <c r="C3662" i="9"/>
  <c r="E3662" i="9"/>
  <c r="L3662" i="9"/>
  <c r="M3662" i="9" s="1"/>
  <c r="E3686" i="9"/>
  <c r="D3686" i="9"/>
  <c r="C3686" i="9"/>
  <c r="L3686" i="9"/>
  <c r="M3686" i="9" s="1"/>
  <c r="E3710" i="9"/>
  <c r="D3710" i="9"/>
  <c r="C3710" i="9"/>
  <c r="L3710" i="9"/>
  <c r="M3710" i="9" s="1"/>
  <c r="E3738" i="9"/>
  <c r="D3738" i="9"/>
  <c r="C3738" i="9"/>
  <c r="L3738" i="9"/>
  <c r="M3738" i="9" s="1"/>
  <c r="E3752" i="9"/>
  <c r="D3752" i="9"/>
  <c r="E3761" i="9"/>
  <c r="D3761" i="9"/>
  <c r="C3761" i="9"/>
  <c r="L3761" i="9"/>
  <c r="M3761" i="9" s="1"/>
  <c r="E3766" i="9"/>
  <c r="D3766" i="9"/>
  <c r="E3771" i="9"/>
  <c r="D3771" i="9"/>
  <c r="C3771" i="9"/>
  <c r="L3771" i="9"/>
  <c r="M3771" i="9" s="1"/>
  <c r="L3850" i="9"/>
  <c r="M3850" i="9" s="1"/>
  <c r="E3850" i="9"/>
  <c r="C3850" i="9"/>
  <c r="D3850" i="9"/>
  <c r="E3870" i="9"/>
  <c r="D3870" i="9"/>
  <c r="C3870" i="9"/>
  <c r="L3870" i="9"/>
  <c r="M3870" i="9" s="1"/>
  <c r="E3891" i="9"/>
  <c r="D3891" i="9"/>
  <c r="C3891" i="9"/>
  <c r="L3891" i="9"/>
  <c r="M3891" i="9" s="1"/>
  <c r="E3901" i="9"/>
  <c r="D3901" i="9"/>
  <c r="C3901" i="9"/>
  <c r="L3901" i="9"/>
  <c r="M3901" i="9" s="1"/>
  <c r="L3943" i="9"/>
  <c r="M3943" i="9" s="1"/>
  <c r="E3943" i="9"/>
  <c r="D3943" i="9"/>
  <c r="C3943" i="9"/>
  <c r="E3948" i="9"/>
  <c r="D3948" i="9"/>
  <c r="C3948" i="9"/>
  <c r="L3948" i="9"/>
  <c r="M3948" i="9" s="1"/>
  <c r="E3969" i="9"/>
  <c r="D3969" i="9"/>
  <c r="C3969" i="9"/>
  <c r="L3969" i="9"/>
  <c r="M3969" i="9" s="1"/>
  <c r="D4011" i="9"/>
  <c r="C4011" i="9"/>
  <c r="L4011" i="9"/>
  <c r="M4011" i="9" s="1"/>
  <c r="E4011" i="9"/>
  <c r="E4016" i="9"/>
  <c r="D4016" i="9"/>
  <c r="C4016" i="9"/>
  <c r="L4016" i="9"/>
  <c r="M4016" i="9" s="1"/>
  <c r="E4069" i="9"/>
  <c r="D4069" i="9"/>
  <c r="C4069" i="9"/>
  <c r="L4069" i="9"/>
  <c r="M4069" i="9" s="1"/>
  <c r="D4107" i="9"/>
  <c r="C4107" i="9"/>
  <c r="L4107" i="9"/>
  <c r="M4107" i="9" s="1"/>
  <c r="E4107" i="9"/>
  <c r="E4112" i="9"/>
  <c r="D4112" i="9"/>
  <c r="C4112" i="9"/>
  <c r="L4112" i="9"/>
  <c r="M4112" i="9" s="1"/>
  <c r="E4237" i="9"/>
  <c r="D4237" i="9"/>
  <c r="C4237" i="9"/>
  <c r="L4237" i="9"/>
  <c r="M4237" i="9" s="1"/>
  <c r="D4301" i="9"/>
  <c r="C4301" i="9"/>
  <c r="L4301" i="9"/>
  <c r="M4301" i="9" s="1"/>
  <c r="E4301" i="9"/>
  <c r="L4365" i="9"/>
  <c r="M4365" i="9" s="1"/>
  <c r="E4365" i="9"/>
  <c r="D4365" i="9"/>
  <c r="C4365" i="9"/>
  <c r="C4429" i="9"/>
  <c r="L4429" i="9"/>
  <c r="M4429" i="9" s="1"/>
  <c r="E4429" i="9"/>
  <c r="D4429" i="9"/>
  <c r="E4493" i="9"/>
  <c r="D4493" i="9"/>
  <c r="C4493" i="9"/>
  <c r="L4493" i="9"/>
  <c r="M4493" i="9" s="1"/>
  <c r="E4557" i="9"/>
  <c r="D4557" i="9"/>
  <c r="C4621" i="9"/>
  <c r="L4621" i="9"/>
  <c r="M4621" i="9" s="1"/>
  <c r="E4621" i="9"/>
  <c r="D4621" i="9"/>
  <c r="E4685" i="9"/>
  <c r="D4685" i="9"/>
  <c r="C4685" i="9"/>
  <c r="L4685" i="9"/>
  <c r="M4685" i="9" s="1"/>
  <c r="E21" i="9"/>
  <c r="D21" i="9"/>
  <c r="C21" i="9"/>
  <c r="L21" i="9"/>
  <c r="M21" i="9" s="1"/>
  <c r="E33" i="9"/>
  <c r="D33" i="9"/>
  <c r="E41" i="9"/>
  <c r="D41" i="9"/>
  <c r="C41" i="9"/>
  <c r="L41" i="9"/>
  <c r="M41" i="9" s="1"/>
  <c r="E53" i="9"/>
  <c r="D53" i="9"/>
  <c r="L61" i="9"/>
  <c r="M61" i="9" s="1"/>
  <c r="D61" i="9"/>
  <c r="C61" i="9"/>
  <c r="E61" i="9"/>
  <c r="E65" i="9"/>
  <c r="D65" i="9"/>
  <c r="D85" i="9"/>
  <c r="E85" i="9"/>
  <c r="E105" i="9"/>
  <c r="D105" i="9"/>
  <c r="C105" i="9"/>
  <c r="L105" i="9"/>
  <c r="M105" i="9" s="1"/>
  <c r="E113" i="9"/>
  <c r="D113" i="9"/>
  <c r="C113" i="9"/>
  <c r="L113" i="9"/>
  <c r="M113" i="9" s="1"/>
  <c r="L121" i="9"/>
  <c r="M121" i="9" s="1"/>
  <c r="D121" i="9"/>
  <c r="C121" i="9"/>
  <c r="E121" i="9"/>
  <c r="E129" i="9"/>
  <c r="D129" i="9"/>
  <c r="C129" i="9"/>
  <c r="L129" i="9"/>
  <c r="M129" i="9" s="1"/>
  <c r="L133" i="9"/>
  <c r="M133" i="9" s="1"/>
  <c r="D133" i="9"/>
  <c r="C133" i="9"/>
  <c r="E133" i="9"/>
  <c r="E141" i="9"/>
  <c r="D141" i="9"/>
  <c r="C141" i="9"/>
  <c r="L141" i="9"/>
  <c r="M141" i="9" s="1"/>
  <c r="E153" i="9"/>
  <c r="D153" i="9"/>
  <c r="C153" i="9"/>
  <c r="L153" i="9"/>
  <c r="M153" i="9" s="1"/>
  <c r="L157" i="9"/>
  <c r="M157" i="9" s="1"/>
  <c r="D157" i="9"/>
  <c r="C157" i="9"/>
  <c r="E157" i="9"/>
  <c r="L169" i="9"/>
  <c r="M169" i="9" s="1"/>
  <c r="D169" i="9"/>
  <c r="C169" i="9"/>
  <c r="E169" i="9"/>
  <c r="E173" i="9"/>
  <c r="D173" i="9"/>
  <c r="C173" i="9"/>
  <c r="L173" i="9"/>
  <c r="M173" i="9" s="1"/>
  <c r="L181" i="9"/>
  <c r="M181" i="9" s="1"/>
  <c r="D181" i="9"/>
  <c r="C181" i="9"/>
  <c r="E181" i="9"/>
  <c r="L193" i="9"/>
  <c r="M193" i="9" s="1"/>
  <c r="D193" i="9"/>
  <c r="C193" i="9"/>
  <c r="E193" i="9"/>
  <c r="E197" i="9"/>
  <c r="D197" i="9"/>
  <c r="C197" i="9"/>
  <c r="L197" i="9"/>
  <c r="M197" i="9" s="1"/>
  <c r="E201" i="9"/>
  <c r="D201" i="9"/>
  <c r="C201" i="9"/>
  <c r="L201" i="9"/>
  <c r="M201" i="9" s="1"/>
  <c r="E213" i="9"/>
  <c r="D213" i="9"/>
  <c r="E225" i="9"/>
  <c r="D225" i="9"/>
  <c r="E233" i="9"/>
  <c r="D233" i="9"/>
  <c r="E245" i="9"/>
  <c r="D245" i="9"/>
  <c r="E257" i="9"/>
  <c r="D257" i="9"/>
  <c r="D265" i="9"/>
  <c r="E265" i="9"/>
  <c r="E273" i="9"/>
  <c r="D273" i="9"/>
  <c r="E281" i="9"/>
  <c r="D281" i="9"/>
  <c r="C281" i="9"/>
  <c r="L281" i="9"/>
  <c r="M281" i="9" s="1"/>
  <c r="E293" i="9"/>
  <c r="D293" i="9"/>
  <c r="E297" i="9"/>
  <c r="D297" i="9"/>
  <c r="E309" i="9"/>
  <c r="D309" i="9"/>
  <c r="C309" i="9"/>
  <c r="L309" i="9"/>
  <c r="M309" i="9" s="1"/>
  <c r="E317" i="9"/>
  <c r="D317" i="9"/>
  <c r="C317" i="9"/>
  <c r="L317" i="9"/>
  <c r="M317" i="9" s="1"/>
  <c r="E321" i="9"/>
  <c r="D321" i="9"/>
  <c r="C321" i="9"/>
  <c r="L321" i="9"/>
  <c r="M321" i="9" s="1"/>
  <c r="E329" i="9"/>
  <c r="D329" i="9"/>
  <c r="C329" i="9"/>
  <c r="L329" i="9"/>
  <c r="M329" i="9" s="1"/>
  <c r="E333" i="9"/>
  <c r="D333" i="9"/>
  <c r="C333" i="9"/>
  <c r="L333" i="9"/>
  <c r="M333" i="9" s="1"/>
  <c r="E345" i="9"/>
  <c r="D345" i="9"/>
  <c r="C345" i="9"/>
  <c r="L345" i="9"/>
  <c r="M345" i="9" s="1"/>
  <c r="E353" i="9"/>
  <c r="D353" i="9"/>
  <c r="C353" i="9"/>
  <c r="L353" i="9"/>
  <c r="M353" i="9" s="1"/>
  <c r="E357" i="9"/>
  <c r="D357" i="9"/>
  <c r="C357" i="9"/>
  <c r="L357" i="9"/>
  <c r="M357" i="9" s="1"/>
  <c r="E365" i="9"/>
  <c r="D365" i="9"/>
  <c r="C365" i="9"/>
  <c r="L365" i="9"/>
  <c r="M365" i="9" s="1"/>
  <c r="L373" i="9"/>
  <c r="M373" i="9" s="1"/>
  <c r="D373" i="9"/>
  <c r="C373" i="9"/>
  <c r="E373" i="9"/>
  <c r="E381" i="9"/>
  <c r="D381" i="9"/>
  <c r="C381" i="9"/>
  <c r="L381" i="9"/>
  <c r="M381" i="9" s="1"/>
  <c r="L385" i="9"/>
  <c r="M385" i="9" s="1"/>
  <c r="D385" i="9"/>
  <c r="C385" i="9"/>
  <c r="E385" i="9"/>
  <c r="D465" i="9"/>
  <c r="E465" i="9"/>
  <c r="E469" i="9"/>
  <c r="D469" i="9"/>
  <c r="D473" i="9"/>
  <c r="E473" i="9"/>
  <c r="D477" i="9"/>
  <c r="E477" i="9"/>
  <c r="L481" i="9"/>
  <c r="M481" i="9" s="1"/>
  <c r="E481" i="9"/>
  <c r="D481" i="9"/>
  <c r="C481" i="9"/>
  <c r="D485" i="9"/>
  <c r="E485" i="9"/>
  <c r="D489" i="9"/>
  <c r="E489" i="9"/>
  <c r="D493" i="9"/>
  <c r="E493" i="9"/>
  <c r="E505" i="9"/>
  <c r="D505" i="9"/>
  <c r="L517" i="9"/>
  <c r="M517" i="9" s="1"/>
  <c r="E517" i="9"/>
  <c r="D517" i="9"/>
  <c r="C517" i="9"/>
  <c r="D525" i="9"/>
  <c r="C525" i="9"/>
  <c r="L525" i="9"/>
  <c r="M525" i="9" s="1"/>
  <c r="E525" i="9"/>
  <c r="D533" i="9"/>
  <c r="C533" i="9"/>
  <c r="L533" i="9"/>
  <c r="M533" i="9" s="1"/>
  <c r="E533" i="9"/>
  <c r="D537" i="9"/>
  <c r="C537" i="9"/>
  <c r="L537" i="9"/>
  <c r="M537" i="9" s="1"/>
  <c r="E537" i="9"/>
  <c r="D545" i="9"/>
  <c r="C545" i="9"/>
  <c r="L545" i="9"/>
  <c r="M545" i="9" s="1"/>
  <c r="E545" i="9"/>
  <c r="L553" i="9"/>
  <c r="M553" i="9" s="1"/>
  <c r="E553" i="9"/>
  <c r="D553" i="9"/>
  <c r="C553" i="9"/>
  <c r="D561" i="9"/>
  <c r="C561" i="9"/>
  <c r="L561" i="9"/>
  <c r="M561" i="9" s="1"/>
  <c r="E561" i="9"/>
  <c r="L565" i="9"/>
  <c r="M565" i="9" s="1"/>
  <c r="D565" i="9"/>
  <c r="C565" i="9"/>
  <c r="E565" i="9"/>
  <c r="D573" i="9"/>
  <c r="C573" i="9"/>
  <c r="L573" i="9"/>
  <c r="M573" i="9" s="1"/>
  <c r="E573" i="9"/>
  <c r="L589" i="9"/>
  <c r="M589" i="9" s="1"/>
  <c r="E589" i="9"/>
  <c r="D589" i="9"/>
  <c r="C589" i="9"/>
  <c r="D597" i="9"/>
  <c r="C597" i="9"/>
  <c r="L597" i="9"/>
  <c r="M597" i="9" s="1"/>
  <c r="E597" i="9"/>
  <c r="L601" i="9"/>
  <c r="M601" i="9" s="1"/>
  <c r="D601" i="9"/>
  <c r="C601" i="9"/>
  <c r="E601" i="9"/>
  <c r="L613" i="9"/>
  <c r="M613" i="9" s="1"/>
  <c r="E613" i="9"/>
  <c r="D613" i="9"/>
  <c r="C613" i="9"/>
  <c r="L625" i="9"/>
  <c r="M625" i="9" s="1"/>
  <c r="E625" i="9"/>
  <c r="D625" i="9"/>
  <c r="C625" i="9"/>
  <c r="D629" i="9"/>
  <c r="C629" i="9"/>
  <c r="L629" i="9"/>
  <c r="M629" i="9" s="1"/>
  <c r="E629" i="9"/>
  <c r="D641" i="9"/>
  <c r="C641" i="9"/>
  <c r="L641" i="9"/>
  <c r="M641" i="9" s="1"/>
  <c r="E641" i="9"/>
  <c r="E649" i="9"/>
  <c r="D649" i="9"/>
  <c r="L661" i="9"/>
  <c r="M661" i="9" s="1"/>
  <c r="E661" i="9"/>
  <c r="D661" i="9"/>
  <c r="C661" i="9"/>
  <c r="D669" i="9"/>
  <c r="E669" i="9"/>
  <c r="D677" i="9"/>
  <c r="E677" i="9"/>
  <c r="E685" i="9"/>
  <c r="D685" i="9"/>
  <c r="D689" i="9"/>
  <c r="E689" i="9"/>
  <c r="D701" i="9"/>
  <c r="C701" i="9"/>
  <c r="L701" i="9"/>
  <c r="M701" i="9" s="1"/>
  <c r="E701" i="9"/>
  <c r="D709" i="9"/>
  <c r="E709" i="9"/>
  <c r="D717" i="9"/>
  <c r="E717" i="9"/>
  <c r="L721" i="9"/>
  <c r="M721" i="9" s="1"/>
  <c r="E721" i="9"/>
  <c r="D721" i="9"/>
  <c r="C721" i="9"/>
  <c r="D729" i="9"/>
  <c r="C729" i="9"/>
  <c r="L729" i="9"/>
  <c r="M729" i="9" s="1"/>
  <c r="E729" i="9"/>
  <c r="D737" i="9"/>
  <c r="C737" i="9"/>
  <c r="L737" i="9"/>
  <c r="M737" i="9" s="1"/>
  <c r="E737" i="9"/>
  <c r="D749" i="9"/>
  <c r="C749" i="9"/>
  <c r="L749" i="9"/>
  <c r="M749" i="9" s="1"/>
  <c r="E749" i="9"/>
  <c r="L757" i="9"/>
  <c r="M757" i="9" s="1"/>
  <c r="E757" i="9"/>
  <c r="D757" i="9"/>
  <c r="C757" i="9"/>
  <c r="D765" i="9"/>
  <c r="C765" i="9"/>
  <c r="L765" i="9"/>
  <c r="M765" i="9" s="1"/>
  <c r="E765" i="9"/>
  <c r="D773" i="9"/>
  <c r="C773" i="9"/>
  <c r="L773" i="9"/>
  <c r="M773" i="9" s="1"/>
  <c r="E773" i="9"/>
  <c r="D777" i="9"/>
  <c r="C777" i="9"/>
  <c r="L777" i="9"/>
  <c r="M777" i="9" s="1"/>
  <c r="E777" i="9"/>
  <c r="E797" i="9"/>
  <c r="D797" i="9"/>
  <c r="C797" i="9"/>
  <c r="L797" i="9"/>
  <c r="M797" i="9" s="1"/>
  <c r="L805" i="9"/>
  <c r="M805" i="9" s="1"/>
  <c r="E805" i="9"/>
  <c r="D805" i="9"/>
  <c r="C805" i="9"/>
  <c r="D813" i="9"/>
  <c r="C813" i="9"/>
  <c r="L813" i="9"/>
  <c r="M813" i="9" s="1"/>
  <c r="E813" i="9"/>
  <c r="L817" i="9"/>
  <c r="M817" i="9" s="1"/>
  <c r="D817" i="9"/>
  <c r="C817" i="9"/>
  <c r="E817" i="9"/>
  <c r="E821" i="9"/>
  <c r="D821" i="9"/>
  <c r="C821" i="9"/>
  <c r="L821" i="9"/>
  <c r="M821" i="9" s="1"/>
  <c r="D825" i="9"/>
  <c r="C825" i="9"/>
  <c r="L825" i="9"/>
  <c r="M825" i="9" s="1"/>
  <c r="E825" i="9"/>
  <c r="E833" i="9"/>
  <c r="D833" i="9"/>
  <c r="C833" i="9"/>
  <c r="L833" i="9"/>
  <c r="M833" i="9" s="1"/>
  <c r="D837" i="9"/>
  <c r="C837" i="9"/>
  <c r="L837" i="9"/>
  <c r="M837" i="9" s="1"/>
  <c r="E837" i="9"/>
  <c r="E849" i="9"/>
  <c r="D849" i="9"/>
  <c r="E857" i="9"/>
  <c r="D857" i="9"/>
  <c r="E865" i="9"/>
  <c r="D865" i="9"/>
  <c r="E873" i="9"/>
  <c r="D873" i="9"/>
  <c r="E877" i="9"/>
  <c r="D877" i="9"/>
  <c r="E885" i="9"/>
  <c r="D885" i="9"/>
  <c r="E893" i="9"/>
  <c r="D893" i="9"/>
  <c r="E941" i="9"/>
  <c r="D941" i="9"/>
  <c r="C941" i="9"/>
  <c r="L941" i="9"/>
  <c r="M941" i="9" s="1"/>
  <c r="L949" i="9"/>
  <c r="M949" i="9" s="1"/>
  <c r="C949" i="9"/>
  <c r="E949" i="9"/>
  <c r="D949" i="9"/>
  <c r="E957" i="9"/>
  <c r="D957" i="9"/>
  <c r="C957" i="9"/>
  <c r="L957" i="9"/>
  <c r="M957" i="9" s="1"/>
  <c r="L961" i="9"/>
  <c r="M961" i="9" s="1"/>
  <c r="C961" i="9"/>
  <c r="D961" i="9"/>
  <c r="E961" i="9"/>
  <c r="E965" i="9"/>
  <c r="D965" i="9"/>
  <c r="C965" i="9"/>
  <c r="L965" i="9"/>
  <c r="M965" i="9" s="1"/>
  <c r="E969" i="9"/>
  <c r="D969" i="9"/>
  <c r="C969" i="9"/>
  <c r="L969" i="9"/>
  <c r="M969" i="9" s="1"/>
  <c r="L973" i="9"/>
  <c r="M973" i="9" s="1"/>
  <c r="C973" i="9"/>
  <c r="E973" i="9"/>
  <c r="D973" i="9"/>
  <c r="E977" i="9"/>
  <c r="D977" i="9"/>
  <c r="C977" i="9"/>
  <c r="L977" i="9"/>
  <c r="M977" i="9" s="1"/>
  <c r="E981" i="9"/>
  <c r="D981" i="9"/>
  <c r="C981" i="9"/>
  <c r="L981" i="9"/>
  <c r="M981" i="9" s="1"/>
  <c r="L985" i="9"/>
  <c r="M985" i="9" s="1"/>
  <c r="C985" i="9"/>
  <c r="E985" i="9"/>
  <c r="D985" i="9"/>
  <c r="E989" i="9"/>
  <c r="D989" i="9"/>
  <c r="C989" i="9"/>
  <c r="L989" i="9"/>
  <c r="M989" i="9" s="1"/>
  <c r="E993" i="9"/>
  <c r="D993" i="9"/>
  <c r="C993" i="9"/>
  <c r="L993" i="9"/>
  <c r="M993" i="9" s="1"/>
  <c r="L997" i="9"/>
  <c r="M997" i="9" s="1"/>
  <c r="C997" i="9"/>
  <c r="D997" i="9"/>
  <c r="E997" i="9"/>
  <c r="E1001" i="9"/>
  <c r="D1001" i="9"/>
  <c r="C1001" i="9"/>
  <c r="L1001" i="9"/>
  <c r="M1001" i="9" s="1"/>
  <c r="E1005" i="9"/>
  <c r="D1005" i="9"/>
  <c r="C1005" i="9"/>
  <c r="L1005" i="9"/>
  <c r="M1005" i="9" s="1"/>
  <c r="L1009" i="9"/>
  <c r="M1009" i="9" s="1"/>
  <c r="C1009" i="9"/>
  <c r="E1009" i="9"/>
  <c r="D1009" i="9"/>
  <c r="E1013" i="9"/>
  <c r="D1013" i="9"/>
  <c r="C1013" i="9"/>
  <c r="L1013" i="9"/>
  <c r="M1013" i="9" s="1"/>
  <c r="E1017" i="9"/>
  <c r="D1017" i="9"/>
  <c r="C1017" i="9"/>
  <c r="L1017" i="9"/>
  <c r="M1017" i="9" s="1"/>
  <c r="L1021" i="9"/>
  <c r="M1021" i="9" s="1"/>
  <c r="C1021" i="9"/>
  <c r="E1021" i="9"/>
  <c r="D1021" i="9"/>
  <c r="E1025" i="9"/>
  <c r="D1025" i="9"/>
  <c r="C1025" i="9"/>
  <c r="L1025" i="9"/>
  <c r="M1025" i="9" s="1"/>
  <c r="E1029" i="9"/>
  <c r="D1029" i="9"/>
  <c r="C1029" i="9"/>
  <c r="L1029" i="9"/>
  <c r="M1029" i="9" s="1"/>
  <c r="L1033" i="9"/>
  <c r="M1033" i="9" s="1"/>
  <c r="C1033" i="9"/>
  <c r="D1033" i="9"/>
  <c r="E1033" i="9"/>
  <c r="E1037" i="9"/>
  <c r="D1037" i="9"/>
  <c r="C1037" i="9"/>
  <c r="L1037" i="9"/>
  <c r="M1037" i="9" s="1"/>
  <c r="E1041" i="9"/>
  <c r="D1041" i="9"/>
  <c r="C1041" i="9"/>
  <c r="L1041" i="9"/>
  <c r="M1041" i="9" s="1"/>
  <c r="L1045" i="9"/>
  <c r="M1045" i="9" s="1"/>
  <c r="C1045" i="9"/>
  <c r="E1045" i="9"/>
  <c r="D1045" i="9"/>
  <c r="E1049" i="9"/>
  <c r="D1049" i="9"/>
  <c r="C1049" i="9"/>
  <c r="L1049" i="9"/>
  <c r="M1049" i="9" s="1"/>
  <c r="E1053" i="9"/>
  <c r="D1053" i="9"/>
  <c r="E1057" i="9"/>
  <c r="D1057" i="9"/>
  <c r="E1061" i="9"/>
  <c r="D1061" i="9"/>
  <c r="C1061" i="9"/>
  <c r="L1061" i="9"/>
  <c r="M1061" i="9" s="1"/>
  <c r="E1065" i="9"/>
  <c r="D1065" i="9"/>
  <c r="E1069" i="9"/>
  <c r="D1069" i="9"/>
  <c r="E1073" i="9"/>
  <c r="D1073" i="9"/>
  <c r="E1077" i="9"/>
  <c r="D1077" i="9"/>
  <c r="L1081" i="9"/>
  <c r="M1081" i="9" s="1"/>
  <c r="C1081" i="9"/>
  <c r="E1081" i="9"/>
  <c r="D1081" i="9"/>
  <c r="E1085" i="9"/>
  <c r="D1085" i="9"/>
  <c r="E1089" i="9"/>
  <c r="D1089" i="9"/>
  <c r="D1093" i="9"/>
  <c r="E1093" i="9"/>
  <c r="E1097" i="9"/>
  <c r="D1097" i="9"/>
  <c r="E1101" i="9"/>
  <c r="D1101" i="9"/>
  <c r="C1101" i="9"/>
  <c r="L1101" i="9"/>
  <c r="M1101" i="9" s="1"/>
  <c r="E1105" i="9"/>
  <c r="D1105" i="9"/>
  <c r="E1109" i="9"/>
  <c r="D1109" i="9"/>
  <c r="E1113" i="9"/>
  <c r="D1113" i="9"/>
  <c r="E1117" i="9"/>
  <c r="D1117" i="9"/>
  <c r="E1121" i="9"/>
  <c r="D1121" i="9"/>
  <c r="C1121" i="9"/>
  <c r="L1121" i="9"/>
  <c r="M1121" i="9" s="1"/>
  <c r="E1125" i="9"/>
  <c r="D1125" i="9"/>
  <c r="E1129" i="9"/>
  <c r="D1129" i="9"/>
  <c r="E1133" i="9"/>
  <c r="D1133" i="9"/>
  <c r="E1137" i="9"/>
  <c r="D1137" i="9"/>
  <c r="L1141" i="9"/>
  <c r="M1141" i="9" s="1"/>
  <c r="C1141" i="9"/>
  <c r="D1141" i="9"/>
  <c r="E1141" i="9"/>
  <c r="E1145" i="9"/>
  <c r="D1145" i="9"/>
  <c r="C1145" i="9"/>
  <c r="L1145" i="9"/>
  <c r="M1145" i="9" s="1"/>
  <c r="E1149" i="9"/>
  <c r="D1149" i="9"/>
  <c r="C1149" i="9"/>
  <c r="L1149" i="9"/>
  <c r="M1149" i="9" s="1"/>
  <c r="L1153" i="9"/>
  <c r="M1153" i="9" s="1"/>
  <c r="C1153" i="9"/>
  <c r="E1153" i="9"/>
  <c r="D1153" i="9"/>
  <c r="E1157" i="9"/>
  <c r="D1157" i="9"/>
  <c r="C1157" i="9"/>
  <c r="L1157" i="9"/>
  <c r="M1157" i="9" s="1"/>
  <c r="E1161" i="9"/>
  <c r="D1161" i="9"/>
  <c r="C1161" i="9"/>
  <c r="L1161" i="9"/>
  <c r="M1161" i="9" s="1"/>
  <c r="L1165" i="9"/>
  <c r="M1165" i="9" s="1"/>
  <c r="C1165" i="9"/>
  <c r="E1165" i="9"/>
  <c r="D1165" i="9"/>
  <c r="E1169" i="9"/>
  <c r="D1169" i="9"/>
  <c r="C1169" i="9"/>
  <c r="L1169" i="9"/>
  <c r="M1169" i="9" s="1"/>
  <c r="E1173" i="9"/>
  <c r="D1173" i="9"/>
  <c r="C1173" i="9"/>
  <c r="L1173" i="9"/>
  <c r="M1173" i="9" s="1"/>
  <c r="L1177" i="9"/>
  <c r="M1177" i="9" s="1"/>
  <c r="C1177" i="9"/>
  <c r="E1177" i="9"/>
  <c r="D1177" i="9"/>
  <c r="E1181" i="9"/>
  <c r="D1181" i="9"/>
  <c r="C1181" i="9"/>
  <c r="L1181" i="9"/>
  <c r="M1181" i="9" s="1"/>
  <c r="E1185" i="9"/>
  <c r="D1185" i="9"/>
  <c r="C1185" i="9"/>
  <c r="L1185" i="9"/>
  <c r="M1185" i="9" s="1"/>
  <c r="L1189" i="9"/>
  <c r="M1189" i="9" s="1"/>
  <c r="C1189" i="9"/>
  <c r="D1189" i="9"/>
  <c r="E1189" i="9"/>
  <c r="E1193" i="9"/>
  <c r="D1193" i="9"/>
  <c r="C1193" i="9"/>
  <c r="L1193" i="9"/>
  <c r="M1193" i="9" s="1"/>
  <c r="E1197" i="9"/>
  <c r="D1197" i="9"/>
  <c r="C1197" i="9"/>
  <c r="L1197" i="9"/>
  <c r="M1197" i="9" s="1"/>
  <c r="L1201" i="9"/>
  <c r="M1201" i="9" s="1"/>
  <c r="C1201" i="9"/>
  <c r="E1201" i="9"/>
  <c r="D1201" i="9"/>
  <c r="E1205" i="9"/>
  <c r="D1205" i="9"/>
  <c r="C1205" i="9"/>
  <c r="L1205" i="9"/>
  <c r="M1205" i="9" s="1"/>
  <c r="E1209" i="9"/>
  <c r="D1209" i="9"/>
  <c r="C1209" i="9"/>
  <c r="L1209" i="9"/>
  <c r="M1209" i="9" s="1"/>
  <c r="L1213" i="9"/>
  <c r="M1213" i="9" s="1"/>
  <c r="C1213" i="9"/>
  <c r="E1213" i="9"/>
  <c r="D1213" i="9"/>
  <c r="E1217" i="9"/>
  <c r="D1217" i="9"/>
  <c r="C1217" i="9"/>
  <c r="L1217" i="9"/>
  <c r="M1217" i="9" s="1"/>
  <c r="E1221" i="9"/>
  <c r="D1221" i="9"/>
  <c r="C1221" i="9"/>
  <c r="L1221" i="9"/>
  <c r="M1221" i="9" s="1"/>
  <c r="L1225" i="9"/>
  <c r="M1225" i="9" s="1"/>
  <c r="C1225" i="9"/>
  <c r="E1225" i="9"/>
  <c r="D1225" i="9"/>
  <c r="E1229" i="9"/>
  <c r="D1229" i="9"/>
  <c r="C1229" i="9"/>
  <c r="L1229" i="9"/>
  <c r="M1229" i="9" s="1"/>
  <c r="E1233" i="9"/>
  <c r="D1233" i="9"/>
  <c r="C1233" i="9"/>
  <c r="L1233" i="9"/>
  <c r="M1233" i="9" s="1"/>
  <c r="L1237" i="9"/>
  <c r="M1237" i="9" s="1"/>
  <c r="C1237" i="9"/>
  <c r="D1237" i="9"/>
  <c r="E1237" i="9"/>
  <c r="E1241" i="9"/>
  <c r="D1241" i="9"/>
  <c r="C1241" i="9"/>
  <c r="L1241" i="9"/>
  <c r="M1241" i="9" s="1"/>
  <c r="E1245" i="9"/>
  <c r="D1245" i="9"/>
  <c r="C1245" i="9"/>
  <c r="L1245" i="9"/>
  <c r="M1245" i="9" s="1"/>
  <c r="L1249" i="9"/>
  <c r="M1249" i="9" s="1"/>
  <c r="C1249" i="9"/>
  <c r="E1249" i="9"/>
  <c r="D1249" i="9"/>
  <c r="E1253" i="9"/>
  <c r="D1253" i="9"/>
  <c r="C1253" i="9"/>
  <c r="L1253" i="9"/>
  <c r="M1253" i="9" s="1"/>
  <c r="E1257" i="9"/>
  <c r="D1257" i="9"/>
  <c r="C1257" i="9"/>
  <c r="L1257" i="9"/>
  <c r="M1257" i="9" s="1"/>
  <c r="L1261" i="9"/>
  <c r="M1261" i="9" s="1"/>
  <c r="C1261" i="9"/>
  <c r="E1261" i="9"/>
  <c r="D1261" i="9"/>
  <c r="E1265" i="9"/>
  <c r="D1265" i="9"/>
  <c r="E1269" i="9"/>
  <c r="D1269" i="9"/>
  <c r="C1269" i="9"/>
  <c r="L1269" i="9"/>
  <c r="M1269" i="9" s="1"/>
  <c r="E1273" i="9"/>
  <c r="D1273" i="9"/>
  <c r="E1277" i="9"/>
  <c r="D1277" i="9"/>
  <c r="E1281" i="9"/>
  <c r="D1281" i="9"/>
  <c r="C1281" i="9"/>
  <c r="L1281" i="9"/>
  <c r="M1281" i="9" s="1"/>
  <c r="D1285" i="9"/>
  <c r="E1285" i="9"/>
  <c r="E1289" i="9"/>
  <c r="D1289" i="9"/>
  <c r="C1289" i="9"/>
  <c r="L1289" i="9"/>
  <c r="M1289" i="9" s="1"/>
  <c r="E1293" i="9"/>
  <c r="D1293" i="9"/>
  <c r="E1297" i="9"/>
  <c r="D1297" i="9"/>
  <c r="E1301" i="9"/>
  <c r="D1301" i="9"/>
  <c r="C1301" i="9"/>
  <c r="L1301" i="9"/>
  <c r="M1301" i="9" s="1"/>
  <c r="E1305" i="9"/>
  <c r="D1305" i="9"/>
  <c r="L1309" i="9"/>
  <c r="M1309" i="9" s="1"/>
  <c r="C1309" i="9"/>
  <c r="E1309" i="9"/>
  <c r="D1309" i="9"/>
  <c r="E1313" i="9"/>
  <c r="D1313" i="9"/>
  <c r="E1317" i="9"/>
  <c r="D1317" i="9"/>
  <c r="L1321" i="9"/>
  <c r="M1321" i="9" s="1"/>
  <c r="C1321" i="9"/>
  <c r="E1321" i="9"/>
  <c r="D1321" i="9"/>
  <c r="E1325" i="9"/>
  <c r="D1325" i="9"/>
  <c r="E1329" i="9"/>
  <c r="D1329" i="9"/>
  <c r="C1329" i="9"/>
  <c r="L1329" i="9"/>
  <c r="M1329" i="9" s="1"/>
  <c r="L1333" i="9"/>
  <c r="M1333" i="9" s="1"/>
  <c r="C1333" i="9"/>
  <c r="D1333" i="9"/>
  <c r="E1333" i="9"/>
  <c r="E1337" i="9"/>
  <c r="D1337" i="9"/>
  <c r="C1337" i="9"/>
  <c r="L1337" i="9"/>
  <c r="M1337" i="9" s="1"/>
  <c r="E1341" i="9"/>
  <c r="D1341" i="9"/>
  <c r="C1341" i="9"/>
  <c r="L1341" i="9"/>
  <c r="M1341" i="9" s="1"/>
  <c r="L1345" i="9"/>
  <c r="M1345" i="9" s="1"/>
  <c r="E1345" i="9"/>
  <c r="D1345" i="9"/>
  <c r="C1345" i="9"/>
  <c r="E1349" i="9"/>
  <c r="D1349" i="9"/>
  <c r="L1349" i="9"/>
  <c r="M1349" i="9" s="1"/>
  <c r="C1349" i="9"/>
  <c r="E1353" i="9"/>
  <c r="D1353" i="9"/>
  <c r="C1353" i="9"/>
  <c r="L1353" i="9"/>
  <c r="M1353" i="9" s="1"/>
  <c r="L1357" i="9"/>
  <c r="M1357" i="9" s="1"/>
  <c r="E1357" i="9"/>
  <c r="D1357" i="9"/>
  <c r="C1357" i="9"/>
  <c r="E1361" i="9"/>
  <c r="D1361" i="9"/>
  <c r="L1361" i="9"/>
  <c r="M1361" i="9" s="1"/>
  <c r="C1361" i="9"/>
  <c r="E1365" i="9"/>
  <c r="D1365" i="9"/>
  <c r="C1365" i="9"/>
  <c r="L1365" i="9"/>
  <c r="M1365" i="9" s="1"/>
  <c r="L1369" i="9"/>
  <c r="M1369" i="9" s="1"/>
  <c r="E1369" i="9"/>
  <c r="D1369" i="9"/>
  <c r="C1369" i="9"/>
  <c r="E1373" i="9"/>
  <c r="D1373" i="9"/>
  <c r="L1373" i="9"/>
  <c r="M1373" i="9" s="1"/>
  <c r="C1373" i="9"/>
  <c r="E1377" i="9"/>
  <c r="D1377" i="9"/>
  <c r="C1377" i="9"/>
  <c r="L1377" i="9"/>
  <c r="M1377" i="9" s="1"/>
  <c r="L1381" i="9"/>
  <c r="M1381" i="9" s="1"/>
  <c r="E1381" i="9"/>
  <c r="D1381" i="9"/>
  <c r="C1381" i="9"/>
  <c r="E1385" i="9"/>
  <c r="D1385" i="9"/>
  <c r="L1385" i="9"/>
  <c r="M1385" i="9" s="1"/>
  <c r="C1385" i="9"/>
  <c r="E1389" i="9"/>
  <c r="D1389" i="9"/>
  <c r="C1389" i="9"/>
  <c r="L1389" i="9"/>
  <c r="M1389" i="9" s="1"/>
  <c r="C1393" i="9"/>
  <c r="L1393" i="9"/>
  <c r="M1393" i="9" s="1"/>
  <c r="E1393" i="9"/>
  <c r="D1393" i="9"/>
  <c r="E1397" i="9"/>
  <c r="D1397" i="9"/>
  <c r="L1397" i="9"/>
  <c r="M1397" i="9" s="1"/>
  <c r="C1397" i="9"/>
  <c r="E1401" i="9"/>
  <c r="D1401" i="9"/>
  <c r="C1401" i="9"/>
  <c r="L1401" i="9"/>
  <c r="M1401" i="9" s="1"/>
  <c r="C1405" i="9"/>
  <c r="L1405" i="9"/>
  <c r="M1405" i="9" s="1"/>
  <c r="E1405" i="9"/>
  <c r="D1405" i="9"/>
  <c r="E1409" i="9"/>
  <c r="D1409" i="9"/>
  <c r="L1409" i="9"/>
  <c r="M1409" i="9" s="1"/>
  <c r="C1409" i="9"/>
  <c r="E1413" i="9"/>
  <c r="D1413" i="9"/>
  <c r="C1413" i="9"/>
  <c r="L1413" i="9"/>
  <c r="M1413" i="9" s="1"/>
  <c r="C1417" i="9"/>
  <c r="L1417" i="9"/>
  <c r="M1417" i="9" s="1"/>
  <c r="E1417" i="9"/>
  <c r="D1417" i="9"/>
  <c r="E1421" i="9"/>
  <c r="D1421" i="9"/>
  <c r="L1421" i="9"/>
  <c r="M1421" i="9" s="1"/>
  <c r="C1421" i="9"/>
  <c r="E1425" i="9"/>
  <c r="D1425" i="9"/>
  <c r="C1425" i="9"/>
  <c r="L1425" i="9"/>
  <c r="M1425" i="9" s="1"/>
  <c r="C1429" i="9"/>
  <c r="L1429" i="9"/>
  <c r="M1429" i="9" s="1"/>
  <c r="E1429" i="9"/>
  <c r="D1429" i="9"/>
  <c r="E1433" i="9"/>
  <c r="D1433" i="9"/>
  <c r="L1433" i="9"/>
  <c r="M1433" i="9" s="1"/>
  <c r="C1433" i="9"/>
  <c r="E1437" i="9"/>
  <c r="D1437" i="9"/>
  <c r="C1437" i="9"/>
  <c r="L1437" i="9"/>
  <c r="M1437" i="9" s="1"/>
  <c r="C1441" i="9"/>
  <c r="L1441" i="9"/>
  <c r="M1441" i="9" s="1"/>
  <c r="E1441" i="9"/>
  <c r="D1441" i="9"/>
  <c r="E1445" i="9"/>
  <c r="D1445" i="9"/>
  <c r="L1445" i="9"/>
  <c r="M1445" i="9" s="1"/>
  <c r="C1445" i="9"/>
  <c r="E1449" i="9"/>
  <c r="D1449" i="9"/>
  <c r="C1449" i="9"/>
  <c r="L1449" i="9"/>
  <c r="M1449" i="9" s="1"/>
  <c r="C1453" i="9"/>
  <c r="L1453" i="9"/>
  <c r="M1453" i="9" s="1"/>
  <c r="E1453" i="9"/>
  <c r="D1453" i="9"/>
  <c r="E1457" i="9"/>
  <c r="D1457" i="9"/>
  <c r="L1457" i="9"/>
  <c r="M1457" i="9" s="1"/>
  <c r="C1457" i="9"/>
  <c r="E1461" i="9"/>
  <c r="D1461" i="9"/>
  <c r="C1461" i="9"/>
  <c r="L1461" i="9"/>
  <c r="M1461" i="9" s="1"/>
  <c r="C1465" i="9"/>
  <c r="L1465" i="9"/>
  <c r="M1465" i="9" s="1"/>
  <c r="E1465" i="9"/>
  <c r="D1465" i="9"/>
  <c r="E1469" i="9"/>
  <c r="D1469" i="9"/>
  <c r="L1469" i="9"/>
  <c r="M1469" i="9" s="1"/>
  <c r="C1469" i="9"/>
  <c r="E1473" i="9"/>
  <c r="D1473" i="9"/>
  <c r="E1477" i="9"/>
  <c r="D1477" i="9"/>
  <c r="E1481" i="9"/>
  <c r="D1481" i="9"/>
  <c r="L1481" i="9"/>
  <c r="M1481" i="9" s="1"/>
  <c r="C1481" i="9"/>
  <c r="E1485" i="9"/>
  <c r="D1485" i="9"/>
  <c r="C1489" i="9"/>
  <c r="L1489" i="9"/>
  <c r="M1489" i="9" s="1"/>
  <c r="E1489" i="9"/>
  <c r="D1489" i="9"/>
  <c r="E1493" i="9"/>
  <c r="D1493" i="9"/>
  <c r="E1497" i="9"/>
  <c r="D1497" i="9"/>
  <c r="C1501" i="9"/>
  <c r="L1501" i="9"/>
  <c r="M1501" i="9" s="1"/>
  <c r="E1501" i="9"/>
  <c r="D1501" i="9"/>
  <c r="E1505" i="9"/>
  <c r="D1505" i="9"/>
  <c r="E1509" i="9"/>
  <c r="D1509" i="9"/>
  <c r="C1509" i="9"/>
  <c r="L1509" i="9"/>
  <c r="M1509" i="9" s="1"/>
  <c r="E1513" i="9"/>
  <c r="D1513" i="9"/>
  <c r="E1517" i="9"/>
  <c r="D1517" i="9"/>
  <c r="E1521" i="9"/>
  <c r="D1521" i="9"/>
  <c r="C1521" i="9"/>
  <c r="L1521" i="9"/>
  <c r="M1521" i="9" s="1"/>
  <c r="E1525" i="9"/>
  <c r="D1525" i="9"/>
  <c r="E1529" i="9"/>
  <c r="D1529" i="9"/>
  <c r="L1529" i="9"/>
  <c r="M1529" i="9" s="1"/>
  <c r="C1529" i="9"/>
  <c r="E1542" i="9"/>
  <c r="D1542" i="9"/>
  <c r="C1542" i="9"/>
  <c r="L1542" i="9"/>
  <c r="M1542" i="9" s="1"/>
  <c r="E1555" i="9"/>
  <c r="D1555" i="9"/>
  <c r="C1555" i="9"/>
  <c r="L1555" i="9"/>
  <c r="M1555" i="9" s="1"/>
  <c r="E1568" i="9"/>
  <c r="D1568" i="9"/>
  <c r="C1568" i="9"/>
  <c r="L1568" i="9"/>
  <c r="M1568" i="9" s="1"/>
  <c r="E1577" i="9"/>
  <c r="D1577" i="9"/>
  <c r="L1577" i="9"/>
  <c r="M1577" i="9" s="1"/>
  <c r="C1577" i="9"/>
  <c r="E1590" i="9"/>
  <c r="D1590" i="9"/>
  <c r="C1590" i="9"/>
  <c r="L1590" i="9"/>
  <c r="M1590" i="9" s="1"/>
  <c r="E1603" i="9"/>
  <c r="D1603" i="9"/>
  <c r="C1603" i="9"/>
  <c r="L1603" i="9"/>
  <c r="M1603" i="9" s="1"/>
  <c r="E1616" i="9"/>
  <c r="D1616" i="9"/>
  <c r="C1616" i="9"/>
  <c r="L1616" i="9"/>
  <c r="M1616" i="9" s="1"/>
  <c r="E1625" i="9"/>
  <c r="D1625" i="9"/>
  <c r="L1625" i="9"/>
  <c r="M1625" i="9" s="1"/>
  <c r="C1625" i="9"/>
  <c r="E1638" i="9"/>
  <c r="D1638" i="9"/>
  <c r="C1638" i="9"/>
  <c r="L1638" i="9"/>
  <c r="M1638" i="9" s="1"/>
  <c r="E1651" i="9"/>
  <c r="D1651" i="9"/>
  <c r="C1651" i="9"/>
  <c r="L1651" i="9"/>
  <c r="M1651" i="9" s="1"/>
  <c r="E1664" i="9"/>
  <c r="D1664" i="9"/>
  <c r="C1664" i="9"/>
  <c r="L1664" i="9"/>
  <c r="M1664" i="9" s="1"/>
  <c r="E1673" i="9"/>
  <c r="D1673" i="9"/>
  <c r="L1673" i="9"/>
  <c r="M1673" i="9" s="1"/>
  <c r="C1673" i="9"/>
  <c r="E1686" i="9"/>
  <c r="D1686" i="9"/>
  <c r="C1686" i="9"/>
  <c r="L1686" i="9"/>
  <c r="M1686" i="9" s="1"/>
  <c r="E1699" i="9"/>
  <c r="D1699" i="9"/>
  <c r="C1699" i="9"/>
  <c r="L1699" i="9"/>
  <c r="M1699" i="9" s="1"/>
  <c r="E1712" i="9"/>
  <c r="D1712" i="9"/>
  <c r="C1712" i="9"/>
  <c r="L1712" i="9"/>
  <c r="M1712" i="9" s="1"/>
  <c r="E1721" i="9"/>
  <c r="D1721" i="9"/>
  <c r="L1721" i="9"/>
  <c r="M1721" i="9" s="1"/>
  <c r="C1721" i="9"/>
  <c r="E1734" i="9"/>
  <c r="D1734" i="9"/>
  <c r="C1734" i="9"/>
  <c r="L1734" i="9"/>
  <c r="M1734" i="9" s="1"/>
  <c r="E1747" i="9"/>
  <c r="D1747" i="9"/>
  <c r="C1747" i="9"/>
  <c r="L1747" i="9"/>
  <c r="M1747" i="9" s="1"/>
  <c r="E1760" i="9"/>
  <c r="D1760" i="9"/>
  <c r="C1760" i="9"/>
  <c r="L1760" i="9"/>
  <c r="M1760" i="9" s="1"/>
  <c r="E1769" i="9"/>
  <c r="D1769" i="9"/>
  <c r="L1769" i="9"/>
  <c r="M1769" i="9" s="1"/>
  <c r="C1769" i="9"/>
  <c r="E1782" i="9"/>
  <c r="D1782" i="9"/>
  <c r="C1782" i="9"/>
  <c r="L1782" i="9"/>
  <c r="M1782" i="9" s="1"/>
  <c r="E1795" i="9"/>
  <c r="D1795" i="9"/>
  <c r="L1795" i="9"/>
  <c r="M1795" i="9" s="1"/>
  <c r="C1795" i="9"/>
  <c r="E1808" i="9"/>
  <c r="D1808" i="9"/>
  <c r="C1808" i="9"/>
  <c r="L1808" i="9"/>
  <c r="M1808" i="9" s="1"/>
  <c r="D1817" i="9"/>
  <c r="C1817" i="9"/>
  <c r="L1817" i="9"/>
  <c r="M1817" i="9" s="1"/>
  <c r="E1817" i="9"/>
  <c r="E1830" i="9"/>
  <c r="C1830" i="9"/>
  <c r="L1830" i="9"/>
  <c r="M1830" i="9" s="1"/>
  <c r="D1830" i="9"/>
  <c r="E1843" i="9"/>
  <c r="D1843" i="9"/>
  <c r="L1843" i="9"/>
  <c r="M1843" i="9" s="1"/>
  <c r="C1843" i="9"/>
  <c r="E1856" i="9"/>
  <c r="D1856" i="9"/>
  <c r="C1856" i="9"/>
  <c r="L1856" i="9"/>
  <c r="M1856" i="9" s="1"/>
  <c r="D1865" i="9"/>
  <c r="C1865" i="9"/>
  <c r="L1865" i="9"/>
  <c r="M1865" i="9" s="1"/>
  <c r="E1865" i="9"/>
  <c r="E1878" i="9"/>
  <c r="C1878" i="9"/>
  <c r="L1878" i="9"/>
  <c r="M1878" i="9" s="1"/>
  <c r="D1878" i="9"/>
  <c r="E1891" i="9"/>
  <c r="D1891" i="9"/>
  <c r="L1891" i="9"/>
  <c r="M1891" i="9" s="1"/>
  <c r="C1891" i="9"/>
  <c r="E1904" i="9"/>
  <c r="D1904" i="9"/>
  <c r="C1904" i="9"/>
  <c r="L1904" i="9"/>
  <c r="M1904" i="9" s="1"/>
  <c r="D1913" i="9"/>
  <c r="C1913" i="9"/>
  <c r="L1913" i="9"/>
  <c r="M1913" i="9" s="1"/>
  <c r="E1913" i="9"/>
  <c r="E1926" i="9"/>
  <c r="C1926" i="9"/>
  <c r="L1926" i="9"/>
  <c r="M1926" i="9" s="1"/>
  <c r="D1926" i="9"/>
  <c r="E1939" i="9"/>
  <c r="D1939" i="9"/>
  <c r="L1939" i="9"/>
  <c r="M1939" i="9" s="1"/>
  <c r="C1939" i="9"/>
  <c r="E1952" i="9"/>
  <c r="D1952" i="9"/>
  <c r="C1952" i="9"/>
  <c r="L1952" i="9"/>
  <c r="M1952" i="9" s="1"/>
  <c r="D1961" i="9"/>
  <c r="C1961" i="9"/>
  <c r="E1961" i="9"/>
  <c r="L1961" i="9"/>
  <c r="M1961" i="9" s="1"/>
  <c r="E1974" i="9"/>
  <c r="C1974" i="9"/>
  <c r="D1974" i="9"/>
  <c r="L1974" i="9"/>
  <c r="M1974" i="9" s="1"/>
  <c r="E1987" i="9"/>
  <c r="D1987" i="9"/>
  <c r="L1987" i="9"/>
  <c r="M1987" i="9" s="1"/>
  <c r="C1987" i="9"/>
  <c r="E2000" i="9"/>
  <c r="D2000" i="9"/>
  <c r="C2000" i="9"/>
  <c r="L2000" i="9"/>
  <c r="M2000" i="9" s="1"/>
  <c r="D2009" i="9"/>
  <c r="C2009" i="9"/>
  <c r="L2009" i="9"/>
  <c r="M2009" i="9" s="1"/>
  <c r="E2009" i="9"/>
  <c r="E2022" i="9"/>
  <c r="C2022" i="9"/>
  <c r="L2022" i="9"/>
  <c r="M2022" i="9" s="1"/>
  <c r="D2022" i="9"/>
  <c r="E2035" i="9"/>
  <c r="D2035" i="9"/>
  <c r="L2035" i="9"/>
  <c r="M2035" i="9" s="1"/>
  <c r="C2035" i="9"/>
  <c r="L2040" i="9"/>
  <c r="M2040" i="9" s="1"/>
  <c r="C2040" i="9"/>
  <c r="E2040" i="9"/>
  <c r="D2040" i="9"/>
  <c r="D2045" i="9"/>
  <c r="C2045" i="9"/>
  <c r="L2045" i="9"/>
  <c r="M2045" i="9" s="1"/>
  <c r="E2045" i="9"/>
  <c r="E2059" i="9"/>
  <c r="D2059" i="9"/>
  <c r="L2059" i="9"/>
  <c r="M2059" i="9" s="1"/>
  <c r="C2059" i="9"/>
  <c r="L2064" i="9"/>
  <c r="M2064" i="9" s="1"/>
  <c r="C2064" i="9"/>
  <c r="E2064" i="9"/>
  <c r="D2064" i="9"/>
  <c r="D2069" i="9"/>
  <c r="C2069" i="9"/>
  <c r="E2069" i="9"/>
  <c r="L2069" i="9"/>
  <c r="M2069" i="9" s="1"/>
  <c r="E2083" i="9"/>
  <c r="D2083" i="9"/>
  <c r="C2083" i="9"/>
  <c r="L2083" i="9"/>
  <c r="M2083" i="9" s="1"/>
  <c r="L2088" i="9"/>
  <c r="M2088" i="9" s="1"/>
  <c r="C2088" i="9"/>
  <c r="E2088" i="9"/>
  <c r="D2088" i="9"/>
  <c r="E2093" i="9"/>
  <c r="D2093" i="9"/>
  <c r="C2093" i="9"/>
  <c r="L2093" i="9"/>
  <c r="M2093" i="9" s="1"/>
  <c r="E2107" i="9"/>
  <c r="D2107" i="9"/>
  <c r="C2107" i="9"/>
  <c r="L2107" i="9"/>
  <c r="M2107" i="9" s="1"/>
  <c r="L2112" i="9"/>
  <c r="M2112" i="9" s="1"/>
  <c r="C2112" i="9"/>
  <c r="D2112" i="9"/>
  <c r="E2112" i="9"/>
  <c r="E2117" i="9"/>
  <c r="D2117" i="9"/>
  <c r="C2117" i="9"/>
  <c r="L2117" i="9"/>
  <c r="M2117" i="9" s="1"/>
  <c r="E2131" i="9"/>
  <c r="D2131" i="9"/>
  <c r="C2131" i="9"/>
  <c r="L2131" i="9"/>
  <c r="M2131" i="9" s="1"/>
  <c r="L2136" i="9"/>
  <c r="M2136" i="9" s="1"/>
  <c r="C2136" i="9"/>
  <c r="E2136" i="9"/>
  <c r="D2136" i="9"/>
  <c r="E2141" i="9"/>
  <c r="D2141" i="9"/>
  <c r="C2141" i="9"/>
  <c r="L2141" i="9"/>
  <c r="M2141" i="9" s="1"/>
  <c r="E2155" i="9"/>
  <c r="D2155" i="9"/>
  <c r="C2155" i="9"/>
  <c r="L2155" i="9"/>
  <c r="M2155" i="9" s="1"/>
  <c r="L2160" i="9"/>
  <c r="M2160" i="9" s="1"/>
  <c r="C2160" i="9"/>
  <c r="D2160" i="9"/>
  <c r="E2160" i="9"/>
  <c r="E2165" i="9"/>
  <c r="D2165" i="9"/>
  <c r="C2165" i="9"/>
  <c r="L2165" i="9"/>
  <c r="M2165" i="9" s="1"/>
  <c r="E2179" i="9"/>
  <c r="D2179" i="9"/>
  <c r="C2179" i="9"/>
  <c r="L2179" i="9"/>
  <c r="M2179" i="9" s="1"/>
  <c r="L2184" i="9"/>
  <c r="M2184" i="9" s="1"/>
  <c r="C2184" i="9"/>
  <c r="E2184" i="9"/>
  <c r="D2184" i="9"/>
  <c r="E2189" i="9"/>
  <c r="D2189" i="9"/>
  <c r="C2189" i="9"/>
  <c r="L2189" i="9"/>
  <c r="M2189" i="9" s="1"/>
  <c r="E2203" i="9"/>
  <c r="D2203" i="9"/>
  <c r="C2203" i="9"/>
  <c r="L2203" i="9"/>
  <c r="M2203" i="9" s="1"/>
  <c r="L2208" i="9"/>
  <c r="M2208" i="9" s="1"/>
  <c r="C2208" i="9"/>
  <c r="D2208" i="9"/>
  <c r="E2208" i="9"/>
  <c r="E2213" i="9"/>
  <c r="D2213" i="9"/>
  <c r="C2213" i="9"/>
  <c r="L2213" i="9"/>
  <c r="M2213" i="9" s="1"/>
  <c r="E2227" i="9"/>
  <c r="D2227" i="9"/>
  <c r="C2227" i="9"/>
  <c r="L2227" i="9"/>
  <c r="M2227" i="9" s="1"/>
  <c r="L2232" i="9"/>
  <c r="M2232" i="9" s="1"/>
  <c r="C2232" i="9"/>
  <c r="E2232" i="9"/>
  <c r="D2232" i="9"/>
  <c r="E2237" i="9"/>
  <c r="D2237" i="9"/>
  <c r="C2237" i="9"/>
  <c r="L2237" i="9"/>
  <c r="M2237" i="9" s="1"/>
  <c r="E2251" i="9"/>
  <c r="D2251" i="9"/>
  <c r="C2251" i="9"/>
  <c r="L2251" i="9"/>
  <c r="M2251" i="9" s="1"/>
  <c r="L2256" i="9"/>
  <c r="M2256" i="9" s="1"/>
  <c r="C2256" i="9"/>
  <c r="D2256" i="9"/>
  <c r="E2256" i="9"/>
  <c r="E2261" i="9"/>
  <c r="D2261" i="9"/>
  <c r="C2261" i="9"/>
  <c r="L2261" i="9"/>
  <c r="M2261" i="9" s="1"/>
  <c r="E2275" i="9"/>
  <c r="D2275" i="9"/>
  <c r="C2275" i="9"/>
  <c r="L2275" i="9"/>
  <c r="M2275" i="9" s="1"/>
  <c r="L2280" i="9"/>
  <c r="M2280" i="9" s="1"/>
  <c r="C2280" i="9"/>
  <c r="E2280" i="9"/>
  <c r="D2280" i="9"/>
  <c r="E2285" i="9"/>
  <c r="D2285" i="9"/>
  <c r="C2285" i="9"/>
  <c r="L2285" i="9"/>
  <c r="M2285" i="9" s="1"/>
  <c r="E2299" i="9"/>
  <c r="D2299" i="9"/>
  <c r="C2299" i="9"/>
  <c r="L2299" i="9"/>
  <c r="M2299" i="9" s="1"/>
  <c r="L2304" i="9"/>
  <c r="M2304" i="9" s="1"/>
  <c r="C2304" i="9"/>
  <c r="D2304" i="9"/>
  <c r="E2304" i="9"/>
  <c r="E2309" i="9"/>
  <c r="D2309" i="9"/>
  <c r="C2309" i="9"/>
  <c r="L2309" i="9"/>
  <c r="M2309" i="9" s="1"/>
  <c r="E2323" i="9"/>
  <c r="D2323" i="9"/>
  <c r="E2328" i="9"/>
  <c r="D2328" i="9"/>
  <c r="E2333" i="9"/>
  <c r="D2333" i="9"/>
  <c r="E2347" i="9"/>
  <c r="D2347" i="9"/>
  <c r="E2352" i="9"/>
  <c r="D2352" i="9"/>
  <c r="E2357" i="9"/>
  <c r="D2357" i="9"/>
  <c r="E2371" i="9"/>
  <c r="D2371" i="9"/>
  <c r="C2371" i="9"/>
  <c r="L2371" i="9"/>
  <c r="M2371" i="9" s="1"/>
  <c r="D2376" i="9"/>
  <c r="E2376" i="9"/>
  <c r="E2381" i="9"/>
  <c r="D2381" i="9"/>
  <c r="C2381" i="9"/>
  <c r="L2381" i="9"/>
  <c r="M2381" i="9" s="1"/>
  <c r="E2395" i="9"/>
  <c r="D2395" i="9"/>
  <c r="C2395" i="9"/>
  <c r="L2395" i="9"/>
  <c r="M2395" i="9" s="1"/>
  <c r="L2400" i="9"/>
  <c r="M2400" i="9" s="1"/>
  <c r="E2400" i="9"/>
  <c r="D2400" i="9"/>
  <c r="C2400" i="9"/>
  <c r="E2405" i="9"/>
  <c r="D2405" i="9"/>
  <c r="C2405" i="9"/>
  <c r="L2405" i="9"/>
  <c r="M2405" i="9" s="1"/>
  <c r="E2419" i="9"/>
  <c r="D2419" i="9"/>
  <c r="C2419" i="9"/>
  <c r="L2419" i="9"/>
  <c r="M2419" i="9" s="1"/>
  <c r="L2424" i="9"/>
  <c r="M2424" i="9" s="1"/>
  <c r="C2424" i="9"/>
  <c r="E2424" i="9"/>
  <c r="D2424" i="9"/>
  <c r="E2429" i="9"/>
  <c r="D2429" i="9"/>
  <c r="C2429" i="9"/>
  <c r="L2429" i="9"/>
  <c r="M2429" i="9" s="1"/>
  <c r="E2443" i="9"/>
  <c r="D2443" i="9"/>
  <c r="C2443" i="9"/>
  <c r="L2443" i="9"/>
  <c r="M2443" i="9" s="1"/>
  <c r="L2448" i="9"/>
  <c r="M2448" i="9" s="1"/>
  <c r="C2448" i="9"/>
  <c r="E2448" i="9"/>
  <c r="D2448" i="9"/>
  <c r="E2453" i="9"/>
  <c r="D2453" i="9"/>
  <c r="C2453" i="9"/>
  <c r="L2453" i="9"/>
  <c r="M2453" i="9" s="1"/>
  <c r="E2467" i="9"/>
  <c r="D2467" i="9"/>
  <c r="C2467" i="9"/>
  <c r="L2467" i="9"/>
  <c r="M2467" i="9" s="1"/>
  <c r="C2472" i="9"/>
  <c r="L2472" i="9"/>
  <c r="M2472" i="9" s="1"/>
  <c r="E2472" i="9"/>
  <c r="D2472" i="9"/>
  <c r="E2477" i="9"/>
  <c r="D2477" i="9"/>
  <c r="C2477" i="9"/>
  <c r="L2477" i="9"/>
  <c r="M2477" i="9" s="1"/>
  <c r="E2491" i="9"/>
  <c r="D2491" i="9"/>
  <c r="C2491" i="9"/>
  <c r="L2491" i="9"/>
  <c r="M2491" i="9" s="1"/>
  <c r="C2496" i="9"/>
  <c r="L2496" i="9"/>
  <c r="M2496" i="9" s="1"/>
  <c r="E2496" i="9"/>
  <c r="D2496" i="9"/>
  <c r="E2501" i="9"/>
  <c r="L2501" i="9"/>
  <c r="M2501" i="9" s="1"/>
  <c r="D2501" i="9"/>
  <c r="C2501" i="9"/>
  <c r="E2515" i="9"/>
  <c r="D2515" i="9"/>
  <c r="E2520" i="9"/>
  <c r="C2520" i="9"/>
  <c r="L2520" i="9"/>
  <c r="M2520" i="9" s="1"/>
  <c r="D2520" i="9"/>
  <c r="E2525" i="9"/>
  <c r="D2525" i="9"/>
  <c r="E2539" i="9"/>
  <c r="D2539" i="9"/>
  <c r="E2544" i="9"/>
  <c r="D2544" i="9"/>
  <c r="E2549" i="9"/>
  <c r="D2549" i="9"/>
  <c r="E2563" i="9"/>
  <c r="D2563" i="9"/>
  <c r="E2568" i="9"/>
  <c r="D2568" i="9"/>
  <c r="E2573" i="9"/>
  <c r="D2573" i="9"/>
  <c r="E2587" i="9"/>
  <c r="D2587" i="9"/>
  <c r="E2592" i="9"/>
  <c r="D2592" i="9"/>
  <c r="C2592" i="9"/>
  <c r="L2592" i="9"/>
  <c r="M2592" i="9" s="1"/>
  <c r="L2597" i="9"/>
  <c r="M2597" i="9" s="1"/>
  <c r="E2597" i="9"/>
  <c r="C2597" i="9"/>
  <c r="D2597" i="9"/>
  <c r="E2611" i="9"/>
  <c r="D2611" i="9"/>
  <c r="C2611" i="9"/>
  <c r="L2611" i="9"/>
  <c r="M2611" i="9" s="1"/>
  <c r="E2616" i="9"/>
  <c r="D2616" i="9"/>
  <c r="C2616" i="9"/>
  <c r="L2616" i="9"/>
  <c r="M2616" i="9" s="1"/>
  <c r="L2621" i="9"/>
  <c r="M2621" i="9" s="1"/>
  <c r="E2621" i="9"/>
  <c r="D2621" i="9"/>
  <c r="C2621" i="9"/>
  <c r="E2635" i="9"/>
  <c r="D2635" i="9"/>
  <c r="C2635" i="9"/>
  <c r="L2635" i="9"/>
  <c r="M2635" i="9" s="1"/>
  <c r="E2640" i="9"/>
  <c r="D2640" i="9"/>
  <c r="C2640" i="9"/>
  <c r="L2640" i="9"/>
  <c r="M2640" i="9" s="1"/>
  <c r="L2645" i="9"/>
  <c r="M2645" i="9" s="1"/>
  <c r="E2645" i="9"/>
  <c r="C2645" i="9"/>
  <c r="D2645" i="9"/>
  <c r="E2659" i="9"/>
  <c r="D2659" i="9"/>
  <c r="C2659" i="9"/>
  <c r="L2659" i="9"/>
  <c r="M2659" i="9" s="1"/>
  <c r="E2664" i="9"/>
  <c r="D2664" i="9"/>
  <c r="C2664" i="9"/>
  <c r="L2664" i="9"/>
  <c r="M2664" i="9" s="1"/>
  <c r="L2669" i="9"/>
  <c r="M2669" i="9" s="1"/>
  <c r="E2669" i="9"/>
  <c r="D2669" i="9"/>
  <c r="C2669" i="9"/>
  <c r="E2683" i="9"/>
  <c r="D2683" i="9"/>
  <c r="C2683" i="9"/>
  <c r="L2683" i="9"/>
  <c r="M2683" i="9" s="1"/>
  <c r="E2688" i="9"/>
  <c r="D2688" i="9"/>
  <c r="C2688" i="9"/>
  <c r="L2688" i="9"/>
  <c r="M2688" i="9" s="1"/>
  <c r="L2693" i="9"/>
  <c r="M2693" i="9" s="1"/>
  <c r="E2693" i="9"/>
  <c r="C2693" i="9"/>
  <c r="D2693" i="9"/>
  <c r="E2707" i="9"/>
  <c r="D2707" i="9"/>
  <c r="C2707" i="9"/>
  <c r="L2707" i="9"/>
  <c r="M2707" i="9" s="1"/>
  <c r="E2712" i="9"/>
  <c r="D2712" i="9"/>
  <c r="E2717" i="9"/>
  <c r="D2717" i="9"/>
  <c r="E2731" i="9"/>
  <c r="D2731" i="9"/>
  <c r="C2731" i="9"/>
  <c r="L2731" i="9"/>
  <c r="M2731" i="9" s="1"/>
  <c r="E2736" i="9"/>
  <c r="D2736" i="9"/>
  <c r="L2741" i="9"/>
  <c r="M2741" i="9" s="1"/>
  <c r="E2741" i="9"/>
  <c r="C2741" i="9"/>
  <c r="D2741" i="9"/>
  <c r="E2755" i="9"/>
  <c r="D2755" i="9"/>
  <c r="E2760" i="9"/>
  <c r="D2760" i="9"/>
  <c r="C2760" i="9"/>
  <c r="L2760" i="9"/>
  <c r="M2760" i="9" s="1"/>
  <c r="E2765" i="9"/>
  <c r="D2765" i="9"/>
  <c r="E2779" i="9"/>
  <c r="D2779" i="9"/>
  <c r="E2784" i="9"/>
  <c r="D2784" i="9"/>
  <c r="E2789" i="9"/>
  <c r="D2789" i="9"/>
  <c r="D2803" i="9"/>
  <c r="C2803" i="9"/>
  <c r="E2803" i="9"/>
  <c r="L2803" i="9"/>
  <c r="M2803" i="9" s="1"/>
  <c r="D2808" i="9"/>
  <c r="L2808" i="9"/>
  <c r="M2808" i="9" s="1"/>
  <c r="E2808" i="9"/>
  <c r="C2808" i="9"/>
  <c r="E2813" i="9"/>
  <c r="C2813" i="9"/>
  <c r="L2813" i="9"/>
  <c r="M2813" i="9" s="1"/>
  <c r="D2813" i="9"/>
  <c r="D2827" i="9"/>
  <c r="C2827" i="9"/>
  <c r="L2827" i="9"/>
  <c r="M2827" i="9" s="1"/>
  <c r="E2827" i="9"/>
  <c r="D2832" i="9"/>
  <c r="E2832" i="9"/>
  <c r="C2832" i="9"/>
  <c r="L2832" i="9"/>
  <c r="M2832" i="9" s="1"/>
  <c r="E2837" i="9"/>
  <c r="C2837" i="9"/>
  <c r="L2837" i="9"/>
  <c r="M2837" i="9" s="1"/>
  <c r="D2837" i="9"/>
  <c r="D2851" i="9"/>
  <c r="C2851" i="9"/>
  <c r="L2851" i="9"/>
  <c r="M2851" i="9" s="1"/>
  <c r="E2851" i="9"/>
  <c r="D2856" i="9"/>
  <c r="L2856" i="9"/>
  <c r="M2856" i="9" s="1"/>
  <c r="E2856" i="9"/>
  <c r="C2856" i="9"/>
  <c r="E2861" i="9"/>
  <c r="C2861" i="9"/>
  <c r="D2861" i="9"/>
  <c r="L2861" i="9"/>
  <c r="M2861" i="9" s="1"/>
  <c r="D2875" i="9"/>
  <c r="C2875" i="9"/>
  <c r="E2875" i="9"/>
  <c r="L2875" i="9"/>
  <c r="M2875" i="9" s="1"/>
  <c r="D2880" i="9"/>
  <c r="L2880" i="9"/>
  <c r="M2880" i="9" s="1"/>
  <c r="E2880" i="9"/>
  <c r="C2880" i="9"/>
  <c r="E2885" i="9"/>
  <c r="C2885" i="9"/>
  <c r="L2885" i="9"/>
  <c r="M2885" i="9" s="1"/>
  <c r="D2885" i="9"/>
  <c r="D2899" i="9"/>
  <c r="C2899" i="9"/>
  <c r="L2899" i="9"/>
  <c r="M2899" i="9" s="1"/>
  <c r="E2899" i="9"/>
  <c r="D2904" i="9"/>
  <c r="E2904" i="9"/>
  <c r="C2904" i="9"/>
  <c r="L2904" i="9"/>
  <c r="M2904" i="9" s="1"/>
  <c r="E2909" i="9"/>
  <c r="C2909" i="9"/>
  <c r="L2909" i="9"/>
  <c r="M2909" i="9" s="1"/>
  <c r="D2909" i="9"/>
  <c r="D2923" i="9"/>
  <c r="E2923" i="9"/>
  <c r="D2928" i="9"/>
  <c r="E2928" i="9"/>
  <c r="E2933" i="9"/>
  <c r="D2933" i="9"/>
  <c r="D2947" i="9"/>
  <c r="E2947" i="9"/>
  <c r="D2952" i="9"/>
  <c r="E2952" i="9"/>
  <c r="E2957" i="9"/>
  <c r="D2957" i="9"/>
  <c r="D2971" i="9"/>
  <c r="C2971" i="9"/>
  <c r="L2971" i="9"/>
  <c r="M2971" i="9" s="1"/>
  <c r="E2971" i="9"/>
  <c r="D2976" i="9"/>
  <c r="E2976" i="9"/>
  <c r="E2981" i="9"/>
  <c r="C2981" i="9"/>
  <c r="L2981" i="9"/>
  <c r="M2981" i="9" s="1"/>
  <c r="D2981" i="9"/>
  <c r="D2995" i="9"/>
  <c r="C2995" i="9"/>
  <c r="L2995" i="9"/>
  <c r="M2995" i="9" s="1"/>
  <c r="E2995" i="9"/>
  <c r="D3000" i="9"/>
  <c r="L3000" i="9"/>
  <c r="M3000" i="9" s="1"/>
  <c r="E3000" i="9"/>
  <c r="C3000" i="9"/>
  <c r="E3005" i="9"/>
  <c r="C3005" i="9"/>
  <c r="D3005" i="9"/>
  <c r="L3005" i="9"/>
  <c r="M3005" i="9" s="1"/>
  <c r="D3019" i="9"/>
  <c r="C3019" i="9"/>
  <c r="E3019" i="9"/>
  <c r="L3019" i="9"/>
  <c r="M3019" i="9" s="1"/>
  <c r="D3024" i="9"/>
  <c r="L3024" i="9"/>
  <c r="M3024" i="9" s="1"/>
  <c r="E3024" i="9"/>
  <c r="C3024" i="9"/>
  <c r="E3029" i="9"/>
  <c r="C3029" i="9"/>
  <c r="L3029" i="9"/>
  <c r="M3029" i="9" s="1"/>
  <c r="D3029" i="9"/>
  <c r="D3043" i="9"/>
  <c r="C3043" i="9"/>
  <c r="E3043" i="9"/>
  <c r="L3043" i="9"/>
  <c r="M3043" i="9" s="1"/>
  <c r="E3048" i="9"/>
  <c r="D3048" i="9"/>
  <c r="L3048" i="9"/>
  <c r="M3048" i="9" s="1"/>
  <c r="C3048" i="9"/>
  <c r="E3053" i="9"/>
  <c r="D3053" i="9"/>
  <c r="C3053" i="9"/>
  <c r="L3053" i="9"/>
  <c r="M3053" i="9" s="1"/>
  <c r="D3067" i="9"/>
  <c r="C3067" i="9"/>
  <c r="L3067" i="9"/>
  <c r="M3067" i="9" s="1"/>
  <c r="E3067" i="9"/>
  <c r="E3072" i="9"/>
  <c r="D3072" i="9"/>
  <c r="L3072" i="9"/>
  <c r="M3072" i="9" s="1"/>
  <c r="C3072" i="9"/>
  <c r="E3077" i="9"/>
  <c r="D3077" i="9"/>
  <c r="C3077" i="9"/>
  <c r="L3077" i="9"/>
  <c r="M3077" i="9" s="1"/>
  <c r="D3091" i="9"/>
  <c r="C3091" i="9"/>
  <c r="L3091" i="9"/>
  <c r="M3091" i="9" s="1"/>
  <c r="E3091" i="9"/>
  <c r="E3096" i="9"/>
  <c r="D3096" i="9"/>
  <c r="L3096" i="9"/>
  <c r="M3096" i="9" s="1"/>
  <c r="C3096" i="9"/>
  <c r="E3101" i="9"/>
  <c r="D3101" i="9"/>
  <c r="C3101" i="9"/>
  <c r="L3101" i="9"/>
  <c r="M3101" i="9" s="1"/>
  <c r="D3115" i="9"/>
  <c r="E3115" i="9"/>
  <c r="E3120" i="9"/>
  <c r="D3120" i="9"/>
  <c r="L3120" i="9"/>
  <c r="M3120" i="9" s="1"/>
  <c r="C3120" i="9"/>
  <c r="E3125" i="9"/>
  <c r="D3125" i="9"/>
  <c r="D3139" i="9"/>
  <c r="E3139" i="9"/>
  <c r="E3144" i="9"/>
  <c r="D3144" i="9"/>
  <c r="E3149" i="9"/>
  <c r="D3149" i="9"/>
  <c r="D3163" i="9"/>
  <c r="E3163" i="9"/>
  <c r="E3168" i="9"/>
  <c r="D3168" i="9"/>
  <c r="E3173" i="9"/>
  <c r="D3173" i="9"/>
  <c r="D3187" i="9"/>
  <c r="E3187" i="9"/>
  <c r="E3192" i="9"/>
  <c r="D3192" i="9"/>
  <c r="L3192" i="9"/>
  <c r="M3192" i="9" s="1"/>
  <c r="C3192" i="9"/>
  <c r="E3197" i="9"/>
  <c r="D3197" i="9"/>
  <c r="C3197" i="9"/>
  <c r="L3197" i="9"/>
  <c r="M3197" i="9" s="1"/>
  <c r="D3211" i="9"/>
  <c r="C3211" i="9"/>
  <c r="L3211" i="9"/>
  <c r="M3211" i="9" s="1"/>
  <c r="E3211" i="9"/>
  <c r="E3216" i="9"/>
  <c r="D3216" i="9"/>
  <c r="L3216" i="9"/>
  <c r="M3216" i="9" s="1"/>
  <c r="C3216" i="9"/>
  <c r="E3221" i="9"/>
  <c r="D3221" i="9"/>
  <c r="C3221" i="9"/>
  <c r="L3221" i="9"/>
  <c r="M3221" i="9" s="1"/>
  <c r="D3235" i="9"/>
  <c r="C3235" i="9"/>
  <c r="E3235" i="9"/>
  <c r="L3235" i="9"/>
  <c r="M3235" i="9" s="1"/>
  <c r="E3240" i="9"/>
  <c r="D3240" i="9"/>
  <c r="C3240" i="9"/>
  <c r="L3240" i="9"/>
  <c r="M3240" i="9" s="1"/>
  <c r="E3245" i="9"/>
  <c r="D3245" i="9"/>
  <c r="C3245" i="9"/>
  <c r="L3245" i="9"/>
  <c r="M3245" i="9" s="1"/>
  <c r="D3259" i="9"/>
  <c r="C3259" i="9"/>
  <c r="L3259" i="9"/>
  <c r="M3259" i="9" s="1"/>
  <c r="E3259" i="9"/>
  <c r="E3264" i="9"/>
  <c r="D3264" i="9"/>
  <c r="L3264" i="9"/>
  <c r="M3264" i="9" s="1"/>
  <c r="C3264" i="9"/>
  <c r="E3269" i="9"/>
  <c r="D3269" i="9"/>
  <c r="C3269" i="9"/>
  <c r="L3269" i="9"/>
  <c r="M3269" i="9" s="1"/>
  <c r="D3283" i="9"/>
  <c r="C3283" i="9"/>
  <c r="L3283" i="9"/>
  <c r="M3283" i="9" s="1"/>
  <c r="E3283" i="9"/>
  <c r="E3288" i="9"/>
  <c r="D3288" i="9"/>
  <c r="C3288" i="9"/>
  <c r="L3288" i="9"/>
  <c r="M3288" i="9" s="1"/>
  <c r="E3293" i="9"/>
  <c r="D3293" i="9"/>
  <c r="C3293" i="9"/>
  <c r="L3293" i="9"/>
  <c r="M3293" i="9" s="1"/>
  <c r="D3307" i="9"/>
  <c r="C3307" i="9"/>
  <c r="L3307" i="9"/>
  <c r="M3307" i="9" s="1"/>
  <c r="E3307" i="9"/>
  <c r="E3312" i="9"/>
  <c r="D3312" i="9"/>
  <c r="E3317" i="9"/>
  <c r="D3317" i="9"/>
  <c r="D3331" i="9"/>
  <c r="C3331" i="9"/>
  <c r="L3331" i="9"/>
  <c r="M3331" i="9" s="1"/>
  <c r="E3331" i="9"/>
  <c r="E3336" i="9"/>
  <c r="D3336" i="9"/>
  <c r="E3341" i="9"/>
  <c r="D3341" i="9"/>
  <c r="C3341" i="9"/>
  <c r="L3341" i="9"/>
  <c r="M3341" i="9" s="1"/>
  <c r="D3355" i="9"/>
  <c r="E3355" i="9"/>
  <c r="D3360" i="9"/>
  <c r="C3360" i="9"/>
  <c r="L3360" i="9"/>
  <c r="M3360" i="9" s="1"/>
  <c r="E3360" i="9"/>
  <c r="E3365" i="9"/>
  <c r="D3365" i="9"/>
  <c r="D3379" i="9"/>
  <c r="E3379" i="9"/>
  <c r="E3384" i="9"/>
  <c r="D3384" i="9"/>
  <c r="E3389" i="9"/>
  <c r="D3389" i="9"/>
  <c r="E3403" i="9"/>
  <c r="D3403" i="9"/>
  <c r="C3403" i="9"/>
  <c r="L3403" i="9"/>
  <c r="M3403" i="9" s="1"/>
  <c r="E3408" i="9"/>
  <c r="D3408" i="9"/>
  <c r="C3408" i="9"/>
  <c r="L3408" i="9"/>
  <c r="M3408" i="9" s="1"/>
  <c r="L3413" i="9"/>
  <c r="M3413" i="9" s="1"/>
  <c r="E3413" i="9"/>
  <c r="D3413" i="9"/>
  <c r="C3413" i="9"/>
  <c r="E3427" i="9"/>
  <c r="D3427" i="9"/>
  <c r="C3427" i="9"/>
  <c r="L3427" i="9"/>
  <c r="M3427" i="9" s="1"/>
  <c r="E3432" i="9"/>
  <c r="D3432" i="9"/>
  <c r="C3432" i="9"/>
  <c r="L3432" i="9"/>
  <c r="M3432" i="9" s="1"/>
  <c r="L3437" i="9"/>
  <c r="M3437" i="9" s="1"/>
  <c r="E3437" i="9"/>
  <c r="D3437" i="9"/>
  <c r="C3437" i="9"/>
  <c r="E3451" i="9"/>
  <c r="D3451" i="9"/>
  <c r="C3451" i="9"/>
  <c r="L3451" i="9"/>
  <c r="M3451" i="9" s="1"/>
  <c r="E3456" i="9"/>
  <c r="D3456" i="9"/>
  <c r="C3456" i="9"/>
  <c r="L3456" i="9"/>
  <c r="M3456" i="9" s="1"/>
  <c r="L3461" i="9"/>
  <c r="M3461" i="9" s="1"/>
  <c r="E3461" i="9"/>
  <c r="D3461" i="9"/>
  <c r="C3461" i="9"/>
  <c r="E3475" i="9"/>
  <c r="D3475" i="9"/>
  <c r="C3475" i="9"/>
  <c r="L3475" i="9"/>
  <c r="M3475" i="9" s="1"/>
  <c r="E3480" i="9"/>
  <c r="D3480" i="9"/>
  <c r="C3480" i="9"/>
  <c r="L3480" i="9"/>
  <c r="M3480" i="9" s="1"/>
  <c r="L3485" i="9"/>
  <c r="M3485" i="9" s="1"/>
  <c r="E3485" i="9"/>
  <c r="D3485" i="9"/>
  <c r="C3485" i="9"/>
  <c r="E3499" i="9"/>
  <c r="D3499" i="9"/>
  <c r="C3499" i="9"/>
  <c r="L3499" i="9"/>
  <c r="M3499" i="9" s="1"/>
  <c r="E3504" i="9"/>
  <c r="D3504" i="9"/>
  <c r="C3504" i="9"/>
  <c r="L3504" i="9"/>
  <c r="M3504" i="9" s="1"/>
  <c r="L3509" i="9"/>
  <c r="M3509" i="9" s="1"/>
  <c r="E3509" i="9"/>
  <c r="D3509" i="9"/>
  <c r="C3509" i="9"/>
  <c r="E3523" i="9"/>
  <c r="D3523" i="9"/>
  <c r="E3528" i="9"/>
  <c r="D3528" i="9"/>
  <c r="C3528" i="9"/>
  <c r="L3528" i="9"/>
  <c r="M3528" i="9" s="1"/>
  <c r="E3533" i="9"/>
  <c r="D3533" i="9"/>
  <c r="E3547" i="9"/>
  <c r="D3547" i="9"/>
  <c r="E3552" i="9"/>
  <c r="D3552" i="9"/>
  <c r="E3557" i="9"/>
  <c r="D3557" i="9"/>
  <c r="E3571" i="9"/>
  <c r="D3571" i="9"/>
  <c r="C3571" i="9"/>
  <c r="L3571" i="9"/>
  <c r="M3571" i="9" s="1"/>
  <c r="E3576" i="9"/>
  <c r="D3576" i="9"/>
  <c r="C3576" i="9"/>
  <c r="L3576" i="9"/>
  <c r="M3576" i="9" s="1"/>
  <c r="L3581" i="9"/>
  <c r="M3581" i="9" s="1"/>
  <c r="E3581" i="9"/>
  <c r="D3581" i="9"/>
  <c r="C3581" i="9"/>
  <c r="E3595" i="9"/>
  <c r="D3595" i="9"/>
  <c r="C3595" i="9"/>
  <c r="L3595" i="9"/>
  <c r="M3595" i="9" s="1"/>
  <c r="E3600" i="9"/>
  <c r="D3600" i="9"/>
  <c r="C3600" i="9"/>
  <c r="L3600" i="9"/>
  <c r="M3600" i="9" s="1"/>
  <c r="L3605" i="9"/>
  <c r="M3605" i="9" s="1"/>
  <c r="E3605" i="9"/>
  <c r="D3605" i="9"/>
  <c r="C3605" i="9"/>
  <c r="E3619" i="9"/>
  <c r="D3619" i="9"/>
  <c r="C3619" i="9"/>
  <c r="L3619" i="9"/>
  <c r="M3619" i="9" s="1"/>
  <c r="E3624" i="9"/>
  <c r="D3624" i="9"/>
  <c r="C3624" i="9"/>
  <c r="L3624" i="9"/>
  <c r="M3624" i="9" s="1"/>
  <c r="E3629" i="9"/>
  <c r="C3629" i="9"/>
  <c r="L3629" i="9"/>
  <c r="M3629" i="9" s="1"/>
  <c r="D3629" i="9"/>
  <c r="D3643" i="9"/>
  <c r="C3643" i="9"/>
  <c r="L3643" i="9"/>
  <c r="M3643" i="9" s="1"/>
  <c r="E3643" i="9"/>
  <c r="E3648" i="9"/>
  <c r="D3648" i="9"/>
  <c r="C3648" i="9"/>
  <c r="L3648" i="9"/>
  <c r="M3648" i="9" s="1"/>
  <c r="E3653" i="9"/>
  <c r="D3653" i="9"/>
  <c r="C3653" i="9"/>
  <c r="L3653" i="9"/>
  <c r="M3653" i="9" s="1"/>
  <c r="D3667" i="9"/>
  <c r="C3667" i="9"/>
  <c r="L3667" i="9"/>
  <c r="M3667" i="9" s="1"/>
  <c r="E3667" i="9"/>
  <c r="E3672" i="9"/>
  <c r="D3672" i="9"/>
  <c r="C3672" i="9"/>
  <c r="L3672" i="9"/>
  <c r="M3672" i="9" s="1"/>
  <c r="E3677" i="9"/>
  <c r="D3677" i="9"/>
  <c r="C3677" i="9"/>
  <c r="L3677" i="9"/>
  <c r="M3677" i="9" s="1"/>
  <c r="D3691" i="9"/>
  <c r="C3691" i="9"/>
  <c r="L3691" i="9"/>
  <c r="M3691" i="9" s="1"/>
  <c r="E3691" i="9"/>
  <c r="E3696" i="9"/>
  <c r="D3696" i="9"/>
  <c r="C3696" i="9"/>
  <c r="L3696" i="9"/>
  <c r="M3696" i="9" s="1"/>
  <c r="E3701" i="9"/>
  <c r="D3701" i="9"/>
  <c r="C3701" i="9"/>
  <c r="L3701" i="9"/>
  <c r="M3701" i="9" s="1"/>
  <c r="D3715" i="9"/>
  <c r="E3715" i="9"/>
  <c r="E3720" i="9"/>
  <c r="D3720" i="9"/>
  <c r="C3720" i="9"/>
  <c r="L3720" i="9"/>
  <c r="M3720" i="9" s="1"/>
  <c r="E3725" i="9"/>
  <c r="D3725" i="9"/>
  <c r="E3734" i="9"/>
  <c r="D3734" i="9"/>
  <c r="E3748" i="9"/>
  <c r="D3748" i="9"/>
  <c r="C3748" i="9"/>
  <c r="L3748" i="9"/>
  <c r="M3748" i="9" s="1"/>
  <c r="E3757" i="9"/>
  <c r="D3757" i="9"/>
  <c r="C3776" i="9"/>
  <c r="L3776" i="9"/>
  <c r="M3776" i="9" s="1"/>
  <c r="E3776" i="9"/>
  <c r="D3776" i="9"/>
  <c r="E3781" i="9"/>
  <c r="D3781" i="9"/>
  <c r="C3781" i="9"/>
  <c r="L3781" i="9"/>
  <c r="M3781" i="9" s="1"/>
  <c r="E3796" i="9"/>
  <c r="D3796" i="9"/>
  <c r="C3796" i="9"/>
  <c r="L3796" i="9"/>
  <c r="M3796" i="9" s="1"/>
  <c r="L3801" i="9"/>
  <c r="M3801" i="9" s="1"/>
  <c r="D3801" i="9"/>
  <c r="C3801" i="9"/>
  <c r="E3801" i="9"/>
  <c r="E3806" i="9"/>
  <c r="D3806" i="9"/>
  <c r="C3806" i="9"/>
  <c r="L3806" i="9"/>
  <c r="M3806" i="9" s="1"/>
  <c r="D3811" i="9"/>
  <c r="C3811" i="9"/>
  <c r="L3811" i="9"/>
  <c r="M3811" i="9" s="1"/>
  <c r="E3811" i="9"/>
  <c r="E3831" i="9"/>
  <c r="D3831" i="9"/>
  <c r="C3831" i="9"/>
  <c r="L3831" i="9"/>
  <c r="M3831" i="9" s="1"/>
  <c r="C3836" i="9"/>
  <c r="L3836" i="9"/>
  <c r="M3836" i="9" s="1"/>
  <c r="E3836" i="9"/>
  <c r="D3836" i="9"/>
  <c r="E3841" i="9"/>
  <c r="D3841" i="9"/>
  <c r="C3841" i="9"/>
  <c r="L3841" i="9"/>
  <c r="M3841" i="9" s="1"/>
  <c r="E3881" i="9"/>
  <c r="D3881" i="9"/>
  <c r="C3881" i="9"/>
  <c r="L3881" i="9"/>
  <c r="M3881" i="9" s="1"/>
  <c r="L3886" i="9"/>
  <c r="M3886" i="9" s="1"/>
  <c r="E3886" i="9"/>
  <c r="C3886" i="9"/>
  <c r="D3886" i="9"/>
  <c r="C3896" i="9"/>
  <c r="L3896" i="9"/>
  <c r="M3896" i="9" s="1"/>
  <c r="E3896" i="9"/>
  <c r="D3896" i="9"/>
  <c r="E3938" i="9"/>
  <c r="D3938" i="9"/>
  <c r="C3938" i="9"/>
  <c r="L3938" i="9"/>
  <c r="M3938" i="9" s="1"/>
  <c r="C3964" i="9"/>
  <c r="L3964" i="9"/>
  <c r="M3964" i="9" s="1"/>
  <c r="E3964" i="9"/>
  <c r="D3964" i="9"/>
  <c r="E3980" i="9"/>
  <c r="D3980" i="9"/>
  <c r="C3980" i="9"/>
  <c r="L3980" i="9"/>
  <c r="M3980" i="9" s="1"/>
  <c r="E3985" i="9"/>
  <c r="D3985" i="9"/>
  <c r="C3985" i="9"/>
  <c r="L3985" i="9"/>
  <c r="M3985" i="9" s="1"/>
  <c r="L4001" i="9"/>
  <c r="M4001" i="9" s="1"/>
  <c r="E4001" i="9"/>
  <c r="D4001" i="9"/>
  <c r="C4001" i="9"/>
  <c r="E4006" i="9"/>
  <c r="D4006" i="9"/>
  <c r="C4006" i="9"/>
  <c r="L4006" i="9"/>
  <c r="M4006" i="9" s="1"/>
  <c r="E4022" i="9"/>
  <c r="D4022" i="9"/>
  <c r="C4022" i="9"/>
  <c r="L4022" i="9"/>
  <c r="M4022" i="9" s="1"/>
  <c r="L4027" i="9"/>
  <c r="M4027" i="9" s="1"/>
  <c r="E4027" i="9"/>
  <c r="D4027" i="9"/>
  <c r="C4027" i="9"/>
  <c r="D4059" i="9"/>
  <c r="C4059" i="9"/>
  <c r="L4059" i="9"/>
  <c r="M4059" i="9" s="1"/>
  <c r="E4059" i="9"/>
  <c r="E4064" i="9"/>
  <c r="D4064" i="9"/>
  <c r="C4064" i="9"/>
  <c r="L4064" i="9"/>
  <c r="M4064" i="9" s="1"/>
  <c r="E4140" i="9"/>
  <c r="D4140" i="9"/>
  <c r="C4140" i="9"/>
  <c r="L4140" i="9"/>
  <c r="M4140" i="9" s="1"/>
  <c r="E4214" i="9"/>
  <c r="D4214" i="9"/>
  <c r="L4214" i="9"/>
  <c r="M4214" i="9" s="1"/>
  <c r="C4214" i="9"/>
  <c r="L4220" i="9"/>
  <c r="M4220" i="9" s="1"/>
  <c r="E4220" i="9"/>
  <c r="C4220" i="9"/>
  <c r="D4220" i="9"/>
  <c r="C4278" i="9"/>
  <c r="L4278" i="9"/>
  <c r="M4278" i="9" s="1"/>
  <c r="E4278" i="9"/>
  <c r="D4278" i="9"/>
  <c r="E4284" i="9"/>
  <c r="D4284" i="9"/>
  <c r="C4284" i="9"/>
  <c r="L4284" i="9"/>
  <c r="M4284" i="9" s="1"/>
  <c r="E4342" i="9"/>
  <c r="D4342" i="9"/>
  <c r="C4342" i="9"/>
  <c r="L4342" i="9"/>
  <c r="M4342" i="9" s="1"/>
  <c r="E4348" i="9"/>
  <c r="D4348" i="9"/>
  <c r="C4348" i="9"/>
  <c r="L4348" i="9"/>
  <c r="M4348" i="9" s="1"/>
  <c r="E4406" i="9"/>
  <c r="D4406" i="9"/>
  <c r="C4406" i="9"/>
  <c r="L4406" i="9"/>
  <c r="M4406" i="9" s="1"/>
  <c r="L4412" i="9"/>
  <c r="M4412" i="9" s="1"/>
  <c r="E4412" i="9"/>
  <c r="C4412" i="9"/>
  <c r="D4412" i="9"/>
  <c r="E4470" i="9"/>
  <c r="D4470" i="9"/>
  <c r="C4470" i="9"/>
  <c r="L4470" i="9"/>
  <c r="M4470" i="9" s="1"/>
  <c r="L4476" i="9"/>
  <c r="M4476" i="9" s="1"/>
  <c r="D4476" i="9"/>
  <c r="E4476" i="9"/>
  <c r="C4476" i="9"/>
  <c r="D4534" i="9"/>
  <c r="E4534" i="9"/>
  <c r="E4540" i="9"/>
  <c r="D4540" i="9"/>
  <c r="C4540" i="9"/>
  <c r="L4540" i="9"/>
  <c r="M4540" i="9" s="1"/>
  <c r="E4598" i="9"/>
  <c r="D4598" i="9"/>
  <c r="D4604" i="9"/>
  <c r="C4604" i="9"/>
  <c r="L4604" i="9"/>
  <c r="M4604" i="9" s="1"/>
  <c r="E4604" i="9"/>
  <c r="E4662" i="9"/>
  <c r="D4662" i="9"/>
  <c r="C4662" i="9"/>
  <c r="L4662" i="9"/>
  <c r="M4662" i="9" s="1"/>
  <c r="L4668" i="9"/>
  <c r="M4668" i="9" s="1"/>
  <c r="D4668" i="9"/>
  <c r="E4668" i="9"/>
  <c r="C4668" i="9"/>
  <c r="E4726" i="9"/>
  <c r="D4726" i="9"/>
  <c r="E4774" i="9"/>
  <c r="D4774" i="9"/>
  <c r="C4822" i="9"/>
  <c r="L4822" i="9"/>
  <c r="M4822" i="9" s="1"/>
  <c r="E4822" i="9"/>
  <c r="D4822" i="9"/>
  <c r="C4870" i="9"/>
  <c r="L4870" i="9"/>
  <c r="M4870" i="9" s="1"/>
  <c r="E4870" i="9"/>
  <c r="D4870" i="9"/>
  <c r="C4918" i="9"/>
  <c r="L4918" i="9"/>
  <c r="M4918" i="9" s="1"/>
  <c r="E4918" i="9"/>
  <c r="D4918" i="9"/>
  <c r="E4966" i="9"/>
  <c r="D4966" i="9"/>
  <c r="E5014" i="9"/>
  <c r="D5014" i="9"/>
  <c r="C5062" i="9"/>
  <c r="L5062" i="9"/>
  <c r="M5062" i="9" s="1"/>
  <c r="E5062" i="9"/>
  <c r="D5062" i="9"/>
  <c r="E5110" i="9"/>
  <c r="D5110" i="9"/>
  <c r="C5110" i="9"/>
  <c r="L5110" i="9"/>
  <c r="M5110" i="9" s="1"/>
  <c r="E5158" i="9"/>
  <c r="D5158" i="9"/>
  <c r="E5" i="9"/>
  <c r="D5" i="9"/>
  <c r="E9" i="9"/>
  <c r="D9" i="9"/>
  <c r="D13" i="9"/>
  <c r="E13" i="9"/>
  <c r="E17" i="9"/>
  <c r="D17" i="9"/>
  <c r="D25" i="9"/>
  <c r="E25" i="9"/>
  <c r="E29" i="9"/>
  <c r="D29" i="9"/>
  <c r="D37" i="9"/>
  <c r="E37" i="9"/>
  <c r="E45" i="9"/>
  <c r="D45" i="9"/>
  <c r="D49" i="9"/>
  <c r="E49" i="9"/>
  <c r="E57" i="9"/>
  <c r="D57" i="9"/>
  <c r="E69" i="9"/>
  <c r="D69" i="9"/>
  <c r="D73" i="9"/>
  <c r="E73" i="9"/>
  <c r="E77" i="9"/>
  <c r="D77" i="9"/>
  <c r="E81" i="9"/>
  <c r="D81" i="9"/>
  <c r="C81" i="9"/>
  <c r="L81" i="9"/>
  <c r="M81" i="9" s="1"/>
  <c r="E89" i="9"/>
  <c r="D89" i="9"/>
  <c r="E93" i="9"/>
  <c r="D93" i="9"/>
  <c r="C93" i="9"/>
  <c r="L93" i="9"/>
  <c r="M93" i="9" s="1"/>
  <c r="L97" i="9"/>
  <c r="M97" i="9" s="1"/>
  <c r="D97" i="9"/>
  <c r="C97" i="9"/>
  <c r="E97" i="9"/>
  <c r="E101" i="9"/>
  <c r="D101" i="9"/>
  <c r="C101" i="9"/>
  <c r="L101" i="9"/>
  <c r="M101" i="9" s="1"/>
  <c r="L109" i="9"/>
  <c r="M109" i="9" s="1"/>
  <c r="D109" i="9"/>
  <c r="C109" i="9"/>
  <c r="E109" i="9"/>
  <c r="E117" i="9"/>
  <c r="D117" i="9"/>
  <c r="C117" i="9"/>
  <c r="L117" i="9"/>
  <c r="M117" i="9" s="1"/>
  <c r="E125" i="9"/>
  <c r="D125" i="9"/>
  <c r="C125" i="9"/>
  <c r="L125" i="9"/>
  <c r="M125" i="9" s="1"/>
  <c r="E137" i="9"/>
  <c r="D137" i="9"/>
  <c r="C137" i="9"/>
  <c r="L137" i="9"/>
  <c r="M137" i="9" s="1"/>
  <c r="L145" i="9"/>
  <c r="M145" i="9" s="1"/>
  <c r="D145" i="9"/>
  <c r="C145" i="9"/>
  <c r="E145" i="9"/>
  <c r="E149" i="9"/>
  <c r="D149" i="9"/>
  <c r="C149" i="9"/>
  <c r="L149" i="9"/>
  <c r="M149" i="9" s="1"/>
  <c r="E161" i="9"/>
  <c r="D161" i="9"/>
  <c r="C161" i="9"/>
  <c r="L161" i="9"/>
  <c r="M161" i="9" s="1"/>
  <c r="E165" i="9"/>
  <c r="D165" i="9"/>
  <c r="C165" i="9"/>
  <c r="L165" i="9"/>
  <c r="M165" i="9" s="1"/>
  <c r="E177" i="9"/>
  <c r="D177" i="9"/>
  <c r="C177" i="9"/>
  <c r="L177" i="9"/>
  <c r="M177" i="9" s="1"/>
  <c r="E185" i="9"/>
  <c r="D185" i="9"/>
  <c r="C185" i="9"/>
  <c r="L185" i="9"/>
  <c r="M185" i="9" s="1"/>
  <c r="E189" i="9"/>
  <c r="D189" i="9"/>
  <c r="C189" i="9"/>
  <c r="L189" i="9"/>
  <c r="M189" i="9" s="1"/>
  <c r="L205" i="9"/>
  <c r="M205" i="9" s="1"/>
  <c r="D205" i="9"/>
  <c r="C205" i="9"/>
  <c r="E205" i="9"/>
  <c r="E209" i="9"/>
  <c r="D209" i="9"/>
  <c r="C209" i="9"/>
  <c r="L209" i="9"/>
  <c r="M209" i="9" s="1"/>
  <c r="D217" i="9"/>
  <c r="E217" i="9"/>
  <c r="E221" i="9"/>
  <c r="D221" i="9"/>
  <c r="C221" i="9"/>
  <c r="L221" i="9"/>
  <c r="M221" i="9" s="1"/>
  <c r="D229" i="9"/>
  <c r="E229" i="9"/>
  <c r="E237" i="9"/>
  <c r="D237" i="9"/>
  <c r="L241" i="9"/>
  <c r="M241" i="9" s="1"/>
  <c r="D241" i="9"/>
  <c r="C241" i="9"/>
  <c r="E241" i="9"/>
  <c r="E249" i="9"/>
  <c r="D249" i="9"/>
  <c r="D253" i="9"/>
  <c r="E253" i="9"/>
  <c r="E261" i="9"/>
  <c r="D261" i="9"/>
  <c r="C261" i="9"/>
  <c r="L261" i="9"/>
  <c r="M261" i="9" s="1"/>
  <c r="E269" i="9"/>
  <c r="D269" i="9"/>
  <c r="D277" i="9"/>
  <c r="E277" i="9"/>
  <c r="E285" i="9"/>
  <c r="D285" i="9"/>
  <c r="D289" i="9"/>
  <c r="E289" i="9"/>
  <c r="L301" i="9"/>
  <c r="M301" i="9" s="1"/>
  <c r="D301" i="9"/>
  <c r="C301" i="9"/>
  <c r="E301" i="9"/>
  <c r="E305" i="9"/>
  <c r="D305" i="9"/>
  <c r="C305" i="9"/>
  <c r="L305" i="9"/>
  <c r="M305" i="9" s="1"/>
  <c r="L313" i="9"/>
  <c r="M313" i="9" s="1"/>
  <c r="D313" i="9"/>
  <c r="C313" i="9"/>
  <c r="E313" i="9"/>
  <c r="L325" i="9"/>
  <c r="M325" i="9" s="1"/>
  <c r="D325" i="9"/>
  <c r="C325" i="9"/>
  <c r="E325" i="9"/>
  <c r="L337" i="9"/>
  <c r="M337" i="9" s="1"/>
  <c r="D337" i="9"/>
  <c r="C337" i="9"/>
  <c r="E337" i="9"/>
  <c r="E341" i="9"/>
  <c r="D341" i="9"/>
  <c r="C341" i="9"/>
  <c r="L341" i="9"/>
  <c r="M341" i="9" s="1"/>
  <c r="L349" i="9"/>
  <c r="M349" i="9" s="1"/>
  <c r="D349" i="9"/>
  <c r="C349" i="9"/>
  <c r="E349" i="9"/>
  <c r="L361" i="9"/>
  <c r="M361" i="9" s="1"/>
  <c r="D361" i="9"/>
  <c r="C361" i="9"/>
  <c r="E361" i="9"/>
  <c r="E369" i="9"/>
  <c r="D369" i="9"/>
  <c r="C369" i="9"/>
  <c r="L369" i="9"/>
  <c r="M369" i="9" s="1"/>
  <c r="E377" i="9"/>
  <c r="D377" i="9"/>
  <c r="C377" i="9"/>
  <c r="L377" i="9"/>
  <c r="M377" i="9" s="1"/>
  <c r="D389" i="9"/>
  <c r="E389" i="9"/>
  <c r="C389" i="9"/>
  <c r="L389" i="9"/>
  <c r="M389" i="9" s="1"/>
  <c r="D393" i="9"/>
  <c r="C393" i="9"/>
  <c r="L393" i="9"/>
  <c r="M393" i="9" s="1"/>
  <c r="E393" i="9"/>
  <c r="L397" i="9"/>
  <c r="M397" i="9" s="1"/>
  <c r="E397" i="9"/>
  <c r="C397" i="9"/>
  <c r="D397" i="9"/>
  <c r="D401" i="9"/>
  <c r="L401" i="9"/>
  <c r="M401" i="9" s="1"/>
  <c r="E401" i="9"/>
  <c r="C401" i="9"/>
  <c r="D405" i="9"/>
  <c r="C405" i="9"/>
  <c r="L405" i="9"/>
  <c r="M405" i="9" s="1"/>
  <c r="E405" i="9"/>
  <c r="L409" i="9"/>
  <c r="M409" i="9" s="1"/>
  <c r="E409" i="9"/>
  <c r="D409" i="9"/>
  <c r="C409" i="9"/>
  <c r="D413" i="9"/>
  <c r="L413" i="9"/>
  <c r="M413" i="9" s="1"/>
  <c r="C413" i="9"/>
  <c r="E413" i="9"/>
  <c r="D417" i="9"/>
  <c r="C417" i="9"/>
  <c r="L417" i="9"/>
  <c r="M417" i="9" s="1"/>
  <c r="E417" i="9"/>
  <c r="L421" i="9"/>
  <c r="M421" i="9" s="1"/>
  <c r="E421" i="9"/>
  <c r="D421" i="9"/>
  <c r="C421" i="9"/>
  <c r="D425" i="9"/>
  <c r="E425" i="9"/>
  <c r="D429" i="9"/>
  <c r="E429" i="9"/>
  <c r="E433" i="9"/>
  <c r="D433" i="9"/>
  <c r="D437" i="9"/>
  <c r="E437" i="9"/>
  <c r="D441" i="9"/>
  <c r="C441" i="9"/>
  <c r="L441" i="9"/>
  <c r="M441" i="9" s="1"/>
  <c r="E441" i="9"/>
  <c r="E445" i="9"/>
  <c r="D445" i="9"/>
  <c r="D449" i="9"/>
  <c r="E449" i="9"/>
  <c r="D453" i="9"/>
  <c r="E453" i="9"/>
  <c r="E457" i="9"/>
  <c r="D457" i="9"/>
  <c r="D461" i="9"/>
  <c r="L461" i="9"/>
  <c r="M461" i="9" s="1"/>
  <c r="C461" i="9"/>
  <c r="E461" i="9"/>
  <c r="D497" i="9"/>
  <c r="E497" i="9"/>
  <c r="D501" i="9"/>
  <c r="C501" i="9"/>
  <c r="L501" i="9"/>
  <c r="M501" i="9" s="1"/>
  <c r="E501" i="9"/>
  <c r="D509" i="9"/>
  <c r="E509" i="9"/>
  <c r="D513" i="9"/>
  <c r="C513" i="9"/>
  <c r="L513" i="9"/>
  <c r="M513" i="9" s="1"/>
  <c r="E513" i="9"/>
  <c r="D521" i="9"/>
  <c r="C521" i="9"/>
  <c r="L521" i="9"/>
  <c r="M521" i="9" s="1"/>
  <c r="E521" i="9"/>
  <c r="L529" i="9"/>
  <c r="M529" i="9" s="1"/>
  <c r="D529" i="9"/>
  <c r="C529" i="9"/>
  <c r="E529" i="9"/>
  <c r="L541" i="9"/>
  <c r="M541" i="9" s="1"/>
  <c r="E541" i="9"/>
  <c r="D541" i="9"/>
  <c r="C541" i="9"/>
  <c r="D549" i="9"/>
  <c r="C549" i="9"/>
  <c r="L549" i="9"/>
  <c r="M549" i="9" s="1"/>
  <c r="E549" i="9"/>
  <c r="D557" i="9"/>
  <c r="C557" i="9"/>
  <c r="L557" i="9"/>
  <c r="M557" i="9" s="1"/>
  <c r="E557" i="9"/>
  <c r="D569" i="9"/>
  <c r="C569" i="9"/>
  <c r="L569" i="9"/>
  <c r="M569" i="9" s="1"/>
  <c r="E569" i="9"/>
  <c r="L577" i="9"/>
  <c r="M577" i="9" s="1"/>
  <c r="E577" i="9"/>
  <c r="D577" i="9"/>
  <c r="C577" i="9"/>
  <c r="D581" i="9"/>
  <c r="C581" i="9"/>
  <c r="L581" i="9"/>
  <c r="M581" i="9" s="1"/>
  <c r="E581" i="9"/>
  <c r="D585" i="9"/>
  <c r="C585" i="9"/>
  <c r="L585" i="9"/>
  <c r="M585" i="9" s="1"/>
  <c r="E585" i="9"/>
  <c r="D593" i="9"/>
  <c r="C593" i="9"/>
  <c r="L593" i="9"/>
  <c r="M593" i="9" s="1"/>
  <c r="E593" i="9"/>
  <c r="D605" i="9"/>
  <c r="C605" i="9"/>
  <c r="L605" i="9"/>
  <c r="M605" i="9" s="1"/>
  <c r="E605" i="9"/>
  <c r="D609" i="9"/>
  <c r="C609" i="9"/>
  <c r="L609" i="9"/>
  <c r="M609" i="9" s="1"/>
  <c r="E609" i="9"/>
  <c r="D617" i="9"/>
  <c r="C617" i="9"/>
  <c r="L617" i="9"/>
  <c r="M617" i="9" s="1"/>
  <c r="E617" i="9"/>
  <c r="D621" i="9"/>
  <c r="C621" i="9"/>
  <c r="L621" i="9"/>
  <c r="M621" i="9" s="1"/>
  <c r="E621" i="9"/>
  <c r="D633" i="9"/>
  <c r="E633" i="9"/>
  <c r="D637" i="9"/>
  <c r="E637" i="9"/>
  <c r="D645" i="9"/>
  <c r="E645" i="9"/>
  <c r="D653" i="9"/>
  <c r="E653" i="9"/>
  <c r="D657" i="9"/>
  <c r="E657" i="9"/>
  <c r="D665" i="9"/>
  <c r="E665" i="9"/>
  <c r="D673" i="9"/>
  <c r="E673" i="9"/>
  <c r="D681" i="9"/>
  <c r="C681" i="9"/>
  <c r="L681" i="9"/>
  <c r="M681" i="9" s="1"/>
  <c r="E681" i="9"/>
  <c r="D693" i="9"/>
  <c r="E693" i="9"/>
  <c r="E697" i="9"/>
  <c r="D697" i="9"/>
  <c r="D705" i="9"/>
  <c r="E705" i="9"/>
  <c r="D713" i="9"/>
  <c r="E713" i="9"/>
  <c r="D725" i="9"/>
  <c r="C725" i="9"/>
  <c r="L725" i="9"/>
  <c r="M725" i="9" s="1"/>
  <c r="E725" i="9"/>
  <c r="L733" i="9"/>
  <c r="M733" i="9" s="1"/>
  <c r="E733" i="9"/>
  <c r="D733" i="9"/>
  <c r="C733" i="9"/>
  <c r="D741" i="9"/>
  <c r="C741" i="9"/>
  <c r="L741" i="9"/>
  <c r="M741" i="9" s="1"/>
  <c r="E741" i="9"/>
  <c r="L745" i="9"/>
  <c r="M745" i="9" s="1"/>
  <c r="D745" i="9"/>
  <c r="C745" i="9"/>
  <c r="E745" i="9"/>
  <c r="D753" i="9"/>
  <c r="C753" i="9"/>
  <c r="L753" i="9"/>
  <c r="M753" i="9" s="1"/>
  <c r="E753" i="9"/>
  <c r="D761" i="9"/>
  <c r="C761" i="9"/>
  <c r="L761" i="9"/>
  <c r="M761" i="9" s="1"/>
  <c r="E761" i="9"/>
  <c r="L769" i="9"/>
  <c r="M769" i="9" s="1"/>
  <c r="E769" i="9"/>
  <c r="D769" i="9"/>
  <c r="C769" i="9"/>
  <c r="L781" i="9"/>
  <c r="M781" i="9" s="1"/>
  <c r="E781" i="9"/>
  <c r="D781" i="9"/>
  <c r="C781" i="9"/>
  <c r="E785" i="9"/>
  <c r="D785" i="9"/>
  <c r="C785" i="9"/>
  <c r="L785" i="9"/>
  <c r="M785" i="9" s="1"/>
  <c r="D789" i="9"/>
  <c r="C789" i="9"/>
  <c r="L789" i="9"/>
  <c r="M789" i="9" s="1"/>
  <c r="E789" i="9"/>
  <c r="L793" i="9"/>
  <c r="M793" i="9" s="1"/>
  <c r="E793" i="9"/>
  <c r="D793" i="9"/>
  <c r="C793" i="9"/>
  <c r="D801" i="9"/>
  <c r="C801" i="9"/>
  <c r="L801" i="9"/>
  <c r="M801" i="9" s="1"/>
  <c r="E801" i="9"/>
  <c r="E809" i="9"/>
  <c r="D809" i="9"/>
  <c r="C809" i="9"/>
  <c r="L809" i="9"/>
  <c r="M809" i="9" s="1"/>
  <c r="L829" i="9"/>
  <c r="M829" i="9" s="1"/>
  <c r="E829" i="9"/>
  <c r="D829" i="9"/>
  <c r="C829" i="9"/>
  <c r="L841" i="9"/>
  <c r="M841" i="9" s="1"/>
  <c r="C841" i="9"/>
  <c r="E841" i="9"/>
  <c r="D841" i="9"/>
  <c r="E845" i="9"/>
  <c r="D845" i="9"/>
  <c r="D853" i="9"/>
  <c r="E853" i="9"/>
  <c r="E861" i="9"/>
  <c r="D861" i="9"/>
  <c r="C861" i="9"/>
  <c r="L861" i="9"/>
  <c r="M861" i="9" s="1"/>
  <c r="E869" i="9"/>
  <c r="D869" i="9"/>
  <c r="E881" i="9"/>
  <c r="D881" i="9"/>
  <c r="C881" i="9"/>
  <c r="L881" i="9"/>
  <c r="M881" i="9" s="1"/>
  <c r="D889" i="9"/>
  <c r="E889" i="9"/>
  <c r="E897" i="9"/>
  <c r="D897" i="9"/>
  <c r="L901" i="9"/>
  <c r="M901" i="9" s="1"/>
  <c r="C901" i="9"/>
  <c r="E901" i="9"/>
  <c r="D901" i="9"/>
  <c r="E905" i="9"/>
  <c r="D905" i="9"/>
  <c r="E909" i="9"/>
  <c r="D909" i="9"/>
  <c r="E913" i="9"/>
  <c r="D913" i="9"/>
  <c r="E917" i="9"/>
  <c r="D917" i="9"/>
  <c r="E921" i="9"/>
  <c r="D921" i="9"/>
  <c r="C921" i="9"/>
  <c r="L921" i="9"/>
  <c r="M921" i="9" s="1"/>
  <c r="D925" i="9"/>
  <c r="E925" i="9"/>
  <c r="E929" i="9"/>
  <c r="D929" i="9"/>
  <c r="E933" i="9"/>
  <c r="D933" i="9"/>
  <c r="C933" i="9"/>
  <c r="L933" i="9"/>
  <c r="M933" i="9" s="1"/>
  <c r="L937" i="9"/>
  <c r="M937" i="9" s="1"/>
  <c r="C937" i="9"/>
  <c r="D937" i="9"/>
  <c r="E937" i="9"/>
  <c r="E945" i="9"/>
  <c r="D945" i="9"/>
  <c r="C945" i="9"/>
  <c r="L945" i="9"/>
  <c r="M945" i="9" s="1"/>
  <c r="E953" i="9"/>
  <c r="D953" i="9"/>
  <c r="C953" i="9"/>
  <c r="L953" i="9"/>
  <c r="M953" i="9" s="1"/>
  <c r="L1538" i="9"/>
  <c r="M1538" i="9" s="1"/>
  <c r="D1538" i="9"/>
  <c r="C1538" i="9"/>
  <c r="E1538" i="9"/>
  <c r="C1551" i="9"/>
  <c r="D1551" i="9"/>
  <c r="L1551" i="9"/>
  <c r="M1551" i="9" s="1"/>
  <c r="E1551" i="9"/>
  <c r="L1564" i="9"/>
  <c r="M1564" i="9" s="1"/>
  <c r="E1564" i="9"/>
  <c r="D1564" i="9"/>
  <c r="C1564" i="9"/>
  <c r="C1573" i="9"/>
  <c r="L1573" i="9"/>
  <c r="M1573" i="9" s="1"/>
  <c r="E1573" i="9"/>
  <c r="D1573" i="9"/>
  <c r="L1586" i="9"/>
  <c r="M1586" i="9" s="1"/>
  <c r="D1586" i="9"/>
  <c r="C1586" i="9"/>
  <c r="E1586" i="9"/>
  <c r="L1599" i="9"/>
  <c r="M1599" i="9" s="1"/>
  <c r="C1599" i="9"/>
  <c r="E1599" i="9"/>
  <c r="D1599" i="9"/>
  <c r="L1612" i="9"/>
  <c r="M1612" i="9" s="1"/>
  <c r="E1612" i="9"/>
  <c r="D1612" i="9"/>
  <c r="C1612" i="9"/>
  <c r="C1621" i="9"/>
  <c r="L1621" i="9"/>
  <c r="M1621" i="9" s="1"/>
  <c r="E1621" i="9"/>
  <c r="D1621" i="9"/>
  <c r="L1634" i="9"/>
  <c r="M1634" i="9" s="1"/>
  <c r="D1634" i="9"/>
  <c r="C1634" i="9"/>
  <c r="E1634" i="9"/>
  <c r="L1647" i="9"/>
  <c r="M1647" i="9" s="1"/>
  <c r="C1647" i="9"/>
  <c r="E1647" i="9"/>
  <c r="D1647" i="9"/>
  <c r="L1660" i="9"/>
  <c r="M1660" i="9" s="1"/>
  <c r="E1660" i="9"/>
  <c r="D1660" i="9"/>
  <c r="C1660" i="9"/>
  <c r="C1669" i="9"/>
  <c r="L1669" i="9"/>
  <c r="M1669" i="9" s="1"/>
  <c r="E1669" i="9"/>
  <c r="D1669" i="9"/>
  <c r="L1682" i="9"/>
  <c r="M1682" i="9" s="1"/>
  <c r="D1682" i="9"/>
  <c r="C1682" i="9"/>
  <c r="E1682" i="9"/>
  <c r="L1695" i="9"/>
  <c r="M1695" i="9" s="1"/>
  <c r="C1695" i="9"/>
  <c r="E1695" i="9"/>
  <c r="D1695" i="9"/>
  <c r="L1708" i="9"/>
  <c r="M1708" i="9" s="1"/>
  <c r="E1708" i="9"/>
  <c r="C1708" i="9"/>
  <c r="D1708" i="9"/>
  <c r="C1717" i="9"/>
  <c r="L1717" i="9"/>
  <c r="M1717" i="9" s="1"/>
  <c r="E1717" i="9"/>
  <c r="D1717" i="9"/>
  <c r="L1730" i="9"/>
  <c r="M1730" i="9" s="1"/>
  <c r="D1730" i="9"/>
  <c r="C1730" i="9"/>
  <c r="E1730" i="9"/>
  <c r="L1743" i="9"/>
  <c r="M1743" i="9" s="1"/>
  <c r="C1743" i="9"/>
  <c r="E1743" i="9"/>
  <c r="D1743" i="9"/>
  <c r="L1756" i="9"/>
  <c r="M1756" i="9" s="1"/>
  <c r="E1756" i="9"/>
  <c r="D1756" i="9"/>
  <c r="C1756" i="9"/>
  <c r="C1765" i="9"/>
  <c r="L1765" i="9"/>
  <c r="M1765" i="9" s="1"/>
  <c r="E1765" i="9"/>
  <c r="D1765" i="9"/>
  <c r="L1778" i="9"/>
  <c r="M1778" i="9" s="1"/>
  <c r="D1778" i="9"/>
  <c r="C1778" i="9"/>
  <c r="E1778" i="9"/>
  <c r="E1791" i="9"/>
  <c r="D1791" i="9"/>
  <c r="C1791" i="9"/>
  <c r="L1791" i="9"/>
  <c r="M1791" i="9" s="1"/>
  <c r="E1804" i="9"/>
  <c r="D1804" i="9"/>
  <c r="C1804" i="9"/>
  <c r="L1804" i="9"/>
  <c r="M1804" i="9" s="1"/>
  <c r="L1813" i="9"/>
  <c r="M1813" i="9" s="1"/>
  <c r="E1813" i="9"/>
  <c r="D1813" i="9"/>
  <c r="C1813" i="9"/>
  <c r="E1826" i="9"/>
  <c r="L1826" i="9"/>
  <c r="M1826" i="9" s="1"/>
  <c r="D1826" i="9"/>
  <c r="C1826" i="9"/>
  <c r="E1839" i="9"/>
  <c r="D1839" i="9"/>
  <c r="L1839" i="9"/>
  <c r="M1839" i="9" s="1"/>
  <c r="C1839" i="9"/>
  <c r="E1852" i="9"/>
  <c r="D1852" i="9"/>
  <c r="C1852" i="9"/>
  <c r="L1852" i="9"/>
  <c r="M1852" i="9" s="1"/>
  <c r="L1861" i="9"/>
  <c r="M1861" i="9" s="1"/>
  <c r="D1861" i="9"/>
  <c r="C1861" i="9"/>
  <c r="E1861" i="9"/>
  <c r="E1874" i="9"/>
  <c r="L1874" i="9"/>
  <c r="M1874" i="9" s="1"/>
  <c r="D1874" i="9"/>
  <c r="C1874" i="9"/>
  <c r="E1887" i="9"/>
  <c r="D1887" i="9"/>
  <c r="L1887" i="9"/>
  <c r="M1887" i="9" s="1"/>
  <c r="C1887" i="9"/>
  <c r="E1900" i="9"/>
  <c r="D1900" i="9"/>
  <c r="C1900" i="9"/>
  <c r="L1900" i="9"/>
  <c r="M1900" i="9" s="1"/>
  <c r="L1909" i="9"/>
  <c r="M1909" i="9" s="1"/>
  <c r="E1909" i="9"/>
  <c r="D1909" i="9"/>
  <c r="C1909" i="9"/>
  <c r="E1922" i="9"/>
  <c r="L1922" i="9"/>
  <c r="M1922" i="9" s="1"/>
  <c r="C1922" i="9"/>
  <c r="D1922" i="9"/>
  <c r="E1935" i="9"/>
  <c r="D1935" i="9"/>
  <c r="L1935" i="9"/>
  <c r="M1935" i="9" s="1"/>
  <c r="C1935" i="9"/>
  <c r="E1948" i="9"/>
  <c r="D1948" i="9"/>
  <c r="C1948" i="9"/>
  <c r="L1948" i="9"/>
  <c r="M1948" i="9" s="1"/>
  <c r="L1957" i="9"/>
  <c r="M1957" i="9" s="1"/>
  <c r="E1957" i="9"/>
  <c r="D1957" i="9"/>
  <c r="C1957" i="9"/>
  <c r="E1970" i="9"/>
  <c r="L1970" i="9"/>
  <c r="M1970" i="9" s="1"/>
  <c r="D1970" i="9"/>
  <c r="C1970" i="9"/>
  <c r="E1983" i="9"/>
  <c r="D1983" i="9"/>
  <c r="L1983" i="9"/>
  <c r="M1983" i="9" s="1"/>
  <c r="C1983" i="9"/>
  <c r="E1996" i="9"/>
  <c r="D1996" i="9"/>
  <c r="C1996" i="9"/>
  <c r="L1996" i="9"/>
  <c r="M1996" i="9" s="1"/>
  <c r="L2005" i="9"/>
  <c r="M2005" i="9" s="1"/>
  <c r="D2005" i="9"/>
  <c r="C2005" i="9"/>
  <c r="E2005" i="9"/>
  <c r="E2018" i="9"/>
  <c r="L2018" i="9"/>
  <c r="M2018" i="9" s="1"/>
  <c r="D2018" i="9"/>
  <c r="C2018" i="9"/>
  <c r="E2031" i="9"/>
  <c r="D2031" i="9"/>
  <c r="L2031" i="9"/>
  <c r="M2031" i="9" s="1"/>
  <c r="C2031" i="9"/>
  <c r="C2050" i="9"/>
  <c r="E2050" i="9"/>
  <c r="D2050" i="9"/>
  <c r="L2050" i="9"/>
  <c r="M2050" i="9" s="1"/>
  <c r="C2074" i="9"/>
  <c r="L2074" i="9"/>
  <c r="M2074" i="9" s="1"/>
  <c r="E2074" i="9"/>
  <c r="D2074" i="9"/>
  <c r="C2098" i="9"/>
  <c r="L2098" i="9"/>
  <c r="M2098" i="9" s="1"/>
  <c r="E2098" i="9"/>
  <c r="D2098" i="9"/>
  <c r="C2122" i="9"/>
  <c r="L2122" i="9"/>
  <c r="M2122" i="9" s="1"/>
  <c r="E2122" i="9"/>
  <c r="D2122" i="9"/>
  <c r="C2146" i="9"/>
  <c r="L2146" i="9"/>
  <c r="M2146" i="9" s="1"/>
  <c r="E2146" i="9"/>
  <c r="D2146" i="9"/>
  <c r="C2170" i="9"/>
  <c r="L2170" i="9"/>
  <c r="M2170" i="9" s="1"/>
  <c r="E2170" i="9"/>
  <c r="D2170" i="9"/>
  <c r="C2194" i="9"/>
  <c r="L2194" i="9"/>
  <c r="M2194" i="9" s="1"/>
  <c r="E2194" i="9"/>
  <c r="D2194" i="9"/>
  <c r="C2218" i="9"/>
  <c r="L2218" i="9"/>
  <c r="M2218" i="9" s="1"/>
  <c r="E2218" i="9"/>
  <c r="D2218" i="9"/>
  <c r="C2242" i="9"/>
  <c r="L2242" i="9"/>
  <c r="M2242" i="9" s="1"/>
  <c r="E2242" i="9"/>
  <c r="D2242" i="9"/>
  <c r="C2266" i="9"/>
  <c r="L2266" i="9"/>
  <c r="M2266" i="9" s="1"/>
  <c r="E2266" i="9"/>
  <c r="D2266" i="9"/>
  <c r="C2290" i="9"/>
  <c r="L2290" i="9"/>
  <c r="M2290" i="9" s="1"/>
  <c r="E2290" i="9"/>
  <c r="D2290" i="9"/>
  <c r="E2314" i="9"/>
  <c r="D2314" i="9"/>
  <c r="D2338" i="9"/>
  <c r="E2338" i="9"/>
  <c r="D2362" i="9"/>
  <c r="E2362" i="9"/>
  <c r="D2386" i="9"/>
  <c r="E2386" i="9"/>
  <c r="C2410" i="9"/>
  <c r="L2410" i="9"/>
  <c r="M2410" i="9" s="1"/>
  <c r="D2410" i="9"/>
  <c r="E2410" i="9"/>
  <c r="C2434" i="9"/>
  <c r="L2434" i="9"/>
  <c r="M2434" i="9" s="1"/>
  <c r="E2434" i="9"/>
  <c r="D2434" i="9"/>
  <c r="C2458" i="9"/>
  <c r="L2458" i="9"/>
  <c r="M2458" i="9" s="1"/>
  <c r="E2458" i="9"/>
  <c r="D2458" i="9"/>
  <c r="E2482" i="9"/>
  <c r="L2482" i="9"/>
  <c r="M2482" i="9" s="1"/>
  <c r="D2482" i="9"/>
  <c r="C2482" i="9"/>
  <c r="E2506" i="9"/>
  <c r="D2506" i="9"/>
  <c r="L2506" i="9"/>
  <c r="M2506" i="9" s="1"/>
  <c r="C2506" i="9"/>
  <c r="E2530" i="9"/>
  <c r="D2530" i="9"/>
  <c r="C2530" i="9"/>
  <c r="L2530" i="9"/>
  <c r="M2530" i="9" s="1"/>
  <c r="E2554" i="9"/>
  <c r="D2554" i="9"/>
  <c r="E2578" i="9"/>
  <c r="D2578" i="9"/>
  <c r="E2602" i="9"/>
  <c r="D2602" i="9"/>
  <c r="C2602" i="9"/>
  <c r="L2602" i="9"/>
  <c r="M2602" i="9" s="1"/>
  <c r="E2626" i="9"/>
  <c r="D2626" i="9"/>
  <c r="C2626" i="9"/>
  <c r="L2626" i="9"/>
  <c r="M2626" i="9" s="1"/>
  <c r="E2650" i="9"/>
  <c r="D2650" i="9"/>
  <c r="C2650" i="9"/>
  <c r="L2650" i="9"/>
  <c r="M2650" i="9" s="1"/>
  <c r="E2674" i="9"/>
  <c r="D2674" i="9"/>
  <c r="C2674" i="9"/>
  <c r="L2674" i="9"/>
  <c r="M2674" i="9" s="1"/>
  <c r="E2698" i="9"/>
  <c r="D2698" i="9"/>
  <c r="C2698" i="9"/>
  <c r="L2698" i="9"/>
  <c r="M2698" i="9" s="1"/>
  <c r="E2722" i="9"/>
  <c r="D2722" i="9"/>
  <c r="E2746" i="9"/>
  <c r="D2746" i="9"/>
  <c r="E2770" i="9"/>
  <c r="D2770" i="9"/>
  <c r="C2770" i="9"/>
  <c r="L2770" i="9"/>
  <c r="M2770" i="9" s="1"/>
  <c r="L2794" i="9"/>
  <c r="M2794" i="9" s="1"/>
  <c r="E2794" i="9"/>
  <c r="D2794" i="9"/>
  <c r="C2794" i="9"/>
  <c r="L2818" i="9"/>
  <c r="M2818" i="9" s="1"/>
  <c r="E2818" i="9"/>
  <c r="D2818" i="9"/>
  <c r="C2818" i="9"/>
  <c r="L2842" i="9"/>
  <c r="M2842" i="9" s="1"/>
  <c r="D2842" i="9"/>
  <c r="C2842" i="9"/>
  <c r="E2842" i="9"/>
  <c r="L2866" i="9"/>
  <c r="M2866" i="9" s="1"/>
  <c r="E2866" i="9"/>
  <c r="D2866" i="9"/>
  <c r="C2866" i="9"/>
  <c r="L2890" i="9"/>
  <c r="M2890" i="9" s="1"/>
  <c r="E2890" i="9"/>
  <c r="D2890" i="9"/>
  <c r="C2890" i="9"/>
  <c r="D2914" i="9"/>
  <c r="E2914" i="9"/>
  <c r="E2938" i="9"/>
  <c r="D2938" i="9"/>
  <c r="E2962" i="9"/>
  <c r="D2962" i="9"/>
  <c r="D2986" i="9"/>
  <c r="E2986" i="9"/>
  <c r="L3010" i="9"/>
  <c r="M3010" i="9" s="1"/>
  <c r="E3010" i="9"/>
  <c r="D3010" i="9"/>
  <c r="C3010" i="9"/>
  <c r="L3034" i="9"/>
  <c r="M3034" i="9" s="1"/>
  <c r="E3034" i="9"/>
  <c r="D3034" i="9"/>
  <c r="C3034" i="9"/>
  <c r="L3058" i="9"/>
  <c r="M3058" i="9" s="1"/>
  <c r="E3058" i="9"/>
  <c r="D3058" i="9"/>
  <c r="C3058" i="9"/>
  <c r="L3082" i="9"/>
  <c r="M3082" i="9" s="1"/>
  <c r="E3082" i="9"/>
  <c r="D3082" i="9"/>
  <c r="C3082" i="9"/>
  <c r="L3106" i="9"/>
  <c r="M3106" i="9" s="1"/>
  <c r="E3106" i="9"/>
  <c r="D3106" i="9"/>
  <c r="C3106" i="9"/>
  <c r="L3130" i="9"/>
  <c r="M3130" i="9" s="1"/>
  <c r="E3130" i="9"/>
  <c r="D3130" i="9"/>
  <c r="C3130" i="9"/>
  <c r="E3154" i="9"/>
  <c r="D3154" i="9"/>
  <c r="E3178" i="9"/>
  <c r="D3178" i="9"/>
  <c r="L3202" i="9"/>
  <c r="M3202" i="9" s="1"/>
  <c r="E3202" i="9"/>
  <c r="D3202" i="9"/>
  <c r="C3202" i="9"/>
  <c r="L3226" i="9"/>
  <c r="M3226" i="9" s="1"/>
  <c r="E3226" i="9"/>
  <c r="D3226" i="9"/>
  <c r="C3226" i="9"/>
  <c r="L3250" i="9"/>
  <c r="M3250" i="9" s="1"/>
  <c r="C3250" i="9"/>
  <c r="E3250" i="9"/>
  <c r="D3250" i="9"/>
  <c r="L3274" i="9"/>
  <c r="M3274" i="9" s="1"/>
  <c r="C3274" i="9"/>
  <c r="E3274" i="9"/>
  <c r="D3274" i="9"/>
  <c r="L3298" i="9"/>
  <c r="M3298" i="9" s="1"/>
  <c r="C3298" i="9"/>
  <c r="E3298" i="9"/>
  <c r="D3298" i="9"/>
  <c r="E3322" i="9"/>
  <c r="D3322" i="9"/>
  <c r="E3346" i="9"/>
  <c r="D3346" i="9"/>
  <c r="E3370" i="9"/>
  <c r="D3370" i="9"/>
  <c r="C3370" i="9"/>
  <c r="L3370" i="9"/>
  <c r="M3370" i="9" s="1"/>
  <c r="E3394" i="9"/>
  <c r="D3394" i="9"/>
  <c r="C3394" i="9"/>
  <c r="L3394" i="9"/>
  <c r="M3394" i="9" s="1"/>
  <c r="E3418" i="9"/>
  <c r="D3418" i="9"/>
  <c r="C3418" i="9"/>
  <c r="L3418" i="9"/>
  <c r="M3418" i="9" s="1"/>
  <c r="E3442" i="9"/>
  <c r="D3442" i="9"/>
  <c r="C3442" i="9"/>
  <c r="L3442" i="9"/>
  <c r="M3442" i="9" s="1"/>
  <c r="E3466" i="9"/>
  <c r="D3466" i="9"/>
  <c r="C3466" i="9"/>
  <c r="L3466" i="9"/>
  <c r="M3466" i="9" s="1"/>
  <c r="E3490" i="9"/>
  <c r="D3490" i="9"/>
  <c r="C3490" i="9"/>
  <c r="L3490" i="9"/>
  <c r="M3490" i="9" s="1"/>
  <c r="E3514" i="9"/>
  <c r="D3514" i="9"/>
  <c r="E3538" i="9"/>
  <c r="D3538" i="9"/>
  <c r="C3538" i="9"/>
  <c r="L3538" i="9"/>
  <c r="M3538" i="9" s="1"/>
  <c r="E3562" i="9"/>
  <c r="D3562" i="9"/>
  <c r="E3586" i="9"/>
  <c r="D3586" i="9"/>
  <c r="C3586" i="9"/>
  <c r="L3586" i="9"/>
  <c r="M3586" i="9" s="1"/>
  <c r="E3610" i="9"/>
  <c r="D3610" i="9"/>
  <c r="C3610" i="9"/>
  <c r="L3610" i="9"/>
  <c r="M3610" i="9" s="1"/>
  <c r="L3634" i="9"/>
  <c r="M3634" i="9" s="1"/>
  <c r="E3634" i="9"/>
  <c r="D3634" i="9"/>
  <c r="C3634" i="9"/>
  <c r="L3658" i="9"/>
  <c r="M3658" i="9" s="1"/>
  <c r="E3658" i="9"/>
  <c r="D3658" i="9"/>
  <c r="C3658" i="9"/>
  <c r="L3682" i="9"/>
  <c r="M3682" i="9" s="1"/>
  <c r="E3682" i="9"/>
  <c r="C3682" i="9"/>
  <c r="D3682" i="9"/>
  <c r="L3706" i="9"/>
  <c r="M3706" i="9" s="1"/>
  <c r="E3706" i="9"/>
  <c r="C3706" i="9"/>
  <c r="D3706" i="9"/>
  <c r="L3730" i="9"/>
  <c r="M3730" i="9" s="1"/>
  <c r="E3730" i="9"/>
  <c r="C3730" i="9"/>
  <c r="D3730" i="9"/>
  <c r="D3739" i="9"/>
  <c r="C3739" i="9"/>
  <c r="L3739" i="9"/>
  <c r="M3739" i="9" s="1"/>
  <c r="E3739" i="9"/>
  <c r="E3744" i="9"/>
  <c r="D3744" i="9"/>
  <c r="L3826" i="9"/>
  <c r="M3826" i="9" s="1"/>
  <c r="E3826" i="9"/>
  <c r="C3826" i="9"/>
  <c r="D3826" i="9"/>
  <c r="E3846" i="9"/>
  <c r="D3846" i="9"/>
  <c r="C3846" i="9"/>
  <c r="L3846" i="9"/>
  <c r="M3846" i="9" s="1"/>
  <c r="L3851" i="9"/>
  <c r="M3851" i="9" s="1"/>
  <c r="E3851" i="9"/>
  <c r="D3851" i="9"/>
  <c r="C3851" i="9"/>
  <c r="E3856" i="9"/>
  <c r="D3856" i="9"/>
  <c r="C3856" i="9"/>
  <c r="L3856" i="9"/>
  <c r="M3856" i="9" s="1"/>
  <c r="E3866" i="9"/>
  <c r="D3866" i="9"/>
  <c r="C3866" i="9"/>
  <c r="L3866" i="9"/>
  <c r="M3866" i="9" s="1"/>
  <c r="D3871" i="9"/>
  <c r="C3871" i="9"/>
  <c r="L3871" i="9"/>
  <c r="M3871" i="9" s="1"/>
  <c r="E3871" i="9"/>
  <c r="E3876" i="9"/>
  <c r="D3876" i="9"/>
  <c r="C3876" i="9"/>
  <c r="L3876" i="9"/>
  <c r="M3876" i="9" s="1"/>
  <c r="E3902" i="9"/>
  <c r="D3902" i="9"/>
  <c r="C3902" i="9"/>
  <c r="L3902" i="9"/>
  <c r="M3902" i="9" s="1"/>
  <c r="D3907" i="9"/>
  <c r="C3907" i="9"/>
  <c r="L3907" i="9"/>
  <c r="M3907" i="9" s="1"/>
  <c r="E3907" i="9"/>
  <c r="E3949" i="9"/>
  <c r="D3949" i="9"/>
  <c r="C3949" i="9"/>
  <c r="L3949" i="9"/>
  <c r="M3949" i="9" s="1"/>
  <c r="L3991" i="9"/>
  <c r="M3991" i="9" s="1"/>
  <c r="E3991" i="9"/>
  <c r="D3991" i="9"/>
  <c r="C3991" i="9"/>
  <c r="E3996" i="9"/>
  <c r="D3996" i="9"/>
  <c r="C3996" i="9"/>
  <c r="L3996" i="9"/>
  <c r="M3996" i="9" s="1"/>
  <c r="E4017" i="9"/>
  <c r="D4017" i="9"/>
  <c r="C4017" i="9"/>
  <c r="L4017" i="9"/>
  <c r="M4017" i="9" s="1"/>
  <c r="E4070" i="9"/>
  <c r="D4070" i="9"/>
  <c r="C4070" i="9"/>
  <c r="L4070" i="9"/>
  <c r="M4070" i="9" s="1"/>
  <c r="L4097" i="9"/>
  <c r="M4097" i="9" s="1"/>
  <c r="E4097" i="9"/>
  <c r="D4097" i="9"/>
  <c r="C4097" i="9"/>
  <c r="E4102" i="9"/>
  <c r="D4102" i="9"/>
  <c r="C4102" i="9"/>
  <c r="L4102" i="9"/>
  <c r="M4102" i="9" s="1"/>
  <c r="L4135" i="9"/>
  <c r="M4135" i="9" s="1"/>
  <c r="E4135" i="9"/>
  <c r="D4135" i="9"/>
  <c r="C4135" i="9"/>
  <c r="L4169" i="9"/>
  <c r="M4169" i="9" s="1"/>
  <c r="E4169" i="9"/>
  <c r="D4169" i="9"/>
  <c r="C4169" i="9"/>
  <c r="L4209" i="9"/>
  <c r="M4209" i="9" s="1"/>
  <c r="E4209" i="9"/>
  <c r="D4209" i="9"/>
  <c r="C4209" i="9"/>
  <c r="E4226" i="9"/>
  <c r="D4226" i="9"/>
  <c r="L4226" i="9"/>
  <c r="M4226" i="9" s="1"/>
  <c r="C4226" i="9"/>
  <c r="E4273" i="9"/>
  <c r="D4273" i="9"/>
  <c r="C4273" i="9"/>
  <c r="L4273" i="9"/>
  <c r="M4273" i="9" s="1"/>
  <c r="C4290" i="9"/>
  <c r="L4290" i="9"/>
  <c r="M4290" i="9" s="1"/>
  <c r="E4290" i="9"/>
  <c r="D4290" i="9"/>
  <c r="D4337" i="9"/>
  <c r="C4337" i="9"/>
  <c r="L4337" i="9"/>
  <c r="M4337" i="9" s="1"/>
  <c r="E4337" i="9"/>
  <c r="E4354" i="9"/>
  <c r="D4354" i="9"/>
  <c r="C4354" i="9"/>
  <c r="L4354" i="9"/>
  <c r="M4354" i="9" s="1"/>
  <c r="L4401" i="9"/>
  <c r="M4401" i="9" s="1"/>
  <c r="E4401" i="9"/>
  <c r="D4401" i="9"/>
  <c r="C4401" i="9"/>
  <c r="E4418" i="9"/>
  <c r="D4418" i="9"/>
  <c r="C4418" i="9"/>
  <c r="L4418" i="9"/>
  <c r="M4418" i="9" s="1"/>
  <c r="C4465" i="9"/>
  <c r="L4465" i="9"/>
  <c r="M4465" i="9" s="1"/>
  <c r="E4465" i="9"/>
  <c r="D4465" i="9"/>
  <c r="E4482" i="9"/>
  <c r="D4482" i="9"/>
  <c r="C4482" i="9"/>
  <c r="L4482" i="9"/>
  <c r="M4482" i="9" s="1"/>
  <c r="E4529" i="9"/>
  <c r="D4529" i="9"/>
  <c r="D4546" i="9"/>
  <c r="E4546" i="9"/>
  <c r="E4593" i="9"/>
  <c r="D4593" i="9"/>
  <c r="E4610" i="9"/>
  <c r="L4610" i="9"/>
  <c r="M4610" i="9" s="1"/>
  <c r="D4610" i="9"/>
  <c r="C4610" i="9"/>
  <c r="C4657" i="9"/>
  <c r="L4657" i="9"/>
  <c r="M4657" i="9" s="1"/>
  <c r="E4657" i="9"/>
  <c r="D4657" i="9"/>
  <c r="E4674" i="9"/>
  <c r="D4674" i="9"/>
  <c r="C4674" i="9"/>
  <c r="L4674" i="9"/>
  <c r="M4674" i="9" s="1"/>
  <c r="D4721" i="9"/>
  <c r="L4721" i="9"/>
  <c r="M4721" i="9" s="1"/>
  <c r="E4721" i="9"/>
  <c r="C4721" i="9"/>
  <c r="D1534" i="9"/>
  <c r="E1534" i="9"/>
  <c r="E1547" i="9"/>
  <c r="C1547" i="9"/>
  <c r="L1547" i="9"/>
  <c r="M1547" i="9" s="1"/>
  <c r="D1547" i="9"/>
  <c r="D1560" i="9"/>
  <c r="L1560" i="9"/>
  <c r="M1560" i="9" s="1"/>
  <c r="E1560" i="9"/>
  <c r="C1560" i="9"/>
  <c r="E1569" i="9"/>
  <c r="D1569" i="9"/>
  <c r="C1569" i="9"/>
  <c r="L1569" i="9"/>
  <c r="M1569" i="9" s="1"/>
  <c r="E1582" i="9"/>
  <c r="D1582" i="9"/>
  <c r="C1582" i="9"/>
  <c r="L1582" i="9"/>
  <c r="M1582" i="9" s="1"/>
  <c r="E1595" i="9"/>
  <c r="D1595" i="9"/>
  <c r="C1595" i="9"/>
  <c r="L1595" i="9"/>
  <c r="M1595" i="9" s="1"/>
  <c r="D1608" i="9"/>
  <c r="C1608" i="9"/>
  <c r="L1608" i="9"/>
  <c r="M1608" i="9" s="1"/>
  <c r="E1608" i="9"/>
  <c r="E1617" i="9"/>
  <c r="D1617" i="9"/>
  <c r="C1617" i="9"/>
  <c r="L1617" i="9"/>
  <c r="M1617" i="9" s="1"/>
  <c r="E1630" i="9"/>
  <c r="D1630" i="9"/>
  <c r="C1630" i="9"/>
  <c r="L1630" i="9"/>
  <c r="M1630" i="9" s="1"/>
  <c r="E1643" i="9"/>
  <c r="D1643" i="9"/>
  <c r="C1643" i="9"/>
  <c r="L1643" i="9"/>
  <c r="M1643" i="9" s="1"/>
  <c r="D1656" i="9"/>
  <c r="C1656" i="9"/>
  <c r="L1656" i="9"/>
  <c r="M1656" i="9" s="1"/>
  <c r="E1656" i="9"/>
  <c r="E1665" i="9"/>
  <c r="D1665" i="9"/>
  <c r="C1665" i="9"/>
  <c r="L1665" i="9"/>
  <c r="M1665" i="9" s="1"/>
  <c r="E1678" i="9"/>
  <c r="D1678" i="9"/>
  <c r="C1678" i="9"/>
  <c r="L1678" i="9"/>
  <c r="M1678" i="9" s="1"/>
  <c r="E1691" i="9"/>
  <c r="D1691" i="9"/>
  <c r="C1691" i="9"/>
  <c r="L1691" i="9"/>
  <c r="M1691" i="9" s="1"/>
  <c r="D1704" i="9"/>
  <c r="C1704" i="9"/>
  <c r="L1704" i="9"/>
  <c r="M1704" i="9" s="1"/>
  <c r="E1704" i="9"/>
  <c r="E1713" i="9"/>
  <c r="D1713" i="9"/>
  <c r="C1713" i="9"/>
  <c r="L1713" i="9"/>
  <c r="M1713" i="9" s="1"/>
  <c r="E1726" i="9"/>
  <c r="D1726" i="9"/>
  <c r="C1726" i="9"/>
  <c r="L1726" i="9"/>
  <c r="M1726" i="9" s="1"/>
  <c r="E1739" i="9"/>
  <c r="D1739" i="9"/>
  <c r="C1739" i="9"/>
  <c r="L1739" i="9"/>
  <c r="M1739" i="9" s="1"/>
  <c r="D1752" i="9"/>
  <c r="C1752" i="9"/>
  <c r="L1752" i="9"/>
  <c r="M1752" i="9" s="1"/>
  <c r="E1752" i="9"/>
  <c r="E1761" i="9"/>
  <c r="D1761" i="9"/>
  <c r="C1761" i="9"/>
  <c r="L1761" i="9"/>
  <c r="M1761" i="9" s="1"/>
  <c r="E1774" i="9"/>
  <c r="D1774" i="9"/>
  <c r="C1774" i="9"/>
  <c r="L1774" i="9"/>
  <c r="M1774" i="9" s="1"/>
  <c r="E1787" i="9"/>
  <c r="D1787" i="9"/>
  <c r="C1787" i="9"/>
  <c r="L1787" i="9"/>
  <c r="M1787" i="9" s="1"/>
  <c r="L1800" i="9"/>
  <c r="M1800" i="9" s="1"/>
  <c r="D1800" i="9"/>
  <c r="C1800" i="9"/>
  <c r="E1800" i="9"/>
  <c r="D1809" i="9"/>
  <c r="C1809" i="9"/>
  <c r="L1809" i="9"/>
  <c r="M1809" i="9" s="1"/>
  <c r="E1809" i="9"/>
  <c r="C1822" i="9"/>
  <c r="D1822" i="9"/>
  <c r="E1822" i="9"/>
  <c r="L1822" i="9"/>
  <c r="M1822" i="9" s="1"/>
  <c r="L1835" i="9"/>
  <c r="M1835" i="9" s="1"/>
  <c r="D1835" i="9"/>
  <c r="C1835" i="9"/>
  <c r="E1835" i="9"/>
  <c r="L1848" i="9"/>
  <c r="M1848" i="9" s="1"/>
  <c r="C1848" i="9"/>
  <c r="E1848" i="9"/>
  <c r="D1848" i="9"/>
  <c r="D1857" i="9"/>
  <c r="C1857" i="9"/>
  <c r="L1857" i="9"/>
  <c r="M1857" i="9" s="1"/>
  <c r="E1857" i="9"/>
  <c r="C1870" i="9"/>
  <c r="E1870" i="9"/>
  <c r="D1870" i="9"/>
  <c r="L1870" i="9"/>
  <c r="M1870" i="9" s="1"/>
  <c r="L1883" i="9"/>
  <c r="M1883" i="9" s="1"/>
  <c r="D1883" i="9"/>
  <c r="C1883" i="9"/>
  <c r="E1883" i="9"/>
  <c r="L1896" i="9"/>
  <c r="M1896" i="9" s="1"/>
  <c r="C1896" i="9"/>
  <c r="E1896" i="9"/>
  <c r="D1896" i="9"/>
  <c r="D1905" i="9"/>
  <c r="C1905" i="9"/>
  <c r="L1905" i="9"/>
  <c r="M1905" i="9" s="1"/>
  <c r="E1905" i="9"/>
  <c r="C1918" i="9"/>
  <c r="E1918" i="9"/>
  <c r="D1918" i="9"/>
  <c r="L1918" i="9"/>
  <c r="M1918" i="9" s="1"/>
  <c r="L1931" i="9"/>
  <c r="M1931" i="9" s="1"/>
  <c r="D1931" i="9"/>
  <c r="C1931" i="9"/>
  <c r="E1931" i="9"/>
  <c r="L1944" i="9"/>
  <c r="M1944" i="9" s="1"/>
  <c r="C1944" i="9"/>
  <c r="E1944" i="9"/>
  <c r="D1944" i="9"/>
  <c r="D1953" i="9"/>
  <c r="C1953" i="9"/>
  <c r="L1953" i="9"/>
  <c r="M1953" i="9" s="1"/>
  <c r="E1953" i="9"/>
  <c r="C1966" i="9"/>
  <c r="E1966" i="9"/>
  <c r="D1966" i="9"/>
  <c r="L1966" i="9"/>
  <c r="M1966" i="9" s="1"/>
  <c r="L1979" i="9"/>
  <c r="M1979" i="9" s="1"/>
  <c r="D1979" i="9"/>
  <c r="C1979" i="9"/>
  <c r="E1979" i="9"/>
  <c r="L1992" i="9"/>
  <c r="M1992" i="9" s="1"/>
  <c r="C1992" i="9"/>
  <c r="E1992" i="9"/>
  <c r="D1992" i="9"/>
  <c r="D2001" i="9"/>
  <c r="C2001" i="9"/>
  <c r="L2001" i="9"/>
  <c r="M2001" i="9" s="1"/>
  <c r="E2001" i="9"/>
  <c r="C2014" i="9"/>
  <c r="E2014" i="9"/>
  <c r="D2014" i="9"/>
  <c r="L2014" i="9"/>
  <c r="M2014" i="9" s="1"/>
  <c r="L2027" i="9"/>
  <c r="M2027" i="9" s="1"/>
  <c r="D2027" i="9"/>
  <c r="C2027" i="9"/>
  <c r="E2027" i="9"/>
  <c r="E2036" i="9"/>
  <c r="D2036" i="9"/>
  <c r="C2036" i="9"/>
  <c r="L2036" i="9"/>
  <c r="M2036" i="9" s="1"/>
  <c r="L2041" i="9"/>
  <c r="M2041" i="9" s="1"/>
  <c r="D2041" i="9"/>
  <c r="C2041" i="9"/>
  <c r="E2041" i="9"/>
  <c r="E2055" i="9"/>
  <c r="D2055" i="9"/>
  <c r="L2055" i="9"/>
  <c r="M2055" i="9" s="1"/>
  <c r="C2055" i="9"/>
  <c r="E2060" i="9"/>
  <c r="D2060" i="9"/>
  <c r="C2060" i="9"/>
  <c r="L2060" i="9"/>
  <c r="M2060" i="9" s="1"/>
  <c r="L2065" i="9"/>
  <c r="M2065" i="9" s="1"/>
  <c r="E2065" i="9"/>
  <c r="D2065" i="9"/>
  <c r="C2065" i="9"/>
  <c r="E2079" i="9"/>
  <c r="D2079" i="9"/>
  <c r="L2079" i="9"/>
  <c r="M2079" i="9" s="1"/>
  <c r="C2079" i="9"/>
  <c r="E2084" i="9"/>
  <c r="D2084" i="9"/>
  <c r="C2084" i="9"/>
  <c r="L2084" i="9"/>
  <c r="M2084" i="9" s="1"/>
  <c r="L2089" i="9"/>
  <c r="M2089" i="9" s="1"/>
  <c r="E2089" i="9"/>
  <c r="D2089" i="9"/>
  <c r="C2089" i="9"/>
  <c r="E2103" i="9"/>
  <c r="D2103" i="9"/>
  <c r="L2103" i="9"/>
  <c r="M2103" i="9" s="1"/>
  <c r="C2103" i="9"/>
  <c r="E2108" i="9"/>
  <c r="D2108" i="9"/>
  <c r="C2108" i="9"/>
  <c r="L2108" i="9"/>
  <c r="M2108" i="9" s="1"/>
  <c r="L2113" i="9"/>
  <c r="M2113" i="9" s="1"/>
  <c r="E2113" i="9"/>
  <c r="D2113" i="9"/>
  <c r="C2113" i="9"/>
  <c r="E2127" i="9"/>
  <c r="D2127" i="9"/>
  <c r="L2127" i="9"/>
  <c r="M2127" i="9" s="1"/>
  <c r="C2127" i="9"/>
  <c r="E2132" i="9"/>
  <c r="D2132" i="9"/>
  <c r="C2132" i="9"/>
  <c r="L2132" i="9"/>
  <c r="M2132" i="9" s="1"/>
  <c r="L2137" i="9"/>
  <c r="M2137" i="9" s="1"/>
  <c r="E2137" i="9"/>
  <c r="D2137" i="9"/>
  <c r="C2137" i="9"/>
  <c r="E2151" i="9"/>
  <c r="D2151" i="9"/>
  <c r="L2151" i="9"/>
  <c r="M2151" i="9" s="1"/>
  <c r="C2151" i="9"/>
  <c r="E2156" i="9"/>
  <c r="D2156" i="9"/>
  <c r="C2156" i="9"/>
  <c r="L2156" i="9"/>
  <c r="M2156" i="9" s="1"/>
  <c r="L2161" i="9"/>
  <c r="M2161" i="9" s="1"/>
  <c r="E2161" i="9"/>
  <c r="D2161" i="9"/>
  <c r="C2161" i="9"/>
  <c r="E2175" i="9"/>
  <c r="D2175" i="9"/>
  <c r="L2175" i="9"/>
  <c r="M2175" i="9" s="1"/>
  <c r="C2175" i="9"/>
  <c r="E2180" i="9"/>
  <c r="D2180" i="9"/>
  <c r="C2180" i="9"/>
  <c r="L2180" i="9"/>
  <c r="M2180" i="9" s="1"/>
  <c r="L2185" i="9"/>
  <c r="M2185" i="9" s="1"/>
  <c r="E2185" i="9"/>
  <c r="D2185" i="9"/>
  <c r="C2185" i="9"/>
  <c r="E2199" i="9"/>
  <c r="D2199" i="9"/>
  <c r="L2199" i="9"/>
  <c r="M2199" i="9" s="1"/>
  <c r="C2199" i="9"/>
  <c r="E2204" i="9"/>
  <c r="D2204" i="9"/>
  <c r="C2204" i="9"/>
  <c r="L2204" i="9"/>
  <c r="M2204" i="9" s="1"/>
  <c r="L2209" i="9"/>
  <c r="M2209" i="9" s="1"/>
  <c r="E2209" i="9"/>
  <c r="D2209" i="9"/>
  <c r="C2209" i="9"/>
  <c r="E2223" i="9"/>
  <c r="D2223" i="9"/>
  <c r="L2223" i="9"/>
  <c r="M2223" i="9" s="1"/>
  <c r="C2223" i="9"/>
  <c r="E2228" i="9"/>
  <c r="D2228" i="9"/>
  <c r="C2228" i="9"/>
  <c r="L2228" i="9"/>
  <c r="M2228" i="9" s="1"/>
  <c r="L2233" i="9"/>
  <c r="M2233" i="9" s="1"/>
  <c r="E2233" i="9"/>
  <c r="D2233" i="9"/>
  <c r="C2233" i="9"/>
  <c r="E2247" i="9"/>
  <c r="D2247" i="9"/>
  <c r="L2247" i="9"/>
  <c r="M2247" i="9" s="1"/>
  <c r="C2247" i="9"/>
  <c r="E2252" i="9"/>
  <c r="D2252" i="9"/>
  <c r="C2252" i="9"/>
  <c r="L2252" i="9"/>
  <c r="M2252" i="9" s="1"/>
  <c r="L2257" i="9"/>
  <c r="M2257" i="9" s="1"/>
  <c r="E2257" i="9"/>
  <c r="D2257" i="9"/>
  <c r="C2257" i="9"/>
  <c r="E2271" i="9"/>
  <c r="D2271" i="9"/>
  <c r="L2271" i="9"/>
  <c r="M2271" i="9" s="1"/>
  <c r="C2271" i="9"/>
  <c r="E2276" i="9"/>
  <c r="D2276" i="9"/>
  <c r="C2276" i="9"/>
  <c r="L2276" i="9"/>
  <c r="M2276" i="9" s="1"/>
  <c r="L2281" i="9"/>
  <c r="M2281" i="9" s="1"/>
  <c r="E2281" i="9"/>
  <c r="D2281" i="9"/>
  <c r="C2281" i="9"/>
  <c r="E2295" i="9"/>
  <c r="D2295" i="9"/>
  <c r="L2295" i="9"/>
  <c r="M2295" i="9" s="1"/>
  <c r="C2295" i="9"/>
  <c r="E2300" i="9"/>
  <c r="D2300" i="9"/>
  <c r="C2300" i="9"/>
  <c r="L2300" i="9"/>
  <c r="M2300" i="9" s="1"/>
  <c r="L2305" i="9"/>
  <c r="M2305" i="9" s="1"/>
  <c r="E2305" i="9"/>
  <c r="D2305" i="9"/>
  <c r="C2305" i="9"/>
  <c r="E2319" i="9"/>
  <c r="D2319" i="9"/>
  <c r="E2324" i="9"/>
  <c r="D2324" i="9"/>
  <c r="E2329" i="9"/>
  <c r="D2329" i="9"/>
  <c r="E2343" i="9"/>
  <c r="D2343" i="9"/>
  <c r="E2348" i="9"/>
  <c r="D2348" i="9"/>
  <c r="E2353" i="9"/>
  <c r="D2353" i="9"/>
  <c r="E2367" i="9"/>
  <c r="D2367" i="9"/>
  <c r="E2372" i="9"/>
  <c r="D2372" i="9"/>
  <c r="E2377" i="9"/>
  <c r="D2377" i="9"/>
  <c r="E2391" i="9"/>
  <c r="D2391" i="9"/>
  <c r="L2391" i="9"/>
  <c r="M2391" i="9" s="1"/>
  <c r="C2391" i="9"/>
  <c r="E2396" i="9"/>
  <c r="D2396" i="9"/>
  <c r="C2396" i="9"/>
  <c r="L2396" i="9"/>
  <c r="M2396" i="9" s="1"/>
  <c r="L2401" i="9"/>
  <c r="M2401" i="9" s="1"/>
  <c r="C2401" i="9"/>
  <c r="E2401" i="9"/>
  <c r="D2401" i="9"/>
  <c r="E2415" i="9"/>
  <c r="D2415" i="9"/>
  <c r="L2415" i="9"/>
  <c r="M2415" i="9" s="1"/>
  <c r="C2415" i="9"/>
  <c r="E2420" i="9"/>
  <c r="D2420" i="9"/>
  <c r="C2420" i="9"/>
  <c r="L2420" i="9"/>
  <c r="M2420" i="9" s="1"/>
  <c r="L2425" i="9"/>
  <c r="M2425" i="9" s="1"/>
  <c r="E2425" i="9"/>
  <c r="D2425" i="9"/>
  <c r="C2425" i="9"/>
  <c r="E2439" i="9"/>
  <c r="D2439" i="9"/>
  <c r="L2439" i="9"/>
  <c r="M2439" i="9" s="1"/>
  <c r="C2439" i="9"/>
  <c r="E2444" i="9"/>
  <c r="D2444" i="9"/>
  <c r="C2444" i="9"/>
  <c r="L2444" i="9"/>
  <c r="M2444" i="9" s="1"/>
  <c r="L2449" i="9"/>
  <c r="M2449" i="9" s="1"/>
  <c r="D2449" i="9"/>
  <c r="C2449" i="9"/>
  <c r="E2449" i="9"/>
  <c r="E2463" i="9"/>
  <c r="D2463" i="9"/>
  <c r="L2463" i="9"/>
  <c r="M2463" i="9" s="1"/>
  <c r="C2463" i="9"/>
  <c r="E2468" i="9"/>
  <c r="D2468" i="9"/>
  <c r="C2468" i="9"/>
  <c r="L2468" i="9"/>
  <c r="M2468" i="9" s="1"/>
  <c r="D2473" i="9"/>
  <c r="C2473" i="9"/>
  <c r="E2473" i="9"/>
  <c r="L2473" i="9"/>
  <c r="M2473" i="9" s="1"/>
  <c r="L2487" i="9"/>
  <c r="M2487" i="9" s="1"/>
  <c r="D2487" i="9"/>
  <c r="C2487" i="9"/>
  <c r="E2487" i="9"/>
  <c r="D2492" i="9"/>
  <c r="C2492" i="9"/>
  <c r="E2492" i="9"/>
  <c r="L2492" i="9"/>
  <c r="M2492" i="9" s="1"/>
  <c r="L2497" i="9"/>
  <c r="M2497" i="9" s="1"/>
  <c r="E2497" i="9"/>
  <c r="D2497" i="9"/>
  <c r="C2497" i="9"/>
  <c r="C2511" i="9"/>
  <c r="L2511" i="9"/>
  <c r="M2511" i="9" s="1"/>
  <c r="D2511" i="9"/>
  <c r="E2511" i="9"/>
  <c r="D2516" i="9"/>
  <c r="E2516" i="9"/>
  <c r="E2521" i="9"/>
  <c r="D2521" i="9"/>
  <c r="C2521" i="9"/>
  <c r="L2521" i="9"/>
  <c r="M2521" i="9" s="1"/>
  <c r="E2535" i="9"/>
  <c r="D2535" i="9"/>
  <c r="E2540" i="9"/>
  <c r="D2540" i="9"/>
  <c r="C2540" i="9"/>
  <c r="L2540" i="9"/>
  <c r="M2540" i="9" s="1"/>
  <c r="E2545" i="9"/>
  <c r="D2545" i="9"/>
  <c r="E2559" i="9"/>
  <c r="D2559" i="9"/>
  <c r="E2564" i="9"/>
  <c r="D2564" i="9"/>
  <c r="E2569" i="9"/>
  <c r="D2569" i="9"/>
  <c r="D2583" i="9"/>
  <c r="E2583" i="9"/>
  <c r="E2588" i="9"/>
  <c r="D2588" i="9"/>
  <c r="E2593" i="9"/>
  <c r="D2593" i="9"/>
  <c r="C2593" i="9"/>
  <c r="L2593" i="9"/>
  <c r="M2593" i="9" s="1"/>
  <c r="C2607" i="9"/>
  <c r="L2607" i="9"/>
  <c r="M2607" i="9" s="1"/>
  <c r="E2607" i="9"/>
  <c r="D2607" i="9"/>
  <c r="E2612" i="9"/>
  <c r="D2612" i="9"/>
  <c r="C2612" i="9"/>
  <c r="L2612" i="9"/>
  <c r="M2612" i="9" s="1"/>
  <c r="E2617" i="9"/>
  <c r="D2617" i="9"/>
  <c r="C2617" i="9"/>
  <c r="L2617" i="9"/>
  <c r="M2617" i="9" s="1"/>
  <c r="C2631" i="9"/>
  <c r="L2631" i="9"/>
  <c r="M2631" i="9" s="1"/>
  <c r="E2631" i="9"/>
  <c r="D2631" i="9"/>
  <c r="E2636" i="9"/>
  <c r="D2636" i="9"/>
  <c r="C2636" i="9"/>
  <c r="L2636" i="9"/>
  <c r="M2636" i="9" s="1"/>
  <c r="E2641" i="9"/>
  <c r="D2641" i="9"/>
  <c r="C2641" i="9"/>
  <c r="L2641" i="9"/>
  <c r="M2641" i="9" s="1"/>
  <c r="C2655" i="9"/>
  <c r="L2655" i="9"/>
  <c r="M2655" i="9" s="1"/>
  <c r="E2655" i="9"/>
  <c r="D2655" i="9"/>
  <c r="E2660" i="9"/>
  <c r="D2660" i="9"/>
  <c r="C2660" i="9"/>
  <c r="L2660" i="9"/>
  <c r="M2660" i="9" s="1"/>
  <c r="E2665" i="9"/>
  <c r="D2665" i="9"/>
  <c r="C2665" i="9"/>
  <c r="L2665" i="9"/>
  <c r="M2665" i="9" s="1"/>
  <c r="C2679" i="9"/>
  <c r="L2679" i="9"/>
  <c r="M2679" i="9" s="1"/>
  <c r="E2679" i="9"/>
  <c r="D2679" i="9"/>
  <c r="E2684" i="9"/>
  <c r="D2684" i="9"/>
  <c r="C2684" i="9"/>
  <c r="L2684" i="9"/>
  <c r="M2684" i="9" s="1"/>
  <c r="E2689" i="9"/>
  <c r="D2689" i="9"/>
  <c r="C2689" i="9"/>
  <c r="L2689" i="9"/>
  <c r="M2689" i="9" s="1"/>
  <c r="C2703" i="9"/>
  <c r="L2703" i="9"/>
  <c r="M2703" i="9" s="1"/>
  <c r="E2703" i="9"/>
  <c r="D2703" i="9"/>
  <c r="E2708" i="9"/>
  <c r="D2708" i="9"/>
  <c r="C2708" i="9"/>
  <c r="L2708" i="9"/>
  <c r="M2708" i="9" s="1"/>
  <c r="E2713" i="9"/>
  <c r="D2713" i="9"/>
  <c r="E2727" i="9"/>
  <c r="D2727" i="9"/>
  <c r="E2732" i="9"/>
  <c r="D2732" i="9"/>
  <c r="E2737" i="9"/>
  <c r="D2737" i="9"/>
  <c r="C2751" i="9"/>
  <c r="L2751" i="9"/>
  <c r="M2751" i="9" s="1"/>
  <c r="E2751" i="9"/>
  <c r="D2751" i="9"/>
  <c r="E2756" i="9"/>
  <c r="D2756" i="9"/>
  <c r="E2761" i="9"/>
  <c r="D2761" i="9"/>
  <c r="C2761" i="9"/>
  <c r="L2761" i="9"/>
  <c r="M2761" i="9" s="1"/>
  <c r="D2775" i="9"/>
  <c r="E2775" i="9"/>
  <c r="E2780" i="9"/>
  <c r="D2780" i="9"/>
  <c r="C2780" i="9"/>
  <c r="L2780" i="9"/>
  <c r="M2780" i="9" s="1"/>
  <c r="E2785" i="9"/>
  <c r="D2785" i="9"/>
  <c r="E2799" i="9"/>
  <c r="D2799" i="9"/>
  <c r="C2799" i="9"/>
  <c r="L2799" i="9"/>
  <c r="M2799" i="9" s="1"/>
  <c r="C2804" i="9"/>
  <c r="L2804" i="9"/>
  <c r="M2804" i="9" s="1"/>
  <c r="E2804" i="9"/>
  <c r="D2804" i="9"/>
  <c r="C2809" i="9"/>
  <c r="L2809" i="9"/>
  <c r="M2809" i="9" s="1"/>
  <c r="E2809" i="9"/>
  <c r="D2809" i="9"/>
  <c r="E2823" i="9"/>
  <c r="L2823" i="9"/>
  <c r="M2823" i="9" s="1"/>
  <c r="D2823" i="9"/>
  <c r="C2823" i="9"/>
  <c r="C2828" i="9"/>
  <c r="L2828" i="9"/>
  <c r="M2828" i="9" s="1"/>
  <c r="E2828" i="9"/>
  <c r="D2828" i="9"/>
  <c r="C2833" i="9"/>
  <c r="L2833" i="9"/>
  <c r="M2833" i="9" s="1"/>
  <c r="E2833" i="9"/>
  <c r="D2833" i="9"/>
  <c r="E2847" i="9"/>
  <c r="D2847" i="9"/>
  <c r="C2847" i="9"/>
  <c r="L2847" i="9"/>
  <c r="M2847" i="9" s="1"/>
  <c r="C2852" i="9"/>
  <c r="L2852" i="9"/>
  <c r="M2852" i="9" s="1"/>
  <c r="D2852" i="9"/>
  <c r="E2852" i="9"/>
  <c r="C2857" i="9"/>
  <c r="E2857" i="9"/>
  <c r="D2857" i="9"/>
  <c r="L2857" i="9"/>
  <c r="M2857" i="9" s="1"/>
  <c r="E2871" i="9"/>
  <c r="D2871" i="9"/>
  <c r="C2871" i="9"/>
  <c r="L2871" i="9"/>
  <c r="M2871" i="9" s="1"/>
  <c r="C2876" i="9"/>
  <c r="L2876" i="9"/>
  <c r="M2876" i="9" s="1"/>
  <c r="E2876" i="9"/>
  <c r="D2876" i="9"/>
  <c r="C2881" i="9"/>
  <c r="L2881" i="9"/>
  <c r="M2881" i="9" s="1"/>
  <c r="E2881" i="9"/>
  <c r="D2881" i="9"/>
  <c r="E2895" i="9"/>
  <c r="L2895" i="9"/>
  <c r="M2895" i="9" s="1"/>
  <c r="D2895" i="9"/>
  <c r="C2895" i="9"/>
  <c r="C2900" i="9"/>
  <c r="L2900" i="9"/>
  <c r="M2900" i="9" s="1"/>
  <c r="E2900" i="9"/>
  <c r="D2900" i="9"/>
  <c r="C2905" i="9"/>
  <c r="L2905" i="9"/>
  <c r="M2905" i="9" s="1"/>
  <c r="E2905" i="9"/>
  <c r="D2905" i="9"/>
  <c r="E2919" i="9"/>
  <c r="D2919" i="9"/>
  <c r="D2924" i="9"/>
  <c r="E2924" i="9"/>
  <c r="E2929" i="9"/>
  <c r="D2929" i="9"/>
  <c r="E2943" i="9"/>
  <c r="D2943" i="9"/>
  <c r="E2948" i="9"/>
  <c r="D2948" i="9"/>
  <c r="E2953" i="9"/>
  <c r="D2953" i="9"/>
  <c r="E2967" i="9"/>
  <c r="D2967" i="9"/>
  <c r="E2972" i="9"/>
  <c r="D2972" i="9"/>
  <c r="E2977" i="9"/>
  <c r="D2977" i="9"/>
  <c r="E2991" i="9"/>
  <c r="D2991" i="9"/>
  <c r="C2991" i="9"/>
  <c r="L2991" i="9"/>
  <c r="M2991" i="9" s="1"/>
  <c r="C2996" i="9"/>
  <c r="L2996" i="9"/>
  <c r="M2996" i="9" s="1"/>
  <c r="D2996" i="9"/>
  <c r="E2996" i="9"/>
  <c r="C3001" i="9"/>
  <c r="E3001" i="9"/>
  <c r="D3001" i="9"/>
  <c r="L3001" i="9"/>
  <c r="M3001" i="9" s="1"/>
  <c r="E3015" i="9"/>
  <c r="D3015" i="9"/>
  <c r="C3015" i="9"/>
  <c r="L3015" i="9"/>
  <c r="M3015" i="9" s="1"/>
  <c r="C3020" i="9"/>
  <c r="L3020" i="9"/>
  <c r="M3020" i="9" s="1"/>
  <c r="E3020" i="9"/>
  <c r="D3020" i="9"/>
  <c r="C3025" i="9"/>
  <c r="L3025" i="9"/>
  <c r="M3025" i="9" s="1"/>
  <c r="E3025" i="9"/>
  <c r="D3025" i="9"/>
  <c r="E3039" i="9"/>
  <c r="L3039" i="9"/>
  <c r="M3039" i="9" s="1"/>
  <c r="D3039" i="9"/>
  <c r="C3039" i="9"/>
  <c r="C3044" i="9"/>
  <c r="L3044" i="9"/>
  <c r="M3044" i="9" s="1"/>
  <c r="E3044" i="9"/>
  <c r="D3044" i="9"/>
  <c r="D3049" i="9"/>
  <c r="C3049" i="9"/>
  <c r="E3049" i="9"/>
  <c r="L3049" i="9"/>
  <c r="M3049" i="9" s="1"/>
  <c r="E3063" i="9"/>
  <c r="L3063" i="9"/>
  <c r="M3063" i="9" s="1"/>
  <c r="D3063" i="9"/>
  <c r="C3063" i="9"/>
  <c r="C3068" i="9"/>
  <c r="L3068" i="9"/>
  <c r="M3068" i="9" s="1"/>
  <c r="D3068" i="9"/>
  <c r="E3068" i="9"/>
  <c r="D3073" i="9"/>
  <c r="C3073" i="9"/>
  <c r="E3073" i="9"/>
  <c r="L3073" i="9"/>
  <c r="M3073" i="9" s="1"/>
  <c r="E3087" i="9"/>
  <c r="L3087" i="9"/>
  <c r="M3087" i="9" s="1"/>
  <c r="D3087" i="9"/>
  <c r="C3087" i="9"/>
  <c r="C3092" i="9"/>
  <c r="L3092" i="9"/>
  <c r="M3092" i="9" s="1"/>
  <c r="D3092" i="9"/>
  <c r="E3092" i="9"/>
  <c r="D3097" i="9"/>
  <c r="C3097" i="9"/>
  <c r="E3097" i="9"/>
  <c r="L3097" i="9"/>
  <c r="M3097" i="9" s="1"/>
  <c r="E3111" i="9"/>
  <c r="L3111" i="9"/>
  <c r="M3111" i="9" s="1"/>
  <c r="D3111" i="9"/>
  <c r="C3111" i="9"/>
  <c r="D3116" i="9"/>
  <c r="E3116" i="9"/>
  <c r="D3121" i="9"/>
  <c r="C3121" i="9"/>
  <c r="E3121" i="9"/>
  <c r="L3121" i="9"/>
  <c r="M3121" i="9" s="1"/>
  <c r="E3135" i="9"/>
  <c r="D3135" i="9"/>
  <c r="C3140" i="9"/>
  <c r="L3140" i="9"/>
  <c r="M3140" i="9" s="1"/>
  <c r="D3140" i="9"/>
  <c r="E3140" i="9"/>
  <c r="D3145" i="9"/>
  <c r="E3145" i="9"/>
  <c r="E3159" i="9"/>
  <c r="D3159" i="9"/>
  <c r="D3164" i="9"/>
  <c r="E3164" i="9"/>
  <c r="D3169" i="9"/>
  <c r="E3169" i="9"/>
  <c r="E3183" i="9"/>
  <c r="D3183" i="9"/>
  <c r="D3188" i="9"/>
  <c r="E3188" i="9"/>
  <c r="D3193" i="9"/>
  <c r="C3193" i="9"/>
  <c r="E3193" i="9"/>
  <c r="L3193" i="9"/>
  <c r="M3193" i="9" s="1"/>
  <c r="E3207" i="9"/>
  <c r="L3207" i="9"/>
  <c r="M3207" i="9" s="1"/>
  <c r="D3207" i="9"/>
  <c r="C3207" i="9"/>
  <c r="C3212" i="9"/>
  <c r="L3212" i="9"/>
  <c r="M3212" i="9" s="1"/>
  <c r="D3212" i="9"/>
  <c r="E3212" i="9"/>
  <c r="D3217" i="9"/>
  <c r="C3217" i="9"/>
  <c r="E3217" i="9"/>
  <c r="L3217" i="9"/>
  <c r="M3217" i="9" s="1"/>
  <c r="E3231" i="9"/>
  <c r="C3231" i="9"/>
  <c r="L3231" i="9"/>
  <c r="M3231" i="9" s="1"/>
  <c r="D3231" i="9"/>
  <c r="C3236" i="9"/>
  <c r="L3236" i="9"/>
  <c r="M3236" i="9" s="1"/>
  <c r="E3236" i="9"/>
  <c r="D3236" i="9"/>
  <c r="E3241" i="9"/>
  <c r="D3241" i="9"/>
  <c r="C3241" i="9"/>
  <c r="L3241" i="9"/>
  <c r="M3241" i="9" s="1"/>
  <c r="E3255" i="9"/>
  <c r="D3255" i="9"/>
  <c r="C3255" i="9"/>
  <c r="L3255" i="9"/>
  <c r="M3255" i="9" s="1"/>
  <c r="C3260" i="9"/>
  <c r="L3260" i="9"/>
  <c r="M3260" i="9" s="1"/>
  <c r="E3260" i="9"/>
  <c r="D3260" i="9"/>
  <c r="E3265" i="9"/>
  <c r="D3265" i="9"/>
  <c r="C3265" i="9"/>
  <c r="L3265" i="9"/>
  <c r="M3265" i="9" s="1"/>
  <c r="E3279" i="9"/>
  <c r="D3279" i="9"/>
  <c r="C3279" i="9"/>
  <c r="L3279" i="9"/>
  <c r="M3279" i="9" s="1"/>
  <c r="C3284" i="9"/>
  <c r="L3284" i="9"/>
  <c r="M3284" i="9" s="1"/>
  <c r="E3284" i="9"/>
  <c r="D3284" i="9"/>
  <c r="E3289" i="9"/>
  <c r="D3289" i="9"/>
  <c r="C3289" i="9"/>
  <c r="L3289" i="9"/>
  <c r="M3289" i="9" s="1"/>
  <c r="E3303" i="9"/>
  <c r="D3303" i="9"/>
  <c r="C3303" i="9"/>
  <c r="L3303" i="9"/>
  <c r="M3303" i="9" s="1"/>
  <c r="C3308" i="9"/>
  <c r="L3308" i="9"/>
  <c r="M3308" i="9" s="1"/>
  <c r="E3308" i="9"/>
  <c r="D3308" i="9"/>
  <c r="E3313" i="9"/>
  <c r="D3313" i="9"/>
  <c r="E3327" i="9"/>
  <c r="D3327" i="9"/>
  <c r="E3332" i="9"/>
  <c r="D3332" i="9"/>
  <c r="E3337" i="9"/>
  <c r="D3337" i="9"/>
  <c r="E3351" i="9"/>
  <c r="D3351" i="9"/>
  <c r="C3351" i="9"/>
  <c r="L3351" i="9"/>
  <c r="M3351" i="9" s="1"/>
  <c r="E3356" i="9"/>
  <c r="D3356" i="9"/>
  <c r="C3361" i="9"/>
  <c r="E3361" i="9"/>
  <c r="D3361" i="9"/>
  <c r="L3361" i="9"/>
  <c r="M3361" i="9" s="1"/>
  <c r="E3375" i="9"/>
  <c r="D3375" i="9"/>
  <c r="E3380" i="9"/>
  <c r="C3380" i="9"/>
  <c r="D3380" i="9"/>
  <c r="L3380" i="9"/>
  <c r="M3380" i="9" s="1"/>
  <c r="E3385" i="9"/>
  <c r="D3385" i="9"/>
  <c r="C3399" i="9"/>
  <c r="L3399" i="9"/>
  <c r="M3399" i="9" s="1"/>
  <c r="E3399" i="9"/>
  <c r="D3399" i="9"/>
  <c r="E3404" i="9"/>
  <c r="D3404" i="9"/>
  <c r="C3404" i="9"/>
  <c r="L3404" i="9"/>
  <c r="M3404" i="9" s="1"/>
  <c r="E3409" i="9"/>
  <c r="D3409" i="9"/>
  <c r="C3409" i="9"/>
  <c r="L3409" i="9"/>
  <c r="M3409" i="9" s="1"/>
  <c r="C3423" i="9"/>
  <c r="L3423" i="9"/>
  <c r="M3423" i="9" s="1"/>
  <c r="E3423" i="9"/>
  <c r="D3423" i="9"/>
  <c r="E3428" i="9"/>
  <c r="D3428" i="9"/>
  <c r="C3428" i="9"/>
  <c r="L3428" i="9"/>
  <c r="M3428" i="9" s="1"/>
  <c r="E3433" i="9"/>
  <c r="D3433" i="9"/>
  <c r="C3433" i="9"/>
  <c r="L3433" i="9"/>
  <c r="M3433" i="9" s="1"/>
  <c r="C3447" i="9"/>
  <c r="L3447" i="9"/>
  <c r="M3447" i="9" s="1"/>
  <c r="E3447" i="9"/>
  <c r="D3447" i="9"/>
  <c r="E3452" i="9"/>
  <c r="D3452" i="9"/>
  <c r="C3452" i="9"/>
  <c r="L3452" i="9"/>
  <c r="M3452" i="9" s="1"/>
  <c r="E3457" i="9"/>
  <c r="D3457" i="9"/>
  <c r="C3457" i="9"/>
  <c r="L3457" i="9"/>
  <c r="M3457" i="9" s="1"/>
  <c r="C3471" i="9"/>
  <c r="L3471" i="9"/>
  <c r="M3471" i="9" s="1"/>
  <c r="E3471" i="9"/>
  <c r="D3471" i="9"/>
  <c r="E3476" i="9"/>
  <c r="D3476" i="9"/>
  <c r="C3476" i="9"/>
  <c r="L3476" i="9"/>
  <c r="M3476" i="9" s="1"/>
  <c r="E3481" i="9"/>
  <c r="D3481" i="9"/>
  <c r="C3481" i="9"/>
  <c r="L3481" i="9"/>
  <c r="M3481" i="9" s="1"/>
  <c r="C3495" i="9"/>
  <c r="L3495" i="9"/>
  <c r="M3495" i="9" s="1"/>
  <c r="D3495" i="9"/>
  <c r="E3495" i="9"/>
  <c r="E3500" i="9"/>
  <c r="D3500" i="9"/>
  <c r="C3500" i="9"/>
  <c r="L3500" i="9"/>
  <c r="M3500" i="9" s="1"/>
  <c r="E3505" i="9"/>
  <c r="D3505" i="9"/>
  <c r="C3505" i="9"/>
  <c r="L3505" i="9"/>
  <c r="M3505" i="9" s="1"/>
  <c r="C3519" i="9"/>
  <c r="L3519" i="9"/>
  <c r="M3519" i="9" s="1"/>
  <c r="E3519" i="9"/>
  <c r="D3519" i="9"/>
  <c r="E3524" i="9"/>
  <c r="D3524" i="9"/>
  <c r="E3529" i="9"/>
  <c r="D3529" i="9"/>
  <c r="C3529" i="9"/>
  <c r="L3529" i="9"/>
  <c r="M3529" i="9" s="1"/>
  <c r="E3543" i="9"/>
  <c r="D3543" i="9"/>
  <c r="E3548" i="9"/>
  <c r="D3548" i="9"/>
  <c r="C3548" i="9"/>
  <c r="L3548" i="9"/>
  <c r="M3548" i="9" s="1"/>
  <c r="E3553" i="9"/>
  <c r="D3553" i="9"/>
  <c r="E3567" i="9"/>
  <c r="D3567" i="9"/>
  <c r="E3572" i="9"/>
  <c r="D3572" i="9"/>
  <c r="C3572" i="9"/>
  <c r="L3572" i="9"/>
  <c r="M3572" i="9" s="1"/>
  <c r="E3577" i="9"/>
  <c r="D3577" i="9"/>
  <c r="C3577" i="9"/>
  <c r="L3577" i="9"/>
  <c r="M3577" i="9" s="1"/>
  <c r="C3591" i="9"/>
  <c r="L3591" i="9"/>
  <c r="M3591" i="9" s="1"/>
  <c r="E3591" i="9"/>
  <c r="D3591" i="9"/>
  <c r="E3596" i="9"/>
  <c r="D3596" i="9"/>
  <c r="C3596" i="9"/>
  <c r="L3596" i="9"/>
  <c r="M3596" i="9" s="1"/>
  <c r="E3601" i="9"/>
  <c r="D3601" i="9"/>
  <c r="C3601" i="9"/>
  <c r="L3601" i="9"/>
  <c r="M3601" i="9" s="1"/>
  <c r="C3615" i="9"/>
  <c r="L3615" i="9"/>
  <c r="M3615" i="9" s="1"/>
  <c r="E3615" i="9"/>
  <c r="D3615" i="9"/>
  <c r="E3620" i="9"/>
  <c r="D3620" i="9"/>
  <c r="C3620" i="9"/>
  <c r="L3620" i="9"/>
  <c r="M3620" i="9" s="1"/>
  <c r="D3625" i="9"/>
  <c r="C3625" i="9"/>
  <c r="E3625" i="9"/>
  <c r="L3625" i="9"/>
  <c r="M3625" i="9" s="1"/>
  <c r="E3639" i="9"/>
  <c r="L3639" i="9"/>
  <c r="M3639" i="9" s="1"/>
  <c r="D3639" i="9"/>
  <c r="C3639" i="9"/>
  <c r="C3644" i="9"/>
  <c r="L3644" i="9"/>
  <c r="M3644" i="9" s="1"/>
  <c r="E3644" i="9"/>
  <c r="D3644" i="9"/>
  <c r="D3649" i="9"/>
  <c r="C3649" i="9"/>
  <c r="L3649" i="9"/>
  <c r="M3649" i="9" s="1"/>
  <c r="E3649" i="9"/>
  <c r="E3663" i="9"/>
  <c r="C3663" i="9"/>
  <c r="L3663" i="9"/>
  <c r="M3663" i="9" s="1"/>
  <c r="D3663" i="9"/>
  <c r="C3668" i="9"/>
  <c r="L3668" i="9"/>
  <c r="M3668" i="9" s="1"/>
  <c r="E3668" i="9"/>
  <c r="D3668" i="9"/>
  <c r="E3673" i="9"/>
  <c r="D3673" i="9"/>
  <c r="C3673" i="9"/>
  <c r="L3673" i="9"/>
  <c r="M3673" i="9" s="1"/>
  <c r="E3687" i="9"/>
  <c r="D3687" i="9"/>
  <c r="C3687" i="9"/>
  <c r="L3687" i="9"/>
  <c r="M3687" i="9" s="1"/>
  <c r="C3692" i="9"/>
  <c r="L3692" i="9"/>
  <c r="M3692" i="9" s="1"/>
  <c r="E3692" i="9"/>
  <c r="D3692" i="9"/>
  <c r="E3697" i="9"/>
  <c r="D3697" i="9"/>
  <c r="C3697" i="9"/>
  <c r="L3697" i="9"/>
  <c r="M3697" i="9" s="1"/>
  <c r="E3711" i="9"/>
  <c r="D3711" i="9"/>
  <c r="C3711" i="9"/>
  <c r="L3711" i="9"/>
  <c r="M3711" i="9" s="1"/>
  <c r="E3716" i="9"/>
  <c r="D3716" i="9"/>
  <c r="E3721" i="9"/>
  <c r="D3721" i="9"/>
  <c r="C3721" i="9"/>
  <c r="L3721" i="9"/>
  <c r="M3721" i="9" s="1"/>
  <c r="E3735" i="9"/>
  <c r="D3735" i="9"/>
  <c r="D3753" i="9"/>
  <c r="E3753" i="9"/>
  <c r="E3772" i="9"/>
  <c r="D3772" i="9"/>
  <c r="C3772" i="9"/>
  <c r="L3772" i="9"/>
  <c r="M3772" i="9" s="1"/>
  <c r="L3777" i="9"/>
  <c r="M3777" i="9" s="1"/>
  <c r="D3777" i="9"/>
  <c r="C3777" i="9"/>
  <c r="E3777" i="9"/>
  <c r="E3782" i="9"/>
  <c r="D3782" i="9"/>
  <c r="C3782" i="9"/>
  <c r="L3782" i="9"/>
  <c r="M3782" i="9" s="1"/>
  <c r="D3787" i="9"/>
  <c r="C3787" i="9"/>
  <c r="L3787" i="9"/>
  <c r="M3787" i="9" s="1"/>
  <c r="E3787" i="9"/>
  <c r="E3807" i="9"/>
  <c r="D3807" i="9"/>
  <c r="C3807" i="9"/>
  <c r="L3807" i="9"/>
  <c r="M3807" i="9" s="1"/>
  <c r="C3812" i="9"/>
  <c r="L3812" i="9"/>
  <c r="M3812" i="9" s="1"/>
  <c r="E3812" i="9"/>
  <c r="D3812" i="9"/>
  <c r="E3817" i="9"/>
  <c r="D3817" i="9"/>
  <c r="C3817" i="9"/>
  <c r="L3817" i="9"/>
  <c r="M3817" i="9" s="1"/>
  <c r="L3837" i="9"/>
  <c r="M3837" i="9" s="1"/>
  <c r="D3837" i="9"/>
  <c r="C3837" i="9"/>
  <c r="E3837" i="9"/>
  <c r="E3892" i="9"/>
  <c r="D3892" i="9"/>
  <c r="C3892" i="9"/>
  <c r="L3892" i="9"/>
  <c r="M3892" i="9" s="1"/>
  <c r="L3897" i="9"/>
  <c r="M3897" i="9" s="1"/>
  <c r="D3897" i="9"/>
  <c r="C3897" i="9"/>
  <c r="E3897" i="9"/>
  <c r="D3939" i="9"/>
  <c r="C3939" i="9"/>
  <c r="L3939" i="9"/>
  <c r="M3939" i="9" s="1"/>
  <c r="E3939" i="9"/>
  <c r="E3944" i="9"/>
  <c r="D3944" i="9"/>
  <c r="C3944" i="9"/>
  <c r="L3944" i="9"/>
  <c r="M3944" i="9" s="1"/>
  <c r="E3986" i="9"/>
  <c r="D3986" i="9"/>
  <c r="C3986" i="9"/>
  <c r="L3986" i="9"/>
  <c r="M3986" i="9" s="1"/>
  <c r="C4012" i="9"/>
  <c r="L4012" i="9"/>
  <c r="M4012" i="9" s="1"/>
  <c r="E4012" i="9"/>
  <c r="D4012" i="9"/>
  <c r="E4028" i="9"/>
  <c r="D4028" i="9"/>
  <c r="C4028" i="9"/>
  <c r="L4028" i="9"/>
  <c r="M4028" i="9" s="1"/>
  <c r="E4033" i="9"/>
  <c r="D4033" i="9"/>
  <c r="C4033" i="9"/>
  <c r="L4033" i="9"/>
  <c r="M4033" i="9" s="1"/>
  <c r="L4049" i="9"/>
  <c r="M4049" i="9" s="1"/>
  <c r="E4049" i="9"/>
  <c r="D4049" i="9"/>
  <c r="C4049" i="9"/>
  <c r="E4054" i="9"/>
  <c r="D4054" i="9"/>
  <c r="C4054" i="9"/>
  <c r="L4054" i="9"/>
  <c r="M4054" i="9" s="1"/>
  <c r="E4081" i="9"/>
  <c r="D4081" i="9"/>
  <c r="C4081" i="9"/>
  <c r="L4081" i="9"/>
  <c r="M4081" i="9" s="1"/>
  <c r="E4092" i="9"/>
  <c r="D4092" i="9"/>
  <c r="C4092" i="9"/>
  <c r="L4092" i="9"/>
  <c r="M4092" i="9" s="1"/>
  <c r="E4130" i="9"/>
  <c r="D4130" i="9"/>
  <c r="C4130" i="9"/>
  <c r="L4130" i="9"/>
  <c r="M4130" i="9" s="1"/>
  <c r="E4141" i="9"/>
  <c r="D4141" i="9"/>
  <c r="C4141" i="9"/>
  <c r="L4141" i="9"/>
  <c r="M4141" i="9" s="1"/>
  <c r="L4221" i="9"/>
  <c r="M4221" i="9" s="1"/>
  <c r="E4221" i="9"/>
  <c r="D4221" i="9"/>
  <c r="C4221" i="9"/>
  <c r="E4285" i="9"/>
  <c r="D4285" i="9"/>
  <c r="C4285" i="9"/>
  <c r="L4285" i="9"/>
  <c r="M4285" i="9" s="1"/>
  <c r="D4349" i="9"/>
  <c r="C4349" i="9"/>
  <c r="L4349" i="9"/>
  <c r="M4349" i="9" s="1"/>
  <c r="E4349" i="9"/>
  <c r="L4413" i="9"/>
  <c r="M4413" i="9" s="1"/>
  <c r="E4413" i="9"/>
  <c r="D4413" i="9"/>
  <c r="C4413" i="9"/>
  <c r="C4477" i="9"/>
  <c r="L4477" i="9"/>
  <c r="M4477" i="9" s="1"/>
  <c r="E4477" i="9"/>
  <c r="D4477" i="9"/>
  <c r="E4541" i="9"/>
  <c r="D4541" i="9"/>
  <c r="C4541" i="9"/>
  <c r="L4541" i="9"/>
  <c r="M4541" i="9" s="1"/>
  <c r="C4605" i="9"/>
  <c r="L4605" i="9"/>
  <c r="M4605" i="9" s="1"/>
  <c r="E4605" i="9"/>
  <c r="D4605" i="9"/>
  <c r="C4669" i="9"/>
  <c r="L4669" i="9"/>
  <c r="M4669" i="9" s="1"/>
  <c r="E4669" i="9"/>
  <c r="D4669" i="9"/>
  <c r="E4769" i="9"/>
  <c r="D4769" i="9"/>
  <c r="L4817" i="9"/>
  <c r="M4817" i="9" s="1"/>
  <c r="E4817" i="9"/>
  <c r="D4817" i="9"/>
  <c r="C4817" i="9"/>
  <c r="E4865" i="9"/>
  <c r="D4865" i="9"/>
  <c r="C4865" i="9"/>
  <c r="L4865" i="9"/>
  <c r="M4865" i="9" s="1"/>
  <c r="E4913" i="9"/>
  <c r="D4913" i="9"/>
  <c r="C4913" i="9"/>
  <c r="L4913" i="9"/>
  <c r="M4913" i="9" s="1"/>
  <c r="E4961" i="9"/>
  <c r="D4961" i="9"/>
  <c r="C4961" i="9"/>
  <c r="L4961" i="9"/>
  <c r="M4961" i="9" s="1"/>
  <c r="E5009" i="9"/>
  <c r="D5009" i="9"/>
  <c r="E5057" i="9"/>
  <c r="D5057" i="9"/>
  <c r="C5057" i="9"/>
  <c r="L5057" i="9"/>
  <c r="M5057" i="9" s="1"/>
  <c r="E5105" i="9"/>
  <c r="D5105" i="9"/>
  <c r="C5105" i="9"/>
  <c r="L5105" i="9"/>
  <c r="M5105" i="9" s="1"/>
  <c r="E5153" i="9"/>
  <c r="D5153" i="9"/>
  <c r="E2" i="9"/>
  <c r="D2" i="9"/>
  <c r="E10" i="9"/>
  <c r="D10" i="9"/>
  <c r="C10" i="9"/>
  <c r="L10" i="9"/>
  <c r="M10" i="9" s="1"/>
  <c r="E18" i="9"/>
  <c r="D18" i="9"/>
  <c r="E26" i="9"/>
  <c r="D26" i="9"/>
  <c r="E34" i="9"/>
  <c r="D34" i="9"/>
  <c r="E42" i="9"/>
  <c r="D42" i="9"/>
  <c r="L50" i="9"/>
  <c r="M50" i="9" s="1"/>
  <c r="E50" i="9"/>
  <c r="C50" i="9"/>
  <c r="D50" i="9"/>
  <c r="E58" i="9"/>
  <c r="D58" i="9"/>
  <c r="E66" i="9"/>
  <c r="D66" i="9"/>
  <c r="E74" i="9"/>
  <c r="D74" i="9"/>
  <c r="E86" i="9"/>
  <c r="D86" i="9"/>
  <c r="E94" i="9"/>
  <c r="D94" i="9"/>
  <c r="C94" i="9"/>
  <c r="L94" i="9"/>
  <c r="M94" i="9" s="1"/>
  <c r="L98" i="9"/>
  <c r="M98" i="9" s="1"/>
  <c r="E98" i="9"/>
  <c r="C98" i="9"/>
  <c r="D98" i="9"/>
  <c r="E106" i="9"/>
  <c r="D106" i="9"/>
  <c r="C106" i="9"/>
  <c r="L106" i="9"/>
  <c r="M106" i="9" s="1"/>
  <c r="E114" i="9"/>
  <c r="D114" i="9"/>
  <c r="C114" i="9"/>
  <c r="L114" i="9"/>
  <c r="M114" i="9" s="1"/>
  <c r="L122" i="9"/>
  <c r="M122" i="9" s="1"/>
  <c r="E122" i="9"/>
  <c r="C122" i="9"/>
  <c r="D122" i="9"/>
  <c r="E130" i="9"/>
  <c r="D130" i="9"/>
  <c r="C130" i="9"/>
  <c r="L130" i="9"/>
  <c r="M130" i="9" s="1"/>
  <c r="E138" i="9"/>
  <c r="D138" i="9"/>
  <c r="C138" i="9"/>
  <c r="L138" i="9"/>
  <c r="M138" i="9" s="1"/>
  <c r="L146" i="9"/>
  <c r="M146" i="9" s="1"/>
  <c r="E146" i="9"/>
  <c r="C146" i="9"/>
  <c r="D146" i="9"/>
  <c r="E154" i="9"/>
  <c r="D154" i="9"/>
  <c r="C154" i="9"/>
  <c r="L154" i="9"/>
  <c r="M154" i="9" s="1"/>
  <c r="E162" i="9"/>
  <c r="D162" i="9"/>
  <c r="C162" i="9"/>
  <c r="L162" i="9"/>
  <c r="M162" i="9" s="1"/>
  <c r="L170" i="9"/>
  <c r="M170" i="9" s="1"/>
  <c r="E170" i="9"/>
  <c r="C170" i="9"/>
  <c r="D170" i="9"/>
  <c r="E178" i="9"/>
  <c r="D178" i="9"/>
  <c r="C178" i="9"/>
  <c r="L178" i="9"/>
  <c r="M178" i="9" s="1"/>
  <c r="L182" i="9"/>
  <c r="M182" i="9" s="1"/>
  <c r="E182" i="9"/>
  <c r="C182" i="9"/>
  <c r="D182" i="9"/>
  <c r="E190" i="9"/>
  <c r="D190" i="9"/>
  <c r="C190" i="9"/>
  <c r="L190" i="9"/>
  <c r="M190" i="9" s="1"/>
  <c r="E198" i="9"/>
  <c r="D198" i="9"/>
  <c r="C198" i="9"/>
  <c r="L198" i="9"/>
  <c r="M198" i="9" s="1"/>
  <c r="L206" i="9"/>
  <c r="M206" i="9" s="1"/>
  <c r="E206" i="9"/>
  <c r="C206" i="9"/>
  <c r="D206" i="9"/>
  <c r="E214" i="9"/>
  <c r="D214" i="9"/>
  <c r="E222" i="9"/>
  <c r="D222" i="9"/>
  <c r="L230" i="9"/>
  <c r="M230" i="9" s="1"/>
  <c r="E230" i="9"/>
  <c r="C230" i="9"/>
  <c r="D230" i="9"/>
  <c r="E238" i="9"/>
  <c r="D238" i="9"/>
  <c r="E250" i="9"/>
  <c r="D250" i="9"/>
  <c r="C250" i="9"/>
  <c r="L250" i="9"/>
  <c r="M250" i="9" s="1"/>
  <c r="E254" i="9"/>
  <c r="D254" i="9"/>
  <c r="E262" i="9"/>
  <c r="D262" i="9"/>
  <c r="E274" i="9"/>
  <c r="D274" i="9"/>
  <c r="E282" i="9"/>
  <c r="D282" i="9"/>
  <c r="L290" i="9"/>
  <c r="M290" i="9" s="1"/>
  <c r="E290" i="9"/>
  <c r="C290" i="9"/>
  <c r="D290" i="9"/>
  <c r="E298" i="9"/>
  <c r="D298" i="9"/>
  <c r="E306" i="9"/>
  <c r="D306" i="9"/>
  <c r="C306" i="9"/>
  <c r="L306" i="9"/>
  <c r="M306" i="9" s="1"/>
  <c r="E310" i="9"/>
  <c r="D310" i="9"/>
  <c r="C310" i="9"/>
  <c r="L310" i="9"/>
  <c r="M310" i="9" s="1"/>
  <c r="L314" i="9"/>
  <c r="M314" i="9" s="1"/>
  <c r="E314" i="9"/>
  <c r="C314" i="9"/>
  <c r="D314" i="9"/>
  <c r="E318" i="9"/>
  <c r="D318" i="9"/>
  <c r="C318" i="9"/>
  <c r="L318" i="9"/>
  <c r="M318" i="9" s="1"/>
  <c r="E322" i="9"/>
  <c r="D322" i="9"/>
  <c r="C322" i="9"/>
  <c r="L322" i="9"/>
  <c r="M322" i="9" s="1"/>
  <c r="L326" i="9"/>
  <c r="M326" i="9" s="1"/>
  <c r="E326" i="9"/>
  <c r="C326" i="9"/>
  <c r="D326" i="9"/>
  <c r="E330" i="9"/>
  <c r="D330" i="9"/>
  <c r="C330" i="9"/>
  <c r="L330" i="9"/>
  <c r="M330" i="9" s="1"/>
  <c r="E334" i="9"/>
  <c r="D334" i="9"/>
  <c r="C334" i="9"/>
  <c r="L334" i="9"/>
  <c r="M334" i="9" s="1"/>
  <c r="L338" i="9"/>
  <c r="M338" i="9" s="1"/>
  <c r="E338" i="9"/>
  <c r="C338" i="9"/>
  <c r="D338" i="9"/>
  <c r="E346" i="9"/>
  <c r="D346" i="9"/>
  <c r="C346" i="9"/>
  <c r="L346" i="9"/>
  <c r="M346" i="9" s="1"/>
  <c r="L350" i="9"/>
  <c r="M350" i="9" s="1"/>
  <c r="E350" i="9"/>
  <c r="C350" i="9"/>
  <c r="D350" i="9"/>
  <c r="E354" i="9"/>
  <c r="D354" i="9"/>
  <c r="C354" i="9"/>
  <c r="L354" i="9"/>
  <c r="M354" i="9" s="1"/>
  <c r="E358" i="9"/>
  <c r="D358" i="9"/>
  <c r="C358" i="9"/>
  <c r="L358" i="9"/>
  <c r="M358" i="9" s="1"/>
  <c r="L362" i="9"/>
  <c r="M362" i="9" s="1"/>
  <c r="E362" i="9"/>
  <c r="C362" i="9"/>
  <c r="D362" i="9"/>
  <c r="E366" i="9"/>
  <c r="D366" i="9"/>
  <c r="C366" i="9"/>
  <c r="L366" i="9"/>
  <c r="M366" i="9" s="1"/>
  <c r="E370" i="9"/>
  <c r="D370" i="9"/>
  <c r="C370" i="9"/>
  <c r="L370" i="9"/>
  <c r="M370" i="9" s="1"/>
  <c r="L374" i="9"/>
  <c r="M374" i="9" s="1"/>
  <c r="E374" i="9"/>
  <c r="C374" i="9"/>
  <c r="D374" i="9"/>
  <c r="E378" i="9"/>
  <c r="D378" i="9"/>
  <c r="C378" i="9"/>
  <c r="L378" i="9"/>
  <c r="M378" i="9" s="1"/>
  <c r="E382" i="9"/>
  <c r="D382" i="9"/>
  <c r="C382" i="9"/>
  <c r="L382" i="9"/>
  <c r="M382" i="9" s="1"/>
  <c r="L386" i="9"/>
  <c r="M386" i="9" s="1"/>
  <c r="E386" i="9"/>
  <c r="C386" i="9"/>
  <c r="D386" i="9"/>
  <c r="C390" i="9"/>
  <c r="L390" i="9"/>
  <c r="M390" i="9" s="1"/>
  <c r="E390" i="9"/>
  <c r="D390" i="9"/>
  <c r="C394" i="9"/>
  <c r="E394" i="9"/>
  <c r="L394" i="9"/>
  <c r="M394" i="9" s="1"/>
  <c r="D394" i="9"/>
  <c r="E398" i="9"/>
  <c r="D398" i="9"/>
  <c r="C398" i="9"/>
  <c r="L398" i="9"/>
  <c r="M398" i="9" s="1"/>
  <c r="E402" i="9"/>
  <c r="C402" i="9"/>
  <c r="L402" i="9"/>
  <c r="M402" i="9" s="1"/>
  <c r="D402" i="9"/>
  <c r="C406" i="9"/>
  <c r="E406" i="9"/>
  <c r="D406" i="9"/>
  <c r="L406" i="9"/>
  <c r="M406" i="9" s="1"/>
  <c r="L410" i="9"/>
  <c r="M410" i="9" s="1"/>
  <c r="E410" i="9"/>
  <c r="D410" i="9"/>
  <c r="C410" i="9"/>
  <c r="E414" i="9"/>
  <c r="C414" i="9"/>
  <c r="L414" i="9"/>
  <c r="M414" i="9" s="1"/>
  <c r="D414" i="9"/>
  <c r="C418" i="9"/>
  <c r="E418" i="9"/>
  <c r="D418" i="9"/>
  <c r="L418" i="9"/>
  <c r="M418" i="9" s="1"/>
  <c r="D422" i="9"/>
  <c r="E422" i="9"/>
  <c r="E426" i="9"/>
  <c r="D426" i="9"/>
  <c r="C430" i="9"/>
  <c r="E430" i="9"/>
  <c r="D430" i="9"/>
  <c r="L430" i="9"/>
  <c r="M430" i="9" s="1"/>
  <c r="E434" i="9"/>
  <c r="D434" i="9"/>
  <c r="E438" i="9"/>
  <c r="D438" i="9"/>
  <c r="E442" i="9"/>
  <c r="D442" i="9"/>
  <c r="D446" i="9"/>
  <c r="E446" i="9"/>
  <c r="E450" i="9"/>
  <c r="C450" i="9"/>
  <c r="L450" i="9"/>
  <c r="M450" i="9" s="1"/>
  <c r="D450" i="9"/>
  <c r="E454" i="9"/>
  <c r="D454" i="9"/>
  <c r="E458" i="9"/>
  <c r="D458" i="9"/>
  <c r="E462" i="9"/>
  <c r="D462" i="9"/>
  <c r="E466" i="9"/>
  <c r="D466" i="9"/>
  <c r="L470" i="9"/>
  <c r="M470" i="9" s="1"/>
  <c r="D470" i="9"/>
  <c r="C470" i="9"/>
  <c r="E470" i="9"/>
  <c r="E474" i="9"/>
  <c r="D474" i="9"/>
  <c r="E478" i="9"/>
  <c r="D478" i="9"/>
  <c r="E482" i="9"/>
  <c r="D482" i="9"/>
  <c r="E486" i="9"/>
  <c r="D486" i="9"/>
  <c r="C490" i="9"/>
  <c r="E490" i="9"/>
  <c r="D490" i="9"/>
  <c r="L490" i="9"/>
  <c r="M490" i="9" s="1"/>
  <c r="E494" i="9"/>
  <c r="D494" i="9"/>
  <c r="E498" i="9"/>
  <c r="D498" i="9"/>
  <c r="E502" i="9"/>
  <c r="D502" i="9"/>
  <c r="E506" i="9"/>
  <c r="D506" i="9"/>
  <c r="E510" i="9"/>
  <c r="C510" i="9"/>
  <c r="L510" i="9"/>
  <c r="M510" i="9" s="1"/>
  <c r="D510" i="9"/>
  <c r="C514" i="9"/>
  <c r="E514" i="9"/>
  <c r="D514" i="9"/>
  <c r="L514" i="9"/>
  <c r="M514" i="9" s="1"/>
  <c r="E518" i="9"/>
  <c r="L518" i="9"/>
  <c r="M518" i="9" s="1"/>
  <c r="C518" i="9"/>
  <c r="D518" i="9"/>
  <c r="E522" i="9"/>
  <c r="C522" i="9"/>
  <c r="L522" i="9"/>
  <c r="M522" i="9" s="1"/>
  <c r="D522" i="9"/>
  <c r="C526" i="9"/>
  <c r="E526" i="9"/>
  <c r="D526" i="9"/>
  <c r="L526" i="9"/>
  <c r="M526" i="9" s="1"/>
  <c r="E530" i="9"/>
  <c r="L530" i="9"/>
  <c r="M530" i="9" s="1"/>
  <c r="D530" i="9"/>
  <c r="C530" i="9"/>
  <c r="E534" i="9"/>
  <c r="C534" i="9"/>
  <c r="D534" i="9"/>
  <c r="L534" i="9"/>
  <c r="M534" i="9" s="1"/>
  <c r="C538" i="9"/>
  <c r="E538" i="9"/>
  <c r="D538" i="9"/>
  <c r="L538" i="9"/>
  <c r="M538" i="9" s="1"/>
  <c r="E542" i="9"/>
  <c r="L542" i="9"/>
  <c r="M542" i="9" s="1"/>
  <c r="D542" i="9"/>
  <c r="C542" i="9"/>
  <c r="E546" i="9"/>
  <c r="C546" i="9"/>
  <c r="L546" i="9"/>
  <c r="M546" i="9" s="1"/>
  <c r="D546" i="9"/>
  <c r="C550" i="9"/>
  <c r="E550" i="9"/>
  <c r="D550" i="9"/>
  <c r="L550" i="9"/>
  <c r="M550" i="9" s="1"/>
  <c r="E554" i="9"/>
  <c r="L554" i="9"/>
  <c r="M554" i="9" s="1"/>
  <c r="C554" i="9"/>
  <c r="D554" i="9"/>
  <c r="E558" i="9"/>
  <c r="C558" i="9"/>
  <c r="L558" i="9"/>
  <c r="M558" i="9" s="1"/>
  <c r="D558" i="9"/>
  <c r="C562" i="9"/>
  <c r="E562" i="9"/>
  <c r="D562" i="9"/>
  <c r="L562" i="9"/>
  <c r="M562" i="9" s="1"/>
  <c r="E566" i="9"/>
  <c r="L566" i="9"/>
  <c r="M566" i="9" s="1"/>
  <c r="D566" i="9"/>
  <c r="C566" i="9"/>
  <c r="E570" i="9"/>
  <c r="C570" i="9"/>
  <c r="D570" i="9"/>
  <c r="L570" i="9"/>
  <c r="M570" i="9" s="1"/>
  <c r="C574" i="9"/>
  <c r="E574" i="9"/>
  <c r="D574" i="9"/>
  <c r="L574" i="9"/>
  <c r="M574" i="9" s="1"/>
  <c r="E578" i="9"/>
  <c r="L578" i="9"/>
  <c r="M578" i="9" s="1"/>
  <c r="D578" i="9"/>
  <c r="C578" i="9"/>
  <c r="E582" i="9"/>
  <c r="C582" i="9"/>
  <c r="L582" i="9"/>
  <c r="M582" i="9" s="1"/>
  <c r="D582" i="9"/>
  <c r="C586" i="9"/>
  <c r="E586" i="9"/>
  <c r="D586" i="9"/>
  <c r="L586" i="9"/>
  <c r="M586" i="9" s="1"/>
  <c r="E590" i="9"/>
  <c r="L590" i="9"/>
  <c r="M590" i="9" s="1"/>
  <c r="C590" i="9"/>
  <c r="D590" i="9"/>
  <c r="E594" i="9"/>
  <c r="C594" i="9"/>
  <c r="L594" i="9"/>
  <c r="M594" i="9" s="1"/>
  <c r="D594" i="9"/>
  <c r="C598" i="9"/>
  <c r="E598" i="9"/>
  <c r="D598" i="9"/>
  <c r="L598" i="9"/>
  <c r="M598" i="9" s="1"/>
  <c r="E602" i="9"/>
  <c r="L602" i="9"/>
  <c r="M602" i="9" s="1"/>
  <c r="D602" i="9"/>
  <c r="C602" i="9"/>
  <c r="E606" i="9"/>
  <c r="C606" i="9"/>
  <c r="D606" i="9"/>
  <c r="L606" i="9"/>
  <c r="M606" i="9" s="1"/>
  <c r="C610" i="9"/>
  <c r="E610" i="9"/>
  <c r="D610" i="9"/>
  <c r="L610" i="9"/>
  <c r="M610" i="9" s="1"/>
  <c r="E614" i="9"/>
  <c r="L614" i="9"/>
  <c r="M614" i="9" s="1"/>
  <c r="D614" i="9"/>
  <c r="C614" i="9"/>
  <c r="E618" i="9"/>
  <c r="C618" i="9"/>
  <c r="L618" i="9"/>
  <c r="M618" i="9" s="1"/>
  <c r="D618" i="9"/>
  <c r="C622" i="9"/>
  <c r="E622" i="9"/>
  <c r="D622" i="9"/>
  <c r="L622" i="9"/>
  <c r="M622" i="9" s="1"/>
  <c r="E626" i="9"/>
  <c r="L626" i="9"/>
  <c r="M626" i="9" s="1"/>
  <c r="C626" i="9"/>
  <c r="D626" i="9"/>
  <c r="E630" i="9"/>
  <c r="C630" i="9"/>
  <c r="L630" i="9"/>
  <c r="M630" i="9" s="1"/>
  <c r="D630" i="9"/>
  <c r="E634" i="9"/>
  <c r="D634" i="9"/>
  <c r="E638" i="9"/>
  <c r="D638" i="9"/>
  <c r="E642" i="9"/>
  <c r="D642" i="9"/>
  <c r="E646" i="9"/>
  <c r="D646" i="9"/>
  <c r="E650" i="9"/>
  <c r="L650" i="9"/>
  <c r="M650" i="9" s="1"/>
  <c r="D650" i="9"/>
  <c r="C650" i="9"/>
  <c r="E654" i="9"/>
  <c r="D654" i="9"/>
  <c r="E658" i="9"/>
  <c r="D658" i="9"/>
  <c r="E662" i="9"/>
  <c r="D662" i="9"/>
  <c r="E666" i="9"/>
  <c r="D666" i="9"/>
  <c r="C670" i="9"/>
  <c r="E670" i="9"/>
  <c r="D670" i="9"/>
  <c r="L670" i="9"/>
  <c r="M670" i="9" s="1"/>
  <c r="E674" i="9"/>
  <c r="D674" i="9"/>
  <c r="E678" i="9"/>
  <c r="D678" i="9"/>
  <c r="E682" i="9"/>
  <c r="D682" i="9"/>
  <c r="E686" i="9"/>
  <c r="D686" i="9"/>
  <c r="E690" i="9"/>
  <c r="C690" i="9"/>
  <c r="L690" i="9"/>
  <c r="M690" i="9" s="1"/>
  <c r="D690" i="9"/>
  <c r="E694" i="9"/>
  <c r="D694" i="9"/>
  <c r="E698" i="9"/>
  <c r="D698" i="9"/>
  <c r="E702" i="9"/>
  <c r="D702" i="9"/>
  <c r="E706" i="9"/>
  <c r="D706" i="9"/>
  <c r="E710" i="9"/>
  <c r="L710" i="9"/>
  <c r="M710" i="9" s="1"/>
  <c r="D710" i="9"/>
  <c r="C710" i="9"/>
  <c r="E714" i="9"/>
  <c r="D714" i="9"/>
  <c r="E718" i="9"/>
  <c r="D718" i="9"/>
  <c r="E722" i="9"/>
  <c r="L722" i="9"/>
  <c r="M722" i="9" s="1"/>
  <c r="D722" i="9"/>
  <c r="C722" i="9"/>
  <c r="E726" i="9"/>
  <c r="C726" i="9"/>
  <c r="L726" i="9"/>
  <c r="M726" i="9" s="1"/>
  <c r="D726" i="9"/>
  <c r="C730" i="9"/>
  <c r="E730" i="9"/>
  <c r="D730" i="9"/>
  <c r="L730" i="9"/>
  <c r="M730" i="9" s="1"/>
  <c r="E734" i="9"/>
  <c r="L734" i="9"/>
  <c r="M734" i="9" s="1"/>
  <c r="C734" i="9"/>
  <c r="D734" i="9"/>
  <c r="E738" i="9"/>
  <c r="C738" i="9"/>
  <c r="L738" i="9"/>
  <c r="M738" i="9" s="1"/>
  <c r="D738" i="9"/>
  <c r="C742" i="9"/>
  <c r="E742" i="9"/>
  <c r="D742" i="9"/>
  <c r="L742" i="9"/>
  <c r="M742" i="9" s="1"/>
  <c r="E746" i="9"/>
  <c r="L746" i="9"/>
  <c r="M746" i="9" s="1"/>
  <c r="D746" i="9"/>
  <c r="C746" i="9"/>
  <c r="E750" i="9"/>
  <c r="C750" i="9"/>
  <c r="D750" i="9"/>
  <c r="L750" i="9"/>
  <c r="M750" i="9" s="1"/>
  <c r="C754" i="9"/>
  <c r="E754" i="9"/>
  <c r="D754" i="9"/>
  <c r="L754" i="9"/>
  <c r="M754" i="9" s="1"/>
  <c r="E758" i="9"/>
  <c r="L758" i="9"/>
  <c r="M758" i="9" s="1"/>
  <c r="D758" i="9"/>
  <c r="C758" i="9"/>
  <c r="E762" i="9"/>
  <c r="C762" i="9"/>
  <c r="L762" i="9"/>
  <c r="M762" i="9" s="1"/>
  <c r="D762" i="9"/>
  <c r="C766" i="9"/>
  <c r="E766" i="9"/>
  <c r="D766" i="9"/>
  <c r="L766" i="9"/>
  <c r="M766" i="9" s="1"/>
  <c r="E770" i="9"/>
  <c r="L770" i="9"/>
  <c r="M770" i="9" s="1"/>
  <c r="C770" i="9"/>
  <c r="D770" i="9"/>
  <c r="E774" i="9"/>
  <c r="C774" i="9"/>
  <c r="L774" i="9"/>
  <c r="M774" i="9" s="1"/>
  <c r="D774" i="9"/>
  <c r="C778" i="9"/>
  <c r="L778" i="9"/>
  <c r="M778" i="9" s="1"/>
  <c r="E778" i="9"/>
  <c r="D778" i="9"/>
  <c r="E782" i="9"/>
  <c r="L782" i="9"/>
  <c r="M782" i="9" s="1"/>
  <c r="D782" i="9"/>
  <c r="C782" i="9"/>
  <c r="E786" i="9"/>
  <c r="D786" i="9"/>
  <c r="C786" i="9"/>
  <c r="L786" i="9"/>
  <c r="M786" i="9" s="1"/>
  <c r="C790" i="9"/>
  <c r="L790" i="9"/>
  <c r="M790" i="9" s="1"/>
  <c r="E790" i="9"/>
  <c r="D790" i="9"/>
  <c r="E794" i="9"/>
  <c r="L794" i="9"/>
  <c r="M794" i="9" s="1"/>
  <c r="D794" i="9"/>
  <c r="C794" i="9"/>
  <c r="E798" i="9"/>
  <c r="D798" i="9"/>
  <c r="C798" i="9"/>
  <c r="L798" i="9"/>
  <c r="M798" i="9" s="1"/>
  <c r="C802" i="9"/>
  <c r="L802" i="9"/>
  <c r="M802" i="9" s="1"/>
  <c r="E802" i="9"/>
  <c r="D802" i="9"/>
  <c r="E806" i="9"/>
  <c r="L806" i="9"/>
  <c r="M806" i="9" s="1"/>
  <c r="C806" i="9"/>
  <c r="D806" i="9"/>
  <c r="E810" i="9"/>
  <c r="D810" i="9"/>
  <c r="C810" i="9"/>
  <c r="L810" i="9"/>
  <c r="M810" i="9" s="1"/>
  <c r="C814" i="9"/>
  <c r="L814" i="9"/>
  <c r="M814" i="9" s="1"/>
  <c r="E814" i="9"/>
  <c r="D814" i="9"/>
  <c r="E818" i="9"/>
  <c r="L818" i="9"/>
  <c r="M818" i="9" s="1"/>
  <c r="D818" i="9"/>
  <c r="C818" i="9"/>
  <c r="E822" i="9"/>
  <c r="D822" i="9"/>
  <c r="C822" i="9"/>
  <c r="L822" i="9"/>
  <c r="M822" i="9" s="1"/>
  <c r="C826" i="9"/>
  <c r="L826" i="9"/>
  <c r="M826" i="9" s="1"/>
  <c r="E826" i="9"/>
  <c r="D826" i="9"/>
  <c r="E830" i="9"/>
  <c r="L830" i="9"/>
  <c r="M830" i="9" s="1"/>
  <c r="D830" i="9"/>
  <c r="C830" i="9"/>
  <c r="E834" i="9"/>
  <c r="D834" i="9"/>
  <c r="C834" i="9"/>
  <c r="L834" i="9"/>
  <c r="M834" i="9" s="1"/>
  <c r="C838" i="9"/>
  <c r="L838" i="9"/>
  <c r="M838" i="9" s="1"/>
  <c r="E838" i="9"/>
  <c r="D838" i="9"/>
  <c r="E842" i="9"/>
  <c r="D842" i="9"/>
  <c r="E846" i="9"/>
  <c r="D846" i="9"/>
  <c r="D850" i="9"/>
  <c r="C850" i="9"/>
  <c r="L850" i="9"/>
  <c r="M850" i="9" s="1"/>
  <c r="E850" i="9"/>
  <c r="E854" i="9"/>
  <c r="D854" i="9"/>
  <c r="E858" i="9"/>
  <c r="D858" i="9"/>
  <c r="D862" i="9"/>
  <c r="E862" i="9"/>
  <c r="E866" i="9"/>
  <c r="D866" i="9"/>
  <c r="E870" i="9"/>
  <c r="D870" i="9"/>
  <c r="C870" i="9"/>
  <c r="L870" i="9"/>
  <c r="M870" i="9" s="1"/>
  <c r="D874" i="9"/>
  <c r="E874" i="9"/>
  <c r="E878" i="9"/>
  <c r="D878" i="9"/>
  <c r="E882" i="9"/>
  <c r="D882" i="9"/>
  <c r="D886" i="9"/>
  <c r="E886" i="9"/>
  <c r="L890" i="9"/>
  <c r="M890" i="9" s="1"/>
  <c r="E890" i="9"/>
  <c r="D890" i="9"/>
  <c r="C890" i="9"/>
  <c r="E894" i="9"/>
  <c r="D894" i="9"/>
  <c r="D898" i="9"/>
  <c r="E898" i="9"/>
  <c r="E902" i="9"/>
  <c r="D902" i="9"/>
  <c r="E906" i="9"/>
  <c r="D906" i="9"/>
  <c r="D910" i="9"/>
  <c r="C910" i="9"/>
  <c r="L910" i="9"/>
  <c r="M910" i="9" s="1"/>
  <c r="E910" i="9"/>
  <c r="E914" i="9"/>
  <c r="D914" i="9"/>
  <c r="E918" i="9"/>
  <c r="D918" i="9"/>
  <c r="D922" i="9"/>
  <c r="E922" i="9"/>
  <c r="E926" i="9"/>
  <c r="D926" i="9"/>
  <c r="E930" i="9"/>
  <c r="D930" i="9"/>
  <c r="C930" i="9"/>
  <c r="L930" i="9"/>
  <c r="M930" i="9" s="1"/>
  <c r="D934" i="9"/>
  <c r="C934" i="9"/>
  <c r="L934" i="9"/>
  <c r="M934" i="9" s="1"/>
  <c r="E934" i="9"/>
  <c r="L938" i="9"/>
  <c r="M938" i="9" s="1"/>
  <c r="E938" i="9"/>
  <c r="D938" i="9"/>
  <c r="C938" i="9"/>
  <c r="E942" i="9"/>
  <c r="D942" i="9"/>
  <c r="C942" i="9"/>
  <c r="L942" i="9"/>
  <c r="M942" i="9" s="1"/>
  <c r="D946" i="9"/>
  <c r="C946" i="9"/>
  <c r="L946" i="9"/>
  <c r="M946" i="9" s="1"/>
  <c r="E946" i="9"/>
  <c r="L950" i="9"/>
  <c r="M950" i="9" s="1"/>
  <c r="C950" i="9"/>
  <c r="E950" i="9"/>
  <c r="D950" i="9"/>
  <c r="E954" i="9"/>
  <c r="D954" i="9"/>
  <c r="C954" i="9"/>
  <c r="L954" i="9"/>
  <c r="M954" i="9" s="1"/>
  <c r="D958" i="9"/>
  <c r="C958" i="9"/>
  <c r="L958" i="9"/>
  <c r="M958" i="9" s="1"/>
  <c r="E958" i="9"/>
  <c r="L962" i="9"/>
  <c r="M962" i="9" s="1"/>
  <c r="E962" i="9"/>
  <c r="D962" i="9"/>
  <c r="C962" i="9"/>
  <c r="E966" i="9"/>
  <c r="D966" i="9"/>
  <c r="C966" i="9"/>
  <c r="L966" i="9"/>
  <c r="M966" i="9" s="1"/>
  <c r="D970" i="9"/>
  <c r="C970" i="9"/>
  <c r="L970" i="9"/>
  <c r="M970" i="9" s="1"/>
  <c r="E970" i="9"/>
  <c r="L974" i="9"/>
  <c r="M974" i="9" s="1"/>
  <c r="E974" i="9"/>
  <c r="D974" i="9"/>
  <c r="C974" i="9"/>
  <c r="E978" i="9"/>
  <c r="D978" i="9"/>
  <c r="C978" i="9"/>
  <c r="L978" i="9"/>
  <c r="M978" i="9" s="1"/>
  <c r="D982" i="9"/>
  <c r="C982" i="9"/>
  <c r="L982" i="9"/>
  <c r="M982" i="9" s="1"/>
  <c r="E982" i="9"/>
  <c r="L986" i="9"/>
  <c r="M986" i="9" s="1"/>
  <c r="C986" i="9"/>
  <c r="E986" i="9"/>
  <c r="D986" i="9"/>
  <c r="E990" i="9"/>
  <c r="D990" i="9"/>
  <c r="C990" i="9"/>
  <c r="L990" i="9"/>
  <c r="M990" i="9" s="1"/>
  <c r="D994" i="9"/>
  <c r="C994" i="9"/>
  <c r="L994" i="9"/>
  <c r="M994" i="9" s="1"/>
  <c r="E994" i="9"/>
  <c r="L998" i="9"/>
  <c r="M998" i="9" s="1"/>
  <c r="E998" i="9"/>
  <c r="D998" i="9"/>
  <c r="C998" i="9"/>
  <c r="E1002" i="9"/>
  <c r="D1002" i="9"/>
  <c r="C1002" i="9"/>
  <c r="L1002" i="9"/>
  <c r="M1002" i="9" s="1"/>
  <c r="D1006" i="9"/>
  <c r="C1006" i="9"/>
  <c r="L1006" i="9"/>
  <c r="M1006" i="9" s="1"/>
  <c r="E1006" i="9"/>
  <c r="L1010" i="9"/>
  <c r="M1010" i="9" s="1"/>
  <c r="E1010" i="9"/>
  <c r="D1010" i="9"/>
  <c r="C1010" i="9"/>
  <c r="E1014" i="9"/>
  <c r="D1014" i="9"/>
  <c r="C1014" i="9"/>
  <c r="L1014" i="9"/>
  <c r="M1014" i="9" s="1"/>
  <c r="D1018" i="9"/>
  <c r="C1018" i="9"/>
  <c r="L1018" i="9"/>
  <c r="M1018" i="9" s="1"/>
  <c r="E1018" i="9"/>
  <c r="L1022" i="9"/>
  <c r="M1022" i="9" s="1"/>
  <c r="C1022" i="9"/>
  <c r="E1022" i="9"/>
  <c r="D1022" i="9"/>
  <c r="E1026" i="9"/>
  <c r="D1026" i="9"/>
  <c r="C1026" i="9"/>
  <c r="L1026" i="9"/>
  <c r="M1026" i="9" s="1"/>
  <c r="D1030" i="9"/>
  <c r="C1030" i="9"/>
  <c r="L1030" i="9"/>
  <c r="M1030" i="9" s="1"/>
  <c r="E1030" i="9"/>
  <c r="L1034" i="9"/>
  <c r="M1034" i="9" s="1"/>
  <c r="E1034" i="9"/>
  <c r="D1034" i="9"/>
  <c r="C1034" i="9"/>
  <c r="E1038" i="9"/>
  <c r="D1038" i="9"/>
  <c r="C1038" i="9"/>
  <c r="L1038" i="9"/>
  <c r="M1038" i="9" s="1"/>
  <c r="D1042" i="9"/>
  <c r="C1042" i="9"/>
  <c r="L1042" i="9"/>
  <c r="M1042" i="9" s="1"/>
  <c r="E1042" i="9"/>
  <c r="L1046" i="9"/>
  <c r="M1046" i="9" s="1"/>
  <c r="E1046" i="9"/>
  <c r="D1046" i="9"/>
  <c r="C1046" i="9"/>
  <c r="E1050" i="9"/>
  <c r="D1050" i="9"/>
  <c r="C1050" i="9"/>
  <c r="L1050" i="9"/>
  <c r="M1050" i="9" s="1"/>
  <c r="D1054" i="9"/>
  <c r="E1054" i="9"/>
  <c r="E1058" i="9"/>
  <c r="D1058" i="9"/>
  <c r="E1062" i="9"/>
  <c r="D1062" i="9"/>
  <c r="D1066" i="9"/>
  <c r="E1066" i="9"/>
  <c r="L1070" i="9"/>
  <c r="M1070" i="9" s="1"/>
  <c r="E1070" i="9"/>
  <c r="D1070" i="9"/>
  <c r="C1070" i="9"/>
  <c r="E1074" i="9"/>
  <c r="D1074" i="9"/>
  <c r="D1078" i="9"/>
  <c r="E1078" i="9"/>
  <c r="E1082" i="9"/>
  <c r="D1082" i="9"/>
  <c r="E1086" i="9"/>
  <c r="D1086" i="9"/>
  <c r="D1090" i="9"/>
  <c r="C1090" i="9"/>
  <c r="L1090" i="9"/>
  <c r="M1090" i="9" s="1"/>
  <c r="E1090" i="9"/>
  <c r="E1094" i="9"/>
  <c r="D1094" i="9"/>
  <c r="E1098" i="9"/>
  <c r="D1098" i="9"/>
  <c r="D1102" i="9"/>
  <c r="E1102" i="9"/>
  <c r="E1106" i="9"/>
  <c r="D1106" i="9"/>
  <c r="E1110" i="9"/>
  <c r="D1110" i="9"/>
  <c r="C1110" i="9"/>
  <c r="L1110" i="9"/>
  <c r="M1110" i="9" s="1"/>
  <c r="D1114" i="9"/>
  <c r="E1114" i="9"/>
  <c r="E1118" i="9"/>
  <c r="D1118" i="9"/>
  <c r="E1122" i="9"/>
  <c r="D1122" i="9"/>
  <c r="D1126" i="9"/>
  <c r="E1126" i="9"/>
  <c r="L1130" i="9"/>
  <c r="M1130" i="9" s="1"/>
  <c r="E1130" i="9"/>
  <c r="C1130" i="9"/>
  <c r="D1130" i="9"/>
  <c r="E1134" i="9"/>
  <c r="D1134" i="9"/>
  <c r="D1138" i="9"/>
  <c r="E1138" i="9"/>
  <c r="L1142" i="9"/>
  <c r="M1142" i="9" s="1"/>
  <c r="E1142" i="9"/>
  <c r="D1142" i="9"/>
  <c r="C1142" i="9"/>
  <c r="E1146" i="9"/>
  <c r="D1146" i="9"/>
  <c r="C1146" i="9"/>
  <c r="L1146" i="9"/>
  <c r="M1146" i="9" s="1"/>
  <c r="D1150" i="9"/>
  <c r="C1150" i="9"/>
  <c r="L1150" i="9"/>
  <c r="M1150" i="9" s="1"/>
  <c r="E1150" i="9"/>
  <c r="L1154" i="9"/>
  <c r="M1154" i="9" s="1"/>
  <c r="E1154" i="9"/>
  <c r="D1154" i="9"/>
  <c r="C1154" i="9"/>
  <c r="E1158" i="9"/>
  <c r="D1158" i="9"/>
  <c r="C1158" i="9"/>
  <c r="L1158" i="9"/>
  <c r="M1158" i="9" s="1"/>
  <c r="D1162" i="9"/>
  <c r="C1162" i="9"/>
  <c r="L1162" i="9"/>
  <c r="M1162" i="9" s="1"/>
  <c r="E1162" i="9"/>
  <c r="L1166" i="9"/>
  <c r="M1166" i="9" s="1"/>
  <c r="E1166" i="9"/>
  <c r="D1166" i="9"/>
  <c r="C1166" i="9"/>
  <c r="E1170" i="9"/>
  <c r="D1170" i="9"/>
  <c r="C1170" i="9"/>
  <c r="L1170" i="9"/>
  <c r="M1170" i="9" s="1"/>
  <c r="D1174" i="9"/>
  <c r="C1174" i="9"/>
  <c r="L1174" i="9"/>
  <c r="M1174" i="9" s="1"/>
  <c r="E1174" i="9"/>
  <c r="L1178" i="9"/>
  <c r="M1178" i="9" s="1"/>
  <c r="E1178" i="9"/>
  <c r="C1178" i="9"/>
  <c r="D1178" i="9"/>
  <c r="E1182" i="9"/>
  <c r="D1182" i="9"/>
  <c r="C1182" i="9"/>
  <c r="L1182" i="9"/>
  <c r="M1182" i="9" s="1"/>
  <c r="D1186" i="9"/>
  <c r="C1186" i="9"/>
  <c r="L1186" i="9"/>
  <c r="M1186" i="9" s="1"/>
  <c r="E1186" i="9"/>
  <c r="L1190" i="9"/>
  <c r="M1190" i="9" s="1"/>
  <c r="E1190" i="9"/>
  <c r="D1190" i="9"/>
  <c r="C1190" i="9"/>
  <c r="E1194" i="9"/>
  <c r="D1194" i="9"/>
  <c r="C1194" i="9"/>
  <c r="L1194" i="9"/>
  <c r="M1194" i="9" s="1"/>
  <c r="D1198" i="9"/>
  <c r="C1198" i="9"/>
  <c r="L1198" i="9"/>
  <c r="M1198" i="9" s="1"/>
  <c r="E1198" i="9"/>
  <c r="L1202" i="9"/>
  <c r="M1202" i="9" s="1"/>
  <c r="E1202" i="9"/>
  <c r="D1202" i="9"/>
  <c r="C1202" i="9"/>
  <c r="E1206" i="9"/>
  <c r="D1206" i="9"/>
  <c r="C1206" i="9"/>
  <c r="L1206" i="9"/>
  <c r="M1206" i="9" s="1"/>
  <c r="D1210" i="9"/>
  <c r="C1210" i="9"/>
  <c r="L1210" i="9"/>
  <c r="M1210" i="9" s="1"/>
  <c r="E1210" i="9"/>
  <c r="L1214" i="9"/>
  <c r="M1214" i="9" s="1"/>
  <c r="E1214" i="9"/>
  <c r="D1214" i="9"/>
  <c r="C1214" i="9"/>
  <c r="E1218" i="9"/>
  <c r="D1218" i="9"/>
  <c r="C1218" i="9"/>
  <c r="L1218" i="9"/>
  <c r="M1218" i="9" s="1"/>
  <c r="D1222" i="9"/>
  <c r="C1222" i="9"/>
  <c r="L1222" i="9"/>
  <c r="M1222" i="9" s="1"/>
  <c r="E1222" i="9"/>
  <c r="L1226" i="9"/>
  <c r="M1226" i="9" s="1"/>
  <c r="E1226" i="9"/>
  <c r="C1226" i="9"/>
  <c r="D1226" i="9"/>
  <c r="E1230" i="9"/>
  <c r="D1230" i="9"/>
  <c r="C1230" i="9"/>
  <c r="L1230" i="9"/>
  <c r="M1230" i="9" s="1"/>
  <c r="D1234" i="9"/>
  <c r="C1234" i="9"/>
  <c r="L1234" i="9"/>
  <c r="M1234" i="9" s="1"/>
  <c r="E1234" i="9"/>
  <c r="L1238" i="9"/>
  <c r="M1238" i="9" s="1"/>
  <c r="E1238" i="9"/>
  <c r="D1238" i="9"/>
  <c r="C1238" i="9"/>
  <c r="E1242" i="9"/>
  <c r="D1242" i="9"/>
  <c r="C1242" i="9"/>
  <c r="L1242" i="9"/>
  <c r="M1242" i="9" s="1"/>
  <c r="D1246" i="9"/>
  <c r="C1246" i="9"/>
  <c r="L1246" i="9"/>
  <c r="M1246" i="9" s="1"/>
  <c r="E1246" i="9"/>
  <c r="L1250" i="9"/>
  <c r="M1250" i="9" s="1"/>
  <c r="E1250" i="9"/>
  <c r="D1250" i="9"/>
  <c r="C1250" i="9"/>
  <c r="E1254" i="9"/>
  <c r="D1254" i="9"/>
  <c r="C1254" i="9"/>
  <c r="L1254" i="9"/>
  <c r="M1254" i="9" s="1"/>
  <c r="D1258" i="9"/>
  <c r="C1258" i="9"/>
  <c r="L1258" i="9"/>
  <c r="M1258" i="9" s="1"/>
  <c r="E1258" i="9"/>
  <c r="E1262" i="9"/>
  <c r="D1262" i="9"/>
  <c r="E1266" i="9"/>
  <c r="D1266" i="9"/>
  <c r="D1270" i="9"/>
  <c r="C1270" i="9"/>
  <c r="L1270" i="9"/>
  <c r="M1270" i="9" s="1"/>
  <c r="E1270" i="9"/>
  <c r="E1274" i="9"/>
  <c r="D1274" i="9"/>
  <c r="E1278" i="9"/>
  <c r="D1278" i="9"/>
  <c r="C1278" i="9"/>
  <c r="L1278" i="9"/>
  <c r="M1278" i="9" s="1"/>
  <c r="D1282" i="9"/>
  <c r="E1282" i="9"/>
  <c r="E1286" i="9"/>
  <c r="D1286" i="9"/>
  <c r="E1290" i="9"/>
  <c r="D1290" i="9"/>
  <c r="C1290" i="9"/>
  <c r="L1290" i="9"/>
  <c r="M1290" i="9" s="1"/>
  <c r="D1294" i="9"/>
  <c r="E1294" i="9"/>
  <c r="L1298" i="9"/>
  <c r="M1298" i="9" s="1"/>
  <c r="E1298" i="9"/>
  <c r="D1298" i="9"/>
  <c r="C1298" i="9"/>
  <c r="E1302" i="9"/>
  <c r="D1302" i="9"/>
  <c r="D1306" i="9"/>
  <c r="E1306" i="9"/>
  <c r="L1310" i="9"/>
  <c r="M1310" i="9" s="1"/>
  <c r="E1310" i="9"/>
  <c r="D1310" i="9"/>
  <c r="C1310" i="9"/>
  <c r="E1314" i="9"/>
  <c r="D1314" i="9"/>
  <c r="D1318" i="9"/>
  <c r="C1318" i="9"/>
  <c r="L1318" i="9"/>
  <c r="M1318" i="9" s="1"/>
  <c r="E1318" i="9"/>
  <c r="E1322" i="9"/>
  <c r="D1322" i="9"/>
  <c r="E1326" i="9"/>
  <c r="D1326" i="9"/>
  <c r="D1330" i="9"/>
  <c r="C1330" i="9"/>
  <c r="L1330" i="9"/>
  <c r="M1330" i="9" s="1"/>
  <c r="E1330" i="9"/>
  <c r="L1334" i="9"/>
  <c r="M1334" i="9" s="1"/>
  <c r="E1334" i="9"/>
  <c r="D1334" i="9"/>
  <c r="C1334" i="9"/>
  <c r="E1338" i="9"/>
  <c r="D1338" i="9"/>
  <c r="C1338" i="9"/>
  <c r="L1338" i="9"/>
  <c r="M1338" i="9" s="1"/>
  <c r="D1342" i="9"/>
  <c r="C1342" i="9"/>
  <c r="L1342" i="9"/>
  <c r="M1342" i="9" s="1"/>
  <c r="E1342" i="9"/>
  <c r="L1346" i="9"/>
  <c r="M1346" i="9" s="1"/>
  <c r="D1346" i="9"/>
  <c r="C1346" i="9"/>
  <c r="E1346" i="9"/>
  <c r="E1350" i="9"/>
  <c r="D1350" i="9"/>
  <c r="C1350" i="9"/>
  <c r="L1350" i="9"/>
  <c r="M1350" i="9" s="1"/>
  <c r="D1354" i="9"/>
  <c r="C1354" i="9"/>
  <c r="L1354" i="9"/>
  <c r="M1354" i="9" s="1"/>
  <c r="E1354" i="9"/>
  <c r="L1358" i="9"/>
  <c r="M1358" i="9" s="1"/>
  <c r="D1358" i="9"/>
  <c r="C1358" i="9"/>
  <c r="E1358" i="9"/>
  <c r="E1362" i="9"/>
  <c r="D1362" i="9"/>
  <c r="C1362" i="9"/>
  <c r="L1362" i="9"/>
  <c r="M1362" i="9" s="1"/>
  <c r="D1366" i="9"/>
  <c r="C1366" i="9"/>
  <c r="L1366" i="9"/>
  <c r="M1366" i="9" s="1"/>
  <c r="E1366" i="9"/>
  <c r="L1370" i="9"/>
  <c r="M1370" i="9" s="1"/>
  <c r="D1370" i="9"/>
  <c r="C1370" i="9"/>
  <c r="E1370" i="9"/>
  <c r="E1374" i="9"/>
  <c r="D1374" i="9"/>
  <c r="C1374" i="9"/>
  <c r="L1374" i="9"/>
  <c r="M1374" i="9" s="1"/>
  <c r="D1378" i="9"/>
  <c r="C1378" i="9"/>
  <c r="L1378" i="9"/>
  <c r="M1378" i="9" s="1"/>
  <c r="E1378" i="9"/>
  <c r="L1382" i="9"/>
  <c r="M1382" i="9" s="1"/>
  <c r="D1382" i="9"/>
  <c r="C1382" i="9"/>
  <c r="E1382" i="9"/>
  <c r="E1386" i="9"/>
  <c r="D1386" i="9"/>
  <c r="C1386" i="9"/>
  <c r="L1386" i="9"/>
  <c r="M1386" i="9" s="1"/>
  <c r="D1390" i="9"/>
  <c r="C1390" i="9"/>
  <c r="L1390" i="9"/>
  <c r="M1390" i="9" s="1"/>
  <c r="E1390" i="9"/>
  <c r="L1394" i="9"/>
  <c r="M1394" i="9" s="1"/>
  <c r="D1394" i="9"/>
  <c r="C1394" i="9"/>
  <c r="E1394" i="9"/>
  <c r="E1398" i="9"/>
  <c r="D1398" i="9"/>
  <c r="C1398" i="9"/>
  <c r="L1398" i="9"/>
  <c r="M1398" i="9" s="1"/>
  <c r="D1402" i="9"/>
  <c r="C1402" i="9"/>
  <c r="L1402" i="9"/>
  <c r="M1402" i="9" s="1"/>
  <c r="E1402" i="9"/>
  <c r="L1406" i="9"/>
  <c r="M1406" i="9" s="1"/>
  <c r="D1406" i="9"/>
  <c r="C1406" i="9"/>
  <c r="E1406" i="9"/>
  <c r="E1410" i="9"/>
  <c r="D1410" i="9"/>
  <c r="C1410" i="9"/>
  <c r="L1410" i="9"/>
  <c r="M1410" i="9" s="1"/>
  <c r="D1414" i="9"/>
  <c r="C1414" i="9"/>
  <c r="L1414" i="9"/>
  <c r="M1414" i="9" s="1"/>
  <c r="E1414" i="9"/>
  <c r="L1418" i="9"/>
  <c r="M1418" i="9" s="1"/>
  <c r="D1418" i="9"/>
  <c r="C1418" i="9"/>
  <c r="E1418" i="9"/>
  <c r="E1422" i="9"/>
  <c r="D1422" i="9"/>
  <c r="C1422" i="9"/>
  <c r="L1422" i="9"/>
  <c r="M1422" i="9" s="1"/>
  <c r="D1426" i="9"/>
  <c r="C1426" i="9"/>
  <c r="L1426" i="9"/>
  <c r="M1426" i="9" s="1"/>
  <c r="E1426" i="9"/>
  <c r="L1430" i="9"/>
  <c r="M1430" i="9" s="1"/>
  <c r="D1430" i="9"/>
  <c r="C1430" i="9"/>
  <c r="E1430" i="9"/>
  <c r="E1434" i="9"/>
  <c r="D1434" i="9"/>
  <c r="C1434" i="9"/>
  <c r="L1434" i="9"/>
  <c r="M1434" i="9" s="1"/>
  <c r="D1438" i="9"/>
  <c r="C1438" i="9"/>
  <c r="L1438" i="9"/>
  <c r="M1438" i="9" s="1"/>
  <c r="E1438" i="9"/>
  <c r="L1442" i="9"/>
  <c r="M1442" i="9" s="1"/>
  <c r="D1442" i="9"/>
  <c r="C1442" i="9"/>
  <c r="E1442" i="9"/>
  <c r="E1446" i="9"/>
  <c r="D1446" i="9"/>
  <c r="C1446" i="9"/>
  <c r="L1446" i="9"/>
  <c r="M1446" i="9" s="1"/>
  <c r="D1450" i="9"/>
  <c r="C1450" i="9"/>
  <c r="L1450" i="9"/>
  <c r="M1450" i="9" s="1"/>
  <c r="E1450" i="9"/>
  <c r="L1454" i="9"/>
  <c r="M1454" i="9" s="1"/>
  <c r="D1454" i="9"/>
  <c r="C1454" i="9"/>
  <c r="E1454" i="9"/>
  <c r="E1458" i="9"/>
  <c r="D1458" i="9"/>
  <c r="C1458" i="9"/>
  <c r="L1458" i="9"/>
  <c r="M1458" i="9" s="1"/>
  <c r="D1462" i="9"/>
  <c r="C1462" i="9"/>
  <c r="L1462" i="9"/>
  <c r="M1462" i="9" s="1"/>
  <c r="E1462" i="9"/>
  <c r="L1466" i="9"/>
  <c r="M1466" i="9" s="1"/>
  <c r="D1466" i="9"/>
  <c r="C1466" i="9"/>
  <c r="E1466" i="9"/>
  <c r="E1470" i="9"/>
  <c r="D1470" i="9"/>
  <c r="C1470" i="9"/>
  <c r="L1470" i="9"/>
  <c r="M1470" i="9" s="1"/>
  <c r="D1474" i="9"/>
  <c r="E1474" i="9"/>
  <c r="L1478" i="9"/>
  <c r="M1478" i="9" s="1"/>
  <c r="D1478" i="9"/>
  <c r="C1478" i="9"/>
  <c r="E1478" i="9"/>
  <c r="E1482" i="9"/>
  <c r="D1482" i="9"/>
  <c r="D1486" i="9"/>
  <c r="E1486" i="9"/>
  <c r="L1490" i="9"/>
  <c r="M1490" i="9" s="1"/>
  <c r="D1490" i="9"/>
  <c r="C1490" i="9"/>
  <c r="E1490" i="9"/>
  <c r="E1494" i="9"/>
  <c r="D1494" i="9"/>
  <c r="D1498" i="9"/>
  <c r="C1498" i="9"/>
  <c r="L1498" i="9"/>
  <c r="M1498" i="9" s="1"/>
  <c r="E1498" i="9"/>
  <c r="D1502" i="9"/>
  <c r="E1502" i="9"/>
  <c r="E1506" i="9"/>
  <c r="D1506" i="9"/>
  <c r="D1510" i="9"/>
  <c r="C1510" i="9"/>
  <c r="L1510" i="9"/>
  <c r="M1510" i="9" s="1"/>
  <c r="E1510" i="9"/>
  <c r="D1514" i="9"/>
  <c r="E1514" i="9"/>
  <c r="E1518" i="9"/>
  <c r="D1518" i="9"/>
  <c r="C1518" i="9"/>
  <c r="L1518" i="9"/>
  <c r="M1518" i="9" s="1"/>
  <c r="D1522" i="9"/>
  <c r="E1522" i="9"/>
  <c r="D1526" i="9"/>
  <c r="E1526" i="9"/>
  <c r="E1530" i="9"/>
  <c r="D1530" i="9"/>
  <c r="C1530" i="9"/>
  <c r="L1530" i="9"/>
  <c r="M1530" i="9" s="1"/>
  <c r="E1543" i="9"/>
  <c r="D1543" i="9"/>
  <c r="C1543" i="9"/>
  <c r="L1543" i="9"/>
  <c r="M1543" i="9" s="1"/>
  <c r="E1556" i="9"/>
  <c r="D1556" i="9"/>
  <c r="C1556" i="9"/>
  <c r="L1556" i="9"/>
  <c r="M1556" i="9" s="1"/>
  <c r="E1565" i="9"/>
  <c r="D1565" i="9"/>
  <c r="L1565" i="9"/>
  <c r="M1565" i="9" s="1"/>
  <c r="C1565" i="9"/>
  <c r="E1578" i="9"/>
  <c r="D1578" i="9"/>
  <c r="C1578" i="9"/>
  <c r="L1578" i="9"/>
  <c r="M1578" i="9" s="1"/>
  <c r="E1591" i="9"/>
  <c r="D1591" i="9"/>
  <c r="C1591" i="9"/>
  <c r="L1591" i="9"/>
  <c r="M1591" i="9" s="1"/>
  <c r="E1604" i="9"/>
  <c r="D1604" i="9"/>
  <c r="C1604" i="9"/>
  <c r="L1604" i="9"/>
  <c r="M1604" i="9" s="1"/>
  <c r="E1613" i="9"/>
  <c r="D1613" i="9"/>
  <c r="L1613" i="9"/>
  <c r="M1613" i="9" s="1"/>
  <c r="C1613" i="9"/>
  <c r="E1626" i="9"/>
  <c r="D1626" i="9"/>
  <c r="C1626" i="9"/>
  <c r="L1626" i="9"/>
  <c r="M1626" i="9" s="1"/>
  <c r="E1639" i="9"/>
  <c r="D1639" i="9"/>
  <c r="C1639" i="9"/>
  <c r="L1639" i="9"/>
  <c r="M1639" i="9" s="1"/>
  <c r="E1652" i="9"/>
  <c r="D1652" i="9"/>
  <c r="C1652" i="9"/>
  <c r="L1652" i="9"/>
  <c r="M1652" i="9" s="1"/>
  <c r="E1661" i="9"/>
  <c r="D1661" i="9"/>
  <c r="L1661" i="9"/>
  <c r="M1661" i="9" s="1"/>
  <c r="C1661" i="9"/>
  <c r="E1674" i="9"/>
  <c r="D1674" i="9"/>
  <c r="C1674" i="9"/>
  <c r="L1674" i="9"/>
  <c r="M1674" i="9" s="1"/>
  <c r="E1687" i="9"/>
  <c r="D1687" i="9"/>
  <c r="C1687" i="9"/>
  <c r="L1687" i="9"/>
  <c r="M1687" i="9" s="1"/>
  <c r="E1700" i="9"/>
  <c r="D1700" i="9"/>
  <c r="C1700" i="9"/>
  <c r="L1700" i="9"/>
  <c r="M1700" i="9" s="1"/>
  <c r="E1709" i="9"/>
  <c r="D1709" i="9"/>
  <c r="L1709" i="9"/>
  <c r="M1709" i="9" s="1"/>
  <c r="C1709" i="9"/>
  <c r="E1722" i="9"/>
  <c r="D1722" i="9"/>
  <c r="C1722" i="9"/>
  <c r="L1722" i="9"/>
  <c r="M1722" i="9" s="1"/>
  <c r="E1735" i="9"/>
  <c r="D1735" i="9"/>
  <c r="C1735" i="9"/>
  <c r="L1735" i="9"/>
  <c r="M1735" i="9" s="1"/>
  <c r="E1748" i="9"/>
  <c r="D1748" i="9"/>
  <c r="C1748" i="9"/>
  <c r="L1748" i="9"/>
  <c r="M1748" i="9" s="1"/>
  <c r="E1757" i="9"/>
  <c r="D1757" i="9"/>
  <c r="L1757" i="9"/>
  <c r="M1757" i="9" s="1"/>
  <c r="C1757" i="9"/>
  <c r="E1770" i="9"/>
  <c r="D1770" i="9"/>
  <c r="C1770" i="9"/>
  <c r="L1770" i="9"/>
  <c r="M1770" i="9" s="1"/>
  <c r="E1783" i="9"/>
  <c r="D1783" i="9"/>
  <c r="C1783" i="9"/>
  <c r="L1783" i="9"/>
  <c r="M1783" i="9" s="1"/>
  <c r="E1796" i="9"/>
  <c r="D1796" i="9"/>
  <c r="C1796" i="9"/>
  <c r="L1796" i="9"/>
  <c r="M1796" i="9" s="1"/>
  <c r="D1805" i="9"/>
  <c r="C1805" i="9"/>
  <c r="L1805" i="9"/>
  <c r="M1805" i="9" s="1"/>
  <c r="E1805" i="9"/>
  <c r="E1818" i="9"/>
  <c r="C1818" i="9"/>
  <c r="L1818" i="9"/>
  <c r="M1818" i="9" s="1"/>
  <c r="D1818" i="9"/>
  <c r="E1831" i="9"/>
  <c r="D1831" i="9"/>
  <c r="L1831" i="9"/>
  <c r="M1831" i="9" s="1"/>
  <c r="C1831" i="9"/>
  <c r="E1844" i="9"/>
  <c r="D1844" i="9"/>
  <c r="C1844" i="9"/>
  <c r="L1844" i="9"/>
  <c r="M1844" i="9" s="1"/>
  <c r="D1853" i="9"/>
  <c r="C1853" i="9"/>
  <c r="E1853" i="9"/>
  <c r="L1853" i="9"/>
  <c r="M1853" i="9" s="1"/>
  <c r="E1866" i="9"/>
  <c r="C1866" i="9"/>
  <c r="D1866" i="9"/>
  <c r="L1866" i="9"/>
  <c r="M1866" i="9" s="1"/>
  <c r="E1879" i="9"/>
  <c r="D1879" i="9"/>
  <c r="L1879" i="9"/>
  <c r="M1879" i="9" s="1"/>
  <c r="C1879" i="9"/>
  <c r="E1892" i="9"/>
  <c r="D1892" i="9"/>
  <c r="C1892" i="9"/>
  <c r="L1892" i="9"/>
  <c r="M1892" i="9" s="1"/>
  <c r="D1901" i="9"/>
  <c r="C1901" i="9"/>
  <c r="L1901" i="9"/>
  <c r="M1901" i="9" s="1"/>
  <c r="E1901" i="9"/>
  <c r="E1914" i="9"/>
  <c r="C1914" i="9"/>
  <c r="L1914" i="9"/>
  <c r="M1914" i="9" s="1"/>
  <c r="D1914" i="9"/>
  <c r="E1927" i="9"/>
  <c r="D1927" i="9"/>
  <c r="L1927" i="9"/>
  <c r="M1927" i="9" s="1"/>
  <c r="C1927" i="9"/>
  <c r="E1940" i="9"/>
  <c r="D1940" i="9"/>
  <c r="C1940" i="9"/>
  <c r="L1940" i="9"/>
  <c r="M1940" i="9" s="1"/>
  <c r="D1949" i="9"/>
  <c r="C1949" i="9"/>
  <c r="L1949" i="9"/>
  <c r="M1949" i="9" s="1"/>
  <c r="E1949" i="9"/>
  <c r="E1962" i="9"/>
  <c r="C1962" i="9"/>
  <c r="L1962" i="9"/>
  <c r="M1962" i="9" s="1"/>
  <c r="D1962" i="9"/>
  <c r="E1975" i="9"/>
  <c r="D1975" i="9"/>
  <c r="L1975" i="9"/>
  <c r="M1975" i="9" s="1"/>
  <c r="C1975" i="9"/>
  <c r="E1988" i="9"/>
  <c r="D1988" i="9"/>
  <c r="C1988" i="9"/>
  <c r="L1988" i="9"/>
  <c r="M1988" i="9" s="1"/>
  <c r="D1997" i="9"/>
  <c r="C1997" i="9"/>
  <c r="E1997" i="9"/>
  <c r="L1997" i="9"/>
  <c r="M1997" i="9" s="1"/>
  <c r="E2010" i="9"/>
  <c r="C2010" i="9"/>
  <c r="D2010" i="9"/>
  <c r="L2010" i="9"/>
  <c r="M2010" i="9" s="1"/>
  <c r="E2023" i="9"/>
  <c r="D2023" i="9"/>
  <c r="L2023" i="9"/>
  <c r="M2023" i="9" s="1"/>
  <c r="C2023" i="9"/>
  <c r="E2046" i="9"/>
  <c r="C2046" i="9"/>
  <c r="D2046" i="9"/>
  <c r="L2046" i="9"/>
  <c r="M2046" i="9" s="1"/>
  <c r="E2070" i="9"/>
  <c r="C2070" i="9"/>
  <c r="L2070" i="9"/>
  <c r="M2070" i="9" s="1"/>
  <c r="D2070" i="9"/>
  <c r="E2094" i="9"/>
  <c r="D2094" i="9"/>
  <c r="C2094" i="9"/>
  <c r="L2094" i="9"/>
  <c r="M2094" i="9" s="1"/>
  <c r="E2118" i="9"/>
  <c r="D2118" i="9"/>
  <c r="C2118" i="9"/>
  <c r="L2118" i="9"/>
  <c r="M2118" i="9" s="1"/>
  <c r="E2142" i="9"/>
  <c r="D2142" i="9"/>
  <c r="C2142" i="9"/>
  <c r="L2142" i="9"/>
  <c r="M2142" i="9" s="1"/>
  <c r="E2166" i="9"/>
  <c r="D2166" i="9"/>
  <c r="C2166" i="9"/>
  <c r="L2166" i="9"/>
  <c r="M2166" i="9" s="1"/>
  <c r="E2190" i="9"/>
  <c r="D2190" i="9"/>
  <c r="C2190" i="9"/>
  <c r="L2190" i="9"/>
  <c r="M2190" i="9" s="1"/>
  <c r="E2214" i="9"/>
  <c r="D2214" i="9"/>
  <c r="C2214" i="9"/>
  <c r="L2214" i="9"/>
  <c r="M2214" i="9" s="1"/>
  <c r="E2238" i="9"/>
  <c r="D2238" i="9"/>
  <c r="C2238" i="9"/>
  <c r="L2238" i="9"/>
  <c r="M2238" i="9" s="1"/>
  <c r="E2262" i="9"/>
  <c r="D2262" i="9"/>
  <c r="C2262" i="9"/>
  <c r="L2262" i="9"/>
  <c r="M2262" i="9" s="1"/>
  <c r="E2286" i="9"/>
  <c r="D2286" i="9"/>
  <c r="C2286" i="9"/>
  <c r="L2286" i="9"/>
  <c r="M2286" i="9" s="1"/>
  <c r="E2310" i="9"/>
  <c r="D2310" i="9"/>
  <c r="C2310" i="9"/>
  <c r="L2310" i="9"/>
  <c r="M2310" i="9" s="1"/>
  <c r="E2334" i="9"/>
  <c r="D2334" i="9"/>
  <c r="E2358" i="9"/>
  <c r="D2358" i="9"/>
  <c r="E2382" i="9"/>
  <c r="D2382" i="9"/>
  <c r="E2406" i="9"/>
  <c r="D2406" i="9"/>
  <c r="C2406" i="9"/>
  <c r="L2406" i="9"/>
  <c r="M2406" i="9" s="1"/>
  <c r="E2430" i="9"/>
  <c r="D2430" i="9"/>
  <c r="C2430" i="9"/>
  <c r="L2430" i="9"/>
  <c r="M2430" i="9" s="1"/>
  <c r="E2454" i="9"/>
  <c r="D2454" i="9"/>
  <c r="C2454" i="9"/>
  <c r="L2454" i="9"/>
  <c r="M2454" i="9" s="1"/>
  <c r="E2478" i="9"/>
  <c r="D2478" i="9"/>
  <c r="C2478" i="9"/>
  <c r="L2478" i="9"/>
  <c r="M2478" i="9" s="1"/>
  <c r="E2502" i="9"/>
  <c r="D2502" i="9"/>
  <c r="C2502" i="9"/>
  <c r="L2502" i="9"/>
  <c r="M2502" i="9" s="1"/>
  <c r="E2526" i="9"/>
  <c r="D2526" i="9"/>
  <c r="L2550" i="9"/>
  <c r="M2550" i="9" s="1"/>
  <c r="E2550" i="9"/>
  <c r="D2550" i="9"/>
  <c r="C2550" i="9"/>
  <c r="E2574" i="9"/>
  <c r="D2574" i="9"/>
  <c r="L2598" i="9"/>
  <c r="M2598" i="9" s="1"/>
  <c r="E2598" i="9"/>
  <c r="D2598" i="9"/>
  <c r="C2598" i="9"/>
  <c r="L2622" i="9"/>
  <c r="M2622" i="9" s="1"/>
  <c r="E2622" i="9"/>
  <c r="D2622" i="9"/>
  <c r="C2622" i="9"/>
  <c r="L2646" i="9"/>
  <c r="M2646" i="9" s="1"/>
  <c r="E2646" i="9"/>
  <c r="D2646" i="9"/>
  <c r="C2646" i="9"/>
  <c r="L2670" i="9"/>
  <c r="M2670" i="9" s="1"/>
  <c r="E2670" i="9"/>
  <c r="D2670" i="9"/>
  <c r="C2670" i="9"/>
  <c r="L2694" i="9"/>
  <c r="M2694" i="9" s="1"/>
  <c r="E2694" i="9"/>
  <c r="D2694" i="9"/>
  <c r="C2694" i="9"/>
  <c r="E2718" i="9"/>
  <c r="D2718" i="9"/>
  <c r="E2742" i="9"/>
  <c r="D2742" i="9"/>
  <c r="E2766" i="9"/>
  <c r="D2766" i="9"/>
  <c r="E2790" i="9"/>
  <c r="D2790" i="9"/>
  <c r="L2790" i="9"/>
  <c r="M2790" i="9" s="1"/>
  <c r="C2790" i="9"/>
  <c r="E2814" i="9"/>
  <c r="D2814" i="9"/>
  <c r="C2814" i="9"/>
  <c r="L2814" i="9"/>
  <c r="M2814" i="9" s="1"/>
  <c r="E2838" i="9"/>
  <c r="D2838" i="9"/>
  <c r="L2838" i="9"/>
  <c r="M2838" i="9" s="1"/>
  <c r="C2838" i="9"/>
  <c r="E2862" i="9"/>
  <c r="D2862" i="9"/>
  <c r="L2862" i="9"/>
  <c r="M2862" i="9" s="1"/>
  <c r="C2862" i="9"/>
  <c r="E2886" i="9"/>
  <c r="D2886" i="9"/>
  <c r="C2886" i="9"/>
  <c r="L2886" i="9"/>
  <c r="M2886" i="9" s="1"/>
  <c r="E2910" i="9"/>
  <c r="D2910" i="9"/>
  <c r="L2910" i="9"/>
  <c r="M2910" i="9" s="1"/>
  <c r="C2910" i="9"/>
  <c r="E2934" i="9"/>
  <c r="D2934" i="9"/>
  <c r="E2958" i="9"/>
  <c r="D2958" i="9"/>
  <c r="E2982" i="9"/>
  <c r="D2982" i="9"/>
  <c r="E3006" i="9"/>
  <c r="D3006" i="9"/>
  <c r="L3006" i="9"/>
  <c r="M3006" i="9" s="1"/>
  <c r="C3006" i="9"/>
  <c r="E3030" i="9"/>
  <c r="D3030" i="9"/>
  <c r="C3030" i="9"/>
  <c r="L3030" i="9"/>
  <c r="M3030" i="9" s="1"/>
  <c r="E3054" i="9"/>
  <c r="D3054" i="9"/>
  <c r="C3054" i="9"/>
  <c r="L3054" i="9"/>
  <c r="M3054" i="9" s="1"/>
  <c r="E3078" i="9"/>
  <c r="D3078" i="9"/>
  <c r="C3078" i="9"/>
  <c r="L3078" i="9"/>
  <c r="M3078" i="9" s="1"/>
  <c r="E3102" i="9"/>
  <c r="D3102" i="9"/>
  <c r="C3102" i="9"/>
  <c r="L3102" i="9"/>
  <c r="M3102" i="9" s="1"/>
  <c r="E3126" i="9"/>
  <c r="D3126" i="9"/>
  <c r="E3150" i="9"/>
  <c r="D3150" i="9"/>
  <c r="C3150" i="9"/>
  <c r="L3150" i="9"/>
  <c r="M3150" i="9" s="1"/>
  <c r="E3174" i="9"/>
  <c r="D3174" i="9"/>
  <c r="E3198" i="9"/>
  <c r="D3198" i="9"/>
  <c r="C3198" i="9"/>
  <c r="L3198" i="9"/>
  <c r="M3198" i="9" s="1"/>
  <c r="E3222" i="9"/>
  <c r="D3222" i="9"/>
  <c r="C3222" i="9"/>
  <c r="L3222" i="9"/>
  <c r="M3222" i="9" s="1"/>
  <c r="E3246" i="9"/>
  <c r="D3246" i="9"/>
  <c r="C3246" i="9"/>
  <c r="L3246" i="9"/>
  <c r="M3246" i="9" s="1"/>
  <c r="E3270" i="9"/>
  <c r="D3270" i="9"/>
  <c r="C3270" i="9"/>
  <c r="L3270" i="9"/>
  <c r="M3270" i="9" s="1"/>
  <c r="E3294" i="9"/>
  <c r="D3294" i="9"/>
  <c r="C3294" i="9"/>
  <c r="L3294" i="9"/>
  <c r="M3294" i="9" s="1"/>
  <c r="E3318" i="9"/>
  <c r="D3318" i="9"/>
  <c r="E3342" i="9"/>
  <c r="D3342" i="9"/>
  <c r="E3366" i="9"/>
  <c r="D3366" i="9"/>
  <c r="L3390" i="9"/>
  <c r="M3390" i="9" s="1"/>
  <c r="E3390" i="9"/>
  <c r="D3390" i="9"/>
  <c r="C3390" i="9"/>
  <c r="L3414" i="9"/>
  <c r="M3414" i="9" s="1"/>
  <c r="E3414" i="9"/>
  <c r="D3414" i="9"/>
  <c r="C3414" i="9"/>
  <c r="L3438" i="9"/>
  <c r="M3438" i="9" s="1"/>
  <c r="E3438" i="9"/>
  <c r="D3438" i="9"/>
  <c r="C3438" i="9"/>
  <c r="L3462" i="9"/>
  <c r="M3462" i="9" s="1"/>
  <c r="E3462" i="9"/>
  <c r="D3462" i="9"/>
  <c r="C3462" i="9"/>
  <c r="L3486" i="9"/>
  <c r="M3486" i="9" s="1"/>
  <c r="E3486" i="9"/>
  <c r="D3486" i="9"/>
  <c r="C3486" i="9"/>
  <c r="L3510" i="9"/>
  <c r="M3510" i="9" s="1"/>
  <c r="E3510" i="9"/>
  <c r="D3510" i="9"/>
  <c r="C3510" i="9"/>
  <c r="E3534" i="9"/>
  <c r="D3534" i="9"/>
  <c r="L3558" i="9"/>
  <c r="M3558" i="9" s="1"/>
  <c r="E3558" i="9"/>
  <c r="D3558" i="9"/>
  <c r="C3558" i="9"/>
  <c r="L3582" i="9"/>
  <c r="M3582" i="9" s="1"/>
  <c r="E3582" i="9"/>
  <c r="D3582" i="9"/>
  <c r="C3582" i="9"/>
  <c r="L3606" i="9"/>
  <c r="M3606" i="9" s="1"/>
  <c r="E3606" i="9"/>
  <c r="D3606" i="9"/>
  <c r="C3606" i="9"/>
  <c r="D3630" i="9"/>
  <c r="L3630" i="9"/>
  <c r="M3630" i="9" s="1"/>
  <c r="E3630" i="9"/>
  <c r="C3630" i="9"/>
  <c r="E3654" i="9"/>
  <c r="D3654" i="9"/>
  <c r="C3654" i="9"/>
  <c r="L3654" i="9"/>
  <c r="M3654" i="9" s="1"/>
  <c r="E3678" i="9"/>
  <c r="D3678" i="9"/>
  <c r="C3678" i="9"/>
  <c r="L3678" i="9"/>
  <c r="M3678" i="9" s="1"/>
  <c r="E3702" i="9"/>
  <c r="D3702" i="9"/>
  <c r="C3702" i="9"/>
  <c r="L3702" i="9"/>
  <c r="M3702" i="9" s="1"/>
  <c r="E3726" i="9"/>
  <c r="D3726" i="9"/>
  <c r="L3731" i="9"/>
  <c r="M3731" i="9" s="1"/>
  <c r="E3731" i="9"/>
  <c r="D3731" i="9"/>
  <c r="C3731" i="9"/>
  <c r="E3758" i="9"/>
  <c r="D3758" i="9"/>
  <c r="C3758" i="9"/>
  <c r="L3758" i="9"/>
  <c r="M3758" i="9" s="1"/>
  <c r="L3802" i="9"/>
  <c r="M3802" i="9" s="1"/>
  <c r="E3802" i="9"/>
  <c r="C3802" i="9"/>
  <c r="D3802" i="9"/>
  <c r="E3822" i="9"/>
  <c r="D3822" i="9"/>
  <c r="C3822" i="9"/>
  <c r="L3822" i="9"/>
  <c r="M3822" i="9" s="1"/>
  <c r="L3827" i="9"/>
  <c r="M3827" i="9" s="1"/>
  <c r="E3827" i="9"/>
  <c r="D3827" i="9"/>
  <c r="C3827" i="9"/>
  <c r="E3832" i="9"/>
  <c r="D3832" i="9"/>
  <c r="C3832" i="9"/>
  <c r="L3832" i="9"/>
  <c r="M3832" i="9" s="1"/>
  <c r="E3842" i="9"/>
  <c r="D3842" i="9"/>
  <c r="C3842" i="9"/>
  <c r="L3842" i="9"/>
  <c r="M3842" i="9" s="1"/>
  <c r="D3847" i="9"/>
  <c r="C3847" i="9"/>
  <c r="L3847" i="9"/>
  <c r="M3847" i="9" s="1"/>
  <c r="E3847" i="9"/>
  <c r="E3857" i="9"/>
  <c r="D3857" i="9"/>
  <c r="C3857" i="9"/>
  <c r="L3857" i="9"/>
  <c r="M3857" i="9" s="1"/>
  <c r="L3862" i="9"/>
  <c r="M3862" i="9" s="1"/>
  <c r="E3862" i="9"/>
  <c r="C3862" i="9"/>
  <c r="D3862" i="9"/>
  <c r="E3867" i="9"/>
  <c r="D3867" i="9"/>
  <c r="C3867" i="9"/>
  <c r="L3867" i="9"/>
  <c r="M3867" i="9" s="1"/>
  <c r="E3877" i="9"/>
  <c r="D3877" i="9"/>
  <c r="C3877" i="9"/>
  <c r="L3877" i="9"/>
  <c r="M3877" i="9" s="1"/>
  <c r="C3908" i="9"/>
  <c r="L3908" i="9"/>
  <c r="M3908" i="9" s="1"/>
  <c r="E3908" i="9"/>
  <c r="D3908" i="9"/>
  <c r="E3913" i="9"/>
  <c r="D3913" i="9"/>
  <c r="C3913" i="9"/>
  <c r="L3913" i="9"/>
  <c r="M3913" i="9" s="1"/>
  <c r="L3929" i="9"/>
  <c r="M3929" i="9" s="1"/>
  <c r="E3929" i="9"/>
  <c r="C3929" i="9"/>
  <c r="D3929" i="9"/>
  <c r="E3934" i="9"/>
  <c r="D3934" i="9"/>
  <c r="C3934" i="9"/>
  <c r="L3934" i="9"/>
  <c r="M3934" i="9" s="1"/>
  <c r="E3950" i="9"/>
  <c r="D3950" i="9"/>
  <c r="C3950" i="9"/>
  <c r="L3950" i="9"/>
  <c r="M3950" i="9" s="1"/>
  <c r="L3955" i="9"/>
  <c r="M3955" i="9" s="1"/>
  <c r="E3955" i="9"/>
  <c r="D3955" i="9"/>
  <c r="C3955" i="9"/>
  <c r="E3997" i="9"/>
  <c r="D3997" i="9"/>
  <c r="C3997" i="9"/>
  <c r="L3997" i="9"/>
  <c r="M3997" i="9" s="1"/>
  <c r="L4039" i="9"/>
  <c r="M4039" i="9" s="1"/>
  <c r="E4039" i="9"/>
  <c r="D4039" i="9"/>
  <c r="C4039" i="9"/>
  <c r="E4044" i="9"/>
  <c r="D4044" i="9"/>
  <c r="C4044" i="9"/>
  <c r="L4044" i="9"/>
  <c r="M4044" i="9" s="1"/>
  <c r="E4076" i="9"/>
  <c r="D4076" i="9"/>
  <c r="C4076" i="9"/>
  <c r="L4076" i="9"/>
  <c r="M4076" i="9" s="1"/>
  <c r="L4087" i="9"/>
  <c r="M4087" i="9" s="1"/>
  <c r="E4087" i="9"/>
  <c r="D4087" i="9"/>
  <c r="C4087" i="9"/>
  <c r="E4164" i="9"/>
  <c r="D4164" i="9"/>
  <c r="C4164" i="9"/>
  <c r="L4164" i="9"/>
  <c r="M4164" i="9" s="1"/>
  <c r="E4198" i="9"/>
  <c r="D4198" i="9"/>
  <c r="C4198" i="9"/>
  <c r="L4198" i="9"/>
  <c r="M4198" i="9" s="1"/>
  <c r="E4204" i="9"/>
  <c r="D4204" i="9"/>
  <c r="C4204" i="9"/>
  <c r="L4204" i="9"/>
  <c r="M4204" i="9" s="1"/>
  <c r="E4262" i="9"/>
  <c r="D4262" i="9"/>
  <c r="C4262" i="9"/>
  <c r="L4262" i="9"/>
  <c r="M4262" i="9" s="1"/>
  <c r="L4268" i="9"/>
  <c r="M4268" i="9" s="1"/>
  <c r="E4268" i="9"/>
  <c r="C4268" i="9"/>
  <c r="D4268" i="9"/>
  <c r="C4326" i="9"/>
  <c r="L4326" i="9"/>
  <c r="M4326" i="9" s="1"/>
  <c r="E4326" i="9"/>
  <c r="D4326" i="9"/>
  <c r="E4332" i="9"/>
  <c r="D4332" i="9"/>
  <c r="C4332" i="9"/>
  <c r="L4332" i="9"/>
  <c r="M4332" i="9" s="1"/>
  <c r="E4390" i="9"/>
  <c r="D4390" i="9"/>
  <c r="C4390" i="9"/>
  <c r="L4390" i="9"/>
  <c r="M4390" i="9" s="1"/>
  <c r="E4396" i="9"/>
  <c r="D4396" i="9"/>
  <c r="C4396" i="9"/>
  <c r="L4396" i="9"/>
  <c r="M4396" i="9" s="1"/>
  <c r="E4454" i="9"/>
  <c r="L4454" i="9"/>
  <c r="M4454" i="9" s="1"/>
  <c r="D4454" i="9"/>
  <c r="C4454" i="9"/>
  <c r="D4460" i="9"/>
  <c r="C4460" i="9"/>
  <c r="L4460" i="9"/>
  <c r="M4460" i="9" s="1"/>
  <c r="E4460" i="9"/>
  <c r="E4518" i="9"/>
  <c r="D4518" i="9"/>
  <c r="D4524" i="9"/>
  <c r="E4524" i="9"/>
  <c r="D4582" i="9"/>
  <c r="E4582" i="9"/>
  <c r="E4588" i="9"/>
  <c r="D4588" i="9"/>
  <c r="E4646" i="9"/>
  <c r="L4646" i="9"/>
  <c r="M4646" i="9" s="1"/>
  <c r="D4646" i="9"/>
  <c r="C4646" i="9"/>
  <c r="D4652" i="9"/>
  <c r="C4652" i="9"/>
  <c r="L4652" i="9"/>
  <c r="M4652" i="9" s="1"/>
  <c r="E4652" i="9"/>
  <c r="E4710" i="9"/>
  <c r="D4710" i="9"/>
  <c r="C4710" i="9"/>
  <c r="L4710" i="9"/>
  <c r="M4710" i="9" s="1"/>
  <c r="E4716" i="9"/>
  <c r="C4716" i="9"/>
  <c r="L4716" i="9"/>
  <c r="M4716" i="9" s="1"/>
  <c r="D4716" i="9"/>
  <c r="E6" i="9"/>
  <c r="D6" i="9"/>
  <c r="E14" i="9"/>
  <c r="D14" i="9"/>
  <c r="E22" i="9"/>
  <c r="D22" i="9"/>
  <c r="E30" i="9"/>
  <c r="D30" i="9"/>
  <c r="C30" i="9"/>
  <c r="L30" i="9"/>
  <c r="M30" i="9" s="1"/>
  <c r="E38" i="9"/>
  <c r="D38" i="9"/>
  <c r="E46" i="9"/>
  <c r="D46" i="9"/>
  <c r="E54" i="9"/>
  <c r="D54" i="9"/>
  <c r="E62" i="9"/>
  <c r="D62" i="9"/>
  <c r="E70" i="9"/>
  <c r="D70" i="9"/>
  <c r="C70" i="9"/>
  <c r="L70" i="9"/>
  <c r="M70" i="9" s="1"/>
  <c r="E78" i="9"/>
  <c r="D78" i="9"/>
  <c r="E82" i="9"/>
  <c r="D82" i="9"/>
  <c r="E90" i="9"/>
  <c r="D90" i="9"/>
  <c r="C90" i="9"/>
  <c r="L90" i="9"/>
  <c r="M90" i="9" s="1"/>
  <c r="E102" i="9"/>
  <c r="D102" i="9"/>
  <c r="C102" i="9"/>
  <c r="L102" i="9"/>
  <c r="M102" i="9" s="1"/>
  <c r="L110" i="9"/>
  <c r="M110" i="9" s="1"/>
  <c r="E110" i="9"/>
  <c r="C110" i="9"/>
  <c r="D110" i="9"/>
  <c r="E118" i="9"/>
  <c r="D118" i="9"/>
  <c r="C118" i="9"/>
  <c r="L118" i="9"/>
  <c r="M118" i="9" s="1"/>
  <c r="E126" i="9"/>
  <c r="D126" i="9"/>
  <c r="C126" i="9"/>
  <c r="L126" i="9"/>
  <c r="M126" i="9" s="1"/>
  <c r="L134" i="9"/>
  <c r="M134" i="9" s="1"/>
  <c r="E134" i="9"/>
  <c r="C134" i="9"/>
  <c r="D134" i="9"/>
  <c r="E142" i="9"/>
  <c r="D142" i="9"/>
  <c r="C142" i="9"/>
  <c r="L142" i="9"/>
  <c r="M142" i="9" s="1"/>
  <c r="E150" i="9"/>
  <c r="D150" i="9"/>
  <c r="C150" i="9"/>
  <c r="L150" i="9"/>
  <c r="M150" i="9" s="1"/>
  <c r="L158" i="9"/>
  <c r="M158" i="9" s="1"/>
  <c r="E158" i="9"/>
  <c r="C158" i="9"/>
  <c r="D158" i="9"/>
  <c r="E166" i="9"/>
  <c r="D166" i="9"/>
  <c r="C166" i="9"/>
  <c r="L166" i="9"/>
  <c r="M166" i="9" s="1"/>
  <c r="E174" i="9"/>
  <c r="D174" i="9"/>
  <c r="C174" i="9"/>
  <c r="L174" i="9"/>
  <c r="M174" i="9" s="1"/>
  <c r="E186" i="9"/>
  <c r="D186" i="9"/>
  <c r="C186" i="9"/>
  <c r="L186" i="9"/>
  <c r="M186" i="9" s="1"/>
  <c r="L194" i="9"/>
  <c r="M194" i="9" s="1"/>
  <c r="E194" i="9"/>
  <c r="C194" i="9"/>
  <c r="D194" i="9"/>
  <c r="E202" i="9"/>
  <c r="D202" i="9"/>
  <c r="C202" i="9"/>
  <c r="L202" i="9"/>
  <c r="M202" i="9" s="1"/>
  <c r="E210" i="9"/>
  <c r="D210" i="9"/>
  <c r="C210" i="9"/>
  <c r="L210" i="9"/>
  <c r="M210" i="9" s="1"/>
  <c r="E218" i="9"/>
  <c r="D218" i="9"/>
  <c r="E226" i="9"/>
  <c r="D226" i="9"/>
  <c r="E234" i="9"/>
  <c r="D234" i="9"/>
  <c r="E242" i="9"/>
  <c r="D242" i="9"/>
  <c r="E246" i="9"/>
  <c r="D246" i="9"/>
  <c r="E258" i="9"/>
  <c r="D258" i="9"/>
  <c r="E266" i="9"/>
  <c r="D266" i="9"/>
  <c r="E270" i="9"/>
  <c r="D270" i="9"/>
  <c r="C270" i="9"/>
  <c r="L270" i="9"/>
  <c r="M270" i="9" s="1"/>
  <c r="E278" i="9"/>
  <c r="D278" i="9"/>
  <c r="E286" i="9"/>
  <c r="D286" i="9"/>
  <c r="E294" i="9"/>
  <c r="D294" i="9"/>
  <c r="L302" i="9"/>
  <c r="M302" i="9" s="1"/>
  <c r="E302" i="9"/>
  <c r="C302" i="9"/>
  <c r="D302" i="9"/>
  <c r="E342" i="9"/>
  <c r="D342" i="9"/>
  <c r="C342" i="9"/>
  <c r="L342" i="9"/>
  <c r="M342" i="9" s="1"/>
  <c r="C1539" i="9"/>
  <c r="L1539" i="9"/>
  <c r="M1539" i="9" s="1"/>
  <c r="E1539" i="9"/>
  <c r="D1539" i="9"/>
  <c r="L1552" i="9"/>
  <c r="M1552" i="9" s="1"/>
  <c r="E1552" i="9"/>
  <c r="D1552" i="9"/>
  <c r="C1552" i="9"/>
  <c r="C1561" i="9"/>
  <c r="L1561" i="9"/>
  <c r="M1561" i="9" s="1"/>
  <c r="E1561" i="9"/>
  <c r="D1561" i="9"/>
  <c r="L1574" i="9"/>
  <c r="M1574" i="9" s="1"/>
  <c r="D1574" i="9"/>
  <c r="C1574" i="9"/>
  <c r="E1574" i="9"/>
  <c r="L1587" i="9"/>
  <c r="M1587" i="9" s="1"/>
  <c r="C1587" i="9"/>
  <c r="E1587" i="9"/>
  <c r="D1587" i="9"/>
  <c r="L1600" i="9"/>
  <c r="M1600" i="9" s="1"/>
  <c r="E1600" i="9"/>
  <c r="D1600" i="9"/>
  <c r="C1600" i="9"/>
  <c r="C1609" i="9"/>
  <c r="L1609" i="9"/>
  <c r="M1609" i="9" s="1"/>
  <c r="E1609" i="9"/>
  <c r="D1609" i="9"/>
  <c r="L1622" i="9"/>
  <c r="M1622" i="9" s="1"/>
  <c r="D1622" i="9"/>
  <c r="C1622" i="9"/>
  <c r="E1622" i="9"/>
  <c r="L1635" i="9"/>
  <c r="M1635" i="9" s="1"/>
  <c r="C1635" i="9"/>
  <c r="E1635" i="9"/>
  <c r="D1635" i="9"/>
  <c r="L1648" i="9"/>
  <c r="M1648" i="9" s="1"/>
  <c r="E1648" i="9"/>
  <c r="D1648" i="9"/>
  <c r="C1648" i="9"/>
  <c r="C1657" i="9"/>
  <c r="L1657" i="9"/>
  <c r="M1657" i="9" s="1"/>
  <c r="E1657" i="9"/>
  <c r="D1657" i="9"/>
  <c r="L1670" i="9"/>
  <c r="M1670" i="9" s="1"/>
  <c r="D1670" i="9"/>
  <c r="C1670" i="9"/>
  <c r="E1670" i="9"/>
  <c r="L1683" i="9"/>
  <c r="M1683" i="9" s="1"/>
  <c r="C1683" i="9"/>
  <c r="E1683" i="9"/>
  <c r="D1683" i="9"/>
  <c r="L1696" i="9"/>
  <c r="M1696" i="9" s="1"/>
  <c r="E1696" i="9"/>
  <c r="D1696" i="9"/>
  <c r="C1696" i="9"/>
  <c r="C1705" i="9"/>
  <c r="L1705" i="9"/>
  <c r="M1705" i="9" s="1"/>
  <c r="E1705" i="9"/>
  <c r="D1705" i="9"/>
  <c r="L1718" i="9"/>
  <c r="M1718" i="9" s="1"/>
  <c r="D1718" i="9"/>
  <c r="C1718" i="9"/>
  <c r="E1718" i="9"/>
  <c r="L1731" i="9"/>
  <c r="M1731" i="9" s="1"/>
  <c r="C1731" i="9"/>
  <c r="E1731" i="9"/>
  <c r="D1731" i="9"/>
  <c r="L1744" i="9"/>
  <c r="M1744" i="9" s="1"/>
  <c r="E1744" i="9"/>
  <c r="D1744" i="9"/>
  <c r="C1744" i="9"/>
  <c r="C1753" i="9"/>
  <c r="L1753" i="9"/>
  <c r="M1753" i="9" s="1"/>
  <c r="E1753" i="9"/>
  <c r="D1753" i="9"/>
  <c r="L1766" i="9"/>
  <c r="M1766" i="9" s="1"/>
  <c r="D1766" i="9"/>
  <c r="C1766" i="9"/>
  <c r="E1766" i="9"/>
  <c r="L1779" i="9"/>
  <c r="M1779" i="9" s="1"/>
  <c r="C1779" i="9"/>
  <c r="E1779" i="9"/>
  <c r="D1779" i="9"/>
  <c r="E1792" i="9"/>
  <c r="D1792" i="9"/>
  <c r="C1792" i="9"/>
  <c r="L1792" i="9"/>
  <c r="M1792" i="9" s="1"/>
  <c r="L1801" i="9"/>
  <c r="M1801" i="9" s="1"/>
  <c r="E1801" i="9"/>
  <c r="D1801" i="9"/>
  <c r="C1801" i="9"/>
  <c r="E1814" i="9"/>
  <c r="L1814" i="9"/>
  <c r="M1814" i="9" s="1"/>
  <c r="D1814" i="9"/>
  <c r="C1814" i="9"/>
  <c r="E1827" i="9"/>
  <c r="D1827" i="9"/>
  <c r="L1827" i="9"/>
  <c r="M1827" i="9" s="1"/>
  <c r="C1827" i="9"/>
  <c r="E1840" i="9"/>
  <c r="D1840" i="9"/>
  <c r="C1840" i="9"/>
  <c r="L1840" i="9"/>
  <c r="M1840" i="9" s="1"/>
  <c r="L1849" i="9"/>
  <c r="M1849" i="9" s="1"/>
  <c r="E1849" i="9"/>
  <c r="D1849" i="9"/>
  <c r="C1849" i="9"/>
  <c r="E1862" i="9"/>
  <c r="L1862" i="9"/>
  <c r="M1862" i="9" s="1"/>
  <c r="D1862" i="9"/>
  <c r="C1862" i="9"/>
  <c r="E1875" i="9"/>
  <c r="D1875" i="9"/>
  <c r="L1875" i="9"/>
  <c r="M1875" i="9" s="1"/>
  <c r="C1875" i="9"/>
  <c r="E1888" i="9"/>
  <c r="D1888" i="9"/>
  <c r="C1888" i="9"/>
  <c r="L1888" i="9"/>
  <c r="M1888" i="9" s="1"/>
  <c r="L1897" i="9"/>
  <c r="M1897" i="9" s="1"/>
  <c r="D1897" i="9"/>
  <c r="C1897" i="9"/>
  <c r="E1897" i="9"/>
  <c r="E1910" i="9"/>
  <c r="L1910" i="9"/>
  <c r="M1910" i="9" s="1"/>
  <c r="D1910" i="9"/>
  <c r="C1910" i="9"/>
  <c r="E1923" i="9"/>
  <c r="D1923" i="9"/>
  <c r="L1923" i="9"/>
  <c r="M1923" i="9" s="1"/>
  <c r="C1923" i="9"/>
  <c r="E1936" i="9"/>
  <c r="D1936" i="9"/>
  <c r="C1936" i="9"/>
  <c r="L1936" i="9"/>
  <c r="M1936" i="9" s="1"/>
  <c r="L1945" i="9"/>
  <c r="M1945" i="9" s="1"/>
  <c r="E1945" i="9"/>
  <c r="D1945" i="9"/>
  <c r="C1945" i="9"/>
  <c r="E1958" i="9"/>
  <c r="L1958" i="9"/>
  <c r="M1958" i="9" s="1"/>
  <c r="C1958" i="9"/>
  <c r="D1958" i="9"/>
  <c r="E1971" i="9"/>
  <c r="D1971" i="9"/>
  <c r="L1971" i="9"/>
  <c r="M1971" i="9" s="1"/>
  <c r="C1971" i="9"/>
  <c r="E1984" i="9"/>
  <c r="D1984" i="9"/>
  <c r="C1984" i="9"/>
  <c r="L1984" i="9"/>
  <c r="M1984" i="9" s="1"/>
  <c r="L1993" i="9"/>
  <c r="M1993" i="9" s="1"/>
  <c r="E1993" i="9"/>
  <c r="D1993" i="9"/>
  <c r="C1993" i="9"/>
  <c r="E2006" i="9"/>
  <c r="L2006" i="9"/>
  <c r="M2006" i="9" s="1"/>
  <c r="D2006" i="9"/>
  <c r="C2006" i="9"/>
  <c r="E2019" i="9"/>
  <c r="D2019" i="9"/>
  <c r="L2019" i="9"/>
  <c r="M2019" i="9" s="1"/>
  <c r="C2019" i="9"/>
  <c r="E2032" i="9"/>
  <c r="D2032" i="9"/>
  <c r="C2032" i="9"/>
  <c r="L2032" i="9"/>
  <c r="M2032" i="9" s="1"/>
  <c r="D2037" i="9"/>
  <c r="C2037" i="9"/>
  <c r="L2037" i="9"/>
  <c r="M2037" i="9" s="1"/>
  <c r="E2037" i="9"/>
  <c r="L2051" i="9"/>
  <c r="M2051" i="9" s="1"/>
  <c r="D2051" i="9"/>
  <c r="C2051" i="9"/>
  <c r="E2051" i="9"/>
  <c r="E2056" i="9"/>
  <c r="D2056" i="9"/>
  <c r="C2056" i="9"/>
  <c r="L2056" i="9"/>
  <c r="M2056" i="9" s="1"/>
  <c r="D2061" i="9"/>
  <c r="C2061" i="9"/>
  <c r="L2061" i="9"/>
  <c r="M2061" i="9" s="1"/>
  <c r="E2061" i="9"/>
  <c r="L2075" i="9"/>
  <c r="M2075" i="9" s="1"/>
  <c r="D2075" i="9"/>
  <c r="C2075" i="9"/>
  <c r="E2075" i="9"/>
  <c r="E2080" i="9"/>
  <c r="D2080" i="9"/>
  <c r="C2080" i="9"/>
  <c r="L2080" i="9"/>
  <c r="M2080" i="9" s="1"/>
  <c r="D2085" i="9"/>
  <c r="C2085" i="9"/>
  <c r="L2085" i="9"/>
  <c r="M2085" i="9" s="1"/>
  <c r="E2085" i="9"/>
  <c r="L2099" i="9"/>
  <c r="M2099" i="9" s="1"/>
  <c r="D2099" i="9"/>
  <c r="C2099" i="9"/>
  <c r="E2099" i="9"/>
  <c r="E2104" i="9"/>
  <c r="D2104" i="9"/>
  <c r="C2104" i="9"/>
  <c r="L2104" i="9"/>
  <c r="M2104" i="9" s="1"/>
  <c r="D2109" i="9"/>
  <c r="C2109" i="9"/>
  <c r="L2109" i="9"/>
  <c r="M2109" i="9" s="1"/>
  <c r="E2109" i="9"/>
  <c r="L2123" i="9"/>
  <c r="M2123" i="9" s="1"/>
  <c r="D2123" i="9"/>
  <c r="C2123" i="9"/>
  <c r="E2123" i="9"/>
  <c r="E2128" i="9"/>
  <c r="D2128" i="9"/>
  <c r="C2128" i="9"/>
  <c r="L2128" i="9"/>
  <c r="M2128" i="9" s="1"/>
  <c r="D2133" i="9"/>
  <c r="C2133" i="9"/>
  <c r="L2133" i="9"/>
  <c r="M2133" i="9" s="1"/>
  <c r="E2133" i="9"/>
  <c r="L2147" i="9"/>
  <c r="M2147" i="9" s="1"/>
  <c r="D2147" i="9"/>
  <c r="C2147" i="9"/>
  <c r="E2147" i="9"/>
  <c r="E2152" i="9"/>
  <c r="D2152" i="9"/>
  <c r="C2152" i="9"/>
  <c r="L2152" i="9"/>
  <c r="M2152" i="9" s="1"/>
  <c r="D2157" i="9"/>
  <c r="C2157" i="9"/>
  <c r="L2157" i="9"/>
  <c r="M2157" i="9" s="1"/>
  <c r="E2157" i="9"/>
  <c r="L2171" i="9"/>
  <c r="M2171" i="9" s="1"/>
  <c r="D2171" i="9"/>
  <c r="C2171" i="9"/>
  <c r="E2171" i="9"/>
  <c r="E2176" i="9"/>
  <c r="D2176" i="9"/>
  <c r="C2176" i="9"/>
  <c r="L2176" i="9"/>
  <c r="M2176" i="9" s="1"/>
  <c r="D2181" i="9"/>
  <c r="C2181" i="9"/>
  <c r="L2181" i="9"/>
  <c r="M2181" i="9" s="1"/>
  <c r="E2181" i="9"/>
  <c r="L2195" i="9"/>
  <c r="M2195" i="9" s="1"/>
  <c r="D2195" i="9"/>
  <c r="C2195" i="9"/>
  <c r="E2195" i="9"/>
  <c r="E2200" i="9"/>
  <c r="D2200" i="9"/>
  <c r="C2200" i="9"/>
  <c r="L2200" i="9"/>
  <c r="M2200" i="9" s="1"/>
  <c r="D2205" i="9"/>
  <c r="C2205" i="9"/>
  <c r="L2205" i="9"/>
  <c r="M2205" i="9" s="1"/>
  <c r="E2205" i="9"/>
  <c r="L2219" i="9"/>
  <c r="M2219" i="9" s="1"/>
  <c r="D2219" i="9"/>
  <c r="C2219" i="9"/>
  <c r="E2219" i="9"/>
  <c r="E2224" i="9"/>
  <c r="D2224" i="9"/>
  <c r="C2224" i="9"/>
  <c r="L2224" i="9"/>
  <c r="M2224" i="9" s="1"/>
  <c r="D2229" i="9"/>
  <c r="C2229" i="9"/>
  <c r="L2229" i="9"/>
  <c r="M2229" i="9" s="1"/>
  <c r="E2229" i="9"/>
  <c r="L2243" i="9"/>
  <c r="M2243" i="9" s="1"/>
  <c r="D2243" i="9"/>
  <c r="C2243" i="9"/>
  <c r="E2243" i="9"/>
  <c r="E2248" i="9"/>
  <c r="D2248" i="9"/>
  <c r="C2248" i="9"/>
  <c r="L2248" i="9"/>
  <c r="M2248" i="9" s="1"/>
  <c r="D2253" i="9"/>
  <c r="C2253" i="9"/>
  <c r="L2253" i="9"/>
  <c r="M2253" i="9" s="1"/>
  <c r="E2253" i="9"/>
  <c r="L2267" i="9"/>
  <c r="M2267" i="9" s="1"/>
  <c r="D2267" i="9"/>
  <c r="C2267" i="9"/>
  <c r="E2267" i="9"/>
  <c r="E2272" i="9"/>
  <c r="D2272" i="9"/>
  <c r="C2272" i="9"/>
  <c r="L2272" i="9"/>
  <c r="M2272" i="9" s="1"/>
  <c r="D2277" i="9"/>
  <c r="C2277" i="9"/>
  <c r="L2277" i="9"/>
  <c r="M2277" i="9" s="1"/>
  <c r="E2277" i="9"/>
  <c r="L2291" i="9"/>
  <c r="M2291" i="9" s="1"/>
  <c r="D2291" i="9"/>
  <c r="C2291" i="9"/>
  <c r="E2291" i="9"/>
  <c r="E2296" i="9"/>
  <c r="D2296" i="9"/>
  <c r="C2296" i="9"/>
  <c r="L2296" i="9"/>
  <c r="M2296" i="9" s="1"/>
  <c r="D2301" i="9"/>
  <c r="C2301" i="9"/>
  <c r="L2301" i="9"/>
  <c r="M2301" i="9" s="1"/>
  <c r="E2301" i="9"/>
  <c r="D2315" i="9"/>
  <c r="E2315" i="9"/>
  <c r="E2320" i="9"/>
  <c r="D2320" i="9"/>
  <c r="C2320" i="9"/>
  <c r="L2320" i="9"/>
  <c r="M2320" i="9" s="1"/>
  <c r="D2325" i="9"/>
  <c r="E2325" i="9"/>
  <c r="E2339" i="9"/>
  <c r="D2339" i="9"/>
  <c r="E2344" i="9"/>
  <c r="D2344" i="9"/>
  <c r="D2349" i="9"/>
  <c r="E2349" i="9"/>
  <c r="E2363" i="9"/>
  <c r="D2363" i="9"/>
  <c r="E2368" i="9"/>
  <c r="D2368" i="9"/>
  <c r="D2373" i="9"/>
  <c r="E2373" i="9"/>
  <c r="E2387" i="9"/>
  <c r="D2387" i="9"/>
  <c r="E2392" i="9"/>
  <c r="D2392" i="9"/>
  <c r="C2392" i="9"/>
  <c r="L2392" i="9"/>
  <c r="M2392" i="9" s="1"/>
  <c r="D2397" i="9"/>
  <c r="C2397" i="9"/>
  <c r="L2397" i="9"/>
  <c r="M2397" i="9" s="1"/>
  <c r="E2397" i="9"/>
  <c r="L2411" i="9"/>
  <c r="M2411" i="9" s="1"/>
  <c r="C2411" i="9"/>
  <c r="E2411" i="9"/>
  <c r="D2411" i="9"/>
  <c r="E2416" i="9"/>
  <c r="D2416" i="9"/>
  <c r="C2416" i="9"/>
  <c r="L2416" i="9"/>
  <c r="M2416" i="9" s="1"/>
  <c r="D2421" i="9"/>
  <c r="C2421" i="9"/>
  <c r="L2421" i="9"/>
  <c r="M2421" i="9" s="1"/>
  <c r="E2421" i="9"/>
  <c r="L2435" i="9"/>
  <c r="M2435" i="9" s="1"/>
  <c r="D2435" i="9"/>
  <c r="C2435" i="9"/>
  <c r="E2435" i="9"/>
  <c r="E2440" i="9"/>
  <c r="D2440" i="9"/>
  <c r="C2440" i="9"/>
  <c r="L2440" i="9"/>
  <c r="M2440" i="9" s="1"/>
  <c r="D2445" i="9"/>
  <c r="C2445" i="9"/>
  <c r="L2445" i="9"/>
  <c r="M2445" i="9" s="1"/>
  <c r="E2445" i="9"/>
  <c r="L2459" i="9"/>
  <c r="M2459" i="9" s="1"/>
  <c r="D2459" i="9"/>
  <c r="C2459" i="9"/>
  <c r="E2459" i="9"/>
  <c r="E2464" i="9"/>
  <c r="D2464" i="9"/>
  <c r="C2464" i="9"/>
  <c r="L2464" i="9"/>
  <c r="M2464" i="9" s="1"/>
  <c r="D2469" i="9"/>
  <c r="C2469" i="9"/>
  <c r="L2469" i="9"/>
  <c r="M2469" i="9" s="1"/>
  <c r="E2469" i="9"/>
  <c r="D2483" i="9"/>
  <c r="L2483" i="9"/>
  <c r="M2483" i="9" s="1"/>
  <c r="C2483" i="9"/>
  <c r="E2483" i="9"/>
  <c r="E2488" i="9"/>
  <c r="D2488" i="9"/>
  <c r="C2488" i="9"/>
  <c r="L2488" i="9"/>
  <c r="M2488" i="9" s="1"/>
  <c r="C2493" i="9"/>
  <c r="L2493" i="9"/>
  <c r="M2493" i="9" s="1"/>
  <c r="E2493" i="9"/>
  <c r="D2493" i="9"/>
  <c r="D2507" i="9"/>
  <c r="C2507" i="9"/>
  <c r="L2507" i="9"/>
  <c r="M2507" i="9" s="1"/>
  <c r="E2507" i="9"/>
  <c r="E2512" i="9"/>
  <c r="D2512" i="9"/>
  <c r="E2517" i="9"/>
  <c r="D2517" i="9"/>
  <c r="D2531" i="9"/>
  <c r="C2531" i="9"/>
  <c r="L2531" i="9"/>
  <c r="M2531" i="9" s="1"/>
  <c r="E2531" i="9"/>
  <c r="E2536" i="9"/>
  <c r="D2536" i="9"/>
  <c r="E2541" i="9"/>
  <c r="D2541" i="9"/>
  <c r="C2541" i="9"/>
  <c r="L2541" i="9"/>
  <c r="M2541" i="9" s="1"/>
  <c r="D2555" i="9"/>
  <c r="E2555" i="9"/>
  <c r="L2560" i="9"/>
  <c r="M2560" i="9" s="1"/>
  <c r="D2560" i="9"/>
  <c r="C2560" i="9"/>
  <c r="E2560" i="9"/>
  <c r="E2565" i="9"/>
  <c r="D2565" i="9"/>
  <c r="E2579" i="9"/>
  <c r="D2579" i="9"/>
  <c r="E2584" i="9"/>
  <c r="D2584" i="9"/>
  <c r="E2589" i="9"/>
  <c r="D2589" i="9"/>
  <c r="E2603" i="9"/>
  <c r="D2603" i="9"/>
  <c r="C2603" i="9"/>
  <c r="L2603" i="9"/>
  <c r="M2603" i="9" s="1"/>
  <c r="L2608" i="9"/>
  <c r="M2608" i="9" s="1"/>
  <c r="D2608" i="9"/>
  <c r="C2608" i="9"/>
  <c r="E2608" i="9"/>
  <c r="E2613" i="9"/>
  <c r="D2613" i="9"/>
  <c r="C2613" i="9"/>
  <c r="L2613" i="9"/>
  <c r="M2613" i="9" s="1"/>
  <c r="E2627" i="9"/>
  <c r="D2627" i="9"/>
  <c r="C2627" i="9"/>
  <c r="L2627" i="9"/>
  <c r="M2627" i="9" s="1"/>
  <c r="L2632" i="9"/>
  <c r="M2632" i="9" s="1"/>
  <c r="E2632" i="9"/>
  <c r="D2632" i="9"/>
  <c r="C2632" i="9"/>
  <c r="E2637" i="9"/>
  <c r="D2637" i="9"/>
  <c r="C2637" i="9"/>
  <c r="L2637" i="9"/>
  <c r="M2637" i="9" s="1"/>
  <c r="E2651" i="9"/>
  <c r="D2651" i="9"/>
  <c r="C2651" i="9"/>
  <c r="L2651" i="9"/>
  <c r="M2651" i="9" s="1"/>
  <c r="L2656" i="9"/>
  <c r="M2656" i="9" s="1"/>
  <c r="D2656" i="9"/>
  <c r="C2656" i="9"/>
  <c r="E2656" i="9"/>
  <c r="E2661" i="9"/>
  <c r="D2661" i="9"/>
  <c r="C2661" i="9"/>
  <c r="L2661" i="9"/>
  <c r="M2661" i="9" s="1"/>
  <c r="E2675" i="9"/>
  <c r="D2675" i="9"/>
  <c r="C2675" i="9"/>
  <c r="L2675" i="9"/>
  <c r="M2675" i="9" s="1"/>
  <c r="L2680" i="9"/>
  <c r="M2680" i="9" s="1"/>
  <c r="E2680" i="9"/>
  <c r="D2680" i="9"/>
  <c r="C2680" i="9"/>
  <c r="E2685" i="9"/>
  <c r="D2685" i="9"/>
  <c r="C2685" i="9"/>
  <c r="L2685" i="9"/>
  <c r="M2685" i="9" s="1"/>
  <c r="E2699" i="9"/>
  <c r="D2699" i="9"/>
  <c r="C2699" i="9"/>
  <c r="L2699" i="9"/>
  <c r="M2699" i="9" s="1"/>
  <c r="L2704" i="9"/>
  <c r="M2704" i="9" s="1"/>
  <c r="D2704" i="9"/>
  <c r="C2704" i="9"/>
  <c r="E2704" i="9"/>
  <c r="E2709" i="9"/>
  <c r="D2709" i="9"/>
  <c r="C2709" i="9"/>
  <c r="L2709" i="9"/>
  <c r="M2709" i="9" s="1"/>
  <c r="E2723" i="9"/>
  <c r="D2723" i="9"/>
  <c r="E2728" i="9"/>
  <c r="D2728" i="9"/>
  <c r="E2733" i="9"/>
  <c r="D2733" i="9"/>
  <c r="E2747" i="9"/>
  <c r="D2747" i="9"/>
  <c r="D2752" i="9"/>
  <c r="E2752" i="9"/>
  <c r="E2757" i="9"/>
  <c r="D2757" i="9"/>
  <c r="E2771" i="9"/>
  <c r="D2771" i="9"/>
  <c r="C2771" i="9"/>
  <c r="L2771" i="9"/>
  <c r="M2771" i="9" s="1"/>
  <c r="E2776" i="9"/>
  <c r="D2776" i="9"/>
  <c r="E2781" i="9"/>
  <c r="D2781" i="9"/>
  <c r="C2781" i="9"/>
  <c r="L2781" i="9"/>
  <c r="M2781" i="9" s="1"/>
  <c r="L2795" i="9"/>
  <c r="M2795" i="9" s="1"/>
  <c r="E2795" i="9"/>
  <c r="C2795" i="9"/>
  <c r="D2795" i="9"/>
  <c r="D2800" i="9"/>
  <c r="L2800" i="9"/>
  <c r="M2800" i="9" s="1"/>
  <c r="E2800" i="9"/>
  <c r="C2800" i="9"/>
  <c r="L2805" i="9"/>
  <c r="M2805" i="9" s="1"/>
  <c r="E2805" i="9"/>
  <c r="D2805" i="9"/>
  <c r="C2805" i="9"/>
  <c r="L2819" i="9"/>
  <c r="M2819" i="9" s="1"/>
  <c r="E2819" i="9"/>
  <c r="D2819" i="9"/>
  <c r="C2819" i="9"/>
  <c r="D2824" i="9"/>
  <c r="L2824" i="9"/>
  <c r="M2824" i="9" s="1"/>
  <c r="C2824" i="9"/>
  <c r="E2824" i="9"/>
  <c r="E2829" i="9"/>
  <c r="D2829" i="9"/>
  <c r="C2829" i="9"/>
  <c r="L2829" i="9"/>
  <c r="M2829" i="9" s="1"/>
  <c r="L2843" i="9"/>
  <c r="M2843" i="9" s="1"/>
  <c r="E2843" i="9"/>
  <c r="D2843" i="9"/>
  <c r="C2843" i="9"/>
  <c r="D2848" i="9"/>
  <c r="L2848" i="9"/>
  <c r="M2848" i="9" s="1"/>
  <c r="E2848" i="9"/>
  <c r="C2848" i="9"/>
  <c r="E2853" i="9"/>
  <c r="D2853" i="9"/>
  <c r="C2853" i="9"/>
  <c r="L2853" i="9"/>
  <c r="M2853" i="9" s="1"/>
  <c r="L2867" i="9"/>
  <c r="M2867" i="9" s="1"/>
  <c r="E2867" i="9"/>
  <c r="C2867" i="9"/>
  <c r="D2867" i="9"/>
  <c r="D2872" i="9"/>
  <c r="L2872" i="9"/>
  <c r="M2872" i="9" s="1"/>
  <c r="E2872" i="9"/>
  <c r="C2872" i="9"/>
  <c r="L2877" i="9"/>
  <c r="M2877" i="9" s="1"/>
  <c r="E2877" i="9"/>
  <c r="D2877" i="9"/>
  <c r="C2877" i="9"/>
  <c r="L2891" i="9"/>
  <c r="M2891" i="9" s="1"/>
  <c r="E2891" i="9"/>
  <c r="D2891" i="9"/>
  <c r="C2891" i="9"/>
  <c r="D2896" i="9"/>
  <c r="L2896" i="9"/>
  <c r="M2896" i="9" s="1"/>
  <c r="C2896" i="9"/>
  <c r="E2896" i="9"/>
  <c r="E2901" i="9"/>
  <c r="D2901" i="9"/>
  <c r="C2901" i="9"/>
  <c r="L2901" i="9"/>
  <c r="M2901" i="9" s="1"/>
  <c r="E2915" i="9"/>
  <c r="D2915" i="9"/>
  <c r="D2920" i="9"/>
  <c r="L2920" i="9"/>
  <c r="M2920" i="9" s="1"/>
  <c r="E2920" i="9"/>
  <c r="C2920" i="9"/>
  <c r="E2925" i="9"/>
  <c r="D2925" i="9"/>
  <c r="E2939" i="9"/>
  <c r="D2939" i="9"/>
  <c r="D2944" i="9"/>
  <c r="E2944" i="9"/>
  <c r="E2949" i="9"/>
  <c r="D2949" i="9"/>
  <c r="E2963" i="9"/>
  <c r="D2963" i="9"/>
  <c r="D2968" i="9"/>
  <c r="E2968" i="9"/>
  <c r="E2973" i="9"/>
  <c r="D2973" i="9"/>
  <c r="E2987" i="9"/>
  <c r="D2987" i="9"/>
  <c r="D2992" i="9"/>
  <c r="L2992" i="9"/>
  <c r="M2992" i="9" s="1"/>
  <c r="E2992" i="9"/>
  <c r="C2992" i="9"/>
  <c r="E2997" i="9"/>
  <c r="D2997" i="9"/>
  <c r="C2997" i="9"/>
  <c r="L2997" i="9"/>
  <c r="M2997" i="9" s="1"/>
  <c r="L3011" i="9"/>
  <c r="M3011" i="9" s="1"/>
  <c r="E3011" i="9"/>
  <c r="C3011" i="9"/>
  <c r="D3011" i="9"/>
  <c r="D3016" i="9"/>
  <c r="L3016" i="9"/>
  <c r="M3016" i="9" s="1"/>
  <c r="E3016" i="9"/>
  <c r="C3016" i="9"/>
  <c r="L3021" i="9"/>
  <c r="M3021" i="9" s="1"/>
  <c r="E3021" i="9"/>
  <c r="D3021" i="9"/>
  <c r="C3021" i="9"/>
  <c r="L3035" i="9"/>
  <c r="M3035" i="9" s="1"/>
  <c r="E3035" i="9"/>
  <c r="D3035" i="9"/>
  <c r="C3035" i="9"/>
  <c r="D3040" i="9"/>
  <c r="L3040" i="9"/>
  <c r="M3040" i="9" s="1"/>
  <c r="C3040" i="9"/>
  <c r="E3040" i="9"/>
  <c r="L3045" i="9"/>
  <c r="M3045" i="9" s="1"/>
  <c r="E3045" i="9"/>
  <c r="D3045" i="9"/>
  <c r="C3045" i="9"/>
  <c r="L3059" i="9"/>
  <c r="M3059" i="9" s="1"/>
  <c r="E3059" i="9"/>
  <c r="D3059" i="9"/>
  <c r="C3059" i="9"/>
  <c r="E3064" i="9"/>
  <c r="D3064" i="9"/>
  <c r="L3064" i="9"/>
  <c r="M3064" i="9" s="1"/>
  <c r="C3064" i="9"/>
  <c r="L3069" i="9"/>
  <c r="M3069" i="9" s="1"/>
  <c r="E3069" i="9"/>
  <c r="D3069" i="9"/>
  <c r="C3069" i="9"/>
  <c r="L3083" i="9"/>
  <c r="M3083" i="9" s="1"/>
  <c r="E3083" i="9"/>
  <c r="C3083" i="9"/>
  <c r="D3083" i="9"/>
  <c r="E3088" i="9"/>
  <c r="D3088" i="9"/>
  <c r="L3088" i="9"/>
  <c r="M3088" i="9" s="1"/>
  <c r="C3088" i="9"/>
  <c r="L3093" i="9"/>
  <c r="M3093" i="9" s="1"/>
  <c r="E3093" i="9"/>
  <c r="D3093" i="9"/>
  <c r="C3093" i="9"/>
  <c r="L3107" i="9"/>
  <c r="M3107" i="9" s="1"/>
  <c r="E3107" i="9"/>
  <c r="D3107" i="9"/>
  <c r="C3107" i="9"/>
  <c r="E3112" i="9"/>
  <c r="D3112" i="9"/>
  <c r="E3117" i="9"/>
  <c r="D3117" i="9"/>
  <c r="L3131" i="9"/>
  <c r="M3131" i="9" s="1"/>
  <c r="E3131" i="9"/>
  <c r="D3131" i="9"/>
  <c r="C3131" i="9"/>
  <c r="E3136" i="9"/>
  <c r="D3136" i="9"/>
  <c r="L3141" i="9"/>
  <c r="M3141" i="9" s="1"/>
  <c r="E3141" i="9"/>
  <c r="D3141" i="9"/>
  <c r="C3141" i="9"/>
  <c r="E3155" i="9"/>
  <c r="D3155" i="9"/>
  <c r="E3160" i="9"/>
  <c r="D3160" i="9"/>
  <c r="L3160" i="9"/>
  <c r="M3160" i="9" s="1"/>
  <c r="C3160" i="9"/>
  <c r="E3165" i="9"/>
  <c r="D3165" i="9"/>
  <c r="E3179" i="9"/>
  <c r="D3179" i="9"/>
  <c r="E3184" i="9"/>
  <c r="D3184" i="9"/>
  <c r="E3189" i="9"/>
  <c r="D3189" i="9"/>
  <c r="L3203" i="9"/>
  <c r="M3203" i="9" s="1"/>
  <c r="E3203" i="9"/>
  <c r="D3203" i="9"/>
  <c r="C3203" i="9"/>
  <c r="E3208" i="9"/>
  <c r="D3208" i="9"/>
  <c r="L3208" i="9"/>
  <c r="M3208" i="9" s="1"/>
  <c r="C3208" i="9"/>
  <c r="L3213" i="9"/>
  <c r="M3213" i="9" s="1"/>
  <c r="E3213" i="9"/>
  <c r="D3213" i="9"/>
  <c r="C3213" i="9"/>
  <c r="L3227" i="9"/>
  <c r="M3227" i="9" s="1"/>
  <c r="E3227" i="9"/>
  <c r="D3227" i="9"/>
  <c r="C3227" i="9"/>
  <c r="E3232" i="9"/>
  <c r="D3232" i="9"/>
  <c r="L3232" i="9"/>
  <c r="M3232" i="9" s="1"/>
  <c r="C3232" i="9"/>
  <c r="L3237" i="9"/>
  <c r="M3237" i="9" s="1"/>
  <c r="D3237" i="9"/>
  <c r="E3237" i="9"/>
  <c r="C3237" i="9"/>
  <c r="L3251" i="9"/>
  <c r="M3251" i="9" s="1"/>
  <c r="E3251" i="9"/>
  <c r="D3251" i="9"/>
  <c r="C3251" i="9"/>
  <c r="E3256" i="9"/>
  <c r="D3256" i="9"/>
  <c r="C3256" i="9"/>
  <c r="L3256" i="9"/>
  <c r="M3256" i="9" s="1"/>
  <c r="L3261" i="9"/>
  <c r="M3261" i="9" s="1"/>
  <c r="D3261" i="9"/>
  <c r="E3261" i="9"/>
  <c r="C3261" i="9"/>
  <c r="L3275" i="9"/>
  <c r="M3275" i="9" s="1"/>
  <c r="E3275" i="9"/>
  <c r="D3275" i="9"/>
  <c r="C3275" i="9"/>
  <c r="E3280" i="9"/>
  <c r="D3280" i="9"/>
  <c r="C3280" i="9"/>
  <c r="L3280" i="9"/>
  <c r="M3280" i="9" s="1"/>
  <c r="L3285" i="9"/>
  <c r="M3285" i="9" s="1"/>
  <c r="D3285" i="9"/>
  <c r="E3285" i="9"/>
  <c r="C3285" i="9"/>
  <c r="L3299" i="9"/>
  <c r="M3299" i="9" s="1"/>
  <c r="E3299" i="9"/>
  <c r="D3299" i="9"/>
  <c r="C3299" i="9"/>
  <c r="E3304" i="9"/>
  <c r="D3304" i="9"/>
  <c r="C3304" i="9"/>
  <c r="L3304" i="9"/>
  <c r="M3304" i="9" s="1"/>
  <c r="L3309" i="9"/>
  <c r="M3309" i="9" s="1"/>
  <c r="D3309" i="9"/>
  <c r="E3309" i="9"/>
  <c r="C3309" i="9"/>
  <c r="E3323" i="9"/>
  <c r="D3323" i="9"/>
  <c r="E3328" i="9"/>
  <c r="D3328" i="9"/>
  <c r="D3333" i="9"/>
  <c r="E3333" i="9"/>
  <c r="E3347" i="9"/>
  <c r="D3347" i="9"/>
  <c r="E3352" i="9"/>
  <c r="D3352" i="9"/>
  <c r="E3357" i="9"/>
  <c r="D3357" i="9"/>
  <c r="E3371" i="9"/>
  <c r="D3371" i="9"/>
  <c r="C3371" i="9"/>
  <c r="L3371" i="9"/>
  <c r="M3371" i="9" s="1"/>
  <c r="E3376" i="9"/>
  <c r="D3376" i="9"/>
  <c r="E3381" i="9"/>
  <c r="D3381" i="9"/>
  <c r="L3381" i="9"/>
  <c r="M3381" i="9" s="1"/>
  <c r="C3381" i="9"/>
  <c r="E3395" i="9"/>
  <c r="D3395" i="9"/>
  <c r="C3395" i="9"/>
  <c r="L3395" i="9"/>
  <c r="M3395" i="9" s="1"/>
  <c r="L3400" i="9"/>
  <c r="M3400" i="9" s="1"/>
  <c r="E3400" i="9"/>
  <c r="D3400" i="9"/>
  <c r="C3400" i="9"/>
  <c r="E3405" i="9"/>
  <c r="D3405" i="9"/>
  <c r="C3405" i="9"/>
  <c r="L3405" i="9"/>
  <c r="M3405" i="9" s="1"/>
  <c r="E3419" i="9"/>
  <c r="D3419" i="9"/>
  <c r="C3419" i="9"/>
  <c r="L3419" i="9"/>
  <c r="M3419" i="9" s="1"/>
  <c r="L3424" i="9"/>
  <c r="M3424" i="9" s="1"/>
  <c r="E3424" i="9"/>
  <c r="D3424" i="9"/>
  <c r="C3424" i="9"/>
  <c r="E3429" i="9"/>
  <c r="D3429" i="9"/>
  <c r="C3429" i="9"/>
  <c r="L3429" i="9"/>
  <c r="M3429" i="9" s="1"/>
  <c r="E3443" i="9"/>
  <c r="D3443" i="9"/>
  <c r="C3443" i="9"/>
  <c r="L3443" i="9"/>
  <c r="M3443" i="9" s="1"/>
  <c r="L3448" i="9"/>
  <c r="M3448" i="9" s="1"/>
  <c r="E3448" i="9"/>
  <c r="D3448" i="9"/>
  <c r="C3448" i="9"/>
  <c r="E3453" i="9"/>
  <c r="D3453" i="9"/>
  <c r="C3453" i="9"/>
  <c r="L3453" i="9"/>
  <c r="M3453" i="9" s="1"/>
  <c r="E3467" i="9"/>
  <c r="D3467" i="9"/>
  <c r="C3467" i="9"/>
  <c r="L3467" i="9"/>
  <c r="M3467" i="9" s="1"/>
  <c r="L3472" i="9"/>
  <c r="M3472" i="9" s="1"/>
  <c r="E3472" i="9"/>
  <c r="D3472" i="9"/>
  <c r="C3472" i="9"/>
  <c r="E3477" i="9"/>
  <c r="D3477" i="9"/>
  <c r="C3477" i="9"/>
  <c r="L3477" i="9"/>
  <c r="M3477" i="9" s="1"/>
  <c r="E3491" i="9"/>
  <c r="D3491" i="9"/>
  <c r="C3491" i="9"/>
  <c r="L3491" i="9"/>
  <c r="M3491" i="9" s="1"/>
  <c r="L3496" i="9"/>
  <c r="M3496" i="9" s="1"/>
  <c r="E3496" i="9"/>
  <c r="D3496" i="9"/>
  <c r="C3496" i="9"/>
  <c r="E3501" i="9"/>
  <c r="D3501" i="9"/>
  <c r="C3501" i="9"/>
  <c r="L3501" i="9"/>
  <c r="M3501" i="9" s="1"/>
  <c r="E3515" i="9"/>
  <c r="D3515" i="9"/>
  <c r="L3520" i="9"/>
  <c r="M3520" i="9" s="1"/>
  <c r="E3520" i="9"/>
  <c r="D3520" i="9"/>
  <c r="C3520" i="9"/>
  <c r="E3525" i="9"/>
  <c r="D3525" i="9"/>
  <c r="E3539" i="9"/>
  <c r="D3539" i="9"/>
  <c r="C3539" i="9"/>
  <c r="L3539" i="9"/>
  <c r="M3539" i="9" s="1"/>
  <c r="E3544" i="9"/>
  <c r="D3544" i="9"/>
  <c r="E3549" i="9"/>
  <c r="D3549" i="9"/>
  <c r="C3549" i="9"/>
  <c r="L3549" i="9"/>
  <c r="M3549" i="9" s="1"/>
  <c r="E3563" i="9"/>
  <c r="D3563" i="9"/>
  <c r="L3568" i="9"/>
  <c r="M3568" i="9" s="1"/>
  <c r="E3568" i="9"/>
  <c r="D3568" i="9"/>
  <c r="C3568" i="9"/>
  <c r="E3573" i="9"/>
  <c r="D3573" i="9"/>
  <c r="C3573" i="9"/>
  <c r="L3573" i="9"/>
  <c r="M3573" i="9" s="1"/>
  <c r="E3587" i="9"/>
  <c r="D3587" i="9"/>
  <c r="C3587" i="9"/>
  <c r="L3587" i="9"/>
  <c r="M3587" i="9" s="1"/>
  <c r="L3592" i="9"/>
  <c r="M3592" i="9" s="1"/>
  <c r="E3592" i="9"/>
  <c r="D3592" i="9"/>
  <c r="C3592" i="9"/>
  <c r="E3597" i="9"/>
  <c r="D3597" i="9"/>
  <c r="C3597" i="9"/>
  <c r="L3597" i="9"/>
  <c r="M3597" i="9" s="1"/>
  <c r="E3611" i="9"/>
  <c r="D3611" i="9"/>
  <c r="C3611" i="9"/>
  <c r="L3611" i="9"/>
  <c r="M3611" i="9" s="1"/>
  <c r="L3616" i="9"/>
  <c r="M3616" i="9" s="1"/>
  <c r="E3616" i="9"/>
  <c r="D3616" i="9"/>
  <c r="C3616" i="9"/>
  <c r="E3621" i="9"/>
  <c r="D3621" i="9"/>
  <c r="C3621" i="9"/>
  <c r="L3621" i="9"/>
  <c r="M3621" i="9" s="1"/>
  <c r="L3635" i="9"/>
  <c r="M3635" i="9" s="1"/>
  <c r="E3635" i="9"/>
  <c r="D3635" i="9"/>
  <c r="C3635" i="9"/>
  <c r="E3640" i="9"/>
  <c r="D3640" i="9"/>
  <c r="L3640" i="9"/>
  <c r="M3640" i="9" s="1"/>
  <c r="C3640" i="9"/>
  <c r="L3645" i="9"/>
  <c r="M3645" i="9" s="1"/>
  <c r="E3645" i="9"/>
  <c r="D3645" i="9"/>
  <c r="C3645" i="9"/>
  <c r="L3659" i="9"/>
  <c r="M3659" i="9" s="1"/>
  <c r="E3659" i="9"/>
  <c r="D3659" i="9"/>
  <c r="C3659" i="9"/>
  <c r="E3664" i="9"/>
  <c r="D3664" i="9"/>
  <c r="L3664" i="9"/>
  <c r="M3664" i="9" s="1"/>
  <c r="C3664" i="9"/>
  <c r="L3669" i="9"/>
  <c r="M3669" i="9" s="1"/>
  <c r="D3669" i="9"/>
  <c r="E3669" i="9"/>
  <c r="C3669" i="9"/>
  <c r="L3683" i="9"/>
  <c r="M3683" i="9" s="1"/>
  <c r="E3683" i="9"/>
  <c r="D3683" i="9"/>
  <c r="C3683" i="9"/>
  <c r="E3688" i="9"/>
  <c r="D3688" i="9"/>
  <c r="C3688" i="9"/>
  <c r="L3688" i="9"/>
  <c r="M3688" i="9" s="1"/>
  <c r="L3693" i="9"/>
  <c r="M3693" i="9" s="1"/>
  <c r="D3693" i="9"/>
  <c r="E3693" i="9"/>
  <c r="C3693" i="9"/>
  <c r="L3707" i="9"/>
  <c r="M3707" i="9" s="1"/>
  <c r="E3707" i="9"/>
  <c r="D3707" i="9"/>
  <c r="C3707" i="9"/>
  <c r="E3712" i="9"/>
  <c r="D3712" i="9"/>
  <c r="D3717" i="9"/>
  <c r="E3717" i="9"/>
  <c r="C3740" i="9"/>
  <c r="L3740" i="9"/>
  <c r="M3740" i="9" s="1"/>
  <c r="E3740" i="9"/>
  <c r="D3740" i="9"/>
  <c r="E3745" i="9"/>
  <c r="D3745" i="9"/>
  <c r="E3754" i="9"/>
  <c r="D3754" i="9"/>
  <c r="D3763" i="9"/>
  <c r="E3763" i="9"/>
  <c r="E3783" i="9"/>
  <c r="D3783" i="9"/>
  <c r="C3783" i="9"/>
  <c r="L3783" i="9"/>
  <c r="M3783" i="9" s="1"/>
  <c r="C3788" i="9"/>
  <c r="L3788" i="9"/>
  <c r="M3788" i="9" s="1"/>
  <c r="E3788" i="9"/>
  <c r="D3788" i="9"/>
  <c r="E3793" i="9"/>
  <c r="D3793" i="9"/>
  <c r="C3793" i="9"/>
  <c r="L3793" i="9"/>
  <c r="M3793" i="9" s="1"/>
  <c r="L3813" i="9"/>
  <c r="M3813" i="9" s="1"/>
  <c r="D3813" i="9"/>
  <c r="C3813" i="9"/>
  <c r="E3813" i="9"/>
  <c r="E3852" i="9"/>
  <c r="D3852" i="9"/>
  <c r="C3852" i="9"/>
  <c r="L3852" i="9"/>
  <c r="M3852" i="9" s="1"/>
  <c r="C3872" i="9"/>
  <c r="L3872" i="9"/>
  <c r="M3872" i="9" s="1"/>
  <c r="E3872" i="9"/>
  <c r="D3872" i="9"/>
  <c r="L3919" i="9"/>
  <c r="M3919" i="9" s="1"/>
  <c r="E3919" i="9"/>
  <c r="D3919" i="9"/>
  <c r="C3919" i="9"/>
  <c r="E3924" i="9"/>
  <c r="D3924" i="9"/>
  <c r="C3924" i="9"/>
  <c r="L3924" i="9"/>
  <c r="M3924" i="9" s="1"/>
  <c r="E3945" i="9"/>
  <c r="D3945" i="9"/>
  <c r="C3945" i="9"/>
  <c r="L3945" i="9"/>
  <c r="M3945" i="9" s="1"/>
  <c r="D3987" i="9"/>
  <c r="C3987" i="9"/>
  <c r="L3987" i="9"/>
  <c r="M3987" i="9" s="1"/>
  <c r="E3987" i="9"/>
  <c r="E3992" i="9"/>
  <c r="D3992" i="9"/>
  <c r="C3992" i="9"/>
  <c r="L3992" i="9"/>
  <c r="M3992" i="9" s="1"/>
  <c r="E4034" i="9"/>
  <c r="D4034" i="9"/>
  <c r="C4034" i="9"/>
  <c r="L4034" i="9"/>
  <c r="M4034" i="9" s="1"/>
  <c r="E4082" i="9"/>
  <c r="D4082" i="9"/>
  <c r="C4082" i="9"/>
  <c r="L4082" i="9"/>
  <c r="M4082" i="9" s="1"/>
  <c r="E4093" i="9"/>
  <c r="D4093" i="9"/>
  <c r="C4093" i="9"/>
  <c r="L4093" i="9"/>
  <c r="M4093" i="9" s="1"/>
  <c r="D4131" i="9"/>
  <c r="C4131" i="9"/>
  <c r="L4131" i="9"/>
  <c r="M4131" i="9" s="1"/>
  <c r="E4131" i="9"/>
  <c r="E4136" i="9"/>
  <c r="D4136" i="9"/>
  <c r="C4136" i="9"/>
  <c r="L4136" i="9"/>
  <c r="M4136" i="9" s="1"/>
  <c r="L4159" i="9"/>
  <c r="M4159" i="9" s="1"/>
  <c r="E4159" i="9"/>
  <c r="D4159" i="9"/>
  <c r="C4159" i="9"/>
  <c r="D4193" i="9"/>
  <c r="C4193" i="9"/>
  <c r="L4193" i="9"/>
  <c r="M4193" i="9" s="1"/>
  <c r="E4193" i="9"/>
  <c r="E4210" i="9"/>
  <c r="D4210" i="9"/>
  <c r="C4210" i="9"/>
  <c r="L4210" i="9"/>
  <c r="M4210" i="9" s="1"/>
  <c r="L4257" i="9"/>
  <c r="M4257" i="9" s="1"/>
  <c r="E4257" i="9"/>
  <c r="D4257" i="9"/>
  <c r="C4257" i="9"/>
  <c r="E4274" i="9"/>
  <c r="D4274" i="9"/>
  <c r="C4274" i="9"/>
  <c r="L4274" i="9"/>
  <c r="M4274" i="9" s="1"/>
  <c r="E4321" i="9"/>
  <c r="D4321" i="9"/>
  <c r="C4321" i="9"/>
  <c r="L4321" i="9"/>
  <c r="M4321" i="9" s="1"/>
  <c r="C4338" i="9"/>
  <c r="L4338" i="9"/>
  <c r="M4338" i="9" s="1"/>
  <c r="E4338" i="9"/>
  <c r="D4338" i="9"/>
  <c r="D4385" i="9"/>
  <c r="C4385" i="9"/>
  <c r="L4385" i="9"/>
  <c r="M4385" i="9" s="1"/>
  <c r="E4385" i="9"/>
  <c r="E4402" i="9"/>
  <c r="D4402" i="9"/>
  <c r="C4402" i="9"/>
  <c r="L4402" i="9"/>
  <c r="M4402" i="9" s="1"/>
  <c r="C4449" i="9"/>
  <c r="L4449" i="9"/>
  <c r="M4449" i="9" s="1"/>
  <c r="E4449" i="9"/>
  <c r="D4449" i="9"/>
  <c r="E4466" i="9"/>
  <c r="L4466" i="9"/>
  <c r="M4466" i="9" s="1"/>
  <c r="D4466" i="9"/>
  <c r="C4466" i="9"/>
  <c r="E4513" i="9"/>
  <c r="D4513" i="9"/>
  <c r="E4530" i="9"/>
  <c r="D4530" i="9"/>
  <c r="C4530" i="9"/>
  <c r="L4530" i="9"/>
  <c r="M4530" i="9" s="1"/>
  <c r="E4577" i="9"/>
  <c r="D4577" i="9"/>
  <c r="D4594" i="9"/>
  <c r="E4594" i="9"/>
  <c r="C4641" i="9"/>
  <c r="L4641" i="9"/>
  <c r="M4641" i="9" s="1"/>
  <c r="E4641" i="9"/>
  <c r="D4641" i="9"/>
  <c r="E4658" i="9"/>
  <c r="L4658" i="9"/>
  <c r="M4658" i="9" s="1"/>
  <c r="D4658" i="9"/>
  <c r="C4658" i="9"/>
  <c r="E4705" i="9"/>
  <c r="C4705" i="9"/>
  <c r="L4705" i="9"/>
  <c r="M4705" i="9" s="1"/>
  <c r="D4705" i="9"/>
  <c r="E4758" i="9"/>
  <c r="D4758" i="9"/>
  <c r="E4806" i="9"/>
  <c r="D4806" i="9"/>
  <c r="E4854" i="9"/>
  <c r="D4854" i="9"/>
  <c r="C4854" i="9"/>
  <c r="L4854" i="9"/>
  <c r="M4854" i="9" s="1"/>
  <c r="E4902" i="9"/>
  <c r="D4902" i="9"/>
  <c r="C4902" i="9"/>
  <c r="L4902" i="9"/>
  <c r="M4902" i="9" s="1"/>
  <c r="E4950" i="9"/>
  <c r="D4950" i="9"/>
  <c r="C4950" i="9"/>
  <c r="L4950" i="9"/>
  <c r="M4950" i="9" s="1"/>
  <c r="E4998" i="9"/>
  <c r="D4998" i="9"/>
  <c r="E5046" i="9"/>
  <c r="D5046" i="9"/>
  <c r="C5046" i="9"/>
  <c r="L5046" i="9"/>
  <c r="M5046" i="9" s="1"/>
  <c r="E5094" i="9"/>
  <c r="D5094" i="9"/>
  <c r="C5094" i="9"/>
  <c r="L5094" i="9"/>
  <c r="M5094" i="9" s="1"/>
  <c r="E5142" i="9"/>
  <c r="D5142" i="9"/>
  <c r="E5190" i="9"/>
  <c r="D5190" i="9"/>
  <c r="C5190" i="9"/>
  <c r="L5190" i="9"/>
  <c r="M5190" i="9" s="1"/>
  <c r="E1535" i="9"/>
  <c r="D1535" i="9"/>
  <c r="D1548" i="9"/>
  <c r="L1548" i="9"/>
  <c r="M1548" i="9" s="1"/>
  <c r="E1548" i="9"/>
  <c r="C1548" i="9"/>
  <c r="E1557" i="9"/>
  <c r="D1557" i="9"/>
  <c r="C1557" i="9"/>
  <c r="L1557" i="9"/>
  <c r="M1557" i="9" s="1"/>
  <c r="E1570" i="9"/>
  <c r="D1570" i="9"/>
  <c r="C1570" i="9"/>
  <c r="L1570" i="9"/>
  <c r="M1570" i="9" s="1"/>
  <c r="E1583" i="9"/>
  <c r="D1583" i="9"/>
  <c r="C1583" i="9"/>
  <c r="L1583" i="9"/>
  <c r="M1583" i="9" s="1"/>
  <c r="D1596" i="9"/>
  <c r="C1596" i="9"/>
  <c r="L1596" i="9"/>
  <c r="M1596" i="9" s="1"/>
  <c r="E1596" i="9"/>
  <c r="E1605" i="9"/>
  <c r="D1605" i="9"/>
  <c r="C1605" i="9"/>
  <c r="L1605" i="9"/>
  <c r="M1605" i="9" s="1"/>
  <c r="E1618" i="9"/>
  <c r="D1618" i="9"/>
  <c r="C1618" i="9"/>
  <c r="L1618" i="9"/>
  <c r="M1618" i="9" s="1"/>
  <c r="E1631" i="9"/>
  <c r="D1631" i="9"/>
  <c r="C1631" i="9"/>
  <c r="L1631" i="9"/>
  <c r="M1631" i="9" s="1"/>
  <c r="D1644" i="9"/>
  <c r="C1644" i="9"/>
  <c r="L1644" i="9"/>
  <c r="M1644" i="9" s="1"/>
  <c r="E1644" i="9"/>
  <c r="E1653" i="9"/>
  <c r="D1653" i="9"/>
  <c r="C1653" i="9"/>
  <c r="L1653" i="9"/>
  <c r="M1653" i="9" s="1"/>
  <c r="E1666" i="9"/>
  <c r="D1666" i="9"/>
  <c r="C1666" i="9"/>
  <c r="L1666" i="9"/>
  <c r="M1666" i="9" s="1"/>
  <c r="E1679" i="9"/>
  <c r="D1679" i="9"/>
  <c r="C1679" i="9"/>
  <c r="L1679" i="9"/>
  <c r="M1679" i="9" s="1"/>
  <c r="D1692" i="9"/>
  <c r="C1692" i="9"/>
  <c r="L1692" i="9"/>
  <c r="M1692" i="9" s="1"/>
  <c r="E1692" i="9"/>
  <c r="E1701" i="9"/>
  <c r="D1701" i="9"/>
  <c r="C1701" i="9"/>
  <c r="L1701" i="9"/>
  <c r="M1701" i="9" s="1"/>
  <c r="E1714" i="9"/>
  <c r="D1714" i="9"/>
  <c r="C1714" i="9"/>
  <c r="L1714" i="9"/>
  <c r="M1714" i="9" s="1"/>
  <c r="E1727" i="9"/>
  <c r="D1727" i="9"/>
  <c r="C1727" i="9"/>
  <c r="L1727" i="9"/>
  <c r="M1727" i="9" s="1"/>
  <c r="D1740" i="9"/>
  <c r="C1740" i="9"/>
  <c r="L1740" i="9"/>
  <c r="M1740" i="9" s="1"/>
  <c r="E1740" i="9"/>
  <c r="E1749" i="9"/>
  <c r="D1749" i="9"/>
  <c r="C1749" i="9"/>
  <c r="L1749" i="9"/>
  <c r="M1749" i="9" s="1"/>
  <c r="E1762" i="9"/>
  <c r="D1762" i="9"/>
  <c r="C1762" i="9"/>
  <c r="L1762" i="9"/>
  <c r="M1762" i="9" s="1"/>
  <c r="E1775" i="9"/>
  <c r="D1775" i="9"/>
  <c r="C1775" i="9"/>
  <c r="L1775" i="9"/>
  <c r="M1775" i="9" s="1"/>
  <c r="D1788" i="9"/>
  <c r="C1788" i="9"/>
  <c r="L1788" i="9"/>
  <c r="M1788" i="9" s="1"/>
  <c r="E1788" i="9"/>
  <c r="D1797" i="9"/>
  <c r="C1797" i="9"/>
  <c r="L1797" i="9"/>
  <c r="M1797" i="9" s="1"/>
  <c r="E1797" i="9"/>
  <c r="C1810" i="9"/>
  <c r="D1810" i="9"/>
  <c r="L1810" i="9"/>
  <c r="M1810" i="9" s="1"/>
  <c r="E1810" i="9"/>
  <c r="L1823" i="9"/>
  <c r="M1823" i="9" s="1"/>
  <c r="C1823" i="9"/>
  <c r="E1823" i="9"/>
  <c r="D1823" i="9"/>
  <c r="L1836" i="9"/>
  <c r="M1836" i="9" s="1"/>
  <c r="C1836" i="9"/>
  <c r="E1836" i="9"/>
  <c r="D1836" i="9"/>
  <c r="D1845" i="9"/>
  <c r="C1845" i="9"/>
  <c r="L1845" i="9"/>
  <c r="M1845" i="9" s="1"/>
  <c r="E1845" i="9"/>
  <c r="C1858" i="9"/>
  <c r="E1858" i="9"/>
  <c r="D1858" i="9"/>
  <c r="L1858" i="9"/>
  <c r="M1858" i="9" s="1"/>
  <c r="L1871" i="9"/>
  <c r="M1871" i="9" s="1"/>
  <c r="D1871" i="9"/>
  <c r="C1871" i="9"/>
  <c r="E1871" i="9"/>
  <c r="L1884" i="9"/>
  <c r="M1884" i="9" s="1"/>
  <c r="C1884" i="9"/>
  <c r="E1884" i="9"/>
  <c r="D1884" i="9"/>
  <c r="D1893" i="9"/>
  <c r="C1893" i="9"/>
  <c r="L1893" i="9"/>
  <c r="M1893" i="9" s="1"/>
  <c r="E1893" i="9"/>
  <c r="C1906" i="9"/>
  <c r="E1906" i="9"/>
  <c r="D1906" i="9"/>
  <c r="L1906" i="9"/>
  <c r="M1906" i="9" s="1"/>
  <c r="L1919" i="9"/>
  <c r="M1919" i="9" s="1"/>
  <c r="D1919" i="9"/>
  <c r="C1919" i="9"/>
  <c r="E1919" i="9"/>
  <c r="L1932" i="9"/>
  <c r="M1932" i="9" s="1"/>
  <c r="C1932" i="9"/>
  <c r="E1932" i="9"/>
  <c r="D1932" i="9"/>
  <c r="D1941" i="9"/>
  <c r="C1941" i="9"/>
  <c r="L1941" i="9"/>
  <c r="M1941" i="9" s="1"/>
  <c r="E1941" i="9"/>
  <c r="C1954" i="9"/>
  <c r="E1954" i="9"/>
  <c r="D1954" i="9"/>
  <c r="L1954" i="9"/>
  <c r="M1954" i="9" s="1"/>
  <c r="L1967" i="9"/>
  <c r="M1967" i="9" s="1"/>
  <c r="D1967" i="9"/>
  <c r="C1967" i="9"/>
  <c r="E1967" i="9"/>
  <c r="L1980" i="9"/>
  <c r="M1980" i="9" s="1"/>
  <c r="C1980" i="9"/>
  <c r="E1980" i="9"/>
  <c r="D1980" i="9"/>
  <c r="D1989" i="9"/>
  <c r="C1989" i="9"/>
  <c r="L1989" i="9"/>
  <c r="M1989" i="9" s="1"/>
  <c r="E1989" i="9"/>
  <c r="C2002" i="9"/>
  <c r="E2002" i="9"/>
  <c r="D2002" i="9"/>
  <c r="L2002" i="9"/>
  <c r="M2002" i="9" s="1"/>
  <c r="L2015" i="9"/>
  <c r="M2015" i="9" s="1"/>
  <c r="D2015" i="9"/>
  <c r="C2015" i="9"/>
  <c r="E2015" i="9"/>
  <c r="L2028" i="9"/>
  <c r="M2028" i="9" s="1"/>
  <c r="C2028" i="9"/>
  <c r="E2028" i="9"/>
  <c r="D2028" i="9"/>
  <c r="E2042" i="9"/>
  <c r="L2042" i="9"/>
  <c r="M2042" i="9" s="1"/>
  <c r="D2042" i="9"/>
  <c r="C2042" i="9"/>
  <c r="E2066" i="9"/>
  <c r="L2066" i="9"/>
  <c r="M2066" i="9" s="1"/>
  <c r="C2066" i="9"/>
  <c r="D2066" i="9"/>
  <c r="E2090" i="9"/>
  <c r="L2090" i="9"/>
  <c r="M2090" i="9" s="1"/>
  <c r="D2090" i="9"/>
  <c r="C2090" i="9"/>
  <c r="E2114" i="9"/>
  <c r="L2114" i="9"/>
  <c r="M2114" i="9" s="1"/>
  <c r="D2114" i="9"/>
  <c r="C2114" i="9"/>
  <c r="E2138" i="9"/>
  <c r="L2138" i="9"/>
  <c r="M2138" i="9" s="1"/>
  <c r="D2138" i="9"/>
  <c r="C2138" i="9"/>
  <c r="E2162" i="9"/>
  <c r="L2162" i="9"/>
  <c r="M2162" i="9" s="1"/>
  <c r="D2162" i="9"/>
  <c r="C2162" i="9"/>
  <c r="E2186" i="9"/>
  <c r="L2186" i="9"/>
  <c r="M2186" i="9" s="1"/>
  <c r="D2186" i="9"/>
  <c r="C2186" i="9"/>
  <c r="E2210" i="9"/>
  <c r="L2210" i="9"/>
  <c r="M2210" i="9" s="1"/>
  <c r="D2210" i="9"/>
  <c r="C2210" i="9"/>
  <c r="E2234" i="9"/>
  <c r="L2234" i="9"/>
  <c r="M2234" i="9" s="1"/>
  <c r="D2234" i="9"/>
  <c r="C2234" i="9"/>
  <c r="E2258" i="9"/>
  <c r="L2258" i="9"/>
  <c r="M2258" i="9" s="1"/>
  <c r="D2258" i="9"/>
  <c r="C2258" i="9"/>
  <c r="E2282" i="9"/>
  <c r="L2282" i="9"/>
  <c r="M2282" i="9" s="1"/>
  <c r="D2282" i="9"/>
  <c r="C2282" i="9"/>
  <c r="E2306" i="9"/>
  <c r="L2306" i="9"/>
  <c r="M2306" i="9" s="1"/>
  <c r="D2306" i="9"/>
  <c r="C2306" i="9"/>
  <c r="E2330" i="9"/>
  <c r="L2330" i="9"/>
  <c r="M2330" i="9" s="1"/>
  <c r="D2330" i="9"/>
  <c r="C2330" i="9"/>
  <c r="E2354" i="9"/>
  <c r="D2354" i="9"/>
  <c r="E2378" i="9"/>
  <c r="D2378" i="9"/>
  <c r="E2402" i="9"/>
  <c r="L2402" i="9"/>
  <c r="M2402" i="9" s="1"/>
  <c r="D2402" i="9"/>
  <c r="C2402" i="9"/>
  <c r="E2426" i="9"/>
  <c r="L2426" i="9"/>
  <c r="M2426" i="9" s="1"/>
  <c r="D2426" i="9"/>
  <c r="C2426" i="9"/>
  <c r="E2450" i="9"/>
  <c r="L2450" i="9"/>
  <c r="M2450" i="9" s="1"/>
  <c r="D2450" i="9"/>
  <c r="C2450" i="9"/>
  <c r="E2474" i="9"/>
  <c r="D2474" i="9"/>
  <c r="C2474" i="9"/>
  <c r="L2474" i="9"/>
  <c r="M2474" i="9" s="1"/>
  <c r="C2498" i="9"/>
  <c r="L2498" i="9"/>
  <c r="M2498" i="9" s="1"/>
  <c r="E2498" i="9"/>
  <c r="D2498" i="9"/>
  <c r="D2522" i="9"/>
  <c r="E2522" i="9"/>
  <c r="D2546" i="9"/>
  <c r="E2546" i="9"/>
  <c r="D2570" i="9"/>
  <c r="C2570" i="9"/>
  <c r="L2570" i="9"/>
  <c r="M2570" i="9" s="1"/>
  <c r="E2570" i="9"/>
  <c r="D2594" i="9"/>
  <c r="C2594" i="9"/>
  <c r="L2594" i="9"/>
  <c r="M2594" i="9" s="1"/>
  <c r="E2594" i="9"/>
  <c r="D2618" i="9"/>
  <c r="C2618" i="9"/>
  <c r="L2618" i="9"/>
  <c r="M2618" i="9" s="1"/>
  <c r="E2618" i="9"/>
  <c r="D2642" i="9"/>
  <c r="C2642" i="9"/>
  <c r="L2642" i="9"/>
  <c r="M2642" i="9" s="1"/>
  <c r="E2642" i="9"/>
  <c r="D2666" i="9"/>
  <c r="C2666" i="9"/>
  <c r="L2666" i="9"/>
  <c r="M2666" i="9" s="1"/>
  <c r="E2666" i="9"/>
  <c r="D2690" i="9"/>
  <c r="C2690" i="9"/>
  <c r="L2690" i="9"/>
  <c r="M2690" i="9" s="1"/>
  <c r="E2690" i="9"/>
  <c r="D2714" i="9"/>
  <c r="E2714" i="9"/>
  <c r="D2738" i="9"/>
  <c r="E2738" i="9"/>
  <c r="D2762" i="9"/>
  <c r="E2762" i="9"/>
  <c r="E2786" i="9"/>
  <c r="D2786" i="9"/>
  <c r="E2810" i="9"/>
  <c r="D2810" i="9"/>
  <c r="C2810" i="9"/>
  <c r="L2810" i="9"/>
  <c r="M2810" i="9" s="1"/>
  <c r="L2834" i="9"/>
  <c r="M2834" i="9" s="1"/>
  <c r="E2834" i="9"/>
  <c r="D2834" i="9"/>
  <c r="C2834" i="9"/>
  <c r="L2858" i="9"/>
  <c r="M2858" i="9" s="1"/>
  <c r="E2858" i="9"/>
  <c r="D2858" i="9"/>
  <c r="C2858" i="9"/>
  <c r="E2882" i="9"/>
  <c r="D2882" i="9"/>
  <c r="C2882" i="9"/>
  <c r="L2882" i="9"/>
  <c r="M2882" i="9" s="1"/>
  <c r="L2906" i="9"/>
  <c r="M2906" i="9" s="1"/>
  <c r="E2906" i="9"/>
  <c r="D2906" i="9"/>
  <c r="C2906" i="9"/>
  <c r="L2930" i="9"/>
  <c r="M2930" i="9" s="1"/>
  <c r="E2930" i="9"/>
  <c r="D2930" i="9"/>
  <c r="C2930" i="9"/>
  <c r="E2954" i="9"/>
  <c r="D2954" i="9"/>
  <c r="E2978" i="9"/>
  <c r="D2978" i="9"/>
  <c r="L3002" i="9"/>
  <c r="M3002" i="9" s="1"/>
  <c r="E3002" i="9"/>
  <c r="D3002" i="9"/>
  <c r="C3002" i="9"/>
  <c r="E3026" i="9"/>
  <c r="D3026" i="9"/>
  <c r="C3026" i="9"/>
  <c r="L3026" i="9"/>
  <c r="M3026" i="9" s="1"/>
  <c r="C3050" i="9"/>
  <c r="L3050" i="9"/>
  <c r="M3050" i="9" s="1"/>
  <c r="E3050" i="9"/>
  <c r="D3050" i="9"/>
  <c r="C3074" i="9"/>
  <c r="L3074" i="9"/>
  <c r="M3074" i="9" s="1"/>
  <c r="E3074" i="9"/>
  <c r="D3074" i="9"/>
  <c r="C3098" i="9"/>
  <c r="L3098" i="9"/>
  <c r="M3098" i="9" s="1"/>
  <c r="E3098" i="9"/>
  <c r="D3098" i="9"/>
  <c r="E3122" i="9"/>
  <c r="D3122" i="9"/>
  <c r="E3146" i="9"/>
  <c r="D3146" i="9"/>
  <c r="C3170" i="9"/>
  <c r="L3170" i="9"/>
  <c r="M3170" i="9" s="1"/>
  <c r="E3170" i="9"/>
  <c r="D3170" i="9"/>
  <c r="C3194" i="9"/>
  <c r="L3194" i="9"/>
  <c r="M3194" i="9" s="1"/>
  <c r="E3194" i="9"/>
  <c r="D3194" i="9"/>
  <c r="C3218" i="9"/>
  <c r="L3218" i="9"/>
  <c r="M3218" i="9" s="1"/>
  <c r="E3218" i="9"/>
  <c r="D3218" i="9"/>
  <c r="D3242" i="9"/>
  <c r="C3242" i="9"/>
  <c r="L3242" i="9"/>
  <c r="M3242" i="9" s="1"/>
  <c r="E3242" i="9"/>
  <c r="E3266" i="9"/>
  <c r="D3266" i="9"/>
  <c r="C3266" i="9"/>
  <c r="L3266" i="9"/>
  <c r="M3266" i="9" s="1"/>
  <c r="E3290" i="9"/>
  <c r="D3290" i="9"/>
  <c r="C3290" i="9"/>
  <c r="L3290" i="9"/>
  <c r="M3290" i="9" s="1"/>
  <c r="E3314" i="9"/>
  <c r="D3314" i="9"/>
  <c r="E3338" i="9"/>
  <c r="D3338" i="9"/>
  <c r="E3362" i="9"/>
  <c r="D3362" i="9"/>
  <c r="D3386" i="9"/>
  <c r="E3386" i="9"/>
  <c r="D3410" i="9"/>
  <c r="C3410" i="9"/>
  <c r="L3410" i="9"/>
  <c r="M3410" i="9" s="1"/>
  <c r="E3410" i="9"/>
  <c r="D3434" i="9"/>
  <c r="C3434" i="9"/>
  <c r="L3434" i="9"/>
  <c r="M3434" i="9" s="1"/>
  <c r="E3434" i="9"/>
  <c r="D3458" i="9"/>
  <c r="C3458" i="9"/>
  <c r="L3458" i="9"/>
  <c r="M3458" i="9" s="1"/>
  <c r="E3458" i="9"/>
  <c r="D3482" i="9"/>
  <c r="C3482" i="9"/>
  <c r="L3482" i="9"/>
  <c r="M3482" i="9" s="1"/>
  <c r="E3482" i="9"/>
  <c r="D3506" i="9"/>
  <c r="C3506" i="9"/>
  <c r="L3506" i="9"/>
  <c r="M3506" i="9" s="1"/>
  <c r="E3506" i="9"/>
  <c r="D3530" i="9"/>
  <c r="C3530" i="9"/>
  <c r="L3530" i="9"/>
  <c r="M3530" i="9" s="1"/>
  <c r="E3530" i="9"/>
  <c r="D3554" i="9"/>
  <c r="E3554" i="9"/>
  <c r="D3578" i="9"/>
  <c r="C3578" i="9"/>
  <c r="L3578" i="9"/>
  <c r="M3578" i="9" s="1"/>
  <c r="E3578" i="9"/>
  <c r="D3602" i="9"/>
  <c r="C3602" i="9"/>
  <c r="L3602" i="9"/>
  <c r="M3602" i="9" s="1"/>
  <c r="E3602" i="9"/>
  <c r="C3626" i="9"/>
  <c r="L3626" i="9"/>
  <c r="M3626" i="9" s="1"/>
  <c r="E3626" i="9"/>
  <c r="D3626" i="9"/>
  <c r="C3650" i="9"/>
  <c r="L3650" i="9"/>
  <c r="M3650" i="9" s="1"/>
  <c r="E3650" i="9"/>
  <c r="D3650" i="9"/>
  <c r="E3674" i="9"/>
  <c r="D3674" i="9"/>
  <c r="C3674" i="9"/>
  <c r="L3674" i="9"/>
  <c r="M3674" i="9" s="1"/>
  <c r="E3698" i="9"/>
  <c r="D3698" i="9"/>
  <c r="C3698" i="9"/>
  <c r="L3698" i="9"/>
  <c r="M3698" i="9" s="1"/>
  <c r="E3722" i="9"/>
  <c r="D3722" i="9"/>
  <c r="L3778" i="9"/>
  <c r="M3778" i="9" s="1"/>
  <c r="E3778" i="9"/>
  <c r="C3778" i="9"/>
  <c r="D3778" i="9"/>
  <c r="E3798" i="9"/>
  <c r="D3798" i="9"/>
  <c r="C3798" i="9"/>
  <c r="L3798" i="9"/>
  <c r="M3798" i="9" s="1"/>
  <c r="L3803" i="9"/>
  <c r="M3803" i="9" s="1"/>
  <c r="E3803" i="9"/>
  <c r="D3803" i="9"/>
  <c r="C3803" i="9"/>
  <c r="E3808" i="9"/>
  <c r="D3808" i="9"/>
  <c r="C3808" i="9"/>
  <c r="L3808" i="9"/>
  <c r="M3808" i="9" s="1"/>
  <c r="E3818" i="9"/>
  <c r="D3818" i="9"/>
  <c r="C3818" i="9"/>
  <c r="L3818" i="9"/>
  <c r="M3818" i="9" s="1"/>
  <c r="D3823" i="9"/>
  <c r="C3823" i="9"/>
  <c r="L3823" i="9"/>
  <c r="M3823" i="9" s="1"/>
  <c r="E3823" i="9"/>
  <c r="E3833" i="9"/>
  <c r="D3833" i="9"/>
  <c r="C3833" i="9"/>
  <c r="L3833" i="9"/>
  <c r="M3833" i="9" s="1"/>
  <c r="L3838" i="9"/>
  <c r="M3838" i="9" s="1"/>
  <c r="E3838" i="9"/>
  <c r="C3838" i="9"/>
  <c r="D3838" i="9"/>
  <c r="E3843" i="9"/>
  <c r="D3843" i="9"/>
  <c r="C3843" i="9"/>
  <c r="L3843" i="9"/>
  <c r="M3843" i="9" s="1"/>
  <c r="E3878" i="9"/>
  <c r="D3878" i="9"/>
  <c r="C3878" i="9"/>
  <c r="L3878" i="9"/>
  <c r="M3878" i="9" s="1"/>
  <c r="D3883" i="9"/>
  <c r="C3883" i="9"/>
  <c r="L3883" i="9"/>
  <c r="M3883" i="9" s="1"/>
  <c r="E3883" i="9"/>
  <c r="L3898" i="9"/>
  <c r="M3898" i="9" s="1"/>
  <c r="E3898" i="9"/>
  <c r="C3898" i="9"/>
  <c r="D3898" i="9"/>
  <c r="E3914" i="9"/>
  <c r="D3914" i="9"/>
  <c r="C3914" i="9"/>
  <c r="L3914" i="9"/>
  <c r="M3914" i="9" s="1"/>
  <c r="C3940" i="9"/>
  <c r="L3940" i="9"/>
  <c r="M3940" i="9" s="1"/>
  <c r="E3940" i="9"/>
  <c r="D3940" i="9"/>
  <c r="E3956" i="9"/>
  <c r="D3956" i="9"/>
  <c r="C3956" i="9"/>
  <c r="L3956" i="9"/>
  <c r="M3956" i="9" s="1"/>
  <c r="E3961" i="9"/>
  <c r="D3961" i="9"/>
  <c r="C3961" i="9"/>
  <c r="L3961" i="9"/>
  <c r="M3961" i="9" s="1"/>
  <c r="L3977" i="9"/>
  <c r="M3977" i="9" s="1"/>
  <c r="E3977" i="9"/>
  <c r="D3977" i="9"/>
  <c r="C3977" i="9"/>
  <c r="E3982" i="9"/>
  <c r="D3982" i="9"/>
  <c r="C3982" i="9"/>
  <c r="L3982" i="9"/>
  <c r="M3982" i="9" s="1"/>
  <c r="E3998" i="9"/>
  <c r="D3998" i="9"/>
  <c r="C3998" i="9"/>
  <c r="L3998" i="9"/>
  <c r="M3998" i="9" s="1"/>
  <c r="L4003" i="9"/>
  <c r="M4003" i="9" s="1"/>
  <c r="E4003" i="9"/>
  <c r="D4003" i="9"/>
  <c r="C4003" i="9"/>
  <c r="E4045" i="9"/>
  <c r="D4045" i="9"/>
  <c r="C4045" i="9"/>
  <c r="L4045" i="9"/>
  <c r="M4045" i="9" s="1"/>
  <c r="E4154" i="9"/>
  <c r="D4154" i="9"/>
  <c r="C4154" i="9"/>
  <c r="L4154" i="9"/>
  <c r="M4154" i="9" s="1"/>
  <c r="E4165" i="9"/>
  <c r="D4165" i="9"/>
  <c r="C4165" i="9"/>
  <c r="L4165" i="9"/>
  <c r="M4165" i="9" s="1"/>
  <c r="D4205" i="9"/>
  <c r="C4205" i="9"/>
  <c r="L4205" i="9"/>
  <c r="M4205" i="9" s="1"/>
  <c r="E4205" i="9"/>
  <c r="L4269" i="9"/>
  <c r="M4269" i="9" s="1"/>
  <c r="E4269" i="9"/>
  <c r="D4269" i="9"/>
  <c r="C4269" i="9"/>
  <c r="E4333" i="9"/>
  <c r="D4333" i="9"/>
  <c r="C4333" i="9"/>
  <c r="L4333" i="9"/>
  <c r="M4333" i="9" s="1"/>
  <c r="D4397" i="9"/>
  <c r="C4397" i="9"/>
  <c r="L4397" i="9"/>
  <c r="M4397" i="9" s="1"/>
  <c r="E4397" i="9"/>
  <c r="C4461" i="9"/>
  <c r="L4461" i="9"/>
  <c r="M4461" i="9" s="1"/>
  <c r="E4461" i="9"/>
  <c r="D4461" i="9"/>
  <c r="E4525" i="9"/>
  <c r="D4525" i="9"/>
  <c r="E4589" i="9"/>
  <c r="D4589" i="9"/>
  <c r="C4653" i="9"/>
  <c r="L4653" i="9"/>
  <c r="M4653" i="9" s="1"/>
  <c r="E4653" i="9"/>
  <c r="D4653" i="9"/>
  <c r="E4717" i="9"/>
  <c r="D4717" i="9"/>
  <c r="C4717" i="9"/>
  <c r="L4717" i="9"/>
  <c r="M4717" i="9" s="1"/>
  <c r="E7" i="9"/>
  <c r="D7" i="9"/>
  <c r="E15" i="9"/>
  <c r="D15" i="9"/>
  <c r="E19" i="9"/>
  <c r="D19" i="9"/>
  <c r="E27" i="9"/>
  <c r="D27" i="9"/>
  <c r="E39" i="9"/>
  <c r="D39" i="9"/>
  <c r="L51" i="9"/>
  <c r="M51" i="9" s="1"/>
  <c r="E51" i="9"/>
  <c r="D51" i="9"/>
  <c r="C51" i="9"/>
  <c r="D59" i="9"/>
  <c r="E59" i="9"/>
  <c r="E67" i="9"/>
  <c r="D67" i="9"/>
  <c r="D71" i="9"/>
  <c r="C71" i="9"/>
  <c r="L71" i="9"/>
  <c r="M71" i="9" s="1"/>
  <c r="E71" i="9"/>
  <c r="E79" i="9"/>
  <c r="D79" i="9"/>
  <c r="E87" i="9"/>
  <c r="D87" i="9"/>
  <c r="D95" i="9"/>
  <c r="C95" i="9"/>
  <c r="L95" i="9"/>
  <c r="M95" i="9" s="1"/>
  <c r="E95" i="9"/>
  <c r="E103" i="9"/>
  <c r="D103" i="9"/>
  <c r="C103" i="9"/>
  <c r="L103" i="9"/>
  <c r="M103" i="9" s="1"/>
  <c r="E115" i="9"/>
  <c r="D115" i="9"/>
  <c r="C115" i="9"/>
  <c r="L115" i="9"/>
  <c r="M115" i="9" s="1"/>
  <c r="L123" i="9"/>
  <c r="M123" i="9" s="1"/>
  <c r="E123" i="9"/>
  <c r="D123" i="9"/>
  <c r="C123" i="9"/>
  <c r="D131" i="9"/>
  <c r="C131" i="9"/>
  <c r="L131" i="9"/>
  <c r="M131" i="9" s="1"/>
  <c r="E131" i="9"/>
  <c r="E139" i="9"/>
  <c r="D139" i="9"/>
  <c r="C139" i="9"/>
  <c r="L139" i="9"/>
  <c r="M139" i="9" s="1"/>
  <c r="L147" i="9"/>
  <c r="M147" i="9" s="1"/>
  <c r="E147" i="9"/>
  <c r="D147" i="9"/>
  <c r="C147" i="9"/>
  <c r="D155" i="9"/>
  <c r="C155" i="9"/>
  <c r="L155" i="9"/>
  <c r="M155" i="9" s="1"/>
  <c r="E155" i="9"/>
  <c r="D167" i="9"/>
  <c r="C167" i="9"/>
  <c r="L167" i="9"/>
  <c r="M167" i="9" s="1"/>
  <c r="E167" i="9"/>
  <c r="D179" i="9"/>
  <c r="C179" i="9"/>
  <c r="L179" i="9"/>
  <c r="M179" i="9" s="1"/>
  <c r="E179" i="9"/>
  <c r="D191" i="9"/>
  <c r="C191" i="9"/>
  <c r="L191" i="9"/>
  <c r="M191" i="9" s="1"/>
  <c r="E191" i="9"/>
  <c r="E199" i="9"/>
  <c r="D199" i="9"/>
  <c r="C199" i="9"/>
  <c r="L199" i="9"/>
  <c r="M199" i="9" s="1"/>
  <c r="L207" i="9"/>
  <c r="M207" i="9" s="1"/>
  <c r="E207" i="9"/>
  <c r="D207" i="9"/>
  <c r="C207" i="9"/>
  <c r="D215" i="9"/>
  <c r="E215" i="9"/>
  <c r="E223" i="9"/>
  <c r="D223" i="9"/>
  <c r="E235" i="9"/>
  <c r="D235" i="9"/>
  <c r="E243" i="9"/>
  <c r="D243" i="9"/>
  <c r="D251" i="9"/>
  <c r="C251" i="9"/>
  <c r="L251" i="9"/>
  <c r="M251" i="9" s="1"/>
  <c r="E251" i="9"/>
  <c r="E259" i="9"/>
  <c r="D259" i="9"/>
  <c r="E267" i="9"/>
  <c r="D267" i="9"/>
  <c r="E271" i="9"/>
  <c r="D271" i="9"/>
  <c r="C271" i="9"/>
  <c r="L271" i="9"/>
  <c r="M271" i="9" s="1"/>
  <c r="D275" i="9"/>
  <c r="E275" i="9"/>
  <c r="E279" i="9"/>
  <c r="D279" i="9"/>
  <c r="D287" i="9"/>
  <c r="E287" i="9"/>
  <c r="E295" i="9"/>
  <c r="D295" i="9"/>
  <c r="D299" i="9"/>
  <c r="E299" i="9"/>
  <c r="L303" i="9"/>
  <c r="M303" i="9" s="1"/>
  <c r="E303" i="9"/>
  <c r="D303" i="9"/>
  <c r="C303" i="9"/>
  <c r="E307" i="9"/>
  <c r="D307" i="9"/>
  <c r="C307" i="9"/>
  <c r="L307" i="9"/>
  <c r="M307" i="9" s="1"/>
  <c r="D311" i="9"/>
  <c r="C311" i="9"/>
  <c r="L311" i="9"/>
  <c r="M311" i="9" s="1"/>
  <c r="E311" i="9"/>
  <c r="L315" i="9"/>
  <c r="M315" i="9" s="1"/>
  <c r="E315" i="9"/>
  <c r="D315" i="9"/>
  <c r="C315" i="9"/>
  <c r="E319" i="9"/>
  <c r="D319" i="9"/>
  <c r="C319" i="9"/>
  <c r="L319" i="9"/>
  <c r="M319" i="9" s="1"/>
  <c r="D323" i="9"/>
  <c r="C323" i="9"/>
  <c r="L323" i="9"/>
  <c r="M323" i="9" s="1"/>
  <c r="E323" i="9"/>
  <c r="L327" i="9"/>
  <c r="M327" i="9" s="1"/>
  <c r="E327" i="9"/>
  <c r="D327" i="9"/>
  <c r="C327" i="9"/>
  <c r="E331" i="9"/>
  <c r="D331" i="9"/>
  <c r="C331" i="9"/>
  <c r="L331" i="9"/>
  <c r="M331" i="9" s="1"/>
  <c r="D335" i="9"/>
  <c r="C335" i="9"/>
  <c r="L335" i="9"/>
  <c r="M335" i="9" s="1"/>
  <c r="E335" i="9"/>
  <c r="L339" i="9"/>
  <c r="M339" i="9" s="1"/>
  <c r="E339" i="9"/>
  <c r="D339" i="9"/>
  <c r="C339" i="9"/>
  <c r="E343" i="9"/>
  <c r="D343" i="9"/>
  <c r="C343" i="9"/>
  <c r="L343" i="9"/>
  <c r="M343" i="9" s="1"/>
  <c r="D347" i="9"/>
  <c r="C347" i="9"/>
  <c r="L347" i="9"/>
  <c r="M347" i="9" s="1"/>
  <c r="E347" i="9"/>
  <c r="L351" i="9"/>
  <c r="M351" i="9" s="1"/>
  <c r="E351" i="9"/>
  <c r="D351" i="9"/>
  <c r="C351" i="9"/>
  <c r="E355" i="9"/>
  <c r="D355" i="9"/>
  <c r="C355" i="9"/>
  <c r="L355" i="9"/>
  <c r="M355" i="9" s="1"/>
  <c r="D359" i="9"/>
  <c r="C359" i="9"/>
  <c r="L359" i="9"/>
  <c r="M359" i="9" s="1"/>
  <c r="E359" i="9"/>
  <c r="L363" i="9"/>
  <c r="M363" i="9" s="1"/>
  <c r="E363" i="9"/>
  <c r="D363" i="9"/>
  <c r="C363" i="9"/>
  <c r="E367" i="9"/>
  <c r="D367" i="9"/>
  <c r="C367" i="9"/>
  <c r="L367" i="9"/>
  <c r="M367" i="9" s="1"/>
  <c r="D371" i="9"/>
  <c r="C371" i="9"/>
  <c r="L371" i="9"/>
  <c r="M371" i="9" s="1"/>
  <c r="E371" i="9"/>
  <c r="L375" i="9"/>
  <c r="M375" i="9" s="1"/>
  <c r="E375" i="9"/>
  <c r="D375" i="9"/>
  <c r="C375" i="9"/>
  <c r="E379" i="9"/>
  <c r="D379" i="9"/>
  <c r="C379" i="9"/>
  <c r="L379" i="9"/>
  <c r="M379" i="9" s="1"/>
  <c r="D383" i="9"/>
  <c r="C383" i="9"/>
  <c r="L383" i="9"/>
  <c r="M383" i="9" s="1"/>
  <c r="E383" i="9"/>
  <c r="L387" i="9"/>
  <c r="M387" i="9" s="1"/>
  <c r="D387" i="9"/>
  <c r="C387" i="9"/>
  <c r="E387" i="9"/>
  <c r="E391" i="9"/>
  <c r="L391" i="9"/>
  <c r="M391" i="9" s="1"/>
  <c r="D391" i="9"/>
  <c r="C391" i="9"/>
  <c r="L395" i="9"/>
  <c r="M395" i="9" s="1"/>
  <c r="D395" i="9"/>
  <c r="E395" i="9"/>
  <c r="C395" i="9"/>
  <c r="L399" i="9"/>
  <c r="M399" i="9" s="1"/>
  <c r="E399" i="9"/>
  <c r="D399" i="9"/>
  <c r="C399" i="9"/>
  <c r="E403" i="9"/>
  <c r="D403" i="9"/>
  <c r="C403" i="9"/>
  <c r="L403" i="9"/>
  <c r="M403" i="9" s="1"/>
  <c r="L407" i="9"/>
  <c r="M407" i="9" s="1"/>
  <c r="D407" i="9"/>
  <c r="C407" i="9"/>
  <c r="E407" i="9"/>
  <c r="L411" i="9"/>
  <c r="M411" i="9" s="1"/>
  <c r="C411" i="9"/>
  <c r="E411" i="9"/>
  <c r="D411" i="9"/>
  <c r="E415" i="9"/>
  <c r="D415" i="9"/>
  <c r="L415" i="9"/>
  <c r="M415" i="9" s="1"/>
  <c r="C415" i="9"/>
  <c r="E423" i="9"/>
  <c r="D423" i="9"/>
  <c r="E427" i="9"/>
  <c r="D427" i="9"/>
  <c r="E435" i="9"/>
  <c r="D435" i="9"/>
  <c r="E439" i="9"/>
  <c r="D439" i="9"/>
  <c r="E447" i="9"/>
  <c r="D447" i="9"/>
  <c r="D455" i="9"/>
  <c r="E455" i="9"/>
  <c r="E463" i="9"/>
  <c r="D463" i="9"/>
  <c r="E475" i="9"/>
  <c r="D475" i="9"/>
  <c r="E483" i="9"/>
  <c r="D483" i="9"/>
  <c r="L491" i="9"/>
  <c r="M491" i="9" s="1"/>
  <c r="D491" i="9"/>
  <c r="C491" i="9"/>
  <c r="E491" i="9"/>
  <c r="E499" i="9"/>
  <c r="D499" i="9"/>
  <c r="E507" i="9"/>
  <c r="D507" i="9"/>
  <c r="L527" i="9"/>
  <c r="M527" i="9" s="1"/>
  <c r="D527" i="9"/>
  <c r="C527" i="9"/>
  <c r="E527" i="9"/>
  <c r="E531" i="9"/>
  <c r="D531" i="9"/>
  <c r="L531" i="9"/>
  <c r="M531" i="9" s="1"/>
  <c r="C531" i="9"/>
  <c r="E535" i="9"/>
  <c r="D535" i="9"/>
  <c r="L535" i="9"/>
  <c r="M535" i="9" s="1"/>
  <c r="C535" i="9"/>
  <c r="L539" i="9"/>
  <c r="M539" i="9" s="1"/>
  <c r="D539" i="9"/>
  <c r="C539" i="9"/>
  <c r="E539" i="9"/>
  <c r="E543" i="9"/>
  <c r="D543" i="9"/>
  <c r="L543" i="9"/>
  <c r="M543" i="9" s="1"/>
  <c r="C543" i="9"/>
  <c r="E547" i="9"/>
  <c r="D547" i="9"/>
  <c r="L547" i="9"/>
  <c r="M547" i="9" s="1"/>
  <c r="C547" i="9"/>
  <c r="L551" i="9"/>
  <c r="M551" i="9" s="1"/>
  <c r="D551" i="9"/>
  <c r="C551" i="9"/>
  <c r="E551" i="9"/>
  <c r="E555" i="9"/>
  <c r="D555" i="9"/>
  <c r="L555" i="9"/>
  <c r="M555" i="9" s="1"/>
  <c r="C555" i="9"/>
  <c r="E559" i="9"/>
  <c r="D559" i="9"/>
  <c r="L559" i="9"/>
  <c r="M559" i="9" s="1"/>
  <c r="C559" i="9"/>
  <c r="L563" i="9"/>
  <c r="M563" i="9" s="1"/>
  <c r="D563" i="9"/>
  <c r="C563" i="9"/>
  <c r="E563" i="9"/>
  <c r="E567" i="9"/>
  <c r="D567" i="9"/>
  <c r="L567" i="9"/>
  <c r="M567" i="9" s="1"/>
  <c r="C567" i="9"/>
  <c r="E571" i="9"/>
  <c r="D571" i="9"/>
  <c r="L571" i="9"/>
  <c r="M571" i="9" s="1"/>
  <c r="C571" i="9"/>
  <c r="L575" i="9"/>
  <c r="M575" i="9" s="1"/>
  <c r="D575" i="9"/>
  <c r="C575" i="9"/>
  <c r="E575" i="9"/>
  <c r="E579" i="9"/>
  <c r="D579" i="9"/>
  <c r="L579" i="9"/>
  <c r="M579" i="9" s="1"/>
  <c r="C579" i="9"/>
  <c r="E583" i="9"/>
  <c r="D583" i="9"/>
  <c r="L583" i="9"/>
  <c r="M583" i="9" s="1"/>
  <c r="C583" i="9"/>
  <c r="L587" i="9"/>
  <c r="M587" i="9" s="1"/>
  <c r="D587" i="9"/>
  <c r="C587" i="9"/>
  <c r="E587" i="9"/>
  <c r="E591" i="9"/>
  <c r="D591" i="9"/>
  <c r="L591" i="9"/>
  <c r="M591" i="9" s="1"/>
  <c r="C591" i="9"/>
  <c r="E595" i="9"/>
  <c r="D595" i="9"/>
  <c r="L595" i="9"/>
  <c r="M595" i="9" s="1"/>
  <c r="C595" i="9"/>
  <c r="L599" i="9"/>
  <c r="M599" i="9" s="1"/>
  <c r="D599" i="9"/>
  <c r="C599" i="9"/>
  <c r="E599" i="9"/>
  <c r="E603" i="9"/>
  <c r="D603" i="9"/>
  <c r="L603" i="9"/>
  <c r="M603" i="9" s="1"/>
  <c r="C603" i="9"/>
  <c r="E607" i="9"/>
  <c r="D607" i="9"/>
  <c r="L607" i="9"/>
  <c r="M607" i="9" s="1"/>
  <c r="C607" i="9"/>
  <c r="L611" i="9"/>
  <c r="M611" i="9" s="1"/>
  <c r="D611" i="9"/>
  <c r="C611" i="9"/>
  <c r="E611" i="9"/>
  <c r="E615" i="9"/>
  <c r="D615" i="9"/>
  <c r="L615" i="9"/>
  <c r="M615" i="9" s="1"/>
  <c r="C615" i="9"/>
  <c r="E619" i="9"/>
  <c r="D619" i="9"/>
  <c r="L619" i="9"/>
  <c r="M619" i="9" s="1"/>
  <c r="C619" i="9"/>
  <c r="L623" i="9"/>
  <c r="M623" i="9" s="1"/>
  <c r="D623" i="9"/>
  <c r="C623" i="9"/>
  <c r="E623" i="9"/>
  <c r="E627" i="9"/>
  <c r="D627" i="9"/>
  <c r="L627" i="9"/>
  <c r="M627" i="9" s="1"/>
  <c r="C627" i="9"/>
  <c r="E631" i="9"/>
  <c r="D631" i="9"/>
  <c r="L631" i="9"/>
  <c r="M631" i="9" s="1"/>
  <c r="C631" i="9"/>
  <c r="D635" i="9"/>
  <c r="E635" i="9"/>
  <c r="E639" i="9"/>
  <c r="D639" i="9"/>
  <c r="E643" i="9"/>
  <c r="D643" i="9"/>
  <c r="D647" i="9"/>
  <c r="E647" i="9"/>
  <c r="E651" i="9"/>
  <c r="D651" i="9"/>
  <c r="L651" i="9"/>
  <c r="M651" i="9" s="1"/>
  <c r="C651" i="9"/>
  <c r="E655" i="9"/>
  <c r="D655" i="9"/>
  <c r="D659" i="9"/>
  <c r="E659" i="9"/>
  <c r="E663" i="9"/>
  <c r="D663" i="9"/>
  <c r="E667" i="9"/>
  <c r="D667" i="9"/>
  <c r="L671" i="9"/>
  <c r="M671" i="9" s="1"/>
  <c r="D671" i="9"/>
  <c r="C671" i="9"/>
  <c r="E671" i="9"/>
  <c r="E675" i="9"/>
  <c r="D675" i="9"/>
  <c r="E679" i="9"/>
  <c r="D679" i="9"/>
  <c r="D683" i="9"/>
  <c r="E683" i="9"/>
  <c r="E687" i="9"/>
  <c r="D687" i="9"/>
  <c r="E691" i="9"/>
  <c r="D691" i="9"/>
  <c r="L691" i="9"/>
  <c r="M691" i="9" s="1"/>
  <c r="C691" i="9"/>
  <c r="D695" i="9"/>
  <c r="E695" i="9"/>
  <c r="E699" i="9"/>
  <c r="D699" i="9"/>
  <c r="E703" i="9"/>
  <c r="D703" i="9"/>
  <c r="D707" i="9"/>
  <c r="E707" i="9"/>
  <c r="E711" i="9"/>
  <c r="D711" i="9"/>
  <c r="L711" i="9"/>
  <c r="M711" i="9" s="1"/>
  <c r="C711" i="9"/>
  <c r="E715" i="9"/>
  <c r="D715" i="9"/>
  <c r="D719" i="9"/>
  <c r="E719" i="9"/>
  <c r="E723" i="9"/>
  <c r="D723" i="9"/>
  <c r="L723" i="9"/>
  <c r="M723" i="9" s="1"/>
  <c r="C723" i="9"/>
  <c r="E727" i="9"/>
  <c r="D727" i="9"/>
  <c r="L727" i="9"/>
  <c r="M727" i="9" s="1"/>
  <c r="C727" i="9"/>
  <c r="L731" i="9"/>
  <c r="M731" i="9" s="1"/>
  <c r="D731" i="9"/>
  <c r="C731" i="9"/>
  <c r="E731" i="9"/>
  <c r="E735" i="9"/>
  <c r="D735" i="9"/>
  <c r="L735" i="9"/>
  <c r="M735" i="9" s="1"/>
  <c r="C735" i="9"/>
  <c r="E739" i="9"/>
  <c r="D739" i="9"/>
  <c r="L739" i="9"/>
  <c r="M739" i="9" s="1"/>
  <c r="C739" i="9"/>
  <c r="L743" i="9"/>
  <c r="M743" i="9" s="1"/>
  <c r="D743" i="9"/>
  <c r="C743" i="9"/>
  <c r="E743" i="9"/>
  <c r="E747" i="9"/>
  <c r="D747" i="9"/>
  <c r="L747" i="9"/>
  <c r="M747" i="9" s="1"/>
  <c r="C747" i="9"/>
  <c r="E751" i="9"/>
  <c r="D751" i="9"/>
  <c r="L751" i="9"/>
  <c r="M751" i="9" s="1"/>
  <c r="C751" i="9"/>
  <c r="L755" i="9"/>
  <c r="M755" i="9" s="1"/>
  <c r="D755" i="9"/>
  <c r="C755" i="9"/>
  <c r="E755" i="9"/>
  <c r="E759" i="9"/>
  <c r="D759" i="9"/>
  <c r="L759" i="9"/>
  <c r="M759" i="9" s="1"/>
  <c r="C759" i="9"/>
  <c r="E763" i="9"/>
  <c r="D763" i="9"/>
  <c r="L763" i="9"/>
  <c r="M763" i="9" s="1"/>
  <c r="C763" i="9"/>
  <c r="L767" i="9"/>
  <c r="M767" i="9" s="1"/>
  <c r="D767" i="9"/>
  <c r="C767" i="9"/>
  <c r="E767" i="9"/>
  <c r="E771" i="9"/>
  <c r="D771" i="9"/>
  <c r="L771" i="9"/>
  <c r="M771" i="9" s="1"/>
  <c r="C771" i="9"/>
  <c r="E775" i="9"/>
  <c r="D775" i="9"/>
  <c r="C775" i="9"/>
  <c r="L775" i="9"/>
  <c r="M775" i="9" s="1"/>
  <c r="L779" i="9"/>
  <c r="M779" i="9" s="1"/>
  <c r="D779" i="9"/>
  <c r="C779" i="9"/>
  <c r="E779" i="9"/>
  <c r="E783" i="9"/>
  <c r="D783" i="9"/>
  <c r="L783" i="9"/>
  <c r="M783" i="9" s="1"/>
  <c r="C783" i="9"/>
  <c r="E787" i="9"/>
  <c r="D787" i="9"/>
  <c r="C787" i="9"/>
  <c r="L787" i="9"/>
  <c r="M787" i="9" s="1"/>
  <c r="L791" i="9"/>
  <c r="M791" i="9" s="1"/>
  <c r="D791" i="9"/>
  <c r="C791" i="9"/>
  <c r="E791" i="9"/>
  <c r="E795" i="9"/>
  <c r="D795" i="9"/>
  <c r="L795" i="9"/>
  <c r="M795" i="9" s="1"/>
  <c r="C795" i="9"/>
  <c r="E799" i="9"/>
  <c r="D799" i="9"/>
  <c r="C799" i="9"/>
  <c r="L799" i="9"/>
  <c r="M799" i="9" s="1"/>
  <c r="L803" i="9"/>
  <c r="M803" i="9" s="1"/>
  <c r="D803" i="9"/>
  <c r="C803" i="9"/>
  <c r="E803" i="9"/>
  <c r="E807" i="9"/>
  <c r="D807" i="9"/>
  <c r="L807" i="9"/>
  <c r="M807" i="9" s="1"/>
  <c r="C807" i="9"/>
  <c r="E811" i="9"/>
  <c r="D811" i="9"/>
  <c r="C811" i="9"/>
  <c r="L811" i="9"/>
  <c r="M811" i="9" s="1"/>
  <c r="L815" i="9"/>
  <c r="M815" i="9" s="1"/>
  <c r="D815" i="9"/>
  <c r="C815" i="9"/>
  <c r="E815" i="9"/>
  <c r="E819" i="9"/>
  <c r="D819" i="9"/>
  <c r="L819" i="9"/>
  <c r="M819" i="9" s="1"/>
  <c r="C819" i="9"/>
  <c r="E823" i="9"/>
  <c r="D823" i="9"/>
  <c r="C823" i="9"/>
  <c r="L823" i="9"/>
  <c r="M823" i="9" s="1"/>
  <c r="L827" i="9"/>
  <c r="M827" i="9" s="1"/>
  <c r="D827" i="9"/>
  <c r="C827" i="9"/>
  <c r="E827" i="9"/>
  <c r="E831" i="9"/>
  <c r="D831" i="9"/>
  <c r="L831" i="9"/>
  <c r="M831" i="9" s="1"/>
  <c r="C831" i="9"/>
  <c r="E835" i="9"/>
  <c r="D835" i="9"/>
  <c r="C835" i="9"/>
  <c r="L835" i="9"/>
  <c r="M835" i="9" s="1"/>
  <c r="L839" i="9"/>
  <c r="M839" i="9" s="1"/>
  <c r="D839" i="9"/>
  <c r="C839" i="9"/>
  <c r="E839" i="9"/>
  <c r="E843" i="9"/>
  <c r="D843" i="9"/>
  <c r="E847" i="9"/>
  <c r="D847" i="9"/>
  <c r="C851" i="9"/>
  <c r="L851" i="9"/>
  <c r="M851" i="9" s="1"/>
  <c r="E851" i="9"/>
  <c r="D851" i="9"/>
  <c r="E855" i="9"/>
  <c r="D855" i="9"/>
  <c r="E859" i="9"/>
  <c r="D859" i="9"/>
  <c r="E863" i="9"/>
  <c r="D863" i="9"/>
  <c r="E867" i="9"/>
  <c r="D867" i="9"/>
  <c r="E871" i="9"/>
  <c r="D871" i="9"/>
  <c r="C871" i="9"/>
  <c r="L871" i="9"/>
  <c r="M871" i="9" s="1"/>
  <c r="E875" i="9"/>
  <c r="D875" i="9"/>
  <c r="E879" i="9"/>
  <c r="D879" i="9"/>
  <c r="E883" i="9"/>
  <c r="D883" i="9"/>
  <c r="E887" i="9"/>
  <c r="D887" i="9"/>
  <c r="E891" i="9"/>
  <c r="L891" i="9"/>
  <c r="M891" i="9" s="1"/>
  <c r="D891" i="9"/>
  <c r="C891" i="9"/>
  <c r="E895" i="9"/>
  <c r="D895" i="9"/>
  <c r="E899" i="9"/>
  <c r="D899" i="9"/>
  <c r="E903" i="9"/>
  <c r="D903" i="9"/>
  <c r="E907" i="9"/>
  <c r="D907" i="9"/>
  <c r="C911" i="9"/>
  <c r="L911" i="9"/>
  <c r="M911" i="9" s="1"/>
  <c r="E911" i="9"/>
  <c r="D911" i="9"/>
  <c r="E915" i="9"/>
  <c r="D915" i="9"/>
  <c r="E919" i="9"/>
  <c r="D919" i="9"/>
  <c r="E923" i="9"/>
  <c r="D923" i="9"/>
  <c r="E927" i="9"/>
  <c r="D927" i="9"/>
  <c r="E931" i="9"/>
  <c r="D931" i="9"/>
  <c r="C931" i="9"/>
  <c r="L931" i="9"/>
  <c r="M931" i="9" s="1"/>
  <c r="C935" i="9"/>
  <c r="L935" i="9"/>
  <c r="M935" i="9" s="1"/>
  <c r="E935" i="9"/>
  <c r="D935" i="9"/>
  <c r="E939" i="9"/>
  <c r="D939" i="9"/>
  <c r="C939" i="9"/>
  <c r="L939" i="9"/>
  <c r="M939" i="9" s="1"/>
  <c r="E943" i="9"/>
  <c r="D943" i="9"/>
  <c r="C943" i="9"/>
  <c r="L943" i="9"/>
  <c r="M943" i="9" s="1"/>
  <c r="C947" i="9"/>
  <c r="L947" i="9"/>
  <c r="M947" i="9" s="1"/>
  <c r="E947" i="9"/>
  <c r="D947" i="9"/>
  <c r="E951" i="9"/>
  <c r="L951" i="9"/>
  <c r="M951" i="9" s="1"/>
  <c r="D951" i="9"/>
  <c r="C951" i="9"/>
  <c r="E955" i="9"/>
  <c r="D955" i="9"/>
  <c r="C955" i="9"/>
  <c r="L955" i="9"/>
  <c r="M955" i="9" s="1"/>
  <c r="C959" i="9"/>
  <c r="L959" i="9"/>
  <c r="M959" i="9" s="1"/>
  <c r="E959" i="9"/>
  <c r="D959" i="9"/>
  <c r="E963" i="9"/>
  <c r="L963" i="9"/>
  <c r="M963" i="9" s="1"/>
  <c r="D963" i="9"/>
  <c r="C963" i="9"/>
  <c r="E967" i="9"/>
  <c r="D967" i="9"/>
  <c r="C967" i="9"/>
  <c r="L967" i="9"/>
  <c r="M967" i="9" s="1"/>
  <c r="C971" i="9"/>
  <c r="L971" i="9"/>
  <c r="M971" i="9" s="1"/>
  <c r="E971" i="9"/>
  <c r="D971" i="9"/>
  <c r="E975" i="9"/>
  <c r="D975" i="9"/>
  <c r="C975" i="9"/>
  <c r="L975" i="9"/>
  <c r="M975" i="9" s="1"/>
  <c r="E979" i="9"/>
  <c r="D979" i="9"/>
  <c r="C979" i="9"/>
  <c r="L979" i="9"/>
  <c r="M979" i="9" s="1"/>
  <c r="C983" i="9"/>
  <c r="L983" i="9"/>
  <c r="M983" i="9" s="1"/>
  <c r="E983" i="9"/>
  <c r="D983" i="9"/>
  <c r="E987" i="9"/>
  <c r="L987" i="9"/>
  <c r="M987" i="9" s="1"/>
  <c r="D987" i="9"/>
  <c r="C987" i="9"/>
  <c r="E991" i="9"/>
  <c r="D991" i="9"/>
  <c r="C991" i="9"/>
  <c r="L991" i="9"/>
  <c r="M991" i="9" s="1"/>
  <c r="C995" i="9"/>
  <c r="L995" i="9"/>
  <c r="M995" i="9" s="1"/>
  <c r="E995" i="9"/>
  <c r="D995" i="9"/>
  <c r="E999" i="9"/>
  <c r="L999" i="9"/>
  <c r="M999" i="9" s="1"/>
  <c r="D999" i="9"/>
  <c r="C999" i="9"/>
  <c r="E1003" i="9"/>
  <c r="D1003" i="9"/>
  <c r="C1003" i="9"/>
  <c r="L1003" i="9"/>
  <c r="M1003" i="9" s="1"/>
  <c r="C1007" i="9"/>
  <c r="L1007" i="9"/>
  <c r="M1007" i="9" s="1"/>
  <c r="E1007" i="9"/>
  <c r="D1007" i="9"/>
  <c r="E1011" i="9"/>
  <c r="D1011" i="9"/>
  <c r="C1011" i="9"/>
  <c r="L1011" i="9"/>
  <c r="M1011" i="9" s="1"/>
  <c r="E1015" i="9"/>
  <c r="D1015" i="9"/>
  <c r="C1015" i="9"/>
  <c r="L1015" i="9"/>
  <c r="M1015" i="9" s="1"/>
  <c r="C1019" i="9"/>
  <c r="L1019" i="9"/>
  <c r="M1019" i="9" s="1"/>
  <c r="E1019" i="9"/>
  <c r="D1019" i="9"/>
  <c r="E1023" i="9"/>
  <c r="L1023" i="9"/>
  <c r="M1023" i="9" s="1"/>
  <c r="D1023" i="9"/>
  <c r="C1023" i="9"/>
  <c r="E1027" i="9"/>
  <c r="D1027" i="9"/>
  <c r="C1027" i="9"/>
  <c r="L1027" i="9"/>
  <c r="M1027" i="9" s="1"/>
  <c r="C1031" i="9"/>
  <c r="L1031" i="9"/>
  <c r="M1031" i="9" s="1"/>
  <c r="E1031" i="9"/>
  <c r="D1031" i="9"/>
  <c r="E1035" i="9"/>
  <c r="L1035" i="9"/>
  <c r="M1035" i="9" s="1"/>
  <c r="D1035" i="9"/>
  <c r="C1035" i="9"/>
  <c r="E1039" i="9"/>
  <c r="D1039" i="9"/>
  <c r="C1039" i="9"/>
  <c r="L1039" i="9"/>
  <c r="M1039" i="9" s="1"/>
  <c r="C1043" i="9"/>
  <c r="L1043" i="9"/>
  <c r="M1043" i="9" s="1"/>
  <c r="E1043" i="9"/>
  <c r="D1043" i="9"/>
  <c r="E1047" i="9"/>
  <c r="D1047" i="9"/>
  <c r="C1047" i="9"/>
  <c r="L1047" i="9"/>
  <c r="M1047" i="9" s="1"/>
  <c r="E1051" i="9"/>
  <c r="D1051" i="9"/>
  <c r="C1051" i="9"/>
  <c r="L1051" i="9"/>
  <c r="M1051" i="9" s="1"/>
  <c r="E1055" i="9"/>
  <c r="D1055" i="9"/>
  <c r="E1059" i="9"/>
  <c r="D1059" i="9"/>
  <c r="E1063" i="9"/>
  <c r="D1063" i="9"/>
  <c r="E1067" i="9"/>
  <c r="D1067" i="9"/>
  <c r="E1071" i="9"/>
  <c r="D1071" i="9"/>
  <c r="L1071" i="9"/>
  <c r="M1071" i="9" s="1"/>
  <c r="C1071" i="9"/>
  <c r="E1075" i="9"/>
  <c r="D1075" i="9"/>
  <c r="E1079" i="9"/>
  <c r="D1079" i="9"/>
  <c r="E1083" i="9"/>
  <c r="D1083" i="9"/>
  <c r="E1087" i="9"/>
  <c r="D1087" i="9"/>
  <c r="C1091" i="9"/>
  <c r="L1091" i="9"/>
  <c r="M1091" i="9" s="1"/>
  <c r="E1091" i="9"/>
  <c r="D1091" i="9"/>
  <c r="E1095" i="9"/>
  <c r="D1095" i="9"/>
  <c r="E1099" i="9"/>
  <c r="D1099" i="9"/>
  <c r="E1103" i="9"/>
  <c r="D1103" i="9"/>
  <c r="E1107" i="9"/>
  <c r="D1107" i="9"/>
  <c r="E1111" i="9"/>
  <c r="D1111" i="9"/>
  <c r="C1111" i="9"/>
  <c r="L1111" i="9"/>
  <c r="M1111" i="9" s="1"/>
  <c r="E1115" i="9"/>
  <c r="D1115" i="9"/>
  <c r="E1119" i="9"/>
  <c r="D1119" i="9"/>
  <c r="E1123" i="9"/>
  <c r="D1123" i="9"/>
  <c r="E1127" i="9"/>
  <c r="D1127" i="9"/>
  <c r="E1131" i="9"/>
  <c r="D1131" i="9"/>
  <c r="L1131" i="9"/>
  <c r="M1131" i="9" s="1"/>
  <c r="C1131" i="9"/>
  <c r="E1135" i="9"/>
  <c r="D1135" i="9"/>
  <c r="E1139" i="9"/>
  <c r="D1139" i="9"/>
  <c r="E1143" i="9"/>
  <c r="D1143" i="9"/>
  <c r="L1143" i="9"/>
  <c r="M1143" i="9" s="1"/>
  <c r="C1143" i="9"/>
  <c r="E1147" i="9"/>
  <c r="D1147" i="9"/>
  <c r="C1147" i="9"/>
  <c r="L1147" i="9"/>
  <c r="M1147" i="9" s="1"/>
  <c r="C1151" i="9"/>
  <c r="L1151" i="9"/>
  <c r="M1151" i="9" s="1"/>
  <c r="E1151" i="9"/>
  <c r="D1151" i="9"/>
  <c r="E1155" i="9"/>
  <c r="D1155" i="9"/>
  <c r="C1155" i="9"/>
  <c r="L1155" i="9"/>
  <c r="M1155" i="9" s="1"/>
  <c r="E1159" i="9"/>
  <c r="D1159" i="9"/>
  <c r="C1159" i="9"/>
  <c r="L1159" i="9"/>
  <c r="M1159" i="9" s="1"/>
  <c r="C1163" i="9"/>
  <c r="L1163" i="9"/>
  <c r="M1163" i="9" s="1"/>
  <c r="E1163" i="9"/>
  <c r="D1163" i="9"/>
  <c r="E1167" i="9"/>
  <c r="D1167" i="9"/>
  <c r="L1167" i="9"/>
  <c r="M1167" i="9" s="1"/>
  <c r="C1167" i="9"/>
  <c r="E1171" i="9"/>
  <c r="D1171" i="9"/>
  <c r="C1171" i="9"/>
  <c r="L1171" i="9"/>
  <c r="M1171" i="9" s="1"/>
  <c r="C1175" i="9"/>
  <c r="L1175" i="9"/>
  <c r="M1175" i="9" s="1"/>
  <c r="E1175" i="9"/>
  <c r="D1175" i="9"/>
  <c r="E1179" i="9"/>
  <c r="D1179" i="9"/>
  <c r="L1179" i="9"/>
  <c r="M1179" i="9" s="1"/>
  <c r="C1179" i="9"/>
  <c r="E1183" i="9"/>
  <c r="D1183" i="9"/>
  <c r="C1183" i="9"/>
  <c r="L1183" i="9"/>
  <c r="M1183" i="9" s="1"/>
  <c r="C1187" i="9"/>
  <c r="L1187" i="9"/>
  <c r="M1187" i="9" s="1"/>
  <c r="E1187" i="9"/>
  <c r="D1187" i="9"/>
  <c r="E1191" i="9"/>
  <c r="D1191" i="9"/>
  <c r="L1191" i="9"/>
  <c r="M1191" i="9" s="1"/>
  <c r="C1191" i="9"/>
  <c r="E1195" i="9"/>
  <c r="D1195" i="9"/>
  <c r="C1195" i="9"/>
  <c r="L1195" i="9"/>
  <c r="M1195" i="9" s="1"/>
  <c r="C1199" i="9"/>
  <c r="L1199" i="9"/>
  <c r="M1199" i="9" s="1"/>
  <c r="E1199" i="9"/>
  <c r="D1199" i="9"/>
  <c r="E1203" i="9"/>
  <c r="D1203" i="9"/>
  <c r="C1203" i="9"/>
  <c r="L1203" i="9"/>
  <c r="M1203" i="9" s="1"/>
  <c r="E1207" i="9"/>
  <c r="D1207" i="9"/>
  <c r="C1207" i="9"/>
  <c r="L1207" i="9"/>
  <c r="M1207" i="9" s="1"/>
  <c r="C1211" i="9"/>
  <c r="L1211" i="9"/>
  <c r="M1211" i="9" s="1"/>
  <c r="E1211" i="9"/>
  <c r="D1211" i="9"/>
  <c r="E1215" i="9"/>
  <c r="D1215" i="9"/>
  <c r="L1215" i="9"/>
  <c r="M1215" i="9" s="1"/>
  <c r="C1215" i="9"/>
  <c r="E1219" i="9"/>
  <c r="D1219" i="9"/>
  <c r="C1219" i="9"/>
  <c r="L1219" i="9"/>
  <c r="M1219" i="9" s="1"/>
  <c r="C1223" i="9"/>
  <c r="L1223" i="9"/>
  <c r="M1223" i="9" s="1"/>
  <c r="E1223" i="9"/>
  <c r="D1223" i="9"/>
  <c r="E1227" i="9"/>
  <c r="D1227" i="9"/>
  <c r="L1227" i="9"/>
  <c r="M1227" i="9" s="1"/>
  <c r="C1227" i="9"/>
  <c r="E1231" i="9"/>
  <c r="D1231" i="9"/>
  <c r="C1231" i="9"/>
  <c r="L1231" i="9"/>
  <c r="M1231" i="9" s="1"/>
  <c r="C1235" i="9"/>
  <c r="L1235" i="9"/>
  <c r="M1235" i="9" s="1"/>
  <c r="E1235" i="9"/>
  <c r="D1235" i="9"/>
  <c r="E1239" i="9"/>
  <c r="D1239" i="9"/>
  <c r="L1239" i="9"/>
  <c r="M1239" i="9" s="1"/>
  <c r="C1239" i="9"/>
  <c r="E1243" i="9"/>
  <c r="D1243" i="9"/>
  <c r="C1243" i="9"/>
  <c r="L1243" i="9"/>
  <c r="M1243" i="9" s="1"/>
  <c r="C1247" i="9"/>
  <c r="L1247" i="9"/>
  <c r="M1247" i="9" s="1"/>
  <c r="E1247" i="9"/>
  <c r="D1247" i="9"/>
  <c r="E1251" i="9"/>
  <c r="D1251" i="9"/>
  <c r="C1251" i="9"/>
  <c r="L1251" i="9"/>
  <c r="M1251" i="9" s="1"/>
  <c r="E1255" i="9"/>
  <c r="D1255" i="9"/>
  <c r="C1255" i="9"/>
  <c r="L1255" i="9"/>
  <c r="M1255" i="9" s="1"/>
  <c r="C1259" i="9"/>
  <c r="L1259" i="9"/>
  <c r="M1259" i="9" s="1"/>
  <c r="E1259" i="9"/>
  <c r="D1259" i="9"/>
  <c r="E1263" i="9"/>
  <c r="D1263" i="9"/>
  <c r="E1267" i="9"/>
  <c r="D1267" i="9"/>
  <c r="C1271" i="9"/>
  <c r="L1271" i="9"/>
  <c r="M1271" i="9" s="1"/>
  <c r="E1271" i="9"/>
  <c r="D1271" i="9"/>
  <c r="E1275" i="9"/>
  <c r="D1275" i="9"/>
  <c r="E1279" i="9"/>
  <c r="D1279" i="9"/>
  <c r="C1279" i="9"/>
  <c r="L1279" i="9"/>
  <c r="M1279" i="9" s="1"/>
  <c r="E1283" i="9"/>
  <c r="D1283" i="9"/>
  <c r="E1287" i="9"/>
  <c r="D1287" i="9"/>
  <c r="E1291" i="9"/>
  <c r="D1291" i="9"/>
  <c r="C1291" i="9"/>
  <c r="L1291" i="9"/>
  <c r="M1291" i="9" s="1"/>
  <c r="E1295" i="9"/>
  <c r="D1295" i="9"/>
  <c r="E1299" i="9"/>
  <c r="D1299" i="9"/>
  <c r="C1299" i="9"/>
  <c r="L1299" i="9"/>
  <c r="M1299" i="9" s="1"/>
  <c r="E1303" i="9"/>
  <c r="D1303" i="9"/>
  <c r="E1307" i="9"/>
  <c r="D1307" i="9"/>
  <c r="E1311" i="9"/>
  <c r="D1311" i="9"/>
  <c r="L1311" i="9"/>
  <c r="M1311" i="9" s="1"/>
  <c r="C1311" i="9"/>
  <c r="E1315" i="9"/>
  <c r="D1315" i="9"/>
  <c r="C1319" i="9"/>
  <c r="L1319" i="9"/>
  <c r="M1319" i="9" s="1"/>
  <c r="E1319" i="9"/>
  <c r="D1319" i="9"/>
  <c r="E1323" i="9"/>
  <c r="D1323" i="9"/>
  <c r="E1327" i="9"/>
  <c r="D1327" i="9"/>
  <c r="C1331" i="9"/>
  <c r="L1331" i="9"/>
  <c r="M1331" i="9" s="1"/>
  <c r="E1331" i="9"/>
  <c r="D1331" i="9"/>
  <c r="E1335" i="9"/>
  <c r="D1335" i="9"/>
  <c r="L1335" i="9"/>
  <c r="M1335" i="9" s="1"/>
  <c r="C1335" i="9"/>
  <c r="E1339" i="9"/>
  <c r="D1339" i="9"/>
  <c r="C1339" i="9"/>
  <c r="L1339" i="9"/>
  <c r="M1339" i="9" s="1"/>
  <c r="L1343" i="9"/>
  <c r="M1343" i="9" s="1"/>
  <c r="D1343" i="9"/>
  <c r="C1343" i="9"/>
  <c r="E1343" i="9"/>
  <c r="C1347" i="9"/>
  <c r="L1347" i="9"/>
  <c r="M1347" i="9" s="1"/>
  <c r="E1347" i="9"/>
  <c r="D1347" i="9"/>
  <c r="E1351" i="9"/>
  <c r="D1351" i="9"/>
  <c r="C1351" i="9"/>
  <c r="L1351" i="9"/>
  <c r="M1351" i="9" s="1"/>
  <c r="C1355" i="9"/>
  <c r="L1355" i="9"/>
  <c r="M1355" i="9" s="1"/>
  <c r="E1355" i="9"/>
  <c r="D1355" i="9"/>
  <c r="C1359" i="9"/>
  <c r="E1359" i="9"/>
  <c r="D1359" i="9"/>
  <c r="L1359" i="9"/>
  <c r="M1359" i="9" s="1"/>
  <c r="E1363" i="9"/>
  <c r="D1363" i="9"/>
  <c r="C1363" i="9"/>
  <c r="L1363" i="9"/>
  <c r="M1363" i="9" s="1"/>
  <c r="C1367" i="9"/>
  <c r="L1367" i="9"/>
  <c r="M1367" i="9" s="1"/>
  <c r="E1367" i="9"/>
  <c r="D1367" i="9"/>
  <c r="C1371" i="9"/>
  <c r="L1371" i="9"/>
  <c r="M1371" i="9" s="1"/>
  <c r="E1371" i="9"/>
  <c r="D1371" i="9"/>
  <c r="E1375" i="9"/>
  <c r="D1375" i="9"/>
  <c r="C1375" i="9"/>
  <c r="L1375" i="9"/>
  <c r="M1375" i="9" s="1"/>
  <c r="C1379" i="9"/>
  <c r="L1379" i="9"/>
  <c r="M1379" i="9" s="1"/>
  <c r="E1379" i="9"/>
  <c r="D1379" i="9"/>
  <c r="C1383" i="9"/>
  <c r="L1383" i="9"/>
  <c r="M1383" i="9" s="1"/>
  <c r="E1383" i="9"/>
  <c r="D1383" i="9"/>
  <c r="E1387" i="9"/>
  <c r="D1387" i="9"/>
  <c r="C1387" i="9"/>
  <c r="L1387" i="9"/>
  <c r="M1387" i="9" s="1"/>
  <c r="E1391" i="9"/>
  <c r="C1391" i="9"/>
  <c r="L1391" i="9"/>
  <c r="M1391" i="9" s="1"/>
  <c r="D1391" i="9"/>
  <c r="C1395" i="9"/>
  <c r="L1395" i="9"/>
  <c r="M1395" i="9" s="1"/>
  <c r="E1395" i="9"/>
  <c r="D1395" i="9"/>
  <c r="E1399" i="9"/>
  <c r="D1399" i="9"/>
  <c r="C1399" i="9"/>
  <c r="L1399" i="9"/>
  <c r="M1399" i="9" s="1"/>
  <c r="E1403" i="9"/>
  <c r="C1403" i="9"/>
  <c r="L1403" i="9"/>
  <c r="M1403" i="9" s="1"/>
  <c r="D1403" i="9"/>
  <c r="C1407" i="9"/>
  <c r="D1407" i="9"/>
  <c r="L1407" i="9"/>
  <c r="M1407" i="9" s="1"/>
  <c r="E1407" i="9"/>
  <c r="E1411" i="9"/>
  <c r="D1411" i="9"/>
  <c r="C1411" i="9"/>
  <c r="L1411" i="9"/>
  <c r="M1411" i="9" s="1"/>
  <c r="E1415" i="9"/>
  <c r="C1415" i="9"/>
  <c r="L1415" i="9"/>
  <c r="M1415" i="9" s="1"/>
  <c r="D1415" i="9"/>
  <c r="C1419" i="9"/>
  <c r="L1419" i="9"/>
  <c r="M1419" i="9" s="1"/>
  <c r="E1419" i="9"/>
  <c r="D1419" i="9"/>
  <c r="E1423" i="9"/>
  <c r="D1423" i="9"/>
  <c r="C1423" i="9"/>
  <c r="L1423" i="9"/>
  <c r="M1423" i="9" s="1"/>
  <c r="E1427" i="9"/>
  <c r="C1427" i="9"/>
  <c r="L1427" i="9"/>
  <c r="M1427" i="9" s="1"/>
  <c r="D1427" i="9"/>
  <c r="C1431" i="9"/>
  <c r="L1431" i="9"/>
  <c r="M1431" i="9" s="1"/>
  <c r="E1431" i="9"/>
  <c r="D1431" i="9"/>
  <c r="E1435" i="9"/>
  <c r="D1435" i="9"/>
  <c r="C1435" i="9"/>
  <c r="L1435" i="9"/>
  <c r="M1435" i="9" s="1"/>
  <c r="E1439" i="9"/>
  <c r="C1439" i="9"/>
  <c r="L1439" i="9"/>
  <c r="M1439" i="9" s="1"/>
  <c r="D1439" i="9"/>
  <c r="C1443" i="9"/>
  <c r="L1443" i="9"/>
  <c r="M1443" i="9" s="1"/>
  <c r="E1443" i="9"/>
  <c r="D1443" i="9"/>
  <c r="E1447" i="9"/>
  <c r="D1447" i="9"/>
  <c r="C1447" i="9"/>
  <c r="L1447" i="9"/>
  <c r="M1447" i="9" s="1"/>
  <c r="E1451" i="9"/>
  <c r="C1451" i="9"/>
  <c r="L1451" i="9"/>
  <c r="M1451" i="9" s="1"/>
  <c r="D1451" i="9"/>
  <c r="C1455" i="9"/>
  <c r="D1455" i="9"/>
  <c r="L1455" i="9"/>
  <c r="M1455" i="9" s="1"/>
  <c r="E1455" i="9"/>
  <c r="E1459" i="9"/>
  <c r="D1459" i="9"/>
  <c r="C1459" i="9"/>
  <c r="L1459" i="9"/>
  <c r="M1459" i="9" s="1"/>
  <c r="E1463" i="9"/>
  <c r="C1463" i="9"/>
  <c r="L1463" i="9"/>
  <c r="M1463" i="9" s="1"/>
  <c r="D1463" i="9"/>
  <c r="C1467" i="9"/>
  <c r="L1467" i="9"/>
  <c r="M1467" i="9" s="1"/>
  <c r="D1467" i="9"/>
  <c r="E1467" i="9"/>
  <c r="E1471" i="9"/>
  <c r="D1471" i="9"/>
  <c r="C1471" i="9"/>
  <c r="L1471" i="9"/>
  <c r="M1471" i="9" s="1"/>
  <c r="E1475" i="9"/>
  <c r="D1475" i="9"/>
  <c r="C1479" i="9"/>
  <c r="L1479" i="9"/>
  <c r="M1479" i="9" s="1"/>
  <c r="E1479" i="9"/>
  <c r="D1479" i="9"/>
  <c r="E1483" i="9"/>
  <c r="D1483" i="9"/>
  <c r="E1487" i="9"/>
  <c r="D1487" i="9"/>
  <c r="C1491" i="9"/>
  <c r="L1491" i="9"/>
  <c r="M1491" i="9" s="1"/>
  <c r="E1491" i="9"/>
  <c r="D1491" i="9"/>
  <c r="E1495" i="9"/>
  <c r="D1495" i="9"/>
  <c r="E1499" i="9"/>
  <c r="C1499" i="9"/>
  <c r="L1499" i="9"/>
  <c r="M1499" i="9" s="1"/>
  <c r="D1499" i="9"/>
  <c r="D1503" i="9"/>
  <c r="E1503" i="9"/>
  <c r="E1507" i="9"/>
  <c r="D1507" i="9"/>
  <c r="E1511" i="9"/>
  <c r="C1511" i="9"/>
  <c r="L1511" i="9"/>
  <c r="M1511" i="9" s="1"/>
  <c r="D1511" i="9"/>
  <c r="E1515" i="9"/>
  <c r="D1515" i="9"/>
  <c r="E1519" i="9"/>
  <c r="D1519" i="9"/>
  <c r="C1519" i="9"/>
  <c r="L1519" i="9"/>
  <c r="M1519" i="9" s="1"/>
  <c r="E1523" i="9"/>
  <c r="D1523" i="9"/>
  <c r="E1527" i="9"/>
  <c r="D1527" i="9"/>
  <c r="E1531" i="9"/>
  <c r="D1531" i="9"/>
  <c r="C1531" i="9"/>
  <c r="L1531" i="9"/>
  <c r="M1531" i="9" s="1"/>
  <c r="E1544" i="9"/>
  <c r="D1544" i="9"/>
  <c r="C1544" i="9"/>
  <c r="L1544" i="9"/>
  <c r="M1544" i="9" s="1"/>
  <c r="E1553" i="9"/>
  <c r="D1553" i="9"/>
  <c r="L1553" i="9"/>
  <c r="M1553" i="9" s="1"/>
  <c r="C1553" i="9"/>
  <c r="E1566" i="9"/>
  <c r="D1566" i="9"/>
  <c r="C1566" i="9"/>
  <c r="L1566" i="9"/>
  <c r="M1566" i="9" s="1"/>
  <c r="E1579" i="9"/>
  <c r="D1579" i="9"/>
  <c r="C1579" i="9"/>
  <c r="L1579" i="9"/>
  <c r="M1579" i="9" s="1"/>
  <c r="E1592" i="9"/>
  <c r="D1592" i="9"/>
  <c r="C1592" i="9"/>
  <c r="L1592" i="9"/>
  <c r="M1592" i="9" s="1"/>
  <c r="E1601" i="9"/>
  <c r="D1601" i="9"/>
  <c r="L1601" i="9"/>
  <c r="M1601" i="9" s="1"/>
  <c r="C1601" i="9"/>
  <c r="E1614" i="9"/>
  <c r="D1614" i="9"/>
  <c r="C1614" i="9"/>
  <c r="L1614" i="9"/>
  <c r="M1614" i="9" s="1"/>
  <c r="E1627" i="9"/>
  <c r="D1627" i="9"/>
  <c r="C1627" i="9"/>
  <c r="L1627" i="9"/>
  <c r="M1627" i="9" s="1"/>
  <c r="E1640" i="9"/>
  <c r="D1640" i="9"/>
  <c r="C1640" i="9"/>
  <c r="L1640" i="9"/>
  <c r="M1640" i="9" s="1"/>
  <c r="E1649" i="9"/>
  <c r="D1649" i="9"/>
  <c r="L1649" i="9"/>
  <c r="M1649" i="9" s="1"/>
  <c r="C1649" i="9"/>
  <c r="E1662" i="9"/>
  <c r="D1662" i="9"/>
  <c r="C1662" i="9"/>
  <c r="L1662" i="9"/>
  <c r="M1662" i="9" s="1"/>
  <c r="E1675" i="9"/>
  <c r="D1675" i="9"/>
  <c r="C1675" i="9"/>
  <c r="L1675" i="9"/>
  <c r="M1675" i="9" s="1"/>
  <c r="E1688" i="9"/>
  <c r="D1688" i="9"/>
  <c r="C1688" i="9"/>
  <c r="L1688" i="9"/>
  <c r="M1688" i="9" s="1"/>
  <c r="E1697" i="9"/>
  <c r="D1697" i="9"/>
  <c r="L1697" i="9"/>
  <c r="M1697" i="9" s="1"/>
  <c r="C1697" i="9"/>
  <c r="E1710" i="9"/>
  <c r="D1710" i="9"/>
  <c r="C1710" i="9"/>
  <c r="L1710" i="9"/>
  <c r="M1710" i="9" s="1"/>
  <c r="E1723" i="9"/>
  <c r="D1723" i="9"/>
  <c r="C1723" i="9"/>
  <c r="L1723" i="9"/>
  <c r="M1723" i="9" s="1"/>
  <c r="E1736" i="9"/>
  <c r="D1736" i="9"/>
  <c r="C1736" i="9"/>
  <c r="L1736" i="9"/>
  <c r="M1736" i="9" s="1"/>
  <c r="E1745" i="9"/>
  <c r="D1745" i="9"/>
  <c r="L1745" i="9"/>
  <c r="M1745" i="9" s="1"/>
  <c r="C1745" i="9"/>
  <c r="E1758" i="9"/>
  <c r="D1758" i="9"/>
  <c r="C1758" i="9"/>
  <c r="L1758" i="9"/>
  <c r="M1758" i="9" s="1"/>
  <c r="E1771" i="9"/>
  <c r="D1771" i="9"/>
  <c r="C1771" i="9"/>
  <c r="L1771" i="9"/>
  <c r="M1771" i="9" s="1"/>
  <c r="E1784" i="9"/>
  <c r="D1784" i="9"/>
  <c r="C1784" i="9"/>
  <c r="L1784" i="9"/>
  <c r="M1784" i="9" s="1"/>
  <c r="D1793" i="9"/>
  <c r="C1793" i="9"/>
  <c r="E1793" i="9"/>
  <c r="L1793" i="9"/>
  <c r="M1793" i="9" s="1"/>
  <c r="E1806" i="9"/>
  <c r="C1806" i="9"/>
  <c r="D1806" i="9"/>
  <c r="L1806" i="9"/>
  <c r="M1806" i="9" s="1"/>
  <c r="E1819" i="9"/>
  <c r="D1819" i="9"/>
  <c r="L1819" i="9"/>
  <c r="M1819" i="9" s="1"/>
  <c r="C1819" i="9"/>
  <c r="E1832" i="9"/>
  <c r="D1832" i="9"/>
  <c r="C1832" i="9"/>
  <c r="L1832" i="9"/>
  <c r="M1832" i="9" s="1"/>
  <c r="D1841" i="9"/>
  <c r="C1841" i="9"/>
  <c r="L1841" i="9"/>
  <c r="M1841" i="9" s="1"/>
  <c r="E1841" i="9"/>
  <c r="E1854" i="9"/>
  <c r="C1854" i="9"/>
  <c r="L1854" i="9"/>
  <c r="M1854" i="9" s="1"/>
  <c r="D1854" i="9"/>
  <c r="E1867" i="9"/>
  <c r="D1867" i="9"/>
  <c r="L1867" i="9"/>
  <c r="M1867" i="9" s="1"/>
  <c r="C1867" i="9"/>
  <c r="E1880" i="9"/>
  <c r="D1880" i="9"/>
  <c r="C1880" i="9"/>
  <c r="L1880" i="9"/>
  <c r="M1880" i="9" s="1"/>
  <c r="D1889" i="9"/>
  <c r="C1889" i="9"/>
  <c r="E1889" i="9"/>
  <c r="L1889" i="9"/>
  <c r="M1889" i="9" s="1"/>
  <c r="E1902" i="9"/>
  <c r="C1902" i="9"/>
  <c r="D1902" i="9"/>
  <c r="L1902" i="9"/>
  <c r="M1902" i="9" s="1"/>
  <c r="E1915" i="9"/>
  <c r="D1915" i="9"/>
  <c r="L1915" i="9"/>
  <c r="M1915" i="9" s="1"/>
  <c r="C1915" i="9"/>
  <c r="E1928" i="9"/>
  <c r="D1928" i="9"/>
  <c r="C1928" i="9"/>
  <c r="L1928" i="9"/>
  <c r="M1928" i="9" s="1"/>
  <c r="D1937" i="9"/>
  <c r="C1937" i="9"/>
  <c r="L1937" i="9"/>
  <c r="M1937" i="9" s="1"/>
  <c r="E1937" i="9"/>
  <c r="E1950" i="9"/>
  <c r="C1950" i="9"/>
  <c r="L1950" i="9"/>
  <c r="M1950" i="9" s="1"/>
  <c r="D1950" i="9"/>
  <c r="E1963" i="9"/>
  <c r="D1963" i="9"/>
  <c r="L1963" i="9"/>
  <c r="M1963" i="9" s="1"/>
  <c r="C1963" i="9"/>
  <c r="E1976" i="9"/>
  <c r="D1976" i="9"/>
  <c r="C1976" i="9"/>
  <c r="L1976" i="9"/>
  <c r="M1976" i="9" s="1"/>
  <c r="D1985" i="9"/>
  <c r="C1985" i="9"/>
  <c r="L1985" i="9"/>
  <c r="M1985" i="9" s="1"/>
  <c r="E1985" i="9"/>
  <c r="E1998" i="9"/>
  <c r="C1998" i="9"/>
  <c r="L1998" i="9"/>
  <c r="M1998" i="9" s="1"/>
  <c r="D1998" i="9"/>
  <c r="E2011" i="9"/>
  <c r="D2011" i="9"/>
  <c r="L2011" i="9"/>
  <c r="M2011" i="9" s="1"/>
  <c r="C2011" i="9"/>
  <c r="E2024" i="9"/>
  <c r="D2024" i="9"/>
  <c r="C2024" i="9"/>
  <c r="L2024" i="9"/>
  <c r="M2024" i="9" s="1"/>
  <c r="D2033" i="9"/>
  <c r="C2033" i="9"/>
  <c r="E2033" i="9"/>
  <c r="L2033" i="9"/>
  <c r="M2033" i="9" s="1"/>
  <c r="E2047" i="9"/>
  <c r="D2047" i="9"/>
  <c r="L2047" i="9"/>
  <c r="M2047" i="9" s="1"/>
  <c r="C2047" i="9"/>
  <c r="L2052" i="9"/>
  <c r="M2052" i="9" s="1"/>
  <c r="C2052" i="9"/>
  <c r="E2052" i="9"/>
  <c r="D2052" i="9"/>
  <c r="D2057" i="9"/>
  <c r="C2057" i="9"/>
  <c r="L2057" i="9"/>
  <c r="M2057" i="9" s="1"/>
  <c r="E2057" i="9"/>
  <c r="E2071" i="9"/>
  <c r="D2071" i="9"/>
  <c r="L2071" i="9"/>
  <c r="M2071" i="9" s="1"/>
  <c r="C2071" i="9"/>
  <c r="L2076" i="9"/>
  <c r="M2076" i="9" s="1"/>
  <c r="C2076" i="9"/>
  <c r="E2076" i="9"/>
  <c r="D2076" i="9"/>
  <c r="E2081" i="9"/>
  <c r="D2081" i="9"/>
  <c r="C2081" i="9"/>
  <c r="L2081" i="9"/>
  <c r="M2081" i="9" s="1"/>
  <c r="E2095" i="9"/>
  <c r="D2095" i="9"/>
  <c r="C2095" i="9"/>
  <c r="L2095" i="9"/>
  <c r="M2095" i="9" s="1"/>
  <c r="L2100" i="9"/>
  <c r="M2100" i="9" s="1"/>
  <c r="C2100" i="9"/>
  <c r="E2100" i="9"/>
  <c r="D2100" i="9"/>
  <c r="E2105" i="9"/>
  <c r="D2105" i="9"/>
  <c r="C2105" i="9"/>
  <c r="L2105" i="9"/>
  <c r="M2105" i="9" s="1"/>
  <c r="E2119" i="9"/>
  <c r="D2119" i="9"/>
  <c r="C2119" i="9"/>
  <c r="L2119" i="9"/>
  <c r="M2119" i="9" s="1"/>
  <c r="L2124" i="9"/>
  <c r="M2124" i="9" s="1"/>
  <c r="C2124" i="9"/>
  <c r="E2124" i="9"/>
  <c r="D2124" i="9"/>
  <c r="E2129" i="9"/>
  <c r="D2129" i="9"/>
  <c r="C2129" i="9"/>
  <c r="L2129" i="9"/>
  <c r="M2129" i="9" s="1"/>
  <c r="E2143" i="9"/>
  <c r="D2143" i="9"/>
  <c r="C2143" i="9"/>
  <c r="L2143" i="9"/>
  <c r="M2143" i="9" s="1"/>
  <c r="L2148" i="9"/>
  <c r="M2148" i="9" s="1"/>
  <c r="C2148" i="9"/>
  <c r="E2148" i="9"/>
  <c r="D2148" i="9"/>
  <c r="E2153" i="9"/>
  <c r="D2153" i="9"/>
  <c r="C2153" i="9"/>
  <c r="L2153" i="9"/>
  <c r="M2153" i="9" s="1"/>
  <c r="E2167" i="9"/>
  <c r="D2167" i="9"/>
  <c r="C2167" i="9"/>
  <c r="L2167" i="9"/>
  <c r="M2167" i="9" s="1"/>
  <c r="L2172" i="9"/>
  <c r="M2172" i="9" s="1"/>
  <c r="C2172" i="9"/>
  <c r="E2172" i="9"/>
  <c r="D2172" i="9"/>
  <c r="E2177" i="9"/>
  <c r="D2177" i="9"/>
  <c r="C2177" i="9"/>
  <c r="L2177" i="9"/>
  <c r="M2177" i="9" s="1"/>
  <c r="E2191" i="9"/>
  <c r="D2191" i="9"/>
  <c r="C2191" i="9"/>
  <c r="L2191" i="9"/>
  <c r="M2191" i="9" s="1"/>
  <c r="L2196" i="9"/>
  <c r="M2196" i="9" s="1"/>
  <c r="C2196" i="9"/>
  <c r="E2196" i="9"/>
  <c r="D2196" i="9"/>
  <c r="E2201" i="9"/>
  <c r="D2201" i="9"/>
  <c r="C2201" i="9"/>
  <c r="L2201" i="9"/>
  <c r="M2201" i="9" s="1"/>
  <c r="E2215" i="9"/>
  <c r="D2215" i="9"/>
  <c r="C2215" i="9"/>
  <c r="L2215" i="9"/>
  <c r="M2215" i="9" s="1"/>
  <c r="L2220" i="9"/>
  <c r="M2220" i="9" s="1"/>
  <c r="C2220" i="9"/>
  <c r="E2220" i="9"/>
  <c r="D2220" i="9"/>
  <c r="E2225" i="9"/>
  <c r="D2225" i="9"/>
  <c r="C2225" i="9"/>
  <c r="L2225" i="9"/>
  <c r="M2225" i="9" s="1"/>
  <c r="E2239" i="9"/>
  <c r="D2239" i="9"/>
  <c r="C2239" i="9"/>
  <c r="L2239" i="9"/>
  <c r="M2239" i="9" s="1"/>
  <c r="L2244" i="9"/>
  <c r="M2244" i="9" s="1"/>
  <c r="C2244" i="9"/>
  <c r="E2244" i="9"/>
  <c r="D2244" i="9"/>
  <c r="E2249" i="9"/>
  <c r="D2249" i="9"/>
  <c r="C2249" i="9"/>
  <c r="L2249" i="9"/>
  <c r="M2249" i="9" s="1"/>
  <c r="E2263" i="9"/>
  <c r="D2263" i="9"/>
  <c r="C2263" i="9"/>
  <c r="L2263" i="9"/>
  <c r="M2263" i="9" s="1"/>
  <c r="L2268" i="9"/>
  <c r="M2268" i="9" s="1"/>
  <c r="C2268" i="9"/>
  <c r="E2268" i="9"/>
  <c r="D2268" i="9"/>
  <c r="E2273" i="9"/>
  <c r="D2273" i="9"/>
  <c r="C2273" i="9"/>
  <c r="L2273" i="9"/>
  <c r="M2273" i="9" s="1"/>
  <c r="E2287" i="9"/>
  <c r="D2287" i="9"/>
  <c r="C2287" i="9"/>
  <c r="L2287" i="9"/>
  <c r="M2287" i="9" s="1"/>
  <c r="L2292" i="9"/>
  <c r="M2292" i="9" s="1"/>
  <c r="C2292" i="9"/>
  <c r="E2292" i="9"/>
  <c r="D2292" i="9"/>
  <c r="E2297" i="9"/>
  <c r="D2297" i="9"/>
  <c r="C2297" i="9"/>
  <c r="L2297" i="9"/>
  <c r="M2297" i="9" s="1"/>
  <c r="E2311" i="9"/>
  <c r="D2311" i="9"/>
  <c r="C2311" i="9"/>
  <c r="L2311" i="9"/>
  <c r="M2311" i="9" s="1"/>
  <c r="E2316" i="9"/>
  <c r="D2316" i="9"/>
  <c r="E2321" i="9"/>
  <c r="D2321" i="9"/>
  <c r="C2321" i="9"/>
  <c r="L2321" i="9"/>
  <c r="M2321" i="9" s="1"/>
  <c r="E2335" i="9"/>
  <c r="D2335" i="9"/>
  <c r="L2340" i="9"/>
  <c r="M2340" i="9" s="1"/>
  <c r="D2340" i="9"/>
  <c r="C2340" i="9"/>
  <c r="E2340" i="9"/>
  <c r="E2345" i="9"/>
  <c r="D2345" i="9"/>
  <c r="E2359" i="9"/>
  <c r="D2359" i="9"/>
  <c r="E2364" i="9"/>
  <c r="D2364" i="9"/>
  <c r="E2369" i="9"/>
  <c r="D2369" i="9"/>
  <c r="E2383" i="9"/>
  <c r="D2383" i="9"/>
  <c r="E2388" i="9"/>
  <c r="D2388" i="9"/>
  <c r="E2393" i="9"/>
  <c r="D2393" i="9"/>
  <c r="C2393" i="9"/>
  <c r="L2393" i="9"/>
  <c r="M2393" i="9" s="1"/>
  <c r="E2407" i="9"/>
  <c r="D2407" i="9"/>
  <c r="C2407" i="9"/>
  <c r="L2407" i="9"/>
  <c r="M2407" i="9" s="1"/>
  <c r="L2412" i="9"/>
  <c r="M2412" i="9" s="1"/>
  <c r="D2412" i="9"/>
  <c r="C2412" i="9"/>
  <c r="E2412" i="9"/>
  <c r="E2417" i="9"/>
  <c r="D2417" i="9"/>
  <c r="C2417" i="9"/>
  <c r="L2417" i="9"/>
  <c r="M2417" i="9" s="1"/>
  <c r="E2431" i="9"/>
  <c r="D2431" i="9"/>
  <c r="C2431" i="9"/>
  <c r="L2431" i="9"/>
  <c r="M2431" i="9" s="1"/>
  <c r="L2436" i="9"/>
  <c r="M2436" i="9" s="1"/>
  <c r="C2436" i="9"/>
  <c r="E2436" i="9"/>
  <c r="D2436" i="9"/>
  <c r="E2441" i="9"/>
  <c r="D2441" i="9"/>
  <c r="C2441" i="9"/>
  <c r="L2441" i="9"/>
  <c r="M2441" i="9" s="1"/>
  <c r="E2455" i="9"/>
  <c r="D2455" i="9"/>
  <c r="C2455" i="9"/>
  <c r="L2455" i="9"/>
  <c r="M2455" i="9" s="1"/>
  <c r="L2460" i="9"/>
  <c r="M2460" i="9" s="1"/>
  <c r="C2460" i="9"/>
  <c r="E2460" i="9"/>
  <c r="D2460" i="9"/>
  <c r="E2465" i="9"/>
  <c r="D2465" i="9"/>
  <c r="C2465" i="9"/>
  <c r="L2465" i="9"/>
  <c r="M2465" i="9" s="1"/>
  <c r="E2479" i="9"/>
  <c r="D2479" i="9"/>
  <c r="C2479" i="9"/>
  <c r="L2479" i="9"/>
  <c r="M2479" i="9" s="1"/>
  <c r="C2484" i="9"/>
  <c r="L2484" i="9"/>
  <c r="M2484" i="9" s="1"/>
  <c r="E2484" i="9"/>
  <c r="D2484" i="9"/>
  <c r="E2489" i="9"/>
  <c r="L2489" i="9"/>
  <c r="M2489" i="9" s="1"/>
  <c r="D2489" i="9"/>
  <c r="C2489" i="9"/>
  <c r="E2503" i="9"/>
  <c r="D2503" i="9"/>
  <c r="C2503" i="9"/>
  <c r="L2503" i="9"/>
  <c r="M2503" i="9" s="1"/>
  <c r="C2508" i="9"/>
  <c r="L2508" i="9"/>
  <c r="M2508" i="9" s="1"/>
  <c r="E2508" i="9"/>
  <c r="D2508" i="9"/>
  <c r="E2513" i="9"/>
  <c r="D2513" i="9"/>
  <c r="E2527" i="9"/>
  <c r="D2527" i="9"/>
  <c r="E2532" i="9"/>
  <c r="D2532" i="9"/>
  <c r="E2537" i="9"/>
  <c r="D2537" i="9"/>
  <c r="E2551" i="9"/>
  <c r="D2551" i="9"/>
  <c r="C2551" i="9"/>
  <c r="L2551" i="9"/>
  <c r="M2551" i="9" s="1"/>
  <c r="E2556" i="9"/>
  <c r="D2556" i="9"/>
  <c r="L2561" i="9"/>
  <c r="M2561" i="9" s="1"/>
  <c r="E2561" i="9"/>
  <c r="D2561" i="9"/>
  <c r="C2561" i="9"/>
  <c r="E2575" i="9"/>
  <c r="D2575" i="9"/>
  <c r="E2580" i="9"/>
  <c r="D2580" i="9"/>
  <c r="C2580" i="9"/>
  <c r="L2580" i="9"/>
  <c r="M2580" i="9" s="1"/>
  <c r="E2585" i="9"/>
  <c r="D2585" i="9"/>
  <c r="E2599" i="9"/>
  <c r="D2599" i="9"/>
  <c r="C2599" i="9"/>
  <c r="L2599" i="9"/>
  <c r="M2599" i="9" s="1"/>
  <c r="E2604" i="9"/>
  <c r="D2604" i="9"/>
  <c r="C2604" i="9"/>
  <c r="L2604" i="9"/>
  <c r="M2604" i="9" s="1"/>
  <c r="L2609" i="9"/>
  <c r="M2609" i="9" s="1"/>
  <c r="E2609" i="9"/>
  <c r="D2609" i="9"/>
  <c r="C2609" i="9"/>
  <c r="E2623" i="9"/>
  <c r="D2623" i="9"/>
  <c r="C2623" i="9"/>
  <c r="L2623" i="9"/>
  <c r="M2623" i="9" s="1"/>
  <c r="E2628" i="9"/>
  <c r="D2628" i="9"/>
  <c r="C2628" i="9"/>
  <c r="L2628" i="9"/>
  <c r="M2628" i="9" s="1"/>
  <c r="L2633" i="9"/>
  <c r="M2633" i="9" s="1"/>
  <c r="E2633" i="9"/>
  <c r="D2633" i="9"/>
  <c r="C2633" i="9"/>
  <c r="E2647" i="9"/>
  <c r="D2647" i="9"/>
  <c r="C2647" i="9"/>
  <c r="L2647" i="9"/>
  <c r="M2647" i="9" s="1"/>
  <c r="E2652" i="9"/>
  <c r="D2652" i="9"/>
  <c r="C2652" i="9"/>
  <c r="L2652" i="9"/>
  <c r="M2652" i="9" s="1"/>
  <c r="L2657" i="9"/>
  <c r="M2657" i="9" s="1"/>
  <c r="E2657" i="9"/>
  <c r="D2657" i="9"/>
  <c r="C2657" i="9"/>
  <c r="E2671" i="9"/>
  <c r="D2671" i="9"/>
  <c r="C2671" i="9"/>
  <c r="L2671" i="9"/>
  <c r="M2671" i="9" s="1"/>
  <c r="E2676" i="9"/>
  <c r="D2676" i="9"/>
  <c r="C2676" i="9"/>
  <c r="L2676" i="9"/>
  <c r="M2676" i="9" s="1"/>
  <c r="L2681" i="9"/>
  <c r="M2681" i="9" s="1"/>
  <c r="E2681" i="9"/>
  <c r="D2681" i="9"/>
  <c r="C2681" i="9"/>
  <c r="E2695" i="9"/>
  <c r="D2695" i="9"/>
  <c r="C2695" i="9"/>
  <c r="L2695" i="9"/>
  <c r="M2695" i="9" s="1"/>
  <c r="E2700" i="9"/>
  <c r="D2700" i="9"/>
  <c r="C2700" i="9"/>
  <c r="L2700" i="9"/>
  <c r="M2700" i="9" s="1"/>
  <c r="L2705" i="9"/>
  <c r="M2705" i="9" s="1"/>
  <c r="E2705" i="9"/>
  <c r="D2705" i="9"/>
  <c r="C2705" i="9"/>
  <c r="E2719" i="9"/>
  <c r="D2719" i="9"/>
  <c r="E2724" i="9"/>
  <c r="D2724" i="9"/>
  <c r="E2729" i="9"/>
  <c r="D2729" i="9"/>
  <c r="E2743" i="9"/>
  <c r="D2743" i="9"/>
  <c r="E2748" i="9"/>
  <c r="D2748" i="9"/>
  <c r="E2753" i="9"/>
  <c r="D2753" i="9"/>
  <c r="E2767" i="9"/>
  <c r="D2767" i="9"/>
  <c r="E2772" i="9"/>
  <c r="D2772" i="9"/>
  <c r="E2777" i="9"/>
  <c r="D2777" i="9"/>
  <c r="D2791" i="9"/>
  <c r="C2791" i="9"/>
  <c r="L2791" i="9"/>
  <c r="M2791" i="9" s="1"/>
  <c r="E2791" i="9"/>
  <c r="D2796" i="9"/>
  <c r="E2796" i="9"/>
  <c r="C2796" i="9"/>
  <c r="L2796" i="9"/>
  <c r="M2796" i="9" s="1"/>
  <c r="E2801" i="9"/>
  <c r="C2801" i="9"/>
  <c r="L2801" i="9"/>
  <c r="M2801" i="9" s="1"/>
  <c r="D2801" i="9"/>
  <c r="D2815" i="9"/>
  <c r="C2815" i="9"/>
  <c r="L2815" i="9"/>
  <c r="M2815" i="9" s="1"/>
  <c r="E2815" i="9"/>
  <c r="D2820" i="9"/>
  <c r="L2820" i="9"/>
  <c r="M2820" i="9" s="1"/>
  <c r="E2820" i="9"/>
  <c r="C2820" i="9"/>
  <c r="E2825" i="9"/>
  <c r="C2825" i="9"/>
  <c r="D2825" i="9"/>
  <c r="L2825" i="9"/>
  <c r="M2825" i="9" s="1"/>
  <c r="D2839" i="9"/>
  <c r="C2839" i="9"/>
  <c r="E2839" i="9"/>
  <c r="L2839" i="9"/>
  <c r="M2839" i="9" s="1"/>
  <c r="D2844" i="9"/>
  <c r="L2844" i="9"/>
  <c r="M2844" i="9" s="1"/>
  <c r="E2844" i="9"/>
  <c r="C2844" i="9"/>
  <c r="E2849" i="9"/>
  <c r="C2849" i="9"/>
  <c r="L2849" i="9"/>
  <c r="M2849" i="9" s="1"/>
  <c r="D2849" i="9"/>
  <c r="D2863" i="9"/>
  <c r="C2863" i="9"/>
  <c r="L2863" i="9"/>
  <c r="M2863" i="9" s="1"/>
  <c r="E2863" i="9"/>
  <c r="D2868" i="9"/>
  <c r="E2868" i="9"/>
  <c r="C2868" i="9"/>
  <c r="L2868" i="9"/>
  <c r="M2868" i="9" s="1"/>
  <c r="E2873" i="9"/>
  <c r="C2873" i="9"/>
  <c r="L2873" i="9"/>
  <c r="M2873" i="9" s="1"/>
  <c r="D2873" i="9"/>
  <c r="D2887" i="9"/>
  <c r="C2887" i="9"/>
  <c r="L2887" i="9"/>
  <c r="M2887" i="9" s="1"/>
  <c r="E2887" i="9"/>
  <c r="D2892" i="9"/>
  <c r="L2892" i="9"/>
  <c r="M2892" i="9" s="1"/>
  <c r="E2892" i="9"/>
  <c r="C2892" i="9"/>
  <c r="E2897" i="9"/>
  <c r="C2897" i="9"/>
  <c r="D2897" i="9"/>
  <c r="L2897" i="9"/>
  <c r="M2897" i="9" s="1"/>
  <c r="D2911" i="9"/>
  <c r="C2911" i="9"/>
  <c r="E2911" i="9"/>
  <c r="L2911" i="9"/>
  <c r="M2911" i="9" s="1"/>
  <c r="D2916" i="9"/>
  <c r="E2916" i="9"/>
  <c r="E2921" i="9"/>
  <c r="C2921" i="9"/>
  <c r="L2921" i="9"/>
  <c r="M2921" i="9" s="1"/>
  <c r="D2921" i="9"/>
  <c r="D2935" i="9"/>
  <c r="E2935" i="9"/>
  <c r="D2940" i="9"/>
  <c r="E2940" i="9"/>
  <c r="C2940" i="9"/>
  <c r="L2940" i="9"/>
  <c r="M2940" i="9" s="1"/>
  <c r="E2945" i="9"/>
  <c r="D2945" i="9"/>
  <c r="D2959" i="9"/>
  <c r="E2959" i="9"/>
  <c r="D2964" i="9"/>
  <c r="E2964" i="9"/>
  <c r="E2969" i="9"/>
  <c r="D2969" i="9"/>
  <c r="D2983" i="9"/>
  <c r="E2983" i="9"/>
  <c r="D2988" i="9"/>
  <c r="E2988" i="9"/>
  <c r="E2993" i="9"/>
  <c r="C2993" i="9"/>
  <c r="L2993" i="9"/>
  <c r="M2993" i="9" s="1"/>
  <c r="D2993" i="9"/>
  <c r="D3007" i="9"/>
  <c r="C3007" i="9"/>
  <c r="L3007" i="9"/>
  <c r="M3007" i="9" s="1"/>
  <c r="E3007" i="9"/>
  <c r="D3012" i="9"/>
  <c r="E3012" i="9"/>
  <c r="C3012" i="9"/>
  <c r="L3012" i="9"/>
  <c r="M3012" i="9" s="1"/>
  <c r="E3017" i="9"/>
  <c r="C3017" i="9"/>
  <c r="L3017" i="9"/>
  <c r="M3017" i="9" s="1"/>
  <c r="D3017" i="9"/>
  <c r="D3031" i="9"/>
  <c r="C3031" i="9"/>
  <c r="L3031" i="9"/>
  <c r="M3031" i="9" s="1"/>
  <c r="E3031" i="9"/>
  <c r="D3036" i="9"/>
  <c r="L3036" i="9"/>
  <c r="M3036" i="9" s="1"/>
  <c r="C3036" i="9"/>
  <c r="E3036" i="9"/>
  <c r="E3041" i="9"/>
  <c r="C3041" i="9"/>
  <c r="L3041" i="9"/>
  <c r="M3041" i="9" s="1"/>
  <c r="D3041" i="9"/>
  <c r="D3055" i="9"/>
  <c r="C3055" i="9"/>
  <c r="E3055" i="9"/>
  <c r="L3055" i="9"/>
  <c r="M3055" i="9" s="1"/>
  <c r="E3060" i="9"/>
  <c r="D3060" i="9"/>
  <c r="L3060" i="9"/>
  <c r="M3060" i="9" s="1"/>
  <c r="C3060" i="9"/>
  <c r="E3065" i="9"/>
  <c r="D3065" i="9"/>
  <c r="C3065" i="9"/>
  <c r="L3065" i="9"/>
  <c r="M3065" i="9" s="1"/>
  <c r="D3079" i="9"/>
  <c r="C3079" i="9"/>
  <c r="E3079" i="9"/>
  <c r="L3079" i="9"/>
  <c r="M3079" i="9" s="1"/>
  <c r="E3084" i="9"/>
  <c r="D3084" i="9"/>
  <c r="L3084" i="9"/>
  <c r="M3084" i="9" s="1"/>
  <c r="C3084" i="9"/>
  <c r="E3089" i="9"/>
  <c r="D3089" i="9"/>
  <c r="C3089" i="9"/>
  <c r="L3089" i="9"/>
  <c r="M3089" i="9" s="1"/>
  <c r="D3103" i="9"/>
  <c r="C3103" i="9"/>
  <c r="E3103" i="9"/>
  <c r="L3103" i="9"/>
  <c r="M3103" i="9" s="1"/>
  <c r="E3108" i="9"/>
  <c r="D3108" i="9"/>
  <c r="L3108" i="9"/>
  <c r="M3108" i="9" s="1"/>
  <c r="C3108" i="9"/>
  <c r="E3113" i="9"/>
  <c r="D3113" i="9"/>
  <c r="D3127" i="9"/>
  <c r="E3127" i="9"/>
  <c r="E3132" i="9"/>
  <c r="D3132" i="9"/>
  <c r="E3137" i="9"/>
  <c r="D3137" i="9"/>
  <c r="D3151" i="9"/>
  <c r="C3151" i="9"/>
  <c r="E3151" i="9"/>
  <c r="L3151" i="9"/>
  <c r="M3151" i="9" s="1"/>
  <c r="E3156" i="9"/>
  <c r="D3156" i="9"/>
  <c r="E3161" i="9"/>
  <c r="D3161" i="9"/>
  <c r="C3161" i="9"/>
  <c r="L3161" i="9"/>
  <c r="M3161" i="9" s="1"/>
  <c r="D3175" i="9"/>
  <c r="E3175" i="9"/>
  <c r="E3180" i="9"/>
  <c r="D3180" i="9"/>
  <c r="L3180" i="9"/>
  <c r="M3180" i="9" s="1"/>
  <c r="C3180" i="9"/>
  <c r="E3185" i="9"/>
  <c r="D3185" i="9"/>
  <c r="D3199" i="9"/>
  <c r="C3199" i="9"/>
  <c r="E3199" i="9"/>
  <c r="L3199" i="9"/>
  <c r="M3199" i="9" s="1"/>
  <c r="E3204" i="9"/>
  <c r="D3204" i="9"/>
  <c r="L3204" i="9"/>
  <c r="M3204" i="9" s="1"/>
  <c r="C3204" i="9"/>
  <c r="E3209" i="9"/>
  <c r="D3209" i="9"/>
  <c r="C3209" i="9"/>
  <c r="L3209" i="9"/>
  <c r="M3209" i="9" s="1"/>
  <c r="D3223" i="9"/>
  <c r="C3223" i="9"/>
  <c r="E3223" i="9"/>
  <c r="L3223" i="9"/>
  <c r="M3223" i="9" s="1"/>
  <c r="E3228" i="9"/>
  <c r="D3228" i="9"/>
  <c r="L3228" i="9"/>
  <c r="M3228" i="9" s="1"/>
  <c r="C3228" i="9"/>
  <c r="E3233" i="9"/>
  <c r="D3233" i="9"/>
  <c r="C3233" i="9"/>
  <c r="L3233" i="9"/>
  <c r="M3233" i="9" s="1"/>
  <c r="D3247" i="9"/>
  <c r="C3247" i="9"/>
  <c r="L3247" i="9"/>
  <c r="M3247" i="9" s="1"/>
  <c r="E3247" i="9"/>
  <c r="E3252" i="9"/>
  <c r="D3252" i="9"/>
  <c r="L3252" i="9"/>
  <c r="M3252" i="9" s="1"/>
  <c r="C3252" i="9"/>
  <c r="E3257" i="9"/>
  <c r="D3257" i="9"/>
  <c r="C3257" i="9"/>
  <c r="L3257" i="9"/>
  <c r="M3257" i="9" s="1"/>
  <c r="D3271" i="9"/>
  <c r="C3271" i="9"/>
  <c r="L3271" i="9"/>
  <c r="M3271" i="9" s="1"/>
  <c r="E3271" i="9"/>
  <c r="E3276" i="9"/>
  <c r="D3276" i="9"/>
  <c r="L3276" i="9"/>
  <c r="M3276" i="9" s="1"/>
  <c r="C3276" i="9"/>
  <c r="E3281" i="9"/>
  <c r="D3281" i="9"/>
  <c r="C3281" i="9"/>
  <c r="L3281" i="9"/>
  <c r="M3281" i="9" s="1"/>
  <c r="D3295" i="9"/>
  <c r="C3295" i="9"/>
  <c r="L3295" i="9"/>
  <c r="M3295" i="9" s="1"/>
  <c r="E3295" i="9"/>
  <c r="E3300" i="9"/>
  <c r="D3300" i="9"/>
  <c r="L3300" i="9"/>
  <c r="M3300" i="9" s="1"/>
  <c r="C3300" i="9"/>
  <c r="E3305" i="9"/>
  <c r="D3305" i="9"/>
  <c r="C3305" i="9"/>
  <c r="L3305" i="9"/>
  <c r="M3305" i="9" s="1"/>
  <c r="D3319" i="9"/>
  <c r="E3319" i="9"/>
  <c r="E3324" i="9"/>
  <c r="D3324" i="9"/>
  <c r="E3329" i="9"/>
  <c r="D3329" i="9"/>
  <c r="D3343" i="9"/>
  <c r="E3343" i="9"/>
  <c r="E3348" i="9"/>
  <c r="D3348" i="9"/>
  <c r="E3353" i="9"/>
  <c r="D3353" i="9"/>
  <c r="D3367" i="9"/>
  <c r="E3367" i="9"/>
  <c r="E3372" i="9"/>
  <c r="D3372" i="9"/>
  <c r="E3377" i="9"/>
  <c r="D3377" i="9"/>
  <c r="E3391" i="9"/>
  <c r="D3391" i="9"/>
  <c r="C3391" i="9"/>
  <c r="L3391" i="9"/>
  <c r="M3391" i="9" s="1"/>
  <c r="E3396" i="9"/>
  <c r="D3396" i="9"/>
  <c r="C3396" i="9"/>
  <c r="L3396" i="9"/>
  <c r="M3396" i="9" s="1"/>
  <c r="L3401" i="9"/>
  <c r="M3401" i="9" s="1"/>
  <c r="E3401" i="9"/>
  <c r="D3401" i="9"/>
  <c r="C3401" i="9"/>
  <c r="E3415" i="9"/>
  <c r="D3415" i="9"/>
  <c r="C3415" i="9"/>
  <c r="L3415" i="9"/>
  <c r="M3415" i="9" s="1"/>
  <c r="E3420" i="9"/>
  <c r="D3420" i="9"/>
  <c r="C3420" i="9"/>
  <c r="L3420" i="9"/>
  <c r="M3420" i="9" s="1"/>
  <c r="L3425" i="9"/>
  <c r="M3425" i="9" s="1"/>
  <c r="E3425" i="9"/>
  <c r="D3425" i="9"/>
  <c r="C3425" i="9"/>
  <c r="E3439" i="9"/>
  <c r="D3439" i="9"/>
  <c r="C3439" i="9"/>
  <c r="L3439" i="9"/>
  <c r="M3439" i="9" s="1"/>
  <c r="E3444" i="9"/>
  <c r="D3444" i="9"/>
  <c r="C3444" i="9"/>
  <c r="L3444" i="9"/>
  <c r="M3444" i="9" s="1"/>
  <c r="L3449" i="9"/>
  <c r="M3449" i="9" s="1"/>
  <c r="E3449" i="9"/>
  <c r="D3449" i="9"/>
  <c r="C3449" i="9"/>
  <c r="E3463" i="9"/>
  <c r="D3463" i="9"/>
  <c r="C3463" i="9"/>
  <c r="L3463" i="9"/>
  <c r="M3463" i="9" s="1"/>
  <c r="E3468" i="9"/>
  <c r="D3468" i="9"/>
  <c r="C3468" i="9"/>
  <c r="L3468" i="9"/>
  <c r="M3468" i="9" s="1"/>
  <c r="L3473" i="9"/>
  <c r="M3473" i="9" s="1"/>
  <c r="E3473" i="9"/>
  <c r="D3473" i="9"/>
  <c r="C3473" i="9"/>
  <c r="E3487" i="9"/>
  <c r="D3487" i="9"/>
  <c r="C3487" i="9"/>
  <c r="L3487" i="9"/>
  <c r="M3487" i="9" s="1"/>
  <c r="E3492" i="9"/>
  <c r="D3492" i="9"/>
  <c r="C3492" i="9"/>
  <c r="L3492" i="9"/>
  <c r="M3492" i="9" s="1"/>
  <c r="L3497" i="9"/>
  <c r="M3497" i="9" s="1"/>
  <c r="E3497" i="9"/>
  <c r="D3497" i="9"/>
  <c r="C3497" i="9"/>
  <c r="E3511" i="9"/>
  <c r="D3511" i="9"/>
  <c r="C3511" i="9"/>
  <c r="L3511" i="9"/>
  <c r="M3511" i="9" s="1"/>
  <c r="E3516" i="9"/>
  <c r="D3516" i="9"/>
  <c r="L3521" i="9"/>
  <c r="M3521" i="9" s="1"/>
  <c r="E3521" i="9"/>
  <c r="D3521" i="9"/>
  <c r="C3521" i="9"/>
  <c r="E3535" i="9"/>
  <c r="D3535" i="9"/>
  <c r="E3540" i="9"/>
  <c r="D3540" i="9"/>
  <c r="C3540" i="9"/>
  <c r="L3540" i="9"/>
  <c r="M3540" i="9" s="1"/>
  <c r="E3545" i="9"/>
  <c r="D3545" i="9"/>
  <c r="E3559" i="9"/>
  <c r="D3559" i="9"/>
  <c r="C3559" i="9"/>
  <c r="L3559" i="9"/>
  <c r="M3559" i="9" s="1"/>
  <c r="E3564" i="9"/>
  <c r="D3564" i="9"/>
  <c r="L3569" i="9"/>
  <c r="M3569" i="9" s="1"/>
  <c r="E3569" i="9"/>
  <c r="D3569" i="9"/>
  <c r="C3569" i="9"/>
  <c r="E3583" i="9"/>
  <c r="D3583" i="9"/>
  <c r="C3583" i="9"/>
  <c r="L3583" i="9"/>
  <c r="M3583" i="9" s="1"/>
  <c r="E3588" i="9"/>
  <c r="D3588" i="9"/>
  <c r="C3588" i="9"/>
  <c r="L3588" i="9"/>
  <c r="M3588" i="9" s="1"/>
  <c r="L3593" i="9"/>
  <c r="M3593" i="9" s="1"/>
  <c r="E3593" i="9"/>
  <c r="D3593" i="9"/>
  <c r="C3593" i="9"/>
  <c r="E3607" i="9"/>
  <c r="D3607" i="9"/>
  <c r="C3607" i="9"/>
  <c r="L3607" i="9"/>
  <c r="M3607" i="9" s="1"/>
  <c r="E3612" i="9"/>
  <c r="D3612" i="9"/>
  <c r="C3612" i="9"/>
  <c r="L3612" i="9"/>
  <c r="M3612" i="9" s="1"/>
  <c r="L3617" i="9"/>
  <c r="M3617" i="9" s="1"/>
  <c r="E3617" i="9"/>
  <c r="D3617" i="9"/>
  <c r="C3617" i="9"/>
  <c r="C3631" i="9"/>
  <c r="E3631" i="9"/>
  <c r="D3631" i="9"/>
  <c r="L3631" i="9"/>
  <c r="M3631" i="9" s="1"/>
  <c r="E3636" i="9"/>
  <c r="D3636" i="9"/>
  <c r="C3636" i="9"/>
  <c r="L3636" i="9"/>
  <c r="M3636" i="9" s="1"/>
  <c r="E3641" i="9"/>
  <c r="D3641" i="9"/>
  <c r="C3641" i="9"/>
  <c r="L3641" i="9"/>
  <c r="M3641" i="9" s="1"/>
  <c r="D3655" i="9"/>
  <c r="C3655" i="9"/>
  <c r="E3655" i="9"/>
  <c r="L3655" i="9"/>
  <c r="M3655" i="9" s="1"/>
  <c r="E3660" i="9"/>
  <c r="D3660" i="9"/>
  <c r="C3660" i="9"/>
  <c r="L3660" i="9"/>
  <c r="M3660" i="9" s="1"/>
  <c r="E3665" i="9"/>
  <c r="D3665" i="9"/>
  <c r="C3665" i="9"/>
  <c r="L3665" i="9"/>
  <c r="M3665" i="9" s="1"/>
  <c r="D3679" i="9"/>
  <c r="C3679" i="9"/>
  <c r="L3679" i="9"/>
  <c r="M3679" i="9" s="1"/>
  <c r="E3679" i="9"/>
  <c r="E3684" i="9"/>
  <c r="D3684" i="9"/>
  <c r="C3684" i="9"/>
  <c r="L3684" i="9"/>
  <c r="M3684" i="9" s="1"/>
  <c r="E3689" i="9"/>
  <c r="D3689" i="9"/>
  <c r="C3689" i="9"/>
  <c r="L3689" i="9"/>
  <c r="M3689" i="9" s="1"/>
  <c r="D3703" i="9"/>
  <c r="C3703" i="9"/>
  <c r="L3703" i="9"/>
  <c r="M3703" i="9" s="1"/>
  <c r="E3703" i="9"/>
  <c r="E3708" i="9"/>
  <c r="D3708" i="9"/>
  <c r="C3708" i="9"/>
  <c r="L3708" i="9"/>
  <c r="M3708" i="9" s="1"/>
  <c r="E3713" i="9"/>
  <c r="D3713" i="9"/>
  <c r="D3727" i="9"/>
  <c r="E3727" i="9"/>
  <c r="E3732" i="9"/>
  <c r="D3732" i="9"/>
  <c r="L3741" i="9"/>
  <c r="M3741" i="9" s="1"/>
  <c r="D3741" i="9"/>
  <c r="C3741" i="9"/>
  <c r="E3741" i="9"/>
  <c r="E3755" i="9"/>
  <c r="D3755" i="9"/>
  <c r="E3764" i="9"/>
  <c r="D3764" i="9"/>
  <c r="E3769" i="9"/>
  <c r="D3769" i="9"/>
  <c r="C3769" i="9"/>
  <c r="L3769" i="9"/>
  <c r="M3769" i="9" s="1"/>
  <c r="L3789" i="9"/>
  <c r="M3789" i="9" s="1"/>
  <c r="D3789" i="9"/>
  <c r="C3789" i="9"/>
  <c r="E3789" i="9"/>
  <c r="E3828" i="9"/>
  <c r="D3828" i="9"/>
  <c r="C3828" i="9"/>
  <c r="L3828" i="9"/>
  <c r="M3828" i="9" s="1"/>
  <c r="C3848" i="9"/>
  <c r="L3848" i="9"/>
  <c r="M3848" i="9" s="1"/>
  <c r="E3848" i="9"/>
  <c r="D3848" i="9"/>
  <c r="E3853" i="9"/>
  <c r="D3853" i="9"/>
  <c r="C3853" i="9"/>
  <c r="L3853" i="9"/>
  <c r="M3853" i="9" s="1"/>
  <c r="E3868" i="9"/>
  <c r="D3868" i="9"/>
  <c r="C3868" i="9"/>
  <c r="L3868" i="9"/>
  <c r="M3868" i="9" s="1"/>
  <c r="L3873" i="9"/>
  <c r="M3873" i="9" s="1"/>
  <c r="D3873" i="9"/>
  <c r="C3873" i="9"/>
  <c r="E3873" i="9"/>
  <c r="E3925" i="9"/>
  <c r="D3925" i="9"/>
  <c r="C3925" i="9"/>
  <c r="L3925" i="9"/>
  <c r="M3925" i="9" s="1"/>
  <c r="L3967" i="9"/>
  <c r="M3967" i="9" s="1"/>
  <c r="E3967" i="9"/>
  <c r="D3967" i="9"/>
  <c r="C3967" i="9"/>
  <c r="E3972" i="9"/>
  <c r="D3972" i="9"/>
  <c r="C3972" i="9"/>
  <c r="L3972" i="9"/>
  <c r="M3972" i="9" s="1"/>
  <c r="E3993" i="9"/>
  <c r="D3993" i="9"/>
  <c r="C3993" i="9"/>
  <c r="L3993" i="9"/>
  <c r="M3993" i="9" s="1"/>
  <c r="D4035" i="9"/>
  <c r="C4035" i="9"/>
  <c r="L4035" i="9"/>
  <c r="M4035" i="9" s="1"/>
  <c r="E4035" i="9"/>
  <c r="E4040" i="9"/>
  <c r="D4040" i="9"/>
  <c r="C4040" i="9"/>
  <c r="L4040" i="9"/>
  <c r="M4040" i="9" s="1"/>
  <c r="D4083" i="9"/>
  <c r="C4083" i="9"/>
  <c r="L4083" i="9"/>
  <c r="M4083" i="9" s="1"/>
  <c r="E4083" i="9"/>
  <c r="E4088" i="9"/>
  <c r="D4088" i="9"/>
  <c r="C4088" i="9"/>
  <c r="L4088" i="9"/>
  <c r="M4088" i="9" s="1"/>
  <c r="L4121" i="9"/>
  <c r="M4121" i="9" s="1"/>
  <c r="E4121" i="9"/>
  <c r="D4121" i="9"/>
  <c r="C4121" i="9"/>
  <c r="E4126" i="9"/>
  <c r="D4126" i="9"/>
  <c r="C4126" i="9"/>
  <c r="L4126" i="9"/>
  <c r="M4126" i="9" s="1"/>
  <c r="L4188" i="9"/>
  <c r="M4188" i="9" s="1"/>
  <c r="E4188" i="9"/>
  <c r="D4188" i="9"/>
  <c r="C4188" i="9"/>
  <c r="E4246" i="9"/>
  <c r="D4246" i="9"/>
  <c r="C4246" i="9"/>
  <c r="L4246" i="9"/>
  <c r="M4246" i="9" s="1"/>
  <c r="E4252" i="9"/>
  <c r="D4252" i="9"/>
  <c r="C4252" i="9"/>
  <c r="L4252" i="9"/>
  <c r="M4252" i="9" s="1"/>
  <c r="E4310" i="9"/>
  <c r="D4310" i="9"/>
  <c r="C4310" i="9"/>
  <c r="L4310" i="9"/>
  <c r="M4310" i="9" s="1"/>
  <c r="L4316" i="9"/>
  <c r="M4316" i="9" s="1"/>
  <c r="E4316" i="9"/>
  <c r="C4316" i="9"/>
  <c r="D4316" i="9"/>
  <c r="C4374" i="9"/>
  <c r="L4374" i="9"/>
  <c r="M4374" i="9" s="1"/>
  <c r="E4374" i="9"/>
  <c r="D4374" i="9"/>
  <c r="E4380" i="9"/>
  <c r="D4380" i="9"/>
  <c r="C4380" i="9"/>
  <c r="L4380" i="9"/>
  <c r="M4380" i="9" s="1"/>
  <c r="L4438" i="9"/>
  <c r="M4438" i="9" s="1"/>
  <c r="D4438" i="9"/>
  <c r="C4438" i="9"/>
  <c r="E4438" i="9"/>
  <c r="E4444" i="9"/>
  <c r="D4444" i="9"/>
  <c r="C4444" i="9"/>
  <c r="L4444" i="9"/>
  <c r="M4444" i="9" s="1"/>
  <c r="E4502" i="9"/>
  <c r="L4502" i="9"/>
  <c r="M4502" i="9" s="1"/>
  <c r="D4502" i="9"/>
  <c r="C4502" i="9"/>
  <c r="D4508" i="9"/>
  <c r="C4508" i="9"/>
  <c r="L4508" i="9"/>
  <c r="M4508" i="9" s="1"/>
  <c r="E4508" i="9"/>
  <c r="E4566" i="9"/>
  <c r="D4566" i="9"/>
  <c r="D4572" i="9"/>
  <c r="E4572" i="9"/>
  <c r="L4630" i="9"/>
  <c r="M4630" i="9" s="1"/>
  <c r="D4630" i="9"/>
  <c r="C4630" i="9"/>
  <c r="E4630" i="9"/>
  <c r="E4636" i="9"/>
  <c r="D4636" i="9"/>
  <c r="C4636" i="9"/>
  <c r="L4636" i="9"/>
  <c r="M4636" i="9" s="1"/>
  <c r="E4694" i="9"/>
  <c r="L4694" i="9"/>
  <c r="M4694" i="9" s="1"/>
  <c r="D4694" i="9"/>
  <c r="C4694" i="9"/>
  <c r="D4700" i="9"/>
  <c r="C4700" i="9"/>
  <c r="L4700" i="9"/>
  <c r="M4700" i="9" s="1"/>
  <c r="E4700" i="9"/>
  <c r="E4753" i="9"/>
  <c r="D4753" i="9"/>
  <c r="E4801" i="9"/>
  <c r="D4801" i="9"/>
  <c r="C4801" i="9"/>
  <c r="L4801" i="9"/>
  <c r="M4801" i="9" s="1"/>
  <c r="L4849" i="9"/>
  <c r="M4849" i="9" s="1"/>
  <c r="D4849" i="9"/>
  <c r="C4849" i="9"/>
  <c r="E4849" i="9"/>
  <c r="L4897" i="9"/>
  <c r="M4897" i="9" s="1"/>
  <c r="D4897" i="9"/>
  <c r="C4897" i="9"/>
  <c r="E4897" i="9"/>
  <c r="D4945" i="9"/>
  <c r="E4945" i="9"/>
  <c r="D4993" i="9"/>
  <c r="E4993" i="9"/>
  <c r="L5041" i="9"/>
  <c r="M5041" i="9" s="1"/>
  <c r="D5041" i="9"/>
  <c r="C5041" i="9"/>
  <c r="E5041" i="9"/>
  <c r="L5089" i="9"/>
  <c r="M5089" i="9" s="1"/>
  <c r="D5089" i="9"/>
  <c r="C5089" i="9"/>
  <c r="E5089" i="9"/>
  <c r="L5137" i="9"/>
  <c r="M5137" i="9" s="1"/>
  <c r="E5137" i="9"/>
  <c r="D5137" i="9"/>
  <c r="C5137" i="9"/>
  <c r="E5185" i="9"/>
  <c r="D5185" i="9"/>
  <c r="E3" i="9"/>
  <c r="D3" i="9"/>
  <c r="D11" i="9"/>
  <c r="C11" i="9"/>
  <c r="L11" i="9"/>
  <c r="M11" i="9" s="1"/>
  <c r="E11" i="9"/>
  <c r="D23" i="9"/>
  <c r="E23" i="9"/>
  <c r="E31" i="9"/>
  <c r="D31" i="9"/>
  <c r="C31" i="9"/>
  <c r="L31" i="9"/>
  <c r="M31" i="9" s="1"/>
  <c r="D35" i="9"/>
  <c r="E35" i="9"/>
  <c r="E43" i="9"/>
  <c r="D43" i="9"/>
  <c r="D47" i="9"/>
  <c r="E47" i="9"/>
  <c r="E55" i="9"/>
  <c r="D55" i="9"/>
  <c r="E63" i="9"/>
  <c r="D63" i="9"/>
  <c r="E75" i="9"/>
  <c r="D75" i="9"/>
  <c r="D83" i="9"/>
  <c r="E83" i="9"/>
  <c r="E91" i="9"/>
  <c r="D91" i="9"/>
  <c r="C91" i="9"/>
  <c r="L91" i="9"/>
  <c r="M91" i="9" s="1"/>
  <c r="L99" i="9"/>
  <c r="M99" i="9" s="1"/>
  <c r="E99" i="9"/>
  <c r="D99" i="9"/>
  <c r="C99" i="9"/>
  <c r="D107" i="9"/>
  <c r="C107" i="9"/>
  <c r="L107" i="9"/>
  <c r="M107" i="9" s="1"/>
  <c r="E107" i="9"/>
  <c r="L111" i="9"/>
  <c r="M111" i="9" s="1"/>
  <c r="E111" i="9"/>
  <c r="D111" i="9"/>
  <c r="C111" i="9"/>
  <c r="D119" i="9"/>
  <c r="C119" i="9"/>
  <c r="L119" i="9"/>
  <c r="M119" i="9" s="1"/>
  <c r="E119" i="9"/>
  <c r="E127" i="9"/>
  <c r="D127" i="9"/>
  <c r="C127" i="9"/>
  <c r="L127" i="9"/>
  <c r="M127" i="9" s="1"/>
  <c r="L135" i="9"/>
  <c r="M135" i="9" s="1"/>
  <c r="E135" i="9"/>
  <c r="D135" i="9"/>
  <c r="C135" i="9"/>
  <c r="D143" i="9"/>
  <c r="C143" i="9"/>
  <c r="L143" i="9"/>
  <c r="M143" i="9" s="1"/>
  <c r="E143" i="9"/>
  <c r="E151" i="9"/>
  <c r="D151" i="9"/>
  <c r="C151" i="9"/>
  <c r="L151" i="9"/>
  <c r="M151" i="9" s="1"/>
  <c r="L159" i="9"/>
  <c r="M159" i="9" s="1"/>
  <c r="E159" i="9"/>
  <c r="D159" i="9"/>
  <c r="C159" i="9"/>
  <c r="E163" i="9"/>
  <c r="D163" i="9"/>
  <c r="C163" i="9"/>
  <c r="L163" i="9"/>
  <c r="M163" i="9" s="1"/>
  <c r="L171" i="9"/>
  <c r="M171" i="9" s="1"/>
  <c r="E171" i="9"/>
  <c r="D171" i="9"/>
  <c r="C171" i="9"/>
  <c r="E175" i="9"/>
  <c r="D175" i="9"/>
  <c r="C175" i="9"/>
  <c r="L175" i="9"/>
  <c r="M175" i="9" s="1"/>
  <c r="L183" i="9"/>
  <c r="M183" i="9" s="1"/>
  <c r="E183" i="9"/>
  <c r="D183" i="9"/>
  <c r="C183" i="9"/>
  <c r="E187" i="9"/>
  <c r="D187" i="9"/>
  <c r="C187" i="9"/>
  <c r="L187" i="9"/>
  <c r="M187" i="9" s="1"/>
  <c r="L195" i="9"/>
  <c r="M195" i="9" s="1"/>
  <c r="E195" i="9"/>
  <c r="D195" i="9"/>
  <c r="C195" i="9"/>
  <c r="D203" i="9"/>
  <c r="C203" i="9"/>
  <c r="L203" i="9"/>
  <c r="M203" i="9" s="1"/>
  <c r="E203" i="9"/>
  <c r="E211" i="9"/>
  <c r="D211" i="9"/>
  <c r="C211" i="9"/>
  <c r="L211" i="9"/>
  <c r="M211" i="9" s="1"/>
  <c r="E219" i="9"/>
  <c r="D219" i="9"/>
  <c r="D227" i="9"/>
  <c r="E227" i="9"/>
  <c r="L231" i="9"/>
  <c r="M231" i="9" s="1"/>
  <c r="E231" i="9"/>
  <c r="D231" i="9"/>
  <c r="C231" i="9"/>
  <c r="D239" i="9"/>
  <c r="E239" i="9"/>
  <c r="E247" i="9"/>
  <c r="D247" i="9"/>
  <c r="E255" i="9"/>
  <c r="D255" i="9"/>
  <c r="D263" i="9"/>
  <c r="E263" i="9"/>
  <c r="E283" i="9"/>
  <c r="D283" i="9"/>
  <c r="L291" i="9"/>
  <c r="M291" i="9" s="1"/>
  <c r="E291" i="9"/>
  <c r="D291" i="9"/>
  <c r="C291" i="9"/>
  <c r="L419" i="9"/>
  <c r="M419" i="9" s="1"/>
  <c r="D419" i="9"/>
  <c r="C419" i="9"/>
  <c r="E419" i="9"/>
  <c r="L431" i="9"/>
  <c r="M431" i="9" s="1"/>
  <c r="D431" i="9"/>
  <c r="C431" i="9"/>
  <c r="E431" i="9"/>
  <c r="D443" i="9"/>
  <c r="E443" i="9"/>
  <c r="E451" i="9"/>
  <c r="D451" i="9"/>
  <c r="C451" i="9"/>
  <c r="L451" i="9"/>
  <c r="M451" i="9" s="1"/>
  <c r="E459" i="9"/>
  <c r="D459" i="9"/>
  <c r="D467" i="9"/>
  <c r="E467" i="9"/>
  <c r="L471" i="9"/>
  <c r="M471" i="9" s="1"/>
  <c r="E471" i="9"/>
  <c r="D471" i="9"/>
  <c r="C471" i="9"/>
  <c r="D479" i="9"/>
  <c r="E479" i="9"/>
  <c r="E487" i="9"/>
  <c r="D487" i="9"/>
  <c r="E495" i="9"/>
  <c r="D495" i="9"/>
  <c r="D503" i="9"/>
  <c r="E503" i="9"/>
  <c r="E511" i="9"/>
  <c r="D511" i="9"/>
  <c r="L511" i="9"/>
  <c r="M511" i="9" s="1"/>
  <c r="C511" i="9"/>
  <c r="L515" i="9"/>
  <c r="M515" i="9" s="1"/>
  <c r="D515" i="9"/>
  <c r="C515" i="9"/>
  <c r="E515" i="9"/>
  <c r="E519" i="9"/>
  <c r="D519" i="9"/>
  <c r="L519" i="9"/>
  <c r="M519" i="9" s="1"/>
  <c r="C519" i="9"/>
  <c r="E523" i="9"/>
  <c r="D523" i="9"/>
  <c r="L523" i="9"/>
  <c r="M523" i="9" s="1"/>
  <c r="C523" i="9"/>
  <c r="L1540" i="9"/>
  <c r="M1540" i="9" s="1"/>
  <c r="E1540" i="9"/>
  <c r="C1540" i="9"/>
  <c r="D1540" i="9"/>
  <c r="C1549" i="9"/>
  <c r="L1549" i="9"/>
  <c r="M1549" i="9" s="1"/>
  <c r="E1549" i="9"/>
  <c r="D1549" i="9"/>
  <c r="L1562" i="9"/>
  <c r="M1562" i="9" s="1"/>
  <c r="D1562" i="9"/>
  <c r="C1562" i="9"/>
  <c r="E1562" i="9"/>
  <c r="L1575" i="9"/>
  <c r="M1575" i="9" s="1"/>
  <c r="C1575" i="9"/>
  <c r="D1575" i="9"/>
  <c r="E1575" i="9"/>
  <c r="L1588" i="9"/>
  <c r="M1588" i="9" s="1"/>
  <c r="E1588" i="9"/>
  <c r="D1588" i="9"/>
  <c r="C1588" i="9"/>
  <c r="C1597" i="9"/>
  <c r="L1597" i="9"/>
  <c r="M1597" i="9" s="1"/>
  <c r="E1597" i="9"/>
  <c r="D1597" i="9"/>
  <c r="L1610" i="9"/>
  <c r="M1610" i="9" s="1"/>
  <c r="D1610" i="9"/>
  <c r="C1610" i="9"/>
  <c r="E1610" i="9"/>
  <c r="L1623" i="9"/>
  <c r="M1623" i="9" s="1"/>
  <c r="C1623" i="9"/>
  <c r="E1623" i="9"/>
  <c r="D1623" i="9"/>
  <c r="L1636" i="9"/>
  <c r="M1636" i="9" s="1"/>
  <c r="E1636" i="9"/>
  <c r="D1636" i="9"/>
  <c r="C1636" i="9"/>
  <c r="C1645" i="9"/>
  <c r="L1645" i="9"/>
  <c r="M1645" i="9" s="1"/>
  <c r="E1645" i="9"/>
  <c r="D1645" i="9"/>
  <c r="L1658" i="9"/>
  <c r="M1658" i="9" s="1"/>
  <c r="D1658" i="9"/>
  <c r="C1658" i="9"/>
  <c r="E1658" i="9"/>
  <c r="L1671" i="9"/>
  <c r="M1671" i="9" s="1"/>
  <c r="C1671" i="9"/>
  <c r="E1671" i="9"/>
  <c r="D1671" i="9"/>
  <c r="L1684" i="9"/>
  <c r="M1684" i="9" s="1"/>
  <c r="E1684" i="9"/>
  <c r="D1684" i="9"/>
  <c r="C1684" i="9"/>
  <c r="C1693" i="9"/>
  <c r="L1693" i="9"/>
  <c r="M1693" i="9" s="1"/>
  <c r="E1693" i="9"/>
  <c r="D1693" i="9"/>
  <c r="L1706" i="9"/>
  <c r="M1706" i="9" s="1"/>
  <c r="D1706" i="9"/>
  <c r="C1706" i="9"/>
  <c r="E1706" i="9"/>
  <c r="L1719" i="9"/>
  <c r="M1719" i="9" s="1"/>
  <c r="C1719" i="9"/>
  <c r="E1719" i="9"/>
  <c r="D1719" i="9"/>
  <c r="L1732" i="9"/>
  <c r="M1732" i="9" s="1"/>
  <c r="E1732" i="9"/>
  <c r="D1732" i="9"/>
  <c r="C1732" i="9"/>
  <c r="C1741" i="9"/>
  <c r="L1741" i="9"/>
  <c r="M1741" i="9" s="1"/>
  <c r="E1741" i="9"/>
  <c r="D1741" i="9"/>
  <c r="L1754" i="9"/>
  <c r="M1754" i="9" s="1"/>
  <c r="D1754" i="9"/>
  <c r="C1754" i="9"/>
  <c r="E1754" i="9"/>
  <c r="L1767" i="9"/>
  <c r="M1767" i="9" s="1"/>
  <c r="C1767" i="9"/>
  <c r="E1767" i="9"/>
  <c r="D1767" i="9"/>
  <c r="L1780" i="9"/>
  <c r="M1780" i="9" s="1"/>
  <c r="E1780" i="9"/>
  <c r="D1780" i="9"/>
  <c r="C1780" i="9"/>
  <c r="L1789" i="9"/>
  <c r="M1789" i="9" s="1"/>
  <c r="D1789" i="9"/>
  <c r="C1789" i="9"/>
  <c r="E1789" i="9"/>
  <c r="E1802" i="9"/>
  <c r="L1802" i="9"/>
  <c r="M1802" i="9" s="1"/>
  <c r="D1802" i="9"/>
  <c r="C1802" i="9"/>
  <c r="E1815" i="9"/>
  <c r="D1815" i="9"/>
  <c r="L1815" i="9"/>
  <c r="M1815" i="9" s="1"/>
  <c r="C1815" i="9"/>
  <c r="E1828" i="9"/>
  <c r="D1828" i="9"/>
  <c r="C1828" i="9"/>
  <c r="L1828" i="9"/>
  <c r="M1828" i="9" s="1"/>
  <c r="L1837" i="9"/>
  <c r="M1837" i="9" s="1"/>
  <c r="E1837" i="9"/>
  <c r="D1837" i="9"/>
  <c r="C1837" i="9"/>
  <c r="E1850" i="9"/>
  <c r="L1850" i="9"/>
  <c r="M1850" i="9" s="1"/>
  <c r="C1850" i="9"/>
  <c r="D1850" i="9"/>
  <c r="E1863" i="9"/>
  <c r="D1863" i="9"/>
  <c r="L1863" i="9"/>
  <c r="M1863" i="9" s="1"/>
  <c r="C1863" i="9"/>
  <c r="E1876" i="9"/>
  <c r="D1876" i="9"/>
  <c r="C1876" i="9"/>
  <c r="L1876" i="9"/>
  <c r="M1876" i="9" s="1"/>
  <c r="L1885" i="9"/>
  <c r="M1885" i="9" s="1"/>
  <c r="E1885" i="9"/>
  <c r="D1885" i="9"/>
  <c r="C1885" i="9"/>
  <c r="E1898" i="9"/>
  <c r="L1898" i="9"/>
  <c r="M1898" i="9" s="1"/>
  <c r="D1898" i="9"/>
  <c r="C1898" i="9"/>
  <c r="E1911" i="9"/>
  <c r="D1911" i="9"/>
  <c r="L1911" i="9"/>
  <c r="M1911" i="9" s="1"/>
  <c r="C1911" i="9"/>
  <c r="E1924" i="9"/>
  <c r="D1924" i="9"/>
  <c r="C1924" i="9"/>
  <c r="L1924" i="9"/>
  <c r="M1924" i="9" s="1"/>
  <c r="L1933" i="9"/>
  <c r="M1933" i="9" s="1"/>
  <c r="D1933" i="9"/>
  <c r="C1933" i="9"/>
  <c r="E1933" i="9"/>
  <c r="E1946" i="9"/>
  <c r="L1946" i="9"/>
  <c r="M1946" i="9" s="1"/>
  <c r="D1946" i="9"/>
  <c r="C1946" i="9"/>
  <c r="E1959" i="9"/>
  <c r="D1959" i="9"/>
  <c r="L1959" i="9"/>
  <c r="M1959" i="9" s="1"/>
  <c r="C1959" i="9"/>
  <c r="E1972" i="9"/>
  <c r="D1972" i="9"/>
  <c r="C1972" i="9"/>
  <c r="L1972" i="9"/>
  <c r="M1972" i="9" s="1"/>
  <c r="L1981" i="9"/>
  <c r="M1981" i="9" s="1"/>
  <c r="E1981" i="9"/>
  <c r="D1981" i="9"/>
  <c r="C1981" i="9"/>
  <c r="E1994" i="9"/>
  <c r="L1994" i="9"/>
  <c r="M1994" i="9" s="1"/>
  <c r="C1994" i="9"/>
  <c r="D1994" i="9"/>
  <c r="E2007" i="9"/>
  <c r="D2007" i="9"/>
  <c r="L2007" i="9"/>
  <c r="M2007" i="9" s="1"/>
  <c r="C2007" i="9"/>
  <c r="E2020" i="9"/>
  <c r="D2020" i="9"/>
  <c r="C2020" i="9"/>
  <c r="L2020" i="9"/>
  <c r="M2020" i="9" s="1"/>
  <c r="L2029" i="9"/>
  <c r="M2029" i="9" s="1"/>
  <c r="E2029" i="9"/>
  <c r="D2029" i="9"/>
  <c r="C2029" i="9"/>
  <c r="C2038" i="9"/>
  <c r="E2038" i="9"/>
  <c r="D2038" i="9"/>
  <c r="L2038" i="9"/>
  <c r="M2038" i="9" s="1"/>
  <c r="C2062" i="9"/>
  <c r="E2062" i="9"/>
  <c r="D2062" i="9"/>
  <c r="L2062" i="9"/>
  <c r="M2062" i="9" s="1"/>
  <c r="C2086" i="9"/>
  <c r="L2086" i="9"/>
  <c r="M2086" i="9" s="1"/>
  <c r="E2086" i="9"/>
  <c r="D2086" i="9"/>
  <c r="C2110" i="9"/>
  <c r="L2110" i="9"/>
  <c r="M2110" i="9" s="1"/>
  <c r="E2110" i="9"/>
  <c r="D2110" i="9"/>
  <c r="C2134" i="9"/>
  <c r="L2134" i="9"/>
  <c r="M2134" i="9" s="1"/>
  <c r="E2134" i="9"/>
  <c r="D2134" i="9"/>
  <c r="C2158" i="9"/>
  <c r="L2158" i="9"/>
  <c r="M2158" i="9" s="1"/>
  <c r="E2158" i="9"/>
  <c r="D2158" i="9"/>
  <c r="C2182" i="9"/>
  <c r="L2182" i="9"/>
  <c r="M2182" i="9" s="1"/>
  <c r="E2182" i="9"/>
  <c r="D2182" i="9"/>
  <c r="C2206" i="9"/>
  <c r="L2206" i="9"/>
  <c r="M2206" i="9" s="1"/>
  <c r="E2206" i="9"/>
  <c r="D2206" i="9"/>
  <c r="C2230" i="9"/>
  <c r="L2230" i="9"/>
  <c r="M2230" i="9" s="1"/>
  <c r="E2230" i="9"/>
  <c r="D2230" i="9"/>
  <c r="C2254" i="9"/>
  <c r="L2254" i="9"/>
  <c r="M2254" i="9" s="1"/>
  <c r="E2254" i="9"/>
  <c r="D2254" i="9"/>
  <c r="C2278" i="9"/>
  <c r="L2278" i="9"/>
  <c r="M2278" i="9" s="1"/>
  <c r="E2278" i="9"/>
  <c r="D2278" i="9"/>
  <c r="C2302" i="9"/>
  <c r="L2302" i="9"/>
  <c r="M2302" i="9" s="1"/>
  <c r="E2302" i="9"/>
  <c r="D2302" i="9"/>
  <c r="E2326" i="9"/>
  <c r="D2326" i="9"/>
  <c r="C2350" i="9"/>
  <c r="L2350" i="9"/>
  <c r="M2350" i="9" s="1"/>
  <c r="D2350" i="9"/>
  <c r="E2350" i="9"/>
  <c r="D2374" i="9"/>
  <c r="E2374" i="9"/>
  <c r="C2398" i="9"/>
  <c r="L2398" i="9"/>
  <c r="M2398" i="9" s="1"/>
  <c r="D2398" i="9"/>
  <c r="E2398" i="9"/>
  <c r="C2422" i="9"/>
  <c r="L2422" i="9"/>
  <c r="M2422" i="9" s="1"/>
  <c r="E2422" i="9"/>
  <c r="D2422" i="9"/>
  <c r="C2446" i="9"/>
  <c r="L2446" i="9"/>
  <c r="M2446" i="9" s="1"/>
  <c r="E2446" i="9"/>
  <c r="D2446" i="9"/>
  <c r="E2470" i="9"/>
  <c r="L2470" i="9"/>
  <c r="M2470" i="9" s="1"/>
  <c r="D2470" i="9"/>
  <c r="C2470" i="9"/>
  <c r="E2494" i="9"/>
  <c r="L2494" i="9"/>
  <c r="M2494" i="9" s="1"/>
  <c r="D2494" i="9"/>
  <c r="C2494" i="9"/>
  <c r="E2518" i="9"/>
  <c r="D2518" i="9"/>
  <c r="E2542" i="9"/>
  <c r="D2542" i="9"/>
  <c r="E2566" i="9"/>
  <c r="D2566" i="9"/>
  <c r="E2590" i="9"/>
  <c r="D2590" i="9"/>
  <c r="C2590" i="9"/>
  <c r="L2590" i="9"/>
  <c r="M2590" i="9" s="1"/>
  <c r="E2614" i="9"/>
  <c r="D2614" i="9"/>
  <c r="C2614" i="9"/>
  <c r="L2614" i="9"/>
  <c r="M2614" i="9" s="1"/>
  <c r="E2638" i="9"/>
  <c r="D2638" i="9"/>
  <c r="C2638" i="9"/>
  <c r="L2638" i="9"/>
  <c r="M2638" i="9" s="1"/>
  <c r="E2662" i="9"/>
  <c r="D2662" i="9"/>
  <c r="C2662" i="9"/>
  <c r="L2662" i="9"/>
  <c r="M2662" i="9" s="1"/>
  <c r="E2686" i="9"/>
  <c r="D2686" i="9"/>
  <c r="C2686" i="9"/>
  <c r="L2686" i="9"/>
  <c r="M2686" i="9" s="1"/>
  <c r="E2710" i="9"/>
  <c r="D2710" i="9"/>
  <c r="C2710" i="9"/>
  <c r="L2710" i="9"/>
  <c r="M2710" i="9" s="1"/>
  <c r="E2734" i="9"/>
  <c r="D2734" i="9"/>
  <c r="E2758" i="9"/>
  <c r="D2758" i="9"/>
  <c r="E2782" i="9"/>
  <c r="D2782" i="9"/>
  <c r="L2806" i="9"/>
  <c r="M2806" i="9" s="1"/>
  <c r="D2806" i="9"/>
  <c r="C2806" i="9"/>
  <c r="E2806" i="9"/>
  <c r="L2830" i="9"/>
  <c r="M2830" i="9" s="1"/>
  <c r="E2830" i="9"/>
  <c r="D2830" i="9"/>
  <c r="C2830" i="9"/>
  <c r="L2854" i="9"/>
  <c r="M2854" i="9" s="1"/>
  <c r="E2854" i="9"/>
  <c r="D2854" i="9"/>
  <c r="C2854" i="9"/>
  <c r="L2878" i="9"/>
  <c r="M2878" i="9" s="1"/>
  <c r="D2878" i="9"/>
  <c r="C2878" i="9"/>
  <c r="E2878" i="9"/>
  <c r="L2902" i="9"/>
  <c r="M2902" i="9" s="1"/>
  <c r="E2902" i="9"/>
  <c r="D2902" i="9"/>
  <c r="C2902" i="9"/>
  <c r="E2926" i="9"/>
  <c r="D2926" i="9"/>
  <c r="L2950" i="9"/>
  <c r="M2950" i="9" s="1"/>
  <c r="D2950" i="9"/>
  <c r="C2950" i="9"/>
  <c r="E2950" i="9"/>
  <c r="E2974" i="9"/>
  <c r="D2974" i="9"/>
  <c r="L2998" i="9"/>
  <c r="M2998" i="9" s="1"/>
  <c r="E2998" i="9"/>
  <c r="D2998" i="9"/>
  <c r="C2998" i="9"/>
  <c r="L3022" i="9"/>
  <c r="M3022" i="9" s="1"/>
  <c r="D3022" i="9"/>
  <c r="C3022" i="9"/>
  <c r="E3022" i="9"/>
  <c r="L3046" i="9"/>
  <c r="M3046" i="9" s="1"/>
  <c r="E3046" i="9"/>
  <c r="D3046" i="9"/>
  <c r="C3046" i="9"/>
  <c r="L3070" i="9"/>
  <c r="M3070" i="9" s="1"/>
  <c r="E3070" i="9"/>
  <c r="D3070" i="9"/>
  <c r="C3070" i="9"/>
  <c r="L3094" i="9"/>
  <c r="M3094" i="9" s="1"/>
  <c r="E3094" i="9"/>
  <c r="D3094" i="9"/>
  <c r="C3094" i="9"/>
  <c r="E3118" i="9"/>
  <c r="D3118" i="9"/>
  <c r="D3142" i="9"/>
  <c r="E3142" i="9"/>
  <c r="E3166" i="9"/>
  <c r="D3166" i="9"/>
  <c r="L3190" i="9"/>
  <c r="M3190" i="9" s="1"/>
  <c r="E3190" i="9"/>
  <c r="D3190" i="9"/>
  <c r="C3190" i="9"/>
  <c r="L3214" i="9"/>
  <c r="M3214" i="9" s="1"/>
  <c r="E3214" i="9"/>
  <c r="D3214" i="9"/>
  <c r="C3214" i="9"/>
  <c r="L3238" i="9"/>
  <c r="M3238" i="9" s="1"/>
  <c r="C3238" i="9"/>
  <c r="E3238" i="9"/>
  <c r="D3238" i="9"/>
  <c r="L3262" i="9"/>
  <c r="M3262" i="9" s="1"/>
  <c r="C3262" i="9"/>
  <c r="E3262" i="9"/>
  <c r="D3262" i="9"/>
  <c r="L3286" i="9"/>
  <c r="M3286" i="9" s="1"/>
  <c r="C3286" i="9"/>
  <c r="E3286" i="9"/>
  <c r="D3286" i="9"/>
  <c r="L3310" i="9"/>
  <c r="M3310" i="9" s="1"/>
  <c r="C3310" i="9"/>
  <c r="E3310" i="9"/>
  <c r="D3310" i="9"/>
  <c r="E3334" i="9"/>
  <c r="D3334" i="9"/>
  <c r="E3358" i="9"/>
  <c r="D3358" i="9"/>
  <c r="E3382" i="9"/>
  <c r="D3382" i="9"/>
  <c r="E3406" i="9"/>
  <c r="D3406" i="9"/>
  <c r="C3406" i="9"/>
  <c r="L3406" i="9"/>
  <c r="M3406" i="9" s="1"/>
  <c r="E3430" i="9"/>
  <c r="D3430" i="9"/>
  <c r="C3430" i="9"/>
  <c r="L3430" i="9"/>
  <c r="M3430" i="9" s="1"/>
  <c r="E3454" i="9"/>
  <c r="D3454" i="9"/>
  <c r="C3454" i="9"/>
  <c r="L3454" i="9"/>
  <c r="M3454" i="9" s="1"/>
  <c r="E3478" i="9"/>
  <c r="D3478" i="9"/>
  <c r="C3478" i="9"/>
  <c r="L3478" i="9"/>
  <c r="M3478" i="9" s="1"/>
  <c r="E3502" i="9"/>
  <c r="D3502" i="9"/>
  <c r="C3502" i="9"/>
  <c r="L3502" i="9"/>
  <c r="M3502" i="9" s="1"/>
  <c r="E3526" i="9"/>
  <c r="D3526" i="9"/>
  <c r="E3550" i="9"/>
  <c r="D3550" i="9"/>
  <c r="C3550" i="9"/>
  <c r="L3550" i="9"/>
  <c r="M3550" i="9" s="1"/>
  <c r="E3574" i="9"/>
  <c r="D3574" i="9"/>
  <c r="C3574" i="9"/>
  <c r="L3574" i="9"/>
  <c r="M3574" i="9" s="1"/>
  <c r="E3598" i="9"/>
  <c r="D3598" i="9"/>
  <c r="C3598" i="9"/>
  <c r="L3598" i="9"/>
  <c r="M3598" i="9" s="1"/>
  <c r="E3622" i="9"/>
  <c r="D3622" i="9"/>
  <c r="C3622" i="9"/>
  <c r="L3622" i="9"/>
  <c r="M3622" i="9" s="1"/>
  <c r="L3646" i="9"/>
  <c r="M3646" i="9" s="1"/>
  <c r="E3646" i="9"/>
  <c r="D3646" i="9"/>
  <c r="C3646" i="9"/>
  <c r="L3670" i="9"/>
  <c r="M3670" i="9" s="1"/>
  <c r="E3670" i="9"/>
  <c r="C3670" i="9"/>
  <c r="D3670" i="9"/>
  <c r="L3694" i="9"/>
  <c r="M3694" i="9" s="1"/>
  <c r="E3694" i="9"/>
  <c r="C3694" i="9"/>
  <c r="D3694" i="9"/>
  <c r="L3718" i="9"/>
  <c r="M3718" i="9" s="1"/>
  <c r="E3718" i="9"/>
  <c r="C3718" i="9"/>
  <c r="D3718" i="9"/>
  <c r="E3746" i="9"/>
  <c r="D3746" i="9"/>
  <c r="E3774" i="9"/>
  <c r="D3774" i="9"/>
  <c r="C3774" i="9"/>
  <c r="L3774" i="9"/>
  <c r="M3774" i="9" s="1"/>
  <c r="L3779" i="9"/>
  <c r="M3779" i="9" s="1"/>
  <c r="E3779" i="9"/>
  <c r="D3779" i="9"/>
  <c r="C3779" i="9"/>
  <c r="E3784" i="9"/>
  <c r="D3784" i="9"/>
  <c r="C3784" i="9"/>
  <c r="L3784" i="9"/>
  <c r="M3784" i="9" s="1"/>
  <c r="E3794" i="9"/>
  <c r="D3794" i="9"/>
  <c r="C3794" i="9"/>
  <c r="L3794" i="9"/>
  <c r="M3794" i="9" s="1"/>
  <c r="D3799" i="9"/>
  <c r="C3799" i="9"/>
  <c r="L3799" i="9"/>
  <c r="M3799" i="9" s="1"/>
  <c r="E3799" i="9"/>
  <c r="E3809" i="9"/>
  <c r="D3809" i="9"/>
  <c r="C3809" i="9"/>
  <c r="L3809" i="9"/>
  <c r="M3809" i="9" s="1"/>
  <c r="L3814" i="9"/>
  <c r="M3814" i="9" s="1"/>
  <c r="E3814" i="9"/>
  <c r="C3814" i="9"/>
  <c r="D3814" i="9"/>
  <c r="E3819" i="9"/>
  <c r="D3819" i="9"/>
  <c r="C3819" i="9"/>
  <c r="L3819" i="9"/>
  <c r="M3819" i="9" s="1"/>
  <c r="E3879" i="9"/>
  <c r="D3879" i="9"/>
  <c r="C3879" i="9"/>
  <c r="L3879" i="9"/>
  <c r="M3879" i="9" s="1"/>
  <c r="C3884" i="9"/>
  <c r="L3884" i="9"/>
  <c r="M3884" i="9" s="1"/>
  <c r="E3884" i="9"/>
  <c r="D3884" i="9"/>
  <c r="E3889" i="9"/>
  <c r="D3889" i="9"/>
  <c r="C3889" i="9"/>
  <c r="L3889" i="9"/>
  <c r="M3889" i="9" s="1"/>
  <c r="D3915" i="9"/>
  <c r="C3915" i="9"/>
  <c r="L3915" i="9"/>
  <c r="M3915" i="9" s="1"/>
  <c r="E3915" i="9"/>
  <c r="E3920" i="9"/>
  <c r="D3920" i="9"/>
  <c r="C3920" i="9"/>
  <c r="L3920" i="9"/>
  <c r="M3920" i="9" s="1"/>
  <c r="E3962" i="9"/>
  <c r="D3962" i="9"/>
  <c r="C3962" i="9"/>
  <c r="L3962" i="9"/>
  <c r="M3962" i="9" s="1"/>
  <c r="C3988" i="9"/>
  <c r="L3988" i="9"/>
  <c r="M3988" i="9" s="1"/>
  <c r="E3988" i="9"/>
  <c r="D3988" i="9"/>
  <c r="E4004" i="9"/>
  <c r="D4004" i="9"/>
  <c r="C4004" i="9"/>
  <c r="L4004" i="9"/>
  <c r="M4004" i="9" s="1"/>
  <c r="E4009" i="9"/>
  <c r="D4009" i="9"/>
  <c r="C4009" i="9"/>
  <c r="L4009" i="9"/>
  <c r="M4009" i="9" s="1"/>
  <c r="L4025" i="9"/>
  <c r="M4025" i="9" s="1"/>
  <c r="E4025" i="9"/>
  <c r="D4025" i="9"/>
  <c r="C4025" i="9"/>
  <c r="E4030" i="9"/>
  <c r="D4030" i="9"/>
  <c r="C4030" i="9"/>
  <c r="L4030" i="9"/>
  <c r="M4030" i="9" s="1"/>
  <c r="E4046" i="9"/>
  <c r="D4046" i="9"/>
  <c r="C4046" i="9"/>
  <c r="L4046" i="9"/>
  <c r="M4046" i="9" s="1"/>
  <c r="L4051" i="9"/>
  <c r="M4051" i="9" s="1"/>
  <c r="E4051" i="9"/>
  <c r="D4051" i="9"/>
  <c r="C4051" i="9"/>
  <c r="E4105" i="9"/>
  <c r="D4105" i="9"/>
  <c r="C4105" i="9"/>
  <c r="L4105" i="9"/>
  <c r="M4105" i="9" s="1"/>
  <c r="E4116" i="9"/>
  <c r="D4116" i="9"/>
  <c r="C4116" i="9"/>
  <c r="L4116" i="9"/>
  <c r="M4116" i="9" s="1"/>
  <c r="E4160" i="9"/>
  <c r="D4160" i="9"/>
  <c r="C4160" i="9"/>
  <c r="L4160" i="9"/>
  <c r="M4160" i="9" s="1"/>
  <c r="L4183" i="9"/>
  <c r="M4183" i="9" s="1"/>
  <c r="E4183" i="9"/>
  <c r="D4183" i="9"/>
  <c r="C4183" i="9"/>
  <c r="C4194" i="9"/>
  <c r="L4194" i="9"/>
  <c r="M4194" i="9" s="1"/>
  <c r="D4194" i="9"/>
  <c r="E4194" i="9"/>
  <c r="D4241" i="9"/>
  <c r="C4241" i="9"/>
  <c r="L4241" i="9"/>
  <c r="M4241" i="9" s="1"/>
  <c r="E4241" i="9"/>
  <c r="E4258" i="9"/>
  <c r="D4258" i="9"/>
  <c r="C4258" i="9"/>
  <c r="L4258" i="9"/>
  <c r="M4258" i="9" s="1"/>
  <c r="L4305" i="9"/>
  <c r="M4305" i="9" s="1"/>
  <c r="E4305" i="9"/>
  <c r="D4305" i="9"/>
  <c r="C4305" i="9"/>
  <c r="E4322" i="9"/>
  <c r="D4322" i="9"/>
  <c r="C4322" i="9"/>
  <c r="L4322" i="9"/>
  <c r="M4322" i="9" s="1"/>
  <c r="E4369" i="9"/>
  <c r="D4369" i="9"/>
  <c r="C4369" i="9"/>
  <c r="L4369" i="9"/>
  <c r="M4369" i="9" s="1"/>
  <c r="C4386" i="9"/>
  <c r="L4386" i="9"/>
  <c r="M4386" i="9" s="1"/>
  <c r="E4386" i="9"/>
  <c r="D4386" i="9"/>
  <c r="E4433" i="9"/>
  <c r="D4433" i="9"/>
  <c r="C4433" i="9"/>
  <c r="L4433" i="9"/>
  <c r="M4433" i="9" s="1"/>
  <c r="L4450" i="9"/>
  <c r="M4450" i="9" s="1"/>
  <c r="D4450" i="9"/>
  <c r="C4450" i="9"/>
  <c r="E4450" i="9"/>
  <c r="C4497" i="9"/>
  <c r="L4497" i="9"/>
  <c r="M4497" i="9" s="1"/>
  <c r="E4497" i="9"/>
  <c r="D4497" i="9"/>
  <c r="E4514" i="9"/>
  <c r="D4514" i="9"/>
  <c r="C4561" i="9"/>
  <c r="L4561" i="9"/>
  <c r="M4561" i="9" s="1"/>
  <c r="E4561" i="9"/>
  <c r="D4561" i="9"/>
  <c r="E4578" i="9"/>
  <c r="D4578" i="9"/>
  <c r="E4625" i="9"/>
  <c r="D4625" i="9"/>
  <c r="C4625" i="9"/>
  <c r="L4625" i="9"/>
  <c r="M4625" i="9" s="1"/>
  <c r="L4642" i="9"/>
  <c r="M4642" i="9" s="1"/>
  <c r="D4642" i="9"/>
  <c r="C4642" i="9"/>
  <c r="E4642" i="9"/>
  <c r="C4689" i="9"/>
  <c r="L4689" i="9"/>
  <c r="M4689" i="9" s="1"/>
  <c r="E4689" i="9"/>
  <c r="D4689" i="9"/>
  <c r="E4706" i="9"/>
  <c r="D4706" i="9"/>
  <c r="L4706" i="9"/>
  <c r="M4706" i="9" s="1"/>
  <c r="C4706" i="9"/>
  <c r="D1536" i="9"/>
  <c r="E1536" i="9"/>
  <c r="E1545" i="9"/>
  <c r="D1545" i="9"/>
  <c r="C1545" i="9"/>
  <c r="L1545" i="9"/>
  <c r="M1545" i="9" s="1"/>
  <c r="D1558" i="9"/>
  <c r="C1558" i="9"/>
  <c r="L1558" i="9"/>
  <c r="M1558" i="9" s="1"/>
  <c r="E1558" i="9"/>
  <c r="E1571" i="9"/>
  <c r="D1571" i="9"/>
  <c r="C1571" i="9"/>
  <c r="L1571" i="9"/>
  <c r="M1571" i="9" s="1"/>
  <c r="D1584" i="9"/>
  <c r="C1584" i="9"/>
  <c r="L1584" i="9"/>
  <c r="M1584" i="9" s="1"/>
  <c r="E1584" i="9"/>
  <c r="E1593" i="9"/>
  <c r="D1593" i="9"/>
  <c r="C1593" i="9"/>
  <c r="L1593" i="9"/>
  <c r="M1593" i="9" s="1"/>
  <c r="E1606" i="9"/>
  <c r="D1606" i="9"/>
  <c r="C1606" i="9"/>
  <c r="L1606" i="9"/>
  <c r="M1606" i="9" s="1"/>
  <c r="E1619" i="9"/>
  <c r="D1619" i="9"/>
  <c r="C1619" i="9"/>
  <c r="L1619" i="9"/>
  <c r="M1619" i="9" s="1"/>
  <c r="D1632" i="9"/>
  <c r="C1632" i="9"/>
  <c r="L1632" i="9"/>
  <c r="M1632" i="9" s="1"/>
  <c r="E1632" i="9"/>
  <c r="E1641" i="9"/>
  <c r="D1641" i="9"/>
  <c r="C1641" i="9"/>
  <c r="L1641" i="9"/>
  <c r="M1641" i="9" s="1"/>
  <c r="E1654" i="9"/>
  <c r="D1654" i="9"/>
  <c r="C1654" i="9"/>
  <c r="L1654" i="9"/>
  <c r="M1654" i="9" s="1"/>
  <c r="E1667" i="9"/>
  <c r="D1667" i="9"/>
  <c r="C1667" i="9"/>
  <c r="L1667" i="9"/>
  <c r="M1667" i="9" s="1"/>
  <c r="D1680" i="9"/>
  <c r="C1680" i="9"/>
  <c r="L1680" i="9"/>
  <c r="M1680" i="9" s="1"/>
  <c r="E1680" i="9"/>
  <c r="E1689" i="9"/>
  <c r="D1689" i="9"/>
  <c r="C1689" i="9"/>
  <c r="L1689" i="9"/>
  <c r="M1689" i="9" s="1"/>
  <c r="E1702" i="9"/>
  <c r="D1702" i="9"/>
  <c r="C1702" i="9"/>
  <c r="L1702" i="9"/>
  <c r="M1702" i="9" s="1"/>
  <c r="E1715" i="9"/>
  <c r="D1715" i="9"/>
  <c r="C1715" i="9"/>
  <c r="L1715" i="9"/>
  <c r="M1715" i="9" s="1"/>
  <c r="D1728" i="9"/>
  <c r="C1728" i="9"/>
  <c r="L1728" i="9"/>
  <c r="M1728" i="9" s="1"/>
  <c r="E1728" i="9"/>
  <c r="E1737" i="9"/>
  <c r="D1737" i="9"/>
  <c r="C1737" i="9"/>
  <c r="L1737" i="9"/>
  <c r="M1737" i="9" s="1"/>
  <c r="E1750" i="9"/>
  <c r="D1750" i="9"/>
  <c r="C1750" i="9"/>
  <c r="L1750" i="9"/>
  <c r="M1750" i="9" s="1"/>
  <c r="E1763" i="9"/>
  <c r="D1763" i="9"/>
  <c r="C1763" i="9"/>
  <c r="L1763" i="9"/>
  <c r="M1763" i="9" s="1"/>
  <c r="D1776" i="9"/>
  <c r="C1776" i="9"/>
  <c r="L1776" i="9"/>
  <c r="M1776" i="9" s="1"/>
  <c r="E1776" i="9"/>
  <c r="E1785" i="9"/>
  <c r="D1785" i="9"/>
  <c r="C1785" i="9"/>
  <c r="L1785" i="9"/>
  <c r="M1785" i="9" s="1"/>
  <c r="C1798" i="9"/>
  <c r="D1798" i="9"/>
  <c r="L1798" i="9"/>
  <c r="M1798" i="9" s="1"/>
  <c r="E1798" i="9"/>
  <c r="L1811" i="9"/>
  <c r="M1811" i="9" s="1"/>
  <c r="C1811" i="9"/>
  <c r="E1811" i="9"/>
  <c r="D1811" i="9"/>
  <c r="L1824" i="9"/>
  <c r="M1824" i="9" s="1"/>
  <c r="E1824" i="9"/>
  <c r="D1824" i="9"/>
  <c r="C1824" i="9"/>
  <c r="D1833" i="9"/>
  <c r="C1833" i="9"/>
  <c r="L1833" i="9"/>
  <c r="M1833" i="9" s="1"/>
  <c r="E1833" i="9"/>
  <c r="C1846" i="9"/>
  <c r="E1846" i="9"/>
  <c r="D1846" i="9"/>
  <c r="L1846" i="9"/>
  <c r="M1846" i="9" s="1"/>
  <c r="L1859" i="9"/>
  <c r="M1859" i="9" s="1"/>
  <c r="D1859" i="9"/>
  <c r="C1859" i="9"/>
  <c r="E1859" i="9"/>
  <c r="L1872" i="9"/>
  <c r="M1872" i="9" s="1"/>
  <c r="C1872" i="9"/>
  <c r="E1872" i="9"/>
  <c r="D1872" i="9"/>
  <c r="D1881" i="9"/>
  <c r="C1881" i="9"/>
  <c r="L1881" i="9"/>
  <c r="M1881" i="9" s="1"/>
  <c r="E1881" i="9"/>
  <c r="C1894" i="9"/>
  <c r="E1894" i="9"/>
  <c r="D1894" i="9"/>
  <c r="L1894" i="9"/>
  <c r="M1894" i="9" s="1"/>
  <c r="L1907" i="9"/>
  <c r="M1907" i="9" s="1"/>
  <c r="D1907" i="9"/>
  <c r="C1907" i="9"/>
  <c r="E1907" i="9"/>
  <c r="L1920" i="9"/>
  <c r="M1920" i="9" s="1"/>
  <c r="C1920" i="9"/>
  <c r="E1920" i="9"/>
  <c r="D1920" i="9"/>
  <c r="D1929" i="9"/>
  <c r="C1929" i="9"/>
  <c r="L1929" i="9"/>
  <c r="M1929" i="9" s="1"/>
  <c r="E1929" i="9"/>
  <c r="C1942" i="9"/>
  <c r="E1942" i="9"/>
  <c r="D1942" i="9"/>
  <c r="L1942" i="9"/>
  <c r="M1942" i="9" s="1"/>
  <c r="L1955" i="9"/>
  <c r="M1955" i="9" s="1"/>
  <c r="D1955" i="9"/>
  <c r="C1955" i="9"/>
  <c r="E1955" i="9"/>
  <c r="L1968" i="9"/>
  <c r="M1968" i="9" s="1"/>
  <c r="C1968" i="9"/>
  <c r="E1968" i="9"/>
  <c r="D1968" i="9"/>
  <c r="D1977" i="9"/>
  <c r="C1977" i="9"/>
  <c r="L1977" i="9"/>
  <c r="M1977" i="9" s="1"/>
  <c r="E1977" i="9"/>
  <c r="C1990" i="9"/>
  <c r="E1990" i="9"/>
  <c r="D1990" i="9"/>
  <c r="L1990" i="9"/>
  <c r="M1990" i="9" s="1"/>
  <c r="L2003" i="9"/>
  <c r="M2003" i="9" s="1"/>
  <c r="D2003" i="9"/>
  <c r="C2003" i="9"/>
  <c r="E2003" i="9"/>
  <c r="L2016" i="9"/>
  <c r="M2016" i="9" s="1"/>
  <c r="C2016" i="9"/>
  <c r="E2016" i="9"/>
  <c r="D2016" i="9"/>
  <c r="D2025" i="9"/>
  <c r="C2025" i="9"/>
  <c r="L2025" i="9"/>
  <c r="M2025" i="9" s="1"/>
  <c r="E2025" i="9"/>
  <c r="E2043" i="9"/>
  <c r="D2043" i="9"/>
  <c r="L2043" i="9"/>
  <c r="M2043" i="9" s="1"/>
  <c r="C2043" i="9"/>
  <c r="E2048" i="9"/>
  <c r="D2048" i="9"/>
  <c r="C2048" i="9"/>
  <c r="L2048" i="9"/>
  <c r="M2048" i="9" s="1"/>
  <c r="L2053" i="9"/>
  <c r="M2053" i="9" s="1"/>
  <c r="E2053" i="9"/>
  <c r="D2053" i="9"/>
  <c r="C2053" i="9"/>
  <c r="E2067" i="9"/>
  <c r="D2067" i="9"/>
  <c r="L2067" i="9"/>
  <c r="M2067" i="9" s="1"/>
  <c r="C2067" i="9"/>
  <c r="E2072" i="9"/>
  <c r="D2072" i="9"/>
  <c r="C2072" i="9"/>
  <c r="L2072" i="9"/>
  <c r="M2072" i="9" s="1"/>
  <c r="L2077" i="9"/>
  <c r="M2077" i="9" s="1"/>
  <c r="E2077" i="9"/>
  <c r="D2077" i="9"/>
  <c r="C2077" i="9"/>
  <c r="E2091" i="9"/>
  <c r="D2091" i="9"/>
  <c r="L2091" i="9"/>
  <c r="M2091" i="9" s="1"/>
  <c r="C2091" i="9"/>
  <c r="E2096" i="9"/>
  <c r="D2096" i="9"/>
  <c r="C2096" i="9"/>
  <c r="L2096" i="9"/>
  <c r="M2096" i="9" s="1"/>
  <c r="L2101" i="9"/>
  <c r="M2101" i="9" s="1"/>
  <c r="C2101" i="9"/>
  <c r="E2101" i="9"/>
  <c r="D2101" i="9"/>
  <c r="E2115" i="9"/>
  <c r="D2115" i="9"/>
  <c r="L2115" i="9"/>
  <c r="M2115" i="9" s="1"/>
  <c r="C2115" i="9"/>
  <c r="E2120" i="9"/>
  <c r="D2120" i="9"/>
  <c r="C2120" i="9"/>
  <c r="L2120" i="9"/>
  <c r="M2120" i="9" s="1"/>
  <c r="L2125" i="9"/>
  <c r="M2125" i="9" s="1"/>
  <c r="E2125" i="9"/>
  <c r="D2125" i="9"/>
  <c r="C2125" i="9"/>
  <c r="E2139" i="9"/>
  <c r="D2139" i="9"/>
  <c r="L2139" i="9"/>
  <c r="M2139" i="9" s="1"/>
  <c r="C2139" i="9"/>
  <c r="E2144" i="9"/>
  <c r="D2144" i="9"/>
  <c r="C2144" i="9"/>
  <c r="L2144" i="9"/>
  <c r="M2144" i="9" s="1"/>
  <c r="L2149" i="9"/>
  <c r="M2149" i="9" s="1"/>
  <c r="C2149" i="9"/>
  <c r="E2149" i="9"/>
  <c r="D2149" i="9"/>
  <c r="E2163" i="9"/>
  <c r="D2163" i="9"/>
  <c r="L2163" i="9"/>
  <c r="M2163" i="9" s="1"/>
  <c r="C2163" i="9"/>
  <c r="E2168" i="9"/>
  <c r="D2168" i="9"/>
  <c r="C2168" i="9"/>
  <c r="L2168" i="9"/>
  <c r="M2168" i="9" s="1"/>
  <c r="L2173" i="9"/>
  <c r="M2173" i="9" s="1"/>
  <c r="E2173" i="9"/>
  <c r="D2173" i="9"/>
  <c r="C2173" i="9"/>
  <c r="E2187" i="9"/>
  <c r="D2187" i="9"/>
  <c r="L2187" i="9"/>
  <c r="M2187" i="9" s="1"/>
  <c r="C2187" i="9"/>
  <c r="E2192" i="9"/>
  <c r="D2192" i="9"/>
  <c r="C2192" i="9"/>
  <c r="L2192" i="9"/>
  <c r="M2192" i="9" s="1"/>
  <c r="L2197" i="9"/>
  <c r="M2197" i="9" s="1"/>
  <c r="C2197" i="9"/>
  <c r="E2197" i="9"/>
  <c r="D2197" i="9"/>
  <c r="E2211" i="9"/>
  <c r="D2211" i="9"/>
  <c r="L2211" i="9"/>
  <c r="M2211" i="9" s="1"/>
  <c r="C2211" i="9"/>
  <c r="E2216" i="9"/>
  <c r="D2216" i="9"/>
  <c r="C2216" i="9"/>
  <c r="L2216" i="9"/>
  <c r="M2216" i="9" s="1"/>
  <c r="L2221" i="9"/>
  <c r="M2221" i="9" s="1"/>
  <c r="E2221" i="9"/>
  <c r="D2221" i="9"/>
  <c r="C2221" i="9"/>
  <c r="E2235" i="9"/>
  <c r="D2235" i="9"/>
  <c r="L2235" i="9"/>
  <c r="M2235" i="9" s="1"/>
  <c r="C2235" i="9"/>
  <c r="E2240" i="9"/>
  <c r="D2240" i="9"/>
  <c r="C2240" i="9"/>
  <c r="L2240" i="9"/>
  <c r="M2240" i="9" s="1"/>
  <c r="L2245" i="9"/>
  <c r="M2245" i="9" s="1"/>
  <c r="C2245" i="9"/>
  <c r="E2245" i="9"/>
  <c r="D2245" i="9"/>
  <c r="E2259" i="9"/>
  <c r="D2259" i="9"/>
  <c r="L2259" i="9"/>
  <c r="M2259" i="9" s="1"/>
  <c r="C2259" i="9"/>
  <c r="E2264" i="9"/>
  <c r="D2264" i="9"/>
  <c r="C2264" i="9"/>
  <c r="L2264" i="9"/>
  <c r="M2264" i="9" s="1"/>
  <c r="L2269" i="9"/>
  <c r="M2269" i="9" s="1"/>
  <c r="E2269" i="9"/>
  <c r="D2269" i="9"/>
  <c r="C2269" i="9"/>
  <c r="E2283" i="9"/>
  <c r="D2283" i="9"/>
  <c r="L2283" i="9"/>
  <c r="M2283" i="9" s="1"/>
  <c r="C2283" i="9"/>
  <c r="E2288" i="9"/>
  <c r="D2288" i="9"/>
  <c r="C2288" i="9"/>
  <c r="L2288" i="9"/>
  <c r="M2288" i="9" s="1"/>
  <c r="L2293" i="9"/>
  <c r="M2293" i="9" s="1"/>
  <c r="C2293" i="9"/>
  <c r="E2293" i="9"/>
  <c r="D2293" i="9"/>
  <c r="E2307" i="9"/>
  <c r="D2307" i="9"/>
  <c r="L2307" i="9"/>
  <c r="M2307" i="9" s="1"/>
  <c r="C2307" i="9"/>
  <c r="E2312" i="9"/>
  <c r="D2312" i="9"/>
  <c r="E2317" i="9"/>
  <c r="D2317" i="9"/>
  <c r="E2331" i="9"/>
  <c r="D2331" i="9"/>
  <c r="L2331" i="9"/>
  <c r="M2331" i="9" s="1"/>
  <c r="C2331" i="9"/>
  <c r="E2336" i="9"/>
  <c r="D2336" i="9"/>
  <c r="L2341" i="9"/>
  <c r="M2341" i="9" s="1"/>
  <c r="E2341" i="9"/>
  <c r="D2341" i="9"/>
  <c r="C2341" i="9"/>
  <c r="E2355" i="9"/>
  <c r="D2355" i="9"/>
  <c r="E2360" i="9"/>
  <c r="D2360" i="9"/>
  <c r="C2360" i="9"/>
  <c r="L2360" i="9"/>
  <c r="M2360" i="9" s="1"/>
  <c r="E2365" i="9"/>
  <c r="D2365" i="9"/>
  <c r="E2379" i="9"/>
  <c r="D2379" i="9"/>
  <c r="E2384" i="9"/>
  <c r="D2384" i="9"/>
  <c r="E2389" i="9"/>
  <c r="D2389" i="9"/>
  <c r="E2403" i="9"/>
  <c r="D2403" i="9"/>
  <c r="L2403" i="9"/>
  <c r="M2403" i="9" s="1"/>
  <c r="C2403" i="9"/>
  <c r="E2408" i="9"/>
  <c r="D2408" i="9"/>
  <c r="C2408" i="9"/>
  <c r="L2408" i="9"/>
  <c r="M2408" i="9" s="1"/>
  <c r="L2413" i="9"/>
  <c r="M2413" i="9" s="1"/>
  <c r="E2413" i="9"/>
  <c r="D2413" i="9"/>
  <c r="C2413" i="9"/>
  <c r="E2427" i="9"/>
  <c r="D2427" i="9"/>
  <c r="L2427" i="9"/>
  <c r="M2427" i="9" s="1"/>
  <c r="C2427" i="9"/>
  <c r="E2432" i="9"/>
  <c r="D2432" i="9"/>
  <c r="C2432" i="9"/>
  <c r="L2432" i="9"/>
  <c r="M2432" i="9" s="1"/>
  <c r="L2437" i="9"/>
  <c r="M2437" i="9" s="1"/>
  <c r="E2437" i="9"/>
  <c r="D2437" i="9"/>
  <c r="C2437" i="9"/>
  <c r="E2451" i="9"/>
  <c r="D2451" i="9"/>
  <c r="L2451" i="9"/>
  <c r="M2451" i="9" s="1"/>
  <c r="C2451" i="9"/>
  <c r="E2456" i="9"/>
  <c r="D2456" i="9"/>
  <c r="C2456" i="9"/>
  <c r="L2456" i="9"/>
  <c r="M2456" i="9" s="1"/>
  <c r="L2461" i="9"/>
  <c r="M2461" i="9" s="1"/>
  <c r="E2461" i="9"/>
  <c r="D2461" i="9"/>
  <c r="C2461" i="9"/>
  <c r="L2475" i="9"/>
  <c r="M2475" i="9" s="1"/>
  <c r="E2475" i="9"/>
  <c r="D2475" i="9"/>
  <c r="C2475" i="9"/>
  <c r="D2480" i="9"/>
  <c r="C2480" i="9"/>
  <c r="L2480" i="9"/>
  <c r="M2480" i="9" s="1"/>
  <c r="E2480" i="9"/>
  <c r="E2485" i="9"/>
  <c r="D2485" i="9"/>
  <c r="C2485" i="9"/>
  <c r="L2485" i="9"/>
  <c r="M2485" i="9" s="1"/>
  <c r="L2499" i="9"/>
  <c r="M2499" i="9" s="1"/>
  <c r="E2499" i="9"/>
  <c r="D2499" i="9"/>
  <c r="C2499" i="9"/>
  <c r="D2504" i="9"/>
  <c r="C2504" i="9"/>
  <c r="L2504" i="9"/>
  <c r="M2504" i="9" s="1"/>
  <c r="E2504" i="9"/>
  <c r="E2509" i="9"/>
  <c r="D2509" i="9"/>
  <c r="C2509" i="9"/>
  <c r="L2509" i="9"/>
  <c r="M2509" i="9" s="1"/>
  <c r="E2523" i="9"/>
  <c r="D2523" i="9"/>
  <c r="E2528" i="9"/>
  <c r="D2528" i="9"/>
  <c r="E2533" i="9"/>
  <c r="D2533" i="9"/>
  <c r="E2547" i="9"/>
  <c r="D2547" i="9"/>
  <c r="E2552" i="9"/>
  <c r="D2552" i="9"/>
  <c r="E2557" i="9"/>
  <c r="D2557" i="9"/>
  <c r="C2571" i="9"/>
  <c r="L2571" i="9"/>
  <c r="M2571" i="9" s="1"/>
  <c r="E2571" i="9"/>
  <c r="D2571" i="9"/>
  <c r="E2576" i="9"/>
  <c r="D2576" i="9"/>
  <c r="E2581" i="9"/>
  <c r="D2581" i="9"/>
  <c r="C2581" i="9"/>
  <c r="L2581" i="9"/>
  <c r="M2581" i="9" s="1"/>
  <c r="C2595" i="9"/>
  <c r="L2595" i="9"/>
  <c r="M2595" i="9" s="1"/>
  <c r="E2595" i="9"/>
  <c r="D2595" i="9"/>
  <c r="E2600" i="9"/>
  <c r="D2600" i="9"/>
  <c r="C2600" i="9"/>
  <c r="L2600" i="9"/>
  <c r="M2600" i="9" s="1"/>
  <c r="E2605" i="9"/>
  <c r="D2605" i="9"/>
  <c r="C2605" i="9"/>
  <c r="L2605" i="9"/>
  <c r="M2605" i="9" s="1"/>
  <c r="C2619" i="9"/>
  <c r="L2619" i="9"/>
  <c r="M2619" i="9" s="1"/>
  <c r="E2619" i="9"/>
  <c r="D2619" i="9"/>
  <c r="E2624" i="9"/>
  <c r="D2624" i="9"/>
  <c r="C2624" i="9"/>
  <c r="L2624" i="9"/>
  <c r="M2624" i="9" s="1"/>
  <c r="E2629" i="9"/>
  <c r="D2629" i="9"/>
  <c r="C2629" i="9"/>
  <c r="L2629" i="9"/>
  <c r="M2629" i="9" s="1"/>
  <c r="C2643" i="9"/>
  <c r="L2643" i="9"/>
  <c r="M2643" i="9" s="1"/>
  <c r="E2643" i="9"/>
  <c r="D2643" i="9"/>
  <c r="E2648" i="9"/>
  <c r="D2648" i="9"/>
  <c r="C2648" i="9"/>
  <c r="L2648" i="9"/>
  <c r="M2648" i="9" s="1"/>
  <c r="E2653" i="9"/>
  <c r="D2653" i="9"/>
  <c r="C2653" i="9"/>
  <c r="L2653" i="9"/>
  <c r="M2653" i="9" s="1"/>
  <c r="C2667" i="9"/>
  <c r="L2667" i="9"/>
  <c r="M2667" i="9" s="1"/>
  <c r="E2667" i="9"/>
  <c r="D2667" i="9"/>
  <c r="E2672" i="9"/>
  <c r="D2672" i="9"/>
  <c r="C2672" i="9"/>
  <c r="L2672" i="9"/>
  <c r="M2672" i="9" s="1"/>
  <c r="E2677" i="9"/>
  <c r="D2677" i="9"/>
  <c r="C2677" i="9"/>
  <c r="L2677" i="9"/>
  <c r="M2677" i="9" s="1"/>
  <c r="C2691" i="9"/>
  <c r="L2691" i="9"/>
  <c r="M2691" i="9" s="1"/>
  <c r="E2691" i="9"/>
  <c r="D2691" i="9"/>
  <c r="E2696" i="9"/>
  <c r="D2696" i="9"/>
  <c r="C2696" i="9"/>
  <c r="L2696" i="9"/>
  <c r="M2696" i="9" s="1"/>
  <c r="E2701" i="9"/>
  <c r="D2701" i="9"/>
  <c r="C2701" i="9"/>
  <c r="L2701" i="9"/>
  <c r="M2701" i="9" s="1"/>
  <c r="E2715" i="9"/>
  <c r="D2715" i="9"/>
  <c r="E2720" i="9"/>
  <c r="D2720" i="9"/>
  <c r="C2720" i="9"/>
  <c r="L2720" i="9"/>
  <c r="M2720" i="9" s="1"/>
  <c r="E2725" i="9"/>
  <c r="D2725" i="9"/>
  <c r="E2739" i="9"/>
  <c r="D2739" i="9"/>
  <c r="E2744" i="9"/>
  <c r="D2744" i="9"/>
  <c r="E2749" i="9"/>
  <c r="D2749" i="9"/>
  <c r="E2763" i="9"/>
  <c r="D2763" i="9"/>
  <c r="E2768" i="9"/>
  <c r="D2768" i="9"/>
  <c r="E2773" i="9"/>
  <c r="D2773" i="9"/>
  <c r="E2787" i="9"/>
  <c r="D2787" i="9"/>
  <c r="C2792" i="9"/>
  <c r="L2792" i="9"/>
  <c r="M2792" i="9" s="1"/>
  <c r="E2792" i="9"/>
  <c r="D2792" i="9"/>
  <c r="C2797" i="9"/>
  <c r="L2797" i="9"/>
  <c r="M2797" i="9" s="1"/>
  <c r="E2797" i="9"/>
  <c r="D2797" i="9"/>
  <c r="E2811" i="9"/>
  <c r="D2811" i="9"/>
  <c r="C2811" i="9"/>
  <c r="L2811" i="9"/>
  <c r="M2811" i="9" s="1"/>
  <c r="C2816" i="9"/>
  <c r="L2816" i="9"/>
  <c r="M2816" i="9" s="1"/>
  <c r="E2816" i="9"/>
  <c r="D2816" i="9"/>
  <c r="C2821" i="9"/>
  <c r="E2821" i="9"/>
  <c r="D2821" i="9"/>
  <c r="L2821" i="9"/>
  <c r="M2821" i="9" s="1"/>
  <c r="E2835" i="9"/>
  <c r="D2835" i="9"/>
  <c r="C2835" i="9"/>
  <c r="L2835" i="9"/>
  <c r="M2835" i="9" s="1"/>
  <c r="C2840" i="9"/>
  <c r="L2840" i="9"/>
  <c r="M2840" i="9" s="1"/>
  <c r="E2840" i="9"/>
  <c r="D2840" i="9"/>
  <c r="C2845" i="9"/>
  <c r="L2845" i="9"/>
  <c r="M2845" i="9" s="1"/>
  <c r="E2845" i="9"/>
  <c r="D2845" i="9"/>
  <c r="E2859" i="9"/>
  <c r="L2859" i="9"/>
  <c r="M2859" i="9" s="1"/>
  <c r="D2859" i="9"/>
  <c r="C2859" i="9"/>
  <c r="C2864" i="9"/>
  <c r="L2864" i="9"/>
  <c r="M2864" i="9" s="1"/>
  <c r="E2864" i="9"/>
  <c r="D2864" i="9"/>
  <c r="C2869" i="9"/>
  <c r="L2869" i="9"/>
  <c r="M2869" i="9" s="1"/>
  <c r="E2869" i="9"/>
  <c r="D2869" i="9"/>
  <c r="E2883" i="9"/>
  <c r="D2883" i="9"/>
  <c r="C2883" i="9"/>
  <c r="L2883" i="9"/>
  <c r="M2883" i="9" s="1"/>
  <c r="C2888" i="9"/>
  <c r="L2888" i="9"/>
  <c r="M2888" i="9" s="1"/>
  <c r="E2888" i="9"/>
  <c r="D2888" i="9"/>
  <c r="C2893" i="9"/>
  <c r="E2893" i="9"/>
  <c r="D2893" i="9"/>
  <c r="L2893" i="9"/>
  <c r="M2893" i="9" s="1"/>
  <c r="E2907" i="9"/>
  <c r="D2907" i="9"/>
  <c r="C2907" i="9"/>
  <c r="L2907" i="9"/>
  <c r="M2907" i="9" s="1"/>
  <c r="E2912" i="9"/>
  <c r="D2912" i="9"/>
  <c r="E2917" i="9"/>
  <c r="D2917" i="9"/>
  <c r="E2931" i="9"/>
  <c r="L2931" i="9"/>
  <c r="M2931" i="9" s="1"/>
  <c r="D2931" i="9"/>
  <c r="C2931" i="9"/>
  <c r="E2936" i="9"/>
  <c r="D2936" i="9"/>
  <c r="C2941" i="9"/>
  <c r="L2941" i="9"/>
  <c r="M2941" i="9" s="1"/>
  <c r="E2941" i="9"/>
  <c r="D2941" i="9"/>
  <c r="E2955" i="9"/>
  <c r="D2955" i="9"/>
  <c r="C2960" i="9"/>
  <c r="L2960" i="9"/>
  <c r="M2960" i="9" s="1"/>
  <c r="E2960" i="9"/>
  <c r="D2960" i="9"/>
  <c r="E2965" i="9"/>
  <c r="D2965" i="9"/>
  <c r="E2979" i="9"/>
  <c r="D2979" i="9"/>
  <c r="E2984" i="9"/>
  <c r="D2984" i="9"/>
  <c r="E2989" i="9"/>
  <c r="D2989" i="9"/>
  <c r="E3003" i="9"/>
  <c r="L3003" i="9"/>
  <c r="M3003" i="9" s="1"/>
  <c r="D3003" i="9"/>
  <c r="C3003" i="9"/>
  <c r="C3008" i="9"/>
  <c r="L3008" i="9"/>
  <c r="M3008" i="9" s="1"/>
  <c r="E3008" i="9"/>
  <c r="D3008" i="9"/>
  <c r="C3013" i="9"/>
  <c r="L3013" i="9"/>
  <c r="M3013" i="9" s="1"/>
  <c r="E3013" i="9"/>
  <c r="D3013" i="9"/>
  <c r="E3027" i="9"/>
  <c r="D3027" i="9"/>
  <c r="C3027" i="9"/>
  <c r="L3027" i="9"/>
  <c r="M3027" i="9" s="1"/>
  <c r="C3032" i="9"/>
  <c r="L3032" i="9"/>
  <c r="M3032" i="9" s="1"/>
  <c r="E3032" i="9"/>
  <c r="D3032" i="9"/>
  <c r="C3037" i="9"/>
  <c r="E3037" i="9"/>
  <c r="D3037" i="9"/>
  <c r="L3037" i="9"/>
  <c r="M3037" i="9" s="1"/>
  <c r="E3051" i="9"/>
  <c r="D3051" i="9"/>
  <c r="C3051" i="9"/>
  <c r="L3051" i="9"/>
  <c r="M3051" i="9" s="1"/>
  <c r="C3056" i="9"/>
  <c r="L3056" i="9"/>
  <c r="M3056" i="9" s="1"/>
  <c r="E3056" i="9"/>
  <c r="D3056" i="9"/>
  <c r="D3061" i="9"/>
  <c r="C3061" i="9"/>
  <c r="L3061" i="9"/>
  <c r="M3061" i="9" s="1"/>
  <c r="E3061" i="9"/>
  <c r="E3075" i="9"/>
  <c r="D3075" i="9"/>
  <c r="C3075" i="9"/>
  <c r="L3075" i="9"/>
  <c r="M3075" i="9" s="1"/>
  <c r="C3080" i="9"/>
  <c r="L3080" i="9"/>
  <c r="M3080" i="9" s="1"/>
  <c r="E3080" i="9"/>
  <c r="D3080" i="9"/>
  <c r="D3085" i="9"/>
  <c r="C3085" i="9"/>
  <c r="L3085" i="9"/>
  <c r="M3085" i="9" s="1"/>
  <c r="E3085" i="9"/>
  <c r="E3099" i="9"/>
  <c r="D3099" i="9"/>
  <c r="C3099" i="9"/>
  <c r="L3099" i="9"/>
  <c r="M3099" i="9" s="1"/>
  <c r="C3104" i="9"/>
  <c r="L3104" i="9"/>
  <c r="M3104" i="9" s="1"/>
  <c r="E3104" i="9"/>
  <c r="D3104" i="9"/>
  <c r="D3109" i="9"/>
  <c r="C3109" i="9"/>
  <c r="L3109" i="9"/>
  <c r="M3109" i="9" s="1"/>
  <c r="E3109" i="9"/>
  <c r="E3123" i="9"/>
  <c r="D3123" i="9"/>
  <c r="E3128" i="9"/>
  <c r="D3128" i="9"/>
  <c r="D3133" i="9"/>
  <c r="E3133" i="9"/>
  <c r="E3147" i="9"/>
  <c r="D3147" i="9"/>
  <c r="E3152" i="9"/>
  <c r="D3152" i="9"/>
  <c r="D3157" i="9"/>
  <c r="E3157" i="9"/>
  <c r="E3171" i="9"/>
  <c r="D3171" i="9"/>
  <c r="C3171" i="9"/>
  <c r="L3171" i="9"/>
  <c r="M3171" i="9" s="1"/>
  <c r="E3176" i="9"/>
  <c r="D3176" i="9"/>
  <c r="D3181" i="9"/>
  <c r="C3181" i="9"/>
  <c r="L3181" i="9"/>
  <c r="M3181" i="9" s="1"/>
  <c r="E3181" i="9"/>
  <c r="E3195" i="9"/>
  <c r="D3195" i="9"/>
  <c r="C3195" i="9"/>
  <c r="L3195" i="9"/>
  <c r="M3195" i="9" s="1"/>
  <c r="C3200" i="9"/>
  <c r="L3200" i="9"/>
  <c r="M3200" i="9" s="1"/>
  <c r="E3200" i="9"/>
  <c r="D3200" i="9"/>
  <c r="D3205" i="9"/>
  <c r="C3205" i="9"/>
  <c r="L3205" i="9"/>
  <c r="M3205" i="9" s="1"/>
  <c r="E3205" i="9"/>
  <c r="E3219" i="9"/>
  <c r="D3219" i="9"/>
  <c r="C3219" i="9"/>
  <c r="L3219" i="9"/>
  <c r="M3219" i="9" s="1"/>
  <c r="C3224" i="9"/>
  <c r="L3224" i="9"/>
  <c r="M3224" i="9" s="1"/>
  <c r="E3224" i="9"/>
  <c r="D3224" i="9"/>
  <c r="D3229" i="9"/>
  <c r="C3229" i="9"/>
  <c r="L3229" i="9"/>
  <c r="M3229" i="9" s="1"/>
  <c r="E3229" i="9"/>
  <c r="E3243" i="9"/>
  <c r="C3243" i="9"/>
  <c r="L3243" i="9"/>
  <c r="M3243" i="9" s="1"/>
  <c r="D3243" i="9"/>
  <c r="C3248" i="9"/>
  <c r="L3248" i="9"/>
  <c r="M3248" i="9" s="1"/>
  <c r="E3248" i="9"/>
  <c r="D3248" i="9"/>
  <c r="E3253" i="9"/>
  <c r="D3253" i="9"/>
  <c r="C3253" i="9"/>
  <c r="L3253" i="9"/>
  <c r="M3253" i="9" s="1"/>
  <c r="E3267" i="9"/>
  <c r="D3267" i="9"/>
  <c r="C3267" i="9"/>
  <c r="L3267" i="9"/>
  <c r="M3267" i="9" s="1"/>
  <c r="C3272" i="9"/>
  <c r="L3272" i="9"/>
  <c r="M3272" i="9" s="1"/>
  <c r="E3272" i="9"/>
  <c r="D3272" i="9"/>
  <c r="E3277" i="9"/>
  <c r="D3277" i="9"/>
  <c r="C3277" i="9"/>
  <c r="L3277" i="9"/>
  <c r="M3277" i="9" s="1"/>
  <c r="E3291" i="9"/>
  <c r="D3291" i="9"/>
  <c r="C3291" i="9"/>
  <c r="L3291" i="9"/>
  <c r="M3291" i="9" s="1"/>
  <c r="C3296" i="9"/>
  <c r="L3296" i="9"/>
  <c r="M3296" i="9" s="1"/>
  <c r="E3296" i="9"/>
  <c r="D3296" i="9"/>
  <c r="E3301" i="9"/>
  <c r="D3301" i="9"/>
  <c r="C3301" i="9"/>
  <c r="L3301" i="9"/>
  <c r="M3301" i="9" s="1"/>
  <c r="E3315" i="9"/>
  <c r="D3315" i="9"/>
  <c r="C3320" i="9"/>
  <c r="L3320" i="9"/>
  <c r="M3320" i="9" s="1"/>
  <c r="E3320" i="9"/>
  <c r="D3320" i="9"/>
  <c r="E3325" i="9"/>
  <c r="D3325" i="9"/>
  <c r="E3339" i="9"/>
  <c r="D3339" i="9"/>
  <c r="E3344" i="9"/>
  <c r="D3344" i="9"/>
  <c r="E3349" i="9"/>
  <c r="D3349" i="9"/>
  <c r="E3363" i="9"/>
  <c r="D3363" i="9"/>
  <c r="E3368" i="9"/>
  <c r="D3368" i="9"/>
  <c r="E3373" i="9"/>
  <c r="D3373" i="9"/>
  <c r="E3387" i="9"/>
  <c r="D3387" i="9"/>
  <c r="E3392" i="9"/>
  <c r="D3392" i="9"/>
  <c r="C3392" i="9"/>
  <c r="L3392" i="9"/>
  <c r="M3392" i="9" s="1"/>
  <c r="E3397" i="9"/>
  <c r="D3397" i="9"/>
  <c r="C3397" i="9"/>
  <c r="L3397" i="9"/>
  <c r="M3397" i="9" s="1"/>
  <c r="C3411" i="9"/>
  <c r="L3411" i="9"/>
  <c r="M3411" i="9" s="1"/>
  <c r="E3411" i="9"/>
  <c r="D3411" i="9"/>
  <c r="E3416" i="9"/>
  <c r="D3416" i="9"/>
  <c r="C3416" i="9"/>
  <c r="L3416" i="9"/>
  <c r="M3416" i="9" s="1"/>
  <c r="E3421" i="9"/>
  <c r="D3421" i="9"/>
  <c r="C3421" i="9"/>
  <c r="L3421" i="9"/>
  <c r="M3421" i="9" s="1"/>
  <c r="C3435" i="9"/>
  <c r="L3435" i="9"/>
  <c r="M3435" i="9" s="1"/>
  <c r="E3435" i="9"/>
  <c r="D3435" i="9"/>
  <c r="E3440" i="9"/>
  <c r="D3440" i="9"/>
  <c r="C3440" i="9"/>
  <c r="L3440" i="9"/>
  <c r="M3440" i="9" s="1"/>
  <c r="E3445" i="9"/>
  <c r="D3445" i="9"/>
  <c r="C3445" i="9"/>
  <c r="L3445" i="9"/>
  <c r="M3445" i="9" s="1"/>
  <c r="C3459" i="9"/>
  <c r="L3459" i="9"/>
  <c r="M3459" i="9" s="1"/>
  <c r="E3459" i="9"/>
  <c r="D3459" i="9"/>
  <c r="E3464" i="9"/>
  <c r="D3464" i="9"/>
  <c r="C3464" i="9"/>
  <c r="L3464" i="9"/>
  <c r="M3464" i="9" s="1"/>
  <c r="E3469" i="9"/>
  <c r="D3469" i="9"/>
  <c r="C3469" i="9"/>
  <c r="L3469" i="9"/>
  <c r="M3469" i="9" s="1"/>
  <c r="C3483" i="9"/>
  <c r="L3483" i="9"/>
  <c r="M3483" i="9" s="1"/>
  <c r="E3483" i="9"/>
  <c r="D3483" i="9"/>
  <c r="E3488" i="9"/>
  <c r="D3488" i="9"/>
  <c r="C3488" i="9"/>
  <c r="L3488" i="9"/>
  <c r="M3488" i="9" s="1"/>
  <c r="E3493" i="9"/>
  <c r="D3493" i="9"/>
  <c r="C3493" i="9"/>
  <c r="L3493" i="9"/>
  <c r="M3493" i="9" s="1"/>
  <c r="C3507" i="9"/>
  <c r="L3507" i="9"/>
  <c r="M3507" i="9" s="1"/>
  <c r="E3507" i="9"/>
  <c r="D3507" i="9"/>
  <c r="E3512" i="9"/>
  <c r="D3512" i="9"/>
  <c r="E3517" i="9"/>
  <c r="D3517" i="9"/>
  <c r="C3531" i="9"/>
  <c r="L3531" i="9"/>
  <c r="M3531" i="9" s="1"/>
  <c r="E3531" i="9"/>
  <c r="D3531" i="9"/>
  <c r="E3536" i="9"/>
  <c r="D3536" i="9"/>
  <c r="E3541" i="9"/>
  <c r="D3541" i="9"/>
  <c r="C3541" i="9"/>
  <c r="L3541" i="9"/>
  <c r="M3541" i="9" s="1"/>
  <c r="E3555" i="9"/>
  <c r="D3555" i="9"/>
  <c r="E3560" i="9"/>
  <c r="D3560" i="9"/>
  <c r="C3560" i="9"/>
  <c r="L3560" i="9"/>
  <c r="M3560" i="9" s="1"/>
  <c r="E3565" i="9"/>
  <c r="D3565" i="9"/>
  <c r="C3579" i="9"/>
  <c r="L3579" i="9"/>
  <c r="M3579" i="9" s="1"/>
  <c r="E3579" i="9"/>
  <c r="D3579" i="9"/>
  <c r="E3584" i="9"/>
  <c r="D3584" i="9"/>
  <c r="C3584" i="9"/>
  <c r="L3584" i="9"/>
  <c r="M3584" i="9" s="1"/>
  <c r="E3589" i="9"/>
  <c r="D3589" i="9"/>
  <c r="C3589" i="9"/>
  <c r="L3589" i="9"/>
  <c r="M3589" i="9" s="1"/>
  <c r="C3603" i="9"/>
  <c r="L3603" i="9"/>
  <c r="M3603" i="9" s="1"/>
  <c r="E3603" i="9"/>
  <c r="D3603" i="9"/>
  <c r="E3608" i="9"/>
  <c r="D3608" i="9"/>
  <c r="C3608" i="9"/>
  <c r="L3608" i="9"/>
  <c r="M3608" i="9" s="1"/>
  <c r="E3613" i="9"/>
  <c r="D3613" i="9"/>
  <c r="C3613" i="9"/>
  <c r="L3613" i="9"/>
  <c r="M3613" i="9" s="1"/>
  <c r="E3627" i="9"/>
  <c r="C3627" i="9"/>
  <c r="L3627" i="9"/>
  <c r="M3627" i="9" s="1"/>
  <c r="D3627" i="9"/>
  <c r="L3632" i="9"/>
  <c r="M3632" i="9" s="1"/>
  <c r="E3632" i="9"/>
  <c r="D3632" i="9"/>
  <c r="C3632" i="9"/>
  <c r="D3637" i="9"/>
  <c r="C3637" i="9"/>
  <c r="L3637" i="9"/>
  <c r="M3637" i="9" s="1"/>
  <c r="E3637" i="9"/>
  <c r="E3651" i="9"/>
  <c r="L3651" i="9"/>
  <c r="M3651" i="9" s="1"/>
  <c r="C3651" i="9"/>
  <c r="D3651" i="9"/>
  <c r="C3656" i="9"/>
  <c r="L3656" i="9"/>
  <c r="M3656" i="9" s="1"/>
  <c r="E3656" i="9"/>
  <c r="D3656" i="9"/>
  <c r="D3661" i="9"/>
  <c r="C3661" i="9"/>
  <c r="L3661" i="9"/>
  <c r="M3661" i="9" s="1"/>
  <c r="E3661" i="9"/>
  <c r="E3675" i="9"/>
  <c r="D3675" i="9"/>
  <c r="C3675" i="9"/>
  <c r="L3675" i="9"/>
  <c r="M3675" i="9" s="1"/>
  <c r="C3680" i="9"/>
  <c r="L3680" i="9"/>
  <c r="M3680" i="9" s="1"/>
  <c r="E3680" i="9"/>
  <c r="D3680" i="9"/>
  <c r="E3685" i="9"/>
  <c r="D3685" i="9"/>
  <c r="C3685" i="9"/>
  <c r="L3685" i="9"/>
  <c r="M3685" i="9" s="1"/>
  <c r="E3699" i="9"/>
  <c r="D3699" i="9"/>
  <c r="C3699" i="9"/>
  <c r="L3699" i="9"/>
  <c r="M3699" i="9" s="1"/>
  <c r="C3704" i="9"/>
  <c r="L3704" i="9"/>
  <c r="M3704" i="9" s="1"/>
  <c r="E3704" i="9"/>
  <c r="D3704" i="9"/>
  <c r="E3709" i="9"/>
  <c r="D3709" i="9"/>
  <c r="C3709" i="9"/>
  <c r="L3709" i="9"/>
  <c r="M3709" i="9" s="1"/>
  <c r="E3723" i="9"/>
  <c r="D3723" i="9"/>
  <c r="C3728" i="9"/>
  <c r="L3728" i="9"/>
  <c r="M3728" i="9" s="1"/>
  <c r="E3728" i="9"/>
  <c r="D3728" i="9"/>
  <c r="E3742" i="9"/>
  <c r="D3742" i="9"/>
  <c r="D3751" i="9"/>
  <c r="C3751" i="9"/>
  <c r="L3751" i="9"/>
  <c r="M3751" i="9" s="1"/>
  <c r="E3751" i="9"/>
  <c r="E3760" i="9"/>
  <c r="D3760" i="9"/>
  <c r="C3760" i="9"/>
  <c r="L3760" i="9"/>
  <c r="M3760" i="9" s="1"/>
  <c r="D3765" i="9"/>
  <c r="E3765" i="9"/>
  <c r="E3804" i="9"/>
  <c r="D3804" i="9"/>
  <c r="C3804" i="9"/>
  <c r="L3804" i="9"/>
  <c r="M3804" i="9" s="1"/>
  <c r="C3824" i="9"/>
  <c r="L3824" i="9"/>
  <c r="M3824" i="9" s="1"/>
  <c r="E3824" i="9"/>
  <c r="D3824" i="9"/>
  <c r="E3829" i="9"/>
  <c r="D3829" i="9"/>
  <c r="C3829" i="9"/>
  <c r="L3829" i="9"/>
  <c r="M3829" i="9" s="1"/>
  <c r="E3844" i="9"/>
  <c r="D3844" i="9"/>
  <c r="C3844" i="9"/>
  <c r="L3844" i="9"/>
  <c r="M3844" i="9" s="1"/>
  <c r="L3849" i="9"/>
  <c r="M3849" i="9" s="1"/>
  <c r="D3849" i="9"/>
  <c r="C3849" i="9"/>
  <c r="E3849" i="9"/>
  <c r="E3854" i="9"/>
  <c r="D3854" i="9"/>
  <c r="C3854" i="9"/>
  <c r="L3854" i="9"/>
  <c r="M3854" i="9" s="1"/>
  <c r="D3859" i="9"/>
  <c r="C3859" i="9"/>
  <c r="L3859" i="9"/>
  <c r="M3859" i="9" s="1"/>
  <c r="E3859" i="9"/>
  <c r="E3905" i="9"/>
  <c r="D3905" i="9"/>
  <c r="C3905" i="9"/>
  <c r="L3905" i="9"/>
  <c r="M3905" i="9" s="1"/>
  <c r="E3910" i="9"/>
  <c r="L3910" i="9"/>
  <c r="M3910" i="9" s="1"/>
  <c r="D3910" i="9"/>
  <c r="C3910" i="9"/>
  <c r="E3926" i="9"/>
  <c r="D3926" i="9"/>
  <c r="C3926" i="9"/>
  <c r="L3926" i="9"/>
  <c r="M3926" i="9" s="1"/>
  <c r="L3931" i="9"/>
  <c r="M3931" i="9" s="1"/>
  <c r="E3931" i="9"/>
  <c r="D3931" i="9"/>
  <c r="C3931" i="9"/>
  <c r="E3973" i="9"/>
  <c r="D3973" i="9"/>
  <c r="C3973" i="9"/>
  <c r="L3973" i="9"/>
  <c r="M3973" i="9" s="1"/>
  <c r="L4015" i="9"/>
  <c r="M4015" i="9" s="1"/>
  <c r="E4015" i="9"/>
  <c r="D4015" i="9"/>
  <c r="C4015" i="9"/>
  <c r="E4020" i="9"/>
  <c r="D4020" i="9"/>
  <c r="C4020" i="9"/>
  <c r="L4020" i="9"/>
  <c r="M4020" i="9" s="1"/>
  <c r="E4057" i="9"/>
  <c r="D4057" i="9"/>
  <c r="C4057" i="9"/>
  <c r="L4057" i="9"/>
  <c r="M4057" i="9" s="1"/>
  <c r="L4073" i="9"/>
  <c r="M4073" i="9" s="1"/>
  <c r="E4073" i="9"/>
  <c r="D4073" i="9"/>
  <c r="C4073" i="9"/>
  <c r="E4078" i="9"/>
  <c r="D4078" i="9"/>
  <c r="C4078" i="9"/>
  <c r="L4078" i="9"/>
  <c r="M4078" i="9" s="1"/>
  <c r="E4100" i="9"/>
  <c r="D4100" i="9"/>
  <c r="C4100" i="9"/>
  <c r="L4100" i="9"/>
  <c r="M4100" i="9" s="1"/>
  <c r="L4111" i="9"/>
  <c r="M4111" i="9" s="1"/>
  <c r="E4111" i="9"/>
  <c r="D4111" i="9"/>
  <c r="C4111" i="9"/>
  <c r="E4178" i="9"/>
  <c r="D4178" i="9"/>
  <c r="C4178" i="9"/>
  <c r="L4178" i="9"/>
  <c r="M4178" i="9" s="1"/>
  <c r="L4189" i="9"/>
  <c r="M4189" i="9" s="1"/>
  <c r="E4189" i="9"/>
  <c r="D4189" i="9"/>
  <c r="C4189" i="9"/>
  <c r="D4253" i="9"/>
  <c r="C4253" i="9"/>
  <c r="L4253" i="9"/>
  <c r="M4253" i="9" s="1"/>
  <c r="E4253" i="9"/>
  <c r="L4317" i="9"/>
  <c r="M4317" i="9" s="1"/>
  <c r="E4317" i="9"/>
  <c r="D4317" i="9"/>
  <c r="C4317" i="9"/>
  <c r="E4381" i="9"/>
  <c r="D4381" i="9"/>
  <c r="C4381" i="9"/>
  <c r="L4381" i="9"/>
  <c r="M4381" i="9" s="1"/>
  <c r="E4445" i="9"/>
  <c r="D4445" i="9"/>
  <c r="C4445" i="9"/>
  <c r="L4445" i="9"/>
  <c r="M4445" i="9" s="1"/>
  <c r="C4509" i="9"/>
  <c r="L4509" i="9"/>
  <c r="M4509" i="9" s="1"/>
  <c r="E4509" i="9"/>
  <c r="D4509" i="9"/>
  <c r="E4573" i="9"/>
  <c r="D4573" i="9"/>
  <c r="E4637" i="9"/>
  <c r="D4637" i="9"/>
  <c r="C4637" i="9"/>
  <c r="L4637" i="9"/>
  <c r="M4637" i="9" s="1"/>
  <c r="C4701" i="9"/>
  <c r="L4701" i="9"/>
  <c r="M4701" i="9" s="1"/>
  <c r="E4701" i="9"/>
  <c r="D4701" i="9"/>
  <c r="E4742" i="9"/>
  <c r="D4742" i="9"/>
  <c r="E4790" i="9"/>
  <c r="D4790" i="9"/>
  <c r="C4790" i="9"/>
  <c r="L4790" i="9"/>
  <c r="M4790" i="9" s="1"/>
  <c r="C4838" i="9"/>
  <c r="L4838" i="9"/>
  <c r="M4838" i="9" s="1"/>
  <c r="E4838" i="9"/>
  <c r="D4838" i="9"/>
  <c r="C4886" i="9"/>
  <c r="L4886" i="9"/>
  <c r="M4886" i="9" s="1"/>
  <c r="E4886" i="9"/>
  <c r="D4886" i="9"/>
  <c r="E4934" i="9"/>
  <c r="D4934" i="9"/>
  <c r="E4982" i="9"/>
  <c r="D4982" i="9"/>
  <c r="C5030" i="9"/>
  <c r="L5030" i="9"/>
  <c r="M5030" i="9" s="1"/>
  <c r="E5030" i="9"/>
  <c r="D5030" i="9"/>
  <c r="C5078" i="9"/>
  <c r="L5078" i="9"/>
  <c r="M5078" i="9" s="1"/>
  <c r="E5078" i="9"/>
  <c r="D5078" i="9"/>
  <c r="L5126" i="9"/>
  <c r="M5126" i="9" s="1"/>
  <c r="E5126" i="9"/>
  <c r="D5126" i="9"/>
  <c r="C5126" i="9"/>
  <c r="E5174" i="9"/>
  <c r="D5174" i="9"/>
  <c r="C96" i="9"/>
  <c r="L96" i="9"/>
  <c r="M96" i="9" s="1"/>
  <c r="E96" i="9"/>
  <c r="D96" i="9"/>
  <c r="E100" i="9"/>
  <c r="D100" i="9"/>
  <c r="C100" i="9"/>
  <c r="L100" i="9"/>
  <c r="M100" i="9" s="1"/>
  <c r="E104" i="9"/>
  <c r="D104" i="9"/>
  <c r="C104" i="9"/>
  <c r="L104" i="9"/>
  <c r="M104" i="9" s="1"/>
  <c r="C108" i="9"/>
  <c r="L108" i="9"/>
  <c r="M108" i="9" s="1"/>
  <c r="E108" i="9"/>
  <c r="D108" i="9"/>
  <c r="E112" i="9"/>
  <c r="D112" i="9"/>
  <c r="C112" i="9"/>
  <c r="L112" i="9"/>
  <c r="M112" i="9" s="1"/>
  <c r="E116" i="9"/>
  <c r="D116" i="9"/>
  <c r="C116" i="9"/>
  <c r="L116" i="9"/>
  <c r="M116" i="9" s="1"/>
  <c r="E124" i="9"/>
  <c r="D124" i="9"/>
  <c r="C124" i="9"/>
  <c r="L124" i="9"/>
  <c r="M124" i="9" s="1"/>
  <c r="E136" i="9"/>
  <c r="D136" i="9"/>
  <c r="C136" i="9"/>
  <c r="L136" i="9"/>
  <c r="M136" i="9" s="1"/>
  <c r="C144" i="9"/>
  <c r="L144" i="9"/>
  <c r="M144" i="9" s="1"/>
  <c r="E144" i="9"/>
  <c r="D144" i="9"/>
  <c r="E152" i="9"/>
  <c r="D152" i="9"/>
  <c r="C152" i="9"/>
  <c r="L152" i="9"/>
  <c r="M152" i="9" s="1"/>
  <c r="E164" i="9"/>
  <c r="D164" i="9"/>
  <c r="C164" i="9"/>
  <c r="L164" i="9"/>
  <c r="M164" i="9" s="1"/>
  <c r="E172" i="9"/>
  <c r="D172" i="9"/>
  <c r="C172" i="9"/>
  <c r="L172" i="9"/>
  <c r="M172" i="9" s="1"/>
  <c r="C180" i="9"/>
  <c r="L180" i="9"/>
  <c r="M180" i="9" s="1"/>
  <c r="E180" i="9"/>
  <c r="D180" i="9"/>
  <c r="E188" i="9"/>
  <c r="D188" i="9"/>
  <c r="C188" i="9"/>
  <c r="L188" i="9"/>
  <c r="M188" i="9" s="1"/>
  <c r="E196" i="9"/>
  <c r="D196" i="9"/>
  <c r="C196" i="9"/>
  <c r="L196" i="9"/>
  <c r="M196" i="9" s="1"/>
  <c r="E208" i="9"/>
  <c r="D208" i="9"/>
  <c r="C208" i="9"/>
  <c r="L208" i="9"/>
  <c r="M208" i="9" s="1"/>
  <c r="E212" i="9"/>
  <c r="D212" i="9"/>
  <c r="E224" i="9"/>
  <c r="D224" i="9"/>
  <c r="E236" i="9"/>
  <c r="D236" i="9"/>
  <c r="C240" i="9"/>
  <c r="L240" i="9"/>
  <c r="M240" i="9" s="1"/>
  <c r="E240" i="9"/>
  <c r="D240" i="9"/>
  <c r="E244" i="9"/>
  <c r="D244" i="9"/>
  <c r="E248" i="9"/>
  <c r="D248" i="9"/>
  <c r="E252" i="9"/>
  <c r="D252" i="9"/>
  <c r="E256" i="9"/>
  <c r="D256" i="9"/>
  <c r="E264" i="9"/>
  <c r="D264" i="9"/>
  <c r="E272" i="9"/>
  <c r="D272" i="9"/>
  <c r="E276" i="9"/>
  <c r="D276" i="9"/>
  <c r="E280" i="9"/>
  <c r="D280" i="9"/>
  <c r="C280" i="9"/>
  <c r="L280" i="9"/>
  <c r="M280" i="9" s="1"/>
  <c r="E284" i="9"/>
  <c r="D284" i="9"/>
  <c r="E292" i="9"/>
  <c r="D292" i="9"/>
  <c r="E304" i="9"/>
  <c r="D304" i="9"/>
  <c r="C304" i="9"/>
  <c r="L304" i="9"/>
  <c r="M304" i="9" s="1"/>
  <c r="E328" i="9"/>
  <c r="D328" i="9"/>
  <c r="C328" i="9"/>
  <c r="L328" i="9"/>
  <c r="M328" i="9" s="1"/>
  <c r="C336" i="9"/>
  <c r="L336" i="9"/>
  <c r="M336" i="9" s="1"/>
  <c r="E336" i="9"/>
  <c r="D336" i="9"/>
  <c r="E344" i="9"/>
  <c r="D344" i="9"/>
  <c r="C344" i="9"/>
  <c r="L344" i="9"/>
  <c r="M344" i="9" s="1"/>
  <c r="E352" i="9"/>
  <c r="D352" i="9"/>
  <c r="C352" i="9"/>
  <c r="L352" i="9"/>
  <c r="M352" i="9" s="1"/>
  <c r="C360" i="9"/>
  <c r="L360" i="9"/>
  <c r="M360" i="9" s="1"/>
  <c r="E360" i="9"/>
  <c r="D360" i="9"/>
  <c r="E364" i="9"/>
  <c r="D364" i="9"/>
  <c r="C364" i="9"/>
  <c r="L364" i="9"/>
  <c r="M364" i="9" s="1"/>
  <c r="E376" i="9"/>
  <c r="D376" i="9"/>
  <c r="C376" i="9"/>
  <c r="L376" i="9"/>
  <c r="M376" i="9" s="1"/>
  <c r="C384" i="9"/>
  <c r="L384" i="9"/>
  <c r="M384" i="9" s="1"/>
  <c r="E384" i="9"/>
  <c r="D384" i="9"/>
  <c r="E400" i="9"/>
  <c r="L400" i="9"/>
  <c r="M400" i="9" s="1"/>
  <c r="D400" i="9"/>
  <c r="C400" i="9"/>
  <c r="L408" i="9"/>
  <c r="M408" i="9" s="1"/>
  <c r="C408" i="9"/>
  <c r="E408" i="9"/>
  <c r="D408" i="9"/>
  <c r="E428" i="9"/>
  <c r="D428" i="9"/>
  <c r="E436" i="9"/>
  <c r="D436" i="9"/>
  <c r="E440" i="9"/>
  <c r="D440" i="9"/>
  <c r="C440" i="9"/>
  <c r="L440" i="9"/>
  <c r="M440" i="9" s="1"/>
  <c r="E452" i="9"/>
  <c r="D452" i="9"/>
  <c r="E456" i="9"/>
  <c r="D456" i="9"/>
  <c r="E464" i="9"/>
  <c r="D464" i="9"/>
  <c r="E476" i="9"/>
  <c r="D476" i="9"/>
  <c r="E484" i="9"/>
  <c r="D484" i="9"/>
  <c r="E492" i="9"/>
  <c r="D492" i="9"/>
  <c r="E500" i="9"/>
  <c r="D500" i="9"/>
  <c r="C500" i="9"/>
  <c r="L500" i="9"/>
  <c r="M500" i="9" s="1"/>
  <c r="E504" i="9"/>
  <c r="D504" i="9"/>
  <c r="E508" i="9"/>
  <c r="D508" i="9"/>
  <c r="L516" i="9"/>
  <c r="M516" i="9" s="1"/>
  <c r="C516" i="9"/>
  <c r="E516" i="9"/>
  <c r="D516" i="9"/>
  <c r="E524" i="9"/>
  <c r="D524" i="9"/>
  <c r="C524" i="9"/>
  <c r="L524" i="9"/>
  <c r="M524" i="9" s="1"/>
  <c r="L528" i="9"/>
  <c r="M528" i="9" s="1"/>
  <c r="C528" i="9"/>
  <c r="E528" i="9"/>
  <c r="D528" i="9"/>
  <c r="E536" i="9"/>
  <c r="D536" i="9"/>
  <c r="C536" i="9"/>
  <c r="L536" i="9"/>
  <c r="M536" i="9" s="1"/>
  <c r="L552" i="9"/>
  <c r="M552" i="9" s="1"/>
  <c r="C552" i="9"/>
  <c r="E552" i="9"/>
  <c r="D552" i="9"/>
  <c r="E556" i="9"/>
  <c r="D556" i="9"/>
  <c r="C556" i="9"/>
  <c r="L556" i="9"/>
  <c r="M556" i="9" s="1"/>
  <c r="L564" i="9"/>
  <c r="M564" i="9" s="1"/>
  <c r="C564" i="9"/>
  <c r="E564" i="9"/>
  <c r="D564" i="9"/>
  <c r="L576" i="9"/>
  <c r="M576" i="9" s="1"/>
  <c r="C576" i="9"/>
  <c r="E576" i="9"/>
  <c r="D576" i="9"/>
  <c r="L588" i="9"/>
  <c r="M588" i="9" s="1"/>
  <c r="C588" i="9"/>
  <c r="E588" i="9"/>
  <c r="D588" i="9"/>
  <c r="E596" i="9"/>
  <c r="D596" i="9"/>
  <c r="C596" i="9"/>
  <c r="L596" i="9"/>
  <c r="M596" i="9" s="1"/>
  <c r="L600" i="9"/>
  <c r="M600" i="9" s="1"/>
  <c r="C600" i="9"/>
  <c r="E600" i="9"/>
  <c r="D600" i="9"/>
  <c r="E608" i="9"/>
  <c r="D608" i="9"/>
  <c r="C608" i="9"/>
  <c r="L608" i="9"/>
  <c r="M608" i="9" s="1"/>
  <c r="E616" i="9"/>
  <c r="D616" i="9"/>
  <c r="C616" i="9"/>
  <c r="L616" i="9"/>
  <c r="M616" i="9" s="1"/>
  <c r="L624" i="9"/>
  <c r="M624" i="9" s="1"/>
  <c r="C624" i="9"/>
  <c r="E624" i="9"/>
  <c r="D624" i="9"/>
  <c r="E636" i="9"/>
  <c r="D636" i="9"/>
  <c r="E644" i="9"/>
  <c r="D644" i="9"/>
  <c r="E648" i="9"/>
  <c r="D648" i="9"/>
  <c r="E656" i="9"/>
  <c r="D656" i="9"/>
  <c r="L660" i="9"/>
  <c r="M660" i="9" s="1"/>
  <c r="C660" i="9"/>
  <c r="E660" i="9"/>
  <c r="D660" i="9"/>
  <c r="E664" i="9"/>
  <c r="D664" i="9"/>
  <c r="E668" i="9"/>
  <c r="D668" i="9"/>
  <c r="E676" i="9"/>
  <c r="D676" i="9"/>
  <c r="E680" i="9"/>
  <c r="D680" i="9"/>
  <c r="C680" i="9"/>
  <c r="L680" i="9"/>
  <c r="M680" i="9" s="1"/>
  <c r="E688" i="9"/>
  <c r="D688" i="9"/>
  <c r="E692" i="9"/>
  <c r="D692" i="9"/>
  <c r="E700" i="9"/>
  <c r="D700" i="9"/>
  <c r="C700" i="9"/>
  <c r="L700" i="9"/>
  <c r="M700" i="9" s="1"/>
  <c r="E708" i="9"/>
  <c r="D708" i="9"/>
  <c r="E716" i="9"/>
  <c r="D716" i="9"/>
  <c r="E724" i="9"/>
  <c r="D724" i="9"/>
  <c r="C724" i="9"/>
  <c r="L724" i="9"/>
  <c r="M724" i="9" s="1"/>
  <c r="E736" i="9"/>
  <c r="D736" i="9"/>
  <c r="C736" i="9"/>
  <c r="L736" i="9"/>
  <c r="M736" i="9" s="1"/>
  <c r="E740" i="9"/>
  <c r="D740" i="9"/>
  <c r="C740" i="9"/>
  <c r="L740" i="9"/>
  <c r="M740" i="9" s="1"/>
  <c r="E752" i="9"/>
  <c r="D752" i="9"/>
  <c r="C752" i="9"/>
  <c r="L752" i="9"/>
  <c r="M752" i="9" s="1"/>
  <c r="L756" i="9"/>
  <c r="M756" i="9" s="1"/>
  <c r="C756" i="9"/>
  <c r="E756" i="9"/>
  <c r="D756" i="9"/>
  <c r="E764" i="9"/>
  <c r="D764" i="9"/>
  <c r="C764" i="9"/>
  <c r="L764" i="9"/>
  <c r="M764" i="9" s="1"/>
  <c r="E776" i="9"/>
  <c r="D776" i="9"/>
  <c r="C776" i="9"/>
  <c r="L776" i="9"/>
  <c r="M776" i="9" s="1"/>
  <c r="L780" i="9"/>
  <c r="M780" i="9" s="1"/>
  <c r="C780" i="9"/>
  <c r="E780" i="9"/>
  <c r="D780" i="9"/>
  <c r="E788" i="9"/>
  <c r="D788" i="9"/>
  <c r="C788" i="9"/>
  <c r="L788" i="9"/>
  <c r="M788" i="9" s="1"/>
  <c r="E796" i="9"/>
  <c r="D796" i="9"/>
  <c r="C796" i="9"/>
  <c r="L796" i="9"/>
  <c r="M796" i="9" s="1"/>
  <c r="L804" i="9"/>
  <c r="M804" i="9" s="1"/>
  <c r="C804" i="9"/>
  <c r="E804" i="9"/>
  <c r="D804" i="9"/>
  <c r="E812" i="9"/>
  <c r="D812" i="9"/>
  <c r="C812" i="9"/>
  <c r="L812" i="9"/>
  <c r="M812" i="9" s="1"/>
  <c r="E820" i="9"/>
  <c r="D820" i="9"/>
  <c r="C820" i="9"/>
  <c r="L820" i="9"/>
  <c r="M820" i="9" s="1"/>
  <c r="E844" i="9"/>
  <c r="D844" i="9"/>
  <c r="E848" i="9"/>
  <c r="D848" i="9"/>
  <c r="D864" i="9"/>
  <c r="E864" i="9"/>
  <c r="E872" i="9"/>
  <c r="D872" i="9"/>
  <c r="E880" i="9"/>
  <c r="D880" i="9"/>
  <c r="L880" i="9"/>
  <c r="M880" i="9" s="1"/>
  <c r="C880" i="9"/>
  <c r="D888" i="9"/>
  <c r="E888" i="9"/>
  <c r="L900" i="9"/>
  <c r="M900" i="9" s="1"/>
  <c r="D900" i="9"/>
  <c r="E900" i="9"/>
  <c r="C900" i="9"/>
  <c r="E908" i="9"/>
  <c r="D908" i="9"/>
  <c r="E916" i="9"/>
  <c r="D916" i="9"/>
  <c r="E920" i="9"/>
  <c r="D920" i="9"/>
  <c r="C920" i="9"/>
  <c r="L920" i="9"/>
  <c r="M920" i="9" s="1"/>
  <c r="D924" i="9"/>
  <c r="E924" i="9"/>
  <c r="E928" i="9"/>
  <c r="D928" i="9"/>
  <c r="L936" i="9"/>
  <c r="M936" i="9" s="1"/>
  <c r="D936" i="9"/>
  <c r="E936" i="9"/>
  <c r="C936" i="9"/>
  <c r="E944" i="9"/>
  <c r="D944" i="9"/>
  <c r="C944" i="9"/>
  <c r="L944" i="9"/>
  <c r="M944" i="9" s="1"/>
  <c r="E952" i="9"/>
  <c r="D952" i="9"/>
  <c r="L952" i="9"/>
  <c r="M952" i="9" s="1"/>
  <c r="C952" i="9"/>
  <c r="L960" i="9"/>
  <c r="M960" i="9" s="1"/>
  <c r="D960" i="9"/>
  <c r="E960" i="9"/>
  <c r="C960" i="9"/>
  <c r="E964" i="9"/>
  <c r="D964" i="9"/>
  <c r="L964" i="9"/>
  <c r="M964" i="9" s="1"/>
  <c r="C964" i="9"/>
  <c r="L972" i="9"/>
  <c r="M972" i="9" s="1"/>
  <c r="D972" i="9"/>
  <c r="E972" i="9"/>
  <c r="C972" i="9"/>
  <c r="E980" i="9"/>
  <c r="D980" i="9"/>
  <c r="C980" i="9"/>
  <c r="L980" i="9"/>
  <c r="M980" i="9" s="1"/>
  <c r="E992" i="9"/>
  <c r="D992" i="9"/>
  <c r="C992" i="9"/>
  <c r="L992" i="9"/>
  <c r="M992" i="9" s="1"/>
  <c r="E1000" i="9"/>
  <c r="D1000" i="9"/>
  <c r="L1000" i="9"/>
  <c r="M1000" i="9" s="1"/>
  <c r="C1000" i="9"/>
  <c r="L1008" i="9"/>
  <c r="M1008" i="9" s="1"/>
  <c r="D1008" i="9"/>
  <c r="E1008" i="9"/>
  <c r="C1008" i="9"/>
  <c r="L1020" i="9"/>
  <c r="M1020" i="9" s="1"/>
  <c r="D1020" i="9"/>
  <c r="E1020" i="9"/>
  <c r="C1020" i="9"/>
  <c r="E1028" i="9"/>
  <c r="D1028" i="9"/>
  <c r="C1028" i="9"/>
  <c r="L1028" i="9"/>
  <c r="M1028" i="9" s="1"/>
  <c r="E1040" i="9"/>
  <c r="D1040" i="9"/>
  <c r="C1040" i="9"/>
  <c r="L1040" i="9"/>
  <c r="M1040" i="9" s="1"/>
  <c r="L1044" i="9"/>
  <c r="M1044" i="9" s="1"/>
  <c r="D1044" i="9"/>
  <c r="E1044" i="9"/>
  <c r="C1044" i="9"/>
  <c r="D1056" i="9"/>
  <c r="E1056" i="9"/>
  <c r="E1060" i="9"/>
  <c r="D1060" i="9"/>
  <c r="L1060" i="9"/>
  <c r="M1060" i="9" s="1"/>
  <c r="C1060" i="9"/>
  <c r="D1068" i="9"/>
  <c r="E1068" i="9"/>
  <c r="E1072" i="9"/>
  <c r="D1072" i="9"/>
  <c r="L1080" i="9"/>
  <c r="M1080" i="9" s="1"/>
  <c r="D1080" i="9"/>
  <c r="E1080" i="9"/>
  <c r="C1080" i="9"/>
  <c r="E1084" i="9"/>
  <c r="D1084" i="9"/>
  <c r="E1088" i="9"/>
  <c r="D1088" i="9"/>
  <c r="E1112" i="9"/>
  <c r="D1112" i="9"/>
  <c r="E1120" i="9"/>
  <c r="D1120" i="9"/>
  <c r="C1120" i="9"/>
  <c r="L1120" i="9"/>
  <c r="M1120" i="9" s="1"/>
  <c r="E1124" i="9"/>
  <c r="D1124" i="9"/>
  <c r="L1140" i="9"/>
  <c r="M1140" i="9" s="1"/>
  <c r="D1140" i="9"/>
  <c r="E1140" i="9"/>
  <c r="C1140" i="9"/>
  <c r="E1156" i="9"/>
  <c r="D1156" i="9"/>
  <c r="C1156" i="9"/>
  <c r="L1156" i="9"/>
  <c r="M1156" i="9" s="1"/>
  <c r="E1168" i="9"/>
  <c r="D1168" i="9"/>
  <c r="C1168" i="9"/>
  <c r="L1168" i="9"/>
  <c r="M1168" i="9" s="1"/>
  <c r="L1176" i="9"/>
  <c r="M1176" i="9" s="1"/>
  <c r="D1176" i="9"/>
  <c r="E1176" i="9"/>
  <c r="C1176" i="9"/>
  <c r="E1196" i="9"/>
  <c r="D1196" i="9"/>
  <c r="C1196" i="9"/>
  <c r="L1196" i="9"/>
  <c r="M1196" i="9" s="1"/>
  <c r="E1208" i="9"/>
  <c r="D1208" i="9"/>
  <c r="C1208" i="9"/>
  <c r="L1208" i="9"/>
  <c r="M1208" i="9" s="1"/>
  <c r="E1216" i="9"/>
  <c r="D1216" i="9"/>
  <c r="C1216" i="9"/>
  <c r="L1216" i="9"/>
  <c r="M1216" i="9" s="1"/>
  <c r="E1228" i="9"/>
  <c r="D1228" i="9"/>
  <c r="C1228" i="9"/>
  <c r="L1228" i="9"/>
  <c r="M1228" i="9" s="1"/>
  <c r="E1232" i="9"/>
  <c r="D1232" i="9"/>
  <c r="C1232" i="9"/>
  <c r="L1232" i="9"/>
  <c r="M1232" i="9" s="1"/>
  <c r="E1240" i="9"/>
  <c r="D1240" i="9"/>
  <c r="C1240" i="9"/>
  <c r="L1240" i="9"/>
  <c r="M1240" i="9" s="1"/>
  <c r="L1248" i="9"/>
  <c r="M1248" i="9" s="1"/>
  <c r="D1248" i="9"/>
  <c r="E1248" i="9"/>
  <c r="C1248" i="9"/>
  <c r="E1256" i="9"/>
  <c r="D1256" i="9"/>
  <c r="C1256" i="9"/>
  <c r="L1256" i="9"/>
  <c r="M1256" i="9" s="1"/>
  <c r="E1264" i="9"/>
  <c r="D1264" i="9"/>
  <c r="E1268" i="9"/>
  <c r="D1268" i="9"/>
  <c r="C1268" i="9"/>
  <c r="L1268" i="9"/>
  <c r="M1268" i="9" s="1"/>
  <c r="E1280" i="9"/>
  <c r="D1280" i="9"/>
  <c r="C1280" i="9"/>
  <c r="L1280" i="9"/>
  <c r="M1280" i="9" s="1"/>
  <c r="D1284" i="9"/>
  <c r="E1284" i="9"/>
  <c r="D1296" i="9"/>
  <c r="E1296" i="9"/>
  <c r="L1308" i="9"/>
  <c r="M1308" i="9" s="1"/>
  <c r="D1308" i="9"/>
  <c r="C1308" i="9"/>
  <c r="E1308" i="9"/>
  <c r="E1328" i="9"/>
  <c r="D1328" i="9"/>
  <c r="C1328" i="9"/>
  <c r="L1328" i="9"/>
  <c r="M1328" i="9" s="1"/>
  <c r="E1336" i="9"/>
  <c r="D1336" i="9"/>
  <c r="C1336" i="9"/>
  <c r="L1336" i="9"/>
  <c r="M1336" i="9" s="1"/>
  <c r="E1340" i="9"/>
  <c r="D1340" i="9"/>
  <c r="C1340" i="9"/>
  <c r="L1340" i="9"/>
  <c r="M1340" i="9" s="1"/>
  <c r="L1344" i="9"/>
  <c r="M1344" i="9" s="1"/>
  <c r="E1344" i="9"/>
  <c r="D1344" i="9"/>
  <c r="C1344" i="9"/>
  <c r="E1348" i="9"/>
  <c r="D1348" i="9"/>
  <c r="C1348" i="9"/>
  <c r="L1348" i="9"/>
  <c r="M1348" i="9" s="1"/>
  <c r="E1352" i="9"/>
  <c r="D1352" i="9"/>
  <c r="C1352" i="9"/>
  <c r="L1352" i="9"/>
  <c r="M1352" i="9" s="1"/>
  <c r="E1360" i="9"/>
  <c r="L1360" i="9"/>
  <c r="M1360" i="9" s="1"/>
  <c r="D1360" i="9"/>
  <c r="C1360" i="9"/>
  <c r="E1364" i="9"/>
  <c r="D1364" i="9"/>
  <c r="C1364" i="9"/>
  <c r="L1364" i="9"/>
  <c r="M1364" i="9" s="1"/>
  <c r="L1368" i="9"/>
  <c r="M1368" i="9" s="1"/>
  <c r="E1368" i="9"/>
  <c r="D1368" i="9"/>
  <c r="C1368" i="9"/>
  <c r="E1372" i="9"/>
  <c r="L1372" i="9"/>
  <c r="M1372" i="9" s="1"/>
  <c r="D1372" i="9"/>
  <c r="C1372" i="9"/>
  <c r="E1376" i="9"/>
  <c r="D1376" i="9"/>
  <c r="C1376" i="9"/>
  <c r="L1376" i="9"/>
  <c r="M1376" i="9" s="1"/>
  <c r="L1380" i="9"/>
  <c r="M1380" i="9" s="1"/>
  <c r="E1380" i="9"/>
  <c r="D1380" i="9"/>
  <c r="C1380" i="9"/>
  <c r="L1384" i="9"/>
  <c r="M1384" i="9" s="1"/>
  <c r="E1384" i="9"/>
  <c r="D1384" i="9"/>
  <c r="C1384" i="9"/>
  <c r="E1388" i="9"/>
  <c r="D1388" i="9"/>
  <c r="C1388" i="9"/>
  <c r="L1388" i="9"/>
  <c r="M1388" i="9" s="1"/>
  <c r="D1392" i="9"/>
  <c r="L1392" i="9"/>
  <c r="M1392" i="9" s="1"/>
  <c r="E1392" i="9"/>
  <c r="C1392" i="9"/>
  <c r="L1396" i="9"/>
  <c r="M1396" i="9" s="1"/>
  <c r="E1396" i="9"/>
  <c r="C1396" i="9"/>
  <c r="D1396" i="9"/>
  <c r="E1400" i="9"/>
  <c r="D1400" i="9"/>
  <c r="C1400" i="9"/>
  <c r="L1400" i="9"/>
  <c r="M1400" i="9" s="1"/>
  <c r="D1404" i="9"/>
  <c r="L1404" i="9"/>
  <c r="M1404" i="9" s="1"/>
  <c r="E1404" i="9"/>
  <c r="C1404" i="9"/>
  <c r="L1408" i="9"/>
  <c r="M1408" i="9" s="1"/>
  <c r="E1408" i="9"/>
  <c r="C1408" i="9"/>
  <c r="D1408" i="9"/>
  <c r="E1412" i="9"/>
  <c r="D1412" i="9"/>
  <c r="C1412" i="9"/>
  <c r="L1412" i="9"/>
  <c r="M1412" i="9" s="1"/>
  <c r="D1416" i="9"/>
  <c r="L1416" i="9"/>
  <c r="M1416" i="9" s="1"/>
  <c r="E1416" i="9"/>
  <c r="C1416" i="9"/>
  <c r="L1420" i="9"/>
  <c r="M1420" i="9" s="1"/>
  <c r="E1420" i="9"/>
  <c r="D1420" i="9"/>
  <c r="C1420" i="9"/>
  <c r="E1424" i="9"/>
  <c r="D1424" i="9"/>
  <c r="C1424" i="9"/>
  <c r="L1424" i="9"/>
  <c r="M1424" i="9" s="1"/>
  <c r="D1428" i="9"/>
  <c r="L1428" i="9"/>
  <c r="M1428" i="9" s="1"/>
  <c r="E1428" i="9"/>
  <c r="C1428" i="9"/>
  <c r="L1432" i="9"/>
  <c r="M1432" i="9" s="1"/>
  <c r="E1432" i="9"/>
  <c r="D1432" i="9"/>
  <c r="C1432" i="9"/>
  <c r="E1436" i="9"/>
  <c r="D1436" i="9"/>
  <c r="C1436" i="9"/>
  <c r="L1436" i="9"/>
  <c r="M1436" i="9" s="1"/>
  <c r="D1440" i="9"/>
  <c r="L1440" i="9"/>
  <c r="M1440" i="9" s="1"/>
  <c r="E1440" i="9"/>
  <c r="C1440" i="9"/>
  <c r="L1444" i="9"/>
  <c r="M1444" i="9" s="1"/>
  <c r="E1444" i="9"/>
  <c r="C1444" i="9"/>
  <c r="D1444" i="9"/>
  <c r="E1448" i="9"/>
  <c r="D1448" i="9"/>
  <c r="C1448" i="9"/>
  <c r="L1448" i="9"/>
  <c r="M1448" i="9" s="1"/>
  <c r="D1452" i="9"/>
  <c r="L1452" i="9"/>
  <c r="M1452" i="9" s="1"/>
  <c r="E1452" i="9"/>
  <c r="C1452" i="9"/>
  <c r="L1456" i="9"/>
  <c r="M1456" i="9" s="1"/>
  <c r="E1456" i="9"/>
  <c r="D1456" i="9"/>
  <c r="C1456" i="9"/>
  <c r="E1460" i="9"/>
  <c r="D1460" i="9"/>
  <c r="C1460" i="9"/>
  <c r="L1460" i="9"/>
  <c r="M1460" i="9" s="1"/>
  <c r="D1464" i="9"/>
  <c r="L1464" i="9"/>
  <c r="M1464" i="9" s="1"/>
  <c r="E1464" i="9"/>
  <c r="C1464" i="9"/>
  <c r="L1468" i="9"/>
  <c r="M1468" i="9" s="1"/>
  <c r="E1468" i="9"/>
  <c r="D1468" i="9"/>
  <c r="C1468" i="9"/>
  <c r="E1472" i="9"/>
  <c r="D1472" i="9"/>
  <c r="D1476" i="9"/>
  <c r="E1476" i="9"/>
  <c r="L1480" i="9"/>
  <c r="M1480" i="9" s="1"/>
  <c r="E1480" i="9"/>
  <c r="D1480" i="9"/>
  <c r="C1480" i="9"/>
  <c r="E1484" i="9"/>
  <c r="D1484" i="9"/>
  <c r="D1488" i="9"/>
  <c r="L1488" i="9"/>
  <c r="M1488" i="9" s="1"/>
  <c r="E1488" i="9"/>
  <c r="C1488" i="9"/>
  <c r="E1492" i="9"/>
  <c r="D1492" i="9"/>
  <c r="E1496" i="9"/>
  <c r="D1496" i="9"/>
  <c r="D1500" i="9"/>
  <c r="L1500" i="9"/>
  <c r="M1500" i="9" s="1"/>
  <c r="E1500" i="9"/>
  <c r="C1500" i="9"/>
  <c r="E1504" i="9"/>
  <c r="D1504" i="9"/>
  <c r="E1508" i="9"/>
  <c r="D1508" i="9"/>
  <c r="C1508" i="9"/>
  <c r="L1508" i="9"/>
  <c r="M1508" i="9" s="1"/>
  <c r="D1512" i="9"/>
  <c r="E1512" i="9"/>
  <c r="E1516" i="9"/>
  <c r="D1516" i="9"/>
  <c r="E1520" i="9"/>
  <c r="D1520" i="9"/>
  <c r="C1520" i="9"/>
  <c r="L1520" i="9"/>
  <c r="M1520" i="9" s="1"/>
  <c r="D1524" i="9"/>
  <c r="E1524" i="9"/>
  <c r="L1528" i="9"/>
  <c r="M1528" i="9" s="1"/>
  <c r="E1528" i="9"/>
  <c r="D1528" i="9"/>
  <c r="C1528" i="9"/>
  <c r="E1532" i="9"/>
  <c r="D1532" i="9"/>
  <c r="E1541" i="9"/>
  <c r="D1541" i="9"/>
  <c r="L1541" i="9"/>
  <c r="M1541" i="9" s="1"/>
  <c r="C1541" i="9"/>
  <c r="E1554" i="9"/>
  <c r="D1554" i="9"/>
  <c r="C1554" i="9"/>
  <c r="L1554" i="9"/>
  <c r="M1554" i="9" s="1"/>
  <c r="E1567" i="9"/>
  <c r="D1567" i="9"/>
  <c r="C1567" i="9"/>
  <c r="L1567" i="9"/>
  <c r="M1567" i="9" s="1"/>
  <c r="E1580" i="9"/>
  <c r="D1580" i="9"/>
  <c r="C1580" i="9"/>
  <c r="L1580" i="9"/>
  <c r="M1580" i="9" s="1"/>
  <c r="E1589" i="9"/>
  <c r="D1589" i="9"/>
  <c r="L1589" i="9"/>
  <c r="M1589" i="9" s="1"/>
  <c r="C1589" i="9"/>
  <c r="E1602" i="9"/>
  <c r="D1602" i="9"/>
  <c r="C1602" i="9"/>
  <c r="L1602" i="9"/>
  <c r="M1602" i="9" s="1"/>
  <c r="E1615" i="9"/>
  <c r="D1615" i="9"/>
  <c r="C1615" i="9"/>
  <c r="L1615" i="9"/>
  <c r="M1615" i="9" s="1"/>
  <c r="E1628" i="9"/>
  <c r="D1628" i="9"/>
  <c r="C1628" i="9"/>
  <c r="L1628" i="9"/>
  <c r="M1628" i="9" s="1"/>
  <c r="E1637" i="9"/>
  <c r="D1637" i="9"/>
  <c r="L1637" i="9"/>
  <c r="M1637" i="9" s="1"/>
  <c r="C1637" i="9"/>
  <c r="E1650" i="9"/>
  <c r="D1650" i="9"/>
  <c r="C1650" i="9"/>
  <c r="L1650" i="9"/>
  <c r="M1650" i="9" s="1"/>
  <c r="E1663" i="9"/>
  <c r="D1663" i="9"/>
  <c r="C1663" i="9"/>
  <c r="L1663" i="9"/>
  <c r="M1663" i="9" s="1"/>
  <c r="E1676" i="9"/>
  <c r="D1676" i="9"/>
  <c r="C1676" i="9"/>
  <c r="L1676" i="9"/>
  <c r="M1676" i="9" s="1"/>
  <c r="E1685" i="9"/>
  <c r="D1685" i="9"/>
  <c r="L1685" i="9"/>
  <c r="M1685" i="9" s="1"/>
  <c r="C1685" i="9"/>
  <c r="E1698" i="9"/>
  <c r="D1698" i="9"/>
  <c r="C1698" i="9"/>
  <c r="L1698" i="9"/>
  <c r="M1698" i="9" s="1"/>
  <c r="E1711" i="9"/>
  <c r="D1711" i="9"/>
  <c r="C1711" i="9"/>
  <c r="L1711" i="9"/>
  <c r="M1711" i="9" s="1"/>
  <c r="E1724" i="9"/>
  <c r="D1724" i="9"/>
  <c r="C1724" i="9"/>
  <c r="L1724" i="9"/>
  <c r="M1724" i="9" s="1"/>
  <c r="E1733" i="9"/>
  <c r="D1733" i="9"/>
  <c r="L1733" i="9"/>
  <c r="M1733" i="9" s="1"/>
  <c r="C1733" i="9"/>
  <c r="E1746" i="9"/>
  <c r="D1746" i="9"/>
  <c r="C1746" i="9"/>
  <c r="L1746" i="9"/>
  <c r="M1746" i="9" s="1"/>
  <c r="E1759" i="9"/>
  <c r="D1759" i="9"/>
  <c r="C1759" i="9"/>
  <c r="L1759" i="9"/>
  <c r="M1759" i="9" s="1"/>
  <c r="E1772" i="9"/>
  <c r="D1772" i="9"/>
  <c r="C1772" i="9"/>
  <c r="L1772" i="9"/>
  <c r="M1772" i="9" s="1"/>
  <c r="E1781" i="9"/>
  <c r="D1781" i="9"/>
  <c r="L1781" i="9"/>
  <c r="M1781" i="9" s="1"/>
  <c r="C1781" i="9"/>
  <c r="E1794" i="9"/>
  <c r="C1794" i="9"/>
  <c r="L1794" i="9"/>
  <c r="M1794" i="9" s="1"/>
  <c r="D1794" i="9"/>
  <c r="E1807" i="9"/>
  <c r="D1807" i="9"/>
  <c r="L1807" i="9"/>
  <c r="M1807" i="9" s="1"/>
  <c r="C1807" i="9"/>
  <c r="E1820" i="9"/>
  <c r="D1820" i="9"/>
  <c r="C1820" i="9"/>
  <c r="L1820" i="9"/>
  <c r="M1820" i="9" s="1"/>
  <c r="D1829" i="9"/>
  <c r="C1829" i="9"/>
  <c r="L1829" i="9"/>
  <c r="M1829" i="9" s="1"/>
  <c r="E1829" i="9"/>
  <c r="E1842" i="9"/>
  <c r="C1842" i="9"/>
  <c r="L1842" i="9"/>
  <c r="M1842" i="9" s="1"/>
  <c r="D1842" i="9"/>
  <c r="E1855" i="9"/>
  <c r="D1855" i="9"/>
  <c r="L1855" i="9"/>
  <c r="M1855" i="9" s="1"/>
  <c r="C1855" i="9"/>
  <c r="E1868" i="9"/>
  <c r="D1868" i="9"/>
  <c r="C1868" i="9"/>
  <c r="L1868" i="9"/>
  <c r="M1868" i="9" s="1"/>
  <c r="D1877" i="9"/>
  <c r="C1877" i="9"/>
  <c r="L1877" i="9"/>
  <c r="M1877" i="9" s="1"/>
  <c r="E1877" i="9"/>
  <c r="E1890" i="9"/>
  <c r="C1890" i="9"/>
  <c r="L1890" i="9"/>
  <c r="M1890" i="9" s="1"/>
  <c r="D1890" i="9"/>
  <c r="E1903" i="9"/>
  <c r="D1903" i="9"/>
  <c r="L1903" i="9"/>
  <c r="M1903" i="9" s="1"/>
  <c r="C1903" i="9"/>
  <c r="E1916" i="9"/>
  <c r="D1916" i="9"/>
  <c r="C1916" i="9"/>
  <c r="L1916" i="9"/>
  <c r="M1916" i="9" s="1"/>
  <c r="D1925" i="9"/>
  <c r="C1925" i="9"/>
  <c r="E1925" i="9"/>
  <c r="L1925" i="9"/>
  <c r="M1925" i="9" s="1"/>
  <c r="E1938" i="9"/>
  <c r="C1938" i="9"/>
  <c r="D1938" i="9"/>
  <c r="L1938" i="9"/>
  <c r="M1938" i="9" s="1"/>
  <c r="E1951" i="9"/>
  <c r="D1951" i="9"/>
  <c r="L1951" i="9"/>
  <c r="M1951" i="9" s="1"/>
  <c r="C1951" i="9"/>
  <c r="E1964" i="9"/>
  <c r="D1964" i="9"/>
  <c r="C1964" i="9"/>
  <c r="L1964" i="9"/>
  <c r="M1964" i="9" s="1"/>
  <c r="D1973" i="9"/>
  <c r="C1973" i="9"/>
  <c r="L1973" i="9"/>
  <c r="M1973" i="9" s="1"/>
  <c r="E1973" i="9"/>
  <c r="E1986" i="9"/>
  <c r="C1986" i="9"/>
  <c r="L1986" i="9"/>
  <c r="M1986" i="9" s="1"/>
  <c r="D1986" i="9"/>
  <c r="E1999" i="9"/>
  <c r="D1999" i="9"/>
  <c r="L1999" i="9"/>
  <c r="M1999" i="9" s="1"/>
  <c r="C1999" i="9"/>
  <c r="E2012" i="9"/>
  <c r="D2012" i="9"/>
  <c r="C2012" i="9"/>
  <c r="L2012" i="9"/>
  <c r="M2012" i="9" s="1"/>
  <c r="D2021" i="9"/>
  <c r="C2021" i="9"/>
  <c r="L2021" i="9"/>
  <c r="M2021" i="9" s="1"/>
  <c r="E2021" i="9"/>
  <c r="E2034" i="9"/>
  <c r="C2034" i="9"/>
  <c r="L2034" i="9"/>
  <c r="M2034" i="9" s="1"/>
  <c r="D2034" i="9"/>
  <c r="E2058" i="9"/>
  <c r="C2058" i="9"/>
  <c r="L2058" i="9"/>
  <c r="M2058" i="9" s="1"/>
  <c r="D2058" i="9"/>
  <c r="E2082" i="9"/>
  <c r="D2082" i="9"/>
  <c r="C2082" i="9"/>
  <c r="L2082" i="9"/>
  <c r="M2082" i="9" s="1"/>
  <c r="E2106" i="9"/>
  <c r="D2106" i="9"/>
  <c r="C2106" i="9"/>
  <c r="L2106" i="9"/>
  <c r="M2106" i="9" s="1"/>
  <c r="E2130" i="9"/>
  <c r="D2130" i="9"/>
  <c r="C2130" i="9"/>
  <c r="L2130" i="9"/>
  <c r="M2130" i="9" s="1"/>
  <c r="E2154" i="9"/>
  <c r="D2154" i="9"/>
  <c r="C2154" i="9"/>
  <c r="L2154" i="9"/>
  <c r="M2154" i="9" s="1"/>
  <c r="E2178" i="9"/>
  <c r="D2178" i="9"/>
  <c r="C2178" i="9"/>
  <c r="L2178" i="9"/>
  <c r="M2178" i="9" s="1"/>
  <c r="E2202" i="9"/>
  <c r="D2202" i="9"/>
  <c r="C2202" i="9"/>
  <c r="L2202" i="9"/>
  <c r="M2202" i="9" s="1"/>
  <c r="E2226" i="9"/>
  <c r="D2226" i="9"/>
  <c r="C2226" i="9"/>
  <c r="L2226" i="9"/>
  <c r="M2226" i="9" s="1"/>
  <c r="E2250" i="9"/>
  <c r="D2250" i="9"/>
  <c r="C2250" i="9"/>
  <c r="L2250" i="9"/>
  <c r="M2250" i="9" s="1"/>
  <c r="E2274" i="9"/>
  <c r="D2274" i="9"/>
  <c r="C2274" i="9"/>
  <c r="L2274" i="9"/>
  <c r="M2274" i="9" s="1"/>
  <c r="E2298" i="9"/>
  <c r="D2298" i="9"/>
  <c r="C2298" i="9"/>
  <c r="L2298" i="9"/>
  <c r="M2298" i="9" s="1"/>
  <c r="E2322" i="9"/>
  <c r="D2322" i="9"/>
  <c r="E2346" i="9"/>
  <c r="D2346" i="9"/>
  <c r="E2370" i="9"/>
  <c r="D2370" i="9"/>
  <c r="C2370" i="9"/>
  <c r="L2370" i="9"/>
  <c r="M2370" i="9" s="1"/>
  <c r="E2394" i="9"/>
  <c r="D2394" i="9"/>
  <c r="C2394" i="9"/>
  <c r="L2394" i="9"/>
  <c r="M2394" i="9" s="1"/>
  <c r="E2418" i="9"/>
  <c r="D2418" i="9"/>
  <c r="C2418" i="9"/>
  <c r="L2418" i="9"/>
  <c r="M2418" i="9" s="1"/>
  <c r="E2442" i="9"/>
  <c r="D2442" i="9"/>
  <c r="C2442" i="9"/>
  <c r="L2442" i="9"/>
  <c r="M2442" i="9" s="1"/>
  <c r="E2466" i="9"/>
  <c r="D2466" i="9"/>
  <c r="C2466" i="9"/>
  <c r="L2466" i="9"/>
  <c r="M2466" i="9" s="1"/>
  <c r="E2490" i="9"/>
  <c r="D2490" i="9"/>
  <c r="L2490" i="9"/>
  <c r="M2490" i="9" s="1"/>
  <c r="C2490" i="9"/>
  <c r="E2514" i="9"/>
  <c r="D2514" i="9"/>
  <c r="E2538" i="9"/>
  <c r="D2538" i="9"/>
  <c r="E2562" i="9"/>
  <c r="D2562" i="9"/>
  <c r="E2586" i="9"/>
  <c r="D2586" i="9"/>
  <c r="L2610" i="9"/>
  <c r="M2610" i="9" s="1"/>
  <c r="E2610" i="9"/>
  <c r="D2610" i="9"/>
  <c r="C2610" i="9"/>
  <c r="L2634" i="9"/>
  <c r="M2634" i="9" s="1"/>
  <c r="E2634" i="9"/>
  <c r="D2634" i="9"/>
  <c r="C2634" i="9"/>
  <c r="L2658" i="9"/>
  <c r="M2658" i="9" s="1"/>
  <c r="E2658" i="9"/>
  <c r="D2658" i="9"/>
  <c r="C2658" i="9"/>
  <c r="L2682" i="9"/>
  <c r="M2682" i="9" s="1"/>
  <c r="E2682" i="9"/>
  <c r="D2682" i="9"/>
  <c r="C2682" i="9"/>
  <c r="L2706" i="9"/>
  <c r="M2706" i="9" s="1"/>
  <c r="E2706" i="9"/>
  <c r="D2706" i="9"/>
  <c r="C2706" i="9"/>
  <c r="L2730" i="9"/>
  <c r="M2730" i="9" s="1"/>
  <c r="E2730" i="9"/>
  <c r="D2730" i="9"/>
  <c r="C2730" i="9"/>
  <c r="E2754" i="9"/>
  <c r="D2754" i="9"/>
  <c r="E2778" i="9"/>
  <c r="D2778" i="9"/>
  <c r="E2802" i="9"/>
  <c r="D2802" i="9"/>
  <c r="L2802" i="9"/>
  <c r="M2802" i="9" s="1"/>
  <c r="C2802" i="9"/>
  <c r="E2826" i="9"/>
  <c r="D2826" i="9"/>
  <c r="L2826" i="9"/>
  <c r="M2826" i="9" s="1"/>
  <c r="C2826" i="9"/>
  <c r="E2850" i="9"/>
  <c r="D2850" i="9"/>
  <c r="C2850" i="9"/>
  <c r="L2850" i="9"/>
  <c r="M2850" i="9" s="1"/>
  <c r="E2874" i="9"/>
  <c r="D2874" i="9"/>
  <c r="L2874" i="9"/>
  <c r="M2874" i="9" s="1"/>
  <c r="C2874" i="9"/>
  <c r="E2898" i="9"/>
  <c r="D2898" i="9"/>
  <c r="L2898" i="9"/>
  <c r="M2898" i="9" s="1"/>
  <c r="C2898" i="9"/>
  <c r="E2922" i="9"/>
  <c r="D2922" i="9"/>
  <c r="E2946" i="9"/>
  <c r="D2946" i="9"/>
  <c r="E2970" i="9"/>
  <c r="D2970" i="9"/>
  <c r="L2970" i="9"/>
  <c r="M2970" i="9" s="1"/>
  <c r="C2970" i="9"/>
  <c r="E2994" i="9"/>
  <c r="D2994" i="9"/>
  <c r="C2994" i="9"/>
  <c r="L2994" i="9"/>
  <c r="M2994" i="9" s="1"/>
  <c r="E3018" i="9"/>
  <c r="D3018" i="9"/>
  <c r="L3018" i="9"/>
  <c r="M3018" i="9" s="1"/>
  <c r="C3018" i="9"/>
  <c r="E3042" i="9"/>
  <c r="D3042" i="9"/>
  <c r="L3042" i="9"/>
  <c r="M3042" i="9" s="1"/>
  <c r="C3042" i="9"/>
  <c r="E3066" i="9"/>
  <c r="D3066" i="9"/>
  <c r="C3066" i="9"/>
  <c r="L3066" i="9"/>
  <c r="M3066" i="9" s="1"/>
  <c r="E3090" i="9"/>
  <c r="D3090" i="9"/>
  <c r="C3090" i="9"/>
  <c r="L3090" i="9"/>
  <c r="M3090" i="9" s="1"/>
  <c r="E3114" i="9"/>
  <c r="D3114" i="9"/>
  <c r="E3138" i="9"/>
  <c r="D3138" i="9"/>
  <c r="E3162" i="9"/>
  <c r="D3162" i="9"/>
  <c r="E3186" i="9"/>
  <c r="D3186" i="9"/>
  <c r="E3210" i="9"/>
  <c r="D3210" i="9"/>
  <c r="C3210" i="9"/>
  <c r="L3210" i="9"/>
  <c r="M3210" i="9" s="1"/>
  <c r="E3234" i="9"/>
  <c r="D3234" i="9"/>
  <c r="C3234" i="9"/>
  <c r="L3234" i="9"/>
  <c r="M3234" i="9" s="1"/>
  <c r="E3258" i="9"/>
  <c r="D3258" i="9"/>
  <c r="C3258" i="9"/>
  <c r="L3258" i="9"/>
  <c r="M3258" i="9" s="1"/>
  <c r="E3282" i="9"/>
  <c r="D3282" i="9"/>
  <c r="C3282" i="9"/>
  <c r="L3282" i="9"/>
  <c r="M3282" i="9" s="1"/>
  <c r="E3306" i="9"/>
  <c r="D3306" i="9"/>
  <c r="C3306" i="9"/>
  <c r="L3306" i="9"/>
  <c r="M3306" i="9" s="1"/>
  <c r="E3330" i="9"/>
  <c r="D3330" i="9"/>
  <c r="C3330" i="9"/>
  <c r="L3330" i="9"/>
  <c r="M3330" i="9" s="1"/>
  <c r="E3354" i="9"/>
  <c r="D3354" i="9"/>
  <c r="E3378" i="9"/>
  <c r="D3378" i="9"/>
  <c r="L3402" i="9"/>
  <c r="M3402" i="9" s="1"/>
  <c r="E3402" i="9"/>
  <c r="D3402" i="9"/>
  <c r="C3402" i="9"/>
  <c r="L3426" i="9"/>
  <c r="M3426" i="9" s="1"/>
  <c r="E3426" i="9"/>
  <c r="D3426" i="9"/>
  <c r="C3426" i="9"/>
  <c r="L3450" i="9"/>
  <c r="M3450" i="9" s="1"/>
  <c r="E3450" i="9"/>
  <c r="D3450" i="9"/>
  <c r="C3450" i="9"/>
  <c r="L3474" i="9"/>
  <c r="M3474" i="9" s="1"/>
  <c r="E3474" i="9"/>
  <c r="D3474" i="9"/>
  <c r="C3474" i="9"/>
  <c r="L3498" i="9"/>
  <c r="M3498" i="9" s="1"/>
  <c r="E3498" i="9"/>
  <c r="D3498" i="9"/>
  <c r="C3498" i="9"/>
  <c r="E3522" i="9"/>
  <c r="D3522" i="9"/>
  <c r="E3546" i="9"/>
  <c r="D3546" i="9"/>
  <c r="L3570" i="9"/>
  <c r="M3570" i="9" s="1"/>
  <c r="E3570" i="9"/>
  <c r="D3570" i="9"/>
  <c r="C3570" i="9"/>
  <c r="L3594" i="9"/>
  <c r="M3594" i="9" s="1"/>
  <c r="E3594" i="9"/>
  <c r="D3594" i="9"/>
  <c r="C3594" i="9"/>
  <c r="L3618" i="9"/>
  <c r="M3618" i="9" s="1"/>
  <c r="E3618" i="9"/>
  <c r="D3618" i="9"/>
  <c r="C3618" i="9"/>
  <c r="E3642" i="9"/>
  <c r="D3642" i="9"/>
  <c r="C3642" i="9"/>
  <c r="L3642" i="9"/>
  <c r="M3642" i="9" s="1"/>
  <c r="E3666" i="9"/>
  <c r="D3666" i="9"/>
  <c r="C3666" i="9"/>
  <c r="L3666" i="9"/>
  <c r="M3666" i="9" s="1"/>
  <c r="E3690" i="9"/>
  <c r="D3690" i="9"/>
  <c r="C3690" i="9"/>
  <c r="L3690" i="9"/>
  <c r="M3690" i="9" s="1"/>
  <c r="E3714" i="9"/>
  <c r="D3714" i="9"/>
  <c r="E3733" i="9"/>
  <c r="D3733" i="9"/>
  <c r="E3747" i="9"/>
  <c r="D3747" i="9"/>
  <c r="E3756" i="9"/>
  <c r="D3756" i="9"/>
  <c r="E3770" i="9"/>
  <c r="D3770" i="9"/>
  <c r="C3770" i="9"/>
  <c r="L3770" i="9"/>
  <c r="M3770" i="9" s="1"/>
  <c r="D3775" i="9"/>
  <c r="C3775" i="9"/>
  <c r="L3775" i="9"/>
  <c r="M3775" i="9" s="1"/>
  <c r="E3775" i="9"/>
  <c r="E3785" i="9"/>
  <c r="D3785" i="9"/>
  <c r="C3785" i="9"/>
  <c r="L3785" i="9"/>
  <c r="M3785" i="9" s="1"/>
  <c r="L3790" i="9"/>
  <c r="M3790" i="9" s="1"/>
  <c r="E3790" i="9"/>
  <c r="C3790" i="9"/>
  <c r="D3790" i="9"/>
  <c r="E3795" i="9"/>
  <c r="D3795" i="9"/>
  <c r="C3795" i="9"/>
  <c r="L3795" i="9"/>
  <c r="M3795" i="9" s="1"/>
  <c r="L3874" i="9"/>
  <c r="M3874" i="9" s="1"/>
  <c r="E3874" i="9"/>
  <c r="C3874" i="9"/>
  <c r="D3874" i="9"/>
  <c r="E3890" i="9"/>
  <c r="D3890" i="9"/>
  <c r="C3890" i="9"/>
  <c r="L3890" i="9"/>
  <c r="M3890" i="9" s="1"/>
  <c r="D3895" i="9"/>
  <c r="C3895" i="9"/>
  <c r="L3895" i="9"/>
  <c r="M3895" i="9" s="1"/>
  <c r="E3895" i="9"/>
  <c r="E3900" i="9"/>
  <c r="D3900" i="9"/>
  <c r="C3900" i="9"/>
  <c r="L3900" i="9"/>
  <c r="M3900" i="9" s="1"/>
  <c r="D3921" i="9"/>
  <c r="C3921" i="9"/>
  <c r="E3921" i="9"/>
  <c r="L3921" i="9"/>
  <c r="M3921" i="9" s="1"/>
  <c r="D3963" i="9"/>
  <c r="C3963" i="9"/>
  <c r="L3963" i="9"/>
  <c r="M3963" i="9" s="1"/>
  <c r="E3963" i="9"/>
  <c r="E3968" i="9"/>
  <c r="D3968" i="9"/>
  <c r="C3968" i="9"/>
  <c r="L3968" i="9"/>
  <c r="M3968" i="9" s="1"/>
  <c r="E4010" i="9"/>
  <c r="D4010" i="9"/>
  <c r="C4010" i="9"/>
  <c r="L4010" i="9"/>
  <c r="M4010" i="9" s="1"/>
  <c r="C4036" i="9"/>
  <c r="L4036" i="9"/>
  <c r="M4036" i="9" s="1"/>
  <c r="E4036" i="9"/>
  <c r="D4036" i="9"/>
  <c r="E4052" i="9"/>
  <c r="D4052" i="9"/>
  <c r="C4052" i="9"/>
  <c r="L4052" i="9"/>
  <c r="M4052" i="9" s="1"/>
  <c r="L4063" i="9"/>
  <c r="M4063" i="9" s="1"/>
  <c r="E4063" i="9"/>
  <c r="D4063" i="9"/>
  <c r="C4063" i="9"/>
  <c r="E4068" i="9"/>
  <c r="D4068" i="9"/>
  <c r="C4068" i="9"/>
  <c r="L4068" i="9"/>
  <c r="M4068" i="9" s="1"/>
  <c r="E4106" i="9"/>
  <c r="D4106" i="9"/>
  <c r="C4106" i="9"/>
  <c r="L4106" i="9"/>
  <c r="M4106" i="9" s="1"/>
  <c r="E4117" i="9"/>
  <c r="D4117" i="9"/>
  <c r="C4117" i="9"/>
  <c r="L4117" i="9"/>
  <c r="M4117" i="9" s="1"/>
  <c r="C4230" i="9"/>
  <c r="L4230" i="9"/>
  <c r="M4230" i="9" s="1"/>
  <c r="E4230" i="9"/>
  <c r="D4230" i="9"/>
  <c r="E4236" i="9"/>
  <c r="D4236" i="9"/>
  <c r="C4236" i="9"/>
  <c r="L4236" i="9"/>
  <c r="M4236" i="9" s="1"/>
  <c r="E4294" i="9"/>
  <c r="D4294" i="9"/>
  <c r="C4294" i="9"/>
  <c r="L4294" i="9"/>
  <c r="M4294" i="9" s="1"/>
  <c r="E4300" i="9"/>
  <c r="D4300" i="9"/>
  <c r="C4300" i="9"/>
  <c r="L4300" i="9"/>
  <c r="M4300" i="9" s="1"/>
  <c r="E4358" i="9"/>
  <c r="D4358" i="9"/>
  <c r="C4358" i="9"/>
  <c r="L4358" i="9"/>
  <c r="M4358" i="9" s="1"/>
  <c r="L4364" i="9"/>
  <c r="M4364" i="9" s="1"/>
  <c r="E4364" i="9"/>
  <c r="C4364" i="9"/>
  <c r="D4364" i="9"/>
  <c r="C4422" i="9"/>
  <c r="L4422" i="9"/>
  <c r="M4422" i="9" s="1"/>
  <c r="E4422" i="9"/>
  <c r="D4422" i="9"/>
  <c r="D4428" i="9"/>
  <c r="L4428" i="9"/>
  <c r="M4428" i="9" s="1"/>
  <c r="E4428" i="9"/>
  <c r="C4428" i="9"/>
  <c r="L4486" i="9"/>
  <c r="M4486" i="9" s="1"/>
  <c r="D4486" i="9"/>
  <c r="C4486" i="9"/>
  <c r="E4486" i="9"/>
  <c r="E4492" i="9"/>
  <c r="D4492" i="9"/>
  <c r="C4492" i="9"/>
  <c r="L4492" i="9"/>
  <c r="M4492" i="9" s="1"/>
  <c r="E4550" i="9"/>
  <c r="L4550" i="9"/>
  <c r="M4550" i="9" s="1"/>
  <c r="D4550" i="9"/>
  <c r="C4550" i="9"/>
  <c r="D4556" i="9"/>
  <c r="E4556" i="9"/>
  <c r="E4614" i="9"/>
  <c r="D4614" i="9"/>
  <c r="C4614" i="9"/>
  <c r="L4614" i="9"/>
  <c r="M4614" i="9" s="1"/>
  <c r="L4620" i="9"/>
  <c r="M4620" i="9" s="1"/>
  <c r="D4620" i="9"/>
  <c r="E4620" i="9"/>
  <c r="C4620" i="9"/>
  <c r="L4678" i="9"/>
  <c r="M4678" i="9" s="1"/>
  <c r="D4678" i="9"/>
  <c r="C4678" i="9"/>
  <c r="E4678" i="9"/>
  <c r="E4684" i="9"/>
  <c r="D4684" i="9"/>
  <c r="C4684" i="9"/>
  <c r="L4684" i="9"/>
  <c r="M4684" i="9" s="1"/>
  <c r="E4" i="9"/>
  <c r="D4" i="9"/>
  <c r="E8" i="9"/>
  <c r="D8" i="9"/>
  <c r="E12" i="9"/>
  <c r="D12" i="9"/>
  <c r="E16" i="9"/>
  <c r="D16" i="9"/>
  <c r="E20" i="9"/>
  <c r="D20" i="9"/>
  <c r="C20" i="9"/>
  <c r="L20" i="9"/>
  <c r="M20" i="9" s="1"/>
  <c r="E24" i="9"/>
  <c r="D24" i="9"/>
  <c r="E28" i="9"/>
  <c r="D28" i="9"/>
  <c r="E32" i="9"/>
  <c r="D32" i="9"/>
  <c r="E36" i="9"/>
  <c r="D36" i="9"/>
  <c r="E40" i="9"/>
  <c r="D40" i="9"/>
  <c r="C40" i="9"/>
  <c r="L40" i="9"/>
  <c r="M40" i="9" s="1"/>
  <c r="E44" i="9"/>
  <c r="D44" i="9"/>
  <c r="E48" i="9"/>
  <c r="D48" i="9"/>
  <c r="E52" i="9"/>
  <c r="D52" i="9"/>
  <c r="E56" i="9"/>
  <c r="D56" i="9"/>
  <c r="C60" i="9"/>
  <c r="L60" i="9"/>
  <c r="M60" i="9" s="1"/>
  <c r="E60" i="9"/>
  <c r="D60" i="9"/>
  <c r="E64" i="9"/>
  <c r="D64" i="9"/>
  <c r="E68" i="9"/>
  <c r="D68" i="9"/>
  <c r="E72" i="9"/>
  <c r="D72" i="9"/>
  <c r="E76" i="9"/>
  <c r="D76" i="9"/>
  <c r="E80" i="9"/>
  <c r="D80" i="9"/>
  <c r="C80" i="9"/>
  <c r="L80" i="9"/>
  <c r="M80" i="9" s="1"/>
  <c r="E84" i="9"/>
  <c r="D84" i="9"/>
  <c r="E88" i="9"/>
  <c r="D88" i="9"/>
  <c r="E92" i="9"/>
  <c r="D92" i="9"/>
  <c r="C92" i="9"/>
  <c r="L92" i="9"/>
  <c r="M92" i="9" s="1"/>
  <c r="C120" i="9"/>
  <c r="L120" i="9"/>
  <c r="M120" i="9" s="1"/>
  <c r="E120" i="9"/>
  <c r="D120" i="9"/>
  <c r="E128" i="9"/>
  <c r="D128" i="9"/>
  <c r="C128" i="9"/>
  <c r="L128" i="9"/>
  <c r="M128" i="9" s="1"/>
  <c r="C132" i="9"/>
  <c r="L132" i="9"/>
  <c r="M132" i="9" s="1"/>
  <c r="E132" i="9"/>
  <c r="D132" i="9"/>
  <c r="E140" i="9"/>
  <c r="D140" i="9"/>
  <c r="C140" i="9"/>
  <c r="L140" i="9"/>
  <c r="M140" i="9" s="1"/>
  <c r="E148" i="9"/>
  <c r="D148" i="9"/>
  <c r="C148" i="9"/>
  <c r="L148" i="9"/>
  <c r="M148" i="9" s="1"/>
  <c r="C156" i="9"/>
  <c r="L156" i="9"/>
  <c r="M156" i="9" s="1"/>
  <c r="E156" i="9"/>
  <c r="D156" i="9"/>
  <c r="E160" i="9"/>
  <c r="D160" i="9"/>
  <c r="C160" i="9"/>
  <c r="L160" i="9"/>
  <c r="M160" i="9" s="1"/>
  <c r="C168" i="9"/>
  <c r="L168" i="9"/>
  <c r="M168" i="9" s="1"/>
  <c r="E168" i="9"/>
  <c r="D168" i="9"/>
  <c r="E176" i="9"/>
  <c r="D176" i="9"/>
  <c r="C176" i="9"/>
  <c r="L176" i="9"/>
  <c r="M176" i="9" s="1"/>
  <c r="E184" i="9"/>
  <c r="D184" i="9"/>
  <c r="C184" i="9"/>
  <c r="L184" i="9"/>
  <c r="M184" i="9" s="1"/>
  <c r="C192" i="9"/>
  <c r="L192" i="9"/>
  <c r="M192" i="9" s="1"/>
  <c r="E192" i="9"/>
  <c r="D192" i="9"/>
  <c r="E200" i="9"/>
  <c r="D200" i="9"/>
  <c r="C200" i="9"/>
  <c r="L200" i="9"/>
  <c r="M200" i="9" s="1"/>
  <c r="C204" i="9"/>
  <c r="L204" i="9"/>
  <c r="M204" i="9" s="1"/>
  <c r="E204" i="9"/>
  <c r="D204" i="9"/>
  <c r="E216" i="9"/>
  <c r="D216" i="9"/>
  <c r="E220" i="9"/>
  <c r="D220" i="9"/>
  <c r="C220" i="9"/>
  <c r="L220" i="9"/>
  <c r="M220" i="9" s="1"/>
  <c r="E228" i="9"/>
  <c r="D228" i="9"/>
  <c r="E232" i="9"/>
  <c r="D232" i="9"/>
  <c r="E260" i="9"/>
  <c r="D260" i="9"/>
  <c r="C260" i="9"/>
  <c r="L260" i="9"/>
  <c r="M260" i="9" s="1"/>
  <c r="E268" i="9"/>
  <c r="D268" i="9"/>
  <c r="E288" i="9"/>
  <c r="D288" i="9"/>
  <c r="E296" i="9"/>
  <c r="D296" i="9"/>
  <c r="C300" i="9"/>
  <c r="L300" i="9"/>
  <c r="M300" i="9" s="1"/>
  <c r="E300" i="9"/>
  <c r="D300" i="9"/>
  <c r="E308" i="9"/>
  <c r="D308" i="9"/>
  <c r="C308" i="9"/>
  <c r="L308" i="9"/>
  <c r="M308" i="9" s="1"/>
  <c r="C312" i="9"/>
  <c r="L312" i="9"/>
  <c r="M312" i="9" s="1"/>
  <c r="E312" i="9"/>
  <c r="D312" i="9"/>
  <c r="E316" i="9"/>
  <c r="D316" i="9"/>
  <c r="C316" i="9"/>
  <c r="L316" i="9"/>
  <c r="M316" i="9" s="1"/>
  <c r="E320" i="9"/>
  <c r="D320" i="9"/>
  <c r="C320" i="9"/>
  <c r="L320" i="9"/>
  <c r="M320" i="9" s="1"/>
  <c r="C324" i="9"/>
  <c r="L324" i="9"/>
  <c r="M324" i="9" s="1"/>
  <c r="E324" i="9"/>
  <c r="D324" i="9"/>
  <c r="E332" i="9"/>
  <c r="D332" i="9"/>
  <c r="C332" i="9"/>
  <c r="L332" i="9"/>
  <c r="M332" i="9" s="1"/>
  <c r="E340" i="9"/>
  <c r="D340" i="9"/>
  <c r="C340" i="9"/>
  <c r="L340" i="9"/>
  <c r="M340" i="9" s="1"/>
  <c r="C348" i="9"/>
  <c r="L348" i="9"/>
  <c r="M348" i="9" s="1"/>
  <c r="E348" i="9"/>
  <c r="D348" i="9"/>
  <c r="E356" i="9"/>
  <c r="D356" i="9"/>
  <c r="C356" i="9"/>
  <c r="L356" i="9"/>
  <c r="M356" i="9" s="1"/>
  <c r="E368" i="9"/>
  <c r="D368" i="9"/>
  <c r="C368" i="9"/>
  <c r="L368" i="9"/>
  <c r="M368" i="9" s="1"/>
  <c r="C372" i="9"/>
  <c r="L372" i="9"/>
  <c r="M372" i="9" s="1"/>
  <c r="E372" i="9"/>
  <c r="D372" i="9"/>
  <c r="E380" i="9"/>
  <c r="D380" i="9"/>
  <c r="C380" i="9"/>
  <c r="L380" i="9"/>
  <c r="M380" i="9" s="1"/>
  <c r="E388" i="9"/>
  <c r="D388" i="9"/>
  <c r="C388" i="9"/>
  <c r="L388" i="9"/>
  <c r="M388" i="9" s="1"/>
  <c r="E392" i="9"/>
  <c r="D392" i="9"/>
  <c r="C392" i="9"/>
  <c r="L392" i="9"/>
  <c r="M392" i="9" s="1"/>
  <c r="L396" i="9"/>
  <c r="M396" i="9" s="1"/>
  <c r="C396" i="9"/>
  <c r="E396" i="9"/>
  <c r="D396" i="9"/>
  <c r="E404" i="9"/>
  <c r="D404" i="9"/>
  <c r="C404" i="9"/>
  <c r="L404" i="9"/>
  <c r="M404" i="9" s="1"/>
  <c r="E412" i="9"/>
  <c r="L412" i="9"/>
  <c r="M412" i="9" s="1"/>
  <c r="D412" i="9"/>
  <c r="C412" i="9"/>
  <c r="E416" i="9"/>
  <c r="D416" i="9"/>
  <c r="C416" i="9"/>
  <c r="L416" i="9"/>
  <c r="M416" i="9" s="1"/>
  <c r="L420" i="9"/>
  <c r="M420" i="9" s="1"/>
  <c r="C420" i="9"/>
  <c r="E420" i="9"/>
  <c r="D420" i="9"/>
  <c r="E424" i="9"/>
  <c r="D424" i="9"/>
  <c r="E432" i="9"/>
  <c r="D432" i="9"/>
  <c r="E444" i="9"/>
  <c r="D444" i="9"/>
  <c r="E448" i="9"/>
  <c r="D448" i="9"/>
  <c r="E460" i="9"/>
  <c r="L460" i="9"/>
  <c r="M460" i="9" s="1"/>
  <c r="D460" i="9"/>
  <c r="C460" i="9"/>
  <c r="E468" i="9"/>
  <c r="D468" i="9"/>
  <c r="E472" i="9"/>
  <c r="D472" i="9"/>
  <c r="L480" i="9"/>
  <c r="M480" i="9" s="1"/>
  <c r="C480" i="9"/>
  <c r="E480" i="9"/>
  <c r="D480" i="9"/>
  <c r="E488" i="9"/>
  <c r="D488" i="9"/>
  <c r="E496" i="9"/>
  <c r="D496" i="9"/>
  <c r="E512" i="9"/>
  <c r="D512" i="9"/>
  <c r="C512" i="9"/>
  <c r="L512" i="9"/>
  <c r="M512" i="9" s="1"/>
  <c r="E520" i="9"/>
  <c r="D520" i="9"/>
  <c r="C520" i="9"/>
  <c r="L520" i="9"/>
  <c r="M520" i="9" s="1"/>
  <c r="E532" i="9"/>
  <c r="D532" i="9"/>
  <c r="C532" i="9"/>
  <c r="L532" i="9"/>
  <c r="M532" i="9" s="1"/>
  <c r="L540" i="9"/>
  <c r="M540" i="9" s="1"/>
  <c r="C540" i="9"/>
  <c r="E540" i="9"/>
  <c r="D540" i="9"/>
  <c r="E544" i="9"/>
  <c r="D544" i="9"/>
  <c r="C544" i="9"/>
  <c r="L544" i="9"/>
  <c r="M544" i="9" s="1"/>
  <c r="E548" i="9"/>
  <c r="D548" i="9"/>
  <c r="C548" i="9"/>
  <c r="L548" i="9"/>
  <c r="M548" i="9" s="1"/>
  <c r="E560" i="9"/>
  <c r="D560" i="9"/>
  <c r="C560" i="9"/>
  <c r="L560" i="9"/>
  <c r="M560" i="9" s="1"/>
  <c r="E568" i="9"/>
  <c r="D568" i="9"/>
  <c r="C568" i="9"/>
  <c r="L568" i="9"/>
  <c r="M568" i="9" s="1"/>
  <c r="E572" i="9"/>
  <c r="D572" i="9"/>
  <c r="C572" i="9"/>
  <c r="L572" i="9"/>
  <c r="M572" i="9" s="1"/>
  <c r="E580" i="9"/>
  <c r="D580" i="9"/>
  <c r="C580" i="9"/>
  <c r="L580" i="9"/>
  <c r="M580" i="9" s="1"/>
  <c r="E584" i="9"/>
  <c r="D584" i="9"/>
  <c r="C584" i="9"/>
  <c r="L584" i="9"/>
  <c r="M584" i="9" s="1"/>
  <c r="E592" i="9"/>
  <c r="D592" i="9"/>
  <c r="C592" i="9"/>
  <c r="L592" i="9"/>
  <c r="M592" i="9" s="1"/>
  <c r="E604" i="9"/>
  <c r="D604" i="9"/>
  <c r="C604" i="9"/>
  <c r="L604" i="9"/>
  <c r="M604" i="9" s="1"/>
  <c r="L612" i="9"/>
  <c r="M612" i="9" s="1"/>
  <c r="C612" i="9"/>
  <c r="E612" i="9"/>
  <c r="D612" i="9"/>
  <c r="E620" i="9"/>
  <c r="D620" i="9"/>
  <c r="C620" i="9"/>
  <c r="L620" i="9"/>
  <c r="M620" i="9" s="1"/>
  <c r="E628" i="9"/>
  <c r="D628" i="9"/>
  <c r="C628" i="9"/>
  <c r="L628" i="9"/>
  <c r="M628" i="9" s="1"/>
  <c r="E632" i="9"/>
  <c r="D632" i="9"/>
  <c r="E640" i="9"/>
  <c r="D640" i="9"/>
  <c r="C640" i="9"/>
  <c r="L640" i="9"/>
  <c r="M640" i="9" s="1"/>
  <c r="E652" i="9"/>
  <c r="D652" i="9"/>
  <c r="E672" i="9"/>
  <c r="D672" i="9"/>
  <c r="E684" i="9"/>
  <c r="D684" i="9"/>
  <c r="E696" i="9"/>
  <c r="D696" i="9"/>
  <c r="E704" i="9"/>
  <c r="D704" i="9"/>
  <c r="E712" i="9"/>
  <c r="D712" i="9"/>
  <c r="L720" i="9"/>
  <c r="M720" i="9" s="1"/>
  <c r="C720" i="9"/>
  <c r="E720" i="9"/>
  <c r="D720" i="9"/>
  <c r="E728" i="9"/>
  <c r="D728" i="9"/>
  <c r="C728" i="9"/>
  <c r="L728" i="9"/>
  <c r="M728" i="9" s="1"/>
  <c r="L732" i="9"/>
  <c r="M732" i="9" s="1"/>
  <c r="C732" i="9"/>
  <c r="E732" i="9"/>
  <c r="D732" i="9"/>
  <c r="L744" i="9"/>
  <c r="M744" i="9" s="1"/>
  <c r="C744" i="9"/>
  <c r="E744" i="9"/>
  <c r="D744" i="9"/>
  <c r="E748" i="9"/>
  <c r="D748" i="9"/>
  <c r="C748" i="9"/>
  <c r="L748" i="9"/>
  <c r="M748" i="9" s="1"/>
  <c r="E760" i="9"/>
  <c r="D760" i="9"/>
  <c r="C760" i="9"/>
  <c r="L760" i="9"/>
  <c r="M760" i="9" s="1"/>
  <c r="L768" i="9"/>
  <c r="M768" i="9" s="1"/>
  <c r="C768" i="9"/>
  <c r="E768" i="9"/>
  <c r="D768" i="9"/>
  <c r="E772" i="9"/>
  <c r="D772" i="9"/>
  <c r="C772" i="9"/>
  <c r="L772" i="9"/>
  <c r="M772" i="9" s="1"/>
  <c r="E784" i="9"/>
  <c r="D784" i="9"/>
  <c r="C784" i="9"/>
  <c r="L784" i="9"/>
  <c r="M784" i="9" s="1"/>
  <c r="L792" i="9"/>
  <c r="M792" i="9" s="1"/>
  <c r="C792" i="9"/>
  <c r="E792" i="9"/>
  <c r="D792" i="9"/>
  <c r="E800" i="9"/>
  <c r="D800" i="9"/>
  <c r="C800" i="9"/>
  <c r="L800" i="9"/>
  <c r="M800" i="9" s="1"/>
  <c r="E808" i="9"/>
  <c r="D808" i="9"/>
  <c r="C808" i="9"/>
  <c r="L808" i="9"/>
  <c r="M808" i="9" s="1"/>
  <c r="L816" i="9"/>
  <c r="M816" i="9" s="1"/>
  <c r="C816" i="9"/>
  <c r="E816" i="9"/>
  <c r="D816" i="9"/>
  <c r="E824" i="9"/>
  <c r="D824" i="9"/>
  <c r="C824" i="9"/>
  <c r="L824" i="9"/>
  <c r="M824" i="9" s="1"/>
  <c r="L828" i="9"/>
  <c r="M828" i="9" s="1"/>
  <c r="C828" i="9"/>
  <c r="E828" i="9"/>
  <c r="D828" i="9"/>
  <c r="E832" i="9"/>
  <c r="D832" i="9"/>
  <c r="C832" i="9"/>
  <c r="L832" i="9"/>
  <c r="M832" i="9" s="1"/>
  <c r="E836" i="9"/>
  <c r="D836" i="9"/>
  <c r="C836" i="9"/>
  <c r="L836" i="9"/>
  <c r="M836" i="9" s="1"/>
  <c r="L840" i="9"/>
  <c r="M840" i="9" s="1"/>
  <c r="D840" i="9"/>
  <c r="C840" i="9"/>
  <c r="E840" i="9"/>
  <c r="D852" i="9"/>
  <c r="E852" i="9"/>
  <c r="E856" i="9"/>
  <c r="D856" i="9"/>
  <c r="E860" i="9"/>
  <c r="D860" i="9"/>
  <c r="C860" i="9"/>
  <c r="L860" i="9"/>
  <c r="M860" i="9" s="1"/>
  <c r="E868" i="9"/>
  <c r="D868" i="9"/>
  <c r="D876" i="9"/>
  <c r="E876" i="9"/>
  <c r="E884" i="9"/>
  <c r="D884" i="9"/>
  <c r="E892" i="9"/>
  <c r="D892" i="9"/>
  <c r="E896" i="9"/>
  <c r="D896" i="9"/>
  <c r="E904" i="9"/>
  <c r="D904" i="9"/>
  <c r="D912" i="9"/>
  <c r="E912" i="9"/>
  <c r="E932" i="9"/>
  <c r="D932" i="9"/>
  <c r="C932" i="9"/>
  <c r="L932" i="9"/>
  <c r="M932" i="9" s="1"/>
  <c r="E940" i="9"/>
  <c r="D940" i="9"/>
  <c r="L940" i="9"/>
  <c r="M940" i="9" s="1"/>
  <c r="C940" i="9"/>
  <c r="L948" i="9"/>
  <c r="M948" i="9" s="1"/>
  <c r="D948" i="9"/>
  <c r="E948" i="9"/>
  <c r="C948" i="9"/>
  <c r="E956" i="9"/>
  <c r="D956" i="9"/>
  <c r="C956" i="9"/>
  <c r="L956" i="9"/>
  <c r="M956" i="9" s="1"/>
  <c r="E968" i="9"/>
  <c r="D968" i="9"/>
  <c r="C968" i="9"/>
  <c r="L968" i="9"/>
  <c r="M968" i="9" s="1"/>
  <c r="E976" i="9"/>
  <c r="D976" i="9"/>
  <c r="L976" i="9"/>
  <c r="M976" i="9" s="1"/>
  <c r="C976" i="9"/>
  <c r="L984" i="9"/>
  <c r="M984" i="9" s="1"/>
  <c r="D984" i="9"/>
  <c r="E984" i="9"/>
  <c r="C984" i="9"/>
  <c r="E988" i="9"/>
  <c r="D988" i="9"/>
  <c r="L988" i="9"/>
  <c r="M988" i="9" s="1"/>
  <c r="C988" i="9"/>
  <c r="L996" i="9"/>
  <c r="M996" i="9" s="1"/>
  <c r="D996" i="9"/>
  <c r="E996" i="9"/>
  <c r="C996" i="9"/>
  <c r="E1004" i="9"/>
  <c r="D1004" i="9"/>
  <c r="C1004" i="9"/>
  <c r="L1004" i="9"/>
  <c r="M1004" i="9" s="1"/>
  <c r="E1012" i="9"/>
  <c r="D1012" i="9"/>
  <c r="L1012" i="9"/>
  <c r="M1012" i="9" s="1"/>
  <c r="C1012" i="9"/>
  <c r="E1016" i="9"/>
  <c r="D1016" i="9"/>
  <c r="C1016" i="9"/>
  <c r="L1016" i="9"/>
  <c r="M1016" i="9" s="1"/>
  <c r="E1024" i="9"/>
  <c r="D1024" i="9"/>
  <c r="L1024" i="9"/>
  <c r="M1024" i="9" s="1"/>
  <c r="C1024" i="9"/>
  <c r="L1032" i="9"/>
  <c r="M1032" i="9" s="1"/>
  <c r="D1032" i="9"/>
  <c r="E1032" i="9"/>
  <c r="C1032" i="9"/>
  <c r="E1036" i="9"/>
  <c r="D1036" i="9"/>
  <c r="L1036" i="9"/>
  <c r="M1036" i="9" s="1"/>
  <c r="C1036" i="9"/>
  <c r="E1048" i="9"/>
  <c r="D1048" i="9"/>
  <c r="L1048" i="9"/>
  <c r="M1048" i="9" s="1"/>
  <c r="C1048" i="9"/>
  <c r="E1052" i="9"/>
  <c r="D1052" i="9"/>
  <c r="E1064" i="9"/>
  <c r="D1064" i="9"/>
  <c r="E1076" i="9"/>
  <c r="D1076" i="9"/>
  <c r="D1092" i="9"/>
  <c r="E1092" i="9"/>
  <c r="E1096" i="9"/>
  <c r="D1096" i="9"/>
  <c r="E1100" i="9"/>
  <c r="D1100" i="9"/>
  <c r="C1100" i="9"/>
  <c r="L1100" i="9"/>
  <c r="M1100" i="9" s="1"/>
  <c r="D1104" i="9"/>
  <c r="E1104" i="9"/>
  <c r="E1108" i="9"/>
  <c r="D1108" i="9"/>
  <c r="D1116" i="9"/>
  <c r="E1116" i="9"/>
  <c r="D1128" i="9"/>
  <c r="E1128" i="9"/>
  <c r="E1132" i="9"/>
  <c r="D1132" i="9"/>
  <c r="E1136" i="9"/>
  <c r="D1136" i="9"/>
  <c r="E1144" i="9"/>
  <c r="D1144" i="9"/>
  <c r="C1144" i="9"/>
  <c r="L1144" i="9"/>
  <c r="M1144" i="9" s="1"/>
  <c r="E1148" i="9"/>
  <c r="D1148" i="9"/>
  <c r="C1148" i="9"/>
  <c r="L1148" i="9"/>
  <c r="M1148" i="9" s="1"/>
  <c r="L1152" i="9"/>
  <c r="M1152" i="9" s="1"/>
  <c r="D1152" i="9"/>
  <c r="E1152" i="9"/>
  <c r="C1152" i="9"/>
  <c r="E1160" i="9"/>
  <c r="D1160" i="9"/>
  <c r="C1160" i="9"/>
  <c r="L1160" i="9"/>
  <c r="M1160" i="9" s="1"/>
  <c r="L1164" i="9"/>
  <c r="M1164" i="9" s="1"/>
  <c r="D1164" i="9"/>
  <c r="E1164" i="9"/>
  <c r="C1164" i="9"/>
  <c r="E1172" i="9"/>
  <c r="D1172" i="9"/>
  <c r="C1172" i="9"/>
  <c r="L1172" i="9"/>
  <c r="M1172" i="9" s="1"/>
  <c r="E1180" i="9"/>
  <c r="D1180" i="9"/>
  <c r="C1180" i="9"/>
  <c r="L1180" i="9"/>
  <c r="M1180" i="9" s="1"/>
  <c r="E1184" i="9"/>
  <c r="D1184" i="9"/>
  <c r="C1184" i="9"/>
  <c r="L1184" i="9"/>
  <c r="M1184" i="9" s="1"/>
  <c r="L1188" i="9"/>
  <c r="M1188" i="9" s="1"/>
  <c r="D1188" i="9"/>
  <c r="E1188" i="9"/>
  <c r="C1188" i="9"/>
  <c r="E1192" i="9"/>
  <c r="D1192" i="9"/>
  <c r="C1192" i="9"/>
  <c r="L1192" i="9"/>
  <c r="M1192" i="9" s="1"/>
  <c r="L1200" i="9"/>
  <c r="M1200" i="9" s="1"/>
  <c r="D1200" i="9"/>
  <c r="E1200" i="9"/>
  <c r="C1200" i="9"/>
  <c r="E1204" i="9"/>
  <c r="D1204" i="9"/>
  <c r="C1204" i="9"/>
  <c r="L1204" i="9"/>
  <c r="M1204" i="9" s="1"/>
  <c r="L1212" i="9"/>
  <c r="M1212" i="9" s="1"/>
  <c r="D1212" i="9"/>
  <c r="E1212" i="9"/>
  <c r="C1212" i="9"/>
  <c r="E1220" i="9"/>
  <c r="D1220" i="9"/>
  <c r="C1220" i="9"/>
  <c r="L1220" i="9"/>
  <c r="M1220" i="9" s="1"/>
  <c r="L1224" i="9"/>
  <c r="M1224" i="9" s="1"/>
  <c r="D1224" i="9"/>
  <c r="E1224" i="9"/>
  <c r="C1224" i="9"/>
  <c r="L1236" i="9"/>
  <c r="M1236" i="9" s="1"/>
  <c r="D1236" i="9"/>
  <c r="E1236" i="9"/>
  <c r="C1236" i="9"/>
  <c r="E1244" i="9"/>
  <c r="D1244" i="9"/>
  <c r="C1244" i="9"/>
  <c r="L1244" i="9"/>
  <c r="M1244" i="9" s="1"/>
  <c r="E1252" i="9"/>
  <c r="D1252" i="9"/>
  <c r="C1252" i="9"/>
  <c r="L1252" i="9"/>
  <c r="M1252" i="9" s="1"/>
  <c r="L1260" i="9"/>
  <c r="M1260" i="9" s="1"/>
  <c r="D1260" i="9"/>
  <c r="E1260" i="9"/>
  <c r="C1260" i="9"/>
  <c r="D1272" i="9"/>
  <c r="E1272" i="9"/>
  <c r="E1276" i="9"/>
  <c r="D1276" i="9"/>
  <c r="E1288" i="9"/>
  <c r="D1288" i="9"/>
  <c r="C1288" i="9"/>
  <c r="L1288" i="9"/>
  <c r="M1288" i="9" s="1"/>
  <c r="E1292" i="9"/>
  <c r="D1292" i="9"/>
  <c r="E1300" i="9"/>
  <c r="D1300" i="9"/>
  <c r="C1300" i="9"/>
  <c r="L1300" i="9"/>
  <c r="M1300" i="9" s="1"/>
  <c r="E1304" i="9"/>
  <c r="D1304" i="9"/>
  <c r="E1312" i="9"/>
  <c r="D1312" i="9"/>
  <c r="E1316" i="9"/>
  <c r="D1316" i="9"/>
  <c r="L1320" i="9"/>
  <c r="M1320" i="9" s="1"/>
  <c r="D1320" i="9"/>
  <c r="E1320" i="9"/>
  <c r="C1320" i="9"/>
  <c r="E1324" i="9"/>
  <c r="D1324" i="9"/>
  <c r="L1332" i="9"/>
  <c r="M1332" i="9" s="1"/>
  <c r="D1332" i="9"/>
  <c r="E1332" i="9"/>
  <c r="C1332" i="9"/>
  <c r="L1356" i="9"/>
  <c r="M1356" i="9" s="1"/>
  <c r="E1356" i="9"/>
  <c r="D1356" i="9"/>
  <c r="C1356" i="9"/>
  <c r="E1537" i="9"/>
  <c r="D1537" i="9"/>
  <c r="L1550" i="9"/>
  <c r="M1550" i="9" s="1"/>
  <c r="D1550" i="9"/>
  <c r="C1550" i="9"/>
  <c r="E1550" i="9"/>
  <c r="L1563" i="9"/>
  <c r="M1563" i="9" s="1"/>
  <c r="C1563" i="9"/>
  <c r="E1563" i="9"/>
  <c r="D1563" i="9"/>
  <c r="L1576" i="9"/>
  <c r="M1576" i="9" s="1"/>
  <c r="E1576" i="9"/>
  <c r="D1576" i="9"/>
  <c r="C1576" i="9"/>
  <c r="C1585" i="9"/>
  <c r="L1585" i="9"/>
  <c r="M1585" i="9" s="1"/>
  <c r="E1585" i="9"/>
  <c r="D1585" i="9"/>
  <c r="L1598" i="9"/>
  <c r="M1598" i="9" s="1"/>
  <c r="D1598" i="9"/>
  <c r="C1598" i="9"/>
  <c r="E1598" i="9"/>
  <c r="L1611" i="9"/>
  <c r="M1611" i="9" s="1"/>
  <c r="C1611" i="9"/>
  <c r="E1611" i="9"/>
  <c r="D1611" i="9"/>
  <c r="L1624" i="9"/>
  <c r="M1624" i="9" s="1"/>
  <c r="E1624" i="9"/>
  <c r="D1624" i="9"/>
  <c r="C1624" i="9"/>
  <c r="C1633" i="9"/>
  <c r="L1633" i="9"/>
  <c r="M1633" i="9" s="1"/>
  <c r="E1633" i="9"/>
  <c r="D1633" i="9"/>
  <c r="L1646" i="9"/>
  <c r="M1646" i="9" s="1"/>
  <c r="D1646" i="9"/>
  <c r="C1646" i="9"/>
  <c r="E1646" i="9"/>
  <c r="L1659" i="9"/>
  <c r="M1659" i="9" s="1"/>
  <c r="C1659" i="9"/>
  <c r="E1659" i="9"/>
  <c r="D1659" i="9"/>
  <c r="L1672" i="9"/>
  <c r="M1672" i="9" s="1"/>
  <c r="E1672" i="9"/>
  <c r="D1672" i="9"/>
  <c r="C1672" i="9"/>
  <c r="C1681" i="9"/>
  <c r="L1681" i="9"/>
  <c r="M1681" i="9" s="1"/>
  <c r="E1681" i="9"/>
  <c r="D1681" i="9"/>
  <c r="L1694" i="9"/>
  <c r="M1694" i="9" s="1"/>
  <c r="D1694" i="9"/>
  <c r="C1694" i="9"/>
  <c r="E1694" i="9"/>
  <c r="L1707" i="9"/>
  <c r="M1707" i="9" s="1"/>
  <c r="C1707" i="9"/>
  <c r="E1707" i="9"/>
  <c r="D1707" i="9"/>
  <c r="L1720" i="9"/>
  <c r="M1720" i="9" s="1"/>
  <c r="E1720" i="9"/>
  <c r="D1720" i="9"/>
  <c r="C1720" i="9"/>
  <c r="C1729" i="9"/>
  <c r="L1729" i="9"/>
  <c r="M1729" i="9" s="1"/>
  <c r="E1729" i="9"/>
  <c r="D1729" i="9"/>
  <c r="L1742" i="9"/>
  <c r="M1742" i="9" s="1"/>
  <c r="D1742" i="9"/>
  <c r="C1742" i="9"/>
  <c r="E1742" i="9"/>
  <c r="L1755" i="9"/>
  <c r="M1755" i="9" s="1"/>
  <c r="C1755" i="9"/>
  <c r="E1755" i="9"/>
  <c r="D1755" i="9"/>
  <c r="L1768" i="9"/>
  <c r="M1768" i="9" s="1"/>
  <c r="E1768" i="9"/>
  <c r="D1768" i="9"/>
  <c r="C1768" i="9"/>
  <c r="C1777" i="9"/>
  <c r="L1777" i="9"/>
  <c r="M1777" i="9" s="1"/>
  <c r="E1777" i="9"/>
  <c r="D1777" i="9"/>
  <c r="E1790" i="9"/>
  <c r="L1790" i="9"/>
  <c r="M1790" i="9" s="1"/>
  <c r="D1790" i="9"/>
  <c r="C1790" i="9"/>
  <c r="E1803" i="9"/>
  <c r="D1803" i="9"/>
  <c r="L1803" i="9"/>
  <c r="M1803" i="9" s="1"/>
  <c r="C1803" i="9"/>
  <c r="E1816" i="9"/>
  <c r="D1816" i="9"/>
  <c r="C1816" i="9"/>
  <c r="L1816" i="9"/>
  <c r="M1816" i="9" s="1"/>
  <c r="L1825" i="9"/>
  <c r="M1825" i="9" s="1"/>
  <c r="E1825" i="9"/>
  <c r="D1825" i="9"/>
  <c r="C1825" i="9"/>
  <c r="E1838" i="9"/>
  <c r="L1838" i="9"/>
  <c r="M1838" i="9" s="1"/>
  <c r="D1838" i="9"/>
  <c r="C1838" i="9"/>
  <c r="E1851" i="9"/>
  <c r="D1851" i="9"/>
  <c r="L1851" i="9"/>
  <c r="M1851" i="9" s="1"/>
  <c r="C1851" i="9"/>
  <c r="E1864" i="9"/>
  <c r="D1864" i="9"/>
  <c r="C1864" i="9"/>
  <c r="L1864" i="9"/>
  <c r="M1864" i="9" s="1"/>
  <c r="L1873" i="9"/>
  <c r="M1873" i="9" s="1"/>
  <c r="E1873" i="9"/>
  <c r="D1873" i="9"/>
  <c r="C1873" i="9"/>
  <c r="E1886" i="9"/>
  <c r="L1886" i="9"/>
  <c r="M1886" i="9" s="1"/>
  <c r="C1886" i="9"/>
  <c r="D1886" i="9"/>
  <c r="E1899" i="9"/>
  <c r="D1899" i="9"/>
  <c r="L1899" i="9"/>
  <c r="M1899" i="9" s="1"/>
  <c r="C1899" i="9"/>
  <c r="E1912" i="9"/>
  <c r="D1912" i="9"/>
  <c r="C1912" i="9"/>
  <c r="L1912" i="9"/>
  <c r="M1912" i="9" s="1"/>
  <c r="L1921" i="9"/>
  <c r="M1921" i="9" s="1"/>
  <c r="E1921" i="9"/>
  <c r="D1921" i="9"/>
  <c r="C1921" i="9"/>
  <c r="E1934" i="9"/>
  <c r="L1934" i="9"/>
  <c r="M1934" i="9" s="1"/>
  <c r="D1934" i="9"/>
  <c r="C1934" i="9"/>
  <c r="E1947" i="9"/>
  <c r="D1947" i="9"/>
  <c r="L1947" i="9"/>
  <c r="M1947" i="9" s="1"/>
  <c r="C1947" i="9"/>
  <c r="E1960" i="9"/>
  <c r="D1960" i="9"/>
  <c r="C1960" i="9"/>
  <c r="L1960" i="9"/>
  <c r="M1960" i="9" s="1"/>
  <c r="L1969" i="9"/>
  <c r="M1969" i="9" s="1"/>
  <c r="D1969" i="9"/>
  <c r="C1969" i="9"/>
  <c r="E1969" i="9"/>
  <c r="E1982" i="9"/>
  <c r="L1982" i="9"/>
  <c r="M1982" i="9" s="1"/>
  <c r="D1982" i="9"/>
  <c r="C1982" i="9"/>
  <c r="E1995" i="9"/>
  <c r="D1995" i="9"/>
  <c r="L1995" i="9"/>
  <c r="M1995" i="9" s="1"/>
  <c r="C1995" i="9"/>
  <c r="E2008" i="9"/>
  <c r="D2008" i="9"/>
  <c r="C2008" i="9"/>
  <c r="L2008" i="9"/>
  <c r="M2008" i="9" s="1"/>
  <c r="L2017" i="9"/>
  <c r="M2017" i="9" s="1"/>
  <c r="E2017" i="9"/>
  <c r="D2017" i="9"/>
  <c r="C2017" i="9"/>
  <c r="E2030" i="9"/>
  <c r="L2030" i="9"/>
  <c r="M2030" i="9" s="1"/>
  <c r="C2030" i="9"/>
  <c r="D2030" i="9"/>
  <c r="L2039" i="9"/>
  <c r="M2039" i="9" s="1"/>
  <c r="D2039" i="9"/>
  <c r="C2039" i="9"/>
  <c r="E2039" i="9"/>
  <c r="E2044" i="9"/>
  <c r="D2044" i="9"/>
  <c r="C2044" i="9"/>
  <c r="L2044" i="9"/>
  <c r="M2044" i="9" s="1"/>
  <c r="D2049" i="9"/>
  <c r="C2049" i="9"/>
  <c r="L2049" i="9"/>
  <c r="M2049" i="9" s="1"/>
  <c r="E2049" i="9"/>
  <c r="L2063" i="9"/>
  <c r="M2063" i="9" s="1"/>
  <c r="D2063" i="9"/>
  <c r="C2063" i="9"/>
  <c r="E2063" i="9"/>
  <c r="E2068" i="9"/>
  <c r="D2068" i="9"/>
  <c r="C2068" i="9"/>
  <c r="L2068" i="9"/>
  <c r="M2068" i="9" s="1"/>
  <c r="D2073" i="9"/>
  <c r="C2073" i="9"/>
  <c r="L2073" i="9"/>
  <c r="M2073" i="9" s="1"/>
  <c r="E2073" i="9"/>
  <c r="L2087" i="9"/>
  <c r="M2087" i="9" s="1"/>
  <c r="D2087" i="9"/>
  <c r="C2087" i="9"/>
  <c r="E2087" i="9"/>
  <c r="E2092" i="9"/>
  <c r="D2092" i="9"/>
  <c r="C2092" i="9"/>
  <c r="L2092" i="9"/>
  <c r="M2092" i="9" s="1"/>
  <c r="D2097" i="9"/>
  <c r="C2097" i="9"/>
  <c r="L2097" i="9"/>
  <c r="M2097" i="9" s="1"/>
  <c r="E2097" i="9"/>
  <c r="L2111" i="9"/>
  <c r="M2111" i="9" s="1"/>
  <c r="D2111" i="9"/>
  <c r="C2111" i="9"/>
  <c r="E2111" i="9"/>
  <c r="E2116" i="9"/>
  <c r="D2116" i="9"/>
  <c r="C2116" i="9"/>
  <c r="L2116" i="9"/>
  <c r="M2116" i="9" s="1"/>
  <c r="D2121" i="9"/>
  <c r="C2121" i="9"/>
  <c r="L2121" i="9"/>
  <c r="M2121" i="9" s="1"/>
  <c r="E2121" i="9"/>
  <c r="L2135" i="9"/>
  <c r="M2135" i="9" s="1"/>
  <c r="D2135" i="9"/>
  <c r="C2135" i="9"/>
  <c r="E2135" i="9"/>
  <c r="E2140" i="9"/>
  <c r="D2140" i="9"/>
  <c r="C2140" i="9"/>
  <c r="L2140" i="9"/>
  <c r="M2140" i="9" s="1"/>
  <c r="D2145" i="9"/>
  <c r="C2145" i="9"/>
  <c r="L2145" i="9"/>
  <c r="M2145" i="9" s="1"/>
  <c r="E2145" i="9"/>
  <c r="L2159" i="9"/>
  <c r="M2159" i="9" s="1"/>
  <c r="D2159" i="9"/>
  <c r="C2159" i="9"/>
  <c r="E2159" i="9"/>
  <c r="E2164" i="9"/>
  <c r="D2164" i="9"/>
  <c r="C2164" i="9"/>
  <c r="L2164" i="9"/>
  <c r="M2164" i="9" s="1"/>
  <c r="D2169" i="9"/>
  <c r="C2169" i="9"/>
  <c r="L2169" i="9"/>
  <c r="M2169" i="9" s="1"/>
  <c r="E2169" i="9"/>
  <c r="L2183" i="9"/>
  <c r="M2183" i="9" s="1"/>
  <c r="D2183" i="9"/>
  <c r="C2183" i="9"/>
  <c r="E2183" i="9"/>
  <c r="E2188" i="9"/>
  <c r="D2188" i="9"/>
  <c r="C2188" i="9"/>
  <c r="L2188" i="9"/>
  <c r="M2188" i="9" s="1"/>
  <c r="D2193" i="9"/>
  <c r="C2193" i="9"/>
  <c r="L2193" i="9"/>
  <c r="M2193" i="9" s="1"/>
  <c r="E2193" i="9"/>
  <c r="L2207" i="9"/>
  <c r="M2207" i="9" s="1"/>
  <c r="D2207" i="9"/>
  <c r="C2207" i="9"/>
  <c r="E2207" i="9"/>
  <c r="E2212" i="9"/>
  <c r="D2212" i="9"/>
  <c r="C2212" i="9"/>
  <c r="L2212" i="9"/>
  <c r="M2212" i="9" s="1"/>
  <c r="D2217" i="9"/>
  <c r="C2217" i="9"/>
  <c r="L2217" i="9"/>
  <c r="M2217" i="9" s="1"/>
  <c r="E2217" i="9"/>
  <c r="L2231" i="9"/>
  <c r="M2231" i="9" s="1"/>
  <c r="D2231" i="9"/>
  <c r="C2231" i="9"/>
  <c r="E2231" i="9"/>
  <c r="E2236" i="9"/>
  <c r="D2236" i="9"/>
  <c r="C2236" i="9"/>
  <c r="L2236" i="9"/>
  <c r="M2236" i="9" s="1"/>
  <c r="D2241" i="9"/>
  <c r="C2241" i="9"/>
  <c r="L2241" i="9"/>
  <c r="M2241" i="9" s="1"/>
  <c r="E2241" i="9"/>
  <c r="L2255" i="9"/>
  <c r="M2255" i="9" s="1"/>
  <c r="D2255" i="9"/>
  <c r="C2255" i="9"/>
  <c r="E2255" i="9"/>
  <c r="E2260" i="9"/>
  <c r="D2260" i="9"/>
  <c r="C2260" i="9"/>
  <c r="L2260" i="9"/>
  <c r="M2260" i="9" s="1"/>
  <c r="D2265" i="9"/>
  <c r="C2265" i="9"/>
  <c r="L2265" i="9"/>
  <c r="M2265" i="9" s="1"/>
  <c r="E2265" i="9"/>
  <c r="L2279" i="9"/>
  <c r="M2279" i="9" s="1"/>
  <c r="D2279" i="9"/>
  <c r="C2279" i="9"/>
  <c r="E2279" i="9"/>
  <c r="E2284" i="9"/>
  <c r="D2284" i="9"/>
  <c r="C2284" i="9"/>
  <c r="L2284" i="9"/>
  <c r="M2284" i="9" s="1"/>
  <c r="D2289" i="9"/>
  <c r="C2289" i="9"/>
  <c r="L2289" i="9"/>
  <c r="M2289" i="9" s="1"/>
  <c r="E2289" i="9"/>
  <c r="L2303" i="9"/>
  <c r="M2303" i="9" s="1"/>
  <c r="D2303" i="9"/>
  <c r="C2303" i="9"/>
  <c r="E2303" i="9"/>
  <c r="E2308" i="9"/>
  <c r="D2308" i="9"/>
  <c r="C2308" i="9"/>
  <c r="L2308" i="9"/>
  <c r="M2308" i="9" s="1"/>
  <c r="D2313" i="9"/>
  <c r="E2313" i="9"/>
  <c r="D2327" i="9"/>
  <c r="E2327" i="9"/>
  <c r="E2332" i="9"/>
  <c r="D2332" i="9"/>
  <c r="D2337" i="9"/>
  <c r="E2337" i="9"/>
  <c r="L2351" i="9"/>
  <c r="M2351" i="9" s="1"/>
  <c r="C2351" i="9"/>
  <c r="E2351" i="9"/>
  <c r="D2351" i="9"/>
  <c r="E2356" i="9"/>
  <c r="D2356" i="9"/>
  <c r="D2361" i="9"/>
  <c r="C2361" i="9"/>
  <c r="L2361" i="9"/>
  <c r="M2361" i="9" s="1"/>
  <c r="E2361" i="9"/>
  <c r="E2375" i="9"/>
  <c r="D2375" i="9"/>
  <c r="E2380" i="9"/>
  <c r="D2380" i="9"/>
  <c r="C2380" i="9"/>
  <c r="L2380" i="9"/>
  <c r="M2380" i="9" s="1"/>
  <c r="D2385" i="9"/>
  <c r="E2385" i="9"/>
  <c r="L2399" i="9"/>
  <c r="M2399" i="9" s="1"/>
  <c r="C2399" i="9"/>
  <c r="E2399" i="9"/>
  <c r="D2399" i="9"/>
  <c r="E2404" i="9"/>
  <c r="D2404" i="9"/>
  <c r="C2404" i="9"/>
  <c r="L2404" i="9"/>
  <c r="M2404" i="9" s="1"/>
  <c r="D2409" i="9"/>
  <c r="C2409" i="9"/>
  <c r="L2409" i="9"/>
  <c r="M2409" i="9" s="1"/>
  <c r="E2409" i="9"/>
  <c r="L2423" i="9"/>
  <c r="M2423" i="9" s="1"/>
  <c r="D2423" i="9"/>
  <c r="C2423" i="9"/>
  <c r="E2423" i="9"/>
  <c r="E2428" i="9"/>
  <c r="D2428" i="9"/>
  <c r="C2428" i="9"/>
  <c r="L2428" i="9"/>
  <c r="M2428" i="9" s="1"/>
  <c r="D2433" i="9"/>
  <c r="C2433" i="9"/>
  <c r="L2433" i="9"/>
  <c r="M2433" i="9" s="1"/>
  <c r="E2433" i="9"/>
  <c r="L2447" i="9"/>
  <c r="M2447" i="9" s="1"/>
  <c r="D2447" i="9"/>
  <c r="C2447" i="9"/>
  <c r="E2447" i="9"/>
  <c r="E2452" i="9"/>
  <c r="D2452" i="9"/>
  <c r="C2452" i="9"/>
  <c r="L2452" i="9"/>
  <c r="M2452" i="9" s="1"/>
  <c r="D2457" i="9"/>
  <c r="C2457" i="9"/>
  <c r="L2457" i="9"/>
  <c r="M2457" i="9" s="1"/>
  <c r="E2457" i="9"/>
  <c r="D2471" i="9"/>
  <c r="L2471" i="9"/>
  <c r="M2471" i="9" s="1"/>
  <c r="E2471" i="9"/>
  <c r="C2471" i="9"/>
  <c r="L2476" i="9"/>
  <c r="M2476" i="9" s="1"/>
  <c r="C2476" i="9"/>
  <c r="E2476" i="9"/>
  <c r="D2476" i="9"/>
  <c r="C2481" i="9"/>
  <c r="E2481" i="9"/>
  <c r="D2481" i="9"/>
  <c r="L2481" i="9"/>
  <c r="M2481" i="9" s="1"/>
  <c r="D2495" i="9"/>
  <c r="L2495" i="9"/>
  <c r="M2495" i="9" s="1"/>
  <c r="E2495" i="9"/>
  <c r="C2495" i="9"/>
  <c r="L2500" i="9"/>
  <c r="M2500" i="9" s="1"/>
  <c r="E2500" i="9"/>
  <c r="D2500" i="9"/>
  <c r="C2500" i="9"/>
  <c r="E2505" i="9"/>
  <c r="C2505" i="9"/>
  <c r="D2505" i="9"/>
  <c r="L2505" i="9"/>
  <c r="M2505" i="9" s="1"/>
  <c r="D2519" i="9"/>
  <c r="E2519" i="9"/>
  <c r="E2524" i="9"/>
  <c r="D2524" i="9"/>
  <c r="E2529" i="9"/>
  <c r="D2529" i="9"/>
  <c r="D2543" i="9"/>
  <c r="E2543" i="9"/>
  <c r="D2548" i="9"/>
  <c r="E2548" i="9"/>
  <c r="E2553" i="9"/>
  <c r="D2553" i="9"/>
  <c r="E2567" i="9"/>
  <c r="D2567" i="9"/>
  <c r="E2572" i="9"/>
  <c r="D2572" i="9"/>
  <c r="E2577" i="9"/>
  <c r="D2577" i="9"/>
  <c r="E2591" i="9"/>
  <c r="D2591" i="9"/>
  <c r="C2591" i="9"/>
  <c r="L2591" i="9"/>
  <c r="M2591" i="9" s="1"/>
  <c r="L2596" i="9"/>
  <c r="M2596" i="9" s="1"/>
  <c r="E2596" i="9"/>
  <c r="D2596" i="9"/>
  <c r="C2596" i="9"/>
  <c r="E2601" i="9"/>
  <c r="D2601" i="9"/>
  <c r="C2601" i="9"/>
  <c r="L2601" i="9"/>
  <c r="M2601" i="9" s="1"/>
  <c r="E2615" i="9"/>
  <c r="D2615" i="9"/>
  <c r="C2615" i="9"/>
  <c r="L2615" i="9"/>
  <c r="M2615" i="9" s="1"/>
  <c r="L2620" i="9"/>
  <c r="M2620" i="9" s="1"/>
  <c r="E2620" i="9"/>
  <c r="D2620" i="9"/>
  <c r="C2620" i="9"/>
  <c r="E2625" i="9"/>
  <c r="D2625" i="9"/>
  <c r="C2625" i="9"/>
  <c r="L2625" i="9"/>
  <c r="M2625" i="9" s="1"/>
  <c r="E2639" i="9"/>
  <c r="D2639" i="9"/>
  <c r="C2639" i="9"/>
  <c r="L2639" i="9"/>
  <c r="M2639" i="9" s="1"/>
  <c r="L2644" i="9"/>
  <c r="M2644" i="9" s="1"/>
  <c r="E2644" i="9"/>
  <c r="D2644" i="9"/>
  <c r="C2644" i="9"/>
  <c r="E2649" i="9"/>
  <c r="D2649" i="9"/>
  <c r="C2649" i="9"/>
  <c r="L2649" i="9"/>
  <c r="M2649" i="9" s="1"/>
  <c r="E2663" i="9"/>
  <c r="D2663" i="9"/>
  <c r="C2663" i="9"/>
  <c r="L2663" i="9"/>
  <c r="M2663" i="9" s="1"/>
  <c r="L2668" i="9"/>
  <c r="M2668" i="9" s="1"/>
  <c r="E2668" i="9"/>
  <c r="D2668" i="9"/>
  <c r="C2668" i="9"/>
  <c r="E2673" i="9"/>
  <c r="D2673" i="9"/>
  <c r="C2673" i="9"/>
  <c r="L2673" i="9"/>
  <c r="M2673" i="9" s="1"/>
  <c r="E2687" i="9"/>
  <c r="D2687" i="9"/>
  <c r="C2687" i="9"/>
  <c r="L2687" i="9"/>
  <c r="M2687" i="9" s="1"/>
  <c r="L2692" i="9"/>
  <c r="M2692" i="9" s="1"/>
  <c r="E2692" i="9"/>
  <c r="D2692" i="9"/>
  <c r="C2692" i="9"/>
  <c r="E2697" i="9"/>
  <c r="D2697" i="9"/>
  <c r="C2697" i="9"/>
  <c r="L2697" i="9"/>
  <c r="M2697" i="9" s="1"/>
  <c r="E2711" i="9"/>
  <c r="D2711" i="9"/>
  <c r="C2711" i="9"/>
  <c r="L2711" i="9"/>
  <c r="M2711" i="9" s="1"/>
  <c r="E2716" i="9"/>
  <c r="D2716" i="9"/>
  <c r="E2721" i="9"/>
  <c r="D2721" i="9"/>
  <c r="C2721" i="9"/>
  <c r="L2721" i="9"/>
  <c r="M2721" i="9" s="1"/>
  <c r="E2735" i="9"/>
  <c r="D2735" i="9"/>
  <c r="L2740" i="9"/>
  <c r="M2740" i="9" s="1"/>
  <c r="E2740" i="9"/>
  <c r="D2740" i="9"/>
  <c r="C2740" i="9"/>
  <c r="E2745" i="9"/>
  <c r="D2745" i="9"/>
  <c r="E2759" i="9"/>
  <c r="D2759" i="9"/>
  <c r="E2764" i="9"/>
  <c r="D2764" i="9"/>
  <c r="E2769" i="9"/>
  <c r="D2769" i="9"/>
  <c r="E2783" i="9"/>
  <c r="D2783" i="9"/>
  <c r="D2788" i="9"/>
  <c r="E2788" i="9"/>
  <c r="E2793" i="9"/>
  <c r="D2793" i="9"/>
  <c r="C2793" i="9"/>
  <c r="L2793" i="9"/>
  <c r="M2793" i="9" s="1"/>
  <c r="L2807" i="9"/>
  <c r="M2807" i="9" s="1"/>
  <c r="E2807" i="9"/>
  <c r="D2807" i="9"/>
  <c r="C2807" i="9"/>
  <c r="D2812" i="9"/>
  <c r="L2812" i="9"/>
  <c r="M2812" i="9" s="1"/>
  <c r="E2812" i="9"/>
  <c r="C2812" i="9"/>
  <c r="E2817" i="9"/>
  <c r="D2817" i="9"/>
  <c r="C2817" i="9"/>
  <c r="L2817" i="9"/>
  <c r="M2817" i="9" s="1"/>
  <c r="L2831" i="9"/>
  <c r="M2831" i="9" s="1"/>
  <c r="E2831" i="9"/>
  <c r="C2831" i="9"/>
  <c r="D2831" i="9"/>
  <c r="D2836" i="9"/>
  <c r="L2836" i="9"/>
  <c r="M2836" i="9" s="1"/>
  <c r="E2836" i="9"/>
  <c r="C2836" i="9"/>
  <c r="L2841" i="9"/>
  <c r="M2841" i="9" s="1"/>
  <c r="E2841" i="9"/>
  <c r="C2841" i="9"/>
  <c r="D2841" i="9"/>
  <c r="L2855" i="9"/>
  <c r="M2855" i="9" s="1"/>
  <c r="E2855" i="9"/>
  <c r="D2855" i="9"/>
  <c r="C2855" i="9"/>
  <c r="D2860" i="9"/>
  <c r="L2860" i="9"/>
  <c r="M2860" i="9" s="1"/>
  <c r="C2860" i="9"/>
  <c r="E2860" i="9"/>
  <c r="E2865" i="9"/>
  <c r="D2865" i="9"/>
  <c r="C2865" i="9"/>
  <c r="L2865" i="9"/>
  <c r="M2865" i="9" s="1"/>
  <c r="L2879" i="9"/>
  <c r="M2879" i="9" s="1"/>
  <c r="E2879" i="9"/>
  <c r="D2879" i="9"/>
  <c r="C2879" i="9"/>
  <c r="D2884" i="9"/>
  <c r="L2884" i="9"/>
  <c r="M2884" i="9" s="1"/>
  <c r="E2884" i="9"/>
  <c r="C2884" i="9"/>
  <c r="E2889" i="9"/>
  <c r="D2889" i="9"/>
  <c r="C2889" i="9"/>
  <c r="L2889" i="9"/>
  <c r="M2889" i="9" s="1"/>
  <c r="L2903" i="9"/>
  <c r="M2903" i="9" s="1"/>
  <c r="E2903" i="9"/>
  <c r="C2903" i="9"/>
  <c r="D2903" i="9"/>
  <c r="D2908" i="9"/>
  <c r="L2908" i="9"/>
  <c r="M2908" i="9" s="1"/>
  <c r="E2908" i="9"/>
  <c r="C2908" i="9"/>
  <c r="E2913" i="9"/>
  <c r="D2913" i="9"/>
  <c r="E2927" i="9"/>
  <c r="D2927" i="9"/>
  <c r="D2932" i="9"/>
  <c r="E2932" i="9"/>
  <c r="E2937" i="9"/>
  <c r="D2937" i="9"/>
  <c r="L2951" i="9"/>
  <c r="M2951" i="9" s="1"/>
  <c r="E2951" i="9"/>
  <c r="D2951" i="9"/>
  <c r="C2951" i="9"/>
  <c r="D2956" i="9"/>
  <c r="E2956" i="9"/>
  <c r="E2961" i="9"/>
  <c r="D2961" i="9"/>
  <c r="C2961" i="9"/>
  <c r="L2961" i="9"/>
  <c r="M2961" i="9" s="1"/>
  <c r="E2975" i="9"/>
  <c r="D2975" i="9"/>
  <c r="D2980" i="9"/>
  <c r="L2980" i="9"/>
  <c r="M2980" i="9" s="1"/>
  <c r="E2980" i="9"/>
  <c r="C2980" i="9"/>
  <c r="E2985" i="9"/>
  <c r="D2985" i="9"/>
  <c r="L2999" i="9"/>
  <c r="M2999" i="9" s="1"/>
  <c r="E2999" i="9"/>
  <c r="D2999" i="9"/>
  <c r="C2999" i="9"/>
  <c r="D3004" i="9"/>
  <c r="L3004" i="9"/>
  <c r="M3004" i="9" s="1"/>
  <c r="C3004" i="9"/>
  <c r="E3004" i="9"/>
  <c r="E3009" i="9"/>
  <c r="D3009" i="9"/>
  <c r="C3009" i="9"/>
  <c r="L3009" i="9"/>
  <c r="M3009" i="9" s="1"/>
  <c r="L3023" i="9"/>
  <c r="M3023" i="9" s="1"/>
  <c r="E3023" i="9"/>
  <c r="D3023" i="9"/>
  <c r="C3023" i="9"/>
  <c r="D3028" i="9"/>
  <c r="L3028" i="9"/>
  <c r="M3028" i="9" s="1"/>
  <c r="E3028" i="9"/>
  <c r="C3028" i="9"/>
  <c r="E3033" i="9"/>
  <c r="D3033" i="9"/>
  <c r="C3033" i="9"/>
  <c r="L3033" i="9"/>
  <c r="M3033" i="9" s="1"/>
  <c r="L3047" i="9"/>
  <c r="M3047" i="9" s="1"/>
  <c r="E3047" i="9"/>
  <c r="D3047" i="9"/>
  <c r="C3047" i="9"/>
  <c r="E3052" i="9"/>
  <c r="D3052" i="9"/>
  <c r="L3052" i="9"/>
  <c r="M3052" i="9" s="1"/>
  <c r="C3052" i="9"/>
  <c r="L3057" i="9"/>
  <c r="M3057" i="9" s="1"/>
  <c r="C3057" i="9"/>
  <c r="E3057" i="9"/>
  <c r="D3057" i="9"/>
  <c r="L3071" i="9"/>
  <c r="M3071" i="9" s="1"/>
  <c r="E3071" i="9"/>
  <c r="D3071" i="9"/>
  <c r="C3071" i="9"/>
  <c r="E3076" i="9"/>
  <c r="D3076" i="9"/>
  <c r="L3076" i="9"/>
  <c r="M3076" i="9" s="1"/>
  <c r="C3076" i="9"/>
  <c r="L3081" i="9"/>
  <c r="M3081" i="9" s="1"/>
  <c r="C3081" i="9"/>
  <c r="E3081" i="9"/>
  <c r="D3081" i="9"/>
  <c r="L3095" i="9"/>
  <c r="M3095" i="9" s="1"/>
  <c r="E3095" i="9"/>
  <c r="D3095" i="9"/>
  <c r="C3095" i="9"/>
  <c r="E3100" i="9"/>
  <c r="D3100" i="9"/>
  <c r="L3100" i="9"/>
  <c r="M3100" i="9" s="1"/>
  <c r="C3100" i="9"/>
  <c r="L3105" i="9"/>
  <c r="M3105" i="9" s="1"/>
  <c r="C3105" i="9"/>
  <c r="E3105" i="9"/>
  <c r="D3105" i="9"/>
  <c r="E3119" i="9"/>
  <c r="D3119" i="9"/>
  <c r="E3124" i="9"/>
  <c r="D3124" i="9"/>
  <c r="E3129" i="9"/>
  <c r="D3129" i="9"/>
  <c r="E3143" i="9"/>
  <c r="D3143" i="9"/>
  <c r="E3148" i="9"/>
  <c r="D3148" i="9"/>
  <c r="E3153" i="9"/>
  <c r="D3153" i="9"/>
  <c r="E3167" i="9"/>
  <c r="D3167" i="9"/>
  <c r="E3172" i="9"/>
  <c r="D3172" i="9"/>
  <c r="E3177" i="9"/>
  <c r="D3177" i="9"/>
  <c r="L3191" i="9"/>
  <c r="M3191" i="9" s="1"/>
  <c r="E3191" i="9"/>
  <c r="D3191" i="9"/>
  <c r="C3191" i="9"/>
  <c r="E3196" i="9"/>
  <c r="D3196" i="9"/>
  <c r="L3196" i="9"/>
  <c r="M3196" i="9" s="1"/>
  <c r="C3196" i="9"/>
  <c r="L3201" i="9"/>
  <c r="M3201" i="9" s="1"/>
  <c r="C3201" i="9"/>
  <c r="E3201" i="9"/>
  <c r="D3201" i="9"/>
  <c r="L3215" i="9"/>
  <c r="M3215" i="9" s="1"/>
  <c r="E3215" i="9"/>
  <c r="D3215" i="9"/>
  <c r="C3215" i="9"/>
  <c r="E3220" i="9"/>
  <c r="D3220" i="9"/>
  <c r="L3220" i="9"/>
  <c r="M3220" i="9" s="1"/>
  <c r="C3220" i="9"/>
  <c r="L3225" i="9"/>
  <c r="M3225" i="9" s="1"/>
  <c r="C3225" i="9"/>
  <c r="E3225" i="9"/>
  <c r="D3225" i="9"/>
  <c r="L3239" i="9"/>
  <c r="M3239" i="9" s="1"/>
  <c r="E3239" i="9"/>
  <c r="D3239" i="9"/>
  <c r="C3239" i="9"/>
  <c r="E3244" i="9"/>
  <c r="D3244" i="9"/>
  <c r="L3244" i="9"/>
  <c r="M3244" i="9" s="1"/>
  <c r="C3244" i="9"/>
  <c r="L3249" i="9"/>
  <c r="M3249" i="9" s="1"/>
  <c r="D3249" i="9"/>
  <c r="E3249" i="9"/>
  <c r="C3249" i="9"/>
  <c r="L3263" i="9"/>
  <c r="M3263" i="9" s="1"/>
  <c r="E3263" i="9"/>
  <c r="D3263" i="9"/>
  <c r="C3263" i="9"/>
  <c r="E3268" i="9"/>
  <c r="D3268" i="9"/>
  <c r="C3268" i="9"/>
  <c r="L3268" i="9"/>
  <c r="M3268" i="9" s="1"/>
  <c r="L3273" i="9"/>
  <c r="M3273" i="9" s="1"/>
  <c r="D3273" i="9"/>
  <c r="E3273" i="9"/>
  <c r="C3273" i="9"/>
  <c r="L3287" i="9"/>
  <c r="M3287" i="9" s="1"/>
  <c r="E3287" i="9"/>
  <c r="D3287" i="9"/>
  <c r="C3287" i="9"/>
  <c r="E3292" i="9"/>
  <c r="D3292" i="9"/>
  <c r="C3292" i="9"/>
  <c r="L3292" i="9"/>
  <c r="M3292" i="9" s="1"/>
  <c r="L3297" i="9"/>
  <c r="M3297" i="9" s="1"/>
  <c r="D3297" i="9"/>
  <c r="E3297" i="9"/>
  <c r="C3297" i="9"/>
  <c r="L3311" i="9"/>
  <c r="M3311" i="9" s="1"/>
  <c r="E3311" i="9"/>
  <c r="C3311" i="9"/>
  <c r="D3311" i="9"/>
  <c r="E3316" i="9"/>
  <c r="D3316" i="9"/>
  <c r="L3321" i="9"/>
  <c r="M3321" i="9" s="1"/>
  <c r="D3321" i="9"/>
  <c r="E3321" i="9"/>
  <c r="C3321" i="9"/>
  <c r="E3335" i="9"/>
  <c r="D3335" i="9"/>
  <c r="E3340" i="9"/>
  <c r="D3340" i="9"/>
  <c r="C3340" i="9"/>
  <c r="L3340" i="9"/>
  <c r="M3340" i="9" s="1"/>
  <c r="D3345" i="9"/>
  <c r="E3345" i="9"/>
  <c r="E3359" i="9"/>
  <c r="D3359" i="9"/>
  <c r="E3364" i="9"/>
  <c r="D3364" i="9"/>
  <c r="E3369" i="9"/>
  <c r="D3369" i="9"/>
  <c r="E3383" i="9"/>
  <c r="D3383" i="9"/>
  <c r="E3388" i="9"/>
  <c r="D3388" i="9"/>
  <c r="E3393" i="9"/>
  <c r="D3393" i="9"/>
  <c r="C3393" i="9"/>
  <c r="L3393" i="9"/>
  <c r="M3393" i="9" s="1"/>
  <c r="E3407" i="9"/>
  <c r="D3407" i="9"/>
  <c r="C3407" i="9"/>
  <c r="L3407" i="9"/>
  <c r="M3407" i="9" s="1"/>
  <c r="L3412" i="9"/>
  <c r="M3412" i="9" s="1"/>
  <c r="E3412" i="9"/>
  <c r="D3412" i="9"/>
  <c r="C3412" i="9"/>
  <c r="E3417" i="9"/>
  <c r="D3417" i="9"/>
  <c r="C3417" i="9"/>
  <c r="L3417" i="9"/>
  <c r="M3417" i="9" s="1"/>
  <c r="E3431" i="9"/>
  <c r="D3431" i="9"/>
  <c r="C3431" i="9"/>
  <c r="L3431" i="9"/>
  <c r="M3431" i="9" s="1"/>
  <c r="L3436" i="9"/>
  <c r="M3436" i="9" s="1"/>
  <c r="E3436" i="9"/>
  <c r="D3436" i="9"/>
  <c r="C3436" i="9"/>
  <c r="E3441" i="9"/>
  <c r="D3441" i="9"/>
  <c r="C3441" i="9"/>
  <c r="L3441" i="9"/>
  <c r="M3441" i="9" s="1"/>
  <c r="E3455" i="9"/>
  <c r="D3455" i="9"/>
  <c r="C3455" i="9"/>
  <c r="L3455" i="9"/>
  <c r="M3455" i="9" s="1"/>
  <c r="L3460" i="9"/>
  <c r="M3460" i="9" s="1"/>
  <c r="E3460" i="9"/>
  <c r="D3460" i="9"/>
  <c r="C3460" i="9"/>
  <c r="E3465" i="9"/>
  <c r="D3465" i="9"/>
  <c r="C3465" i="9"/>
  <c r="L3465" i="9"/>
  <c r="M3465" i="9" s="1"/>
  <c r="E3479" i="9"/>
  <c r="D3479" i="9"/>
  <c r="C3479" i="9"/>
  <c r="L3479" i="9"/>
  <c r="M3479" i="9" s="1"/>
  <c r="L3484" i="9"/>
  <c r="M3484" i="9" s="1"/>
  <c r="E3484" i="9"/>
  <c r="D3484" i="9"/>
  <c r="C3484" i="9"/>
  <c r="E3489" i="9"/>
  <c r="D3489" i="9"/>
  <c r="C3489" i="9"/>
  <c r="L3489" i="9"/>
  <c r="M3489" i="9" s="1"/>
  <c r="E3503" i="9"/>
  <c r="D3503" i="9"/>
  <c r="C3503" i="9"/>
  <c r="L3503" i="9"/>
  <c r="M3503" i="9" s="1"/>
  <c r="L3508" i="9"/>
  <c r="M3508" i="9" s="1"/>
  <c r="E3508" i="9"/>
  <c r="D3508" i="9"/>
  <c r="C3508" i="9"/>
  <c r="E3513" i="9"/>
  <c r="D3513" i="9"/>
  <c r="E3527" i="9"/>
  <c r="D3527" i="9"/>
  <c r="E3532" i="9"/>
  <c r="D3532" i="9"/>
  <c r="E3537" i="9"/>
  <c r="D3537" i="9"/>
  <c r="E3551" i="9"/>
  <c r="D3551" i="9"/>
  <c r="C3551" i="9"/>
  <c r="L3551" i="9"/>
  <c r="M3551" i="9" s="1"/>
  <c r="E3556" i="9"/>
  <c r="D3556" i="9"/>
  <c r="E3561" i="9"/>
  <c r="D3561" i="9"/>
  <c r="C3561" i="9"/>
  <c r="L3561" i="9"/>
  <c r="M3561" i="9" s="1"/>
  <c r="E3575" i="9"/>
  <c r="D3575" i="9"/>
  <c r="C3575" i="9"/>
  <c r="L3575" i="9"/>
  <c r="M3575" i="9" s="1"/>
  <c r="L3580" i="9"/>
  <c r="M3580" i="9" s="1"/>
  <c r="E3580" i="9"/>
  <c r="D3580" i="9"/>
  <c r="C3580" i="9"/>
  <c r="E3585" i="9"/>
  <c r="D3585" i="9"/>
  <c r="C3585" i="9"/>
  <c r="L3585" i="9"/>
  <c r="M3585" i="9" s="1"/>
  <c r="E3599" i="9"/>
  <c r="D3599" i="9"/>
  <c r="C3599" i="9"/>
  <c r="L3599" i="9"/>
  <c r="M3599" i="9" s="1"/>
  <c r="L3604" i="9"/>
  <c r="M3604" i="9" s="1"/>
  <c r="E3604" i="9"/>
  <c r="D3604" i="9"/>
  <c r="C3604" i="9"/>
  <c r="E3609" i="9"/>
  <c r="D3609" i="9"/>
  <c r="C3609" i="9"/>
  <c r="L3609" i="9"/>
  <c r="M3609" i="9" s="1"/>
  <c r="E3623" i="9"/>
  <c r="D3623" i="9"/>
  <c r="C3623" i="9"/>
  <c r="L3623" i="9"/>
  <c r="M3623" i="9" s="1"/>
  <c r="D3628" i="9"/>
  <c r="L3628" i="9"/>
  <c r="M3628" i="9" s="1"/>
  <c r="E3628" i="9"/>
  <c r="C3628" i="9"/>
  <c r="L3633" i="9"/>
  <c r="M3633" i="9" s="1"/>
  <c r="E3633" i="9"/>
  <c r="D3633" i="9"/>
  <c r="C3633" i="9"/>
  <c r="L3647" i="9"/>
  <c r="M3647" i="9" s="1"/>
  <c r="E3647" i="9"/>
  <c r="D3647" i="9"/>
  <c r="C3647" i="9"/>
  <c r="E3652" i="9"/>
  <c r="D3652" i="9"/>
  <c r="L3652" i="9"/>
  <c r="M3652" i="9" s="1"/>
  <c r="C3652" i="9"/>
  <c r="L3657" i="9"/>
  <c r="M3657" i="9" s="1"/>
  <c r="E3657" i="9"/>
  <c r="D3657" i="9"/>
  <c r="C3657" i="9"/>
  <c r="L3671" i="9"/>
  <c r="M3671" i="9" s="1"/>
  <c r="E3671" i="9"/>
  <c r="D3671" i="9"/>
  <c r="C3671" i="9"/>
  <c r="E3676" i="9"/>
  <c r="D3676" i="9"/>
  <c r="C3676" i="9"/>
  <c r="L3676" i="9"/>
  <c r="M3676" i="9" s="1"/>
  <c r="L3681" i="9"/>
  <c r="M3681" i="9" s="1"/>
  <c r="D3681" i="9"/>
  <c r="E3681" i="9"/>
  <c r="C3681" i="9"/>
  <c r="L3695" i="9"/>
  <c r="M3695" i="9" s="1"/>
  <c r="E3695" i="9"/>
  <c r="D3695" i="9"/>
  <c r="C3695" i="9"/>
  <c r="E3700" i="9"/>
  <c r="D3700" i="9"/>
  <c r="C3700" i="9"/>
  <c r="L3700" i="9"/>
  <c r="M3700" i="9" s="1"/>
  <c r="L3705" i="9"/>
  <c r="M3705" i="9" s="1"/>
  <c r="D3705" i="9"/>
  <c r="E3705" i="9"/>
  <c r="C3705" i="9"/>
  <c r="L3719" i="9"/>
  <c r="M3719" i="9" s="1"/>
  <c r="E3719" i="9"/>
  <c r="D3719" i="9"/>
  <c r="C3719" i="9"/>
  <c r="E3724" i="9"/>
  <c r="D3724" i="9"/>
  <c r="L3729" i="9"/>
  <c r="M3729" i="9" s="1"/>
  <c r="D3729" i="9"/>
  <c r="C3729" i="9"/>
  <c r="E3729" i="9"/>
  <c r="E3743" i="9"/>
  <c r="D3743" i="9"/>
  <c r="E3780" i="9"/>
  <c r="D3780" i="9"/>
  <c r="C3780" i="9"/>
  <c r="L3780" i="9"/>
  <c r="M3780" i="9" s="1"/>
  <c r="C3800" i="9"/>
  <c r="L3800" i="9"/>
  <c r="M3800" i="9" s="1"/>
  <c r="E3800" i="9"/>
  <c r="D3800" i="9"/>
  <c r="E3805" i="9"/>
  <c r="D3805" i="9"/>
  <c r="C3805" i="9"/>
  <c r="L3805" i="9"/>
  <c r="M3805" i="9" s="1"/>
  <c r="E3820" i="9"/>
  <c r="D3820" i="9"/>
  <c r="C3820" i="9"/>
  <c r="L3820" i="9"/>
  <c r="M3820" i="9" s="1"/>
  <c r="L3825" i="9"/>
  <c r="M3825" i="9" s="1"/>
  <c r="D3825" i="9"/>
  <c r="C3825" i="9"/>
  <c r="E3825" i="9"/>
  <c r="E3830" i="9"/>
  <c r="D3830" i="9"/>
  <c r="C3830" i="9"/>
  <c r="L3830" i="9"/>
  <c r="M3830" i="9" s="1"/>
  <c r="D3835" i="9"/>
  <c r="C3835" i="9"/>
  <c r="L3835" i="9"/>
  <c r="M3835" i="9" s="1"/>
  <c r="E3835" i="9"/>
  <c r="E3855" i="9"/>
  <c r="D3855" i="9"/>
  <c r="C3855" i="9"/>
  <c r="L3855" i="9"/>
  <c r="M3855" i="9" s="1"/>
  <c r="C3860" i="9"/>
  <c r="L3860" i="9"/>
  <c r="M3860" i="9" s="1"/>
  <c r="E3860" i="9"/>
  <c r="D3860" i="9"/>
  <c r="E3865" i="9"/>
  <c r="D3865" i="9"/>
  <c r="C3865" i="9"/>
  <c r="L3865" i="9"/>
  <c r="M3865" i="9" s="1"/>
  <c r="C3916" i="9"/>
  <c r="L3916" i="9"/>
  <c r="M3916" i="9" s="1"/>
  <c r="E3916" i="9"/>
  <c r="D3916" i="9"/>
  <c r="E3932" i="9"/>
  <c r="D3932" i="9"/>
  <c r="C3932" i="9"/>
  <c r="L3932" i="9"/>
  <c r="M3932" i="9" s="1"/>
  <c r="E3937" i="9"/>
  <c r="D3937" i="9"/>
  <c r="C3937" i="9"/>
  <c r="L3937" i="9"/>
  <c r="M3937" i="9" s="1"/>
  <c r="L3953" i="9"/>
  <c r="M3953" i="9" s="1"/>
  <c r="E3953" i="9"/>
  <c r="D3953" i="9"/>
  <c r="C3953" i="9"/>
  <c r="E3958" i="9"/>
  <c r="D3958" i="9"/>
  <c r="C3958" i="9"/>
  <c r="L3958" i="9"/>
  <c r="M3958" i="9" s="1"/>
  <c r="E3974" i="9"/>
  <c r="D3974" i="9"/>
  <c r="C3974" i="9"/>
  <c r="L3974" i="9"/>
  <c r="M3974" i="9" s="1"/>
  <c r="L3979" i="9"/>
  <c r="M3979" i="9" s="1"/>
  <c r="E3979" i="9"/>
  <c r="D3979" i="9"/>
  <c r="C3979" i="9"/>
  <c r="E4021" i="9"/>
  <c r="D4021" i="9"/>
  <c r="C4021" i="9"/>
  <c r="L4021" i="9"/>
  <c r="M4021" i="9" s="1"/>
  <c r="E4058" i="9"/>
  <c r="D4058" i="9"/>
  <c r="C4058" i="9"/>
  <c r="L4058" i="9"/>
  <c r="M4058" i="9" s="1"/>
  <c r="L4145" i="9"/>
  <c r="M4145" i="9" s="1"/>
  <c r="E4145" i="9"/>
  <c r="D4145" i="9"/>
  <c r="C4145" i="9"/>
  <c r="E4184" i="9"/>
  <c r="D4184" i="9"/>
  <c r="C4184" i="9"/>
  <c r="L4184" i="9"/>
  <c r="M4184" i="9" s="1"/>
  <c r="E4225" i="9"/>
  <c r="C4225" i="9"/>
  <c r="L4225" i="9"/>
  <c r="M4225" i="9" s="1"/>
  <c r="D4225" i="9"/>
  <c r="C4242" i="9"/>
  <c r="L4242" i="9"/>
  <c r="M4242" i="9" s="1"/>
  <c r="E4242" i="9"/>
  <c r="D4242" i="9"/>
  <c r="D4289" i="9"/>
  <c r="C4289" i="9"/>
  <c r="L4289" i="9"/>
  <c r="M4289" i="9" s="1"/>
  <c r="E4289" i="9"/>
  <c r="E4306" i="9"/>
  <c r="D4306" i="9"/>
  <c r="C4306" i="9"/>
  <c r="L4306" i="9"/>
  <c r="M4306" i="9" s="1"/>
  <c r="L4353" i="9"/>
  <c r="M4353" i="9" s="1"/>
  <c r="E4353" i="9"/>
  <c r="D4353" i="9"/>
  <c r="C4353" i="9"/>
  <c r="E4370" i="9"/>
  <c r="D4370" i="9"/>
  <c r="C4370" i="9"/>
  <c r="L4370" i="9"/>
  <c r="M4370" i="9" s="1"/>
  <c r="E4417" i="9"/>
  <c r="D4417" i="9"/>
  <c r="C4417" i="9"/>
  <c r="L4417" i="9"/>
  <c r="M4417" i="9" s="1"/>
  <c r="D4434" i="9"/>
  <c r="C4434" i="9"/>
  <c r="E4434" i="9"/>
  <c r="L4434" i="9"/>
  <c r="M4434" i="9" s="1"/>
  <c r="E4481" i="9"/>
  <c r="D4481" i="9"/>
  <c r="C4481" i="9"/>
  <c r="L4481" i="9"/>
  <c r="M4481" i="9" s="1"/>
  <c r="L4498" i="9"/>
  <c r="M4498" i="9" s="1"/>
  <c r="D4498" i="9"/>
  <c r="C4498" i="9"/>
  <c r="E4498" i="9"/>
  <c r="E4545" i="9"/>
  <c r="D4545" i="9"/>
  <c r="E4562" i="9"/>
  <c r="D4562" i="9"/>
  <c r="C4609" i="9"/>
  <c r="L4609" i="9"/>
  <c r="M4609" i="9" s="1"/>
  <c r="E4609" i="9"/>
  <c r="D4609" i="9"/>
  <c r="E4626" i="9"/>
  <c r="D4626" i="9"/>
  <c r="C4626" i="9"/>
  <c r="L4626" i="9"/>
  <c r="M4626" i="9" s="1"/>
  <c r="E4673" i="9"/>
  <c r="D4673" i="9"/>
  <c r="C4673" i="9"/>
  <c r="L4673" i="9"/>
  <c r="M4673" i="9" s="1"/>
  <c r="L4690" i="9"/>
  <c r="M4690" i="9" s="1"/>
  <c r="D4690" i="9"/>
  <c r="C4690" i="9"/>
  <c r="E4690" i="9"/>
  <c r="E4737" i="9"/>
  <c r="D4737" i="9"/>
  <c r="E4785" i="9"/>
  <c r="D4785" i="9"/>
  <c r="D4833" i="9"/>
  <c r="C4833" i="9"/>
  <c r="E4833" i="9"/>
  <c r="L4833" i="9"/>
  <c r="M4833" i="9" s="1"/>
  <c r="D4881" i="9"/>
  <c r="C4881" i="9"/>
  <c r="L4881" i="9"/>
  <c r="M4881" i="9" s="1"/>
  <c r="E4881" i="9"/>
  <c r="D4929" i="9"/>
  <c r="C4929" i="9"/>
  <c r="L4929" i="9"/>
  <c r="M4929" i="9" s="1"/>
  <c r="E4929" i="9"/>
  <c r="D4977" i="9"/>
  <c r="E4977" i="9"/>
  <c r="D5025" i="9"/>
  <c r="C5025" i="9"/>
  <c r="L5025" i="9"/>
  <c r="M5025" i="9" s="1"/>
  <c r="E5025" i="9"/>
  <c r="D5073" i="9"/>
  <c r="C5073" i="9"/>
  <c r="L5073" i="9"/>
  <c r="M5073" i="9" s="1"/>
  <c r="E5073" i="9"/>
  <c r="E5121" i="9"/>
  <c r="D5121" i="9"/>
  <c r="C5121" i="9"/>
  <c r="L5121" i="9"/>
  <c r="M5121" i="9" s="1"/>
  <c r="E5169" i="9"/>
  <c r="D5169" i="9"/>
  <c r="L3875" i="9"/>
  <c r="M3875" i="9" s="1"/>
  <c r="E3875" i="9"/>
  <c r="D3875" i="9"/>
  <c r="C3875" i="9"/>
  <c r="E3894" i="9"/>
  <c r="D3894" i="9"/>
  <c r="C3894" i="9"/>
  <c r="L3894" i="9"/>
  <c r="M3894" i="9" s="1"/>
  <c r="L3899" i="9"/>
  <c r="M3899" i="9" s="1"/>
  <c r="E3899" i="9"/>
  <c r="D3899" i="9"/>
  <c r="C3899" i="9"/>
  <c r="L3918" i="9"/>
  <c r="M3918" i="9" s="1"/>
  <c r="E3918" i="9"/>
  <c r="D3918" i="9"/>
  <c r="C3918" i="9"/>
  <c r="E3923" i="9"/>
  <c r="D3923" i="9"/>
  <c r="L3923" i="9"/>
  <c r="M3923" i="9" s="1"/>
  <c r="C3923" i="9"/>
  <c r="L3942" i="9"/>
  <c r="M3942" i="9" s="1"/>
  <c r="E3942" i="9"/>
  <c r="D3942" i="9"/>
  <c r="C3942" i="9"/>
  <c r="E3947" i="9"/>
  <c r="D3947" i="9"/>
  <c r="C3947" i="9"/>
  <c r="L3947" i="9"/>
  <c r="M3947" i="9" s="1"/>
  <c r="L3966" i="9"/>
  <c r="M3966" i="9" s="1"/>
  <c r="E3966" i="9"/>
  <c r="D3966" i="9"/>
  <c r="C3966" i="9"/>
  <c r="E3971" i="9"/>
  <c r="D3971" i="9"/>
  <c r="C3971" i="9"/>
  <c r="L3971" i="9"/>
  <c r="M3971" i="9" s="1"/>
  <c r="L3990" i="9"/>
  <c r="M3990" i="9" s="1"/>
  <c r="E3990" i="9"/>
  <c r="D3990" i="9"/>
  <c r="C3990" i="9"/>
  <c r="E3995" i="9"/>
  <c r="D3995" i="9"/>
  <c r="C3995" i="9"/>
  <c r="L3995" i="9"/>
  <c r="M3995" i="9" s="1"/>
  <c r="L4014" i="9"/>
  <c r="M4014" i="9" s="1"/>
  <c r="E4014" i="9"/>
  <c r="D4014" i="9"/>
  <c r="C4014" i="9"/>
  <c r="E4019" i="9"/>
  <c r="D4019" i="9"/>
  <c r="C4019" i="9"/>
  <c r="L4019" i="9"/>
  <c r="M4019" i="9" s="1"/>
  <c r="L4038" i="9"/>
  <c r="M4038" i="9" s="1"/>
  <c r="E4038" i="9"/>
  <c r="D4038" i="9"/>
  <c r="C4038" i="9"/>
  <c r="E4043" i="9"/>
  <c r="D4043" i="9"/>
  <c r="C4043" i="9"/>
  <c r="L4043" i="9"/>
  <c r="M4043" i="9" s="1"/>
  <c r="L4062" i="9"/>
  <c r="M4062" i="9" s="1"/>
  <c r="E4062" i="9"/>
  <c r="D4062" i="9"/>
  <c r="C4062" i="9"/>
  <c r="E4067" i="9"/>
  <c r="D4067" i="9"/>
  <c r="C4067" i="9"/>
  <c r="L4067" i="9"/>
  <c r="M4067" i="9" s="1"/>
  <c r="L4086" i="9"/>
  <c r="M4086" i="9" s="1"/>
  <c r="E4086" i="9"/>
  <c r="D4086" i="9"/>
  <c r="C4086" i="9"/>
  <c r="E4091" i="9"/>
  <c r="D4091" i="9"/>
  <c r="C4091" i="9"/>
  <c r="L4091" i="9"/>
  <c r="M4091" i="9" s="1"/>
  <c r="L4110" i="9"/>
  <c r="M4110" i="9" s="1"/>
  <c r="E4110" i="9"/>
  <c r="D4110" i="9"/>
  <c r="C4110" i="9"/>
  <c r="E4115" i="9"/>
  <c r="D4115" i="9"/>
  <c r="C4115" i="9"/>
  <c r="L4115" i="9"/>
  <c r="M4115" i="9" s="1"/>
  <c r="L4134" i="9"/>
  <c r="M4134" i="9" s="1"/>
  <c r="E4134" i="9"/>
  <c r="D4134" i="9"/>
  <c r="C4134" i="9"/>
  <c r="E4139" i="9"/>
  <c r="D4139" i="9"/>
  <c r="C4139" i="9"/>
  <c r="L4139" i="9"/>
  <c r="M4139" i="9" s="1"/>
  <c r="L4158" i="9"/>
  <c r="M4158" i="9" s="1"/>
  <c r="E4158" i="9"/>
  <c r="D4158" i="9"/>
  <c r="C4158" i="9"/>
  <c r="E4163" i="9"/>
  <c r="D4163" i="9"/>
  <c r="C4163" i="9"/>
  <c r="L4163" i="9"/>
  <c r="M4163" i="9" s="1"/>
  <c r="L4182" i="9"/>
  <c r="M4182" i="9" s="1"/>
  <c r="E4182" i="9"/>
  <c r="D4182" i="9"/>
  <c r="C4182" i="9"/>
  <c r="E4187" i="9"/>
  <c r="D4187" i="9"/>
  <c r="C4187" i="9"/>
  <c r="L4187" i="9"/>
  <c r="M4187" i="9" s="1"/>
  <c r="E4192" i="9"/>
  <c r="D4192" i="9"/>
  <c r="C4192" i="9"/>
  <c r="L4192" i="9"/>
  <c r="M4192" i="9" s="1"/>
  <c r="L4208" i="9"/>
  <c r="M4208" i="9" s="1"/>
  <c r="E4208" i="9"/>
  <c r="D4208" i="9"/>
  <c r="C4208" i="9"/>
  <c r="D4224" i="9"/>
  <c r="C4224" i="9"/>
  <c r="L4224" i="9"/>
  <c r="M4224" i="9" s="1"/>
  <c r="E4224" i="9"/>
  <c r="E4240" i="9"/>
  <c r="D4240" i="9"/>
  <c r="C4240" i="9"/>
  <c r="L4240" i="9"/>
  <c r="M4240" i="9" s="1"/>
  <c r="L4256" i="9"/>
  <c r="M4256" i="9" s="1"/>
  <c r="E4256" i="9"/>
  <c r="C4256" i="9"/>
  <c r="D4256" i="9"/>
  <c r="E4272" i="9"/>
  <c r="D4272" i="9"/>
  <c r="C4272" i="9"/>
  <c r="L4272" i="9"/>
  <c r="M4272" i="9" s="1"/>
  <c r="E4288" i="9"/>
  <c r="D4288" i="9"/>
  <c r="C4288" i="9"/>
  <c r="L4288" i="9"/>
  <c r="M4288" i="9" s="1"/>
  <c r="L4304" i="9"/>
  <c r="M4304" i="9" s="1"/>
  <c r="E4304" i="9"/>
  <c r="C4304" i="9"/>
  <c r="D4304" i="9"/>
  <c r="E4320" i="9"/>
  <c r="D4320" i="9"/>
  <c r="C4320" i="9"/>
  <c r="L4320" i="9"/>
  <c r="M4320" i="9" s="1"/>
  <c r="E4336" i="9"/>
  <c r="D4336" i="9"/>
  <c r="C4336" i="9"/>
  <c r="L4336" i="9"/>
  <c r="M4336" i="9" s="1"/>
  <c r="L4352" i="9"/>
  <c r="M4352" i="9" s="1"/>
  <c r="E4352" i="9"/>
  <c r="C4352" i="9"/>
  <c r="D4352" i="9"/>
  <c r="E4368" i="9"/>
  <c r="D4368" i="9"/>
  <c r="C4368" i="9"/>
  <c r="L4368" i="9"/>
  <c r="M4368" i="9" s="1"/>
  <c r="E4384" i="9"/>
  <c r="D4384" i="9"/>
  <c r="C4384" i="9"/>
  <c r="L4384" i="9"/>
  <c r="M4384" i="9" s="1"/>
  <c r="L4400" i="9"/>
  <c r="M4400" i="9" s="1"/>
  <c r="E4400" i="9"/>
  <c r="C4400" i="9"/>
  <c r="D4400" i="9"/>
  <c r="E4416" i="9"/>
  <c r="D4416" i="9"/>
  <c r="C4416" i="9"/>
  <c r="L4416" i="9"/>
  <c r="M4416" i="9" s="1"/>
  <c r="E4432" i="9"/>
  <c r="D4432" i="9"/>
  <c r="C4432" i="9"/>
  <c r="L4432" i="9"/>
  <c r="M4432" i="9" s="1"/>
  <c r="D4448" i="9"/>
  <c r="C4448" i="9"/>
  <c r="L4448" i="9"/>
  <c r="M4448" i="9" s="1"/>
  <c r="E4448" i="9"/>
  <c r="L4464" i="9"/>
  <c r="M4464" i="9" s="1"/>
  <c r="D4464" i="9"/>
  <c r="E4464" i="9"/>
  <c r="C4464" i="9"/>
  <c r="E4480" i="9"/>
  <c r="D4480" i="9"/>
  <c r="C4480" i="9"/>
  <c r="L4480" i="9"/>
  <c r="M4480" i="9" s="1"/>
  <c r="D4496" i="9"/>
  <c r="C4496" i="9"/>
  <c r="L4496" i="9"/>
  <c r="M4496" i="9" s="1"/>
  <c r="E4496" i="9"/>
  <c r="D4512" i="9"/>
  <c r="E4512" i="9"/>
  <c r="E4528" i="9"/>
  <c r="D4528" i="9"/>
  <c r="D4544" i="9"/>
  <c r="E4544" i="9"/>
  <c r="L4560" i="9"/>
  <c r="M4560" i="9" s="1"/>
  <c r="D4560" i="9"/>
  <c r="E4560" i="9"/>
  <c r="C4560" i="9"/>
  <c r="E4576" i="9"/>
  <c r="D4576" i="9"/>
  <c r="D4592" i="9"/>
  <c r="E4592" i="9"/>
  <c r="L4608" i="9"/>
  <c r="M4608" i="9" s="1"/>
  <c r="D4608" i="9"/>
  <c r="E4608" i="9"/>
  <c r="C4608" i="9"/>
  <c r="E4624" i="9"/>
  <c r="D4624" i="9"/>
  <c r="C4624" i="9"/>
  <c r="L4624" i="9"/>
  <c r="M4624" i="9" s="1"/>
  <c r="D4640" i="9"/>
  <c r="C4640" i="9"/>
  <c r="L4640" i="9"/>
  <c r="M4640" i="9" s="1"/>
  <c r="E4640" i="9"/>
  <c r="L4656" i="9"/>
  <c r="M4656" i="9" s="1"/>
  <c r="D4656" i="9"/>
  <c r="E4656" i="9"/>
  <c r="C4656" i="9"/>
  <c r="E4672" i="9"/>
  <c r="D4672" i="9"/>
  <c r="C4672" i="9"/>
  <c r="L4672" i="9"/>
  <c r="M4672" i="9" s="1"/>
  <c r="D4688" i="9"/>
  <c r="C4688" i="9"/>
  <c r="L4688" i="9"/>
  <c r="M4688" i="9" s="1"/>
  <c r="E4688" i="9"/>
  <c r="L4704" i="9"/>
  <c r="M4704" i="9" s="1"/>
  <c r="D4704" i="9"/>
  <c r="E4704" i="9"/>
  <c r="C4704" i="9"/>
  <c r="E4720" i="9"/>
  <c r="C4720" i="9"/>
  <c r="L4720" i="9"/>
  <c r="M4720" i="9" s="1"/>
  <c r="D4720" i="9"/>
  <c r="D4736" i="9"/>
  <c r="E4736" i="9"/>
  <c r="E4752" i="9"/>
  <c r="D4752" i="9"/>
  <c r="E4768" i="9"/>
  <c r="D4768" i="9"/>
  <c r="E4784" i="9"/>
  <c r="D4784" i="9"/>
  <c r="E4800" i="9"/>
  <c r="D4800" i="9"/>
  <c r="C4800" i="9"/>
  <c r="L4800" i="9"/>
  <c r="M4800" i="9" s="1"/>
  <c r="E4816" i="9"/>
  <c r="D4816" i="9"/>
  <c r="C4816" i="9"/>
  <c r="L4816" i="9"/>
  <c r="M4816" i="9" s="1"/>
  <c r="E4832" i="9"/>
  <c r="D4832" i="9"/>
  <c r="C4832" i="9"/>
  <c r="L4832" i="9"/>
  <c r="M4832" i="9" s="1"/>
  <c r="L4848" i="9"/>
  <c r="M4848" i="9" s="1"/>
  <c r="E4848" i="9"/>
  <c r="D4848" i="9"/>
  <c r="C4848" i="9"/>
  <c r="E4864" i="9"/>
  <c r="D4864" i="9"/>
  <c r="L4864" i="9"/>
  <c r="M4864" i="9" s="1"/>
  <c r="C4864" i="9"/>
  <c r="E4880" i="9"/>
  <c r="D4880" i="9"/>
  <c r="C4880" i="9"/>
  <c r="L4880" i="9"/>
  <c r="M4880" i="9" s="1"/>
  <c r="L4896" i="9"/>
  <c r="M4896" i="9" s="1"/>
  <c r="E4896" i="9"/>
  <c r="D4896" i="9"/>
  <c r="C4896" i="9"/>
  <c r="E4912" i="9"/>
  <c r="D4912" i="9"/>
  <c r="L4912" i="9"/>
  <c r="M4912" i="9" s="1"/>
  <c r="C4912" i="9"/>
  <c r="E4928" i="9"/>
  <c r="D4928" i="9"/>
  <c r="C4928" i="9"/>
  <c r="L4928" i="9"/>
  <c r="M4928" i="9" s="1"/>
  <c r="E4944" i="9"/>
  <c r="D4944" i="9"/>
  <c r="E4960" i="9"/>
  <c r="D4960" i="9"/>
  <c r="L4960" i="9"/>
  <c r="M4960" i="9" s="1"/>
  <c r="C4960" i="9"/>
  <c r="E4976" i="9"/>
  <c r="D4976" i="9"/>
  <c r="E4992" i="9"/>
  <c r="D4992" i="9"/>
  <c r="E5008" i="9"/>
  <c r="D5008" i="9"/>
  <c r="E5024" i="9"/>
  <c r="D5024" i="9"/>
  <c r="C5024" i="9"/>
  <c r="L5024" i="9"/>
  <c r="M5024" i="9" s="1"/>
  <c r="L5040" i="9"/>
  <c r="M5040" i="9" s="1"/>
  <c r="E5040" i="9"/>
  <c r="D5040" i="9"/>
  <c r="C5040" i="9"/>
  <c r="E5056" i="9"/>
  <c r="D5056" i="9"/>
  <c r="L5056" i="9"/>
  <c r="M5056" i="9" s="1"/>
  <c r="C5056" i="9"/>
  <c r="E5072" i="9"/>
  <c r="D5072" i="9"/>
  <c r="C5072" i="9"/>
  <c r="L5072" i="9"/>
  <c r="M5072" i="9" s="1"/>
  <c r="L5088" i="9"/>
  <c r="M5088" i="9" s="1"/>
  <c r="E5088" i="9"/>
  <c r="D5088" i="9"/>
  <c r="C5088" i="9"/>
  <c r="E5104" i="9"/>
  <c r="D5104" i="9"/>
  <c r="L5104" i="9"/>
  <c r="M5104" i="9" s="1"/>
  <c r="C5104" i="9"/>
  <c r="E5120" i="9"/>
  <c r="D5120" i="9"/>
  <c r="C5120" i="9"/>
  <c r="L5120" i="9"/>
  <c r="M5120" i="9" s="1"/>
  <c r="C5136" i="9"/>
  <c r="L5136" i="9"/>
  <c r="M5136" i="9" s="1"/>
  <c r="E5136" i="9"/>
  <c r="D5136" i="9"/>
  <c r="E5152" i="9"/>
  <c r="D5152" i="9"/>
  <c r="E5168" i="9"/>
  <c r="D5168" i="9"/>
  <c r="E5184" i="9"/>
  <c r="D5184" i="9"/>
  <c r="E5200" i="9"/>
  <c r="C5200" i="9"/>
  <c r="L5200" i="9"/>
  <c r="M5200" i="9" s="1"/>
  <c r="D5200" i="9"/>
  <c r="E5216" i="9"/>
  <c r="D5216" i="9"/>
  <c r="C5232" i="9"/>
  <c r="L5232" i="9"/>
  <c r="M5232" i="9" s="1"/>
  <c r="E5232" i="9"/>
  <c r="D5232" i="9"/>
  <c r="L5248" i="9"/>
  <c r="M5248" i="9" s="1"/>
  <c r="E5248" i="9"/>
  <c r="D5248" i="9"/>
  <c r="C5248" i="9"/>
  <c r="E5264" i="9"/>
  <c r="D5264" i="9"/>
  <c r="C5264" i="9"/>
  <c r="L5264" i="9"/>
  <c r="M5264" i="9" s="1"/>
  <c r="C5280" i="9"/>
  <c r="L5280" i="9"/>
  <c r="M5280" i="9" s="1"/>
  <c r="E5280" i="9"/>
  <c r="D5280" i="9"/>
  <c r="C5296" i="9"/>
  <c r="L5296" i="9"/>
  <c r="M5296" i="9" s="1"/>
  <c r="E5296" i="9"/>
  <c r="D5296" i="9"/>
  <c r="E5312" i="9"/>
  <c r="D5312" i="9"/>
  <c r="C5312" i="9"/>
  <c r="L5312" i="9"/>
  <c r="M5312" i="9" s="1"/>
  <c r="E5328" i="9"/>
  <c r="D5328" i="9"/>
  <c r="L5328" i="9"/>
  <c r="M5328" i="9" s="1"/>
  <c r="C5328" i="9"/>
  <c r="E5344" i="9"/>
  <c r="C5344" i="9"/>
  <c r="L5344" i="9"/>
  <c r="M5344" i="9" s="1"/>
  <c r="D5344" i="9"/>
  <c r="E5360" i="9"/>
  <c r="D5360" i="9"/>
  <c r="L5360" i="9"/>
  <c r="M5360" i="9" s="1"/>
  <c r="C5360" i="9"/>
  <c r="E5376" i="9"/>
  <c r="D5376" i="9"/>
  <c r="E5392" i="9"/>
  <c r="D5392" i="9"/>
  <c r="E5408" i="9"/>
  <c r="D5408" i="9"/>
  <c r="E5424" i="9"/>
  <c r="D5424" i="9"/>
  <c r="L5440" i="9"/>
  <c r="M5440" i="9" s="1"/>
  <c r="D5440" i="9"/>
  <c r="C5440" i="9"/>
  <c r="E5440" i="9"/>
  <c r="D5456" i="9"/>
  <c r="C5456" i="9"/>
  <c r="L5456" i="9"/>
  <c r="M5456" i="9" s="1"/>
  <c r="E5456" i="9"/>
  <c r="C5472" i="9"/>
  <c r="L5472" i="9"/>
  <c r="M5472" i="9" s="1"/>
  <c r="E5472" i="9"/>
  <c r="D5472" i="9"/>
  <c r="C5488" i="9"/>
  <c r="E5488" i="9"/>
  <c r="D5488" i="9"/>
  <c r="L5488" i="9"/>
  <c r="M5488" i="9" s="1"/>
  <c r="E5504" i="9"/>
  <c r="D5504" i="9"/>
  <c r="L5504" i="9"/>
  <c r="M5504" i="9" s="1"/>
  <c r="C5504" i="9"/>
  <c r="C5520" i="9"/>
  <c r="L5520" i="9"/>
  <c r="M5520" i="9" s="1"/>
  <c r="E5520" i="9"/>
  <c r="D5520" i="9"/>
  <c r="C5536" i="9"/>
  <c r="E5536" i="9"/>
  <c r="L5536" i="9"/>
  <c r="M5536" i="9" s="1"/>
  <c r="D5536" i="9"/>
  <c r="L5552" i="9"/>
  <c r="M5552" i="9" s="1"/>
  <c r="D5552" i="9"/>
  <c r="C5552" i="9"/>
  <c r="E5552" i="9"/>
  <c r="E5568" i="9"/>
  <c r="D5568" i="9"/>
  <c r="C5568" i="9"/>
  <c r="L5568" i="9"/>
  <c r="M5568" i="9" s="1"/>
  <c r="E5584" i="9"/>
  <c r="D5584" i="9"/>
  <c r="L5600" i="9"/>
  <c r="M5600" i="9" s="1"/>
  <c r="E5600" i="9"/>
  <c r="D5600" i="9"/>
  <c r="C5600" i="9"/>
  <c r="E5616" i="9"/>
  <c r="D5616" i="9"/>
  <c r="E5632" i="9"/>
  <c r="D5632" i="9"/>
  <c r="C5632" i="9"/>
  <c r="L5632" i="9"/>
  <c r="M5632" i="9" s="1"/>
  <c r="L5648" i="9"/>
  <c r="M5648" i="9" s="1"/>
  <c r="C5648" i="9"/>
  <c r="E5648" i="9"/>
  <c r="D5648" i="9"/>
  <c r="E5664" i="9"/>
  <c r="D5664" i="9"/>
  <c r="C5664" i="9"/>
  <c r="L5664" i="9"/>
  <c r="M5664" i="9" s="1"/>
  <c r="C5680" i="9"/>
  <c r="L5680" i="9"/>
  <c r="M5680" i="9" s="1"/>
  <c r="E5680" i="9"/>
  <c r="D5680" i="9"/>
  <c r="E5696" i="9"/>
  <c r="L5696" i="9"/>
  <c r="M5696" i="9" s="1"/>
  <c r="D5696" i="9"/>
  <c r="C5696" i="9"/>
  <c r="E5702" i="9"/>
  <c r="D5702" i="9"/>
  <c r="C5702" i="9"/>
  <c r="L5702" i="9"/>
  <c r="M5702" i="9" s="1"/>
  <c r="E5708" i="9"/>
  <c r="D5708" i="9"/>
  <c r="C5708" i="9"/>
  <c r="L5708" i="9"/>
  <c r="M5708" i="9" s="1"/>
  <c r="E5714" i="9"/>
  <c r="D5714" i="9"/>
  <c r="C5714" i="9"/>
  <c r="L5714" i="9"/>
  <c r="M5714" i="9" s="1"/>
  <c r="E5720" i="9"/>
  <c r="L5720" i="9"/>
  <c r="M5720" i="9" s="1"/>
  <c r="D5720" i="9"/>
  <c r="C5720" i="9"/>
  <c r="E5726" i="9"/>
  <c r="D5726" i="9"/>
  <c r="C5726" i="9"/>
  <c r="L5726" i="9"/>
  <c r="M5726" i="9" s="1"/>
  <c r="E5732" i="9"/>
  <c r="L5732" i="9"/>
  <c r="M5732" i="9" s="1"/>
  <c r="D5732" i="9"/>
  <c r="C5732" i="9"/>
  <c r="E5738" i="9"/>
  <c r="D5738" i="9"/>
  <c r="C5738" i="9"/>
  <c r="L5738" i="9"/>
  <c r="M5738" i="9" s="1"/>
  <c r="E5744" i="9"/>
  <c r="D5744" i="9"/>
  <c r="C5744" i="9"/>
  <c r="L5744" i="9"/>
  <c r="M5744" i="9" s="1"/>
  <c r="E5750" i="9"/>
  <c r="D5750" i="9"/>
  <c r="C5750" i="9"/>
  <c r="L5750" i="9"/>
  <c r="M5750" i="9" s="1"/>
  <c r="E5756" i="9"/>
  <c r="L5756" i="9"/>
  <c r="M5756" i="9" s="1"/>
  <c r="D5756" i="9"/>
  <c r="C5756" i="9"/>
  <c r="E5762" i="9"/>
  <c r="D5762" i="9"/>
  <c r="C5762" i="9"/>
  <c r="L5762" i="9"/>
  <c r="M5762" i="9" s="1"/>
  <c r="D5768" i="9"/>
  <c r="C5768" i="9"/>
  <c r="L5768" i="9"/>
  <c r="M5768" i="9" s="1"/>
  <c r="E5768" i="9"/>
  <c r="E5774" i="9"/>
  <c r="D5774" i="9"/>
  <c r="D5780" i="9"/>
  <c r="C5780" i="9"/>
  <c r="L5780" i="9"/>
  <c r="M5780" i="9" s="1"/>
  <c r="E5780" i="9"/>
  <c r="E5786" i="9"/>
  <c r="D5786" i="9"/>
  <c r="D5792" i="9"/>
  <c r="E5792" i="9"/>
  <c r="E5798" i="9"/>
  <c r="D5798" i="9"/>
  <c r="L5798" i="9"/>
  <c r="M5798" i="9" s="1"/>
  <c r="C5798" i="9"/>
  <c r="D5804" i="9"/>
  <c r="E5804" i="9"/>
  <c r="E5810" i="9"/>
  <c r="D5810" i="9"/>
  <c r="L5810" i="9"/>
  <c r="M5810" i="9" s="1"/>
  <c r="C5810" i="9"/>
  <c r="D5816" i="9"/>
  <c r="E5816" i="9"/>
  <c r="E5822" i="9"/>
  <c r="D5822" i="9"/>
  <c r="D5828" i="9"/>
  <c r="C5828" i="9"/>
  <c r="L5828" i="9"/>
  <c r="M5828" i="9" s="1"/>
  <c r="E5828" i="9"/>
  <c r="E5834" i="9"/>
  <c r="D5834" i="9"/>
  <c r="D5840" i="9"/>
  <c r="C5840" i="9"/>
  <c r="L5840" i="9"/>
  <c r="M5840" i="9" s="1"/>
  <c r="E5840" i="9"/>
  <c r="E5846" i="9"/>
  <c r="D5846" i="9"/>
  <c r="L5846" i="9"/>
  <c r="M5846" i="9" s="1"/>
  <c r="C5846" i="9"/>
  <c r="D5852" i="9"/>
  <c r="C5852" i="9"/>
  <c r="L5852" i="9"/>
  <c r="M5852" i="9" s="1"/>
  <c r="E5852" i="9"/>
  <c r="E5858" i="9"/>
  <c r="D5858" i="9"/>
  <c r="L5858" i="9"/>
  <c r="M5858" i="9" s="1"/>
  <c r="C5858" i="9"/>
  <c r="D5864" i="9"/>
  <c r="C5864" i="9"/>
  <c r="L5864" i="9"/>
  <c r="M5864" i="9" s="1"/>
  <c r="E5864" i="9"/>
  <c r="E5870" i="9"/>
  <c r="D5870" i="9"/>
  <c r="L5870" i="9"/>
  <c r="M5870" i="9" s="1"/>
  <c r="C5870" i="9"/>
  <c r="D5876" i="9"/>
  <c r="C5876" i="9"/>
  <c r="L5876" i="9"/>
  <c r="M5876" i="9" s="1"/>
  <c r="E5876" i="9"/>
  <c r="E5882" i="9"/>
  <c r="D5882" i="9"/>
  <c r="L5882" i="9"/>
  <c r="M5882" i="9" s="1"/>
  <c r="C5882" i="9"/>
  <c r="L5888" i="9"/>
  <c r="M5888" i="9" s="1"/>
  <c r="D5888" i="9"/>
  <c r="C5888" i="9"/>
  <c r="E5888" i="9"/>
  <c r="E5894" i="9"/>
  <c r="D5894" i="9"/>
  <c r="C5894" i="9"/>
  <c r="L5894" i="9"/>
  <c r="M5894" i="9" s="1"/>
  <c r="L5900" i="9"/>
  <c r="M5900" i="9" s="1"/>
  <c r="D5900" i="9"/>
  <c r="C5900" i="9"/>
  <c r="E5900" i="9"/>
  <c r="E5906" i="9"/>
  <c r="D5906" i="9"/>
  <c r="C5906" i="9"/>
  <c r="L5906" i="9"/>
  <c r="M5906" i="9" s="1"/>
  <c r="L5912" i="9"/>
  <c r="M5912" i="9" s="1"/>
  <c r="D5912" i="9"/>
  <c r="C5912" i="9"/>
  <c r="E5912" i="9"/>
  <c r="E5918" i="9"/>
  <c r="D5918" i="9"/>
  <c r="C5918" i="9"/>
  <c r="L5918" i="9"/>
  <c r="M5918" i="9" s="1"/>
  <c r="L5924" i="9"/>
  <c r="M5924" i="9" s="1"/>
  <c r="D5924" i="9"/>
  <c r="C5924" i="9"/>
  <c r="E5924" i="9"/>
  <c r="E5930" i="9"/>
  <c r="D5930" i="9"/>
  <c r="C5930" i="9"/>
  <c r="L5930" i="9"/>
  <c r="M5930" i="9" s="1"/>
  <c r="L5936" i="9"/>
  <c r="M5936" i="9" s="1"/>
  <c r="D5936" i="9"/>
  <c r="C5936" i="9"/>
  <c r="E5936" i="9"/>
  <c r="E5942" i="9"/>
  <c r="D5942" i="9"/>
  <c r="C5942" i="9"/>
  <c r="L5942" i="9"/>
  <c r="M5942" i="9" s="1"/>
  <c r="L5948" i="9"/>
  <c r="M5948" i="9" s="1"/>
  <c r="D5948" i="9"/>
  <c r="C5948" i="9"/>
  <c r="E5948" i="9"/>
  <c r="E5954" i="9"/>
  <c r="D5954" i="9"/>
  <c r="C5954" i="9"/>
  <c r="L5954" i="9"/>
  <c r="M5954" i="9" s="1"/>
  <c r="L5960" i="9"/>
  <c r="M5960" i="9" s="1"/>
  <c r="D5960" i="9"/>
  <c r="C5960" i="9"/>
  <c r="E5960" i="9"/>
  <c r="E5966" i="9"/>
  <c r="D5966" i="9"/>
  <c r="C5966" i="9"/>
  <c r="L5966" i="9"/>
  <c r="M5966" i="9" s="1"/>
  <c r="L5972" i="9"/>
  <c r="M5972" i="9" s="1"/>
  <c r="D5972" i="9"/>
  <c r="C5972" i="9"/>
  <c r="E5972" i="9"/>
  <c r="E5978" i="9"/>
  <c r="D5978" i="9"/>
  <c r="C5978" i="9"/>
  <c r="L5978" i="9"/>
  <c r="M5978" i="9" s="1"/>
  <c r="L5984" i="9"/>
  <c r="M5984" i="9" s="1"/>
  <c r="D5984" i="9"/>
  <c r="C5984" i="9"/>
  <c r="E5984" i="9"/>
  <c r="E5990" i="9"/>
  <c r="D5990" i="9"/>
  <c r="C5990" i="9"/>
  <c r="L5990" i="9"/>
  <c r="M5990" i="9" s="1"/>
  <c r="L5996" i="9"/>
  <c r="M5996" i="9" s="1"/>
  <c r="D5996" i="9"/>
  <c r="C5996" i="9"/>
  <c r="E5996" i="9"/>
  <c r="E6002" i="9"/>
  <c r="D6002" i="9"/>
  <c r="C6002" i="9"/>
  <c r="L6002" i="9"/>
  <c r="M6002" i="9" s="1"/>
  <c r="E6008" i="9"/>
  <c r="D6008" i="9"/>
  <c r="C6008" i="9"/>
  <c r="L6008" i="9"/>
  <c r="M6008" i="9" s="1"/>
  <c r="L6014" i="9"/>
  <c r="M6014" i="9" s="1"/>
  <c r="E6014" i="9"/>
  <c r="D6014" i="9"/>
  <c r="C6014" i="9"/>
  <c r="E6020" i="9"/>
  <c r="D6020" i="9"/>
  <c r="C6020" i="9"/>
  <c r="L6020" i="9"/>
  <c r="M6020" i="9" s="1"/>
  <c r="L6026" i="9"/>
  <c r="M6026" i="9" s="1"/>
  <c r="E6026" i="9"/>
  <c r="D6026" i="9"/>
  <c r="C6026" i="9"/>
  <c r="E6032" i="9"/>
  <c r="D6032" i="9"/>
  <c r="C6032" i="9"/>
  <c r="L6032" i="9"/>
  <c r="M6032" i="9" s="1"/>
  <c r="L6038" i="9"/>
  <c r="M6038" i="9" s="1"/>
  <c r="E6038" i="9"/>
  <c r="C6038" i="9"/>
  <c r="D6038" i="9"/>
  <c r="E6044" i="9"/>
  <c r="D6044" i="9"/>
  <c r="C6044" i="9"/>
  <c r="L6044" i="9"/>
  <c r="M6044" i="9" s="1"/>
  <c r="L6050" i="9"/>
  <c r="M6050" i="9" s="1"/>
  <c r="E6050" i="9"/>
  <c r="D6050" i="9"/>
  <c r="C6050" i="9"/>
  <c r="E6056" i="9"/>
  <c r="D6056" i="9"/>
  <c r="C6056" i="9"/>
  <c r="L6056" i="9"/>
  <c r="M6056" i="9" s="1"/>
  <c r="L6062" i="9"/>
  <c r="M6062" i="9" s="1"/>
  <c r="E6062" i="9"/>
  <c r="D6062" i="9"/>
  <c r="C6062" i="9"/>
  <c r="E6068" i="9"/>
  <c r="D6068" i="9"/>
  <c r="C6068" i="9"/>
  <c r="L6068" i="9"/>
  <c r="M6068" i="9" s="1"/>
  <c r="L6074" i="9"/>
  <c r="M6074" i="9" s="1"/>
  <c r="E6074" i="9"/>
  <c r="D6074" i="9"/>
  <c r="C6074" i="9"/>
  <c r="E6080" i="9"/>
  <c r="D6080" i="9"/>
  <c r="C6080" i="9"/>
  <c r="L6080" i="9"/>
  <c r="M6080" i="9" s="1"/>
  <c r="L6086" i="9"/>
  <c r="M6086" i="9" s="1"/>
  <c r="E6086" i="9"/>
  <c r="D6086" i="9"/>
  <c r="C6086" i="9"/>
  <c r="E6092" i="9"/>
  <c r="D6092" i="9"/>
  <c r="C6092" i="9"/>
  <c r="L6092" i="9"/>
  <c r="M6092" i="9" s="1"/>
  <c r="L6098" i="9"/>
  <c r="M6098" i="9" s="1"/>
  <c r="E6098" i="9"/>
  <c r="D6098" i="9"/>
  <c r="C6098" i="9"/>
  <c r="E6104" i="9"/>
  <c r="D6104" i="9"/>
  <c r="C6104" i="9"/>
  <c r="L6104" i="9"/>
  <c r="M6104" i="9" s="1"/>
  <c r="L6110" i="9"/>
  <c r="M6110" i="9" s="1"/>
  <c r="E6110" i="9"/>
  <c r="D6110" i="9"/>
  <c r="C6110" i="9"/>
  <c r="E6116" i="9"/>
  <c r="D6116" i="9"/>
  <c r="C6116" i="9"/>
  <c r="L6116" i="9"/>
  <c r="M6116" i="9" s="1"/>
  <c r="L6122" i="9"/>
  <c r="M6122" i="9" s="1"/>
  <c r="E6122" i="9"/>
  <c r="D6122" i="9"/>
  <c r="C6122" i="9"/>
  <c r="E6128" i="9"/>
  <c r="D6128" i="9"/>
  <c r="C6128" i="9"/>
  <c r="L6128" i="9"/>
  <c r="M6128" i="9" s="1"/>
  <c r="E6134" i="9"/>
  <c r="D6134" i="9"/>
  <c r="C6134" i="9"/>
  <c r="L6134" i="9"/>
  <c r="M6134" i="9" s="1"/>
  <c r="L6140" i="9"/>
  <c r="M6140" i="9" s="1"/>
  <c r="E6140" i="9"/>
  <c r="C6140" i="9"/>
  <c r="D6140" i="9"/>
  <c r="E6146" i="9"/>
  <c r="D6146" i="9"/>
  <c r="C6146" i="9"/>
  <c r="L6146" i="9"/>
  <c r="M6146" i="9" s="1"/>
  <c r="L6152" i="9"/>
  <c r="M6152" i="9" s="1"/>
  <c r="E6152" i="9"/>
  <c r="D6152" i="9"/>
  <c r="C6152" i="9"/>
  <c r="E6158" i="9"/>
  <c r="D6158" i="9"/>
  <c r="C6158" i="9"/>
  <c r="L6158" i="9"/>
  <c r="M6158" i="9" s="1"/>
  <c r="L6164" i="9"/>
  <c r="M6164" i="9" s="1"/>
  <c r="E6164" i="9"/>
  <c r="D6164" i="9"/>
  <c r="C6164" i="9"/>
  <c r="E6170" i="9"/>
  <c r="D6170" i="9"/>
  <c r="C6170" i="9"/>
  <c r="L6170" i="9"/>
  <c r="M6170" i="9" s="1"/>
  <c r="L6176" i="9"/>
  <c r="M6176" i="9" s="1"/>
  <c r="E6176" i="9"/>
  <c r="D6176" i="9"/>
  <c r="C6176" i="9"/>
  <c r="E6182" i="9"/>
  <c r="D6182" i="9"/>
  <c r="C6182" i="9"/>
  <c r="L6182" i="9"/>
  <c r="M6182" i="9" s="1"/>
  <c r="L6188" i="9"/>
  <c r="M6188" i="9" s="1"/>
  <c r="E6188" i="9"/>
  <c r="D6188" i="9"/>
  <c r="C6188" i="9"/>
  <c r="E6194" i="9"/>
  <c r="D6194" i="9"/>
  <c r="C6194" i="9"/>
  <c r="L6194" i="9"/>
  <c r="M6194" i="9" s="1"/>
  <c r="L6200" i="9"/>
  <c r="M6200" i="9" s="1"/>
  <c r="E6200" i="9"/>
  <c r="D6200" i="9"/>
  <c r="C6200" i="9"/>
  <c r="E6206" i="9"/>
  <c r="D6206" i="9"/>
  <c r="C6206" i="9"/>
  <c r="L6206" i="9"/>
  <c r="M6206" i="9" s="1"/>
  <c r="L6212" i="9"/>
  <c r="M6212" i="9" s="1"/>
  <c r="E6212" i="9"/>
  <c r="D6212" i="9"/>
  <c r="C6212" i="9"/>
  <c r="E6218" i="9"/>
  <c r="D6218" i="9"/>
  <c r="C6218" i="9"/>
  <c r="L6218" i="9"/>
  <c r="M6218" i="9" s="1"/>
  <c r="L6224" i="9"/>
  <c r="M6224" i="9" s="1"/>
  <c r="E6224" i="9"/>
  <c r="D6224" i="9"/>
  <c r="C6224" i="9"/>
  <c r="E6230" i="9"/>
  <c r="D6230" i="9"/>
  <c r="C6230" i="9"/>
  <c r="L6230" i="9"/>
  <c r="M6230" i="9" s="1"/>
  <c r="L6236" i="9"/>
  <c r="M6236" i="9" s="1"/>
  <c r="E6236" i="9"/>
  <c r="D6236" i="9"/>
  <c r="C6236" i="9"/>
  <c r="E6242" i="9"/>
  <c r="D6242" i="9"/>
  <c r="C6242" i="9"/>
  <c r="L6242" i="9"/>
  <c r="M6242" i="9" s="1"/>
  <c r="L6248" i="9"/>
  <c r="M6248" i="9" s="1"/>
  <c r="E6248" i="9"/>
  <c r="D6248" i="9"/>
  <c r="C6248" i="9"/>
  <c r="E6254" i="9"/>
  <c r="D6254" i="9"/>
  <c r="C6254" i="9"/>
  <c r="L6254" i="9"/>
  <c r="M6254" i="9" s="1"/>
  <c r="L6260" i="9"/>
  <c r="M6260" i="9" s="1"/>
  <c r="E6260" i="9"/>
  <c r="D6260" i="9"/>
  <c r="C6260" i="9"/>
  <c r="C6266" i="9"/>
  <c r="L6266" i="9"/>
  <c r="M6266" i="9" s="1"/>
  <c r="E6266" i="9"/>
  <c r="D6266" i="9"/>
  <c r="L6272" i="9"/>
  <c r="M6272" i="9" s="1"/>
  <c r="E6272" i="9"/>
  <c r="D6272" i="9"/>
  <c r="C6272" i="9"/>
  <c r="E6278" i="9"/>
  <c r="D6278" i="9"/>
  <c r="C6278" i="9"/>
  <c r="L6278" i="9"/>
  <c r="M6278" i="9" s="1"/>
  <c r="L6284" i="9"/>
  <c r="M6284" i="9" s="1"/>
  <c r="E6284" i="9"/>
  <c r="D6284" i="9"/>
  <c r="C6284" i="9"/>
  <c r="E6290" i="9"/>
  <c r="D6290" i="9"/>
  <c r="C6290" i="9"/>
  <c r="L6290" i="9"/>
  <c r="M6290" i="9" s="1"/>
  <c r="L6296" i="9"/>
  <c r="M6296" i="9" s="1"/>
  <c r="D6296" i="9"/>
  <c r="C6296" i="9"/>
  <c r="E6296" i="9"/>
  <c r="E6302" i="9"/>
  <c r="D6302" i="9"/>
  <c r="C6302" i="9"/>
  <c r="L6302" i="9"/>
  <c r="M6302" i="9" s="1"/>
  <c r="L6308" i="9"/>
  <c r="M6308" i="9" s="1"/>
  <c r="D6308" i="9"/>
  <c r="C6308" i="9"/>
  <c r="E6308" i="9"/>
  <c r="E6314" i="9"/>
  <c r="D6314" i="9"/>
  <c r="C6314" i="9"/>
  <c r="L6314" i="9"/>
  <c r="M6314" i="9" s="1"/>
  <c r="L6320" i="9"/>
  <c r="M6320" i="9" s="1"/>
  <c r="D6320" i="9"/>
  <c r="C6320" i="9"/>
  <c r="E6320" i="9"/>
  <c r="E6326" i="9"/>
  <c r="D6326" i="9"/>
  <c r="C6326" i="9"/>
  <c r="L6326" i="9"/>
  <c r="M6326" i="9" s="1"/>
  <c r="E6338" i="9"/>
  <c r="D6338" i="9"/>
  <c r="C6338" i="9"/>
  <c r="L6338" i="9"/>
  <c r="M6338" i="9" s="1"/>
  <c r="E6350" i="9"/>
  <c r="D6350" i="9"/>
  <c r="C6350" i="9"/>
  <c r="L6350" i="9"/>
  <c r="M6350" i="9" s="1"/>
  <c r="E6362" i="9"/>
  <c r="D6362" i="9"/>
  <c r="C6362" i="9"/>
  <c r="L6362" i="9"/>
  <c r="M6362" i="9" s="1"/>
  <c r="E6374" i="9"/>
  <c r="D6374" i="9"/>
  <c r="C6374" i="9"/>
  <c r="L6374" i="9"/>
  <c r="M6374" i="9" s="1"/>
  <c r="E6386" i="9"/>
  <c r="D6386" i="9"/>
  <c r="C6386" i="9"/>
  <c r="L6386" i="9"/>
  <c r="M6386" i="9" s="1"/>
  <c r="E6398" i="9"/>
  <c r="D6398" i="9"/>
  <c r="C6398" i="9"/>
  <c r="L6398" i="9"/>
  <c r="M6398" i="9" s="1"/>
  <c r="E6410" i="9"/>
  <c r="D6410" i="9"/>
  <c r="C6410" i="9"/>
  <c r="L6410" i="9"/>
  <c r="M6410" i="9" s="1"/>
  <c r="L6422" i="9"/>
  <c r="M6422" i="9" s="1"/>
  <c r="C6422" i="9"/>
  <c r="E6422" i="9"/>
  <c r="D6422" i="9"/>
  <c r="L6434" i="9"/>
  <c r="M6434" i="9" s="1"/>
  <c r="E6434" i="9"/>
  <c r="C6434" i="9"/>
  <c r="D6434" i="9"/>
  <c r="L6446" i="9"/>
  <c r="M6446" i="9" s="1"/>
  <c r="E6446" i="9"/>
  <c r="D6446" i="9"/>
  <c r="C6446" i="9"/>
  <c r="L6458" i="9"/>
  <c r="M6458" i="9" s="1"/>
  <c r="E6458" i="9"/>
  <c r="D6458" i="9"/>
  <c r="C6458" i="9"/>
  <c r="L6470" i="9"/>
  <c r="M6470" i="9" s="1"/>
  <c r="E6470" i="9"/>
  <c r="D6470" i="9"/>
  <c r="C6470" i="9"/>
  <c r="E6482" i="9"/>
  <c r="D6482" i="9"/>
  <c r="L6482" i="9"/>
  <c r="M6482" i="9" s="1"/>
  <c r="C6482" i="9"/>
  <c r="E6494" i="9"/>
  <c r="D6494" i="9"/>
  <c r="C6494" i="9"/>
  <c r="L6494" i="9"/>
  <c r="M6494" i="9" s="1"/>
  <c r="E6506" i="9"/>
  <c r="D6506" i="9"/>
  <c r="C6506" i="9"/>
  <c r="L6506" i="9"/>
  <c r="M6506" i="9" s="1"/>
  <c r="E6518" i="9"/>
  <c r="D6518" i="9"/>
  <c r="C6518" i="9"/>
  <c r="L6518" i="9"/>
  <c r="M6518" i="9" s="1"/>
  <c r="E6530" i="9"/>
  <c r="D6530" i="9"/>
  <c r="C6530" i="9"/>
  <c r="L6530" i="9"/>
  <c r="M6530" i="9" s="1"/>
  <c r="E6542" i="9"/>
  <c r="D6542" i="9"/>
  <c r="L6542" i="9"/>
  <c r="M6542" i="9" s="1"/>
  <c r="C6542" i="9"/>
  <c r="E6554" i="9"/>
  <c r="D6554" i="9"/>
  <c r="L6554" i="9"/>
  <c r="M6554" i="9" s="1"/>
  <c r="C6554" i="9"/>
  <c r="E6566" i="9"/>
  <c r="D6566" i="9"/>
  <c r="L6566" i="9"/>
  <c r="M6566" i="9" s="1"/>
  <c r="C6566" i="9"/>
  <c r="E6578" i="9"/>
  <c r="D6578" i="9"/>
  <c r="C6578" i="9"/>
  <c r="L6578" i="9"/>
  <c r="M6578" i="9" s="1"/>
  <c r="E6590" i="9"/>
  <c r="D6590" i="9"/>
  <c r="L6590" i="9"/>
  <c r="M6590" i="9" s="1"/>
  <c r="C6590" i="9"/>
  <c r="E6602" i="9"/>
  <c r="D6602" i="9"/>
  <c r="L6602" i="9"/>
  <c r="M6602" i="9" s="1"/>
  <c r="C6602" i="9"/>
  <c r="L3861" i="9"/>
  <c r="M3861" i="9" s="1"/>
  <c r="D3861" i="9"/>
  <c r="C3861" i="9"/>
  <c r="E3861" i="9"/>
  <c r="E3880" i="9"/>
  <c r="D3880" i="9"/>
  <c r="C3880" i="9"/>
  <c r="L3880" i="9"/>
  <c r="M3880" i="9" s="1"/>
  <c r="L3885" i="9"/>
  <c r="M3885" i="9" s="1"/>
  <c r="D3885" i="9"/>
  <c r="C3885" i="9"/>
  <c r="E3885" i="9"/>
  <c r="E3904" i="9"/>
  <c r="D3904" i="9"/>
  <c r="C3904" i="9"/>
  <c r="L3904" i="9"/>
  <c r="M3904" i="9" s="1"/>
  <c r="C3909" i="9"/>
  <c r="L3909" i="9"/>
  <c r="M3909" i="9" s="1"/>
  <c r="E3909" i="9"/>
  <c r="D3909" i="9"/>
  <c r="C3928" i="9"/>
  <c r="L3928" i="9"/>
  <c r="M3928" i="9" s="1"/>
  <c r="E3928" i="9"/>
  <c r="D3928" i="9"/>
  <c r="E3933" i="9"/>
  <c r="D3933" i="9"/>
  <c r="C3933" i="9"/>
  <c r="L3933" i="9"/>
  <c r="M3933" i="9" s="1"/>
  <c r="C3952" i="9"/>
  <c r="L3952" i="9"/>
  <c r="M3952" i="9" s="1"/>
  <c r="E3952" i="9"/>
  <c r="D3952" i="9"/>
  <c r="E3957" i="9"/>
  <c r="D3957" i="9"/>
  <c r="C3957" i="9"/>
  <c r="L3957" i="9"/>
  <c r="M3957" i="9" s="1"/>
  <c r="C3976" i="9"/>
  <c r="L3976" i="9"/>
  <c r="M3976" i="9" s="1"/>
  <c r="E3976" i="9"/>
  <c r="D3976" i="9"/>
  <c r="E3981" i="9"/>
  <c r="D3981" i="9"/>
  <c r="C3981" i="9"/>
  <c r="L3981" i="9"/>
  <c r="M3981" i="9" s="1"/>
  <c r="C4000" i="9"/>
  <c r="L4000" i="9"/>
  <c r="M4000" i="9" s="1"/>
  <c r="E4000" i="9"/>
  <c r="D4000" i="9"/>
  <c r="E4005" i="9"/>
  <c r="D4005" i="9"/>
  <c r="C4005" i="9"/>
  <c r="L4005" i="9"/>
  <c r="M4005" i="9" s="1"/>
  <c r="C4024" i="9"/>
  <c r="L4024" i="9"/>
  <c r="M4024" i="9" s="1"/>
  <c r="E4024" i="9"/>
  <c r="D4024" i="9"/>
  <c r="E4029" i="9"/>
  <c r="D4029" i="9"/>
  <c r="C4029" i="9"/>
  <c r="L4029" i="9"/>
  <c r="M4029" i="9" s="1"/>
  <c r="C4048" i="9"/>
  <c r="L4048" i="9"/>
  <c r="M4048" i="9" s="1"/>
  <c r="E4048" i="9"/>
  <c r="D4048" i="9"/>
  <c r="E4053" i="9"/>
  <c r="D4053" i="9"/>
  <c r="C4053" i="9"/>
  <c r="L4053" i="9"/>
  <c r="M4053" i="9" s="1"/>
  <c r="C4072" i="9"/>
  <c r="L4072" i="9"/>
  <c r="M4072" i="9" s="1"/>
  <c r="E4072" i="9"/>
  <c r="D4072" i="9"/>
  <c r="E4077" i="9"/>
  <c r="D4077" i="9"/>
  <c r="C4077" i="9"/>
  <c r="L4077" i="9"/>
  <c r="M4077" i="9" s="1"/>
  <c r="C4096" i="9"/>
  <c r="L4096" i="9"/>
  <c r="M4096" i="9" s="1"/>
  <c r="E4096" i="9"/>
  <c r="D4096" i="9"/>
  <c r="E4101" i="9"/>
  <c r="D4101" i="9"/>
  <c r="C4101" i="9"/>
  <c r="L4101" i="9"/>
  <c r="M4101" i="9" s="1"/>
  <c r="C4120" i="9"/>
  <c r="L4120" i="9"/>
  <c r="M4120" i="9" s="1"/>
  <c r="E4120" i="9"/>
  <c r="D4120" i="9"/>
  <c r="E4125" i="9"/>
  <c r="D4125" i="9"/>
  <c r="C4125" i="9"/>
  <c r="L4125" i="9"/>
  <c r="M4125" i="9" s="1"/>
  <c r="C4144" i="9"/>
  <c r="L4144" i="9"/>
  <c r="M4144" i="9" s="1"/>
  <c r="E4144" i="9"/>
  <c r="D4144" i="9"/>
  <c r="E4149" i="9"/>
  <c r="D4149" i="9"/>
  <c r="C4149" i="9"/>
  <c r="L4149" i="9"/>
  <c r="M4149" i="9" s="1"/>
  <c r="C4168" i="9"/>
  <c r="L4168" i="9"/>
  <c r="M4168" i="9" s="1"/>
  <c r="E4168" i="9"/>
  <c r="D4168" i="9"/>
  <c r="E4173" i="9"/>
  <c r="D4173" i="9"/>
  <c r="C4173" i="9"/>
  <c r="L4173" i="9"/>
  <c r="M4173" i="9" s="1"/>
  <c r="E4203" i="9"/>
  <c r="D4203" i="9"/>
  <c r="C4203" i="9"/>
  <c r="L4203" i="9"/>
  <c r="M4203" i="9" s="1"/>
  <c r="L4219" i="9"/>
  <c r="M4219" i="9" s="1"/>
  <c r="D4219" i="9"/>
  <c r="C4219" i="9"/>
  <c r="E4219" i="9"/>
  <c r="E4235" i="9"/>
  <c r="D4235" i="9"/>
  <c r="C4235" i="9"/>
  <c r="L4235" i="9"/>
  <c r="M4235" i="9" s="1"/>
  <c r="E4251" i="9"/>
  <c r="D4251" i="9"/>
  <c r="C4251" i="9"/>
  <c r="L4251" i="9"/>
  <c r="M4251" i="9" s="1"/>
  <c r="L4267" i="9"/>
  <c r="M4267" i="9" s="1"/>
  <c r="D4267" i="9"/>
  <c r="C4267" i="9"/>
  <c r="E4267" i="9"/>
  <c r="E4283" i="9"/>
  <c r="D4283" i="9"/>
  <c r="C4283" i="9"/>
  <c r="L4283" i="9"/>
  <c r="M4283" i="9" s="1"/>
  <c r="E4299" i="9"/>
  <c r="D4299" i="9"/>
  <c r="C4299" i="9"/>
  <c r="L4299" i="9"/>
  <c r="M4299" i="9" s="1"/>
  <c r="L4315" i="9"/>
  <c r="M4315" i="9" s="1"/>
  <c r="D4315" i="9"/>
  <c r="C4315" i="9"/>
  <c r="E4315" i="9"/>
  <c r="E4331" i="9"/>
  <c r="D4331" i="9"/>
  <c r="C4331" i="9"/>
  <c r="L4331" i="9"/>
  <c r="M4331" i="9" s="1"/>
  <c r="E4347" i="9"/>
  <c r="D4347" i="9"/>
  <c r="C4347" i="9"/>
  <c r="L4347" i="9"/>
  <c r="M4347" i="9" s="1"/>
  <c r="L4363" i="9"/>
  <c r="M4363" i="9" s="1"/>
  <c r="D4363" i="9"/>
  <c r="C4363" i="9"/>
  <c r="E4363" i="9"/>
  <c r="E4379" i="9"/>
  <c r="D4379" i="9"/>
  <c r="C4379" i="9"/>
  <c r="L4379" i="9"/>
  <c r="M4379" i="9" s="1"/>
  <c r="E4395" i="9"/>
  <c r="D4395" i="9"/>
  <c r="C4395" i="9"/>
  <c r="L4395" i="9"/>
  <c r="M4395" i="9" s="1"/>
  <c r="L4411" i="9"/>
  <c r="M4411" i="9" s="1"/>
  <c r="D4411" i="9"/>
  <c r="C4411" i="9"/>
  <c r="E4411" i="9"/>
  <c r="E4427" i="9"/>
  <c r="C4427" i="9"/>
  <c r="L4427" i="9"/>
  <c r="M4427" i="9" s="1"/>
  <c r="D4427" i="9"/>
  <c r="E4443" i="9"/>
  <c r="D4443" i="9"/>
  <c r="L4443" i="9"/>
  <c r="M4443" i="9" s="1"/>
  <c r="C4443" i="9"/>
  <c r="E4459" i="9"/>
  <c r="D4459" i="9"/>
  <c r="C4459" i="9"/>
  <c r="L4459" i="9"/>
  <c r="M4459" i="9" s="1"/>
  <c r="L4475" i="9"/>
  <c r="M4475" i="9" s="1"/>
  <c r="E4475" i="9"/>
  <c r="C4475" i="9"/>
  <c r="D4475" i="9"/>
  <c r="E4491" i="9"/>
  <c r="D4491" i="9"/>
  <c r="L4491" i="9"/>
  <c r="M4491" i="9" s="1"/>
  <c r="C4491" i="9"/>
  <c r="E4507" i="9"/>
  <c r="D4507" i="9"/>
  <c r="C4507" i="9"/>
  <c r="L4507" i="9"/>
  <c r="M4507" i="9" s="1"/>
  <c r="E4523" i="9"/>
  <c r="D4523" i="9"/>
  <c r="E4539" i="9"/>
  <c r="D4539" i="9"/>
  <c r="E4555" i="9"/>
  <c r="D4555" i="9"/>
  <c r="L4571" i="9"/>
  <c r="M4571" i="9" s="1"/>
  <c r="E4571" i="9"/>
  <c r="C4571" i="9"/>
  <c r="D4571" i="9"/>
  <c r="E4587" i="9"/>
  <c r="D4587" i="9"/>
  <c r="E4603" i="9"/>
  <c r="D4603" i="9"/>
  <c r="C4603" i="9"/>
  <c r="L4603" i="9"/>
  <c r="M4603" i="9" s="1"/>
  <c r="L4619" i="9"/>
  <c r="M4619" i="9" s="1"/>
  <c r="E4619" i="9"/>
  <c r="C4619" i="9"/>
  <c r="D4619" i="9"/>
  <c r="E4635" i="9"/>
  <c r="D4635" i="9"/>
  <c r="L4635" i="9"/>
  <c r="M4635" i="9" s="1"/>
  <c r="C4635" i="9"/>
  <c r="E4651" i="9"/>
  <c r="D4651" i="9"/>
  <c r="C4651" i="9"/>
  <c r="L4651" i="9"/>
  <c r="M4651" i="9" s="1"/>
  <c r="L4667" i="9"/>
  <c r="M4667" i="9" s="1"/>
  <c r="E4667" i="9"/>
  <c r="C4667" i="9"/>
  <c r="D4667" i="9"/>
  <c r="E4683" i="9"/>
  <c r="D4683" i="9"/>
  <c r="L4683" i="9"/>
  <c r="M4683" i="9" s="1"/>
  <c r="C4683" i="9"/>
  <c r="E4699" i="9"/>
  <c r="D4699" i="9"/>
  <c r="C4699" i="9"/>
  <c r="L4699" i="9"/>
  <c r="M4699" i="9" s="1"/>
  <c r="L4715" i="9"/>
  <c r="M4715" i="9" s="1"/>
  <c r="E4715" i="9"/>
  <c r="C4715" i="9"/>
  <c r="D4715" i="9"/>
  <c r="D4731" i="9"/>
  <c r="C4731" i="9"/>
  <c r="L4731" i="9"/>
  <c r="M4731" i="9" s="1"/>
  <c r="E4731" i="9"/>
  <c r="D4747" i="9"/>
  <c r="E4747" i="9"/>
  <c r="E4763" i="9"/>
  <c r="D4763" i="9"/>
  <c r="E4779" i="9"/>
  <c r="D4779" i="9"/>
  <c r="D4795" i="9"/>
  <c r="E4795" i="9"/>
  <c r="L4811" i="9"/>
  <c r="M4811" i="9" s="1"/>
  <c r="E4811" i="9"/>
  <c r="D4811" i="9"/>
  <c r="C4811" i="9"/>
  <c r="E4827" i="9"/>
  <c r="L4827" i="9"/>
  <c r="M4827" i="9" s="1"/>
  <c r="D4827" i="9"/>
  <c r="C4827" i="9"/>
  <c r="E4843" i="9"/>
  <c r="D4843" i="9"/>
  <c r="C4843" i="9"/>
  <c r="L4843" i="9"/>
  <c r="M4843" i="9" s="1"/>
  <c r="L4859" i="9"/>
  <c r="M4859" i="9" s="1"/>
  <c r="E4859" i="9"/>
  <c r="D4859" i="9"/>
  <c r="C4859" i="9"/>
  <c r="E4875" i="9"/>
  <c r="L4875" i="9"/>
  <c r="M4875" i="9" s="1"/>
  <c r="D4875" i="9"/>
  <c r="C4875" i="9"/>
  <c r="E4891" i="9"/>
  <c r="D4891" i="9"/>
  <c r="C4891" i="9"/>
  <c r="L4891" i="9"/>
  <c r="M4891" i="9" s="1"/>
  <c r="L4907" i="9"/>
  <c r="M4907" i="9" s="1"/>
  <c r="E4907" i="9"/>
  <c r="D4907" i="9"/>
  <c r="C4907" i="9"/>
  <c r="E4923" i="9"/>
  <c r="L4923" i="9"/>
  <c r="M4923" i="9" s="1"/>
  <c r="D4923" i="9"/>
  <c r="C4923" i="9"/>
  <c r="E4939" i="9"/>
  <c r="D4939" i="9"/>
  <c r="E4955" i="9"/>
  <c r="D4955" i="9"/>
  <c r="E4971" i="9"/>
  <c r="L4971" i="9"/>
  <c r="M4971" i="9" s="1"/>
  <c r="D4971" i="9"/>
  <c r="C4971" i="9"/>
  <c r="E4987" i="9"/>
  <c r="D4987" i="9"/>
  <c r="E5003" i="9"/>
  <c r="D5003" i="9"/>
  <c r="E5019" i="9"/>
  <c r="D5019" i="9"/>
  <c r="E5035" i="9"/>
  <c r="D5035" i="9"/>
  <c r="C5035" i="9"/>
  <c r="L5035" i="9"/>
  <c r="M5035" i="9" s="1"/>
  <c r="L5051" i="9"/>
  <c r="M5051" i="9" s="1"/>
  <c r="E5051" i="9"/>
  <c r="D5051" i="9"/>
  <c r="C5051" i="9"/>
  <c r="E5067" i="9"/>
  <c r="L5067" i="9"/>
  <c r="M5067" i="9" s="1"/>
  <c r="D5067" i="9"/>
  <c r="C5067" i="9"/>
  <c r="E5083" i="9"/>
  <c r="D5083" i="9"/>
  <c r="C5083" i="9"/>
  <c r="L5083" i="9"/>
  <c r="M5083" i="9" s="1"/>
  <c r="L5099" i="9"/>
  <c r="M5099" i="9" s="1"/>
  <c r="E5099" i="9"/>
  <c r="D5099" i="9"/>
  <c r="C5099" i="9"/>
  <c r="L5115" i="9"/>
  <c r="M5115" i="9" s="1"/>
  <c r="D5115" i="9"/>
  <c r="C5115" i="9"/>
  <c r="E5115" i="9"/>
  <c r="E5131" i="9"/>
  <c r="D5131" i="9"/>
  <c r="C5131" i="9"/>
  <c r="L5131" i="9"/>
  <c r="M5131" i="9" s="1"/>
  <c r="D5147" i="9"/>
  <c r="E5147" i="9"/>
  <c r="D5163" i="9"/>
  <c r="E5163" i="9"/>
  <c r="E5179" i="9"/>
  <c r="D5179" i="9"/>
  <c r="D5195" i="9"/>
  <c r="E5195" i="9"/>
  <c r="L5211" i="9"/>
  <c r="M5211" i="9" s="1"/>
  <c r="D5211" i="9"/>
  <c r="C5211" i="9"/>
  <c r="E5211" i="9"/>
  <c r="E5227" i="9"/>
  <c r="D5227" i="9"/>
  <c r="D5243" i="9"/>
  <c r="C5243" i="9"/>
  <c r="L5243" i="9"/>
  <c r="M5243" i="9" s="1"/>
  <c r="E5243" i="9"/>
  <c r="L5259" i="9"/>
  <c r="M5259" i="9" s="1"/>
  <c r="D5259" i="9"/>
  <c r="C5259" i="9"/>
  <c r="E5259" i="9"/>
  <c r="E5275" i="9"/>
  <c r="D5275" i="9"/>
  <c r="C5275" i="9"/>
  <c r="L5275" i="9"/>
  <c r="M5275" i="9" s="1"/>
  <c r="D5291" i="9"/>
  <c r="C5291" i="9"/>
  <c r="L5291" i="9"/>
  <c r="M5291" i="9" s="1"/>
  <c r="E5291" i="9"/>
  <c r="D5307" i="9"/>
  <c r="L5307" i="9"/>
  <c r="M5307" i="9" s="1"/>
  <c r="E5307" i="9"/>
  <c r="C5307" i="9"/>
  <c r="L5323" i="9"/>
  <c r="M5323" i="9" s="1"/>
  <c r="E5323" i="9"/>
  <c r="D5323" i="9"/>
  <c r="C5323" i="9"/>
  <c r="E5339" i="9"/>
  <c r="D5339" i="9"/>
  <c r="C5339" i="9"/>
  <c r="L5339" i="9"/>
  <c r="M5339" i="9" s="1"/>
  <c r="D5355" i="9"/>
  <c r="E5355" i="9"/>
  <c r="E5371" i="9"/>
  <c r="L5371" i="9"/>
  <c r="M5371" i="9" s="1"/>
  <c r="D5371" i="9"/>
  <c r="C5371" i="9"/>
  <c r="E5387" i="9"/>
  <c r="D5387" i="9"/>
  <c r="D5403" i="9"/>
  <c r="E5403" i="9"/>
  <c r="E5419" i="9"/>
  <c r="D5419" i="9"/>
  <c r="E5435" i="9"/>
  <c r="D5435" i="9"/>
  <c r="D5451" i="9"/>
  <c r="C5451" i="9"/>
  <c r="L5451" i="9"/>
  <c r="M5451" i="9" s="1"/>
  <c r="E5451" i="9"/>
  <c r="L5467" i="9"/>
  <c r="M5467" i="9" s="1"/>
  <c r="C5467" i="9"/>
  <c r="E5467" i="9"/>
  <c r="D5467" i="9"/>
  <c r="D5483" i="9"/>
  <c r="L5483" i="9"/>
  <c r="M5483" i="9" s="1"/>
  <c r="E5483" i="9"/>
  <c r="C5483" i="9"/>
  <c r="D5499" i="9"/>
  <c r="C5499" i="9"/>
  <c r="L5499" i="9"/>
  <c r="M5499" i="9" s="1"/>
  <c r="E5499" i="9"/>
  <c r="L5515" i="9"/>
  <c r="M5515" i="9" s="1"/>
  <c r="E5515" i="9"/>
  <c r="D5515" i="9"/>
  <c r="C5515" i="9"/>
  <c r="D5531" i="9"/>
  <c r="C5531" i="9"/>
  <c r="L5531" i="9"/>
  <c r="M5531" i="9" s="1"/>
  <c r="E5531" i="9"/>
  <c r="E5547" i="9"/>
  <c r="D5547" i="9"/>
  <c r="C5547" i="9"/>
  <c r="L5547" i="9"/>
  <c r="M5547" i="9" s="1"/>
  <c r="D5563" i="9"/>
  <c r="E5563" i="9"/>
  <c r="E5579" i="9"/>
  <c r="D5579" i="9"/>
  <c r="C5579" i="9"/>
  <c r="L5579" i="9"/>
  <c r="M5579" i="9" s="1"/>
  <c r="E5595" i="9"/>
  <c r="D5595" i="9"/>
  <c r="L5611" i="9"/>
  <c r="M5611" i="9" s="1"/>
  <c r="E5611" i="9"/>
  <c r="D5611" i="9"/>
  <c r="C5611" i="9"/>
  <c r="E5627" i="9"/>
  <c r="D5627" i="9"/>
  <c r="E5643" i="9"/>
  <c r="D5643" i="9"/>
  <c r="C5643" i="9"/>
  <c r="L5643" i="9"/>
  <c r="M5643" i="9" s="1"/>
  <c r="L5659" i="9"/>
  <c r="M5659" i="9" s="1"/>
  <c r="D5659" i="9"/>
  <c r="E5659" i="9"/>
  <c r="C5659" i="9"/>
  <c r="E5675" i="9"/>
  <c r="D5675" i="9"/>
  <c r="C5675" i="9"/>
  <c r="L5675" i="9"/>
  <c r="M5675" i="9" s="1"/>
  <c r="D5691" i="9"/>
  <c r="C5691" i="9"/>
  <c r="L5691" i="9"/>
  <c r="M5691" i="9" s="1"/>
  <c r="E5691" i="9"/>
  <c r="E5201" i="9"/>
  <c r="D5201" i="9"/>
  <c r="L5201" i="9"/>
  <c r="M5201" i="9" s="1"/>
  <c r="C5201" i="9"/>
  <c r="E5206" i="9"/>
  <c r="D5206" i="9"/>
  <c r="E5217" i="9"/>
  <c r="D5217" i="9"/>
  <c r="E5222" i="9"/>
  <c r="D5222" i="9"/>
  <c r="L5233" i="9"/>
  <c r="M5233" i="9" s="1"/>
  <c r="E5233" i="9"/>
  <c r="D5233" i="9"/>
  <c r="C5233" i="9"/>
  <c r="E5238" i="9"/>
  <c r="D5238" i="9"/>
  <c r="C5238" i="9"/>
  <c r="L5238" i="9"/>
  <c r="M5238" i="9" s="1"/>
  <c r="E5249" i="9"/>
  <c r="L5249" i="9"/>
  <c r="M5249" i="9" s="1"/>
  <c r="C5249" i="9"/>
  <c r="D5249" i="9"/>
  <c r="E5254" i="9"/>
  <c r="D5254" i="9"/>
  <c r="C5254" i="9"/>
  <c r="L5254" i="9"/>
  <c r="M5254" i="9" s="1"/>
  <c r="E5265" i="9"/>
  <c r="D5265" i="9"/>
  <c r="C5265" i="9"/>
  <c r="L5265" i="9"/>
  <c r="M5265" i="9" s="1"/>
  <c r="L5270" i="9"/>
  <c r="M5270" i="9" s="1"/>
  <c r="E5270" i="9"/>
  <c r="D5270" i="9"/>
  <c r="C5270" i="9"/>
  <c r="L5281" i="9"/>
  <c r="M5281" i="9" s="1"/>
  <c r="E5281" i="9"/>
  <c r="D5281" i="9"/>
  <c r="C5281" i="9"/>
  <c r="E5286" i="9"/>
  <c r="D5286" i="9"/>
  <c r="L5286" i="9"/>
  <c r="M5286" i="9" s="1"/>
  <c r="C5286" i="9"/>
  <c r="E5297" i="9"/>
  <c r="L5297" i="9"/>
  <c r="M5297" i="9" s="1"/>
  <c r="D5297" i="9"/>
  <c r="C5297" i="9"/>
  <c r="E5302" i="9"/>
  <c r="D5302" i="9"/>
  <c r="C5302" i="9"/>
  <c r="L5302" i="9"/>
  <c r="M5302" i="9" s="1"/>
  <c r="L5313" i="9"/>
  <c r="M5313" i="9" s="1"/>
  <c r="C5313" i="9"/>
  <c r="E5313" i="9"/>
  <c r="D5313" i="9"/>
  <c r="E5318" i="9"/>
  <c r="D5318" i="9"/>
  <c r="C5318" i="9"/>
  <c r="L5318" i="9"/>
  <c r="M5318" i="9" s="1"/>
  <c r="E5329" i="9"/>
  <c r="D5329" i="9"/>
  <c r="C5329" i="9"/>
  <c r="L5329" i="9"/>
  <c r="M5329" i="9" s="1"/>
  <c r="C5334" i="9"/>
  <c r="L5334" i="9"/>
  <c r="M5334" i="9" s="1"/>
  <c r="E5334" i="9"/>
  <c r="D5334" i="9"/>
  <c r="D5345" i="9"/>
  <c r="L5345" i="9"/>
  <c r="M5345" i="9" s="1"/>
  <c r="C5345" i="9"/>
  <c r="E5345" i="9"/>
  <c r="E5350" i="9"/>
  <c r="C5350" i="9"/>
  <c r="L5350" i="9"/>
  <c r="M5350" i="9" s="1"/>
  <c r="D5350" i="9"/>
  <c r="E5361" i="9"/>
  <c r="D5361" i="9"/>
  <c r="C5361" i="9"/>
  <c r="L5361" i="9"/>
  <c r="M5361" i="9" s="1"/>
  <c r="D5366" i="9"/>
  <c r="E5366" i="9"/>
  <c r="E5377" i="9"/>
  <c r="D5377" i="9"/>
  <c r="E5382" i="9"/>
  <c r="D5382" i="9"/>
  <c r="E5393" i="9"/>
  <c r="D5393" i="9"/>
  <c r="E5398" i="9"/>
  <c r="D5398" i="9"/>
  <c r="E5409" i="9"/>
  <c r="D5409" i="9"/>
  <c r="D5414" i="9"/>
  <c r="E5414" i="9"/>
  <c r="E5425" i="9"/>
  <c r="D5425" i="9"/>
  <c r="L5430" i="9"/>
  <c r="M5430" i="9" s="1"/>
  <c r="E5430" i="9"/>
  <c r="D5430" i="9"/>
  <c r="C5430" i="9"/>
  <c r="L5441" i="9"/>
  <c r="M5441" i="9" s="1"/>
  <c r="C5441" i="9"/>
  <c r="E5441" i="9"/>
  <c r="D5441" i="9"/>
  <c r="E5446" i="9"/>
  <c r="D5446" i="9"/>
  <c r="C5446" i="9"/>
  <c r="L5446" i="9"/>
  <c r="M5446" i="9" s="1"/>
  <c r="L5457" i="9"/>
  <c r="M5457" i="9" s="1"/>
  <c r="E5457" i="9"/>
  <c r="D5457" i="9"/>
  <c r="C5457" i="9"/>
  <c r="E5462" i="9"/>
  <c r="D5462" i="9"/>
  <c r="C5462" i="9"/>
  <c r="L5462" i="9"/>
  <c r="M5462" i="9" s="1"/>
  <c r="E5473" i="9"/>
  <c r="L5473" i="9"/>
  <c r="M5473" i="9" s="1"/>
  <c r="D5473" i="9"/>
  <c r="C5473" i="9"/>
  <c r="L5478" i="9"/>
  <c r="M5478" i="9" s="1"/>
  <c r="C5478" i="9"/>
  <c r="E5478" i="9"/>
  <c r="D5478" i="9"/>
  <c r="D5489" i="9"/>
  <c r="L5489" i="9"/>
  <c r="M5489" i="9" s="1"/>
  <c r="E5489" i="9"/>
  <c r="C5489" i="9"/>
  <c r="E5494" i="9"/>
  <c r="C5494" i="9"/>
  <c r="L5494" i="9"/>
  <c r="M5494" i="9" s="1"/>
  <c r="D5494" i="9"/>
  <c r="D5505" i="9"/>
  <c r="C5505" i="9"/>
  <c r="L5505" i="9"/>
  <c r="M5505" i="9" s="1"/>
  <c r="E5505" i="9"/>
  <c r="E5510" i="9"/>
  <c r="D5510" i="9"/>
  <c r="C5510" i="9"/>
  <c r="L5510" i="9"/>
  <c r="M5510" i="9" s="1"/>
  <c r="E5521" i="9"/>
  <c r="L5521" i="9"/>
  <c r="M5521" i="9" s="1"/>
  <c r="D5521" i="9"/>
  <c r="C5521" i="9"/>
  <c r="L5526" i="9"/>
  <c r="M5526" i="9" s="1"/>
  <c r="C5526" i="9"/>
  <c r="E5526" i="9"/>
  <c r="D5526" i="9"/>
  <c r="D5537" i="9"/>
  <c r="E5537" i="9"/>
  <c r="C5537" i="9"/>
  <c r="L5537" i="9"/>
  <c r="M5537" i="9" s="1"/>
  <c r="C5542" i="9"/>
  <c r="E5542" i="9"/>
  <c r="L5542" i="9"/>
  <c r="M5542" i="9" s="1"/>
  <c r="D5542" i="9"/>
  <c r="L5553" i="9"/>
  <c r="M5553" i="9" s="1"/>
  <c r="C5553" i="9"/>
  <c r="E5553" i="9"/>
  <c r="D5553" i="9"/>
  <c r="E5558" i="9"/>
  <c r="D5558" i="9"/>
  <c r="C5558" i="9"/>
  <c r="L5558" i="9"/>
  <c r="M5558" i="9" s="1"/>
  <c r="E5569" i="9"/>
  <c r="D5569" i="9"/>
  <c r="C5569" i="9"/>
  <c r="L5569" i="9"/>
  <c r="M5569" i="9" s="1"/>
  <c r="E5574" i="9"/>
  <c r="D5574" i="9"/>
  <c r="D5585" i="9"/>
  <c r="E5585" i="9"/>
  <c r="E5590" i="9"/>
  <c r="D5590" i="9"/>
  <c r="C5590" i="9"/>
  <c r="L5590" i="9"/>
  <c r="M5590" i="9" s="1"/>
  <c r="L5601" i="9"/>
  <c r="M5601" i="9" s="1"/>
  <c r="E5601" i="9"/>
  <c r="D5601" i="9"/>
  <c r="C5601" i="9"/>
  <c r="E5606" i="9"/>
  <c r="D5606" i="9"/>
  <c r="E5617" i="9"/>
  <c r="D5617" i="9"/>
  <c r="D5622" i="9"/>
  <c r="E5622" i="9"/>
  <c r="D5633" i="9"/>
  <c r="C5633" i="9"/>
  <c r="L5633" i="9"/>
  <c r="M5633" i="9" s="1"/>
  <c r="E5633" i="9"/>
  <c r="E5638" i="9"/>
  <c r="D5638" i="9"/>
  <c r="C5638" i="9"/>
  <c r="L5638" i="9"/>
  <c r="M5638" i="9" s="1"/>
  <c r="E5649" i="9"/>
  <c r="L5649" i="9"/>
  <c r="M5649" i="9" s="1"/>
  <c r="D5649" i="9"/>
  <c r="C5649" i="9"/>
  <c r="E5654" i="9"/>
  <c r="D5654" i="9"/>
  <c r="C5654" i="9"/>
  <c r="L5654" i="9"/>
  <c r="M5654" i="9" s="1"/>
  <c r="E5665" i="9"/>
  <c r="D5665" i="9"/>
  <c r="C5665" i="9"/>
  <c r="L5665" i="9"/>
  <c r="M5665" i="9" s="1"/>
  <c r="L5670" i="9"/>
  <c r="M5670" i="9" s="1"/>
  <c r="C5670" i="9"/>
  <c r="E5670" i="9"/>
  <c r="D5670" i="9"/>
  <c r="L5681" i="9"/>
  <c r="M5681" i="9" s="1"/>
  <c r="D5681" i="9"/>
  <c r="E5681" i="9"/>
  <c r="C5681" i="9"/>
  <c r="E5686" i="9"/>
  <c r="D5686" i="9"/>
  <c r="C5686" i="9"/>
  <c r="L5686" i="9"/>
  <c r="M5686" i="9" s="1"/>
  <c r="E5697" i="9"/>
  <c r="D5697" i="9"/>
  <c r="L5697" i="9"/>
  <c r="M5697" i="9" s="1"/>
  <c r="C5697" i="9"/>
  <c r="D5703" i="9"/>
  <c r="C5703" i="9"/>
  <c r="L5703" i="9"/>
  <c r="M5703" i="9" s="1"/>
  <c r="E5703" i="9"/>
  <c r="E5709" i="9"/>
  <c r="D5709" i="9"/>
  <c r="L5709" i="9"/>
  <c r="M5709" i="9" s="1"/>
  <c r="C5709" i="9"/>
  <c r="D5715" i="9"/>
  <c r="C5715" i="9"/>
  <c r="L5715" i="9"/>
  <c r="M5715" i="9" s="1"/>
  <c r="E5715" i="9"/>
  <c r="E5721" i="9"/>
  <c r="D5721" i="9"/>
  <c r="L5721" i="9"/>
  <c r="M5721" i="9" s="1"/>
  <c r="C5721" i="9"/>
  <c r="D5727" i="9"/>
  <c r="C5727" i="9"/>
  <c r="L5727" i="9"/>
  <c r="M5727" i="9" s="1"/>
  <c r="E5727" i="9"/>
  <c r="E5733" i="9"/>
  <c r="D5733" i="9"/>
  <c r="L5733" i="9"/>
  <c r="M5733" i="9" s="1"/>
  <c r="C5733" i="9"/>
  <c r="D5739" i="9"/>
  <c r="C5739" i="9"/>
  <c r="L5739" i="9"/>
  <c r="M5739" i="9" s="1"/>
  <c r="E5739" i="9"/>
  <c r="E5745" i="9"/>
  <c r="D5745" i="9"/>
  <c r="L5745" i="9"/>
  <c r="M5745" i="9" s="1"/>
  <c r="C5745" i="9"/>
  <c r="D5751" i="9"/>
  <c r="C5751" i="9"/>
  <c r="L5751" i="9"/>
  <c r="M5751" i="9" s="1"/>
  <c r="E5751" i="9"/>
  <c r="E5757" i="9"/>
  <c r="D5757" i="9"/>
  <c r="L5757" i="9"/>
  <c r="M5757" i="9" s="1"/>
  <c r="C5757" i="9"/>
  <c r="D5763" i="9"/>
  <c r="C5763" i="9"/>
  <c r="L5763" i="9"/>
  <c r="M5763" i="9" s="1"/>
  <c r="E5763" i="9"/>
  <c r="C5769" i="9"/>
  <c r="L5769" i="9"/>
  <c r="M5769" i="9" s="1"/>
  <c r="E5769" i="9"/>
  <c r="D5769" i="9"/>
  <c r="E5775" i="9"/>
  <c r="D5775" i="9"/>
  <c r="C5781" i="9"/>
  <c r="L5781" i="9"/>
  <c r="M5781" i="9" s="1"/>
  <c r="E5781" i="9"/>
  <c r="D5781" i="9"/>
  <c r="E5787" i="9"/>
  <c r="D5787" i="9"/>
  <c r="E5793" i="9"/>
  <c r="D5793" i="9"/>
  <c r="E5799" i="9"/>
  <c r="D5799" i="9"/>
  <c r="C5799" i="9"/>
  <c r="L5799" i="9"/>
  <c r="M5799" i="9" s="1"/>
  <c r="E5805" i="9"/>
  <c r="D5805" i="9"/>
  <c r="E5811" i="9"/>
  <c r="D5811" i="9"/>
  <c r="C5811" i="9"/>
  <c r="L5811" i="9"/>
  <c r="M5811" i="9" s="1"/>
  <c r="E5817" i="9"/>
  <c r="D5817" i="9"/>
  <c r="E5823" i="9"/>
  <c r="D5823" i="9"/>
  <c r="C5829" i="9"/>
  <c r="L5829" i="9"/>
  <c r="M5829" i="9" s="1"/>
  <c r="E5829" i="9"/>
  <c r="D5829" i="9"/>
  <c r="E5835" i="9"/>
  <c r="D5835" i="9"/>
  <c r="C5841" i="9"/>
  <c r="L5841" i="9"/>
  <c r="M5841" i="9" s="1"/>
  <c r="E5841" i="9"/>
  <c r="D5841" i="9"/>
  <c r="E5847" i="9"/>
  <c r="D5847" i="9"/>
  <c r="C5847" i="9"/>
  <c r="L5847" i="9"/>
  <c r="M5847" i="9" s="1"/>
  <c r="C5853" i="9"/>
  <c r="L5853" i="9"/>
  <c r="M5853" i="9" s="1"/>
  <c r="E5853" i="9"/>
  <c r="D5853" i="9"/>
  <c r="E5859" i="9"/>
  <c r="D5859" i="9"/>
  <c r="C5859" i="9"/>
  <c r="L5859" i="9"/>
  <c r="M5859" i="9" s="1"/>
  <c r="C5865" i="9"/>
  <c r="L5865" i="9"/>
  <c r="M5865" i="9" s="1"/>
  <c r="E5865" i="9"/>
  <c r="D5865" i="9"/>
  <c r="E5871" i="9"/>
  <c r="D5871" i="9"/>
  <c r="C5871" i="9"/>
  <c r="L5871" i="9"/>
  <c r="M5871" i="9" s="1"/>
  <c r="C5877" i="9"/>
  <c r="L5877" i="9"/>
  <c r="M5877" i="9" s="1"/>
  <c r="E5877" i="9"/>
  <c r="D5877" i="9"/>
  <c r="E5883" i="9"/>
  <c r="D5883" i="9"/>
  <c r="C5883" i="9"/>
  <c r="L5883" i="9"/>
  <c r="M5883" i="9" s="1"/>
  <c r="L5889" i="9"/>
  <c r="M5889" i="9" s="1"/>
  <c r="C5889" i="9"/>
  <c r="E5889" i="9"/>
  <c r="D5889" i="9"/>
  <c r="E5895" i="9"/>
  <c r="D5895" i="9"/>
  <c r="C5895" i="9"/>
  <c r="L5895" i="9"/>
  <c r="M5895" i="9" s="1"/>
  <c r="L5901" i="9"/>
  <c r="M5901" i="9" s="1"/>
  <c r="C5901" i="9"/>
  <c r="E5901" i="9"/>
  <c r="D5901" i="9"/>
  <c r="E5907" i="9"/>
  <c r="D5907" i="9"/>
  <c r="C5907" i="9"/>
  <c r="L5907" i="9"/>
  <c r="M5907" i="9" s="1"/>
  <c r="L5913" i="9"/>
  <c r="M5913" i="9" s="1"/>
  <c r="C5913" i="9"/>
  <c r="E5913" i="9"/>
  <c r="D5913" i="9"/>
  <c r="E5919" i="9"/>
  <c r="D5919" i="9"/>
  <c r="C5919" i="9"/>
  <c r="L5919" i="9"/>
  <c r="M5919" i="9" s="1"/>
  <c r="L5925" i="9"/>
  <c r="M5925" i="9" s="1"/>
  <c r="C5925" i="9"/>
  <c r="E5925" i="9"/>
  <c r="D5925" i="9"/>
  <c r="E5931" i="9"/>
  <c r="D5931" i="9"/>
  <c r="C5931" i="9"/>
  <c r="L5931" i="9"/>
  <c r="M5931" i="9" s="1"/>
  <c r="L5937" i="9"/>
  <c r="M5937" i="9" s="1"/>
  <c r="C5937" i="9"/>
  <c r="E5937" i="9"/>
  <c r="D5937" i="9"/>
  <c r="E5943" i="9"/>
  <c r="D5943" i="9"/>
  <c r="C5943" i="9"/>
  <c r="L5943" i="9"/>
  <c r="M5943" i="9" s="1"/>
  <c r="L5949" i="9"/>
  <c r="M5949" i="9" s="1"/>
  <c r="C5949" i="9"/>
  <c r="E5949" i="9"/>
  <c r="D5949" i="9"/>
  <c r="E5955" i="9"/>
  <c r="D5955" i="9"/>
  <c r="C5955" i="9"/>
  <c r="L5955" i="9"/>
  <c r="M5955" i="9" s="1"/>
  <c r="L5961" i="9"/>
  <c r="M5961" i="9" s="1"/>
  <c r="C5961" i="9"/>
  <c r="E5961" i="9"/>
  <c r="D5961" i="9"/>
  <c r="E5967" i="9"/>
  <c r="D5967" i="9"/>
  <c r="C5967" i="9"/>
  <c r="L5967" i="9"/>
  <c r="M5967" i="9" s="1"/>
  <c r="L5973" i="9"/>
  <c r="M5973" i="9" s="1"/>
  <c r="C5973" i="9"/>
  <c r="E5973" i="9"/>
  <c r="D5973" i="9"/>
  <c r="E5979" i="9"/>
  <c r="D5979" i="9"/>
  <c r="C5979" i="9"/>
  <c r="L5979" i="9"/>
  <c r="M5979" i="9" s="1"/>
  <c r="L5985" i="9"/>
  <c r="M5985" i="9" s="1"/>
  <c r="C5985" i="9"/>
  <c r="E5985" i="9"/>
  <c r="D5985" i="9"/>
  <c r="E5991" i="9"/>
  <c r="D5991" i="9"/>
  <c r="C5991" i="9"/>
  <c r="L5991" i="9"/>
  <c r="M5991" i="9" s="1"/>
  <c r="L5997" i="9"/>
  <c r="M5997" i="9" s="1"/>
  <c r="C5997" i="9"/>
  <c r="D5997" i="9"/>
  <c r="E5997" i="9"/>
  <c r="E6003" i="9"/>
  <c r="D6003" i="9"/>
  <c r="C6003" i="9"/>
  <c r="L6003" i="9"/>
  <c r="M6003" i="9" s="1"/>
  <c r="E6009" i="9"/>
  <c r="D6009" i="9"/>
  <c r="C6009" i="9"/>
  <c r="L6009" i="9"/>
  <c r="M6009" i="9" s="1"/>
  <c r="L6015" i="9"/>
  <c r="M6015" i="9" s="1"/>
  <c r="C6015" i="9"/>
  <c r="E6015" i="9"/>
  <c r="D6015" i="9"/>
  <c r="E6021" i="9"/>
  <c r="D6021" i="9"/>
  <c r="C6021" i="9"/>
  <c r="L6021" i="9"/>
  <c r="M6021" i="9" s="1"/>
  <c r="E6027" i="9"/>
  <c r="D6027" i="9"/>
  <c r="L6027" i="9"/>
  <c r="M6027" i="9" s="1"/>
  <c r="C6027" i="9"/>
  <c r="E6033" i="9"/>
  <c r="D6033" i="9"/>
  <c r="C6033" i="9"/>
  <c r="L6033" i="9"/>
  <c r="M6033" i="9" s="1"/>
  <c r="E6039" i="9"/>
  <c r="D6039" i="9"/>
  <c r="L6039" i="9"/>
  <c r="M6039" i="9" s="1"/>
  <c r="C6039" i="9"/>
  <c r="E6045" i="9"/>
  <c r="D6045" i="9"/>
  <c r="C6045" i="9"/>
  <c r="L6045" i="9"/>
  <c r="M6045" i="9" s="1"/>
  <c r="E6051" i="9"/>
  <c r="D6051" i="9"/>
  <c r="L6051" i="9"/>
  <c r="M6051" i="9" s="1"/>
  <c r="C6051" i="9"/>
  <c r="E6057" i="9"/>
  <c r="D6057" i="9"/>
  <c r="C6057" i="9"/>
  <c r="L6057" i="9"/>
  <c r="M6057" i="9" s="1"/>
  <c r="E6063" i="9"/>
  <c r="D6063" i="9"/>
  <c r="L6063" i="9"/>
  <c r="M6063" i="9" s="1"/>
  <c r="C6063" i="9"/>
  <c r="E6069" i="9"/>
  <c r="D6069" i="9"/>
  <c r="C6069" i="9"/>
  <c r="L6069" i="9"/>
  <c r="M6069" i="9" s="1"/>
  <c r="E6075" i="9"/>
  <c r="D6075" i="9"/>
  <c r="L6075" i="9"/>
  <c r="M6075" i="9" s="1"/>
  <c r="C6075" i="9"/>
  <c r="E6081" i="9"/>
  <c r="D6081" i="9"/>
  <c r="C6081" i="9"/>
  <c r="L6081" i="9"/>
  <c r="M6081" i="9" s="1"/>
  <c r="E6087" i="9"/>
  <c r="D6087" i="9"/>
  <c r="L6087" i="9"/>
  <c r="M6087" i="9" s="1"/>
  <c r="C6087" i="9"/>
  <c r="E6093" i="9"/>
  <c r="D6093" i="9"/>
  <c r="C6093" i="9"/>
  <c r="L6093" i="9"/>
  <c r="M6093" i="9" s="1"/>
  <c r="E6099" i="9"/>
  <c r="D6099" i="9"/>
  <c r="L6099" i="9"/>
  <c r="M6099" i="9" s="1"/>
  <c r="C6099" i="9"/>
  <c r="E6105" i="9"/>
  <c r="D6105" i="9"/>
  <c r="C6105" i="9"/>
  <c r="L6105" i="9"/>
  <c r="M6105" i="9" s="1"/>
  <c r="E6111" i="9"/>
  <c r="D6111" i="9"/>
  <c r="L6111" i="9"/>
  <c r="M6111" i="9" s="1"/>
  <c r="C6111" i="9"/>
  <c r="E6117" i="9"/>
  <c r="D6117" i="9"/>
  <c r="C6117" i="9"/>
  <c r="L6117" i="9"/>
  <c r="M6117" i="9" s="1"/>
  <c r="E6123" i="9"/>
  <c r="D6123" i="9"/>
  <c r="L6123" i="9"/>
  <c r="M6123" i="9" s="1"/>
  <c r="C6123" i="9"/>
  <c r="E6129" i="9"/>
  <c r="D6129" i="9"/>
  <c r="C6129" i="9"/>
  <c r="L6129" i="9"/>
  <c r="M6129" i="9" s="1"/>
  <c r="E6135" i="9"/>
  <c r="D6135" i="9"/>
  <c r="C6135" i="9"/>
  <c r="L6135" i="9"/>
  <c r="M6135" i="9" s="1"/>
  <c r="D6141" i="9"/>
  <c r="L6141" i="9"/>
  <c r="M6141" i="9" s="1"/>
  <c r="E6141" i="9"/>
  <c r="C6141" i="9"/>
  <c r="E6147" i="9"/>
  <c r="D6147" i="9"/>
  <c r="C6147" i="9"/>
  <c r="L6147" i="9"/>
  <c r="M6147" i="9" s="1"/>
  <c r="D6153" i="9"/>
  <c r="L6153" i="9"/>
  <c r="M6153" i="9" s="1"/>
  <c r="C6153" i="9"/>
  <c r="E6153" i="9"/>
  <c r="E6159" i="9"/>
  <c r="D6159" i="9"/>
  <c r="C6159" i="9"/>
  <c r="L6159" i="9"/>
  <c r="M6159" i="9" s="1"/>
  <c r="E6165" i="9"/>
  <c r="D6165" i="9"/>
  <c r="L6165" i="9"/>
  <c r="M6165" i="9" s="1"/>
  <c r="C6165" i="9"/>
  <c r="E6171" i="9"/>
  <c r="D6171" i="9"/>
  <c r="C6171" i="9"/>
  <c r="L6171" i="9"/>
  <c r="M6171" i="9" s="1"/>
  <c r="E6177" i="9"/>
  <c r="D6177" i="9"/>
  <c r="L6177" i="9"/>
  <c r="M6177" i="9" s="1"/>
  <c r="C6177" i="9"/>
  <c r="E6183" i="9"/>
  <c r="D6183" i="9"/>
  <c r="C6183" i="9"/>
  <c r="L6183" i="9"/>
  <c r="M6183" i="9" s="1"/>
  <c r="E6189" i="9"/>
  <c r="D6189" i="9"/>
  <c r="L6189" i="9"/>
  <c r="M6189" i="9" s="1"/>
  <c r="C6189" i="9"/>
  <c r="E6195" i="9"/>
  <c r="D6195" i="9"/>
  <c r="C6195" i="9"/>
  <c r="L6195" i="9"/>
  <c r="M6195" i="9" s="1"/>
  <c r="E6201" i="9"/>
  <c r="D6201" i="9"/>
  <c r="L6201" i="9"/>
  <c r="M6201" i="9" s="1"/>
  <c r="C6201" i="9"/>
  <c r="E6207" i="9"/>
  <c r="D6207" i="9"/>
  <c r="C6207" i="9"/>
  <c r="L6207" i="9"/>
  <c r="M6207" i="9" s="1"/>
  <c r="E6213" i="9"/>
  <c r="D6213" i="9"/>
  <c r="L6213" i="9"/>
  <c r="M6213" i="9" s="1"/>
  <c r="C6213" i="9"/>
  <c r="E6219" i="9"/>
  <c r="D6219" i="9"/>
  <c r="C6219" i="9"/>
  <c r="L6219" i="9"/>
  <c r="M6219" i="9" s="1"/>
  <c r="E6225" i="9"/>
  <c r="D6225" i="9"/>
  <c r="L6225" i="9"/>
  <c r="M6225" i="9" s="1"/>
  <c r="C6225" i="9"/>
  <c r="E6231" i="9"/>
  <c r="D6231" i="9"/>
  <c r="C6231" i="9"/>
  <c r="L6231" i="9"/>
  <c r="M6231" i="9" s="1"/>
  <c r="E6237" i="9"/>
  <c r="D6237" i="9"/>
  <c r="L6237" i="9"/>
  <c r="M6237" i="9" s="1"/>
  <c r="C6237" i="9"/>
  <c r="E6243" i="9"/>
  <c r="D6243" i="9"/>
  <c r="C6243" i="9"/>
  <c r="L6243" i="9"/>
  <c r="M6243" i="9" s="1"/>
  <c r="E6249" i="9"/>
  <c r="D6249" i="9"/>
  <c r="L6249" i="9"/>
  <c r="M6249" i="9" s="1"/>
  <c r="C6249" i="9"/>
  <c r="E6255" i="9"/>
  <c r="D6255" i="9"/>
  <c r="C6255" i="9"/>
  <c r="L6255" i="9"/>
  <c r="M6255" i="9" s="1"/>
  <c r="E6261" i="9"/>
  <c r="D6261" i="9"/>
  <c r="L6261" i="9"/>
  <c r="M6261" i="9" s="1"/>
  <c r="C6261" i="9"/>
  <c r="E6267" i="9"/>
  <c r="L6267" i="9"/>
  <c r="M6267" i="9" s="1"/>
  <c r="C6267" i="9"/>
  <c r="D6267" i="9"/>
  <c r="L6273" i="9"/>
  <c r="M6273" i="9" s="1"/>
  <c r="E6273" i="9"/>
  <c r="D6273" i="9"/>
  <c r="C6273" i="9"/>
  <c r="E6279" i="9"/>
  <c r="D6279" i="9"/>
  <c r="C6279" i="9"/>
  <c r="L6279" i="9"/>
  <c r="M6279" i="9" s="1"/>
  <c r="L6285" i="9"/>
  <c r="M6285" i="9" s="1"/>
  <c r="C6285" i="9"/>
  <c r="E6285" i="9"/>
  <c r="D6285" i="9"/>
  <c r="E6291" i="9"/>
  <c r="D6291" i="9"/>
  <c r="C6291" i="9"/>
  <c r="L6291" i="9"/>
  <c r="M6291" i="9" s="1"/>
  <c r="L6297" i="9"/>
  <c r="M6297" i="9" s="1"/>
  <c r="C6297" i="9"/>
  <c r="E6297" i="9"/>
  <c r="D6297" i="9"/>
  <c r="E6303" i="9"/>
  <c r="D6303" i="9"/>
  <c r="C6303" i="9"/>
  <c r="L6303" i="9"/>
  <c r="M6303" i="9" s="1"/>
  <c r="L6309" i="9"/>
  <c r="M6309" i="9" s="1"/>
  <c r="C6309" i="9"/>
  <c r="E6309" i="9"/>
  <c r="D6309" i="9"/>
  <c r="E6315" i="9"/>
  <c r="D6315" i="9"/>
  <c r="C6315" i="9"/>
  <c r="L6315" i="9"/>
  <c r="M6315" i="9" s="1"/>
  <c r="L6321" i="9"/>
  <c r="M6321" i="9" s="1"/>
  <c r="C6321" i="9"/>
  <c r="E6321" i="9"/>
  <c r="D6321" i="9"/>
  <c r="E6327" i="9"/>
  <c r="D6327" i="9"/>
  <c r="C6327" i="9"/>
  <c r="L6327" i="9"/>
  <c r="M6327" i="9" s="1"/>
  <c r="L6333" i="9"/>
  <c r="M6333" i="9" s="1"/>
  <c r="C6333" i="9"/>
  <c r="E6333" i="9"/>
  <c r="D6333" i="9"/>
  <c r="E6339" i="9"/>
  <c r="L6339" i="9"/>
  <c r="M6339" i="9" s="1"/>
  <c r="D6339" i="9"/>
  <c r="C6339" i="9"/>
  <c r="D6345" i="9"/>
  <c r="C6345" i="9"/>
  <c r="L6345" i="9"/>
  <c r="M6345" i="9" s="1"/>
  <c r="E6345" i="9"/>
  <c r="E6351" i="9"/>
  <c r="D6351" i="9"/>
  <c r="C6351" i="9"/>
  <c r="L6351" i="9"/>
  <c r="M6351" i="9" s="1"/>
  <c r="L6357" i="9"/>
  <c r="M6357" i="9" s="1"/>
  <c r="E6357" i="9"/>
  <c r="D6357" i="9"/>
  <c r="C6357" i="9"/>
  <c r="L6369" i="9"/>
  <c r="M6369" i="9" s="1"/>
  <c r="E6369" i="9"/>
  <c r="D6369" i="9"/>
  <c r="C6369" i="9"/>
  <c r="E6381" i="9"/>
  <c r="D6381" i="9"/>
  <c r="L6381" i="9"/>
  <c r="M6381" i="9" s="1"/>
  <c r="C6381" i="9"/>
  <c r="E6393" i="9"/>
  <c r="D6393" i="9"/>
  <c r="L6393" i="9"/>
  <c r="M6393" i="9" s="1"/>
  <c r="C6393" i="9"/>
  <c r="E6405" i="9"/>
  <c r="D6405" i="9"/>
  <c r="L6405" i="9"/>
  <c r="M6405" i="9" s="1"/>
  <c r="C6405" i="9"/>
  <c r="E6417" i="9"/>
  <c r="D6417" i="9"/>
  <c r="C6417" i="9"/>
  <c r="L6417" i="9"/>
  <c r="M6417" i="9" s="1"/>
  <c r="E6429" i="9"/>
  <c r="D6429" i="9"/>
  <c r="C6429" i="9"/>
  <c r="L6429" i="9"/>
  <c r="M6429" i="9" s="1"/>
  <c r="E6441" i="9"/>
  <c r="D6441" i="9"/>
  <c r="C6441" i="9"/>
  <c r="L6441" i="9"/>
  <c r="M6441" i="9" s="1"/>
  <c r="E6453" i="9"/>
  <c r="D6453" i="9"/>
  <c r="C6453" i="9"/>
  <c r="L6453" i="9"/>
  <c r="M6453" i="9" s="1"/>
  <c r="E6465" i="9"/>
  <c r="D6465" i="9"/>
  <c r="C6465" i="9"/>
  <c r="L6465" i="9"/>
  <c r="M6465" i="9" s="1"/>
  <c r="E6477" i="9"/>
  <c r="D6477" i="9"/>
  <c r="C6477" i="9"/>
  <c r="L6477" i="9"/>
  <c r="M6477" i="9" s="1"/>
  <c r="L6489" i="9"/>
  <c r="M6489" i="9" s="1"/>
  <c r="E6489" i="9"/>
  <c r="D6489" i="9"/>
  <c r="C6489" i="9"/>
  <c r="L6501" i="9"/>
  <c r="M6501" i="9" s="1"/>
  <c r="D6501" i="9"/>
  <c r="C6501" i="9"/>
  <c r="E6501" i="9"/>
  <c r="L6513" i="9"/>
  <c r="M6513" i="9" s="1"/>
  <c r="E6513" i="9"/>
  <c r="D6513" i="9"/>
  <c r="C6513" i="9"/>
  <c r="L6525" i="9"/>
  <c r="M6525" i="9" s="1"/>
  <c r="E6525" i="9"/>
  <c r="D6525" i="9"/>
  <c r="C6525" i="9"/>
  <c r="C6537" i="9"/>
  <c r="L6537" i="9"/>
  <c r="M6537" i="9" s="1"/>
  <c r="E6537" i="9"/>
  <c r="D6537" i="9"/>
  <c r="C6549" i="9"/>
  <c r="L6549" i="9"/>
  <c r="M6549" i="9" s="1"/>
  <c r="E6549" i="9"/>
  <c r="D6549" i="9"/>
  <c r="C6561" i="9"/>
  <c r="L6561" i="9"/>
  <c r="M6561" i="9" s="1"/>
  <c r="E6561" i="9"/>
  <c r="D6561" i="9"/>
  <c r="C6573" i="9"/>
  <c r="L6573" i="9"/>
  <c r="M6573" i="9" s="1"/>
  <c r="E6573" i="9"/>
  <c r="D6573" i="9"/>
  <c r="C6585" i="9"/>
  <c r="L6585" i="9"/>
  <c r="M6585" i="9" s="1"/>
  <c r="E6585" i="9"/>
  <c r="D6585" i="9"/>
  <c r="C6597" i="9"/>
  <c r="L6597" i="9"/>
  <c r="M6597" i="9" s="1"/>
  <c r="E6597" i="9"/>
  <c r="D6597" i="9"/>
  <c r="C6609" i="9"/>
  <c r="L6609" i="9"/>
  <c r="M6609" i="9" s="1"/>
  <c r="E6609" i="9"/>
  <c r="D6609" i="9"/>
  <c r="E4732" i="9"/>
  <c r="D4732" i="9"/>
  <c r="E4748" i="9"/>
  <c r="D4748" i="9"/>
  <c r="E4764" i="9"/>
  <c r="D4764" i="9"/>
  <c r="E4780" i="9"/>
  <c r="D4780" i="9"/>
  <c r="C4780" i="9"/>
  <c r="L4780" i="9"/>
  <c r="M4780" i="9" s="1"/>
  <c r="E4796" i="9"/>
  <c r="D4796" i="9"/>
  <c r="E4812" i="9"/>
  <c r="D4812" i="9"/>
  <c r="C4812" i="9"/>
  <c r="L4812" i="9"/>
  <c r="M4812" i="9" s="1"/>
  <c r="D4828" i="9"/>
  <c r="L4828" i="9"/>
  <c r="M4828" i="9" s="1"/>
  <c r="E4828" i="9"/>
  <c r="C4828" i="9"/>
  <c r="E4844" i="9"/>
  <c r="D4844" i="9"/>
  <c r="C4844" i="9"/>
  <c r="L4844" i="9"/>
  <c r="M4844" i="9" s="1"/>
  <c r="L4860" i="9"/>
  <c r="M4860" i="9" s="1"/>
  <c r="E4860" i="9"/>
  <c r="D4860" i="9"/>
  <c r="C4860" i="9"/>
  <c r="E4876" i="9"/>
  <c r="D4876" i="9"/>
  <c r="L4876" i="9"/>
  <c r="M4876" i="9" s="1"/>
  <c r="C4876" i="9"/>
  <c r="E4892" i="9"/>
  <c r="D4892" i="9"/>
  <c r="C4892" i="9"/>
  <c r="L4892" i="9"/>
  <c r="M4892" i="9" s="1"/>
  <c r="L4908" i="9"/>
  <c r="M4908" i="9" s="1"/>
  <c r="E4908" i="9"/>
  <c r="D4908" i="9"/>
  <c r="C4908" i="9"/>
  <c r="E4924" i="9"/>
  <c r="D4924" i="9"/>
  <c r="L4924" i="9"/>
  <c r="M4924" i="9" s="1"/>
  <c r="C4924" i="9"/>
  <c r="E4940" i="9"/>
  <c r="D4940" i="9"/>
  <c r="C4940" i="9"/>
  <c r="L4940" i="9"/>
  <c r="M4940" i="9" s="1"/>
  <c r="E4956" i="9"/>
  <c r="D4956" i="9"/>
  <c r="E4972" i="9"/>
  <c r="D4972" i="9"/>
  <c r="E4988" i="9"/>
  <c r="D4988" i="9"/>
  <c r="E5004" i="9"/>
  <c r="D5004" i="9"/>
  <c r="E5020" i="9"/>
  <c r="D5020" i="9"/>
  <c r="L5020" i="9"/>
  <c r="M5020" i="9" s="1"/>
  <c r="C5020" i="9"/>
  <c r="E5036" i="9"/>
  <c r="D5036" i="9"/>
  <c r="C5036" i="9"/>
  <c r="L5036" i="9"/>
  <c r="M5036" i="9" s="1"/>
  <c r="L5052" i="9"/>
  <c r="M5052" i="9" s="1"/>
  <c r="E5052" i="9"/>
  <c r="D5052" i="9"/>
  <c r="C5052" i="9"/>
  <c r="E5068" i="9"/>
  <c r="D5068" i="9"/>
  <c r="L5068" i="9"/>
  <c r="M5068" i="9" s="1"/>
  <c r="C5068" i="9"/>
  <c r="E5084" i="9"/>
  <c r="D5084" i="9"/>
  <c r="C5084" i="9"/>
  <c r="L5084" i="9"/>
  <c r="M5084" i="9" s="1"/>
  <c r="L5100" i="9"/>
  <c r="M5100" i="9" s="1"/>
  <c r="E5100" i="9"/>
  <c r="D5100" i="9"/>
  <c r="C5100" i="9"/>
  <c r="C5116" i="9"/>
  <c r="L5116" i="9"/>
  <c r="M5116" i="9" s="1"/>
  <c r="E5116" i="9"/>
  <c r="D5116" i="9"/>
  <c r="E5132" i="9"/>
  <c r="D5132" i="9"/>
  <c r="C5132" i="9"/>
  <c r="L5132" i="9"/>
  <c r="M5132" i="9" s="1"/>
  <c r="E5148" i="9"/>
  <c r="D5148" i="9"/>
  <c r="E5164" i="9"/>
  <c r="D5164" i="9"/>
  <c r="E5180" i="9"/>
  <c r="D5180" i="9"/>
  <c r="C5180" i="9"/>
  <c r="L5180" i="9"/>
  <c r="M5180" i="9" s="1"/>
  <c r="E5196" i="9"/>
  <c r="D5196" i="9"/>
  <c r="E5212" i="9"/>
  <c r="D5212" i="9"/>
  <c r="E5228" i="9"/>
  <c r="D5228" i="9"/>
  <c r="C5244" i="9"/>
  <c r="L5244" i="9"/>
  <c r="M5244" i="9" s="1"/>
  <c r="E5244" i="9"/>
  <c r="D5244" i="9"/>
  <c r="C5260" i="9"/>
  <c r="L5260" i="9"/>
  <c r="M5260" i="9" s="1"/>
  <c r="E5260" i="9"/>
  <c r="D5260" i="9"/>
  <c r="E5276" i="9"/>
  <c r="D5276" i="9"/>
  <c r="C5276" i="9"/>
  <c r="L5276" i="9"/>
  <c r="M5276" i="9" s="1"/>
  <c r="C5292" i="9"/>
  <c r="L5292" i="9"/>
  <c r="M5292" i="9" s="1"/>
  <c r="E5292" i="9"/>
  <c r="D5292" i="9"/>
  <c r="C5308" i="9"/>
  <c r="L5308" i="9"/>
  <c r="M5308" i="9" s="1"/>
  <c r="E5308" i="9"/>
  <c r="D5308" i="9"/>
  <c r="E5324" i="9"/>
  <c r="L5324" i="9"/>
  <c r="M5324" i="9" s="1"/>
  <c r="D5324" i="9"/>
  <c r="C5324" i="9"/>
  <c r="E5340" i="9"/>
  <c r="D5340" i="9"/>
  <c r="C5340" i="9"/>
  <c r="L5340" i="9"/>
  <c r="M5340" i="9" s="1"/>
  <c r="D5356" i="9"/>
  <c r="E5356" i="9"/>
  <c r="E5372" i="9"/>
  <c r="D5372" i="9"/>
  <c r="E5388" i="9"/>
  <c r="D5388" i="9"/>
  <c r="E5404" i="9"/>
  <c r="D5404" i="9"/>
  <c r="E5420" i="9"/>
  <c r="D5420" i="9"/>
  <c r="C5420" i="9"/>
  <c r="L5420" i="9"/>
  <c r="M5420" i="9" s="1"/>
  <c r="E5436" i="9"/>
  <c r="D5436" i="9"/>
  <c r="C5452" i="9"/>
  <c r="E5452" i="9"/>
  <c r="L5452" i="9"/>
  <c r="M5452" i="9" s="1"/>
  <c r="D5452" i="9"/>
  <c r="E5468" i="9"/>
  <c r="D5468" i="9"/>
  <c r="C5468" i="9"/>
  <c r="L5468" i="9"/>
  <c r="M5468" i="9" s="1"/>
  <c r="C5484" i="9"/>
  <c r="L5484" i="9"/>
  <c r="M5484" i="9" s="1"/>
  <c r="E5484" i="9"/>
  <c r="D5484" i="9"/>
  <c r="C5500" i="9"/>
  <c r="E5500" i="9"/>
  <c r="L5500" i="9"/>
  <c r="M5500" i="9" s="1"/>
  <c r="D5500" i="9"/>
  <c r="E5516" i="9"/>
  <c r="D5516" i="9"/>
  <c r="L5516" i="9"/>
  <c r="M5516" i="9" s="1"/>
  <c r="C5516" i="9"/>
  <c r="C5532" i="9"/>
  <c r="L5532" i="9"/>
  <c r="M5532" i="9" s="1"/>
  <c r="E5532" i="9"/>
  <c r="D5532" i="9"/>
  <c r="E5548" i="9"/>
  <c r="D5548" i="9"/>
  <c r="C5548" i="9"/>
  <c r="L5548" i="9"/>
  <c r="M5548" i="9" s="1"/>
  <c r="D5564" i="9"/>
  <c r="E5564" i="9"/>
  <c r="E5580" i="9"/>
  <c r="D5580" i="9"/>
  <c r="C5580" i="9"/>
  <c r="L5580" i="9"/>
  <c r="M5580" i="9" s="1"/>
  <c r="E5596" i="9"/>
  <c r="D5596" i="9"/>
  <c r="E5612" i="9"/>
  <c r="D5612" i="9"/>
  <c r="E5628" i="9"/>
  <c r="D5628" i="9"/>
  <c r="C5628" i="9"/>
  <c r="L5628" i="9"/>
  <c r="M5628" i="9" s="1"/>
  <c r="E5644" i="9"/>
  <c r="D5644" i="9"/>
  <c r="C5644" i="9"/>
  <c r="L5644" i="9"/>
  <c r="M5644" i="9" s="1"/>
  <c r="E5660" i="9"/>
  <c r="L5660" i="9"/>
  <c r="M5660" i="9" s="1"/>
  <c r="D5660" i="9"/>
  <c r="C5660" i="9"/>
  <c r="E5676" i="9"/>
  <c r="D5676" i="9"/>
  <c r="C5676" i="9"/>
  <c r="L5676" i="9"/>
  <c r="M5676" i="9" s="1"/>
  <c r="C5692" i="9"/>
  <c r="L5692" i="9"/>
  <c r="M5692" i="9" s="1"/>
  <c r="E5692" i="9"/>
  <c r="D5692" i="9"/>
  <c r="E4150" i="9"/>
  <c r="D4150" i="9"/>
  <c r="C4150" i="9"/>
  <c r="L4150" i="9"/>
  <c r="M4150" i="9" s="1"/>
  <c r="D4155" i="9"/>
  <c r="C4155" i="9"/>
  <c r="L4155" i="9"/>
  <c r="M4155" i="9" s="1"/>
  <c r="E4155" i="9"/>
  <c r="E4174" i="9"/>
  <c r="D4174" i="9"/>
  <c r="C4174" i="9"/>
  <c r="L4174" i="9"/>
  <c r="M4174" i="9" s="1"/>
  <c r="D4179" i="9"/>
  <c r="C4179" i="9"/>
  <c r="L4179" i="9"/>
  <c r="M4179" i="9" s="1"/>
  <c r="E4179" i="9"/>
  <c r="E4199" i="9"/>
  <c r="D4199" i="9"/>
  <c r="C4199" i="9"/>
  <c r="L4199" i="9"/>
  <c r="M4199" i="9" s="1"/>
  <c r="E4215" i="9"/>
  <c r="D4215" i="9"/>
  <c r="C4215" i="9"/>
  <c r="L4215" i="9"/>
  <c r="M4215" i="9" s="1"/>
  <c r="L4231" i="9"/>
  <c r="M4231" i="9" s="1"/>
  <c r="D4231" i="9"/>
  <c r="C4231" i="9"/>
  <c r="E4231" i="9"/>
  <c r="E4247" i="9"/>
  <c r="D4247" i="9"/>
  <c r="C4247" i="9"/>
  <c r="L4247" i="9"/>
  <c r="M4247" i="9" s="1"/>
  <c r="E4263" i="9"/>
  <c r="D4263" i="9"/>
  <c r="C4263" i="9"/>
  <c r="L4263" i="9"/>
  <c r="M4263" i="9" s="1"/>
  <c r="L4279" i="9"/>
  <c r="M4279" i="9" s="1"/>
  <c r="D4279" i="9"/>
  <c r="C4279" i="9"/>
  <c r="E4279" i="9"/>
  <c r="E4295" i="9"/>
  <c r="D4295" i="9"/>
  <c r="C4295" i="9"/>
  <c r="L4295" i="9"/>
  <c r="M4295" i="9" s="1"/>
  <c r="E4311" i="9"/>
  <c r="D4311" i="9"/>
  <c r="C4311" i="9"/>
  <c r="L4311" i="9"/>
  <c r="M4311" i="9" s="1"/>
  <c r="L4327" i="9"/>
  <c r="M4327" i="9" s="1"/>
  <c r="D4327" i="9"/>
  <c r="C4327" i="9"/>
  <c r="E4327" i="9"/>
  <c r="E4343" i="9"/>
  <c r="D4343" i="9"/>
  <c r="C4343" i="9"/>
  <c r="L4343" i="9"/>
  <c r="M4343" i="9" s="1"/>
  <c r="E4359" i="9"/>
  <c r="D4359" i="9"/>
  <c r="C4359" i="9"/>
  <c r="L4359" i="9"/>
  <c r="M4359" i="9" s="1"/>
  <c r="L4375" i="9"/>
  <c r="M4375" i="9" s="1"/>
  <c r="D4375" i="9"/>
  <c r="C4375" i="9"/>
  <c r="E4375" i="9"/>
  <c r="E4391" i="9"/>
  <c r="D4391" i="9"/>
  <c r="C4391" i="9"/>
  <c r="L4391" i="9"/>
  <c r="M4391" i="9" s="1"/>
  <c r="E4407" i="9"/>
  <c r="D4407" i="9"/>
  <c r="C4407" i="9"/>
  <c r="L4407" i="9"/>
  <c r="M4407" i="9" s="1"/>
  <c r="L4423" i="9"/>
  <c r="M4423" i="9" s="1"/>
  <c r="D4423" i="9"/>
  <c r="C4423" i="9"/>
  <c r="E4423" i="9"/>
  <c r="L4439" i="9"/>
  <c r="M4439" i="9" s="1"/>
  <c r="E4439" i="9"/>
  <c r="C4439" i="9"/>
  <c r="D4439" i="9"/>
  <c r="E4455" i="9"/>
  <c r="D4455" i="9"/>
  <c r="L4455" i="9"/>
  <c r="M4455" i="9" s="1"/>
  <c r="C4455" i="9"/>
  <c r="E4471" i="9"/>
  <c r="D4471" i="9"/>
  <c r="C4471" i="9"/>
  <c r="L4471" i="9"/>
  <c r="M4471" i="9" s="1"/>
  <c r="L4487" i="9"/>
  <c r="M4487" i="9" s="1"/>
  <c r="E4487" i="9"/>
  <c r="C4487" i="9"/>
  <c r="D4487" i="9"/>
  <c r="E4503" i="9"/>
  <c r="D4503" i="9"/>
  <c r="L4503" i="9"/>
  <c r="M4503" i="9" s="1"/>
  <c r="C4503" i="9"/>
  <c r="E4519" i="9"/>
  <c r="D4519" i="9"/>
  <c r="E4535" i="9"/>
  <c r="D4535" i="9"/>
  <c r="E4551" i="9"/>
  <c r="D4551" i="9"/>
  <c r="L4551" i="9"/>
  <c r="M4551" i="9" s="1"/>
  <c r="C4551" i="9"/>
  <c r="E4567" i="9"/>
  <c r="D4567" i="9"/>
  <c r="E4583" i="9"/>
  <c r="D4583" i="9"/>
  <c r="E4599" i="9"/>
  <c r="D4599" i="9"/>
  <c r="E4615" i="9"/>
  <c r="D4615" i="9"/>
  <c r="C4615" i="9"/>
  <c r="L4615" i="9"/>
  <c r="M4615" i="9" s="1"/>
  <c r="L4631" i="9"/>
  <c r="M4631" i="9" s="1"/>
  <c r="E4631" i="9"/>
  <c r="C4631" i="9"/>
  <c r="D4631" i="9"/>
  <c r="E4647" i="9"/>
  <c r="D4647" i="9"/>
  <c r="L4647" i="9"/>
  <c r="M4647" i="9" s="1"/>
  <c r="C4647" i="9"/>
  <c r="E4663" i="9"/>
  <c r="D4663" i="9"/>
  <c r="C4663" i="9"/>
  <c r="L4663" i="9"/>
  <c r="M4663" i="9" s="1"/>
  <c r="L4679" i="9"/>
  <c r="M4679" i="9" s="1"/>
  <c r="E4679" i="9"/>
  <c r="C4679" i="9"/>
  <c r="D4679" i="9"/>
  <c r="E4695" i="9"/>
  <c r="D4695" i="9"/>
  <c r="L4695" i="9"/>
  <c r="M4695" i="9" s="1"/>
  <c r="C4695" i="9"/>
  <c r="E4711" i="9"/>
  <c r="D4711" i="9"/>
  <c r="C4711" i="9"/>
  <c r="L4711" i="9"/>
  <c r="M4711" i="9" s="1"/>
  <c r="E4727" i="9"/>
  <c r="D4727" i="9"/>
  <c r="D4743" i="9"/>
  <c r="E4743" i="9"/>
  <c r="D4759" i="9"/>
  <c r="E4759" i="9"/>
  <c r="E4775" i="9"/>
  <c r="D4775" i="9"/>
  <c r="E4791" i="9"/>
  <c r="D4791" i="9"/>
  <c r="C4791" i="9"/>
  <c r="L4791" i="9"/>
  <c r="M4791" i="9" s="1"/>
  <c r="D4807" i="9"/>
  <c r="E4807" i="9"/>
  <c r="L4823" i="9"/>
  <c r="M4823" i="9" s="1"/>
  <c r="E4823" i="9"/>
  <c r="D4823" i="9"/>
  <c r="C4823" i="9"/>
  <c r="E4839" i="9"/>
  <c r="L4839" i="9"/>
  <c r="M4839" i="9" s="1"/>
  <c r="C4839" i="9"/>
  <c r="D4839" i="9"/>
  <c r="E4855" i="9"/>
  <c r="D4855" i="9"/>
  <c r="C4855" i="9"/>
  <c r="L4855" i="9"/>
  <c r="M4855" i="9" s="1"/>
  <c r="L4871" i="9"/>
  <c r="M4871" i="9" s="1"/>
  <c r="E4871" i="9"/>
  <c r="D4871" i="9"/>
  <c r="C4871" i="9"/>
  <c r="E4887" i="9"/>
  <c r="L4887" i="9"/>
  <c r="M4887" i="9" s="1"/>
  <c r="D4887" i="9"/>
  <c r="C4887" i="9"/>
  <c r="E4903" i="9"/>
  <c r="D4903" i="9"/>
  <c r="C4903" i="9"/>
  <c r="L4903" i="9"/>
  <c r="M4903" i="9" s="1"/>
  <c r="L4919" i="9"/>
  <c r="M4919" i="9" s="1"/>
  <c r="E4919" i="9"/>
  <c r="D4919" i="9"/>
  <c r="C4919" i="9"/>
  <c r="E4935" i="9"/>
  <c r="D4935" i="9"/>
  <c r="E4951" i="9"/>
  <c r="D4951" i="9"/>
  <c r="C4951" i="9"/>
  <c r="L4951" i="9"/>
  <c r="M4951" i="9" s="1"/>
  <c r="E4967" i="9"/>
  <c r="D4967" i="9"/>
  <c r="E4983" i="9"/>
  <c r="D4983" i="9"/>
  <c r="E4999" i="9"/>
  <c r="D4999" i="9"/>
  <c r="E5015" i="9"/>
  <c r="D5015" i="9"/>
  <c r="E5031" i="9"/>
  <c r="L5031" i="9"/>
  <c r="M5031" i="9" s="1"/>
  <c r="D5031" i="9"/>
  <c r="C5031" i="9"/>
  <c r="E5047" i="9"/>
  <c r="D5047" i="9"/>
  <c r="C5047" i="9"/>
  <c r="L5047" i="9"/>
  <c r="M5047" i="9" s="1"/>
  <c r="L5063" i="9"/>
  <c r="M5063" i="9" s="1"/>
  <c r="E5063" i="9"/>
  <c r="D5063" i="9"/>
  <c r="C5063" i="9"/>
  <c r="E5079" i="9"/>
  <c r="L5079" i="9"/>
  <c r="M5079" i="9" s="1"/>
  <c r="D5079" i="9"/>
  <c r="C5079" i="9"/>
  <c r="E5095" i="9"/>
  <c r="D5095" i="9"/>
  <c r="C5095" i="9"/>
  <c r="L5095" i="9"/>
  <c r="M5095" i="9" s="1"/>
  <c r="D5111" i="9"/>
  <c r="C5111" i="9"/>
  <c r="L5111" i="9"/>
  <c r="M5111" i="9" s="1"/>
  <c r="E5111" i="9"/>
  <c r="L5127" i="9"/>
  <c r="M5127" i="9" s="1"/>
  <c r="D5127" i="9"/>
  <c r="C5127" i="9"/>
  <c r="E5127" i="9"/>
  <c r="E5143" i="9"/>
  <c r="D5143" i="9"/>
  <c r="D5159" i="9"/>
  <c r="E5159" i="9"/>
  <c r="D5175" i="9"/>
  <c r="E5175" i="9"/>
  <c r="E5191" i="9"/>
  <c r="D5191" i="9"/>
  <c r="C5191" i="9"/>
  <c r="L5191" i="9"/>
  <c r="M5191" i="9" s="1"/>
  <c r="D5207" i="9"/>
  <c r="E5207" i="9"/>
  <c r="D5223" i="9"/>
  <c r="E5223" i="9"/>
  <c r="E5239" i="9"/>
  <c r="D5239" i="9"/>
  <c r="L5239" i="9"/>
  <c r="M5239" i="9" s="1"/>
  <c r="C5239" i="9"/>
  <c r="D5255" i="9"/>
  <c r="C5255" i="9"/>
  <c r="L5255" i="9"/>
  <c r="M5255" i="9" s="1"/>
  <c r="E5255" i="9"/>
  <c r="L5271" i="9"/>
  <c r="M5271" i="9" s="1"/>
  <c r="D5271" i="9"/>
  <c r="C5271" i="9"/>
  <c r="E5271" i="9"/>
  <c r="E5287" i="9"/>
  <c r="D5287" i="9"/>
  <c r="C5287" i="9"/>
  <c r="L5287" i="9"/>
  <c r="M5287" i="9" s="1"/>
  <c r="D5303" i="9"/>
  <c r="C5303" i="9"/>
  <c r="L5303" i="9"/>
  <c r="M5303" i="9" s="1"/>
  <c r="E5303" i="9"/>
  <c r="D5319" i="9"/>
  <c r="C5319" i="9"/>
  <c r="L5319" i="9"/>
  <c r="M5319" i="9" s="1"/>
  <c r="E5319" i="9"/>
  <c r="L5335" i="9"/>
  <c r="M5335" i="9" s="1"/>
  <c r="E5335" i="9"/>
  <c r="D5335" i="9"/>
  <c r="C5335" i="9"/>
  <c r="E5351" i="9"/>
  <c r="D5351" i="9"/>
  <c r="L5351" i="9"/>
  <c r="M5351" i="9" s="1"/>
  <c r="C5351" i="9"/>
  <c r="D5367" i="9"/>
  <c r="E5367" i="9"/>
  <c r="E5383" i="9"/>
  <c r="D5383" i="9"/>
  <c r="E5399" i="9"/>
  <c r="D5399" i="9"/>
  <c r="E5415" i="9"/>
  <c r="D5415" i="9"/>
  <c r="E5431" i="9"/>
  <c r="D5431" i="9"/>
  <c r="L5431" i="9"/>
  <c r="M5431" i="9" s="1"/>
  <c r="C5431" i="9"/>
  <c r="E5447" i="9"/>
  <c r="D5447" i="9"/>
  <c r="C5447" i="9"/>
  <c r="L5447" i="9"/>
  <c r="M5447" i="9" s="1"/>
  <c r="D5463" i="9"/>
  <c r="C5463" i="9"/>
  <c r="L5463" i="9"/>
  <c r="M5463" i="9" s="1"/>
  <c r="E5463" i="9"/>
  <c r="L5479" i="9"/>
  <c r="M5479" i="9" s="1"/>
  <c r="E5479" i="9"/>
  <c r="D5479" i="9"/>
  <c r="C5479" i="9"/>
  <c r="D5495" i="9"/>
  <c r="E5495" i="9"/>
  <c r="C5495" i="9"/>
  <c r="L5495" i="9"/>
  <c r="M5495" i="9" s="1"/>
  <c r="D5511" i="9"/>
  <c r="C5511" i="9"/>
  <c r="L5511" i="9"/>
  <c r="M5511" i="9" s="1"/>
  <c r="E5511" i="9"/>
  <c r="L5527" i="9"/>
  <c r="M5527" i="9" s="1"/>
  <c r="E5527" i="9"/>
  <c r="D5527" i="9"/>
  <c r="C5527" i="9"/>
  <c r="L5543" i="9"/>
  <c r="M5543" i="9" s="1"/>
  <c r="C5543" i="9"/>
  <c r="E5543" i="9"/>
  <c r="D5543" i="9"/>
  <c r="E5559" i="9"/>
  <c r="D5559" i="9"/>
  <c r="C5559" i="9"/>
  <c r="L5559" i="9"/>
  <c r="M5559" i="9" s="1"/>
  <c r="E5575" i="9"/>
  <c r="D5575" i="9"/>
  <c r="E5591" i="9"/>
  <c r="D5591" i="9"/>
  <c r="L5591" i="9"/>
  <c r="M5591" i="9" s="1"/>
  <c r="C5591" i="9"/>
  <c r="E5607" i="9"/>
  <c r="D5607" i="9"/>
  <c r="E5623" i="9"/>
  <c r="D5623" i="9"/>
  <c r="E5639" i="9"/>
  <c r="D5639" i="9"/>
  <c r="L5639" i="9"/>
  <c r="M5639" i="9" s="1"/>
  <c r="C5639" i="9"/>
  <c r="D5655" i="9"/>
  <c r="C5655" i="9"/>
  <c r="L5655" i="9"/>
  <c r="M5655" i="9" s="1"/>
  <c r="E5655" i="9"/>
  <c r="L5671" i="9"/>
  <c r="M5671" i="9" s="1"/>
  <c r="E5671" i="9"/>
  <c r="D5671" i="9"/>
  <c r="C5671" i="9"/>
  <c r="E5687" i="9"/>
  <c r="D5687" i="9"/>
  <c r="C5687" i="9"/>
  <c r="L5687" i="9"/>
  <c r="M5687" i="9" s="1"/>
  <c r="E5698" i="9"/>
  <c r="D5698" i="9"/>
  <c r="C5698" i="9"/>
  <c r="L5698" i="9"/>
  <c r="M5698" i="9" s="1"/>
  <c r="C5704" i="9"/>
  <c r="L5704" i="9"/>
  <c r="M5704" i="9" s="1"/>
  <c r="E5704" i="9"/>
  <c r="D5704" i="9"/>
  <c r="E5710" i="9"/>
  <c r="D5710" i="9"/>
  <c r="C5710" i="9"/>
  <c r="L5710" i="9"/>
  <c r="M5710" i="9" s="1"/>
  <c r="C5716" i="9"/>
  <c r="L5716" i="9"/>
  <c r="M5716" i="9" s="1"/>
  <c r="E5716" i="9"/>
  <c r="D5716" i="9"/>
  <c r="E5722" i="9"/>
  <c r="D5722" i="9"/>
  <c r="C5722" i="9"/>
  <c r="L5722" i="9"/>
  <c r="M5722" i="9" s="1"/>
  <c r="C5728" i="9"/>
  <c r="L5728" i="9"/>
  <c r="M5728" i="9" s="1"/>
  <c r="E5728" i="9"/>
  <c r="D5728" i="9"/>
  <c r="E5734" i="9"/>
  <c r="D5734" i="9"/>
  <c r="C5734" i="9"/>
  <c r="L5734" i="9"/>
  <c r="M5734" i="9" s="1"/>
  <c r="C5740" i="9"/>
  <c r="L5740" i="9"/>
  <c r="M5740" i="9" s="1"/>
  <c r="E5740" i="9"/>
  <c r="D5740" i="9"/>
  <c r="E5746" i="9"/>
  <c r="D5746" i="9"/>
  <c r="C5746" i="9"/>
  <c r="L5746" i="9"/>
  <c r="M5746" i="9" s="1"/>
  <c r="C5752" i="9"/>
  <c r="L5752" i="9"/>
  <c r="M5752" i="9" s="1"/>
  <c r="E5752" i="9"/>
  <c r="D5752" i="9"/>
  <c r="E5758" i="9"/>
  <c r="D5758" i="9"/>
  <c r="C5758" i="9"/>
  <c r="L5758" i="9"/>
  <c r="M5758" i="9" s="1"/>
  <c r="C5764" i="9"/>
  <c r="L5764" i="9"/>
  <c r="M5764" i="9" s="1"/>
  <c r="E5764" i="9"/>
  <c r="D5764" i="9"/>
  <c r="L5770" i="9"/>
  <c r="M5770" i="9" s="1"/>
  <c r="D5770" i="9"/>
  <c r="C5770" i="9"/>
  <c r="E5770" i="9"/>
  <c r="E5776" i="9"/>
  <c r="D5776" i="9"/>
  <c r="D5782" i="9"/>
  <c r="E5782" i="9"/>
  <c r="E5788" i="9"/>
  <c r="D5788" i="9"/>
  <c r="C5788" i="9"/>
  <c r="L5788" i="9"/>
  <c r="M5788" i="9" s="1"/>
  <c r="D5794" i="9"/>
  <c r="E5794" i="9"/>
  <c r="E5800" i="9"/>
  <c r="D5800" i="9"/>
  <c r="C5800" i="9"/>
  <c r="L5800" i="9"/>
  <c r="M5800" i="9" s="1"/>
  <c r="D5806" i="9"/>
  <c r="E5806" i="9"/>
  <c r="E5812" i="9"/>
  <c r="D5812" i="9"/>
  <c r="L5818" i="9"/>
  <c r="M5818" i="9" s="1"/>
  <c r="D5818" i="9"/>
  <c r="C5818" i="9"/>
  <c r="E5818" i="9"/>
  <c r="E5824" i="9"/>
  <c r="D5824" i="9"/>
  <c r="L5830" i="9"/>
  <c r="M5830" i="9" s="1"/>
  <c r="D5830" i="9"/>
  <c r="C5830" i="9"/>
  <c r="E5830" i="9"/>
  <c r="E5836" i="9"/>
  <c r="D5836" i="9"/>
  <c r="L5842" i="9"/>
  <c r="M5842" i="9" s="1"/>
  <c r="D5842" i="9"/>
  <c r="C5842" i="9"/>
  <c r="E5842" i="9"/>
  <c r="E5848" i="9"/>
  <c r="D5848" i="9"/>
  <c r="C5848" i="9"/>
  <c r="L5848" i="9"/>
  <c r="M5848" i="9" s="1"/>
  <c r="L5854" i="9"/>
  <c r="M5854" i="9" s="1"/>
  <c r="D5854" i="9"/>
  <c r="C5854" i="9"/>
  <c r="E5854" i="9"/>
  <c r="E5860" i="9"/>
  <c r="D5860" i="9"/>
  <c r="C5860" i="9"/>
  <c r="L5860" i="9"/>
  <c r="M5860" i="9" s="1"/>
  <c r="L5866" i="9"/>
  <c r="M5866" i="9" s="1"/>
  <c r="D5866" i="9"/>
  <c r="C5866" i="9"/>
  <c r="E5866" i="9"/>
  <c r="E5872" i="9"/>
  <c r="D5872" i="9"/>
  <c r="C5872" i="9"/>
  <c r="L5872" i="9"/>
  <c r="M5872" i="9" s="1"/>
  <c r="L5878" i="9"/>
  <c r="M5878" i="9" s="1"/>
  <c r="D5878" i="9"/>
  <c r="C5878" i="9"/>
  <c r="E5878" i="9"/>
  <c r="D5884" i="9"/>
  <c r="C5884" i="9"/>
  <c r="L5884" i="9"/>
  <c r="M5884" i="9" s="1"/>
  <c r="E5884" i="9"/>
  <c r="L5890" i="9"/>
  <c r="M5890" i="9" s="1"/>
  <c r="E5890" i="9"/>
  <c r="D5890" i="9"/>
  <c r="C5890" i="9"/>
  <c r="E5896" i="9"/>
  <c r="D5896" i="9"/>
  <c r="C5896" i="9"/>
  <c r="L5896" i="9"/>
  <c r="M5896" i="9" s="1"/>
  <c r="L5902" i="9"/>
  <c r="M5902" i="9" s="1"/>
  <c r="E5902" i="9"/>
  <c r="D5902" i="9"/>
  <c r="C5902" i="9"/>
  <c r="E5908" i="9"/>
  <c r="D5908" i="9"/>
  <c r="C5908" i="9"/>
  <c r="L5908" i="9"/>
  <c r="M5908" i="9" s="1"/>
  <c r="L5914" i="9"/>
  <c r="M5914" i="9" s="1"/>
  <c r="E5914" i="9"/>
  <c r="D5914" i="9"/>
  <c r="C5914" i="9"/>
  <c r="E5920" i="9"/>
  <c r="D5920" i="9"/>
  <c r="C5920" i="9"/>
  <c r="L5920" i="9"/>
  <c r="M5920" i="9" s="1"/>
  <c r="L5926" i="9"/>
  <c r="M5926" i="9" s="1"/>
  <c r="D5926" i="9"/>
  <c r="C5926" i="9"/>
  <c r="E5926" i="9"/>
  <c r="E5932" i="9"/>
  <c r="D5932" i="9"/>
  <c r="C5932" i="9"/>
  <c r="L5932" i="9"/>
  <c r="M5932" i="9" s="1"/>
  <c r="L5938" i="9"/>
  <c r="M5938" i="9" s="1"/>
  <c r="E5938" i="9"/>
  <c r="C5938" i="9"/>
  <c r="D5938" i="9"/>
  <c r="E5944" i="9"/>
  <c r="D5944" i="9"/>
  <c r="C5944" i="9"/>
  <c r="L5944" i="9"/>
  <c r="M5944" i="9" s="1"/>
  <c r="L5950" i="9"/>
  <c r="M5950" i="9" s="1"/>
  <c r="E5950" i="9"/>
  <c r="D5950" i="9"/>
  <c r="C5950" i="9"/>
  <c r="E5956" i="9"/>
  <c r="D5956" i="9"/>
  <c r="C5956" i="9"/>
  <c r="L5956" i="9"/>
  <c r="M5956" i="9" s="1"/>
  <c r="L5962" i="9"/>
  <c r="M5962" i="9" s="1"/>
  <c r="E5962" i="9"/>
  <c r="D5962" i="9"/>
  <c r="C5962" i="9"/>
  <c r="E5968" i="9"/>
  <c r="D5968" i="9"/>
  <c r="C5968" i="9"/>
  <c r="L5968" i="9"/>
  <c r="M5968" i="9" s="1"/>
  <c r="L5974" i="9"/>
  <c r="M5974" i="9" s="1"/>
  <c r="D5974" i="9"/>
  <c r="C5974" i="9"/>
  <c r="E5974" i="9"/>
  <c r="E5980" i="9"/>
  <c r="D5980" i="9"/>
  <c r="C5980" i="9"/>
  <c r="L5980" i="9"/>
  <c r="M5980" i="9" s="1"/>
  <c r="L5986" i="9"/>
  <c r="M5986" i="9" s="1"/>
  <c r="E5986" i="9"/>
  <c r="D5986" i="9"/>
  <c r="C5986" i="9"/>
  <c r="E5992" i="9"/>
  <c r="D5992" i="9"/>
  <c r="C5992" i="9"/>
  <c r="L5992" i="9"/>
  <c r="M5992" i="9" s="1"/>
  <c r="L5998" i="9"/>
  <c r="M5998" i="9" s="1"/>
  <c r="E5998" i="9"/>
  <c r="D5998" i="9"/>
  <c r="C5998" i="9"/>
  <c r="E6004" i="9"/>
  <c r="D6004" i="9"/>
  <c r="C6004" i="9"/>
  <c r="L6004" i="9"/>
  <c r="M6004" i="9" s="1"/>
  <c r="D6010" i="9"/>
  <c r="C6010" i="9"/>
  <c r="E6010" i="9"/>
  <c r="L6010" i="9"/>
  <c r="M6010" i="9" s="1"/>
  <c r="E6016" i="9"/>
  <c r="C6016" i="9"/>
  <c r="L6016" i="9"/>
  <c r="M6016" i="9" s="1"/>
  <c r="D6016" i="9"/>
  <c r="D6022" i="9"/>
  <c r="C6022" i="9"/>
  <c r="E6022" i="9"/>
  <c r="L6022" i="9"/>
  <c r="M6022" i="9" s="1"/>
  <c r="E6028" i="9"/>
  <c r="D6028" i="9"/>
  <c r="C6028" i="9"/>
  <c r="L6028" i="9"/>
  <c r="M6028" i="9" s="1"/>
  <c r="D6034" i="9"/>
  <c r="C6034" i="9"/>
  <c r="E6034" i="9"/>
  <c r="L6034" i="9"/>
  <c r="M6034" i="9" s="1"/>
  <c r="E6040" i="9"/>
  <c r="D6040" i="9"/>
  <c r="C6040" i="9"/>
  <c r="L6040" i="9"/>
  <c r="M6040" i="9" s="1"/>
  <c r="D6046" i="9"/>
  <c r="C6046" i="9"/>
  <c r="E6046" i="9"/>
  <c r="L6046" i="9"/>
  <c r="M6046" i="9" s="1"/>
  <c r="E6052" i="9"/>
  <c r="D6052" i="9"/>
  <c r="C6052" i="9"/>
  <c r="L6052" i="9"/>
  <c r="M6052" i="9" s="1"/>
  <c r="D6058" i="9"/>
  <c r="C6058" i="9"/>
  <c r="E6058" i="9"/>
  <c r="L6058" i="9"/>
  <c r="M6058" i="9" s="1"/>
  <c r="E6064" i="9"/>
  <c r="D6064" i="9"/>
  <c r="C6064" i="9"/>
  <c r="L6064" i="9"/>
  <c r="M6064" i="9" s="1"/>
  <c r="D6070" i="9"/>
  <c r="C6070" i="9"/>
  <c r="E6070" i="9"/>
  <c r="L6070" i="9"/>
  <c r="M6070" i="9" s="1"/>
  <c r="E6076" i="9"/>
  <c r="D6076" i="9"/>
  <c r="C6076" i="9"/>
  <c r="L6076" i="9"/>
  <c r="M6076" i="9" s="1"/>
  <c r="D6082" i="9"/>
  <c r="C6082" i="9"/>
  <c r="L6082" i="9"/>
  <c r="M6082" i="9" s="1"/>
  <c r="E6082" i="9"/>
  <c r="E6088" i="9"/>
  <c r="D6088" i="9"/>
  <c r="C6088" i="9"/>
  <c r="L6088" i="9"/>
  <c r="M6088" i="9" s="1"/>
  <c r="D6094" i="9"/>
  <c r="C6094" i="9"/>
  <c r="L6094" i="9"/>
  <c r="M6094" i="9" s="1"/>
  <c r="E6094" i="9"/>
  <c r="E6100" i="9"/>
  <c r="D6100" i="9"/>
  <c r="C6100" i="9"/>
  <c r="L6100" i="9"/>
  <c r="M6100" i="9" s="1"/>
  <c r="D6106" i="9"/>
  <c r="C6106" i="9"/>
  <c r="L6106" i="9"/>
  <c r="M6106" i="9" s="1"/>
  <c r="E6106" i="9"/>
  <c r="E6112" i="9"/>
  <c r="D6112" i="9"/>
  <c r="C6112" i="9"/>
  <c r="L6112" i="9"/>
  <c r="M6112" i="9" s="1"/>
  <c r="D6118" i="9"/>
  <c r="C6118" i="9"/>
  <c r="L6118" i="9"/>
  <c r="M6118" i="9" s="1"/>
  <c r="E6118" i="9"/>
  <c r="E6124" i="9"/>
  <c r="D6124" i="9"/>
  <c r="C6124" i="9"/>
  <c r="L6124" i="9"/>
  <c r="M6124" i="9" s="1"/>
  <c r="D6130" i="9"/>
  <c r="C6130" i="9"/>
  <c r="L6130" i="9"/>
  <c r="M6130" i="9" s="1"/>
  <c r="E6130" i="9"/>
  <c r="D6136" i="9"/>
  <c r="C6136" i="9"/>
  <c r="L6136" i="9"/>
  <c r="M6136" i="9" s="1"/>
  <c r="E6136" i="9"/>
  <c r="E6142" i="9"/>
  <c r="C6142" i="9"/>
  <c r="D6142" i="9"/>
  <c r="L6142" i="9"/>
  <c r="M6142" i="9" s="1"/>
  <c r="D6148" i="9"/>
  <c r="C6148" i="9"/>
  <c r="L6148" i="9"/>
  <c r="M6148" i="9" s="1"/>
  <c r="E6148" i="9"/>
  <c r="E6154" i="9"/>
  <c r="C6154" i="9"/>
  <c r="L6154" i="9"/>
  <c r="M6154" i="9" s="1"/>
  <c r="D6154" i="9"/>
  <c r="D6160" i="9"/>
  <c r="C6160" i="9"/>
  <c r="L6160" i="9"/>
  <c r="M6160" i="9" s="1"/>
  <c r="E6160" i="9"/>
  <c r="E6166" i="9"/>
  <c r="D6166" i="9"/>
  <c r="C6166" i="9"/>
  <c r="L6166" i="9"/>
  <c r="M6166" i="9" s="1"/>
  <c r="D6172" i="9"/>
  <c r="C6172" i="9"/>
  <c r="L6172" i="9"/>
  <c r="M6172" i="9" s="1"/>
  <c r="E6172" i="9"/>
  <c r="E6178" i="9"/>
  <c r="D6178" i="9"/>
  <c r="C6178" i="9"/>
  <c r="L6178" i="9"/>
  <c r="M6178" i="9" s="1"/>
  <c r="D6184" i="9"/>
  <c r="C6184" i="9"/>
  <c r="L6184" i="9"/>
  <c r="M6184" i="9" s="1"/>
  <c r="E6184" i="9"/>
  <c r="E6190" i="9"/>
  <c r="D6190" i="9"/>
  <c r="C6190" i="9"/>
  <c r="L6190" i="9"/>
  <c r="M6190" i="9" s="1"/>
  <c r="D6196" i="9"/>
  <c r="C6196" i="9"/>
  <c r="L6196" i="9"/>
  <c r="M6196" i="9" s="1"/>
  <c r="E6196" i="9"/>
  <c r="E6202" i="9"/>
  <c r="D6202" i="9"/>
  <c r="C6202" i="9"/>
  <c r="L6202" i="9"/>
  <c r="M6202" i="9" s="1"/>
  <c r="D6208" i="9"/>
  <c r="C6208" i="9"/>
  <c r="L6208" i="9"/>
  <c r="M6208" i="9" s="1"/>
  <c r="E6208" i="9"/>
  <c r="E6214" i="9"/>
  <c r="D6214" i="9"/>
  <c r="C6214" i="9"/>
  <c r="L6214" i="9"/>
  <c r="M6214" i="9" s="1"/>
  <c r="D6220" i="9"/>
  <c r="C6220" i="9"/>
  <c r="L6220" i="9"/>
  <c r="M6220" i="9" s="1"/>
  <c r="E6220" i="9"/>
  <c r="E6226" i="9"/>
  <c r="D6226" i="9"/>
  <c r="C6226" i="9"/>
  <c r="L6226" i="9"/>
  <c r="M6226" i="9" s="1"/>
  <c r="D6232" i="9"/>
  <c r="C6232" i="9"/>
  <c r="L6232" i="9"/>
  <c r="M6232" i="9" s="1"/>
  <c r="E6232" i="9"/>
  <c r="E6238" i="9"/>
  <c r="D6238" i="9"/>
  <c r="C6238" i="9"/>
  <c r="L6238" i="9"/>
  <c r="M6238" i="9" s="1"/>
  <c r="D6244" i="9"/>
  <c r="C6244" i="9"/>
  <c r="L6244" i="9"/>
  <c r="M6244" i="9" s="1"/>
  <c r="E6244" i="9"/>
  <c r="E6250" i="9"/>
  <c r="D6250" i="9"/>
  <c r="C6250" i="9"/>
  <c r="L6250" i="9"/>
  <c r="M6250" i="9" s="1"/>
  <c r="D6256" i="9"/>
  <c r="C6256" i="9"/>
  <c r="L6256" i="9"/>
  <c r="M6256" i="9" s="1"/>
  <c r="E6256" i="9"/>
  <c r="E6262" i="9"/>
  <c r="D6262" i="9"/>
  <c r="C6262" i="9"/>
  <c r="L6262" i="9"/>
  <c r="M6262" i="9" s="1"/>
  <c r="E6268" i="9"/>
  <c r="D6268" i="9"/>
  <c r="C6268" i="9"/>
  <c r="L6268" i="9"/>
  <c r="M6268" i="9" s="1"/>
  <c r="L6274" i="9"/>
  <c r="M6274" i="9" s="1"/>
  <c r="E6274" i="9"/>
  <c r="D6274" i="9"/>
  <c r="C6274" i="9"/>
  <c r="E6280" i="9"/>
  <c r="D6280" i="9"/>
  <c r="C6280" i="9"/>
  <c r="L6280" i="9"/>
  <c r="M6280" i="9" s="1"/>
  <c r="L6286" i="9"/>
  <c r="M6286" i="9" s="1"/>
  <c r="E6286" i="9"/>
  <c r="D6286" i="9"/>
  <c r="C6286" i="9"/>
  <c r="E6292" i="9"/>
  <c r="D6292" i="9"/>
  <c r="C6292" i="9"/>
  <c r="L6292" i="9"/>
  <c r="M6292" i="9" s="1"/>
  <c r="L6298" i="9"/>
  <c r="M6298" i="9" s="1"/>
  <c r="E6298" i="9"/>
  <c r="D6298" i="9"/>
  <c r="C6298" i="9"/>
  <c r="E6304" i="9"/>
  <c r="D6304" i="9"/>
  <c r="C6304" i="9"/>
  <c r="L6304" i="9"/>
  <c r="M6304" i="9" s="1"/>
  <c r="L6310" i="9"/>
  <c r="M6310" i="9" s="1"/>
  <c r="E6310" i="9"/>
  <c r="D6310" i="9"/>
  <c r="C6310" i="9"/>
  <c r="E6316" i="9"/>
  <c r="D6316" i="9"/>
  <c r="C6316" i="9"/>
  <c r="L6316" i="9"/>
  <c r="M6316" i="9" s="1"/>
  <c r="L6322" i="9"/>
  <c r="M6322" i="9" s="1"/>
  <c r="E6322" i="9"/>
  <c r="D6322" i="9"/>
  <c r="C6322" i="9"/>
  <c r="L6334" i="9"/>
  <c r="M6334" i="9" s="1"/>
  <c r="E6334" i="9"/>
  <c r="D6334" i="9"/>
  <c r="C6334" i="9"/>
  <c r="E6346" i="9"/>
  <c r="L6346" i="9"/>
  <c r="M6346" i="9" s="1"/>
  <c r="D6346" i="9"/>
  <c r="C6346" i="9"/>
  <c r="E6358" i="9"/>
  <c r="L6358" i="9"/>
  <c r="M6358" i="9" s="1"/>
  <c r="C6358" i="9"/>
  <c r="D6358" i="9"/>
  <c r="E6370" i="9"/>
  <c r="L6370" i="9"/>
  <c r="M6370" i="9" s="1"/>
  <c r="D6370" i="9"/>
  <c r="C6370" i="9"/>
  <c r="E6382" i="9"/>
  <c r="D6382" i="9"/>
  <c r="C6382" i="9"/>
  <c r="L6382" i="9"/>
  <c r="M6382" i="9" s="1"/>
  <c r="E6394" i="9"/>
  <c r="D6394" i="9"/>
  <c r="C6394" i="9"/>
  <c r="L6394" i="9"/>
  <c r="M6394" i="9" s="1"/>
  <c r="E6406" i="9"/>
  <c r="D6406" i="9"/>
  <c r="C6406" i="9"/>
  <c r="L6406" i="9"/>
  <c r="M6406" i="9" s="1"/>
  <c r="D6418" i="9"/>
  <c r="C6418" i="9"/>
  <c r="L6418" i="9"/>
  <c r="M6418" i="9" s="1"/>
  <c r="E6418" i="9"/>
  <c r="D6430" i="9"/>
  <c r="C6430" i="9"/>
  <c r="E6430" i="9"/>
  <c r="L6430" i="9"/>
  <c r="M6430" i="9" s="1"/>
  <c r="D6442" i="9"/>
  <c r="C6442" i="9"/>
  <c r="L6442" i="9"/>
  <c r="M6442" i="9" s="1"/>
  <c r="E6442" i="9"/>
  <c r="D6454" i="9"/>
  <c r="C6454" i="9"/>
  <c r="L6454" i="9"/>
  <c r="M6454" i="9" s="1"/>
  <c r="E6454" i="9"/>
  <c r="D6466" i="9"/>
  <c r="C6466" i="9"/>
  <c r="L6466" i="9"/>
  <c r="M6466" i="9" s="1"/>
  <c r="E6466" i="9"/>
  <c r="D6478" i="9"/>
  <c r="C6478" i="9"/>
  <c r="L6478" i="9"/>
  <c r="M6478" i="9" s="1"/>
  <c r="E6478" i="9"/>
  <c r="L6490" i="9"/>
  <c r="M6490" i="9" s="1"/>
  <c r="C6490" i="9"/>
  <c r="E6490" i="9"/>
  <c r="D6490" i="9"/>
  <c r="L6502" i="9"/>
  <c r="M6502" i="9" s="1"/>
  <c r="E6502" i="9"/>
  <c r="D6502" i="9"/>
  <c r="C6502" i="9"/>
  <c r="L6514" i="9"/>
  <c r="M6514" i="9" s="1"/>
  <c r="E6514" i="9"/>
  <c r="D6514" i="9"/>
  <c r="C6514" i="9"/>
  <c r="L6526" i="9"/>
  <c r="M6526" i="9" s="1"/>
  <c r="E6526" i="9"/>
  <c r="D6526" i="9"/>
  <c r="C6526" i="9"/>
  <c r="L6538" i="9"/>
  <c r="M6538" i="9" s="1"/>
  <c r="E6538" i="9"/>
  <c r="D6538" i="9"/>
  <c r="C6538" i="9"/>
  <c r="L6550" i="9"/>
  <c r="M6550" i="9" s="1"/>
  <c r="D6550" i="9"/>
  <c r="C6550" i="9"/>
  <c r="E6550" i="9"/>
  <c r="L6562" i="9"/>
  <c r="M6562" i="9" s="1"/>
  <c r="E6562" i="9"/>
  <c r="D6562" i="9"/>
  <c r="C6562" i="9"/>
  <c r="L6574" i="9"/>
  <c r="M6574" i="9" s="1"/>
  <c r="E6574" i="9"/>
  <c r="D6574" i="9"/>
  <c r="C6574" i="9"/>
  <c r="L6586" i="9"/>
  <c r="M6586" i="9" s="1"/>
  <c r="E6586" i="9"/>
  <c r="D6586" i="9"/>
  <c r="C6586" i="9"/>
  <c r="L6598" i="9"/>
  <c r="M6598" i="9" s="1"/>
  <c r="E6598" i="9"/>
  <c r="D6598" i="9"/>
  <c r="C6598" i="9"/>
  <c r="L6610" i="9"/>
  <c r="M6610" i="9" s="1"/>
  <c r="E6610" i="9"/>
  <c r="D6610" i="9"/>
  <c r="C6610" i="9"/>
  <c r="D4722" i="9"/>
  <c r="E4722" i="9"/>
  <c r="E4733" i="9"/>
  <c r="D4733" i="9"/>
  <c r="E4738" i="9"/>
  <c r="D4738" i="9"/>
  <c r="D4749" i="9"/>
  <c r="E4749" i="9"/>
  <c r="E4754" i="9"/>
  <c r="D4754" i="9"/>
  <c r="E4765" i="9"/>
  <c r="D4765" i="9"/>
  <c r="E4770" i="9"/>
  <c r="D4770" i="9"/>
  <c r="C4770" i="9"/>
  <c r="L4770" i="9"/>
  <c r="M4770" i="9" s="1"/>
  <c r="E4781" i="9"/>
  <c r="D4781" i="9"/>
  <c r="C4781" i="9"/>
  <c r="L4781" i="9"/>
  <c r="M4781" i="9" s="1"/>
  <c r="E4786" i="9"/>
  <c r="D4786" i="9"/>
  <c r="E4797" i="9"/>
  <c r="D4797" i="9"/>
  <c r="E4802" i="9"/>
  <c r="D4802" i="9"/>
  <c r="E4813" i="9"/>
  <c r="D4813" i="9"/>
  <c r="C4813" i="9"/>
  <c r="L4813" i="9"/>
  <c r="M4813" i="9" s="1"/>
  <c r="E4818" i="9"/>
  <c r="D4818" i="9"/>
  <c r="L4818" i="9"/>
  <c r="M4818" i="9" s="1"/>
  <c r="C4818" i="9"/>
  <c r="E4829" i="9"/>
  <c r="C4829" i="9"/>
  <c r="L4829" i="9"/>
  <c r="M4829" i="9" s="1"/>
  <c r="D4829" i="9"/>
  <c r="C4834" i="9"/>
  <c r="L4834" i="9"/>
  <c r="M4834" i="9" s="1"/>
  <c r="E4834" i="9"/>
  <c r="D4834" i="9"/>
  <c r="D4845" i="9"/>
  <c r="C4845" i="9"/>
  <c r="L4845" i="9"/>
  <c r="M4845" i="9" s="1"/>
  <c r="E4845" i="9"/>
  <c r="C4850" i="9"/>
  <c r="L4850" i="9"/>
  <c r="M4850" i="9" s="1"/>
  <c r="E4850" i="9"/>
  <c r="D4850" i="9"/>
  <c r="L4861" i="9"/>
  <c r="M4861" i="9" s="1"/>
  <c r="D4861" i="9"/>
  <c r="C4861" i="9"/>
  <c r="E4861" i="9"/>
  <c r="E4866" i="9"/>
  <c r="D4866" i="9"/>
  <c r="C4866" i="9"/>
  <c r="L4866" i="9"/>
  <c r="M4866" i="9" s="1"/>
  <c r="E4877" i="9"/>
  <c r="D4877" i="9"/>
  <c r="C4877" i="9"/>
  <c r="L4877" i="9"/>
  <c r="M4877" i="9" s="1"/>
  <c r="C4882" i="9"/>
  <c r="L4882" i="9"/>
  <c r="M4882" i="9" s="1"/>
  <c r="E4882" i="9"/>
  <c r="D4882" i="9"/>
  <c r="D4893" i="9"/>
  <c r="C4893" i="9"/>
  <c r="L4893" i="9"/>
  <c r="M4893" i="9" s="1"/>
  <c r="E4893" i="9"/>
  <c r="C4898" i="9"/>
  <c r="L4898" i="9"/>
  <c r="M4898" i="9" s="1"/>
  <c r="E4898" i="9"/>
  <c r="D4898" i="9"/>
  <c r="L4909" i="9"/>
  <c r="M4909" i="9" s="1"/>
  <c r="D4909" i="9"/>
  <c r="C4909" i="9"/>
  <c r="E4909" i="9"/>
  <c r="E4914" i="9"/>
  <c r="D4914" i="9"/>
  <c r="C4914" i="9"/>
  <c r="L4914" i="9"/>
  <c r="M4914" i="9" s="1"/>
  <c r="E4925" i="9"/>
  <c r="D4925" i="9"/>
  <c r="C4925" i="9"/>
  <c r="L4925" i="9"/>
  <c r="M4925" i="9" s="1"/>
  <c r="C4930" i="9"/>
  <c r="L4930" i="9"/>
  <c r="M4930" i="9" s="1"/>
  <c r="E4930" i="9"/>
  <c r="D4930" i="9"/>
  <c r="D4941" i="9"/>
  <c r="C4941" i="9"/>
  <c r="L4941" i="9"/>
  <c r="M4941" i="9" s="1"/>
  <c r="E4941" i="9"/>
  <c r="E4946" i="9"/>
  <c r="D4946" i="9"/>
  <c r="D4957" i="9"/>
  <c r="E4957" i="9"/>
  <c r="E4962" i="9"/>
  <c r="D4962" i="9"/>
  <c r="E4973" i="9"/>
  <c r="D4973" i="9"/>
  <c r="E4978" i="9"/>
  <c r="D4978" i="9"/>
  <c r="D4989" i="9"/>
  <c r="E4989" i="9"/>
  <c r="E4994" i="9"/>
  <c r="D4994" i="9"/>
  <c r="D5005" i="9"/>
  <c r="E5005" i="9"/>
  <c r="E5010" i="9"/>
  <c r="D5010" i="9"/>
  <c r="C5010" i="9"/>
  <c r="L5010" i="9"/>
  <c r="M5010" i="9" s="1"/>
  <c r="E5021" i="9"/>
  <c r="D5021" i="9"/>
  <c r="C5021" i="9"/>
  <c r="L5021" i="9"/>
  <c r="M5021" i="9" s="1"/>
  <c r="C5026" i="9"/>
  <c r="L5026" i="9"/>
  <c r="M5026" i="9" s="1"/>
  <c r="E5026" i="9"/>
  <c r="D5026" i="9"/>
  <c r="D5037" i="9"/>
  <c r="C5037" i="9"/>
  <c r="L5037" i="9"/>
  <c r="M5037" i="9" s="1"/>
  <c r="E5037" i="9"/>
  <c r="C5042" i="9"/>
  <c r="L5042" i="9"/>
  <c r="M5042" i="9" s="1"/>
  <c r="E5042" i="9"/>
  <c r="D5042" i="9"/>
  <c r="L5053" i="9"/>
  <c r="M5053" i="9" s="1"/>
  <c r="D5053" i="9"/>
  <c r="C5053" i="9"/>
  <c r="E5053" i="9"/>
  <c r="E5058" i="9"/>
  <c r="D5058" i="9"/>
  <c r="C5058" i="9"/>
  <c r="L5058" i="9"/>
  <c r="M5058" i="9" s="1"/>
  <c r="E5069" i="9"/>
  <c r="D5069" i="9"/>
  <c r="C5069" i="9"/>
  <c r="L5069" i="9"/>
  <c r="M5069" i="9" s="1"/>
  <c r="C5074" i="9"/>
  <c r="L5074" i="9"/>
  <c r="M5074" i="9" s="1"/>
  <c r="E5074" i="9"/>
  <c r="D5074" i="9"/>
  <c r="D5085" i="9"/>
  <c r="C5085" i="9"/>
  <c r="L5085" i="9"/>
  <c r="M5085" i="9" s="1"/>
  <c r="E5085" i="9"/>
  <c r="C5090" i="9"/>
  <c r="L5090" i="9"/>
  <c r="M5090" i="9" s="1"/>
  <c r="E5090" i="9"/>
  <c r="D5090" i="9"/>
  <c r="L5101" i="9"/>
  <c r="M5101" i="9" s="1"/>
  <c r="D5101" i="9"/>
  <c r="C5101" i="9"/>
  <c r="E5101" i="9"/>
  <c r="E5106" i="9"/>
  <c r="D5106" i="9"/>
  <c r="C5106" i="9"/>
  <c r="L5106" i="9"/>
  <c r="M5106" i="9" s="1"/>
  <c r="E5117" i="9"/>
  <c r="L5117" i="9"/>
  <c r="M5117" i="9" s="1"/>
  <c r="D5117" i="9"/>
  <c r="C5117" i="9"/>
  <c r="E5122" i="9"/>
  <c r="D5122" i="9"/>
  <c r="C5122" i="9"/>
  <c r="L5122" i="9"/>
  <c r="M5122" i="9" s="1"/>
  <c r="E5133" i="9"/>
  <c r="D5133" i="9"/>
  <c r="C5133" i="9"/>
  <c r="L5133" i="9"/>
  <c r="M5133" i="9" s="1"/>
  <c r="L5138" i="9"/>
  <c r="M5138" i="9" s="1"/>
  <c r="E5138" i="9"/>
  <c r="D5138" i="9"/>
  <c r="C5138" i="9"/>
  <c r="E5149" i="9"/>
  <c r="D5149" i="9"/>
  <c r="E5154" i="9"/>
  <c r="D5154" i="9"/>
  <c r="E5165" i="9"/>
  <c r="D5165" i="9"/>
  <c r="E5170" i="9"/>
  <c r="D5170" i="9"/>
  <c r="C5170" i="9"/>
  <c r="L5170" i="9"/>
  <c r="M5170" i="9" s="1"/>
  <c r="E5181" i="9"/>
  <c r="D5181" i="9"/>
  <c r="C5181" i="9"/>
  <c r="L5181" i="9"/>
  <c r="M5181" i="9" s="1"/>
  <c r="E5186" i="9"/>
  <c r="D5186" i="9"/>
  <c r="E5197" i="9"/>
  <c r="D5197" i="9"/>
  <c r="E5202" i="9"/>
  <c r="D5202" i="9"/>
  <c r="E5213" i="9"/>
  <c r="D5213" i="9"/>
  <c r="E5218" i="9"/>
  <c r="D5218" i="9"/>
  <c r="E5229" i="9"/>
  <c r="D5229" i="9"/>
  <c r="L5234" i="9"/>
  <c r="M5234" i="9" s="1"/>
  <c r="E5234" i="9"/>
  <c r="D5234" i="9"/>
  <c r="C5234" i="9"/>
  <c r="L5245" i="9"/>
  <c r="M5245" i="9" s="1"/>
  <c r="C5245" i="9"/>
  <c r="E5245" i="9"/>
  <c r="D5245" i="9"/>
  <c r="E5250" i="9"/>
  <c r="D5250" i="9"/>
  <c r="C5250" i="9"/>
  <c r="L5250" i="9"/>
  <c r="M5250" i="9" s="1"/>
  <c r="E5261" i="9"/>
  <c r="L5261" i="9"/>
  <c r="M5261" i="9" s="1"/>
  <c r="D5261" i="9"/>
  <c r="C5261" i="9"/>
  <c r="E5266" i="9"/>
  <c r="D5266" i="9"/>
  <c r="C5266" i="9"/>
  <c r="L5266" i="9"/>
  <c r="M5266" i="9" s="1"/>
  <c r="E5277" i="9"/>
  <c r="D5277" i="9"/>
  <c r="C5277" i="9"/>
  <c r="L5277" i="9"/>
  <c r="M5277" i="9" s="1"/>
  <c r="L5282" i="9"/>
  <c r="M5282" i="9" s="1"/>
  <c r="E5282" i="9"/>
  <c r="D5282" i="9"/>
  <c r="C5282" i="9"/>
  <c r="L5293" i="9"/>
  <c r="M5293" i="9" s="1"/>
  <c r="E5293" i="9"/>
  <c r="D5293" i="9"/>
  <c r="C5293" i="9"/>
  <c r="E5298" i="9"/>
  <c r="D5298" i="9"/>
  <c r="L5298" i="9"/>
  <c r="M5298" i="9" s="1"/>
  <c r="C5298" i="9"/>
  <c r="D5309" i="9"/>
  <c r="L5309" i="9"/>
  <c r="M5309" i="9" s="1"/>
  <c r="E5309" i="9"/>
  <c r="C5309" i="9"/>
  <c r="E5314" i="9"/>
  <c r="D5314" i="9"/>
  <c r="L5314" i="9"/>
  <c r="M5314" i="9" s="1"/>
  <c r="C5314" i="9"/>
  <c r="L5325" i="9"/>
  <c r="M5325" i="9" s="1"/>
  <c r="D5325" i="9"/>
  <c r="E5325" i="9"/>
  <c r="C5325" i="9"/>
  <c r="E5330" i="9"/>
  <c r="D5330" i="9"/>
  <c r="C5330" i="9"/>
  <c r="L5330" i="9"/>
  <c r="M5330" i="9" s="1"/>
  <c r="E5341" i="9"/>
  <c r="D5341" i="9"/>
  <c r="C5341" i="9"/>
  <c r="L5341" i="9"/>
  <c r="M5341" i="9" s="1"/>
  <c r="C5346" i="9"/>
  <c r="L5346" i="9"/>
  <c r="M5346" i="9" s="1"/>
  <c r="E5346" i="9"/>
  <c r="D5346" i="9"/>
  <c r="E5357" i="9"/>
  <c r="D5357" i="9"/>
  <c r="E5362" i="9"/>
  <c r="D5362" i="9"/>
  <c r="E5373" i="9"/>
  <c r="D5373" i="9"/>
  <c r="D5378" i="9"/>
  <c r="E5378" i="9"/>
  <c r="E5389" i="9"/>
  <c r="D5389" i="9"/>
  <c r="D5394" i="9"/>
  <c r="E5394" i="9"/>
  <c r="E5405" i="9"/>
  <c r="D5405" i="9"/>
  <c r="E5410" i="9"/>
  <c r="D5410" i="9"/>
  <c r="C5410" i="9"/>
  <c r="L5410" i="9"/>
  <c r="M5410" i="9" s="1"/>
  <c r="E5421" i="9"/>
  <c r="D5421" i="9"/>
  <c r="C5421" i="9"/>
  <c r="L5421" i="9"/>
  <c r="M5421" i="9" s="1"/>
  <c r="D5426" i="9"/>
  <c r="E5426" i="9"/>
  <c r="E5437" i="9"/>
  <c r="D5437" i="9"/>
  <c r="L5442" i="9"/>
  <c r="M5442" i="9" s="1"/>
  <c r="E5442" i="9"/>
  <c r="D5442" i="9"/>
  <c r="C5442" i="9"/>
  <c r="D5453" i="9"/>
  <c r="E5453" i="9"/>
  <c r="C5453" i="9"/>
  <c r="L5453" i="9"/>
  <c r="M5453" i="9" s="1"/>
  <c r="E5458" i="9"/>
  <c r="C5458" i="9"/>
  <c r="L5458" i="9"/>
  <c r="M5458" i="9" s="1"/>
  <c r="D5458" i="9"/>
  <c r="D5469" i="9"/>
  <c r="L5469" i="9"/>
  <c r="M5469" i="9" s="1"/>
  <c r="E5469" i="9"/>
  <c r="C5469" i="9"/>
  <c r="E5474" i="9"/>
  <c r="D5474" i="9"/>
  <c r="L5474" i="9"/>
  <c r="M5474" i="9" s="1"/>
  <c r="C5474" i="9"/>
  <c r="E5485" i="9"/>
  <c r="L5485" i="9"/>
  <c r="M5485" i="9" s="1"/>
  <c r="D5485" i="9"/>
  <c r="C5485" i="9"/>
  <c r="L5490" i="9"/>
  <c r="M5490" i="9" s="1"/>
  <c r="C5490" i="9"/>
  <c r="E5490" i="9"/>
  <c r="D5490" i="9"/>
  <c r="D5501" i="9"/>
  <c r="C5501" i="9"/>
  <c r="L5501" i="9"/>
  <c r="M5501" i="9" s="1"/>
  <c r="E5501" i="9"/>
  <c r="E5506" i="9"/>
  <c r="C5506" i="9"/>
  <c r="D5506" i="9"/>
  <c r="L5506" i="9"/>
  <c r="M5506" i="9" s="1"/>
  <c r="D5517" i="9"/>
  <c r="C5517" i="9"/>
  <c r="L5517" i="9"/>
  <c r="M5517" i="9" s="1"/>
  <c r="E5517" i="9"/>
  <c r="E5522" i="9"/>
  <c r="D5522" i="9"/>
  <c r="L5522" i="9"/>
  <c r="M5522" i="9" s="1"/>
  <c r="C5522" i="9"/>
  <c r="E5533" i="9"/>
  <c r="L5533" i="9"/>
  <c r="M5533" i="9" s="1"/>
  <c r="D5533" i="9"/>
  <c r="C5533" i="9"/>
  <c r="L5538" i="9"/>
  <c r="M5538" i="9" s="1"/>
  <c r="C5538" i="9"/>
  <c r="E5538" i="9"/>
  <c r="D5538" i="9"/>
  <c r="D5549" i="9"/>
  <c r="C5549" i="9"/>
  <c r="L5549" i="9"/>
  <c r="M5549" i="9" s="1"/>
  <c r="E5549" i="9"/>
  <c r="E5554" i="9"/>
  <c r="C5554" i="9"/>
  <c r="L5554" i="9"/>
  <c r="M5554" i="9" s="1"/>
  <c r="D5554" i="9"/>
  <c r="D5565" i="9"/>
  <c r="E5565" i="9"/>
  <c r="E5570" i="9"/>
  <c r="D5570" i="9"/>
  <c r="C5570" i="9"/>
  <c r="L5570" i="9"/>
  <c r="M5570" i="9" s="1"/>
  <c r="E5581" i="9"/>
  <c r="D5581" i="9"/>
  <c r="C5581" i="9"/>
  <c r="L5581" i="9"/>
  <c r="M5581" i="9" s="1"/>
  <c r="D5586" i="9"/>
  <c r="E5586" i="9"/>
  <c r="D5597" i="9"/>
  <c r="E5597" i="9"/>
  <c r="E5602" i="9"/>
  <c r="D5602" i="9"/>
  <c r="E5613" i="9"/>
  <c r="D5613" i="9"/>
  <c r="E5618" i="9"/>
  <c r="D5618" i="9"/>
  <c r="C5618" i="9"/>
  <c r="L5618" i="9"/>
  <c r="M5618" i="9" s="1"/>
  <c r="E5629" i="9"/>
  <c r="D5629" i="9"/>
  <c r="C5629" i="9"/>
  <c r="L5629" i="9"/>
  <c r="M5629" i="9" s="1"/>
  <c r="C5634" i="9"/>
  <c r="L5634" i="9"/>
  <c r="M5634" i="9" s="1"/>
  <c r="D5634" i="9"/>
  <c r="E5634" i="9"/>
  <c r="D5645" i="9"/>
  <c r="C5645" i="9"/>
  <c r="L5645" i="9"/>
  <c r="M5645" i="9" s="1"/>
  <c r="E5645" i="9"/>
  <c r="E5650" i="9"/>
  <c r="D5650" i="9"/>
  <c r="L5650" i="9"/>
  <c r="M5650" i="9" s="1"/>
  <c r="C5650" i="9"/>
  <c r="E5661" i="9"/>
  <c r="D5661" i="9"/>
  <c r="L5661" i="9"/>
  <c r="M5661" i="9" s="1"/>
  <c r="C5661" i="9"/>
  <c r="E5666" i="9"/>
  <c r="D5666" i="9"/>
  <c r="C5666" i="9"/>
  <c r="L5666" i="9"/>
  <c r="M5666" i="9" s="1"/>
  <c r="E5677" i="9"/>
  <c r="D5677" i="9"/>
  <c r="C5677" i="9"/>
  <c r="L5677" i="9"/>
  <c r="M5677" i="9" s="1"/>
  <c r="L5682" i="9"/>
  <c r="M5682" i="9" s="1"/>
  <c r="C5682" i="9"/>
  <c r="E5682" i="9"/>
  <c r="D5682" i="9"/>
  <c r="L5693" i="9"/>
  <c r="M5693" i="9" s="1"/>
  <c r="D5693" i="9"/>
  <c r="E5693" i="9"/>
  <c r="C5693" i="9"/>
  <c r="E3736" i="9"/>
  <c r="D3736" i="9"/>
  <c r="E3749" i="9"/>
  <c r="D3749" i="9"/>
  <c r="C3749" i="9"/>
  <c r="L3749" i="9"/>
  <c r="M3749" i="9" s="1"/>
  <c r="E3762" i="9"/>
  <c r="D3762" i="9"/>
  <c r="E3767" i="9"/>
  <c r="D3767" i="9"/>
  <c r="E3786" i="9"/>
  <c r="D3786" i="9"/>
  <c r="C3786" i="9"/>
  <c r="L3786" i="9"/>
  <c r="M3786" i="9" s="1"/>
  <c r="L3791" i="9"/>
  <c r="M3791" i="9" s="1"/>
  <c r="E3791" i="9"/>
  <c r="D3791" i="9"/>
  <c r="C3791" i="9"/>
  <c r="E3810" i="9"/>
  <c r="D3810" i="9"/>
  <c r="C3810" i="9"/>
  <c r="L3810" i="9"/>
  <c r="M3810" i="9" s="1"/>
  <c r="L3815" i="9"/>
  <c r="M3815" i="9" s="1"/>
  <c r="E3815" i="9"/>
  <c r="D3815" i="9"/>
  <c r="C3815" i="9"/>
  <c r="E3834" i="9"/>
  <c r="D3834" i="9"/>
  <c r="C3834" i="9"/>
  <c r="L3834" i="9"/>
  <c r="M3834" i="9" s="1"/>
  <c r="L3839" i="9"/>
  <c r="M3839" i="9" s="1"/>
  <c r="E3839" i="9"/>
  <c r="D3839" i="9"/>
  <c r="C3839" i="9"/>
  <c r="E3858" i="9"/>
  <c r="D3858" i="9"/>
  <c r="C3858" i="9"/>
  <c r="L3858" i="9"/>
  <c r="M3858" i="9" s="1"/>
  <c r="L3863" i="9"/>
  <c r="M3863" i="9" s="1"/>
  <c r="E3863" i="9"/>
  <c r="D3863" i="9"/>
  <c r="C3863" i="9"/>
  <c r="E3882" i="9"/>
  <c r="D3882" i="9"/>
  <c r="C3882" i="9"/>
  <c r="L3882" i="9"/>
  <c r="M3882" i="9" s="1"/>
  <c r="L3887" i="9"/>
  <c r="M3887" i="9" s="1"/>
  <c r="E3887" i="9"/>
  <c r="D3887" i="9"/>
  <c r="C3887" i="9"/>
  <c r="E3906" i="9"/>
  <c r="D3906" i="9"/>
  <c r="C3906" i="9"/>
  <c r="L3906" i="9"/>
  <c r="M3906" i="9" s="1"/>
  <c r="E3911" i="9"/>
  <c r="D3911" i="9"/>
  <c r="L3911" i="9"/>
  <c r="M3911" i="9" s="1"/>
  <c r="C3911" i="9"/>
  <c r="L3930" i="9"/>
  <c r="M3930" i="9" s="1"/>
  <c r="E3930" i="9"/>
  <c r="D3930" i="9"/>
  <c r="C3930" i="9"/>
  <c r="E3935" i="9"/>
  <c r="D3935" i="9"/>
  <c r="C3935" i="9"/>
  <c r="L3935" i="9"/>
  <c r="M3935" i="9" s="1"/>
  <c r="L3954" i="9"/>
  <c r="M3954" i="9" s="1"/>
  <c r="E3954" i="9"/>
  <c r="D3954" i="9"/>
  <c r="C3954" i="9"/>
  <c r="E3959" i="9"/>
  <c r="D3959" i="9"/>
  <c r="C3959" i="9"/>
  <c r="L3959" i="9"/>
  <c r="M3959" i="9" s="1"/>
  <c r="L3978" i="9"/>
  <c r="M3978" i="9" s="1"/>
  <c r="E3978" i="9"/>
  <c r="D3978" i="9"/>
  <c r="C3978" i="9"/>
  <c r="E3983" i="9"/>
  <c r="D3983" i="9"/>
  <c r="C3983" i="9"/>
  <c r="L3983" i="9"/>
  <c r="M3983" i="9" s="1"/>
  <c r="L4002" i="9"/>
  <c r="M4002" i="9" s="1"/>
  <c r="E4002" i="9"/>
  <c r="D4002" i="9"/>
  <c r="C4002" i="9"/>
  <c r="E4007" i="9"/>
  <c r="D4007" i="9"/>
  <c r="C4007" i="9"/>
  <c r="L4007" i="9"/>
  <c r="M4007" i="9" s="1"/>
  <c r="L4026" i="9"/>
  <c r="M4026" i="9" s="1"/>
  <c r="E4026" i="9"/>
  <c r="D4026" i="9"/>
  <c r="C4026" i="9"/>
  <c r="E4031" i="9"/>
  <c r="D4031" i="9"/>
  <c r="C4031" i="9"/>
  <c r="L4031" i="9"/>
  <c r="M4031" i="9" s="1"/>
  <c r="L4050" i="9"/>
  <c r="M4050" i="9" s="1"/>
  <c r="E4050" i="9"/>
  <c r="D4050" i="9"/>
  <c r="C4050" i="9"/>
  <c r="E4055" i="9"/>
  <c r="D4055" i="9"/>
  <c r="C4055" i="9"/>
  <c r="L4055" i="9"/>
  <c r="M4055" i="9" s="1"/>
  <c r="L4074" i="9"/>
  <c r="M4074" i="9" s="1"/>
  <c r="E4074" i="9"/>
  <c r="D4074" i="9"/>
  <c r="C4074" i="9"/>
  <c r="E4079" i="9"/>
  <c r="D4079" i="9"/>
  <c r="C4079" i="9"/>
  <c r="L4079" i="9"/>
  <c r="M4079" i="9" s="1"/>
  <c r="L4098" i="9"/>
  <c r="M4098" i="9" s="1"/>
  <c r="E4098" i="9"/>
  <c r="D4098" i="9"/>
  <c r="C4098" i="9"/>
  <c r="E4103" i="9"/>
  <c r="D4103" i="9"/>
  <c r="C4103" i="9"/>
  <c r="L4103" i="9"/>
  <c r="M4103" i="9" s="1"/>
  <c r="L4122" i="9"/>
  <c r="M4122" i="9" s="1"/>
  <c r="E4122" i="9"/>
  <c r="D4122" i="9"/>
  <c r="C4122" i="9"/>
  <c r="E4127" i="9"/>
  <c r="D4127" i="9"/>
  <c r="C4127" i="9"/>
  <c r="L4127" i="9"/>
  <c r="M4127" i="9" s="1"/>
  <c r="L4146" i="9"/>
  <c r="M4146" i="9" s="1"/>
  <c r="E4146" i="9"/>
  <c r="D4146" i="9"/>
  <c r="C4146" i="9"/>
  <c r="E4151" i="9"/>
  <c r="D4151" i="9"/>
  <c r="C4151" i="9"/>
  <c r="L4151" i="9"/>
  <c r="M4151" i="9" s="1"/>
  <c r="L4170" i="9"/>
  <c r="M4170" i="9" s="1"/>
  <c r="E4170" i="9"/>
  <c r="D4170" i="9"/>
  <c r="C4170" i="9"/>
  <c r="E4175" i="9"/>
  <c r="D4175" i="9"/>
  <c r="C4175" i="9"/>
  <c r="L4175" i="9"/>
  <c r="M4175" i="9" s="1"/>
  <c r="D4200" i="9"/>
  <c r="C4200" i="9"/>
  <c r="L4200" i="9"/>
  <c r="M4200" i="9" s="1"/>
  <c r="E4200" i="9"/>
  <c r="E4216" i="9"/>
  <c r="D4216" i="9"/>
  <c r="C4216" i="9"/>
  <c r="L4216" i="9"/>
  <c r="M4216" i="9" s="1"/>
  <c r="L4232" i="9"/>
  <c r="M4232" i="9" s="1"/>
  <c r="E4232" i="9"/>
  <c r="C4232" i="9"/>
  <c r="D4232" i="9"/>
  <c r="E4248" i="9"/>
  <c r="D4248" i="9"/>
  <c r="C4248" i="9"/>
  <c r="L4248" i="9"/>
  <c r="M4248" i="9" s="1"/>
  <c r="E4264" i="9"/>
  <c r="D4264" i="9"/>
  <c r="C4264" i="9"/>
  <c r="L4264" i="9"/>
  <c r="M4264" i="9" s="1"/>
  <c r="L4280" i="9"/>
  <c r="M4280" i="9" s="1"/>
  <c r="E4280" i="9"/>
  <c r="C4280" i="9"/>
  <c r="D4280" i="9"/>
  <c r="E4296" i="9"/>
  <c r="D4296" i="9"/>
  <c r="C4296" i="9"/>
  <c r="L4296" i="9"/>
  <c r="M4296" i="9" s="1"/>
  <c r="E4312" i="9"/>
  <c r="D4312" i="9"/>
  <c r="C4312" i="9"/>
  <c r="L4312" i="9"/>
  <c r="M4312" i="9" s="1"/>
  <c r="L4328" i="9"/>
  <c r="M4328" i="9" s="1"/>
  <c r="E4328" i="9"/>
  <c r="C4328" i="9"/>
  <c r="D4328" i="9"/>
  <c r="E4344" i="9"/>
  <c r="D4344" i="9"/>
  <c r="C4344" i="9"/>
  <c r="L4344" i="9"/>
  <c r="M4344" i="9" s="1"/>
  <c r="E4360" i="9"/>
  <c r="D4360" i="9"/>
  <c r="C4360" i="9"/>
  <c r="L4360" i="9"/>
  <c r="M4360" i="9" s="1"/>
  <c r="L4376" i="9"/>
  <c r="M4376" i="9" s="1"/>
  <c r="E4376" i="9"/>
  <c r="C4376" i="9"/>
  <c r="D4376" i="9"/>
  <c r="E4392" i="9"/>
  <c r="D4392" i="9"/>
  <c r="C4392" i="9"/>
  <c r="L4392" i="9"/>
  <c r="M4392" i="9" s="1"/>
  <c r="E4408" i="9"/>
  <c r="D4408" i="9"/>
  <c r="C4408" i="9"/>
  <c r="L4408" i="9"/>
  <c r="M4408" i="9" s="1"/>
  <c r="L4424" i="9"/>
  <c r="M4424" i="9" s="1"/>
  <c r="E4424" i="9"/>
  <c r="C4424" i="9"/>
  <c r="D4424" i="9"/>
  <c r="L4440" i="9"/>
  <c r="M4440" i="9" s="1"/>
  <c r="D4440" i="9"/>
  <c r="E4440" i="9"/>
  <c r="C4440" i="9"/>
  <c r="E4456" i="9"/>
  <c r="D4456" i="9"/>
  <c r="C4456" i="9"/>
  <c r="L4456" i="9"/>
  <c r="M4456" i="9" s="1"/>
  <c r="D4472" i="9"/>
  <c r="C4472" i="9"/>
  <c r="L4472" i="9"/>
  <c r="M4472" i="9" s="1"/>
  <c r="E4472" i="9"/>
  <c r="L4488" i="9"/>
  <c r="M4488" i="9" s="1"/>
  <c r="D4488" i="9"/>
  <c r="E4488" i="9"/>
  <c r="C4488" i="9"/>
  <c r="E4504" i="9"/>
  <c r="D4504" i="9"/>
  <c r="C4504" i="9"/>
  <c r="L4504" i="9"/>
  <c r="M4504" i="9" s="1"/>
  <c r="D4520" i="9"/>
  <c r="C4520" i="9"/>
  <c r="L4520" i="9"/>
  <c r="M4520" i="9" s="1"/>
  <c r="E4520" i="9"/>
  <c r="D4536" i="9"/>
  <c r="E4536" i="9"/>
  <c r="E4552" i="9"/>
  <c r="D4552" i="9"/>
  <c r="D4568" i="9"/>
  <c r="E4568" i="9"/>
  <c r="D4584" i="9"/>
  <c r="E4584" i="9"/>
  <c r="E4600" i="9"/>
  <c r="D4600" i="9"/>
  <c r="C4600" i="9"/>
  <c r="L4600" i="9"/>
  <c r="M4600" i="9" s="1"/>
  <c r="D4616" i="9"/>
  <c r="C4616" i="9"/>
  <c r="L4616" i="9"/>
  <c r="M4616" i="9" s="1"/>
  <c r="E4616" i="9"/>
  <c r="L4632" i="9"/>
  <c r="M4632" i="9" s="1"/>
  <c r="D4632" i="9"/>
  <c r="E4632" i="9"/>
  <c r="C4632" i="9"/>
  <c r="E4648" i="9"/>
  <c r="D4648" i="9"/>
  <c r="C4648" i="9"/>
  <c r="L4648" i="9"/>
  <c r="M4648" i="9" s="1"/>
  <c r="D4664" i="9"/>
  <c r="C4664" i="9"/>
  <c r="L4664" i="9"/>
  <c r="M4664" i="9" s="1"/>
  <c r="E4664" i="9"/>
  <c r="L4680" i="9"/>
  <c r="M4680" i="9" s="1"/>
  <c r="D4680" i="9"/>
  <c r="E4680" i="9"/>
  <c r="C4680" i="9"/>
  <c r="E4696" i="9"/>
  <c r="D4696" i="9"/>
  <c r="C4696" i="9"/>
  <c r="L4696" i="9"/>
  <c r="M4696" i="9" s="1"/>
  <c r="D4712" i="9"/>
  <c r="C4712" i="9"/>
  <c r="L4712" i="9"/>
  <c r="M4712" i="9" s="1"/>
  <c r="E4712" i="9"/>
  <c r="E4728" i="9"/>
  <c r="D4728" i="9"/>
  <c r="E4744" i="9"/>
  <c r="D4744" i="9"/>
  <c r="C4760" i="9"/>
  <c r="L4760" i="9"/>
  <c r="M4760" i="9" s="1"/>
  <c r="E4760" i="9"/>
  <c r="D4760" i="9"/>
  <c r="E4776" i="9"/>
  <c r="D4776" i="9"/>
  <c r="E4792" i="9"/>
  <c r="D4792" i="9"/>
  <c r="E4808" i="9"/>
  <c r="D4808" i="9"/>
  <c r="L4824" i="9"/>
  <c r="M4824" i="9" s="1"/>
  <c r="E4824" i="9"/>
  <c r="D4824" i="9"/>
  <c r="C4824" i="9"/>
  <c r="E4840" i="9"/>
  <c r="D4840" i="9"/>
  <c r="L4840" i="9"/>
  <c r="M4840" i="9" s="1"/>
  <c r="C4840" i="9"/>
  <c r="E4856" i="9"/>
  <c r="D4856" i="9"/>
  <c r="C4856" i="9"/>
  <c r="L4856" i="9"/>
  <c r="M4856" i="9" s="1"/>
  <c r="L4872" i="9"/>
  <c r="M4872" i="9" s="1"/>
  <c r="E4872" i="9"/>
  <c r="D4872" i="9"/>
  <c r="C4872" i="9"/>
  <c r="E4888" i="9"/>
  <c r="D4888" i="9"/>
  <c r="L4888" i="9"/>
  <c r="M4888" i="9" s="1"/>
  <c r="C4888" i="9"/>
  <c r="E4904" i="9"/>
  <c r="D4904" i="9"/>
  <c r="C4904" i="9"/>
  <c r="L4904" i="9"/>
  <c r="M4904" i="9" s="1"/>
  <c r="L4920" i="9"/>
  <c r="M4920" i="9" s="1"/>
  <c r="E4920" i="9"/>
  <c r="D4920" i="9"/>
  <c r="C4920" i="9"/>
  <c r="E4936" i="9"/>
  <c r="D4936" i="9"/>
  <c r="E4952" i="9"/>
  <c r="D4952" i="9"/>
  <c r="E4968" i="9"/>
  <c r="D4968" i="9"/>
  <c r="E4984" i="9"/>
  <c r="D4984" i="9"/>
  <c r="E5000" i="9"/>
  <c r="D5000" i="9"/>
  <c r="C5000" i="9"/>
  <c r="L5000" i="9"/>
  <c r="M5000" i="9" s="1"/>
  <c r="E5016" i="9"/>
  <c r="D5016" i="9"/>
  <c r="E5032" i="9"/>
  <c r="D5032" i="9"/>
  <c r="L5032" i="9"/>
  <c r="M5032" i="9" s="1"/>
  <c r="C5032" i="9"/>
  <c r="E5048" i="9"/>
  <c r="D5048" i="9"/>
  <c r="C5048" i="9"/>
  <c r="L5048" i="9"/>
  <c r="M5048" i="9" s="1"/>
  <c r="L5064" i="9"/>
  <c r="M5064" i="9" s="1"/>
  <c r="E5064" i="9"/>
  <c r="D5064" i="9"/>
  <c r="C5064" i="9"/>
  <c r="E5080" i="9"/>
  <c r="D5080" i="9"/>
  <c r="L5080" i="9"/>
  <c r="M5080" i="9" s="1"/>
  <c r="C5080" i="9"/>
  <c r="E5096" i="9"/>
  <c r="D5096" i="9"/>
  <c r="C5096" i="9"/>
  <c r="L5096" i="9"/>
  <c r="M5096" i="9" s="1"/>
  <c r="C5112" i="9"/>
  <c r="L5112" i="9"/>
  <c r="M5112" i="9" s="1"/>
  <c r="E5112" i="9"/>
  <c r="D5112" i="9"/>
  <c r="E5128" i="9"/>
  <c r="C5128" i="9"/>
  <c r="L5128" i="9"/>
  <c r="M5128" i="9" s="1"/>
  <c r="D5128" i="9"/>
  <c r="E5144" i="9"/>
  <c r="D5144" i="9"/>
  <c r="C5160" i="9"/>
  <c r="L5160" i="9"/>
  <c r="M5160" i="9" s="1"/>
  <c r="E5160" i="9"/>
  <c r="D5160" i="9"/>
  <c r="E5176" i="9"/>
  <c r="D5176" i="9"/>
  <c r="E5192" i="9"/>
  <c r="D5192" i="9"/>
  <c r="E5208" i="9"/>
  <c r="D5208" i="9"/>
  <c r="E5224" i="9"/>
  <c r="D5224" i="9"/>
  <c r="E5240" i="9"/>
  <c r="D5240" i="9"/>
  <c r="C5240" i="9"/>
  <c r="L5240" i="9"/>
  <c r="M5240" i="9" s="1"/>
  <c r="C5256" i="9"/>
  <c r="L5256" i="9"/>
  <c r="M5256" i="9" s="1"/>
  <c r="D5256" i="9"/>
  <c r="E5256" i="9"/>
  <c r="C5272" i="9"/>
  <c r="L5272" i="9"/>
  <c r="M5272" i="9" s="1"/>
  <c r="E5272" i="9"/>
  <c r="D5272" i="9"/>
  <c r="E5288" i="9"/>
  <c r="D5288" i="9"/>
  <c r="C5288" i="9"/>
  <c r="L5288" i="9"/>
  <c r="M5288" i="9" s="1"/>
  <c r="C5304" i="9"/>
  <c r="L5304" i="9"/>
  <c r="M5304" i="9" s="1"/>
  <c r="E5304" i="9"/>
  <c r="D5304" i="9"/>
  <c r="E5320" i="9"/>
  <c r="C5320" i="9"/>
  <c r="L5320" i="9"/>
  <c r="M5320" i="9" s="1"/>
  <c r="D5320" i="9"/>
  <c r="E5336" i="9"/>
  <c r="D5336" i="9"/>
  <c r="L5336" i="9"/>
  <c r="M5336" i="9" s="1"/>
  <c r="C5336" i="9"/>
  <c r="E5352" i="9"/>
  <c r="D5352" i="9"/>
  <c r="E5368" i="9"/>
  <c r="D5368" i="9"/>
  <c r="E5384" i="9"/>
  <c r="D5384" i="9"/>
  <c r="E5400" i="9"/>
  <c r="D5400" i="9"/>
  <c r="C5400" i="9"/>
  <c r="L5400" i="9"/>
  <c r="M5400" i="9" s="1"/>
  <c r="D5416" i="9"/>
  <c r="E5416" i="9"/>
  <c r="E5432" i="9"/>
  <c r="D5432" i="9"/>
  <c r="E5448" i="9"/>
  <c r="D5448" i="9"/>
  <c r="C5448" i="9"/>
  <c r="L5448" i="9"/>
  <c r="M5448" i="9" s="1"/>
  <c r="C5464" i="9"/>
  <c r="E5464" i="9"/>
  <c r="L5464" i="9"/>
  <c r="M5464" i="9" s="1"/>
  <c r="D5464" i="9"/>
  <c r="E5480" i="9"/>
  <c r="D5480" i="9"/>
  <c r="L5480" i="9"/>
  <c r="M5480" i="9" s="1"/>
  <c r="C5480" i="9"/>
  <c r="C5496" i="9"/>
  <c r="L5496" i="9"/>
  <c r="M5496" i="9" s="1"/>
  <c r="E5496" i="9"/>
  <c r="D5496" i="9"/>
  <c r="C5512" i="9"/>
  <c r="E5512" i="9"/>
  <c r="D5512" i="9"/>
  <c r="L5512" i="9"/>
  <c r="M5512" i="9" s="1"/>
  <c r="E5528" i="9"/>
  <c r="D5528" i="9"/>
  <c r="L5528" i="9"/>
  <c r="M5528" i="9" s="1"/>
  <c r="C5528" i="9"/>
  <c r="E5544" i="9"/>
  <c r="L5544" i="9"/>
  <c r="M5544" i="9" s="1"/>
  <c r="D5544" i="9"/>
  <c r="C5544" i="9"/>
  <c r="E5560" i="9"/>
  <c r="D5560" i="9"/>
  <c r="C5560" i="9"/>
  <c r="L5560" i="9"/>
  <c r="M5560" i="9" s="1"/>
  <c r="E5576" i="9"/>
  <c r="D5576" i="9"/>
  <c r="E5592" i="9"/>
  <c r="D5592" i="9"/>
  <c r="E5608" i="9"/>
  <c r="D5608" i="9"/>
  <c r="C5608" i="9"/>
  <c r="L5608" i="9"/>
  <c r="M5608" i="9" s="1"/>
  <c r="E5624" i="9"/>
  <c r="D5624" i="9"/>
  <c r="E5640" i="9"/>
  <c r="D5640" i="9"/>
  <c r="C5640" i="9"/>
  <c r="L5640" i="9"/>
  <c r="M5640" i="9" s="1"/>
  <c r="C5656" i="9"/>
  <c r="L5656" i="9"/>
  <c r="M5656" i="9" s="1"/>
  <c r="E5656" i="9"/>
  <c r="D5656" i="9"/>
  <c r="E5672" i="9"/>
  <c r="D5672" i="9"/>
  <c r="C5672" i="9"/>
  <c r="L5672" i="9"/>
  <c r="M5672" i="9" s="1"/>
  <c r="E5688" i="9"/>
  <c r="D5688" i="9"/>
  <c r="C5688" i="9"/>
  <c r="L5688" i="9"/>
  <c r="M5688" i="9" s="1"/>
  <c r="E5699" i="9"/>
  <c r="D5699" i="9"/>
  <c r="C5699" i="9"/>
  <c r="L5699" i="9"/>
  <c r="M5699" i="9" s="1"/>
  <c r="L5705" i="9"/>
  <c r="M5705" i="9" s="1"/>
  <c r="D5705" i="9"/>
  <c r="E5705" i="9"/>
  <c r="C5705" i="9"/>
  <c r="E5711" i="9"/>
  <c r="D5711" i="9"/>
  <c r="C5711" i="9"/>
  <c r="L5711" i="9"/>
  <c r="M5711" i="9" s="1"/>
  <c r="L5717" i="9"/>
  <c r="M5717" i="9" s="1"/>
  <c r="D5717" i="9"/>
  <c r="E5717" i="9"/>
  <c r="C5717" i="9"/>
  <c r="E5723" i="9"/>
  <c r="D5723" i="9"/>
  <c r="C5723" i="9"/>
  <c r="L5723" i="9"/>
  <c r="M5723" i="9" s="1"/>
  <c r="L5729" i="9"/>
  <c r="M5729" i="9" s="1"/>
  <c r="D5729" i="9"/>
  <c r="E5729" i="9"/>
  <c r="C5729" i="9"/>
  <c r="E5735" i="9"/>
  <c r="D5735" i="9"/>
  <c r="C5735" i="9"/>
  <c r="L5735" i="9"/>
  <c r="M5735" i="9" s="1"/>
  <c r="L5741" i="9"/>
  <c r="M5741" i="9" s="1"/>
  <c r="D5741" i="9"/>
  <c r="E5741" i="9"/>
  <c r="C5741" i="9"/>
  <c r="E5747" i="9"/>
  <c r="D5747" i="9"/>
  <c r="C5747" i="9"/>
  <c r="L5747" i="9"/>
  <c r="M5747" i="9" s="1"/>
  <c r="L5753" i="9"/>
  <c r="M5753" i="9" s="1"/>
  <c r="D5753" i="9"/>
  <c r="C5753" i="9"/>
  <c r="E5753" i="9"/>
  <c r="E5759" i="9"/>
  <c r="D5759" i="9"/>
  <c r="C5759" i="9"/>
  <c r="L5759" i="9"/>
  <c r="M5759" i="9" s="1"/>
  <c r="L5765" i="9"/>
  <c r="M5765" i="9" s="1"/>
  <c r="D5765" i="9"/>
  <c r="E5765" i="9"/>
  <c r="C5765" i="9"/>
  <c r="L5771" i="9"/>
  <c r="M5771" i="9" s="1"/>
  <c r="C5771" i="9"/>
  <c r="E5771" i="9"/>
  <c r="D5771" i="9"/>
  <c r="E5777" i="9"/>
  <c r="D5777" i="9"/>
  <c r="E5783" i="9"/>
  <c r="D5783" i="9"/>
  <c r="E5789" i="9"/>
  <c r="D5789" i="9"/>
  <c r="C5789" i="9"/>
  <c r="L5789" i="9"/>
  <c r="M5789" i="9" s="1"/>
  <c r="E5795" i="9"/>
  <c r="D5795" i="9"/>
  <c r="E5801" i="9"/>
  <c r="D5801" i="9"/>
  <c r="C5801" i="9"/>
  <c r="L5801" i="9"/>
  <c r="M5801" i="9" s="1"/>
  <c r="E5807" i="9"/>
  <c r="D5807" i="9"/>
  <c r="E5813" i="9"/>
  <c r="D5813" i="9"/>
  <c r="L5819" i="9"/>
  <c r="M5819" i="9" s="1"/>
  <c r="C5819" i="9"/>
  <c r="E5819" i="9"/>
  <c r="D5819" i="9"/>
  <c r="E5825" i="9"/>
  <c r="D5825" i="9"/>
  <c r="L5831" i="9"/>
  <c r="M5831" i="9" s="1"/>
  <c r="C5831" i="9"/>
  <c r="E5831" i="9"/>
  <c r="D5831" i="9"/>
  <c r="E5837" i="9"/>
  <c r="D5837" i="9"/>
  <c r="L5843" i="9"/>
  <c r="M5843" i="9" s="1"/>
  <c r="C5843" i="9"/>
  <c r="E5843" i="9"/>
  <c r="D5843" i="9"/>
  <c r="E5849" i="9"/>
  <c r="D5849" i="9"/>
  <c r="C5849" i="9"/>
  <c r="L5849" i="9"/>
  <c r="M5849" i="9" s="1"/>
  <c r="L5855" i="9"/>
  <c r="M5855" i="9" s="1"/>
  <c r="C5855" i="9"/>
  <c r="E5855" i="9"/>
  <c r="D5855" i="9"/>
  <c r="E5861" i="9"/>
  <c r="D5861" i="9"/>
  <c r="C5861" i="9"/>
  <c r="L5861" i="9"/>
  <c r="M5861" i="9" s="1"/>
  <c r="L5867" i="9"/>
  <c r="M5867" i="9" s="1"/>
  <c r="C5867" i="9"/>
  <c r="E5867" i="9"/>
  <c r="D5867" i="9"/>
  <c r="E5873" i="9"/>
  <c r="D5873" i="9"/>
  <c r="C5873" i="9"/>
  <c r="L5873" i="9"/>
  <c r="M5873" i="9" s="1"/>
  <c r="L5879" i="9"/>
  <c r="M5879" i="9" s="1"/>
  <c r="C5879" i="9"/>
  <c r="E5879" i="9"/>
  <c r="D5879" i="9"/>
  <c r="E5885" i="9"/>
  <c r="D5885" i="9"/>
  <c r="C5885" i="9"/>
  <c r="L5885" i="9"/>
  <c r="M5885" i="9" s="1"/>
  <c r="E5891" i="9"/>
  <c r="L5891" i="9"/>
  <c r="M5891" i="9" s="1"/>
  <c r="D5891" i="9"/>
  <c r="C5891" i="9"/>
  <c r="E5897" i="9"/>
  <c r="D5897" i="9"/>
  <c r="C5897" i="9"/>
  <c r="L5897" i="9"/>
  <c r="M5897" i="9" s="1"/>
  <c r="E5903" i="9"/>
  <c r="L5903" i="9"/>
  <c r="M5903" i="9" s="1"/>
  <c r="D5903" i="9"/>
  <c r="C5903" i="9"/>
  <c r="E5909" i="9"/>
  <c r="D5909" i="9"/>
  <c r="C5909" i="9"/>
  <c r="L5909" i="9"/>
  <c r="M5909" i="9" s="1"/>
  <c r="E5915" i="9"/>
  <c r="L5915" i="9"/>
  <c r="M5915" i="9" s="1"/>
  <c r="C5915" i="9"/>
  <c r="D5915" i="9"/>
  <c r="E5921" i="9"/>
  <c r="D5921" i="9"/>
  <c r="C5921" i="9"/>
  <c r="L5921" i="9"/>
  <c r="M5921" i="9" s="1"/>
  <c r="E5927" i="9"/>
  <c r="L5927" i="9"/>
  <c r="M5927" i="9" s="1"/>
  <c r="D5927" i="9"/>
  <c r="C5927" i="9"/>
  <c r="E5933" i="9"/>
  <c r="D5933" i="9"/>
  <c r="C5933" i="9"/>
  <c r="L5933" i="9"/>
  <c r="M5933" i="9" s="1"/>
  <c r="E5939" i="9"/>
  <c r="L5939" i="9"/>
  <c r="M5939" i="9" s="1"/>
  <c r="D5939" i="9"/>
  <c r="C5939" i="9"/>
  <c r="E5945" i="9"/>
  <c r="D5945" i="9"/>
  <c r="C5945" i="9"/>
  <c r="L5945" i="9"/>
  <c r="M5945" i="9" s="1"/>
  <c r="E5951" i="9"/>
  <c r="L5951" i="9"/>
  <c r="M5951" i="9" s="1"/>
  <c r="D5951" i="9"/>
  <c r="C5951" i="9"/>
  <c r="E5957" i="9"/>
  <c r="D5957" i="9"/>
  <c r="C5957" i="9"/>
  <c r="L5957" i="9"/>
  <c r="M5957" i="9" s="1"/>
  <c r="E5963" i="9"/>
  <c r="L5963" i="9"/>
  <c r="M5963" i="9" s="1"/>
  <c r="C5963" i="9"/>
  <c r="D5963" i="9"/>
  <c r="E5969" i="9"/>
  <c r="D5969" i="9"/>
  <c r="C5969" i="9"/>
  <c r="L5969" i="9"/>
  <c r="M5969" i="9" s="1"/>
  <c r="E5975" i="9"/>
  <c r="L5975" i="9"/>
  <c r="M5975" i="9" s="1"/>
  <c r="D5975" i="9"/>
  <c r="C5975" i="9"/>
  <c r="E5981" i="9"/>
  <c r="D5981" i="9"/>
  <c r="C5981" i="9"/>
  <c r="L5981" i="9"/>
  <c r="M5981" i="9" s="1"/>
  <c r="E5987" i="9"/>
  <c r="L5987" i="9"/>
  <c r="M5987" i="9" s="1"/>
  <c r="D5987" i="9"/>
  <c r="C5987" i="9"/>
  <c r="E5993" i="9"/>
  <c r="D5993" i="9"/>
  <c r="C5993" i="9"/>
  <c r="L5993" i="9"/>
  <c r="M5993" i="9" s="1"/>
  <c r="E5999" i="9"/>
  <c r="L5999" i="9"/>
  <c r="M5999" i="9" s="1"/>
  <c r="D5999" i="9"/>
  <c r="C5999" i="9"/>
  <c r="E6005" i="9"/>
  <c r="D6005" i="9"/>
  <c r="C6005" i="9"/>
  <c r="L6005" i="9"/>
  <c r="M6005" i="9" s="1"/>
  <c r="C6011" i="9"/>
  <c r="L6011" i="9"/>
  <c r="M6011" i="9" s="1"/>
  <c r="E6011" i="9"/>
  <c r="D6011" i="9"/>
  <c r="D6017" i="9"/>
  <c r="L6017" i="9"/>
  <c r="M6017" i="9" s="1"/>
  <c r="E6017" i="9"/>
  <c r="C6017" i="9"/>
  <c r="C6023" i="9"/>
  <c r="L6023" i="9"/>
  <c r="M6023" i="9" s="1"/>
  <c r="E6023" i="9"/>
  <c r="D6023" i="9"/>
  <c r="D6029" i="9"/>
  <c r="C6029" i="9"/>
  <c r="L6029" i="9"/>
  <c r="M6029" i="9" s="1"/>
  <c r="E6029" i="9"/>
  <c r="C6035" i="9"/>
  <c r="L6035" i="9"/>
  <c r="M6035" i="9" s="1"/>
  <c r="E6035" i="9"/>
  <c r="D6035" i="9"/>
  <c r="D6041" i="9"/>
  <c r="C6041" i="9"/>
  <c r="L6041" i="9"/>
  <c r="M6041" i="9" s="1"/>
  <c r="E6041" i="9"/>
  <c r="C6047" i="9"/>
  <c r="L6047" i="9"/>
  <c r="M6047" i="9" s="1"/>
  <c r="E6047" i="9"/>
  <c r="D6047" i="9"/>
  <c r="D6053" i="9"/>
  <c r="C6053" i="9"/>
  <c r="L6053" i="9"/>
  <c r="M6053" i="9" s="1"/>
  <c r="E6053" i="9"/>
  <c r="C6059" i="9"/>
  <c r="L6059" i="9"/>
  <c r="M6059" i="9" s="1"/>
  <c r="E6059" i="9"/>
  <c r="D6059" i="9"/>
  <c r="D6065" i="9"/>
  <c r="C6065" i="9"/>
  <c r="L6065" i="9"/>
  <c r="M6065" i="9" s="1"/>
  <c r="E6065" i="9"/>
  <c r="C6071" i="9"/>
  <c r="L6071" i="9"/>
  <c r="M6071" i="9" s="1"/>
  <c r="E6071" i="9"/>
  <c r="D6071" i="9"/>
  <c r="E6077" i="9"/>
  <c r="D6077" i="9"/>
  <c r="C6077" i="9"/>
  <c r="L6077" i="9"/>
  <c r="M6077" i="9" s="1"/>
  <c r="C6083" i="9"/>
  <c r="L6083" i="9"/>
  <c r="M6083" i="9" s="1"/>
  <c r="E6083" i="9"/>
  <c r="D6083" i="9"/>
  <c r="E6089" i="9"/>
  <c r="D6089" i="9"/>
  <c r="C6089" i="9"/>
  <c r="L6089" i="9"/>
  <c r="M6089" i="9" s="1"/>
  <c r="C6095" i="9"/>
  <c r="L6095" i="9"/>
  <c r="M6095" i="9" s="1"/>
  <c r="E6095" i="9"/>
  <c r="D6095" i="9"/>
  <c r="E6101" i="9"/>
  <c r="D6101" i="9"/>
  <c r="C6101" i="9"/>
  <c r="L6101" i="9"/>
  <c r="M6101" i="9" s="1"/>
  <c r="C6107" i="9"/>
  <c r="L6107" i="9"/>
  <c r="M6107" i="9" s="1"/>
  <c r="E6107" i="9"/>
  <c r="D6107" i="9"/>
  <c r="E6113" i="9"/>
  <c r="D6113" i="9"/>
  <c r="C6113" i="9"/>
  <c r="L6113" i="9"/>
  <c r="M6113" i="9" s="1"/>
  <c r="C6119" i="9"/>
  <c r="L6119" i="9"/>
  <c r="M6119" i="9" s="1"/>
  <c r="E6119" i="9"/>
  <c r="D6119" i="9"/>
  <c r="E6125" i="9"/>
  <c r="D6125" i="9"/>
  <c r="C6125" i="9"/>
  <c r="L6125" i="9"/>
  <c r="M6125" i="9" s="1"/>
  <c r="C6131" i="9"/>
  <c r="L6131" i="9"/>
  <c r="M6131" i="9" s="1"/>
  <c r="E6131" i="9"/>
  <c r="D6131" i="9"/>
  <c r="C6137" i="9"/>
  <c r="L6137" i="9"/>
  <c r="M6137" i="9" s="1"/>
  <c r="E6137" i="9"/>
  <c r="D6137" i="9"/>
  <c r="E6143" i="9"/>
  <c r="D6143" i="9"/>
  <c r="L6143" i="9"/>
  <c r="M6143" i="9" s="1"/>
  <c r="C6143" i="9"/>
  <c r="C6149" i="9"/>
  <c r="L6149" i="9"/>
  <c r="M6149" i="9" s="1"/>
  <c r="E6149" i="9"/>
  <c r="D6149" i="9"/>
  <c r="E6155" i="9"/>
  <c r="D6155" i="9"/>
  <c r="L6155" i="9"/>
  <c r="M6155" i="9" s="1"/>
  <c r="C6155" i="9"/>
  <c r="C6161" i="9"/>
  <c r="L6161" i="9"/>
  <c r="M6161" i="9" s="1"/>
  <c r="E6161" i="9"/>
  <c r="D6161" i="9"/>
  <c r="E6167" i="9"/>
  <c r="D6167" i="9"/>
  <c r="C6167" i="9"/>
  <c r="L6167" i="9"/>
  <c r="M6167" i="9" s="1"/>
  <c r="C6173" i="9"/>
  <c r="L6173" i="9"/>
  <c r="M6173" i="9" s="1"/>
  <c r="E6173" i="9"/>
  <c r="D6173" i="9"/>
  <c r="E6179" i="9"/>
  <c r="D6179" i="9"/>
  <c r="C6179" i="9"/>
  <c r="L6179" i="9"/>
  <c r="M6179" i="9" s="1"/>
  <c r="C6185" i="9"/>
  <c r="L6185" i="9"/>
  <c r="M6185" i="9" s="1"/>
  <c r="E6185" i="9"/>
  <c r="D6185" i="9"/>
  <c r="E6191" i="9"/>
  <c r="D6191" i="9"/>
  <c r="C6191" i="9"/>
  <c r="L6191" i="9"/>
  <c r="M6191" i="9" s="1"/>
  <c r="C6197" i="9"/>
  <c r="L6197" i="9"/>
  <c r="M6197" i="9" s="1"/>
  <c r="E6197" i="9"/>
  <c r="D6197" i="9"/>
  <c r="E6203" i="9"/>
  <c r="D6203" i="9"/>
  <c r="C6203" i="9"/>
  <c r="L6203" i="9"/>
  <c r="M6203" i="9" s="1"/>
  <c r="C6209" i="9"/>
  <c r="L6209" i="9"/>
  <c r="M6209" i="9" s="1"/>
  <c r="E6209" i="9"/>
  <c r="D6209" i="9"/>
  <c r="E6215" i="9"/>
  <c r="D6215" i="9"/>
  <c r="C6215" i="9"/>
  <c r="L6215" i="9"/>
  <c r="M6215" i="9" s="1"/>
  <c r="C6221" i="9"/>
  <c r="L6221" i="9"/>
  <c r="M6221" i="9" s="1"/>
  <c r="E6221" i="9"/>
  <c r="D6221" i="9"/>
  <c r="E6227" i="9"/>
  <c r="D6227" i="9"/>
  <c r="C6227" i="9"/>
  <c r="L6227" i="9"/>
  <c r="M6227" i="9" s="1"/>
  <c r="C6233" i="9"/>
  <c r="L6233" i="9"/>
  <c r="M6233" i="9" s="1"/>
  <c r="E6233" i="9"/>
  <c r="D6233" i="9"/>
  <c r="E6239" i="9"/>
  <c r="D6239" i="9"/>
  <c r="C6239" i="9"/>
  <c r="L6239" i="9"/>
  <c r="M6239" i="9" s="1"/>
  <c r="C6245" i="9"/>
  <c r="L6245" i="9"/>
  <c r="M6245" i="9" s="1"/>
  <c r="E6245" i="9"/>
  <c r="D6245" i="9"/>
  <c r="E6251" i="9"/>
  <c r="D6251" i="9"/>
  <c r="C6251" i="9"/>
  <c r="L6251" i="9"/>
  <c r="M6251" i="9" s="1"/>
  <c r="C6257" i="9"/>
  <c r="L6257" i="9"/>
  <c r="M6257" i="9" s="1"/>
  <c r="E6257" i="9"/>
  <c r="D6257" i="9"/>
  <c r="E6263" i="9"/>
  <c r="D6263" i="9"/>
  <c r="C6263" i="9"/>
  <c r="L6263" i="9"/>
  <c r="M6263" i="9" s="1"/>
  <c r="E6269" i="9"/>
  <c r="D6269" i="9"/>
  <c r="C6269" i="9"/>
  <c r="L6269" i="9"/>
  <c r="M6269" i="9" s="1"/>
  <c r="D6275" i="9"/>
  <c r="L6275" i="9"/>
  <c r="M6275" i="9" s="1"/>
  <c r="E6275" i="9"/>
  <c r="C6275" i="9"/>
  <c r="E6281" i="9"/>
  <c r="D6281" i="9"/>
  <c r="C6281" i="9"/>
  <c r="L6281" i="9"/>
  <c r="M6281" i="9" s="1"/>
  <c r="D6287" i="9"/>
  <c r="L6287" i="9"/>
  <c r="M6287" i="9" s="1"/>
  <c r="C6287" i="9"/>
  <c r="E6287" i="9"/>
  <c r="E6293" i="9"/>
  <c r="D6293" i="9"/>
  <c r="C6293" i="9"/>
  <c r="L6293" i="9"/>
  <c r="M6293" i="9" s="1"/>
  <c r="D6299" i="9"/>
  <c r="L6299" i="9"/>
  <c r="M6299" i="9" s="1"/>
  <c r="E6299" i="9"/>
  <c r="C6299" i="9"/>
  <c r="E6305" i="9"/>
  <c r="D6305" i="9"/>
  <c r="C6305" i="9"/>
  <c r="L6305" i="9"/>
  <c r="M6305" i="9" s="1"/>
  <c r="E6311" i="9"/>
  <c r="D6311" i="9"/>
  <c r="L6311" i="9"/>
  <c r="M6311" i="9" s="1"/>
  <c r="C6311" i="9"/>
  <c r="E6317" i="9"/>
  <c r="D6317" i="9"/>
  <c r="C6317" i="9"/>
  <c r="L6317" i="9"/>
  <c r="M6317" i="9" s="1"/>
  <c r="E6323" i="9"/>
  <c r="D6323" i="9"/>
  <c r="L6323" i="9"/>
  <c r="M6323" i="9" s="1"/>
  <c r="C6323" i="9"/>
  <c r="E6329" i="9"/>
  <c r="D6329" i="9"/>
  <c r="C6329" i="9"/>
  <c r="L6329" i="9"/>
  <c r="M6329" i="9" s="1"/>
  <c r="E6335" i="9"/>
  <c r="D6335" i="9"/>
  <c r="L6335" i="9"/>
  <c r="M6335" i="9" s="1"/>
  <c r="C6335" i="9"/>
  <c r="C6341" i="9"/>
  <c r="L6341" i="9"/>
  <c r="M6341" i="9" s="1"/>
  <c r="E6341" i="9"/>
  <c r="D6341" i="9"/>
  <c r="E6347" i="9"/>
  <c r="D6347" i="9"/>
  <c r="L6347" i="9"/>
  <c r="M6347" i="9" s="1"/>
  <c r="C6347" i="9"/>
  <c r="C6353" i="9"/>
  <c r="L6353" i="9"/>
  <c r="M6353" i="9" s="1"/>
  <c r="E6353" i="9"/>
  <c r="D6353" i="9"/>
  <c r="C6365" i="9"/>
  <c r="L6365" i="9"/>
  <c r="M6365" i="9" s="1"/>
  <c r="E6365" i="9"/>
  <c r="D6365" i="9"/>
  <c r="C6377" i="9"/>
  <c r="L6377" i="9"/>
  <c r="M6377" i="9" s="1"/>
  <c r="E6377" i="9"/>
  <c r="D6377" i="9"/>
  <c r="C6389" i="9"/>
  <c r="L6389" i="9"/>
  <c r="M6389" i="9" s="1"/>
  <c r="E6389" i="9"/>
  <c r="D6389" i="9"/>
  <c r="C6401" i="9"/>
  <c r="L6401" i="9"/>
  <c r="M6401" i="9" s="1"/>
  <c r="E6401" i="9"/>
  <c r="D6401" i="9"/>
  <c r="C6413" i="9"/>
  <c r="L6413" i="9"/>
  <c r="M6413" i="9" s="1"/>
  <c r="E6413" i="9"/>
  <c r="D6413" i="9"/>
  <c r="D6425" i="9"/>
  <c r="L6425" i="9"/>
  <c r="M6425" i="9" s="1"/>
  <c r="E6425" i="9"/>
  <c r="C6425" i="9"/>
  <c r="E6437" i="9"/>
  <c r="D6437" i="9"/>
  <c r="L6437" i="9"/>
  <c r="M6437" i="9" s="1"/>
  <c r="C6437" i="9"/>
  <c r="E6449" i="9"/>
  <c r="D6449" i="9"/>
  <c r="L6449" i="9"/>
  <c r="M6449" i="9" s="1"/>
  <c r="C6449" i="9"/>
  <c r="E6461" i="9"/>
  <c r="D6461" i="9"/>
  <c r="L6461" i="9"/>
  <c r="M6461" i="9" s="1"/>
  <c r="C6461" i="9"/>
  <c r="E6473" i="9"/>
  <c r="D6473" i="9"/>
  <c r="C6473" i="9"/>
  <c r="L6473" i="9"/>
  <c r="M6473" i="9" s="1"/>
  <c r="E6485" i="9"/>
  <c r="D6485" i="9"/>
  <c r="C6485" i="9"/>
  <c r="L6485" i="9"/>
  <c r="M6485" i="9" s="1"/>
  <c r="E6497" i="9"/>
  <c r="D6497" i="9"/>
  <c r="C6497" i="9"/>
  <c r="L6497" i="9"/>
  <c r="M6497" i="9" s="1"/>
  <c r="E6509" i="9"/>
  <c r="D6509" i="9"/>
  <c r="C6509" i="9"/>
  <c r="L6509" i="9"/>
  <c r="M6509" i="9" s="1"/>
  <c r="E6521" i="9"/>
  <c r="D6521" i="9"/>
  <c r="C6521" i="9"/>
  <c r="L6521" i="9"/>
  <c r="M6521" i="9" s="1"/>
  <c r="E6533" i="9"/>
  <c r="D6533" i="9"/>
  <c r="C6533" i="9"/>
  <c r="L6533" i="9"/>
  <c r="M6533" i="9" s="1"/>
  <c r="E6545" i="9"/>
  <c r="D6545" i="9"/>
  <c r="C6545" i="9"/>
  <c r="L6545" i="9"/>
  <c r="M6545" i="9" s="1"/>
  <c r="E6557" i="9"/>
  <c r="D6557" i="9"/>
  <c r="C6557" i="9"/>
  <c r="L6557" i="9"/>
  <c r="M6557" i="9" s="1"/>
  <c r="E6569" i="9"/>
  <c r="D6569" i="9"/>
  <c r="C6569" i="9"/>
  <c r="L6569" i="9"/>
  <c r="M6569" i="9" s="1"/>
  <c r="E6581" i="9"/>
  <c r="D6581" i="9"/>
  <c r="C6581" i="9"/>
  <c r="L6581" i="9"/>
  <c r="M6581" i="9" s="1"/>
  <c r="E6593" i="9"/>
  <c r="D6593" i="9"/>
  <c r="C6593" i="9"/>
  <c r="L6593" i="9"/>
  <c r="M6593" i="9" s="1"/>
  <c r="E6605" i="9"/>
  <c r="D6605" i="9"/>
  <c r="C6605" i="9"/>
  <c r="L6605" i="9"/>
  <c r="M6605" i="9" s="1"/>
  <c r="E4041" i="9"/>
  <c r="D4041" i="9"/>
  <c r="C4041" i="9"/>
  <c r="L4041" i="9"/>
  <c r="M4041" i="9" s="1"/>
  <c r="C4060" i="9"/>
  <c r="L4060" i="9"/>
  <c r="M4060" i="9" s="1"/>
  <c r="E4060" i="9"/>
  <c r="D4060" i="9"/>
  <c r="E4065" i="9"/>
  <c r="D4065" i="9"/>
  <c r="C4065" i="9"/>
  <c r="L4065" i="9"/>
  <c r="M4065" i="9" s="1"/>
  <c r="C4084" i="9"/>
  <c r="L4084" i="9"/>
  <c r="M4084" i="9" s="1"/>
  <c r="E4084" i="9"/>
  <c r="D4084" i="9"/>
  <c r="E4089" i="9"/>
  <c r="D4089" i="9"/>
  <c r="C4089" i="9"/>
  <c r="L4089" i="9"/>
  <c r="M4089" i="9" s="1"/>
  <c r="C4108" i="9"/>
  <c r="L4108" i="9"/>
  <c r="M4108" i="9" s="1"/>
  <c r="E4108" i="9"/>
  <c r="D4108" i="9"/>
  <c r="E4113" i="9"/>
  <c r="D4113" i="9"/>
  <c r="C4113" i="9"/>
  <c r="L4113" i="9"/>
  <c r="M4113" i="9" s="1"/>
  <c r="C4132" i="9"/>
  <c r="L4132" i="9"/>
  <c r="M4132" i="9" s="1"/>
  <c r="E4132" i="9"/>
  <c r="D4132" i="9"/>
  <c r="E4137" i="9"/>
  <c r="D4137" i="9"/>
  <c r="C4137" i="9"/>
  <c r="L4137" i="9"/>
  <c r="M4137" i="9" s="1"/>
  <c r="C4156" i="9"/>
  <c r="L4156" i="9"/>
  <c r="M4156" i="9" s="1"/>
  <c r="E4156" i="9"/>
  <c r="D4156" i="9"/>
  <c r="E4161" i="9"/>
  <c r="D4161" i="9"/>
  <c r="C4161" i="9"/>
  <c r="L4161" i="9"/>
  <c r="M4161" i="9" s="1"/>
  <c r="C4180" i="9"/>
  <c r="L4180" i="9"/>
  <c r="M4180" i="9" s="1"/>
  <c r="E4180" i="9"/>
  <c r="D4180" i="9"/>
  <c r="E4185" i="9"/>
  <c r="D4185" i="9"/>
  <c r="C4185" i="9"/>
  <c r="L4185" i="9"/>
  <c r="M4185" i="9" s="1"/>
  <c r="L4195" i="9"/>
  <c r="M4195" i="9" s="1"/>
  <c r="E4195" i="9"/>
  <c r="D4195" i="9"/>
  <c r="C4195" i="9"/>
  <c r="E4211" i="9"/>
  <c r="D4211" i="9"/>
  <c r="C4211" i="9"/>
  <c r="L4211" i="9"/>
  <c r="M4211" i="9" s="1"/>
  <c r="E4227" i="9"/>
  <c r="D4227" i="9"/>
  <c r="C4227" i="9"/>
  <c r="L4227" i="9"/>
  <c r="M4227" i="9" s="1"/>
  <c r="L4243" i="9"/>
  <c r="M4243" i="9" s="1"/>
  <c r="D4243" i="9"/>
  <c r="C4243" i="9"/>
  <c r="E4243" i="9"/>
  <c r="E4259" i="9"/>
  <c r="D4259" i="9"/>
  <c r="C4259" i="9"/>
  <c r="L4259" i="9"/>
  <c r="M4259" i="9" s="1"/>
  <c r="E4275" i="9"/>
  <c r="D4275" i="9"/>
  <c r="C4275" i="9"/>
  <c r="L4275" i="9"/>
  <c r="M4275" i="9" s="1"/>
  <c r="L4291" i="9"/>
  <c r="M4291" i="9" s="1"/>
  <c r="D4291" i="9"/>
  <c r="C4291" i="9"/>
  <c r="E4291" i="9"/>
  <c r="E4307" i="9"/>
  <c r="D4307" i="9"/>
  <c r="C4307" i="9"/>
  <c r="L4307" i="9"/>
  <c r="M4307" i="9" s="1"/>
  <c r="E4323" i="9"/>
  <c r="D4323" i="9"/>
  <c r="C4323" i="9"/>
  <c r="L4323" i="9"/>
  <c r="M4323" i="9" s="1"/>
  <c r="L4339" i="9"/>
  <c r="M4339" i="9" s="1"/>
  <c r="D4339" i="9"/>
  <c r="C4339" i="9"/>
  <c r="E4339" i="9"/>
  <c r="E4355" i="9"/>
  <c r="D4355" i="9"/>
  <c r="C4355" i="9"/>
  <c r="L4355" i="9"/>
  <c r="M4355" i="9" s="1"/>
  <c r="E4371" i="9"/>
  <c r="D4371" i="9"/>
  <c r="C4371" i="9"/>
  <c r="L4371" i="9"/>
  <c r="M4371" i="9" s="1"/>
  <c r="L4387" i="9"/>
  <c r="M4387" i="9" s="1"/>
  <c r="D4387" i="9"/>
  <c r="C4387" i="9"/>
  <c r="E4387" i="9"/>
  <c r="E4403" i="9"/>
  <c r="D4403" i="9"/>
  <c r="C4403" i="9"/>
  <c r="L4403" i="9"/>
  <c r="M4403" i="9" s="1"/>
  <c r="E4419" i="9"/>
  <c r="D4419" i="9"/>
  <c r="C4419" i="9"/>
  <c r="L4419" i="9"/>
  <c r="M4419" i="9" s="1"/>
  <c r="E4435" i="9"/>
  <c r="C4435" i="9"/>
  <c r="L4435" i="9"/>
  <c r="M4435" i="9" s="1"/>
  <c r="D4435" i="9"/>
  <c r="L4451" i="9"/>
  <c r="M4451" i="9" s="1"/>
  <c r="E4451" i="9"/>
  <c r="C4451" i="9"/>
  <c r="D4451" i="9"/>
  <c r="E4467" i="9"/>
  <c r="D4467" i="9"/>
  <c r="C4467" i="9"/>
  <c r="L4467" i="9"/>
  <c r="M4467" i="9" s="1"/>
  <c r="E4483" i="9"/>
  <c r="D4483" i="9"/>
  <c r="C4483" i="9"/>
  <c r="L4483" i="9"/>
  <c r="M4483" i="9" s="1"/>
  <c r="L4499" i="9"/>
  <c r="M4499" i="9" s="1"/>
  <c r="E4499" i="9"/>
  <c r="C4499" i="9"/>
  <c r="D4499" i="9"/>
  <c r="E4515" i="9"/>
  <c r="D4515" i="9"/>
  <c r="E4531" i="9"/>
  <c r="D4531" i="9"/>
  <c r="C4531" i="9"/>
  <c r="L4531" i="9"/>
  <c r="M4531" i="9" s="1"/>
  <c r="E4547" i="9"/>
  <c r="D4547" i="9"/>
  <c r="E4563" i="9"/>
  <c r="D4563" i="9"/>
  <c r="E4579" i="9"/>
  <c r="D4579" i="9"/>
  <c r="E4595" i="9"/>
  <c r="D4595" i="9"/>
  <c r="E4611" i="9"/>
  <c r="D4611" i="9"/>
  <c r="C4611" i="9"/>
  <c r="L4611" i="9"/>
  <c r="M4611" i="9" s="1"/>
  <c r="E4627" i="9"/>
  <c r="D4627" i="9"/>
  <c r="C4627" i="9"/>
  <c r="L4627" i="9"/>
  <c r="M4627" i="9" s="1"/>
  <c r="L4643" i="9"/>
  <c r="M4643" i="9" s="1"/>
  <c r="E4643" i="9"/>
  <c r="C4643" i="9"/>
  <c r="D4643" i="9"/>
  <c r="E4659" i="9"/>
  <c r="D4659" i="9"/>
  <c r="C4659" i="9"/>
  <c r="L4659" i="9"/>
  <c r="M4659" i="9" s="1"/>
  <c r="E4675" i="9"/>
  <c r="D4675" i="9"/>
  <c r="C4675" i="9"/>
  <c r="L4675" i="9"/>
  <c r="M4675" i="9" s="1"/>
  <c r="L4691" i="9"/>
  <c r="M4691" i="9" s="1"/>
  <c r="E4691" i="9"/>
  <c r="C4691" i="9"/>
  <c r="D4691" i="9"/>
  <c r="E4707" i="9"/>
  <c r="D4707" i="9"/>
  <c r="C4707" i="9"/>
  <c r="L4707" i="9"/>
  <c r="M4707" i="9" s="1"/>
  <c r="E4723" i="9"/>
  <c r="D4723" i="9"/>
  <c r="E4739" i="9"/>
  <c r="D4739" i="9"/>
  <c r="E4755" i="9"/>
  <c r="D4755" i="9"/>
  <c r="D4771" i="9"/>
  <c r="C4771" i="9"/>
  <c r="L4771" i="9"/>
  <c r="M4771" i="9" s="1"/>
  <c r="E4771" i="9"/>
  <c r="E4787" i="9"/>
  <c r="D4787" i="9"/>
  <c r="E4803" i="9"/>
  <c r="D4803" i="9"/>
  <c r="E4819" i="9"/>
  <c r="D4819" i="9"/>
  <c r="C4819" i="9"/>
  <c r="L4819" i="9"/>
  <c r="M4819" i="9" s="1"/>
  <c r="L4835" i="9"/>
  <c r="M4835" i="9" s="1"/>
  <c r="E4835" i="9"/>
  <c r="D4835" i="9"/>
  <c r="C4835" i="9"/>
  <c r="E4851" i="9"/>
  <c r="L4851" i="9"/>
  <c r="M4851" i="9" s="1"/>
  <c r="D4851" i="9"/>
  <c r="C4851" i="9"/>
  <c r="E4867" i="9"/>
  <c r="D4867" i="9"/>
  <c r="C4867" i="9"/>
  <c r="L4867" i="9"/>
  <c r="M4867" i="9" s="1"/>
  <c r="L4883" i="9"/>
  <c r="M4883" i="9" s="1"/>
  <c r="E4883" i="9"/>
  <c r="D4883" i="9"/>
  <c r="C4883" i="9"/>
  <c r="E4899" i="9"/>
  <c r="L4899" i="9"/>
  <c r="M4899" i="9" s="1"/>
  <c r="D4899" i="9"/>
  <c r="C4899" i="9"/>
  <c r="E4915" i="9"/>
  <c r="D4915" i="9"/>
  <c r="C4915" i="9"/>
  <c r="L4915" i="9"/>
  <c r="M4915" i="9" s="1"/>
  <c r="L4931" i="9"/>
  <c r="M4931" i="9" s="1"/>
  <c r="E4931" i="9"/>
  <c r="D4931" i="9"/>
  <c r="C4931" i="9"/>
  <c r="E4947" i="9"/>
  <c r="D4947" i="9"/>
  <c r="E4963" i="9"/>
  <c r="D4963" i="9"/>
  <c r="E4979" i="9"/>
  <c r="D4979" i="9"/>
  <c r="E4995" i="9"/>
  <c r="D4995" i="9"/>
  <c r="E5011" i="9"/>
  <c r="D5011" i="9"/>
  <c r="C5011" i="9"/>
  <c r="L5011" i="9"/>
  <c r="M5011" i="9" s="1"/>
  <c r="L5027" i="9"/>
  <c r="M5027" i="9" s="1"/>
  <c r="E5027" i="9"/>
  <c r="D5027" i="9"/>
  <c r="C5027" i="9"/>
  <c r="E5043" i="9"/>
  <c r="L5043" i="9"/>
  <c r="M5043" i="9" s="1"/>
  <c r="D5043" i="9"/>
  <c r="C5043" i="9"/>
  <c r="E5059" i="9"/>
  <c r="D5059" i="9"/>
  <c r="C5059" i="9"/>
  <c r="L5059" i="9"/>
  <c r="M5059" i="9" s="1"/>
  <c r="L5075" i="9"/>
  <c r="M5075" i="9" s="1"/>
  <c r="E5075" i="9"/>
  <c r="D5075" i="9"/>
  <c r="C5075" i="9"/>
  <c r="E5091" i="9"/>
  <c r="L5091" i="9"/>
  <c r="M5091" i="9" s="1"/>
  <c r="D5091" i="9"/>
  <c r="C5091" i="9"/>
  <c r="E5107" i="9"/>
  <c r="D5107" i="9"/>
  <c r="C5107" i="9"/>
  <c r="L5107" i="9"/>
  <c r="M5107" i="9" s="1"/>
  <c r="D5123" i="9"/>
  <c r="C5123" i="9"/>
  <c r="L5123" i="9"/>
  <c r="M5123" i="9" s="1"/>
  <c r="E5123" i="9"/>
  <c r="L5139" i="9"/>
  <c r="M5139" i="9" s="1"/>
  <c r="D5139" i="9"/>
  <c r="C5139" i="9"/>
  <c r="E5139" i="9"/>
  <c r="E5155" i="9"/>
  <c r="D5155" i="9"/>
  <c r="D5171" i="9"/>
  <c r="C5171" i="9"/>
  <c r="L5171" i="9"/>
  <c r="M5171" i="9" s="1"/>
  <c r="E5171" i="9"/>
  <c r="D5187" i="9"/>
  <c r="E5187" i="9"/>
  <c r="E5203" i="9"/>
  <c r="D5203" i="9"/>
  <c r="D5219" i="9"/>
  <c r="E5219" i="9"/>
  <c r="L5235" i="9"/>
  <c r="M5235" i="9" s="1"/>
  <c r="E5235" i="9"/>
  <c r="D5235" i="9"/>
  <c r="C5235" i="9"/>
  <c r="E5251" i="9"/>
  <c r="D5251" i="9"/>
  <c r="C5251" i="9"/>
  <c r="L5251" i="9"/>
  <c r="M5251" i="9" s="1"/>
  <c r="D5267" i="9"/>
  <c r="C5267" i="9"/>
  <c r="L5267" i="9"/>
  <c r="M5267" i="9" s="1"/>
  <c r="E5267" i="9"/>
  <c r="L5283" i="9"/>
  <c r="M5283" i="9" s="1"/>
  <c r="D5283" i="9"/>
  <c r="C5283" i="9"/>
  <c r="E5283" i="9"/>
  <c r="E5299" i="9"/>
  <c r="D5299" i="9"/>
  <c r="C5299" i="9"/>
  <c r="L5299" i="9"/>
  <c r="M5299" i="9" s="1"/>
  <c r="E5315" i="9"/>
  <c r="D5315" i="9"/>
  <c r="C5315" i="9"/>
  <c r="L5315" i="9"/>
  <c r="M5315" i="9" s="1"/>
  <c r="D5331" i="9"/>
  <c r="C5331" i="9"/>
  <c r="E5331" i="9"/>
  <c r="L5331" i="9"/>
  <c r="M5331" i="9" s="1"/>
  <c r="L5347" i="9"/>
  <c r="M5347" i="9" s="1"/>
  <c r="E5347" i="9"/>
  <c r="D5347" i="9"/>
  <c r="C5347" i="9"/>
  <c r="E5363" i="9"/>
  <c r="D5363" i="9"/>
  <c r="D5379" i="9"/>
  <c r="E5379" i="9"/>
  <c r="E5395" i="9"/>
  <c r="D5395" i="9"/>
  <c r="E5411" i="9"/>
  <c r="D5411" i="9"/>
  <c r="C5411" i="9"/>
  <c r="L5411" i="9"/>
  <c r="M5411" i="9" s="1"/>
  <c r="E5427" i="9"/>
  <c r="D5427" i="9"/>
  <c r="E5443" i="9"/>
  <c r="D5443" i="9"/>
  <c r="L5443" i="9"/>
  <c r="M5443" i="9" s="1"/>
  <c r="C5443" i="9"/>
  <c r="D5459" i="9"/>
  <c r="C5459" i="9"/>
  <c r="L5459" i="9"/>
  <c r="M5459" i="9" s="1"/>
  <c r="E5459" i="9"/>
  <c r="D5475" i="9"/>
  <c r="C5475" i="9"/>
  <c r="L5475" i="9"/>
  <c r="M5475" i="9" s="1"/>
  <c r="E5475" i="9"/>
  <c r="L5491" i="9"/>
  <c r="M5491" i="9" s="1"/>
  <c r="E5491" i="9"/>
  <c r="D5491" i="9"/>
  <c r="C5491" i="9"/>
  <c r="D5507" i="9"/>
  <c r="L5507" i="9"/>
  <c r="M5507" i="9" s="1"/>
  <c r="E5507" i="9"/>
  <c r="C5507" i="9"/>
  <c r="D5523" i="9"/>
  <c r="C5523" i="9"/>
  <c r="L5523" i="9"/>
  <c r="M5523" i="9" s="1"/>
  <c r="E5523" i="9"/>
  <c r="L5539" i="9"/>
  <c r="M5539" i="9" s="1"/>
  <c r="E5539" i="9"/>
  <c r="D5539" i="9"/>
  <c r="C5539" i="9"/>
  <c r="E5555" i="9"/>
  <c r="D5555" i="9"/>
  <c r="C5555" i="9"/>
  <c r="L5555" i="9"/>
  <c r="M5555" i="9" s="1"/>
  <c r="E5571" i="9"/>
  <c r="D5571" i="9"/>
  <c r="C5571" i="9"/>
  <c r="L5571" i="9"/>
  <c r="M5571" i="9" s="1"/>
  <c r="E5587" i="9"/>
  <c r="D5587" i="9"/>
  <c r="E5603" i="9"/>
  <c r="D5603" i="9"/>
  <c r="E5619" i="9"/>
  <c r="D5619" i="9"/>
  <c r="C5619" i="9"/>
  <c r="L5619" i="9"/>
  <c r="M5619" i="9" s="1"/>
  <c r="L5635" i="9"/>
  <c r="M5635" i="9" s="1"/>
  <c r="D5635" i="9"/>
  <c r="E5635" i="9"/>
  <c r="C5635" i="9"/>
  <c r="E5651" i="9"/>
  <c r="D5651" i="9"/>
  <c r="C5651" i="9"/>
  <c r="L5651" i="9"/>
  <c r="M5651" i="9" s="1"/>
  <c r="D5667" i="9"/>
  <c r="C5667" i="9"/>
  <c r="L5667" i="9"/>
  <c r="M5667" i="9" s="1"/>
  <c r="E5667" i="9"/>
  <c r="L5683" i="9"/>
  <c r="M5683" i="9" s="1"/>
  <c r="E5683" i="9"/>
  <c r="D5683" i="9"/>
  <c r="C5683" i="9"/>
  <c r="L4075" i="9"/>
  <c r="M4075" i="9" s="1"/>
  <c r="E4075" i="9"/>
  <c r="D4075" i="9"/>
  <c r="C4075" i="9"/>
  <c r="E4094" i="9"/>
  <c r="D4094" i="9"/>
  <c r="C4094" i="9"/>
  <c r="L4094" i="9"/>
  <c r="M4094" i="9" s="1"/>
  <c r="L4099" i="9"/>
  <c r="M4099" i="9" s="1"/>
  <c r="E4099" i="9"/>
  <c r="D4099" i="9"/>
  <c r="C4099" i="9"/>
  <c r="E4118" i="9"/>
  <c r="D4118" i="9"/>
  <c r="C4118" i="9"/>
  <c r="L4118" i="9"/>
  <c r="M4118" i="9" s="1"/>
  <c r="L4123" i="9"/>
  <c r="M4123" i="9" s="1"/>
  <c r="E4123" i="9"/>
  <c r="D4123" i="9"/>
  <c r="C4123" i="9"/>
  <c r="E4142" i="9"/>
  <c r="D4142" i="9"/>
  <c r="C4142" i="9"/>
  <c r="L4142" i="9"/>
  <c r="M4142" i="9" s="1"/>
  <c r="L4147" i="9"/>
  <c r="M4147" i="9" s="1"/>
  <c r="E4147" i="9"/>
  <c r="D4147" i="9"/>
  <c r="C4147" i="9"/>
  <c r="E4166" i="9"/>
  <c r="D4166" i="9"/>
  <c r="C4166" i="9"/>
  <c r="L4166" i="9"/>
  <c r="M4166" i="9" s="1"/>
  <c r="L4171" i="9"/>
  <c r="M4171" i="9" s="1"/>
  <c r="E4171" i="9"/>
  <c r="D4171" i="9"/>
  <c r="C4171" i="9"/>
  <c r="E4190" i="9"/>
  <c r="D4190" i="9"/>
  <c r="C4190" i="9"/>
  <c r="L4190" i="9"/>
  <c r="M4190" i="9" s="1"/>
  <c r="E4201" i="9"/>
  <c r="C4201" i="9"/>
  <c r="L4201" i="9"/>
  <c r="M4201" i="9" s="1"/>
  <c r="D4201" i="9"/>
  <c r="C4206" i="9"/>
  <c r="L4206" i="9"/>
  <c r="M4206" i="9" s="1"/>
  <c r="E4206" i="9"/>
  <c r="D4206" i="9"/>
  <c r="D4217" i="9"/>
  <c r="C4217" i="9"/>
  <c r="L4217" i="9"/>
  <c r="M4217" i="9" s="1"/>
  <c r="E4217" i="9"/>
  <c r="E4222" i="9"/>
  <c r="D4222" i="9"/>
  <c r="C4222" i="9"/>
  <c r="L4222" i="9"/>
  <c r="M4222" i="9" s="1"/>
  <c r="L4233" i="9"/>
  <c r="M4233" i="9" s="1"/>
  <c r="E4233" i="9"/>
  <c r="D4233" i="9"/>
  <c r="C4233" i="9"/>
  <c r="E4238" i="9"/>
  <c r="D4238" i="9"/>
  <c r="C4238" i="9"/>
  <c r="L4238" i="9"/>
  <c r="M4238" i="9" s="1"/>
  <c r="E4249" i="9"/>
  <c r="D4249" i="9"/>
  <c r="C4249" i="9"/>
  <c r="L4249" i="9"/>
  <c r="M4249" i="9" s="1"/>
  <c r="C4254" i="9"/>
  <c r="L4254" i="9"/>
  <c r="M4254" i="9" s="1"/>
  <c r="E4254" i="9"/>
  <c r="D4254" i="9"/>
  <c r="D4265" i="9"/>
  <c r="C4265" i="9"/>
  <c r="L4265" i="9"/>
  <c r="M4265" i="9" s="1"/>
  <c r="E4265" i="9"/>
  <c r="E4270" i="9"/>
  <c r="D4270" i="9"/>
  <c r="C4270" i="9"/>
  <c r="L4270" i="9"/>
  <c r="M4270" i="9" s="1"/>
  <c r="L4281" i="9"/>
  <c r="M4281" i="9" s="1"/>
  <c r="E4281" i="9"/>
  <c r="D4281" i="9"/>
  <c r="C4281" i="9"/>
  <c r="E4286" i="9"/>
  <c r="D4286" i="9"/>
  <c r="C4286" i="9"/>
  <c r="L4286" i="9"/>
  <c r="M4286" i="9" s="1"/>
  <c r="E4297" i="9"/>
  <c r="D4297" i="9"/>
  <c r="C4297" i="9"/>
  <c r="L4297" i="9"/>
  <c r="M4297" i="9" s="1"/>
  <c r="C4302" i="9"/>
  <c r="L4302" i="9"/>
  <c r="M4302" i="9" s="1"/>
  <c r="E4302" i="9"/>
  <c r="D4302" i="9"/>
  <c r="D4313" i="9"/>
  <c r="C4313" i="9"/>
  <c r="L4313" i="9"/>
  <c r="M4313" i="9" s="1"/>
  <c r="E4313" i="9"/>
  <c r="E4318" i="9"/>
  <c r="D4318" i="9"/>
  <c r="C4318" i="9"/>
  <c r="L4318" i="9"/>
  <c r="M4318" i="9" s="1"/>
  <c r="L4329" i="9"/>
  <c r="M4329" i="9" s="1"/>
  <c r="E4329" i="9"/>
  <c r="D4329" i="9"/>
  <c r="C4329" i="9"/>
  <c r="E4334" i="9"/>
  <c r="D4334" i="9"/>
  <c r="C4334" i="9"/>
  <c r="L4334" i="9"/>
  <c r="M4334" i="9" s="1"/>
  <c r="E4345" i="9"/>
  <c r="D4345" i="9"/>
  <c r="C4345" i="9"/>
  <c r="L4345" i="9"/>
  <c r="M4345" i="9" s="1"/>
  <c r="C4350" i="9"/>
  <c r="L4350" i="9"/>
  <c r="M4350" i="9" s="1"/>
  <c r="E4350" i="9"/>
  <c r="D4350" i="9"/>
  <c r="D4361" i="9"/>
  <c r="C4361" i="9"/>
  <c r="L4361" i="9"/>
  <c r="M4361" i="9" s="1"/>
  <c r="E4361" i="9"/>
  <c r="E4366" i="9"/>
  <c r="D4366" i="9"/>
  <c r="C4366" i="9"/>
  <c r="L4366" i="9"/>
  <c r="M4366" i="9" s="1"/>
  <c r="L4377" i="9"/>
  <c r="M4377" i="9" s="1"/>
  <c r="E4377" i="9"/>
  <c r="D4377" i="9"/>
  <c r="C4377" i="9"/>
  <c r="E4382" i="9"/>
  <c r="D4382" i="9"/>
  <c r="C4382" i="9"/>
  <c r="L4382" i="9"/>
  <c r="M4382" i="9" s="1"/>
  <c r="E4393" i="9"/>
  <c r="D4393" i="9"/>
  <c r="C4393" i="9"/>
  <c r="L4393" i="9"/>
  <c r="M4393" i="9" s="1"/>
  <c r="C4398" i="9"/>
  <c r="L4398" i="9"/>
  <c r="M4398" i="9" s="1"/>
  <c r="E4398" i="9"/>
  <c r="D4398" i="9"/>
  <c r="D4409" i="9"/>
  <c r="C4409" i="9"/>
  <c r="L4409" i="9"/>
  <c r="M4409" i="9" s="1"/>
  <c r="E4409" i="9"/>
  <c r="E4414" i="9"/>
  <c r="D4414" i="9"/>
  <c r="C4414" i="9"/>
  <c r="L4414" i="9"/>
  <c r="M4414" i="9" s="1"/>
  <c r="L4425" i="9"/>
  <c r="M4425" i="9" s="1"/>
  <c r="E4425" i="9"/>
  <c r="D4425" i="9"/>
  <c r="C4425" i="9"/>
  <c r="E4430" i="9"/>
  <c r="L4430" i="9"/>
  <c r="M4430" i="9" s="1"/>
  <c r="D4430" i="9"/>
  <c r="C4430" i="9"/>
  <c r="C4441" i="9"/>
  <c r="L4441" i="9"/>
  <c r="M4441" i="9" s="1"/>
  <c r="E4441" i="9"/>
  <c r="D4441" i="9"/>
  <c r="E4446" i="9"/>
  <c r="D4446" i="9"/>
  <c r="C4446" i="9"/>
  <c r="L4446" i="9"/>
  <c r="M4446" i="9" s="1"/>
  <c r="E4457" i="9"/>
  <c r="D4457" i="9"/>
  <c r="C4457" i="9"/>
  <c r="L4457" i="9"/>
  <c r="M4457" i="9" s="1"/>
  <c r="L4462" i="9"/>
  <c r="M4462" i="9" s="1"/>
  <c r="D4462" i="9"/>
  <c r="C4462" i="9"/>
  <c r="E4462" i="9"/>
  <c r="C4473" i="9"/>
  <c r="L4473" i="9"/>
  <c r="M4473" i="9" s="1"/>
  <c r="E4473" i="9"/>
  <c r="D4473" i="9"/>
  <c r="E4478" i="9"/>
  <c r="L4478" i="9"/>
  <c r="M4478" i="9" s="1"/>
  <c r="D4478" i="9"/>
  <c r="C4478" i="9"/>
  <c r="C4489" i="9"/>
  <c r="L4489" i="9"/>
  <c r="M4489" i="9" s="1"/>
  <c r="E4489" i="9"/>
  <c r="D4489" i="9"/>
  <c r="E4494" i="9"/>
  <c r="D4494" i="9"/>
  <c r="C4494" i="9"/>
  <c r="L4494" i="9"/>
  <c r="M4494" i="9" s="1"/>
  <c r="E4505" i="9"/>
  <c r="D4505" i="9"/>
  <c r="C4505" i="9"/>
  <c r="L4505" i="9"/>
  <c r="M4505" i="9" s="1"/>
  <c r="L4510" i="9"/>
  <c r="M4510" i="9" s="1"/>
  <c r="D4510" i="9"/>
  <c r="C4510" i="9"/>
  <c r="E4510" i="9"/>
  <c r="C4521" i="9"/>
  <c r="L4521" i="9"/>
  <c r="M4521" i="9" s="1"/>
  <c r="E4521" i="9"/>
  <c r="D4521" i="9"/>
  <c r="E4526" i="9"/>
  <c r="D4526" i="9"/>
  <c r="E4537" i="9"/>
  <c r="D4537" i="9"/>
  <c r="E4542" i="9"/>
  <c r="D4542" i="9"/>
  <c r="E4553" i="9"/>
  <c r="D4553" i="9"/>
  <c r="D4558" i="9"/>
  <c r="E4558" i="9"/>
  <c r="E4569" i="9"/>
  <c r="D4569" i="9"/>
  <c r="E4574" i="9"/>
  <c r="D4574" i="9"/>
  <c r="E4585" i="9"/>
  <c r="D4585" i="9"/>
  <c r="E4590" i="9"/>
  <c r="D4590" i="9"/>
  <c r="C4590" i="9"/>
  <c r="L4590" i="9"/>
  <c r="M4590" i="9" s="1"/>
  <c r="E4601" i="9"/>
  <c r="D4601" i="9"/>
  <c r="C4601" i="9"/>
  <c r="L4601" i="9"/>
  <c r="M4601" i="9" s="1"/>
  <c r="L4606" i="9"/>
  <c r="M4606" i="9" s="1"/>
  <c r="D4606" i="9"/>
  <c r="C4606" i="9"/>
  <c r="E4606" i="9"/>
  <c r="C4617" i="9"/>
  <c r="L4617" i="9"/>
  <c r="M4617" i="9" s="1"/>
  <c r="E4617" i="9"/>
  <c r="D4617" i="9"/>
  <c r="E4622" i="9"/>
  <c r="L4622" i="9"/>
  <c r="M4622" i="9" s="1"/>
  <c r="D4622" i="9"/>
  <c r="C4622" i="9"/>
  <c r="C4633" i="9"/>
  <c r="L4633" i="9"/>
  <c r="M4633" i="9" s="1"/>
  <c r="E4633" i="9"/>
  <c r="D4633" i="9"/>
  <c r="E4638" i="9"/>
  <c r="D4638" i="9"/>
  <c r="C4638" i="9"/>
  <c r="L4638" i="9"/>
  <c r="M4638" i="9" s="1"/>
  <c r="E4649" i="9"/>
  <c r="D4649" i="9"/>
  <c r="C4649" i="9"/>
  <c r="L4649" i="9"/>
  <c r="M4649" i="9" s="1"/>
  <c r="L4654" i="9"/>
  <c r="M4654" i="9" s="1"/>
  <c r="D4654" i="9"/>
  <c r="C4654" i="9"/>
  <c r="E4654" i="9"/>
  <c r="C4665" i="9"/>
  <c r="L4665" i="9"/>
  <c r="M4665" i="9" s="1"/>
  <c r="E4665" i="9"/>
  <c r="D4665" i="9"/>
  <c r="E4670" i="9"/>
  <c r="L4670" i="9"/>
  <c r="M4670" i="9" s="1"/>
  <c r="D4670" i="9"/>
  <c r="C4670" i="9"/>
  <c r="C4681" i="9"/>
  <c r="L4681" i="9"/>
  <c r="M4681" i="9" s="1"/>
  <c r="E4681" i="9"/>
  <c r="D4681" i="9"/>
  <c r="E4686" i="9"/>
  <c r="D4686" i="9"/>
  <c r="C4686" i="9"/>
  <c r="L4686" i="9"/>
  <c r="M4686" i="9" s="1"/>
  <c r="E4697" i="9"/>
  <c r="D4697" i="9"/>
  <c r="C4697" i="9"/>
  <c r="L4697" i="9"/>
  <c r="M4697" i="9" s="1"/>
  <c r="L4702" i="9"/>
  <c r="M4702" i="9" s="1"/>
  <c r="D4702" i="9"/>
  <c r="C4702" i="9"/>
  <c r="E4702" i="9"/>
  <c r="C4713" i="9"/>
  <c r="L4713" i="9"/>
  <c r="M4713" i="9" s="1"/>
  <c r="E4713" i="9"/>
  <c r="D4713" i="9"/>
  <c r="E4718" i="9"/>
  <c r="D4718" i="9"/>
  <c r="C4718" i="9"/>
  <c r="L4718" i="9"/>
  <c r="M4718" i="9" s="1"/>
  <c r="E4729" i="9"/>
  <c r="D4729" i="9"/>
  <c r="E4734" i="9"/>
  <c r="D4734" i="9"/>
  <c r="E4745" i="9"/>
  <c r="D4745" i="9"/>
  <c r="L4750" i="9"/>
  <c r="M4750" i="9" s="1"/>
  <c r="E4750" i="9"/>
  <c r="C4750" i="9"/>
  <c r="D4750" i="9"/>
  <c r="L4761" i="9"/>
  <c r="M4761" i="9" s="1"/>
  <c r="D4761" i="9"/>
  <c r="E4761" i="9"/>
  <c r="C4761" i="9"/>
  <c r="E4766" i="9"/>
  <c r="D4766" i="9"/>
  <c r="E4777" i="9"/>
  <c r="D4777" i="9"/>
  <c r="E4782" i="9"/>
  <c r="D4782" i="9"/>
  <c r="E4793" i="9"/>
  <c r="D4793" i="9"/>
  <c r="E4798" i="9"/>
  <c r="D4798" i="9"/>
  <c r="E4809" i="9"/>
  <c r="D4809" i="9"/>
  <c r="E4814" i="9"/>
  <c r="D4814" i="9"/>
  <c r="C4814" i="9"/>
  <c r="L4814" i="9"/>
  <c r="M4814" i="9" s="1"/>
  <c r="L4825" i="9"/>
  <c r="M4825" i="9" s="1"/>
  <c r="D4825" i="9"/>
  <c r="C4825" i="9"/>
  <c r="E4825" i="9"/>
  <c r="E4830" i="9"/>
  <c r="D4830" i="9"/>
  <c r="L4830" i="9"/>
  <c r="M4830" i="9" s="1"/>
  <c r="C4830" i="9"/>
  <c r="E4841" i="9"/>
  <c r="D4841" i="9"/>
  <c r="C4841" i="9"/>
  <c r="L4841" i="9"/>
  <c r="M4841" i="9" s="1"/>
  <c r="C4846" i="9"/>
  <c r="L4846" i="9"/>
  <c r="M4846" i="9" s="1"/>
  <c r="E4846" i="9"/>
  <c r="D4846" i="9"/>
  <c r="D4857" i="9"/>
  <c r="C4857" i="9"/>
  <c r="L4857" i="9"/>
  <c r="M4857" i="9" s="1"/>
  <c r="E4857" i="9"/>
  <c r="C4862" i="9"/>
  <c r="L4862" i="9"/>
  <c r="M4862" i="9" s="1"/>
  <c r="E4862" i="9"/>
  <c r="D4862" i="9"/>
  <c r="L4873" i="9"/>
  <c r="M4873" i="9" s="1"/>
  <c r="D4873" i="9"/>
  <c r="C4873" i="9"/>
  <c r="E4873" i="9"/>
  <c r="E4878" i="9"/>
  <c r="D4878" i="9"/>
  <c r="C4878" i="9"/>
  <c r="L4878" i="9"/>
  <c r="M4878" i="9" s="1"/>
  <c r="E4889" i="9"/>
  <c r="D4889" i="9"/>
  <c r="C4889" i="9"/>
  <c r="L4889" i="9"/>
  <c r="M4889" i="9" s="1"/>
  <c r="C4894" i="9"/>
  <c r="L4894" i="9"/>
  <c r="M4894" i="9" s="1"/>
  <c r="E4894" i="9"/>
  <c r="D4894" i="9"/>
  <c r="D4905" i="9"/>
  <c r="C4905" i="9"/>
  <c r="L4905" i="9"/>
  <c r="M4905" i="9" s="1"/>
  <c r="E4905" i="9"/>
  <c r="C4910" i="9"/>
  <c r="L4910" i="9"/>
  <c r="M4910" i="9" s="1"/>
  <c r="E4910" i="9"/>
  <c r="D4910" i="9"/>
  <c r="L4921" i="9"/>
  <c r="M4921" i="9" s="1"/>
  <c r="D4921" i="9"/>
  <c r="C4921" i="9"/>
  <c r="E4921" i="9"/>
  <c r="E4926" i="9"/>
  <c r="D4926" i="9"/>
  <c r="C4926" i="9"/>
  <c r="L4926" i="9"/>
  <c r="M4926" i="9" s="1"/>
  <c r="E4937" i="9"/>
  <c r="D4937" i="9"/>
  <c r="E4942" i="9"/>
  <c r="D4942" i="9"/>
  <c r="D4953" i="9"/>
  <c r="E4953" i="9"/>
  <c r="E4958" i="9"/>
  <c r="D4958" i="9"/>
  <c r="D4969" i="9"/>
  <c r="E4969" i="9"/>
  <c r="E4974" i="9"/>
  <c r="D4974" i="9"/>
  <c r="E4985" i="9"/>
  <c r="D4985" i="9"/>
  <c r="C4990" i="9"/>
  <c r="L4990" i="9"/>
  <c r="M4990" i="9" s="1"/>
  <c r="E4990" i="9"/>
  <c r="D4990" i="9"/>
  <c r="D5001" i="9"/>
  <c r="C5001" i="9"/>
  <c r="L5001" i="9"/>
  <c r="M5001" i="9" s="1"/>
  <c r="E5001" i="9"/>
  <c r="E5006" i="9"/>
  <c r="D5006" i="9"/>
  <c r="D5017" i="9"/>
  <c r="E5017" i="9"/>
  <c r="E5022" i="9"/>
  <c r="D5022" i="9"/>
  <c r="C5022" i="9"/>
  <c r="L5022" i="9"/>
  <c r="M5022" i="9" s="1"/>
  <c r="E5033" i="9"/>
  <c r="D5033" i="9"/>
  <c r="C5033" i="9"/>
  <c r="L5033" i="9"/>
  <c r="M5033" i="9" s="1"/>
  <c r="C5038" i="9"/>
  <c r="L5038" i="9"/>
  <c r="M5038" i="9" s="1"/>
  <c r="E5038" i="9"/>
  <c r="D5038" i="9"/>
  <c r="D5049" i="9"/>
  <c r="C5049" i="9"/>
  <c r="L5049" i="9"/>
  <c r="M5049" i="9" s="1"/>
  <c r="E5049" i="9"/>
  <c r="C5054" i="9"/>
  <c r="L5054" i="9"/>
  <c r="M5054" i="9" s="1"/>
  <c r="E5054" i="9"/>
  <c r="D5054" i="9"/>
  <c r="L5065" i="9"/>
  <c r="M5065" i="9" s="1"/>
  <c r="D5065" i="9"/>
  <c r="C5065" i="9"/>
  <c r="E5065" i="9"/>
  <c r="E5070" i="9"/>
  <c r="D5070" i="9"/>
  <c r="C5070" i="9"/>
  <c r="L5070" i="9"/>
  <c r="M5070" i="9" s="1"/>
  <c r="E5081" i="9"/>
  <c r="D5081" i="9"/>
  <c r="C5081" i="9"/>
  <c r="L5081" i="9"/>
  <c r="M5081" i="9" s="1"/>
  <c r="C5086" i="9"/>
  <c r="L5086" i="9"/>
  <c r="M5086" i="9" s="1"/>
  <c r="E5086" i="9"/>
  <c r="D5086" i="9"/>
  <c r="D5097" i="9"/>
  <c r="C5097" i="9"/>
  <c r="L5097" i="9"/>
  <c r="M5097" i="9" s="1"/>
  <c r="E5097" i="9"/>
  <c r="C5102" i="9"/>
  <c r="L5102" i="9"/>
  <c r="M5102" i="9" s="1"/>
  <c r="E5102" i="9"/>
  <c r="D5102" i="9"/>
  <c r="L5113" i="9"/>
  <c r="M5113" i="9" s="1"/>
  <c r="E5113" i="9"/>
  <c r="D5113" i="9"/>
  <c r="C5113" i="9"/>
  <c r="E5118" i="9"/>
  <c r="D5118" i="9"/>
  <c r="L5118" i="9"/>
  <c r="M5118" i="9" s="1"/>
  <c r="C5118" i="9"/>
  <c r="E5129" i="9"/>
  <c r="D5129" i="9"/>
  <c r="L5129" i="9"/>
  <c r="M5129" i="9" s="1"/>
  <c r="C5129" i="9"/>
  <c r="E5134" i="9"/>
  <c r="D5134" i="9"/>
  <c r="C5134" i="9"/>
  <c r="L5134" i="9"/>
  <c r="M5134" i="9" s="1"/>
  <c r="E5145" i="9"/>
  <c r="D5145" i="9"/>
  <c r="L5150" i="9"/>
  <c r="M5150" i="9" s="1"/>
  <c r="E5150" i="9"/>
  <c r="D5150" i="9"/>
  <c r="C5150" i="9"/>
  <c r="L5161" i="9"/>
  <c r="M5161" i="9" s="1"/>
  <c r="E5161" i="9"/>
  <c r="D5161" i="9"/>
  <c r="C5161" i="9"/>
  <c r="E5166" i="9"/>
  <c r="D5166" i="9"/>
  <c r="E5177" i="9"/>
  <c r="D5177" i="9"/>
  <c r="E5182" i="9"/>
  <c r="D5182" i="9"/>
  <c r="E5193" i="9"/>
  <c r="D5193" i="9"/>
  <c r="E5198" i="9"/>
  <c r="D5198" i="9"/>
  <c r="E5209" i="9"/>
  <c r="D5209" i="9"/>
  <c r="E5214" i="9"/>
  <c r="D5214" i="9"/>
  <c r="E5225" i="9"/>
  <c r="D5225" i="9"/>
  <c r="E5230" i="9"/>
  <c r="D5230" i="9"/>
  <c r="C5230" i="9"/>
  <c r="L5230" i="9"/>
  <c r="M5230" i="9" s="1"/>
  <c r="E5241" i="9"/>
  <c r="D5241" i="9"/>
  <c r="C5241" i="9"/>
  <c r="L5241" i="9"/>
  <c r="M5241" i="9" s="1"/>
  <c r="L5246" i="9"/>
  <c r="M5246" i="9" s="1"/>
  <c r="E5246" i="9"/>
  <c r="D5246" i="9"/>
  <c r="C5246" i="9"/>
  <c r="L5257" i="9"/>
  <c r="M5257" i="9" s="1"/>
  <c r="D5257" i="9"/>
  <c r="E5257" i="9"/>
  <c r="C5257" i="9"/>
  <c r="E5262" i="9"/>
  <c r="D5262" i="9"/>
  <c r="L5262" i="9"/>
  <c r="M5262" i="9" s="1"/>
  <c r="C5262" i="9"/>
  <c r="E5273" i="9"/>
  <c r="L5273" i="9"/>
  <c r="M5273" i="9" s="1"/>
  <c r="D5273" i="9"/>
  <c r="C5273" i="9"/>
  <c r="E5278" i="9"/>
  <c r="D5278" i="9"/>
  <c r="C5278" i="9"/>
  <c r="L5278" i="9"/>
  <c r="M5278" i="9" s="1"/>
  <c r="E5289" i="9"/>
  <c r="D5289" i="9"/>
  <c r="C5289" i="9"/>
  <c r="L5289" i="9"/>
  <c r="M5289" i="9" s="1"/>
  <c r="L5294" i="9"/>
  <c r="M5294" i="9" s="1"/>
  <c r="E5294" i="9"/>
  <c r="D5294" i="9"/>
  <c r="C5294" i="9"/>
  <c r="L5305" i="9"/>
  <c r="M5305" i="9" s="1"/>
  <c r="E5305" i="9"/>
  <c r="D5305" i="9"/>
  <c r="C5305" i="9"/>
  <c r="C5310" i="9"/>
  <c r="L5310" i="9"/>
  <c r="M5310" i="9" s="1"/>
  <c r="E5310" i="9"/>
  <c r="D5310" i="9"/>
  <c r="D5321" i="9"/>
  <c r="E5321" i="9"/>
  <c r="C5321" i="9"/>
  <c r="L5321" i="9"/>
  <c r="M5321" i="9" s="1"/>
  <c r="C5326" i="9"/>
  <c r="L5326" i="9"/>
  <c r="M5326" i="9" s="1"/>
  <c r="E5326" i="9"/>
  <c r="D5326" i="9"/>
  <c r="L5337" i="9"/>
  <c r="M5337" i="9" s="1"/>
  <c r="D5337" i="9"/>
  <c r="C5337" i="9"/>
  <c r="E5337" i="9"/>
  <c r="E5342" i="9"/>
  <c r="D5342" i="9"/>
  <c r="C5342" i="9"/>
  <c r="L5342" i="9"/>
  <c r="M5342" i="9" s="1"/>
  <c r="E5353" i="9"/>
  <c r="D5353" i="9"/>
  <c r="E5358" i="9"/>
  <c r="D5358" i="9"/>
  <c r="E5369" i="9"/>
  <c r="D5369" i="9"/>
  <c r="E5374" i="9"/>
  <c r="D5374" i="9"/>
  <c r="E5385" i="9"/>
  <c r="D5385" i="9"/>
  <c r="D5390" i="9"/>
  <c r="C5390" i="9"/>
  <c r="L5390" i="9"/>
  <c r="M5390" i="9" s="1"/>
  <c r="E5390" i="9"/>
  <c r="E5401" i="9"/>
  <c r="D5401" i="9"/>
  <c r="C5401" i="9"/>
  <c r="L5401" i="9"/>
  <c r="M5401" i="9" s="1"/>
  <c r="D5406" i="9"/>
  <c r="E5406" i="9"/>
  <c r="E5417" i="9"/>
  <c r="D5417" i="9"/>
  <c r="E5422" i="9"/>
  <c r="D5422" i="9"/>
  <c r="E5433" i="9"/>
  <c r="D5433" i="9"/>
  <c r="D5438" i="9"/>
  <c r="E5438" i="9"/>
  <c r="E5449" i="9"/>
  <c r="D5449" i="9"/>
  <c r="C5449" i="9"/>
  <c r="L5449" i="9"/>
  <c r="M5449" i="9" s="1"/>
  <c r="L5454" i="9"/>
  <c r="M5454" i="9" s="1"/>
  <c r="C5454" i="9"/>
  <c r="E5454" i="9"/>
  <c r="D5454" i="9"/>
  <c r="D5465" i="9"/>
  <c r="E5465" i="9"/>
  <c r="C5465" i="9"/>
  <c r="L5465" i="9"/>
  <c r="M5465" i="9" s="1"/>
  <c r="E5470" i="9"/>
  <c r="C5470" i="9"/>
  <c r="D5470" i="9"/>
  <c r="L5470" i="9"/>
  <c r="M5470" i="9" s="1"/>
  <c r="D5481" i="9"/>
  <c r="C5481" i="9"/>
  <c r="L5481" i="9"/>
  <c r="M5481" i="9" s="1"/>
  <c r="E5481" i="9"/>
  <c r="E5486" i="9"/>
  <c r="D5486" i="9"/>
  <c r="C5486" i="9"/>
  <c r="L5486" i="9"/>
  <c r="M5486" i="9" s="1"/>
  <c r="E5497" i="9"/>
  <c r="L5497" i="9"/>
  <c r="M5497" i="9" s="1"/>
  <c r="D5497" i="9"/>
  <c r="C5497" i="9"/>
  <c r="L5502" i="9"/>
  <c r="M5502" i="9" s="1"/>
  <c r="C5502" i="9"/>
  <c r="E5502" i="9"/>
  <c r="D5502" i="9"/>
  <c r="D5513" i="9"/>
  <c r="L5513" i="9"/>
  <c r="M5513" i="9" s="1"/>
  <c r="E5513" i="9"/>
  <c r="C5513" i="9"/>
  <c r="E5518" i="9"/>
  <c r="D5518" i="9"/>
  <c r="C5518" i="9"/>
  <c r="L5518" i="9"/>
  <c r="M5518" i="9" s="1"/>
  <c r="E5529" i="9"/>
  <c r="D5529" i="9"/>
  <c r="C5529" i="9"/>
  <c r="L5529" i="9"/>
  <c r="M5529" i="9" s="1"/>
  <c r="E5534" i="9"/>
  <c r="D5534" i="9"/>
  <c r="L5534" i="9"/>
  <c r="M5534" i="9" s="1"/>
  <c r="C5534" i="9"/>
  <c r="E5545" i="9"/>
  <c r="D5545" i="9"/>
  <c r="C5545" i="9"/>
  <c r="L5545" i="9"/>
  <c r="M5545" i="9" s="1"/>
  <c r="C5550" i="9"/>
  <c r="L5550" i="9"/>
  <c r="M5550" i="9" s="1"/>
  <c r="E5550" i="9"/>
  <c r="D5550" i="9"/>
  <c r="D5561" i="9"/>
  <c r="C5561" i="9"/>
  <c r="L5561" i="9"/>
  <c r="M5561" i="9" s="1"/>
  <c r="E5561" i="9"/>
  <c r="E5566" i="9"/>
  <c r="D5566" i="9"/>
  <c r="E5577" i="9"/>
  <c r="D5577" i="9"/>
  <c r="E5582" i="9"/>
  <c r="D5582" i="9"/>
  <c r="E5593" i="9"/>
  <c r="D5593" i="9"/>
  <c r="C5598" i="9"/>
  <c r="L5598" i="9"/>
  <c r="M5598" i="9" s="1"/>
  <c r="E5598" i="9"/>
  <c r="D5598" i="9"/>
  <c r="D5609" i="9"/>
  <c r="C5609" i="9"/>
  <c r="L5609" i="9"/>
  <c r="M5609" i="9" s="1"/>
  <c r="E5609" i="9"/>
  <c r="E5614" i="9"/>
  <c r="D5614" i="9"/>
  <c r="E5625" i="9"/>
  <c r="D5625" i="9"/>
  <c r="E5630" i="9"/>
  <c r="D5630" i="9"/>
  <c r="C5630" i="9"/>
  <c r="L5630" i="9"/>
  <c r="M5630" i="9" s="1"/>
  <c r="E5641" i="9"/>
  <c r="D5641" i="9"/>
  <c r="C5641" i="9"/>
  <c r="L5641" i="9"/>
  <c r="M5641" i="9" s="1"/>
  <c r="C5646" i="9"/>
  <c r="L5646" i="9"/>
  <c r="M5646" i="9" s="1"/>
  <c r="E5646" i="9"/>
  <c r="D5646" i="9"/>
  <c r="L5657" i="9"/>
  <c r="M5657" i="9" s="1"/>
  <c r="D5657" i="9"/>
  <c r="E5657" i="9"/>
  <c r="C5657" i="9"/>
  <c r="E5662" i="9"/>
  <c r="D5662" i="9"/>
  <c r="C5662" i="9"/>
  <c r="L5662" i="9"/>
  <c r="M5662" i="9" s="1"/>
  <c r="E5673" i="9"/>
  <c r="D5673" i="9"/>
  <c r="L5673" i="9"/>
  <c r="M5673" i="9" s="1"/>
  <c r="C5673" i="9"/>
  <c r="E5678" i="9"/>
  <c r="D5678" i="9"/>
  <c r="C5678" i="9"/>
  <c r="L5678" i="9"/>
  <c r="M5678" i="9" s="1"/>
  <c r="E5689" i="9"/>
  <c r="D5689" i="9"/>
  <c r="C5689" i="9"/>
  <c r="L5689" i="9"/>
  <c r="M5689" i="9" s="1"/>
  <c r="L5694" i="9"/>
  <c r="M5694" i="9" s="1"/>
  <c r="C5694" i="9"/>
  <c r="E5694" i="9"/>
  <c r="D5694" i="9"/>
  <c r="E5700" i="9"/>
  <c r="D5700" i="9"/>
  <c r="C5700" i="9"/>
  <c r="L5700" i="9"/>
  <c r="M5700" i="9" s="1"/>
  <c r="L5706" i="9"/>
  <c r="M5706" i="9" s="1"/>
  <c r="C5706" i="9"/>
  <c r="D5706" i="9"/>
  <c r="E5706" i="9"/>
  <c r="E5712" i="9"/>
  <c r="D5712" i="9"/>
  <c r="C5712" i="9"/>
  <c r="L5712" i="9"/>
  <c r="M5712" i="9" s="1"/>
  <c r="L5718" i="9"/>
  <c r="M5718" i="9" s="1"/>
  <c r="C5718" i="9"/>
  <c r="E5718" i="9"/>
  <c r="D5718" i="9"/>
  <c r="E5724" i="9"/>
  <c r="D5724" i="9"/>
  <c r="C5724" i="9"/>
  <c r="L5724" i="9"/>
  <c r="M5724" i="9" s="1"/>
  <c r="L5730" i="9"/>
  <c r="M5730" i="9" s="1"/>
  <c r="C5730" i="9"/>
  <c r="E5730" i="9"/>
  <c r="D5730" i="9"/>
  <c r="E5736" i="9"/>
  <c r="D5736" i="9"/>
  <c r="C5736" i="9"/>
  <c r="L5736" i="9"/>
  <c r="M5736" i="9" s="1"/>
  <c r="L5742" i="9"/>
  <c r="M5742" i="9" s="1"/>
  <c r="C5742" i="9"/>
  <c r="E5742" i="9"/>
  <c r="D5742" i="9"/>
  <c r="E5748" i="9"/>
  <c r="D5748" i="9"/>
  <c r="C5748" i="9"/>
  <c r="L5748" i="9"/>
  <c r="M5748" i="9" s="1"/>
  <c r="L5754" i="9"/>
  <c r="M5754" i="9" s="1"/>
  <c r="C5754" i="9"/>
  <c r="E5754" i="9"/>
  <c r="D5754" i="9"/>
  <c r="E5760" i="9"/>
  <c r="D5760" i="9"/>
  <c r="C5760" i="9"/>
  <c r="L5760" i="9"/>
  <c r="M5760" i="9" s="1"/>
  <c r="C5766" i="9"/>
  <c r="L5766" i="9"/>
  <c r="M5766" i="9" s="1"/>
  <c r="E5766" i="9"/>
  <c r="D5766" i="9"/>
  <c r="D5772" i="9"/>
  <c r="E5772" i="9"/>
  <c r="E5778" i="9"/>
  <c r="D5778" i="9"/>
  <c r="C5778" i="9"/>
  <c r="L5778" i="9"/>
  <c r="M5778" i="9" s="1"/>
  <c r="E5784" i="9"/>
  <c r="D5784" i="9"/>
  <c r="E5790" i="9"/>
  <c r="D5790" i="9"/>
  <c r="C5790" i="9"/>
  <c r="L5790" i="9"/>
  <c r="M5790" i="9" s="1"/>
  <c r="E5796" i="9"/>
  <c r="D5796" i="9"/>
  <c r="E5802" i="9"/>
  <c r="D5802" i="9"/>
  <c r="L5808" i="9"/>
  <c r="M5808" i="9" s="1"/>
  <c r="E5808" i="9"/>
  <c r="D5808" i="9"/>
  <c r="C5808" i="9"/>
  <c r="E5814" i="9"/>
  <c r="D5814" i="9"/>
  <c r="L5820" i="9"/>
  <c r="M5820" i="9" s="1"/>
  <c r="D5820" i="9"/>
  <c r="E5820" i="9"/>
  <c r="C5820" i="9"/>
  <c r="E5826" i="9"/>
  <c r="D5826" i="9"/>
  <c r="E5832" i="9"/>
  <c r="D5832" i="9"/>
  <c r="E5838" i="9"/>
  <c r="D5838" i="9"/>
  <c r="C5838" i="9"/>
  <c r="L5838" i="9"/>
  <c r="M5838" i="9" s="1"/>
  <c r="L5844" i="9"/>
  <c r="M5844" i="9" s="1"/>
  <c r="E5844" i="9"/>
  <c r="D5844" i="9"/>
  <c r="C5844" i="9"/>
  <c r="E5850" i="9"/>
  <c r="D5850" i="9"/>
  <c r="C5850" i="9"/>
  <c r="L5850" i="9"/>
  <c r="M5850" i="9" s="1"/>
  <c r="L5856" i="9"/>
  <c r="M5856" i="9" s="1"/>
  <c r="E5856" i="9"/>
  <c r="D5856" i="9"/>
  <c r="C5856" i="9"/>
  <c r="E5862" i="9"/>
  <c r="D5862" i="9"/>
  <c r="C5862" i="9"/>
  <c r="L5862" i="9"/>
  <c r="M5862" i="9" s="1"/>
  <c r="L5868" i="9"/>
  <c r="M5868" i="9" s="1"/>
  <c r="D5868" i="9"/>
  <c r="C5868" i="9"/>
  <c r="E5868" i="9"/>
  <c r="E5874" i="9"/>
  <c r="D5874" i="9"/>
  <c r="C5874" i="9"/>
  <c r="L5874" i="9"/>
  <c r="M5874" i="9" s="1"/>
  <c r="L5880" i="9"/>
  <c r="M5880" i="9" s="1"/>
  <c r="E5880" i="9"/>
  <c r="D5880" i="9"/>
  <c r="C5880" i="9"/>
  <c r="D5886" i="9"/>
  <c r="C5886" i="9"/>
  <c r="L5886" i="9"/>
  <c r="M5886" i="9" s="1"/>
  <c r="E5886" i="9"/>
  <c r="E5892" i="9"/>
  <c r="D5892" i="9"/>
  <c r="L5892" i="9"/>
  <c r="M5892" i="9" s="1"/>
  <c r="C5892" i="9"/>
  <c r="D5898" i="9"/>
  <c r="C5898" i="9"/>
  <c r="L5898" i="9"/>
  <c r="M5898" i="9" s="1"/>
  <c r="E5898" i="9"/>
  <c r="E5904" i="9"/>
  <c r="D5904" i="9"/>
  <c r="L5904" i="9"/>
  <c r="M5904" i="9" s="1"/>
  <c r="C5904" i="9"/>
  <c r="D5910" i="9"/>
  <c r="C5910" i="9"/>
  <c r="L5910" i="9"/>
  <c r="M5910" i="9" s="1"/>
  <c r="E5910" i="9"/>
  <c r="E5916" i="9"/>
  <c r="D5916" i="9"/>
  <c r="L5916" i="9"/>
  <c r="M5916" i="9" s="1"/>
  <c r="C5916" i="9"/>
  <c r="D5922" i="9"/>
  <c r="C5922" i="9"/>
  <c r="L5922" i="9"/>
  <c r="M5922" i="9" s="1"/>
  <c r="E5922" i="9"/>
  <c r="E5928" i="9"/>
  <c r="D5928" i="9"/>
  <c r="L5928" i="9"/>
  <c r="M5928" i="9" s="1"/>
  <c r="C5928" i="9"/>
  <c r="D5934" i="9"/>
  <c r="C5934" i="9"/>
  <c r="L5934" i="9"/>
  <c r="M5934" i="9" s="1"/>
  <c r="E5934" i="9"/>
  <c r="E5940" i="9"/>
  <c r="D5940" i="9"/>
  <c r="L5940" i="9"/>
  <c r="M5940" i="9" s="1"/>
  <c r="C5940" i="9"/>
  <c r="D5946" i="9"/>
  <c r="C5946" i="9"/>
  <c r="L5946" i="9"/>
  <c r="M5946" i="9" s="1"/>
  <c r="E5946" i="9"/>
  <c r="E5952" i="9"/>
  <c r="D5952" i="9"/>
  <c r="L5952" i="9"/>
  <c r="M5952" i="9" s="1"/>
  <c r="C5952" i="9"/>
  <c r="D5958" i="9"/>
  <c r="C5958" i="9"/>
  <c r="L5958" i="9"/>
  <c r="M5958" i="9" s="1"/>
  <c r="E5958" i="9"/>
  <c r="E5964" i="9"/>
  <c r="D5964" i="9"/>
  <c r="L5964" i="9"/>
  <c r="M5964" i="9" s="1"/>
  <c r="C5964" i="9"/>
  <c r="D5970" i="9"/>
  <c r="C5970" i="9"/>
  <c r="L5970" i="9"/>
  <c r="M5970" i="9" s="1"/>
  <c r="E5970" i="9"/>
  <c r="E5976" i="9"/>
  <c r="D5976" i="9"/>
  <c r="L5976" i="9"/>
  <c r="M5976" i="9" s="1"/>
  <c r="C5976" i="9"/>
  <c r="D5982" i="9"/>
  <c r="C5982" i="9"/>
  <c r="L5982" i="9"/>
  <c r="M5982" i="9" s="1"/>
  <c r="E5982" i="9"/>
  <c r="E5988" i="9"/>
  <c r="D5988" i="9"/>
  <c r="L5988" i="9"/>
  <c r="M5988" i="9" s="1"/>
  <c r="C5988" i="9"/>
  <c r="D5994" i="9"/>
  <c r="C5994" i="9"/>
  <c r="L5994" i="9"/>
  <c r="M5994" i="9" s="1"/>
  <c r="E5994" i="9"/>
  <c r="E6000" i="9"/>
  <c r="D6000" i="9"/>
  <c r="L6000" i="9"/>
  <c r="M6000" i="9" s="1"/>
  <c r="C6000" i="9"/>
  <c r="E6006" i="9"/>
  <c r="C6006" i="9"/>
  <c r="D6006" i="9"/>
  <c r="L6006" i="9"/>
  <c r="M6006" i="9" s="1"/>
  <c r="L6012" i="9"/>
  <c r="M6012" i="9" s="1"/>
  <c r="D6012" i="9"/>
  <c r="C6012" i="9"/>
  <c r="E6012" i="9"/>
  <c r="E6018" i="9"/>
  <c r="C6018" i="9"/>
  <c r="D6018" i="9"/>
  <c r="L6018" i="9"/>
  <c r="M6018" i="9" s="1"/>
  <c r="L6024" i="9"/>
  <c r="M6024" i="9" s="1"/>
  <c r="D6024" i="9"/>
  <c r="C6024" i="9"/>
  <c r="E6024" i="9"/>
  <c r="E6030" i="9"/>
  <c r="C6030" i="9"/>
  <c r="D6030" i="9"/>
  <c r="L6030" i="9"/>
  <c r="M6030" i="9" s="1"/>
  <c r="L6036" i="9"/>
  <c r="M6036" i="9" s="1"/>
  <c r="D6036" i="9"/>
  <c r="C6036" i="9"/>
  <c r="E6036" i="9"/>
  <c r="E6042" i="9"/>
  <c r="C6042" i="9"/>
  <c r="L6042" i="9"/>
  <c r="M6042" i="9" s="1"/>
  <c r="D6042" i="9"/>
  <c r="L6048" i="9"/>
  <c r="M6048" i="9" s="1"/>
  <c r="D6048" i="9"/>
  <c r="C6048" i="9"/>
  <c r="E6048" i="9"/>
  <c r="E6054" i="9"/>
  <c r="C6054" i="9"/>
  <c r="L6054" i="9"/>
  <c r="M6054" i="9" s="1"/>
  <c r="D6054" i="9"/>
  <c r="L6060" i="9"/>
  <c r="M6060" i="9" s="1"/>
  <c r="D6060" i="9"/>
  <c r="C6060" i="9"/>
  <c r="E6060" i="9"/>
  <c r="E6066" i="9"/>
  <c r="C6066" i="9"/>
  <c r="L6066" i="9"/>
  <c r="M6066" i="9" s="1"/>
  <c r="D6066" i="9"/>
  <c r="L6072" i="9"/>
  <c r="M6072" i="9" s="1"/>
  <c r="D6072" i="9"/>
  <c r="C6072" i="9"/>
  <c r="E6072" i="9"/>
  <c r="E6078" i="9"/>
  <c r="D6078" i="9"/>
  <c r="C6078" i="9"/>
  <c r="L6078" i="9"/>
  <c r="M6078" i="9" s="1"/>
  <c r="L6084" i="9"/>
  <c r="M6084" i="9" s="1"/>
  <c r="D6084" i="9"/>
  <c r="C6084" i="9"/>
  <c r="E6084" i="9"/>
  <c r="E6090" i="9"/>
  <c r="D6090" i="9"/>
  <c r="C6090" i="9"/>
  <c r="L6090" i="9"/>
  <c r="M6090" i="9" s="1"/>
  <c r="L6096" i="9"/>
  <c r="M6096" i="9" s="1"/>
  <c r="D6096" i="9"/>
  <c r="C6096" i="9"/>
  <c r="E6096" i="9"/>
  <c r="E6102" i="9"/>
  <c r="D6102" i="9"/>
  <c r="C6102" i="9"/>
  <c r="L6102" i="9"/>
  <c r="M6102" i="9" s="1"/>
  <c r="L6108" i="9"/>
  <c r="M6108" i="9" s="1"/>
  <c r="D6108" i="9"/>
  <c r="C6108" i="9"/>
  <c r="E6108" i="9"/>
  <c r="E6114" i="9"/>
  <c r="D6114" i="9"/>
  <c r="C6114" i="9"/>
  <c r="L6114" i="9"/>
  <c r="M6114" i="9" s="1"/>
  <c r="L6120" i="9"/>
  <c r="M6120" i="9" s="1"/>
  <c r="D6120" i="9"/>
  <c r="C6120" i="9"/>
  <c r="E6120" i="9"/>
  <c r="E6126" i="9"/>
  <c r="D6126" i="9"/>
  <c r="C6126" i="9"/>
  <c r="L6126" i="9"/>
  <c r="M6126" i="9" s="1"/>
  <c r="L6132" i="9"/>
  <c r="M6132" i="9" s="1"/>
  <c r="D6132" i="9"/>
  <c r="C6132" i="9"/>
  <c r="E6132" i="9"/>
  <c r="L6138" i="9"/>
  <c r="M6138" i="9" s="1"/>
  <c r="E6138" i="9"/>
  <c r="D6138" i="9"/>
  <c r="C6138" i="9"/>
  <c r="E6144" i="9"/>
  <c r="D6144" i="9"/>
  <c r="C6144" i="9"/>
  <c r="L6144" i="9"/>
  <c r="M6144" i="9" s="1"/>
  <c r="L6150" i="9"/>
  <c r="M6150" i="9" s="1"/>
  <c r="D6150" i="9"/>
  <c r="C6150" i="9"/>
  <c r="E6150" i="9"/>
  <c r="E6156" i="9"/>
  <c r="D6156" i="9"/>
  <c r="C6156" i="9"/>
  <c r="L6156" i="9"/>
  <c r="M6156" i="9" s="1"/>
  <c r="L6162" i="9"/>
  <c r="M6162" i="9" s="1"/>
  <c r="D6162" i="9"/>
  <c r="C6162" i="9"/>
  <c r="E6162" i="9"/>
  <c r="E6168" i="9"/>
  <c r="D6168" i="9"/>
  <c r="C6168" i="9"/>
  <c r="L6168" i="9"/>
  <c r="M6168" i="9" s="1"/>
  <c r="L6174" i="9"/>
  <c r="M6174" i="9" s="1"/>
  <c r="D6174" i="9"/>
  <c r="C6174" i="9"/>
  <c r="E6174" i="9"/>
  <c r="E6180" i="9"/>
  <c r="D6180" i="9"/>
  <c r="C6180" i="9"/>
  <c r="L6180" i="9"/>
  <c r="M6180" i="9" s="1"/>
  <c r="L6186" i="9"/>
  <c r="M6186" i="9" s="1"/>
  <c r="D6186" i="9"/>
  <c r="C6186" i="9"/>
  <c r="E6186" i="9"/>
  <c r="E6192" i="9"/>
  <c r="D6192" i="9"/>
  <c r="C6192" i="9"/>
  <c r="L6192" i="9"/>
  <c r="M6192" i="9" s="1"/>
  <c r="L6198" i="9"/>
  <c r="M6198" i="9" s="1"/>
  <c r="D6198" i="9"/>
  <c r="C6198" i="9"/>
  <c r="E6198" i="9"/>
  <c r="E6204" i="9"/>
  <c r="D6204" i="9"/>
  <c r="C6204" i="9"/>
  <c r="L6204" i="9"/>
  <c r="M6204" i="9" s="1"/>
  <c r="L6210" i="9"/>
  <c r="M6210" i="9" s="1"/>
  <c r="D6210" i="9"/>
  <c r="C6210" i="9"/>
  <c r="E6210" i="9"/>
  <c r="E6216" i="9"/>
  <c r="D6216" i="9"/>
  <c r="C6216" i="9"/>
  <c r="L6216" i="9"/>
  <c r="M6216" i="9" s="1"/>
  <c r="L6222" i="9"/>
  <c r="M6222" i="9" s="1"/>
  <c r="D6222" i="9"/>
  <c r="C6222" i="9"/>
  <c r="E6222" i="9"/>
  <c r="E6228" i="9"/>
  <c r="D6228" i="9"/>
  <c r="C6228" i="9"/>
  <c r="L6228" i="9"/>
  <c r="M6228" i="9" s="1"/>
  <c r="L6234" i="9"/>
  <c r="M6234" i="9" s="1"/>
  <c r="D6234" i="9"/>
  <c r="C6234" i="9"/>
  <c r="E6234" i="9"/>
  <c r="E6240" i="9"/>
  <c r="D6240" i="9"/>
  <c r="C6240" i="9"/>
  <c r="L6240" i="9"/>
  <c r="M6240" i="9" s="1"/>
  <c r="L6246" i="9"/>
  <c r="M6246" i="9" s="1"/>
  <c r="D6246" i="9"/>
  <c r="C6246" i="9"/>
  <c r="E6246" i="9"/>
  <c r="E6252" i="9"/>
  <c r="D6252" i="9"/>
  <c r="C6252" i="9"/>
  <c r="L6252" i="9"/>
  <c r="M6252" i="9" s="1"/>
  <c r="L6258" i="9"/>
  <c r="M6258" i="9" s="1"/>
  <c r="D6258" i="9"/>
  <c r="C6258" i="9"/>
  <c r="E6258" i="9"/>
  <c r="E6264" i="9"/>
  <c r="D6264" i="9"/>
  <c r="C6264" i="9"/>
  <c r="L6264" i="9"/>
  <c r="M6264" i="9" s="1"/>
  <c r="D6270" i="9"/>
  <c r="C6270" i="9"/>
  <c r="L6270" i="9"/>
  <c r="M6270" i="9" s="1"/>
  <c r="E6270" i="9"/>
  <c r="E6276" i="9"/>
  <c r="C6276" i="9"/>
  <c r="L6276" i="9"/>
  <c r="M6276" i="9" s="1"/>
  <c r="D6276" i="9"/>
  <c r="D6282" i="9"/>
  <c r="C6282" i="9"/>
  <c r="L6282" i="9"/>
  <c r="M6282" i="9" s="1"/>
  <c r="E6282" i="9"/>
  <c r="E6288" i="9"/>
  <c r="C6288" i="9"/>
  <c r="L6288" i="9"/>
  <c r="M6288" i="9" s="1"/>
  <c r="D6288" i="9"/>
  <c r="D6294" i="9"/>
  <c r="C6294" i="9"/>
  <c r="L6294" i="9"/>
  <c r="M6294" i="9" s="1"/>
  <c r="E6294" i="9"/>
  <c r="E6300" i="9"/>
  <c r="C6300" i="9"/>
  <c r="L6300" i="9"/>
  <c r="M6300" i="9" s="1"/>
  <c r="D6300" i="9"/>
  <c r="D6306" i="9"/>
  <c r="C6306" i="9"/>
  <c r="L6306" i="9"/>
  <c r="M6306" i="9" s="1"/>
  <c r="E6306" i="9"/>
  <c r="E6312" i="9"/>
  <c r="D6312" i="9"/>
  <c r="C6312" i="9"/>
  <c r="L6312" i="9"/>
  <c r="M6312" i="9" s="1"/>
  <c r="D6318" i="9"/>
  <c r="C6318" i="9"/>
  <c r="L6318" i="9"/>
  <c r="M6318" i="9" s="1"/>
  <c r="E6318" i="9"/>
  <c r="E6324" i="9"/>
  <c r="D6324" i="9"/>
  <c r="C6324" i="9"/>
  <c r="L6324" i="9"/>
  <c r="M6324" i="9" s="1"/>
  <c r="D6330" i="9"/>
  <c r="C6330" i="9"/>
  <c r="L6330" i="9"/>
  <c r="M6330" i="9" s="1"/>
  <c r="E6330" i="9"/>
  <c r="L6342" i="9"/>
  <c r="M6342" i="9" s="1"/>
  <c r="E6342" i="9"/>
  <c r="D6342" i="9"/>
  <c r="C6342" i="9"/>
  <c r="L6354" i="9"/>
  <c r="M6354" i="9" s="1"/>
  <c r="E6354" i="9"/>
  <c r="D6354" i="9"/>
  <c r="C6354" i="9"/>
  <c r="L6366" i="9"/>
  <c r="M6366" i="9" s="1"/>
  <c r="C6366" i="9"/>
  <c r="E6366" i="9"/>
  <c r="D6366" i="9"/>
  <c r="L6378" i="9"/>
  <c r="M6378" i="9" s="1"/>
  <c r="D6378" i="9"/>
  <c r="C6378" i="9"/>
  <c r="E6378" i="9"/>
  <c r="L6390" i="9"/>
  <c r="M6390" i="9" s="1"/>
  <c r="D6390" i="9"/>
  <c r="C6390" i="9"/>
  <c r="E6390" i="9"/>
  <c r="L6402" i="9"/>
  <c r="M6402" i="9" s="1"/>
  <c r="D6402" i="9"/>
  <c r="C6402" i="9"/>
  <c r="E6402" i="9"/>
  <c r="L6414" i="9"/>
  <c r="M6414" i="9" s="1"/>
  <c r="D6414" i="9"/>
  <c r="C6414" i="9"/>
  <c r="E6414" i="9"/>
  <c r="C6426" i="9"/>
  <c r="D6426" i="9"/>
  <c r="L6426" i="9"/>
  <c r="M6426" i="9" s="1"/>
  <c r="E6426" i="9"/>
  <c r="E6438" i="9"/>
  <c r="D6438" i="9"/>
  <c r="C6438" i="9"/>
  <c r="L6438" i="9"/>
  <c r="M6438" i="9" s="1"/>
  <c r="E6450" i="9"/>
  <c r="D6450" i="9"/>
  <c r="C6450" i="9"/>
  <c r="L6450" i="9"/>
  <c r="M6450" i="9" s="1"/>
  <c r="E6462" i="9"/>
  <c r="D6462" i="9"/>
  <c r="C6462" i="9"/>
  <c r="L6462" i="9"/>
  <c r="M6462" i="9" s="1"/>
  <c r="E6474" i="9"/>
  <c r="D6474" i="9"/>
  <c r="C6474" i="9"/>
  <c r="L6474" i="9"/>
  <c r="M6474" i="9" s="1"/>
  <c r="D6486" i="9"/>
  <c r="C6486" i="9"/>
  <c r="L6486" i="9"/>
  <c r="M6486" i="9" s="1"/>
  <c r="E6486" i="9"/>
  <c r="D6498" i="9"/>
  <c r="C6498" i="9"/>
  <c r="L6498" i="9"/>
  <c r="M6498" i="9" s="1"/>
  <c r="E6498" i="9"/>
  <c r="D6510" i="9"/>
  <c r="C6510" i="9"/>
  <c r="L6510" i="9"/>
  <c r="M6510" i="9" s="1"/>
  <c r="E6510" i="9"/>
  <c r="D6522" i="9"/>
  <c r="C6522" i="9"/>
  <c r="L6522" i="9"/>
  <c r="M6522" i="9" s="1"/>
  <c r="E6522" i="9"/>
  <c r="E6534" i="9"/>
  <c r="D6534" i="9"/>
  <c r="C6534" i="9"/>
  <c r="L6534" i="9"/>
  <c r="M6534" i="9" s="1"/>
  <c r="E6546" i="9"/>
  <c r="D6546" i="9"/>
  <c r="C6546" i="9"/>
  <c r="L6546" i="9"/>
  <c r="M6546" i="9" s="1"/>
  <c r="E6558" i="9"/>
  <c r="D6558" i="9"/>
  <c r="C6558" i="9"/>
  <c r="L6558" i="9"/>
  <c r="M6558" i="9" s="1"/>
  <c r="E6570" i="9"/>
  <c r="D6570" i="9"/>
  <c r="C6570" i="9"/>
  <c r="L6570" i="9"/>
  <c r="M6570" i="9" s="1"/>
  <c r="E6582" i="9"/>
  <c r="D6582" i="9"/>
  <c r="C6582" i="9"/>
  <c r="L6582" i="9"/>
  <c r="M6582" i="9" s="1"/>
  <c r="E6594" i="9"/>
  <c r="D6594" i="9"/>
  <c r="C6594" i="9"/>
  <c r="L6594" i="9"/>
  <c r="M6594" i="9" s="1"/>
  <c r="E6606" i="9"/>
  <c r="D6606" i="9"/>
  <c r="C6606" i="9"/>
  <c r="L6606" i="9"/>
  <c r="M6606" i="9" s="1"/>
  <c r="E3737" i="9"/>
  <c r="D3737" i="9"/>
  <c r="E3750" i="9"/>
  <c r="D3750" i="9"/>
  <c r="C3750" i="9"/>
  <c r="L3750" i="9"/>
  <c r="M3750" i="9" s="1"/>
  <c r="E3759" i="9"/>
  <c r="D3759" i="9"/>
  <c r="C3759" i="9"/>
  <c r="L3759" i="9"/>
  <c r="M3759" i="9" s="1"/>
  <c r="E3768" i="9"/>
  <c r="D3768" i="9"/>
  <c r="C3768" i="9"/>
  <c r="L3768" i="9"/>
  <c r="M3768" i="9" s="1"/>
  <c r="E3773" i="9"/>
  <c r="D3773" i="9"/>
  <c r="C3773" i="9"/>
  <c r="L3773" i="9"/>
  <c r="M3773" i="9" s="1"/>
  <c r="E3792" i="9"/>
  <c r="D3792" i="9"/>
  <c r="C3792" i="9"/>
  <c r="L3792" i="9"/>
  <c r="M3792" i="9" s="1"/>
  <c r="E3797" i="9"/>
  <c r="D3797" i="9"/>
  <c r="C3797" i="9"/>
  <c r="L3797" i="9"/>
  <c r="M3797" i="9" s="1"/>
  <c r="E3816" i="9"/>
  <c r="D3816" i="9"/>
  <c r="C3816" i="9"/>
  <c r="L3816" i="9"/>
  <c r="M3816" i="9" s="1"/>
  <c r="E3821" i="9"/>
  <c r="D3821" i="9"/>
  <c r="C3821" i="9"/>
  <c r="L3821" i="9"/>
  <c r="M3821" i="9" s="1"/>
  <c r="E3840" i="9"/>
  <c r="D3840" i="9"/>
  <c r="C3840" i="9"/>
  <c r="L3840" i="9"/>
  <c r="M3840" i="9" s="1"/>
  <c r="E3845" i="9"/>
  <c r="D3845" i="9"/>
  <c r="C3845" i="9"/>
  <c r="L3845" i="9"/>
  <c r="M3845" i="9" s="1"/>
  <c r="E3864" i="9"/>
  <c r="D3864" i="9"/>
  <c r="C3864" i="9"/>
  <c r="L3864" i="9"/>
  <c r="M3864" i="9" s="1"/>
  <c r="E3869" i="9"/>
  <c r="D3869" i="9"/>
  <c r="C3869" i="9"/>
  <c r="L3869" i="9"/>
  <c r="M3869" i="9" s="1"/>
  <c r="E3888" i="9"/>
  <c r="D3888" i="9"/>
  <c r="C3888" i="9"/>
  <c r="L3888" i="9"/>
  <c r="M3888" i="9" s="1"/>
  <c r="E3893" i="9"/>
  <c r="D3893" i="9"/>
  <c r="C3893" i="9"/>
  <c r="L3893" i="9"/>
  <c r="M3893" i="9" s="1"/>
  <c r="E3912" i="9"/>
  <c r="D3912" i="9"/>
  <c r="C3912" i="9"/>
  <c r="L3912" i="9"/>
  <c r="M3912" i="9" s="1"/>
  <c r="L3917" i="9"/>
  <c r="M3917" i="9" s="1"/>
  <c r="E3917" i="9"/>
  <c r="D3917" i="9"/>
  <c r="C3917" i="9"/>
  <c r="E3936" i="9"/>
  <c r="D3936" i="9"/>
  <c r="C3936" i="9"/>
  <c r="L3936" i="9"/>
  <c r="M3936" i="9" s="1"/>
  <c r="L3941" i="9"/>
  <c r="M3941" i="9" s="1"/>
  <c r="E3941" i="9"/>
  <c r="D3941" i="9"/>
  <c r="C3941" i="9"/>
  <c r="E3960" i="9"/>
  <c r="D3960" i="9"/>
  <c r="C3960" i="9"/>
  <c r="L3960" i="9"/>
  <c r="M3960" i="9" s="1"/>
  <c r="L3965" i="9"/>
  <c r="M3965" i="9" s="1"/>
  <c r="E3965" i="9"/>
  <c r="D3965" i="9"/>
  <c r="C3965" i="9"/>
  <c r="E3984" i="9"/>
  <c r="D3984" i="9"/>
  <c r="C3984" i="9"/>
  <c r="L3984" i="9"/>
  <c r="M3984" i="9" s="1"/>
  <c r="L3989" i="9"/>
  <c r="M3989" i="9" s="1"/>
  <c r="E3989" i="9"/>
  <c r="D3989" i="9"/>
  <c r="C3989" i="9"/>
  <c r="E4008" i="9"/>
  <c r="D4008" i="9"/>
  <c r="C4008" i="9"/>
  <c r="L4008" i="9"/>
  <c r="M4008" i="9" s="1"/>
  <c r="L4013" i="9"/>
  <c r="M4013" i="9" s="1"/>
  <c r="E4013" i="9"/>
  <c r="D4013" i="9"/>
  <c r="C4013" i="9"/>
  <c r="E4032" i="9"/>
  <c r="D4032" i="9"/>
  <c r="C4032" i="9"/>
  <c r="L4032" i="9"/>
  <c r="M4032" i="9" s="1"/>
  <c r="L4037" i="9"/>
  <c r="M4037" i="9" s="1"/>
  <c r="E4037" i="9"/>
  <c r="D4037" i="9"/>
  <c r="C4037" i="9"/>
  <c r="E4056" i="9"/>
  <c r="D4056" i="9"/>
  <c r="C4056" i="9"/>
  <c r="L4056" i="9"/>
  <c r="M4056" i="9" s="1"/>
  <c r="L4061" i="9"/>
  <c r="M4061" i="9" s="1"/>
  <c r="E4061" i="9"/>
  <c r="D4061" i="9"/>
  <c r="C4061" i="9"/>
  <c r="E4080" i="9"/>
  <c r="D4080" i="9"/>
  <c r="C4080" i="9"/>
  <c r="L4080" i="9"/>
  <c r="M4080" i="9" s="1"/>
  <c r="L4085" i="9"/>
  <c r="M4085" i="9" s="1"/>
  <c r="E4085" i="9"/>
  <c r="D4085" i="9"/>
  <c r="C4085" i="9"/>
  <c r="E4104" i="9"/>
  <c r="D4104" i="9"/>
  <c r="C4104" i="9"/>
  <c r="L4104" i="9"/>
  <c r="M4104" i="9" s="1"/>
  <c r="L4109" i="9"/>
  <c r="M4109" i="9" s="1"/>
  <c r="E4109" i="9"/>
  <c r="D4109" i="9"/>
  <c r="C4109" i="9"/>
  <c r="E4128" i="9"/>
  <c r="D4128" i="9"/>
  <c r="C4128" i="9"/>
  <c r="L4128" i="9"/>
  <c r="M4128" i="9" s="1"/>
  <c r="L4133" i="9"/>
  <c r="M4133" i="9" s="1"/>
  <c r="E4133" i="9"/>
  <c r="D4133" i="9"/>
  <c r="C4133" i="9"/>
  <c r="E4152" i="9"/>
  <c r="D4152" i="9"/>
  <c r="C4152" i="9"/>
  <c r="L4152" i="9"/>
  <c r="M4152" i="9" s="1"/>
  <c r="L4157" i="9"/>
  <c r="M4157" i="9" s="1"/>
  <c r="E4157" i="9"/>
  <c r="D4157" i="9"/>
  <c r="C4157" i="9"/>
  <c r="E4176" i="9"/>
  <c r="D4176" i="9"/>
  <c r="C4176" i="9"/>
  <c r="L4176" i="9"/>
  <c r="M4176" i="9" s="1"/>
  <c r="L4181" i="9"/>
  <c r="M4181" i="9" s="1"/>
  <c r="E4181" i="9"/>
  <c r="D4181" i="9"/>
  <c r="C4181" i="9"/>
  <c r="L4196" i="9"/>
  <c r="M4196" i="9" s="1"/>
  <c r="E4196" i="9"/>
  <c r="D4196" i="9"/>
  <c r="C4196" i="9"/>
  <c r="D4212" i="9"/>
  <c r="C4212" i="9"/>
  <c r="E4212" i="9"/>
  <c r="L4212" i="9"/>
  <c r="M4212" i="9" s="1"/>
  <c r="E4228" i="9"/>
  <c r="D4228" i="9"/>
  <c r="C4228" i="9"/>
  <c r="L4228" i="9"/>
  <c r="M4228" i="9" s="1"/>
  <c r="L4244" i="9"/>
  <c r="M4244" i="9" s="1"/>
  <c r="E4244" i="9"/>
  <c r="C4244" i="9"/>
  <c r="D4244" i="9"/>
  <c r="E4260" i="9"/>
  <c r="D4260" i="9"/>
  <c r="C4260" i="9"/>
  <c r="L4260" i="9"/>
  <c r="M4260" i="9" s="1"/>
  <c r="E4276" i="9"/>
  <c r="D4276" i="9"/>
  <c r="C4276" i="9"/>
  <c r="L4276" i="9"/>
  <c r="M4276" i="9" s="1"/>
  <c r="L4292" i="9"/>
  <c r="M4292" i="9" s="1"/>
  <c r="E4292" i="9"/>
  <c r="C4292" i="9"/>
  <c r="D4292" i="9"/>
  <c r="E4308" i="9"/>
  <c r="D4308" i="9"/>
  <c r="C4308" i="9"/>
  <c r="L4308" i="9"/>
  <c r="M4308" i="9" s="1"/>
  <c r="E4324" i="9"/>
  <c r="D4324" i="9"/>
  <c r="C4324" i="9"/>
  <c r="L4324" i="9"/>
  <c r="M4324" i="9" s="1"/>
  <c r="L4340" i="9"/>
  <c r="M4340" i="9" s="1"/>
  <c r="E4340" i="9"/>
  <c r="C4340" i="9"/>
  <c r="D4340" i="9"/>
  <c r="E4356" i="9"/>
  <c r="D4356" i="9"/>
  <c r="C4356" i="9"/>
  <c r="L4356" i="9"/>
  <c r="M4356" i="9" s="1"/>
  <c r="E4372" i="9"/>
  <c r="D4372" i="9"/>
  <c r="C4372" i="9"/>
  <c r="L4372" i="9"/>
  <c r="M4372" i="9" s="1"/>
  <c r="L4388" i="9"/>
  <c r="M4388" i="9" s="1"/>
  <c r="E4388" i="9"/>
  <c r="C4388" i="9"/>
  <c r="D4388" i="9"/>
  <c r="E4404" i="9"/>
  <c r="D4404" i="9"/>
  <c r="C4404" i="9"/>
  <c r="L4404" i="9"/>
  <c r="M4404" i="9" s="1"/>
  <c r="E4420" i="9"/>
  <c r="D4420" i="9"/>
  <c r="C4420" i="9"/>
  <c r="L4420" i="9"/>
  <c r="M4420" i="9" s="1"/>
  <c r="D4436" i="9"/>
  <c r="L4436" i="9"/>
  <c r="M4436" i="9" s="1"/>
  <c r="E4436" i="9"/>
  <c r="C4436" i="9"/>
  <c r="L4452" i="9"/>
  <c r="M4452" i="9" s="1"/>
  <c r="D4452" i="9"/>
  <c r="C4452" i="9"/>
  <c r="E4452" i="9"/>
  <c r="E4468" i="9"/>
  <c r="D4468" i="9"/>
  <c r="C4468" i="9"/>
  <c r="L4468" i="9"/>
  <c r="M4468" i="9" s="1"/>
  <c r="D4484" i="9"/>
  <c r="C4484" i="9"/>
  <c r="L4484" i="9"/>
  <c r="M4484" i="9" s="1"/>
  <c r="E4484" i="9"/>
  <c r="L4500" i="9"/>
  <c r="M4500" i="9" s="1"/>
  <c r="D4500" i="9"/>
  <c r="C4500" i="9"/>
  <c r="E4500" i="9"/>
  <c r="E4516" i="9"/>
  <c r="D4516" i="9"/>
  <c r="D4532" i="9"/>
  <c r="E4532" i="9"/>
  <c r="D4548" i="9"/>
  <c r="E4548" i="9"/>
  <c r="E4564" i="9"/>
  <c r="D4564" i="9"/>
  <c r="D4580" i="9"/>
  <c r="C4580" i="9"/>
  <c r="L4580" i="9"/>
  <c r="M4580" i="9" s="1"/>
  <c r="E4580" i="9"/>
  <c r="D4596" i="9"/>
  <c r="E4596" i="9"/>
  <c r="E4612" i="9"/>
  <c r="D4612" i="9"/>
  <c r="C4612" i="9"/>
  <c r="L4612" i="9"/>
  <c r="M4612" i="9" s="1"/>
  <c r="D4628" i="9"/>
  <c r="C4628" i="9"/>
  <c r="L4628" i="9"/>
  <c r="M4628" i="9" s="1"/>
  <c r="E4628" i="9"/>
  <c r="L4644" i="9"/>
  <c r="M4644" i="9" s="1"/>
  <c r="D4644" i="9"/>
  <c r="C4644" i="9"/>
  <c r="E4644" i="9"/>
  <c r="E4660" i="9"/>
  <c r="D4660" i="9"/>
  <c r="C4660" i="9"/>
  <c r="L4660" i="9"/>
  <c r="M4660" i="9" s="1"/>
  <c r="D4676" i="9"/>
  <c r="C4676" i="9"/>
  <c r="L4676" i="9"/>
  <c r="M4676" i="9" s="1"/>
  <c r="E4676" i="9"/>
  <c r="L4692" i="9"/>
  <c r="M4692" i="9" s="1"/>
  <c r="D4692" i="9"/>
  <c r="C4692" i="9"/>
  <c r="E4692" i="9"/>
  <c r="E4708" i="9"/>
  <c r="D4708" i="9"/>
  <c r="C4708" i="9"/>
  <c r="L4708" i="9"/>
  <c r="M4708" i="9" s="1"/>
  <c r="E4724" i="9"/>
  <c r="D4724" i="9"/>
  <c r="E4740" i="9"/>
  <c r="D4740" i="9"/>
  <c r="C4740" i="9"/>
  <c r="L4740" i="9"/>
  <c r="M4740" i="9" s="1"/>
  <c r="E4756" i="9"/>
  <c r="D4756" i="9"/>
  <c r="E4772" i="9"/>
  <c r="D4772" i="9"/>
  <c r="E4788" i="9"/>
  <c r="D4788" i="9"/>
  <c r="E4804" i="9"/>
  <c r="D4804" i="9"/>
  <c r="E4820" i="9"/>
  <c r="D4820" i="9"/>
  <c r="C4820" i="9"/>
  <c r="L4820" i="9"/>
  <c r="M4820" i="9" s="1"/>
  <c r="L4836" i="9"/>
  <c r="M4836" i="9" s="1"/>
  <c r="E4836" i="9"/>
  <c r="D4836" i="9"/>
  <c r="C4836" i="9"/>
  <c r="E4852" i="9"/>
  <c r="D4852" i="9"/>
  <c r="L4852" i="9"/>
  <c r="M4852" i="9" s="1"/>
  <c r="C4852" i="9"/>
  <c r="E4868" i="9"/>
  <c r="D4868" i="9"/>
  <c r="C4868" i="9"/>
  <c r="L4868" i="9"/>
  <c r="M4868" i="9" s="1"/>
  <c r="L4884" i="9"/>
  <c r="M4884" i="9" s="1"/>
  <c r="E4884" i="9"/>
  <c r="D4884" i="9"/>
  <c r="C4884" i="9"/>
  <c r="E4900" i="9"/>
  <c r="D4900" i="9"/>
  <c r="L4900" i="9"/>
  <c r="M4900" i="9" s="1"/>
  <c r="C4900" i="9"/>
  <c r="E4916" i="9"/>
  <c r="D4916" i="9"/>
  <c r="C4916" i="9"/>
  <c r="L4916" i="9"/>
  <c r="M4916" i="9" s="1"/>
  <c r="E4932" i="9"/>
  <c r="D4932" i="9"/>
  <c r="E4948" i="9"/>
  <c r="D4948" i="9"/>
  <c r="E4964" i="9"/>
  <c r="D4964" i="9"/>
  <c r="L4980" i="9"/>
  <c r="M4980" i="9" s="1"/>
  <c r="E4980" i="9"/>
  <c r="D4980" i="9"/>
  <c r="C4980" i="9"/>
  <c r="E4996" i="9"/>
  <c r="D4996" i="9"/>
  <c r="E5012" i="9"/>
  <c r="D5012" i="9"/>
  <c r="L5028" i="9"/>
  <c r="M5028" i="9" s="1"/>
  <c r="E5028" i="9"/>
  <c r="D5028" i="9"/>
  <c r="C5028" i="9"/>
  <c r="E5044" i="9"/>
  <c r="D5044" i="9"/>
  <c r="L5044" i="9"/>
  <c r="M5044" i="9" s="1"/>
  <c r="C5044" i="9"/>
  <c r="E5060" i="9"/>
  <c r="D5060" i="9"/>
  <c r="C5060" i="9"/>
  <c r="L5060" i="9"/>
  <c r="M5060" i="9" s="1"/>
  <c r="L5076" i="9"/>
  <c r="M5076" i="9" s="1"/>
  <c r="E5076" i="9"/>
  <c r="D5076" i="9"/>
  <c r="C5076" i="9"/>
  <c r="E5092" i="9"/>
  <c r="D5092" i="9"/>
  <c r="L5092" i="9"/>
  <c r="M5092" i="9" s="1"/>
  <c r="C5092" i="9"/>
  <c r="E5108" i="9"/>
  <c r="D5108" i="9"/>
  <c r="C5108" i="9"/>
  <c r="L5108" i="9"/>
  <c r="M5108" i="9" s="1"/>
  <c r="C5124" i="9"/>
  <c r="L5124" i="9"/>
  <c r="M5124" i="9" s="1"/>
  <c r="E5124" i="9"/>
  <c r="D5124" i="9"/>
  <c r="E5140" i="9"/>
  <c r="C5140" i="9"/>
  <c r="L5140" i="9"/>
  <c r="M5140" i="9" s="1"/>
  <c r="D5140" i="9"/>
  <c r="E5156" i="9"/>
  <c r="D5156" i="9"/>
  <c r="E5172" i="9"/>
  <c r="D5172" i="9"/>
  <c r="E5188" i="9"/>
  <c r="D5188" i="9"/>
  <c r="E5204" i="9"/>
  <c r="D5204" i="9"/>
  <c r="C5220" i="9"/>
  <c r="L5220" i="9"/>
  <c r="M5220" i="9" s="1"/>
  <c r="E5220" i="9"/>
  <c r="D5220" i="9"/>
  <c r="L5236" i="9"/>
  <c r="M5236" i="9" s="1"/>
  <c r="E5236" i="9"/>
  <c r="D5236" i="9"/>
  <c r="C5236" i="9"/>
  <c r="E5252" i="9"/>
  <c r="D5252" i="9"/>
  <c r="C5252" i="9"/>
  <c r="L5252" i="9"/>
  <c r="M5252" i="9" s="1"/>
  <c r="C5268" i="9"/>
  <c r="L5268" i="9"/>
  <c r="M5268" i="9" s="1"/>
  <c r="E5268" i="9"/>
  <c r="D5268" i="9"/>
  <c r="C5284" i="9"/>
  <c r="E5284" i="9"/>
  <c r="D5284" i="9"/>
  <c r="L5284" i="9"/>
  <c r="M5284" i="9" s="1"/>
  <c r="E5300" i="9"/>
  <c r="D5300" i="9"/>
  <c r="C5300" i="9"/>
  <c r="L5300" i="9"/>
  <c r="M5300" i="9" s="1"/>
  <c r="D5316" i="9"/>
  <c r="L5316" i="9"/>
  <c r="M5316" i="9" s="1"/>
  <c r="E5316" i="9"/>
  <c r="C5316" i="9"/>
  <c r="E5332" i="9"/>
  <c r="C5332" i="9"/>
  <c r="L5332" i="9"/>
  <c r="M5332" i="9" s="1"/>
  <c r="D5332" i="9"/>
  <c r="E5348" i="9"/>
  <c r="D5348" i="9"/>
  <c r="C5348" i="9"/>
  <c r="L5348" i="9"/>
  <c r="M5348" i="9" s="1"/>
  <c r="E5364" i="9"/>
  <c r="D5364" i="9"/>
  <c r="L5380" i="9"/>
  <c r="M5380" i="9" s="1"/>
  <c r="C5380" i="9"/>
  <c r="D5380" i="9"/>
  <c r="E5380" i="9"/>
  <c r="E5396" i="9"/>
  <c r="D5396" i="9"/>
  <c r="E5412" i="9"/>
  <c r="D5412" i="9"/>
  <c r="D5428" i="9"/>
  <c r="E5428" i="9"/>
  <c r="E5444" i="9"/>
  <c r="D5444" i="9"/>
  <c r="C5444" i="9"/>
  <c r="L5444" i="9"/>
  <c r="M5444" i="9" s="1"/>
  <c r="C5460" i="9"/>
  <c r="E5460" i="9"/>
  <c r="D5460" i="9"/>
  <c r="L5460" i="9"/>
  <c r="M5460" i="9" s="1"/>
  <c r="C5476" i="9"/>
  <c r="E5476" i="9"/>
  <c r="L5476" i="9"/>
  <c r="M5476" i="9" s="1"/>
  <c r="D5476" i="9"/>
  <c r="E5492" i="9"/>
  <c r="D5492" i="9"/>
  <c r="L5492" i="9"/>
  <c r="M5492" i="9" s="1"/>
  <c r="C5492" i="9"/>
  <c r="C5508" i="9"/>
  <c r="L5508" i="9"/>
  <c r="M5508" i="9" s="1"/>
  <c r="E5508" i="9"/>
  <c r="D5508" i="9"/>
  <c r="C5524" i="9"/>
  <c r="E5524" i="9"/>
  <c r="D5524" i="9"/>
  <c r="L5524" i="9"/>
  <c r="M5524" i="9" s="1"/>
  <c r="L5540" i="9"/>
  <c r="M5540" i="9" s="1"/>
  <c r="E5540" i="9"/>
  <c r="D5540" i="9"/>
  <c r="C5540" i="9"/>
  <c r="E5556" i="9"/>
  <c r="D5556" i="9"/>
  <c r="C5556" i="9"/>
  <c r="L5556" i="9"/>
  <c r="M5556" i="9" s="1"/>
  <c r="E5572" i="9"/>
  <c r="D5572" i="9"/>
  <c r="L5588" i="9"/>
  <c r="M5588" i="9" s="1"/>
  <c r="D5588" i="9"/>
  <c r="C5588" i="9"/>
  <c r="E5588" i="9"/>
  <c r="E5604" i="9"/>
  <c r="D5604" i="9"/>
  <c r="E5620" i="9"/>
  <c r="D5620" i="9"/>
  <c r="C5620" i="9"/>
  <c r="L5620" i="9"/>
  <c r="M5620" i="9" s="1"/>
  <c r="L5636" i="9"/>
  <c r="M5636" i="9" s="1"/>
  <c r="D5636" i="9"/>
  <c r="C5636" i="9"/>
  <c r="E5636" i="9"/>
  <c r="E5652" i="9"/>
  <c r="D5652" i="9"/>
  <c r="C5652" i="9"/>
  <c r="L5652" i="9"/>
  <c r="M5652" i="9" s="1"/>
  <c r="C5668" i="9"/>
  <c r="L5668" i="9"/>
  <c r="M5668" i="9" s="1"/>
  <c r="E5668" i="9"/>
  <c r="D5668" i="9"/>
  <c r="E5684" i="9"/>
  <c r="D5684" i="9"/>
  <c r="C5684" i="9"/>
  <c r="L5684" i="9"/>
  <c r="M5684" i="9" s="1"/>
  <c r="E3903" i="9"/>
  <c r="D3903" i="9"/>
  <c r="C3903" i="9"/>
  <c r="L3903" i="9"/>
  <c r="M3903" i="9" s="1"/>
  <c r="E3922" i="9"/>
  <c r="C3922" i="9"/>
  <c r="L3922" i="9"/>
  <c r="M3922" i="9" s="1"/>
  <c r="D3922" i="9"/>
  <c r="D3927" i="9"/>
  <c r="C3927" i="9"/>
  <c r="L3927" i="9"/>
  <c r="M3927" i="9" s="1"/>
  <c r="E3927" i="9"/>
  <c r="E3946" i="9"/>
  <c r="D3946" i="9"/>
  <c r="C3946" i="9"/>
  <c r="L3946" i="9"/>
  <c r="M3946" i="9" s="1"/>
  <c r="D3951" i="9"/>
  <c r="C3951" i="9"/>
  <c r="L3951" i="9"/>
  <c r="M3951" i="9" s="1"/>
  <c r="E3951" i="9"/>
  <c r="E3970" i="9"/>
  <c r="D3970" i="9"/>
  <c r="C3970" i="9"/>
  <c r="L3970" i="9"/>
  <c r="M3970" i="9" s="1"/>
  <c r="D3975" i="9"/>
  <c r="C3975" i="9"/>
  <c r="L3975" i="9"/>
  <c r="M3975" i="9" s="1"/>
  <c r="E3975" i="9"/>
  <c r="E3994" i="9"/>
  <c r="D3994" i="9"/>
  <c r="C3994" i="9"/>
  <c r="L3994" i="9"/>
  <c r="M3994" i="9" s="1"/>
  <c r="D3999" i="9"/>
  <c r="C3999" i="9"/>
  <c r="L3999" i="9"/>
  <c r="M3999" i="9" s="1"/>
  <c r="E3999" i="9"/>
  <c r="E4018" i="9"/>
  <c r="D4018" i="9"/>
  <c r="C4018" i="9"/>
  <c r="L4018" i="9"/>
  <c r="M4018" i="9" s="1"/>
  <c r="D4023" i="9"/>
  <c r="C4023" i="9"/>
  <c r="L4023" i="9"/>
  <c r="M4023" i="9" s="1"/>
  <c r="E4023" i="9"/>
  <c r="E4042" i="9"/>
  <c r="D4042" i="9"/>
  <c r="C4042" i="9"/>
  <c r="L4042" i="9"/>
  <c r="M4042" i="9" s="1"/>
  <c r="D4047" i="9"/>
  <c r="C4047" i="9"/>
  <c r="L4047" i="9"/>
  <c r="M4047" i="9" s="1"/>
  <c r="E4047" i="9"/>
  <c r="E4066" i="9"/>
  <c r="D4066" i="9"/>
  <c r="C4066" i="9"/>
  <c r="L4066" i="9"/>
  <c r="M4066" i="9" s="1"/>
  <c r="D4071" i="9"/>
  <c r="C4071" i="9"/>
  <c r="L4071" i="9"/>
  <c r="M4071" i="9" s="1"/>
  <c r="E4071" i="9"/>
  <c r="E4090" i="9"/>
  <c r="D4090" i="9"/>
  <c r="C4090" i="9"/>
  <c r="L4090" i="9"/>
  <c r="M4090" i="9" s="1"/>
  <c r="D4095" i="9"/>
  <c r="C4095" i="9"/>
  <c r="L4095" i="9"/>
  <c r="M4095" i="9" s="1"/>
  <c r="E4095" i="9"/>
  <c r="E4114" i="9"/>
  <c r="D4114" i="9"/>
  <c r="C4114" i="9"/>
  <c r="L4114" i="9"/>
  <c r="M4114" i="9" s="1"/>
  <c r="D4119" i="9"/>
  <c r="C4119" i="9"/>
  <c r="L4119" i="9"/>
  <c r="M4119" i="9" s="1"/>
  <c r="E4119" i="9"/>
  <c r="E4138" i="9"/>
  <c r="D4138" i="9"/>
  <c r="C4138" i="9"/>
  <c r="L4138" i="9"/>
  <c r="M4138" i="9" s="1"/>
  <c r="D4143" i="9"/>
  <c r="C4143" i="9"/>
  <c r="L4143" i="9"/>
  <c r="M4143" i="9" s="1"/>
  <c r="E4143" i="9"/>
  <c r="E4162" i="9"/>
  <c r="D4162" i="9"/>
  <c r="C4162" i="9"/>
  <c r="L4162" i="9"/>
  <c r="M4162" i="9" s="1"/>
  <c r="D4167" i="9"/>
  <c r="C4167" i="9"/>
  <c r="L4167" i="9"/>
  <c r="M4167" i="9" s="1"/>
  <c r="E4167" i="9"/>
  <c r="E4186" i="9"/>
  <c r="D4186" i="9"/>
  <c r="C4186" i="9"/>
  <c r="L4186" i="9"/>
  <c r="M4186" i="9" s="1"/>
  <c r="E4191" i="9"/>
  <c r="D4191" i="9"/>
  <c r="C4191" i="9"/>
  <c r="L4191" i="9"/>
  <c r="M4191" i="9" s="1"/>
  <c r="L4207" i="9"/>
  <c r="M4207" i="9" s="1"/>
  <c r="C4207" i="9"/>
  <c r="E4207" i="9"/>
  <c r="D4207" i="9"/>
  <c r="E4223" i="9"/>
  <c r="D4223" i="9"/>
  <c r="C4223" i="9"/>
  <c r="L4223" i="9"/>
  <c r="M4223" i="9" s="1"/>
  <c r="E4239" i="9"/>
  <c r="D4239" i="9"/>
  <c r="C4239" i="9"/>
  <c r="L4239" i="9"/>
  <c r="M4239" i="9" s="1"/>
  <c r="L4255" i="9"/>
  <c r="M4255" i="9" s="1"/>
  <c r="D4255" i="9"/>
  <c r="C4255" i="9"/>
  <c r="E4255" i="9"/>
  <c r="E4271" i="9"/>
  <c r="D4271" i="9"/>
  <c r="C4271" i="9"/>
  <c r="L4271" i="9"/>
  <c r="M4271" i="9" s="1"/>
  <c r="E4287" i="9"/>
  <c r="D4287" i="9"/>
  <c r="C4287" i="9"/>
  <c r="L4287" i="9"/>
  <c r="M4287" i="9" s="1"/>
  <c r="L4303" i="9"/>
  <c r="M4303" i="9" s="1"/>
  <c r="D4303" i="9"/>
  <c r="C4303" i="9"/>
  <c r="E4303" i="9"/>
  <c r="E4319" i="9"/>
  <c r="D4319" i="9"/>
  <c r="C4319" i="9"/>
  <c r="L4319" i="9"/>
  <c r="M4319" i="9" s="1"/>
  <c r="E4335" i="9"/>
  <c r="D4335" i="9"/>
  <c r="C4335" i="9"/>
  <c r="L4335" i="9"/>
  <c r="M4335" i="9" s="1"/>
  <c r="L4351" i="9"/>
  <c r="M4351" i="9" s="1"/>
  <c r="D4351" i="9"/>
  <c r="C4351" i="9"/>
  <c r="E4351" i="9"/>
  <c r="E4367" i="9"/>
  <c r="D4367" i="9"/>
  <c r="C4367" i="9"/>
  <c r="L4367" i="9"/>
  <c r="M4367" i="9" s="1"/>
  <c r="E4383" i="9"/>
  <c r="D4383" i="9"/>
  <c r="C4383" i="9"/>
  <c r="L4383" i="9"/>
  <c r="M4383" i="9" s="1"/>
  <c r="L4399" i="9"/>
  <c r="M4399" i="9" s="1"/>
  <c r="D4399" i="9"/>
  <c r="C4399" i="9"/>
  <c r="E4399" i="9"/>
  <c r="E4415" i="9"/>
  <c r="D4415" i="9"/>
  <c r="C4415" i="9"/>
  <c r="L4415" i="9"/>
  <c r="M4415" i="9" s="1"/>
  <c r="E4431" i="9"/>
  <c r="D4431" i="9"/>
  <c r="C4431" i="9"/>
  <c r="L4431" i="9"/>
  <c r="M4431" i="9" s="1"/>
  <c r="E4447" i="9"/>
  <c r="D4447" i="9"/>
  <c r="C4447" i="9"/>
  <c r="L4447" i="9"/>
  <c r="M4447" i="9" s="1"/>
  <c r="L4463" i="9"/>
  <c r="M4463" i="9" s="1"/>
  <c r="E4463" i="9"/>
  <c r="C4463" i="9"/>
  <c r="D4463" i="9"/>
  <c r="E4479" i="9"/>
  <c r="D4479" i="9"/>
  <c r="L4479" i="9"/>
  <c r="M4479" i="9" s="1"/>
  <c r="C4479" i="9"/>
  <c r="E4495" i="9"/>
  <c r="D4495" i="9"/>
  <c r="C4495" i="9"/>
  <c r="L4495" i="9"/>
  <c r="M4495" i="9" s="1"/>
  <c r="L4511" i="9"/>
  <c r="M4511" i="9" s="1"/>
  <c r="E4511" i="9"/>
  <c r="C4511" i="9"/>
  <c r="D4511" i="9"/>
  <c r="E4527" i="9"/>
  <c r="D4527" i="9"/>
  <c r="E4543" i="9"/>
  <c r="D4543" i="9"/>
  <c r="E4559" i="9"/>
  <c r="D4559" i="9"/>
  <c r="E4575" i="9"/>
  <c r="D4575" i="9"/>
  <c r="E4591" i="9"/>
  <c r="D4591" i="9"/>
  <c r="C4591" i="9"/>
  <c r="L4591" i="9"/>
  <c r="M4591" i="9" s="1"/>
  <c r="L4607" i="9"/>
  <c r="M4607" i="9" s="1"/>
  <c r="E4607" i="9"/>
  <c r="C4607" i="9"/>
  <c r="D4607" i="9"/>
  <c r="E4623" i="9"/>
  <c r="D4623" i="9"/>
  <c r="L4623" i="9"/>
  <c r="M4623" i="9" s="1"/>
  <c r="C4623" i="9"/>
  <c r="E4639" i="9"/>
  <c r="D4639" i="9"/>
  <c r="C4639" i="9"/>
  <c r="L4639" i="9"/>
  <c r="M4639" i="9" s="1"/>
  <c r="L4655" i="9"/>
  <c r="M4655" i="9" s="1"/>
  <c r="E4655" i="9"/>
  <c r="C4655" i="9"/>
  <c r="D4655" i="9"/>
  <c r="E4671" i="9"/>
  <c r="D4671" i="9"/>
  <c r="L4671" i="9"/>
  <c r="M4671" i="9" s="1"/>
  <c r="C4671" i="9"/>
  <c r="E4687" i="9"/>
  <c r="D4687" i="9"/>
  <c r="C4687" i="9"/>
  <c r="L4687" i="9"/>
  <c r="M4687" i="9" s="1"/>
  <c r="L4703" i="9"/>
  <c r="M4703" i="9" s="1"/>
  <c r="E4703" i="9"/>
  <c r="C4703" i="9"/>
  <c r="D4703" i="9"/>
  <c r="D4719" i="9"/>
  <c r="C4719" i="9"/>
  <c r="L4719" i="9"/>
  <c r="M4719" i="9" s="1"/>
  <c r="E4719" i="9"/>
  <c r="D4735" i="9"/>
  <c r="E4735" i="9"/>
  <c r="L4751" i="9"/>
  <c r="M4751" i="9" s="1"/>
  <c r="E4751" i="9"/>
  <c r="D4751" i="9"/>
  <c r="C4751" i="9"/>
  <c r="E4767" i="9"/>
  <c r="D4767" i="9"/>
  <c r="D4783" i="9"/>
  <c r="E4783" i="9"/>
  <c r="E4799" i="9"/>
  <c r="D4799" i="9"/>
  <c r="E4815" i="9"/>
  <c r="D4815" i="9"/>
  <c r="C4815" i="9"/>
  <c r="L4815" i="9"/>
  <c r="M4815" i="9" s="1"/>
  <c r="E4831" i="9"/>
  <c r="D4831" i="9"/>
  <c r="C4831" i="9"/>
  <c r="L4831" i="9"/>
  <c r="M4831" i="9" s="1"/>
  <c r="L4847" i="9"/>
  <c r="M4847" i="9" s="1"/>
  <c r="E4847" i="9"/>
  <c r="D4847" i="9"/>
  <c r="C4847" i="9"/>
  <c r="E4863" i="9"/>
  <c r="L4863" i="9"/>
  <c r="M4863" i="9" s="1"/>
  <c r="D4863" i="9"/>
  <c r="C4863" i="9"/>
  <c r="E4879" i="9"/>
  <c r="D4879" i="9"/>
  <c r="C4879" i="9"/>
  <c r="L4879" i="9"/>
  <c r="M4879" i="9" s="1"/>
  <c r="L4895" i="9"/>
  <c r="M4895" i="9" s="1"/>
  <c r="E4895" i="9"/>
  <c r="D4895" i="9"/>
  <c r="C4895" i="9"/>
  <c r="E4911" i="9"/>
  <c r="L4911" i="9"/>
  <c r="M4911" i="9" s="1"/>
  <c r="D4911" i="9"/>
  <c r="C4911" i="9"/>
  <c r="E4927" i="9"/>
  <c r="D4927" i="9"/>
  <c r="C4927" i="9"/>
  <c r="L4927" i="9"/>
  <c r="M4927" i="9" s="1"/>
  <c r="E4943" i="9"/>
  <c r="D4943" i="9"/>
  <c r="E4959" i="9"/>
  <c r="D4959" i="9"/>
  <c r="E4975" i="9"/>
  <c r="D4975" i="9"/>
  <c r="L4991" i="9"/>
  <c r="M4991" i="9" s="1"/>
  <c r="E4991" i="9"/>
  <c r="D4991" i="9"/>
  <c r="C4991" i="9"/>
  <c r="E5007" i="9"/>
  <c r="D5007" i="9"/>
  <c r="E5023" i="9"/>
  <c r="D5023" i="9"/>
  <c r="C5023" i="9"/>
  <c r="L5023" i="9"/>
  <c r="M5023" i="9" s="1"/>
  <c r="L5039" i="9"/>
  <c r="M5039" i="9" s="1"/>
  <c r="E5039" i="9"/>
  <c r="D5039" i="9"/>
  <c r="C5039" i="9"/>
  <c r="E5055" i="9"/>
  <c r="L5055" i="9"/>
  <c r="M5055" i="9" s="1"/>
  <c r="D5055" i="9"/>
  <c r="C5055" i="9"/>
  <c r="E5071" i="9"/>
  <c r="D5071" i="9"/>
  <c r="C5071" i="9"/>
  <c r="L5071" i="9"/>
  <c r="M5071" i="9" s="1"/>
  <c r="L5087" i="9"/>
  <c r="M5087" i="9" s="1"/>
  <c r="E5087" i="9"/>
  <c r="D5087" i="9"/>
  <c r="C5087" i="9"/>
  <c r="E5103" i="9"/>
  <c r="L5103" i="9"/>
  <c r="M5103" i="9" s="1"/>
  <c r="D5103" i="9"/>
  <c r="C5103" i="9"/>
  <c r="E5119" i="9"/>
  <c r="D5119" i="9"/>
  <c r="C5119" i="9"/>
  <c r="L5119" i="9"/>
  <c r="M5119" i="9" s="1"/>
  <c r="D5135" i="9"/>
  <c r="C5135" i="9"/>
  <c r="L5135" i="9"/>
  <c r="M5135" i="9" s="1"/>
  <c r="E5135" i="9"/>
  <c r="L5151" i="9"/>
  <c r="M5151" i="9" s="1"/>
  <c r="D5151" i="9"/>
  <c r="C5151" i="9"/>
  <c r="E5151" i="9"/>
  <c r="E5167" i="9"/>
  <c r="D5167" i="9"/>
  <c r="D5183" i="9"/>
  <c r="E5183" i="9"/>
  <c r="D5199" i="9"/>
  <c r="E5199" i="9"/>
  <c r="E5215" i="9"/>
  <c r="D5215" i="9"/>
  <c r="D5231" i="9"/>
  <c r="C5231" i="9"/>
  <c r="L5231" i="9"/>
  <c r="M5231" i="9" s="1"/>
  <c r="E5231" i="9"/>
  <c r="L5247" i="9"/>
  <c r="M5247" i="9" s="1"/>
  <c r="E5247" i="9"/>
  <c r="D5247" i="9"/>
  <c r="C5247" i="9"/>
  <c r="E5263" i="9"/>
  <c r="D5263" i="9"/>
  <c r="C5263" i="9"/>
  <c r="L5263" i="9"/>
  <c r="M5263" i="9" s="1"/>
  <c r="D5279" i="9"/>
  <c r="C5279" i="9"/>
  <c r="L5279" i="9"/>
  <c r="M5279" i="9" s="1"/>
  <c r="E5279" i="9"/>
  <c r="L5295" i="9"/>
  <c r="M5295" i="9" s="1"/>
  <c r="D5295" i="9"/>
  <c r="C5295" i="9"/>
  <c r="E5295" i="9"/>
  <c r="L5311" i="9"/>
  <c r="M5311" i="9" s="1"/>
  <c r="E5311" i="9"/>
  <c r="D5311" i="9"/>
  <c r="C5311" i="9"/>
  <c r="E5327" i="9"/>
  <c r="D5327" i="9"/>
  <c r="L5327" i="9"/>
  <c r="M5327" i="9" s="1"/>
  <c r="C5327" i="9"/>
  <c r="D5343" i="9"/>
  <c r="C5343" i="9"/>
  <c r="L5343" i="9"/>
  <c r="M5343" i="9" s="1"/>
  <c r="E5343" i="9"/>
  <c r="E5359" i="9"/>
  <c r="D5359" i="9"/>
  <c r="E5375" i="9"/>
  <c r="D5375" i="9"/>
  <c r="C5391" i="9"/>
  <c r="L5391" i="9"/>
  <c r="M5391" i="9" s="1"/>
  <c r="D5391" i="9"/>
  <c r="E5391" i="9"/>
  <c r="E5407" i="9"/>
  <c r="D5407" i="9"/>
  <c r="E5423" i="9"/>
  <c r="D5423" i="9"/>
  <c r="E5439" i="9"/>
  <c r="D5439" i="9"/>
  <c r="L5455" i="9"/>
  <c r="M5455" i="9" s="1"/>
  <c r="C5455" i="9"/>
  <c r="E5455" i="9"/>
  <c r="D5455" i="9"/>
  <c r="D5471" i="9"/>
  <c r="L5471" i="9"/>
  <c r="M5471" i="9" s="1"/>
  <c r="E5471" i="9"/>
  <c r="C5471" i="9"/>
  <c r="D5487" i="9"/>
  <c r="C5487" i="9"/>
  <c r="L5487" i="9"/>
  <c r="M5487" i="9" s="1"/>
  <c r="E5487" i="9"/>
  <c r="L5503" i="9"/>
  <c r="M5503" i="9" s="1"/>
  <c r="E5503" i="9"/>
  <c r="D5503" i="9"/>
  <c r="C5503" i="9"/>
  <c r="D5519" i="9"/>
  <c r="C5519" i="9"/>
  <c r="L5519" i="9"/>
  <c r="M5519" i="9" s="1"/>
  <c r="E5519" i="9"/>
  <c r="D5535" i="9"/>
  <c r="C5535" i="9"/>
  <c r="L5535" i="9"/>
  <c r="M5535" i="9" s="1"/>
  <c r="E5535" i="9"/>
  <c r="L5551" i="9"/>
  <c r="M5551" i="9" s="1"/>
  <c r="C5551" i="9"/>
  <c r="E5551" i="9"/>
  <c r="D5551" i="9"/>
  <c r="E5567" i="9"/>
  <c r="D5567" i="9"/>
  <c r="E5583" i="9"/>
  <c r="D5583" i="9"/>
  <c r="L5599" i="9"/>
  <c r="M5599" i="9" s="1"/>
  <c r="E5599" i="9"/>
  <c r="D5599" i="9"/>
  <c r="C5599" i="9"/>
  <c r="E5615" i="9"/>
  <c r="D5615" i="9"/>
  <c r="E5631" i="9"/>
  <c r="D5631" i="9"/>
  <c r="C5631" i="9"/>
  <c r="L5631" i="9"/>
  <c r="M5631" i="9" s="1"/>
  <c r="L5647" i="9"/>
  <c r="M5647" i="9" s="1"/>
  <c r="E5647" i="9"/>
  <c r="D5647" i="9"/>
  <c r="C5647" i="9"/>
  <c r="E5663" i="9"/>
  <c r="D5663" i="9"/>
  <c r="C5663" i="9"/>
  <c r="L5663" i="9"/>
  <c r="M5663" i="9" s="1"/>
  <c r="D5679" i="9"/>
  <c r="C5679" i="9"/>
  <c r="L5679" i="9"/>
  <c r="M5679" i="9" s="1"/>
  <c r="E5679" i="9"/>
  <c r="L5695" i="9"/>
  <c r="M5695" i="9" s="1"/>
  <c r="E5695" i="9"/>
  <c r="D5695" i="9"/>
  <c r="C5695" i="9"/>
  <c r="E5701" i="9"/>
  <c r="D5701" i="9"/>
  <c r="C5701" i="9"/>
  <c r="L5701" i="9"/>
  <c r="M5701" i="9" s="1"/>
  <c r="L5707" i="9"/>
  <c r="M5707" i="9" s="1"/>
  <c r="E5707" i="9"/>
  <c r="D5707" i="9"/>
  <c r="C5707" i="9"/>
  <c r="E5713" i="9"/>
  <c r="D5713" i="9"/>
  <c r="C5713" i="9"/>
  <c r="L5713" i="9"/>
  <c r="M5713" i="9" s="1"/>
  <c r="L5719" i="9"/>
  <c r="M5719" i="9" s="1"/>
  <c r="E5719" i="9"/>
  <c r="D5719" i="9"/>
  <c r="C5719" i="9"/>
  <c r="E5725" i="9"/>
  <c r="D5725" i="9"/>
  <c r="C5725" i="9"/>
  <c r="L5725" i="9"/>
  <c r="M5725" i="9" s="1"/>
  <c r="L5731" i="9"/>
  <c r="M5731" i="9" s="1"/>
  <c r="D5731" i="9"/>
  <c r="C5731" i="9"/>
  <c r="E5731" i="9"/>
  <c r="E5737" i="9"/>
  <c r="D5737" i="9"/>
  <c r="C5737" i="9"/>
  <c r="L5737" i="9"/>
  <c r="M5737" i="9" s="1"/>
  <c r="L5743" i="9"/>
  <c r="M5743" i="9" s="1"/>
  <c r="E5743" i="9"/>
  <c r="D5743" i="9"/>
  <c r="C5743" i="9"/>
  <c r="E5749" i="9"/>
  <c r="D5749" i="9"/>
  <c r="C5749" i="9"/>
  <c r="L5749" i="9"/>
  <c r="M5749" i="9" s="1"/>
  <c r="L5755" i="9"/>
  <c r="M5755" i="9" s="1"/>
  <c r="E5755" i="9"/>
  <c r="D5755" i="9"/>
  <c r="C5755" i="9"/>
  <c r="E5761" i="9"/>
  <c r="D5761" i="9"/>
  <c r="C5761" i="9"/>
  <c r="L5761" i="9"/>
  <c r="M5761" i="9" s="1"/>
  <c r="E5767" i="9"/>
  <c r="D5767" i="9"/>
  <c r="L5767" i="9"/>
  <c r="M5767" i="9" s="1"/>
  <c r="C5767" i="9"/>
  <c r="E5773" i="9"/>
  <c r="D5773" i="9"/>
  <c r="E5779" i="9"/>
  <c r="D5779" i="9"/>
  <c r="C5779" i="9"/>
  <c r="L5779" i="9"/>
  <c r="M5779" i="9" s="1"/>
  <c r="E5785" i="9"/>
  <c r="D5785" i="9"/>
  <c r="E5791" i="9"/>
  <c r="D5791" i="9"/>
  <c r="C5791" i="9"/>
  <c r="L5791" i="9"/>
  <c r="M5791" i="9" s="1"/>
  <c r="E5797" i="9"/>
  <c r="D5797" i="9"/>
  <c r="E5803" i="9"/>
  <c r="D5803" i="9"/>
  <c r="E5809" i="9"/>
  <c r="L5809" i="9"/>
  <c r="M5809" i="9" s="1"/>
  <c r="C5809" i="9"/>
  <c r="D5809" i="9"/>
  <c r="E5815" i="9"/>
  <c r="D5815" i="9"/>
  <c r="E5821" i="9"/>
  <c r="L5821" i="9"/>
  <c r="M5821" i="9" s="1"/>
  <c r="D5821" i="9"/>
  <c r="C5821" i="9"/>
  <c r="E5827" i="9"/>
  <c r="D5827" i="9"/>
  <c r="E5833" i="9"/>
  <c r="D5833" i="9"/>
  <c r="E5839" i="9"/>
  <c r="D5839" i="9"/>
  <c r="C5839" i="9"/>
  <c r="L5839" i="9"/>
  <c r="M5839" i="9" s="1"/>
  <c r="E5845" i="9"/>
  <c r="L5845" i="9"/>
  <c r="M5845" i="9" s="1"/>
  <c r="D5845" i="9"/>
  <c r="C5845" i="9"/>
  <c r="E5851" i="9"/>
  <c r="D5851" i="9"/>
  <c r="C5851" i="9"/>
  <c r="L5851" i="9"/>
  <c r="M5851" i="9" s="1"/>
  <c r="E5857" i="9"/>
  <c r="L5857" i="9"/>
  <c r="M5857" i="9" s="1"/>
  <c r="C5857" i="9"/>
  <c r="D5857" i="9"/>
  <c r="E5863" i="9"/>
  <c r="D5863" i="9"/>
  <c r="C5863" i="9"/>
  <c r="L5863" i="9"/>
  <c r="M5863" i="9" s="1"/>
  <c r="E5869" i="9"/>
  <c r="L5869" i="9"/>
  <c r="M5869" i="9" s="1"/>
  <c r="D5869" i="9"/>
  <c r="C5869" i="9"/>
  <c r="E5875" i="9"/>
  <c r="D5875" i="9"/>
  <c r="C5875" i="9"/>
  <c r="L5875" i="9"/>
  <c r="M5875" i="9" s="1"/>
  <c r="E5881" i="9"/>
  <c r="L5881" i="9"/>
  <c r="M5881" i="9" s="1"/>
  <c r="D5881" i="9"/>
  <c r="C5881" i="9"/>
  <c r="C5887" i="9"/>
  <c r="L5887" i="9"/>
  <c r="M5887" i="9" s="1"/>
  <c r="E5887" i="9"/>
  <c r="D5887" i="9"/>
  <c r="E5893" i="9"/>
  <c r="D5893" i="9"/>
  <c r="C5893" i="9"/>
  <c r="L5893" i="9"/>
  <c r="M5893" i="9" s="1"/>
  <c r="C5899" i="9"/>
  <c r="L5899" i="9"/>
  <c r="M5899" i="9" s="1"/>
  <c r="E5899" i="9"/>
  <c r="D5899" i="9"/>
  <c r="E5905" i="9"/>
  <c r="D5905" i="9"/>
  <c r="C5905" i="9"/>
  <c r="L5905" i="9"/>
  <c r="M5905" i="9" s="1"/>
  <c r="C5911" i="9"/>
  <c r="L5911" i="9"/>
  <c r="M5911" i="9" s="1"/>
  <c r="E5911" i="9"/>
  <c r="D5911" i="9"/>
  <c r="E5917" i="9"/>
  <c r="D5917" i="9"/>
  <c r="C5917" i="9"/>
  <c r="L5917" i="9"/>
  <c r="M5917" i="9" s="1"/>
  <c r="C5923" i="9"/>
  <c r="L5923" i="9"/>
  <c r="M5923" i="9" s="1"/>
  <c r="E5923" i="9"/>
  <c r="D5923" i="9"/>
  <c r="E5929" i="9"/>
  <c r="D5929" i="9"/>
  <c r="C5929" i="9"/>
  <c r="L5929" i="9"/>
  <c r="M5929" i="9" s="1"/>
  <c r="C5935" i="9"/>
  <c r="L5935" i="9"/>
  <c r="M5935" i="9" s="1"/>
  <c r="E5935" i="9"/>
  <c r="D5935" i="9"/>
  <c r="E5941" i="9"/>
  <c r="D5941" i="9"/>
  <c r="C5941" i="9"/>
  <c r="L5941" i="9"/>
  <c r="M5941" i="9" s="1"/>
  <c r="C5947" i="9"/>
  <c r="L5947" i="9"/>
  <c r="M5947" i="9" s="1"/>
  <c r="E5947" i="9"/>
  <c r="D5947" i="9"/>
  <c r="E5953" i="9"/>
  <c r="D5953" i="9"/>
  <c r="C5953" i="9"/>
  <c r="L5953" i="9"/>
  <c r="M5953" i="9" s="1"/>
  <c r="C5959" i="9"/>
  <c r="L5959" i="9"/>
  <c r="M5959" i="9" s="1"/>
  <c r="E5959" i="9"/>
  <c r="D5959" i="9"/>
  <c r="E5965" i="9"/>
  <c r="D5965" i="9"/>
  <c r="C5965" i="9"/>
  <c r="L5965" i="9"/>
  <c r="M5965" i="9" s="1"/>
  <c r="C5971" i="9"/>
  <c r="L5971" i="9"/>
  <c r="M5971" i="9" s="1"/>
  <c r="E5971" i="9"/>
  <c r="D5971" i="9"/>
  <c r="E5977" i="9"/>
  <c r="D5977" i="9"/>
  <c r="C5977" i="9"/>
  <c r="L5977" i="9"/>
  <c r="M5977" i="9" s="1"/>
  <c r="C5983" i="9"/>
  <c r="L5983" i="9"/>
  <c r="M5983" i="9" s="1"/>
  <c r="E5983" i="9"/>
  <c r="D5983" i="9"/>
  <c r="E5989" i="9"/>
  <c r="D5989" i="9"/>
  <c r="C5989" i="9"/>
  <c r="L5989" i="9"/>
  <c r="M5989" i="9" s="1"/>
  <c r="C5995" i="9"/>
  <c r="L5995" i="9"/>
  <c r="M5995" i="9" s="1"/>
  <c r="E5995" i="9"/>
  <c r="D5995" i="9"/>
  <c r="E6001" i="9"/>
  <c r="D6001" i="9"/>
  <c r="C6001" i="9"/>
  <c r="L6001" i="9"/>
  <c r="M6001" i="9" s="1"/>
  <c r="E6007" i="9"/>
  <c r="D6007" i="9"/>
  <c r="L6007" i="9"/>
  <c r="M6007" i="9" s="1"/>
  <c r="C6007" i="9"/>
  <c r="L6013" i="9"/>
  <c r="M6013" i="9" s="1"/>
  <c r="C6013" i="9"/>
  <c r="E6013" i="9"/>
  <c r="D6013" i="9"/>
  <c r="E6019" i="9"/>
  <c r="D6019" i="9"/>
  <c r="L6019" i="9"/>
  <c r="M6019" i="9" s="1"/>
  <c r="C6019" i="9"/>
  <c r="L6025" i="9"/>
  <c r="M6025" i="9" s="1"/>
  <c r="C6025" i="9"/>
  <c r="E6025" i="9"/>
  <c r="D6025" i="9"/>
  <c r="E6031" i="9"/>
  <c r="D6031" i="9"/>
  <c r="L6031" i="9"/>
  <c r="M6031" i="9" s="1"/>
  <c r="C6031" i="9"/>
  <c r="L6037" i="9"/>
  <c r="M6037" i="9" s="1"/>
  <c r="C6037" i="9"/>
  <c r="E6037" i="9"/>
  <c r="D6037" i="9"/>
  <c r="E6043" i="9"/>
  <c r="D6043" i="9"/>
  <c r="L6043" i="9"/>
  <c r="M6043" i="9" s="1"/>
  <c r="C6043" i="9"/>
  <c r="L6049" i="9"/>
  <c r="M6049" i="9" s="1"/>
  <c r="C6049" i="9"/>
  <c r="D6049" i="9"/>
  <c r="E6049" i="9"/>
  <c r="E6055" i="9"/>
  <c r="D6055" i="9"/>
  <c r="L6055" i="9"/>
  <c r="M6055" i="9" s="1"/>
  <c r="C6055" i="9"/>
  <c r="L6061" i="9"/>
  <c r="M6061" i="9" s="1"/>
  <c r="C6061" i="9"/>
  <c r="E6061" i="9"/>
  <c r="D6061" i="9"/>
  <c r="E6067" i="9"/>
  <c r="D6067" i="9"/>
  <c r="L6067" i="9"/>
  <c r="M6067" i="9" s="1"/>
  <c r="C6067" i="9"/>
  <c r="L6073" i="9"/>
  <c r="M6073" i="9" s="1"/>
  <c r="C6073" i="9"/>
  <c r="E6073" i="9"/>
  <c r="D6073" i="9"/>
  <c r="E6079" i="9"/>
  <c r="D6079" i="9"/>
  <c r="C6079" i="9"/>
  <c r="L6079" i="9"/>
  <c r="M6079" i="9" s="1"/>
  <c r="L6085" i="9"/>
  <c r="M6085" i="9" s="1"/>
  <c r="C6085" i="9"/>
  <c r="E6085" i="9"/>
  <c r="D6085" i="9"/>
  <c r="E6091" i="9"/>
  <c r="D6091" i="9"/>
  <c r="C6091" i="9"/>
  <c r="L6091" i="9"/>
  <c r="M6091" i="9" s="1"/>
  <c r="L6097" i="9"/>
  <c r="M6097" i="9" s="1"/>
  <c r="C6097" i="9"/>
  <c r="E6097" i="9"/>
  <c r="D6097" i="9"/>
  <c r="E6103" i="9"/>
  <c r="D6103" i="9"/>
  <c r="C6103" i="9"/>
  <c r="L6103" i="9"/>
  <c r="M6103" i="9" s="1"/>
  <c r="L6109" i="9"/>
  <c r="M6109" i="9" s="1"/>
  <c r="C6109" i="9"/>
  <c r="E6109" i="9"/>
  <c r="D6109" i="9"/>
  <c r="E6115" i="9"/>
  <c r="D6115" i="9"/>
  <c r="C6115" i="9"/>
  <c r="L6115" i="9"/>
  <c r="M6115" i="9" s="1"/>
  <c r="L6121" i="9"/>
  <c r="M6121" i="9" s="1"/>
  <c r="C6121" i="9"/>
  <c r="E6121" i="9"/>
  <c r="D6121" i="9"/>
  <c r="E6127" i="9"/>
  <c r="D6127" i="9"/>
  <c r="C6127" i="9"/>
  <c r="L6127" i="9"/>
  <c r="M6127" i="9" s="1"/>
  <c r="C6133" i="9"/>
  <c r="L6133" i="9"/>
  <c r="M6133" i="9" s="1"/>
  <c r="D6133" i="9"/>
  <c r="E6133" i="9"/>
  <c r="L6139" i="9"/>
  <c r="M6139" i="9" s="1"/>
  <c r="E6139" i="9"/>
  <c r="D6139" i="9"/>
  <c r="C6139" i="9"/>
  <c r="E6145" i="9"/>
  <c r="D6145" i="9"/>
  <c r="C6145" i="9"/>
  <c r="L6145" i="9"/>
  <c r="M6145" i="9" s="1"/>
  <c r="L6151" i="9"/>
  <c r="M6151" i="9" s="1"/>
  <c r="C6151" i="9"/>
  <c r="E6151" i="9"/>
  <c r="D6151" i="9"/>
  <c r="E6157" i="9"/>
  <c r="D6157" i="9"/>
  <c r="C6157" i="9"/>
  <c r="L6157" i="9"/>
  <c r="M6157" i="9" s="1"/>
  <c r="L6163" i="9"/>
  <c r="M6163" i="9" s="1"/>
  <c r="C6163" i="9"/>
  <c r="E6163" i="9"/>
  <c r="D6163" i="9"/>
  <c r="E6169" i="9"/>
  <c r="D6169" i="9"/>
  <c r="C6169" i="9"/>
  <c r="L6169" i="9"/>
  <c r="M6169" i="9" s="1"/>
  <c r="L6175" i="9"/>
  <c r="M6175" i="9" s="1"/>
  <c r="C6175" i="9"/>
  <c r="E6175" i="9"/>
  <c r="D6175" i="9"/>
  <c r="E6181" i="9"/>
  <c r="D6181" i="9"/>
  <c r="C6181" i="9"/>
  <c r="L6181" i="9"/>
  <c r="M6181" i="9" s="1"/>
  <c r="L6187" i="9"/>
  <c r="M6187" i="9" s="1"/>
  <c r="C6187" i="9"/>
  <c r="E6187" i="9"/>
  <c r="D6187" i="9"/>
  <c r="E6193" i="9"/>
  <c r="D6193" i="9"/>
  <c r="C6193" i="9"/>
  <c r="L6193" i="9"/>
  <c r="M6193" i="9" s="1"/>
  <c r="L6199" i="9"/>
  <c r="M6199" i="9" s="1"/>
  <c r="C6199" i="9"/>
  <c r="E6199" i="9"/>
  <c r="D6199" i="9"/>
  <c r="E6205" i="9"/>
  <c r="D6205" i="9"/>
  <c r="C6205" i="9"/>
  <c r="L6205" i="9"/>
  <c r="M6205" i="9" s="1"/>
  <c r="L6211" i="9"/>
  <c r="M6211" i="9" s="1"/>
  <c r="C6211" i="9"/>
  <c r="E6211" i="9"/>
  <c r="D6211" i="9"/>
  <c r="E6217" i="9"/>
  <c r="D6217" i="9"/>
  <c r="C6217" i="9"/>
  <c r="L6217" i="9"/>
  <c r="M6217" i="9" s="1"/>
  <c r="L6223" i="9"/>
  <c r="M6223" i="9" s="1"/>
  <c r="C6223" i="9"/>
  <c r="E6223" i="9"/>
  <c r="D6223" i="9"/>
  <c r="E6229" i="9"/>
  <c r="D6229" i="9"/>
  <c r="C6229" i="9"/>
  <c r="L6229" i="9"/>
  <c r="M6229" i="9" s="1"/>
  <c r="L6235" i="9"/>
  <c r="M6235" i="9" s="1"/>
  <c r="C6235" i="9"/>
  <c r="E6235" i="9"/>
  <c r="D6235" i="9"/>
  <c r="E6241" i="9"/>
  <c r="D6241" i="9"/>
  <c r="C6241" i="9"/>
  <c r="L6241" i="9"/>
  <c r="M6241" i="9" s="1"/>
  <c r="L6247" i="9"/>
  <c r="M6247" i="9" s="1"/>
  <c r="C6247" i="9"/>
  <c r="E6247" i="9"/>
  <c r="D6247" i="9"/>
  <c r="E6253" i="9"/>
  <c r="D6253" i="9"/>
  <c r="C6253" i="9"/>
  <c r="L6253" i="9"/>
  <c r="M6253" i="9" s="1"/>
  <c r="L6259" i="9"/>
  <c r="M6259" i="9" s="1"/>
  <c r="C6259" i="9"/>
  <c r="E6259" i="9"/>
  <c r="D6259" i="9"/>
  <c r="E6265" i="9"/>
  <c r="D6265" i="9"/>
  <c r="C6265" i="9"/>
  <c r="L6265" i="9"/>
  <c r="M6265" i="9" s="1"/>
  <c r="C6271" i="9"/>
  <c r="L6271" i="9"/>
  <c r="M6271" i="9" s="1"/>
  <c r="E6271" i="9"/>
  <c r="D6271" i="9"/>
  <c r="E6277" i="9"/>
  <c r="D6277" i="9"/>
  <c r="L6277" i="9"/>
  <c r="M6277" i="9" s="1"/>
  <c r="C6277" i="9"/>
  <c r="C6283" i="9"/>
  <c r="L6283" i="9"/>
  <c r="M6283" i="9" s="1"/>
  <c r="E6283" i="9"/>
  <c r="D6283" i="9"/>
  <c r="E6289" i="9"/>
  <c r="D6289" i="9"/>
  <c r="L6289" i="9"/>
  <c r="M6289" i="9" s="1"/>
  <c r="C6289" i="9"/>
  <c r="C6295" i="9"/>
  <c r="L6295" i="9"/>
  <c r="M6295" i="9" s="1"/>
  <c r="E6295" i="9"/>
  <c r="D6295" i="9"/>
  <c r="E6301" i="9"/>
  <c r="D6301" i="9"/>
  <c r="C6301" i="9"/>
  <c r="L6301" i="9"/>
  <c r="M6301" i="9" s="1"/>
  <c r="C6307" i="9"/>
  <c r="L6307" i="9"/>
  <c r="M6307" i="9" s="1"/>
  <c r="E6307" i="9"/>
  <c r="D6307" i="9"/>
  <c r="E6313" i="9"/>
  <c r="D6313" i="9"/>
  <c r="C6313" i="9"/>
  <c r="L6313" i="9"/>
  <c r="M6313" i="9" s="1"/>
  <c r="C6319" i="9"/>
  <c r="L6319" i="9"/>
  <c r="M6319" i="9" s="1"/>
  <c r="E6319" i="9"/>
  <c r="D6319" i="9"/>
  <c r="E6325" i="9"/>
  <c r="D6325" i="9"/>
  <c r="C6325" i="9"/>
  <c r="L6325" i="9"/>
  <c r="M6325" i="9" s="1"/>
  <c r="C6331" i="9"/>
  <c r="L6331" i="9"/>
  <c r="M6331" i="9" s="1"/>
  <c r="E6331" i="9"/>
  <c r="D6331" i="9"/>
  <c r="E6337" i="9"/>
  <c r="D6337" i="9"/>
  <c r="C6337" i="9"/>
  <c r="L6337" i="9"/>
  <c r="M6337" i="9" s="1"/>
  <c r="L6343" i="9"/>
  <c r="M6343" i="9" s="1"/>
  <c r="D6343" i="9"/>
  <c r="C6343" i="9"/>
  <c r="E6343" i="9"/>
  <c r="E6349" i="9"/>
  <c r="D6349" i="9"/>
  <c r="C6349" i="9"/>
  <c r="L6349" i="9"/>
  <c r="M6349" i="9" s="1"/>
  <c r="E6361" i="9"/>
  <c r="D6361" i="9"/>
  <c r="C6361" i="9"/>
  <c r="L6361" i="9"/>
  <c r="M6361" i="9" s="1"/>
  <c r="E6373" i="9"/>
  <c r="D6373" i="9"/>
  <c r="C6373" i="9"/>
  <c r="L6373" i="9"/>
  <c r="M6373" i="9" s="1"/>
  <c r="E6385" i="9"/>
  <c r="D6385" i="9"/>
  <c r="C6385" i="9"/>
  <c r="L6385" i="9"/>
  <c r="M6385" i="9" s="1"/>
  <c r="E6397" i="9"/>
  <c r="D6397" i="9"/>
  <c r="C6397" i="9"/>
  <c r="L6397" i="9"/>
  <c r="M6397" i="9" s="1"/>
  <c r="E6409" i="9"/>
  <c r="D6409" i="9"/>
  <c r="C6409" i="9"/>
  <c r="L6409" i="9"/>
  <c r="M6409" i="9" s="1"/>
  <c r="L6421" i="9"/>
  <c r="M6421" i="9" s="1"/>
  <c r="E6421" i="9"/>
  <c r="D6421" i="9"/>
  <c r="C6421" i="9"/>
  <c r="L6433" i="9"/>
  <c r="M6433" i="9" s="1"/>
  <c r="E6433" i="9"/>
  <c r="D6433" i="9"/>
  <c r="C6433" i="9"/>
  <c r="L6445" i="9"/>
  <c r="M6445" i="9" s="1"/>
  <c r="E6445" i="9"/>
  <c r="D6445" i="9"/>
  <c r="C6445" i="9"/>
  <c r="L6457" i="9"/>
  <c r="M6457" i="9" s="1"/>
  <c r="C6457" i="9"/>
  <c r="D6457" i="9"/>
  <c r="E6457" i="9"/>
  <c r="L6469" i="9"/>
  <c r="M6469" i="9" s="1"/>
  <c r="C6469" i="9"/>
  <c r="E6469" i="9"/>
  <c r="D6469" i="9"/>
  <c r="E6481" i="9"/>
  <c r="L6481" i="9"/>
  <c r="M6481" i="9" s="1"/>
  <c r="D6481" i="9"/>
  <c r="C6481" i="9"/>
  <c r="E6493" i="9"/>
  <c r="D6493" i="9"/>
  <c r="C6493" i="9"/>
  <c r="L6493" i="9"/>
  <c r="M6493" i="9" s="1"/>
  <c r="E6505" i="9"/>
  <c r="D6505" i="9"/>
  <c r="C6505" i="9"/>
  <c r="L6505" i="9"/>
  <c r="M6505" i="9" s="1"/>
  <c r="E6517" i="9"/>
  <c r="D6517" i="9"/>
  <c r="C6517" i="9"/>
  <c r="L6517" i="9"/>
  <c r="M6517" i="9" s="1"/>
  <c r="E6529" i="9"/>
  <c r="D6529" i="9"/>
  <c r="C6529" i="9"/>
  <c r="L6529" i="9"/>
  <c r="M6529" i="9" s="1"/>
  <c r="E6541" i="9"/>
  <c r="L6541" i="9"/>
  <c r="M6541" i="9" s="1"/>
  <c r="D6541" i="9"/>
  <c r="C6541" i="9"/>
  <c r="E6553" i="9"/>
  <c r="L6553" i="9"/>
  <c r="M6553" i="9" s="1"/>
  <c r="D6553" i="9"/>
  <c r="C6553" i="9"/>
  <c r="E6565" i="9"/>
  <c r="C6565" i="9"/>
  <c r="L6565" i="9"/>
  <c r="M6565" i="9" s="1"/>
  <c r="D6565" i="9"/>
  <c r="E6577" i="9"/>
  <c r="L6577" i="9"/>
  <c r="M6577" i="9" s="1"/>
  <c r="D6577" i="9"/>
  <c r="C6577" i="9"/>
  <c r="E6589" i="9"/>
  <c r="D6589" i="9"/>
  <c r="C6589" i="9"/>
  <c r="L6589" i="9"/>
  <c r="M6589" i="9" s="1"/>
  <c r="E6601" i="9"/>
  <c r="L6601" i="9"/>
  <c r="M6601" i="9" s="1"/>
  <c r="D6601" i="9"/>
  <c r="C6601" i="9"/>
  <c r="E4124" i="9"/>
  <c r="D4124" i="9"/>
  <c r="C4124" i="9"/>
  <c r="L4124" i="9"/>
  <c r="M4124" i="9" s="1"/>
  <c r="E4129" i="9"/>
  <c r="D4129" i="9"/>
  <c r="C4129" i="9"/>
  <c r="L4129" i="9"/>
  <c r="M4129" i="9" s="1"/>
  <c r="E4148" i="9"/>
  <c r="D4148" i="9"/>
  <c r="C4148" i="9"/>
  <c r="L4148" i="9"/>
  <c r="M4148" i="9" s="1"/>
  <c r="E4153" i="9"/>
  <c r="D4153" i="9"/>
  <c r="C4153" i="9"/>
  <c r="L4153" i="9"/>
  <c r="M4153" i="9" s="1"/>
  <c r="E4172" i="9"/>
  <c r="D4172" i="9"/>
  <c r="C4172" i="9"/>
  <c r="L4172" i="9"/>
  <c r="M4172" i="9" s="1"/>
  <c r="E4177" i="9"/>
  <c r="D4177" i="9"/>
  <c r="C4177" i="9"/>
  <c r="L4177" i="9"/>
  <c r="M4177" i="9" s="1"/>
  <c r="L4197" i="9"/>
  <c r="M4197" i="9" s="1"/>
  <c r="E4197" i="9"/>
  <c r="D4197" i="9"/>
  <c r="C4197" i="9"/>
  <c r="E4202" i="9"/>
  <c r="D4202" i="9"/>
  <c r="L4202" i="9"/>
  <c r="M4202" i="9" s="1"/>
  <c r="C4202" i="9"/>
  <c r="E4213" i="9"/>
  <c r="C4213" i="9"/>
  <c r="L4213" i="9"/>
  <c r="M4213" i="9" s="1"/>
  <c r="D4213" i="9"/>
  <c r="C4218" i="9"/>
  <c r="L4218" i="9"/>
  <c r="M4218" i="9" s="1"/>
  <c r="E4218" i="9"/>
  <c r="D4218" i="9"/>
  <c r="D4229" i="9"/>
  <c r="C4229" i="9"/>
  <c r="L4229" i="9"/>
  <c r="M4229" i="9" s="1"/>
  <c r="E4229" i="9"/>
  <c r="E4234" i="9"/>
  <c r="D4234" i="9"/>
  <c r="C4234" i="9"/>
  <c r="L4234" i="9"/>
  <c r="M4234" i="9" s="1"/>
  <c r="L4245" i="9"/>
  <c r="M4245" i="9" s="1"/>
  <c r="E4245" i="9"/>
  <c r="D4245" i="9"/>
  <c r="C4245" i="9"/>
  <c r="E4250" i="9"/>
  <c r="D4250" i="9"/>
  <c r="C4250" i="9"/>
  <c r="L4250" i="9"/>
  <c r="M4250" i="9" s="1"/>
  <c r="E4261" i="9"/>
  <c r="D4261" i="9"/>
  <c r="C4261" i="9"/>
  <c r="L4261" i="9"/>
  <c r="M4261" i="9" s="1"/>
  <c r="C4266" i="9"/>
  <c r="L4266" i="9"/>
  <c r="M4266" i="9" s="1"/>
  <c r="E4266" i="9"/>
  <c r="D4266" i="9"/>
  <c r="D4277" i="9"/>
  <c r="C4277" i="9"/>
  <c r="L4277" i="9"/>
  <c r="M4277" i="9" s="1"/>
  <c r="E4277" i="9"/>
  <c r="E4282" i="9"/>
  <c r="D4282" i="9"/>
  <c r="C4282" i="9"/>
  <c r="L4282" i="9"/>
  <c r="M4282" i="9" s="1"/>
  <c r="L4293" i="9"/>
  <c r="M4293" i="9" s="1"/>
  <c r="E4293" i="9"/>
  <c r="D4293" i="9"/>
  <c r="C4293" i="9"/>
  <c r="E4298" i="9"/>
  <c r="D4298" i="9"/>
  <c r="C4298" i="9"/>
  <c r="L4298" i="9"/>
  <c r="M4298" i="9" s="1"/>
  <c r="E4309" i="9"/>
  <c r="D4309" i="9"/>
  <c r="C4309" i="9"/>
  <c r="L4309" i="9"/>
  <c r="M4309" i="9" s="1"/>
  <c r="C4314" i="9"/>
  <c r="L4314" i="9"/>
  <c r="M4314" i="9" s="1"/>
  <c r="E4314" i="9"/>
  <c r="D4314" i="9"/>
  <c r="D4325" i="9"/>
  <c r="C4325" i="9"/>
  <c r="L4325" i="9"/>
  <c r="M4325" i="9" s="1"/>
  <c r="E4325" i="9"/>
  <c r="E4330" i="9"/>
  <c r="D4330" i="9"/>
  <c r="C4330" i="9"/>
  <c r="L4330" i="9"/>
  <c r="M4330" i="9" s="1"/>
  <c r="L4341" i="9"/>
  <c r="M4341" i="9" s="1"/>
  <c r="E4341" i="9"/>
  <c r="D4341" i="9"/>
  <c r="C4341" i="9"/>
  <c r="E4346" i="9"/>
  <c r="D4346" i="9"/>
  <c r="C4346" i="9"/>
  <c r="L4346" i="9"/>
  <c r="M4346" i="9" s="1"/>
  <c r="E4357" i="9"/>
  <c r="D4357" i="9"/>
  <c r="C4357" i="9"/>
  <c r="L4357" i="9"/>
  <c r="M4357" i="9" s="1"/>
  <c r="C4362" i="9"/>
  <c r="L4362" i="9"/>
  <c r="M4362" i="9" s="1"/>
  <c r="E4362" i="9"/>
  <c r="D4362" i="9"/>
  <c r="D4373" i="9"/>
  <c r="C4373" i="9"/>
  <c r="L4373" i="9"/>
  <c r="M4373" i="9" s="1"/>
  <c r="E4373" i="9"/>
  <c r="E4378" i="9"/>
  <c r="D4378" i="9"/>
  <c r="C4378" i="9"/>
  <c r="L4378" i="9"/>
  <c r="M4378" i="9" s="1"/>
  <c r="L4389" i="9"/>
  <c r="M4389" i="9" s="1"/>
  <c r="E4389" i="9"/>
  <c r="D4389" i="9"/>
  <c r="C4389" i="9"/>
  <c r="E4394" i="9"/>
  <c r="D4394" i="9"/>
  <c r="C4394" i="9"/>
  <c r="L4394" i="9"/>
  <c r="M4394" i="9" s="1"/>
  <c r="E4405" i="9"/>
  <c r="D4405" i="9"/>
  <c r="C4405" i="9"/>
  <c r="L4405" i="9"/>
  <c r="M4405" i="9" s="1"/>
  <c r="C4410" i="9"/>
  <c r="L4410" i="9"/>
  <c r="M4410" i="9" s="1"/>
  <c r="E4410" i="9"/>
  <c r="D4410" i="9"/>
  <c r="D4421" i="9"/>
  <c r="C4421" i="9"/>
  <c r="L4421" i="9"/>
  <c r="M4421" i="9" s="1"/>
  <c r="E4421" i="9"/>
  <c r="D4426" i="9"/>
  <c r="C4426" i="9"/>
  <c r="E4426" i="9"/>
  <c r="L4426" i="9"/>
  <c r="M4426" i="9" s="1"/>
  <c r="C4437" i="9"/>
  <c r="L4437" i="9"/>
  <c r="M4437" i="9" s="1"/>
  <c r="E4437" i="9"/>
  <c r="D4437" i="9"/>
  <c r="E4442" i="9"/>
  <c r="L4442" i="9"/>
  <c r="M4442" i="9" s="1"/>
  <c r="D4442" i="9"/>
  <c r="C4442" i="9"/>
  <c r="C4453" i="9"/>
  <c r="L4453" i="9"/>
  <c r="M4453" i="9" s="1"/>
  <c r="E4453" i="9"/>
  <c r="D4453" i="9"/>
  <c r="E4458" i="9"/>
  <c r="D4458" i="9"/>
  <c r="C4458" i="9"/>
  <c r="L4458" i="9"/>
  <c r="M4458" i="9" s="1"/>
  <c r="E4469" i="9"/>
  <c r="D4469" i="9"/>
  <c r="C4469" i="9"/>
  <c r="L4469" i="9"/>
  <c r="M4469" i="9" s="1"/>
  <c r="L4474" i="9"/>
  <c r="M4474" i="9" s="1"/>
  <c r="D4474" i="9"/>
  <c r="C4474" i="9"/>
  <c r="E4474" i="9"/>
  <c r="C4485" i="9"/>
  <c r="L4485" i="9"/>
  <c r="M4485" i="9" s="1"/>
  <c r="E4485" i="9"/>
  <c r="D4485" i="9"/>
  <c r="E4490" i="9"/>
  <c r="L4490" i="9"/>
  <c r="M4490" i="9" s="1"/>
  <c r="D4490" i="9"/>
  <c r="C4490" i="9"/>
  <c r="C4501" i="9"/>
  <c r="L4501" i="9"/>
  <c r="M4501" i="9" s="1"/>
  <c r="E4501" i="9"/>
  <c r="D4501" i="9"/>
  <c r="E4506" i="9"/>
  <c r="D4506" i="9"/>
  <c r="C4506" i="9"/>
  <c r="L4506" i="9"/>
  <c r="M4506" i="9" s="1"/>
  <c r="E4517" i="9"/>
  <c r="D4517" i="9"/>
  <c r="D4522" i="9"/>
  <c r="E4522" i="9"/>
  <c r="E4533" i="9"/>
  <c r="D4533" i="9"/>
  <c r="E4538" i="9"/>
  <c r="D4538" i="9"/>
  <c r="E4549" i="9"/>
  <c r="D4549" i="9"/>
  <c r="E4554" i="9"/>
  <c r="D4554" i="9"/>
  <c r="E4565" i="9"/>
  <c r="D4565" i="9"/>
  <c r="L4570" i="9"/>
  <c r="M4570" i="9" s="1"/>
  <c r="D4570" i="9"/>
  <c r="C4570" i="9"/>
  <c r="E4570" i="9"/>
  <c r="C4581" i="9"/>
  <c r="L4581" i="9"/>
  <c r="M4581" i="9" s="1"/>
  <c r="E4581" i="9"/>
  <c r="D4581" i="9"/>
  <c r="E4586" i="9"/>
  <c r="D4586" i="9"/>
  <c r="E4597" i="9"/>
  <c r="D4597" i="9"/>
  <c r="E4602" i="9"/>
  <c r="D4602" i="9"/>
  <c r="C4602" i="9"/>
  <c r="L4602" i="9"/>
  <c r="M4602" i="9" s="1"/>
  <c r="E4613" i="9"/>
  <c r="D4613" i="9"/>
  <c r="C4613" i="9"/>
  <c r="L4613" i="9"/>
  <c r="M4613" i="9" s="1"/>
  <c r="L4618" i="9"/>
  <c r="M4618" i="9" s="1"/>
  <c r="D4618" i="9"/>
  <c r="C4618" i="9"/>
  <c r="E4618" i="9"/>
  <c r="C4629" i="9"/>
  <c r="L4629" i="9"/>
  <c r="M4629" i="9" s="1"/>
  <c r="E4629" i="9"/>
  <c r="D4629" i="9"/>
  <c r="E4634" i="9"/>
  <c r="L4634" i="9"/>
  <c r="M4634" i="9" s="1"/>
  <c r="D4634" i="9"/>
  <c r="C4634" i="9"/>
  <c r="C4645" i="9"/>
  <c r="L4645" i="9"/>
  <c r="M4645" i="9" s="1"/>
  <c r="E4645" i="9"/>
  <c r="D4645" i="9"/>
  <c r="E4650" i="9"/>
  <c r="D4650" i="9"/>
  <c r="C4650" i="9"/>
  <c r="L4650" i="9"/>
  <c r="M4650" i="9" s="1"/>
  <c r="E4661" i="9"/>
  <c r="D4661" i="9"/>
  <c r="C4661" i="9"/>
  <c r="L4661" i="9"/>
  <c r="M4661" i="9" s="1"/>
  <c r="L4666" i="9"/>
  <c r="M4666" i="9" s="1"/>
  <c r="D4666" i="9"/>
  <c r="C4666" i="9"/>
  <c r="E4666" i="9"/>
  <c r="C4677" i="9"/>
  <c r="L4677" i="9"/>
  <c r="M4677" i="9" s="1"/>
  <c r="E4677" i="9"/>
  <c r="D4677" i="9"/>
  <c r="E4682" i="9"/>
  <c r="L4682" i="9"/>
  <c r="M4682" i="9" s="1"/>
  <c r="D4682" i="9"/>
  <c r="C4682" i="9"/>
  <c r="C4693" i="9"/>
  <c r="L4693" i="9"/>
  <c r="M4693" i="9" s="1"/>
  <c r="E4693" i="9"/>
  <c r="D4693" i="9"/>
  <c r="E4698" i="9"/>
  <c r="D4698" i="9"/>
  <c r="C4698" i="9"/>
  <c r="L4698" i="9"/>
  <c r="M4698" i="9" s="1"/>
  <c r="E4709" i="9"/>
  <c r="D4709" i="9"/>
  <c r="C4709" i="9"/>
  <c r="L4709" i="9"/>
  <c r="M4709" i="9" s="1"/>
  <c r="L4714" i="9"/>
  <c r="M4714" i="9" s="1"/>
  <c r="D4714" i="9"/>
  <c r="C4714" i="9"/>
  <c r="E4714" i="9"/>
  <c r="E4725" i="9"/>
  <c r="D4725" i="9"/>
  <c r="E4730" i="9"/>
  <c r="D4730" i="9"/>
  <c r="C4730" i="9"/>
  <c r="L4730" i="9"/>
  <c r="M4730" i="9" s="1"/>
  <c r="E4741" i="9"/>
  <c r="D4741" i="9"/>
  <c r="C4741" i="9"/>
  <c r="L4741" i="9"/>
  <c r="M4741" i="9" s="1"/>
  <c r="E4746" i="9"/>
  <c r="D4746" i="9"/>
  <c r="E4757" i="9"/>
  <c r="D4757" i="9"/>
  <c r="E4762" i="9"/>
  <c r="D4762" i="9"/>
  <c r="E4773" i="9"/>
  <c r="D4773" i="9"/>
  <c r="E4778" i="9"/>
  <c r="D4778" i="9"/>
  <c r="E4789" i="9"/>
  <c r="D4789" i="9"/>
  <c r="E4794" i="9"/>
  <c r="D4794" i="9"/>
  <c r="E4805" i="9"/>
  <c r="D4805" i="9"/>
  <c r="L4810" i="9"/>
  <c r="M4810" i="9" s="1"/>
  <c r="E4810" i="9"/>
  <c r="D4810" i="9"/>
  <c r="C4810" i="9"/>
  <c r="D4821" i="9"/>
  <c r="C4821" i="9"/>
  <c r="L4821" i="9"/>
  <c r="M4821" i="9" s="1"/>
  <c r="E4821" i="9"/>
  <c r="C4826" i="9"/>
  <c r="L4826" i="9"/>
  <c r="M4826" i="9" s="1"/>
  <c r="E4826" i="9"/>
  <c r="D4826" i="9"/>
  <c r="L4837" i="9"/>
  <c r="M4837" i="9" s="1"/>
  <c r="D4837" i="9"/>
  <c r="C4837" i="9"/>
  <c r="E4837" i="9"/>
  <c r="E4842" i="9"/>
  <c r="D4842" i="9"/>
  <c r="C4842" i="9"/>
  <c r="L4842" i="9"/>
  <c r="M4842" i="9" s="1"/>
  <c r="E4853" i="9"/>
  <c r="D4853" i="9"/>
  <c r="C4853" i="9"/>
  <c r="L4853" i="9"/>
  <c r="M4853" i="9" s="1"/>
  <c r="C4858" i="9"/>
  <c r="L4858" i="9"/>
  <c r="M4858" i="9" s="1"/>
  <c r="E4858" i="9"/>
  <c r="D4858" i="9"/>
  <c r="D4869" i="9"/>
  <c r="C4869" i="9"/>
  <c r="L4869" i="9"/>
  <c r="M4869" i="9" s="1"/>
  <c r="E4869" i="9"/>
  <c r="C4874" i="9"/>
  <c r="L4874" i="9"/>
  <c r="M4874" i="9" s="1"/>
  <c r="E4874" i="9"/>
  <c r="D4874" i="9"/>
  <c r="L4885" i="9"/>
  <c r="M4885" i="9" s="1"/>
  <c r="D4885" i="9"/>
  <c r="C4885" i="9"/>
  <c r="E4885" i="9"/>
  <c r="E4890" i="9"/>
  <c r="D4890" i="9"/>
  <c r="C4890" i="9"/>
  <c r="L4890" i="9"/>
  <c r="M4890" i="9" s="1"/>
  <c r="E4901" i="9"/>
  <c r="D4901" i="9"/>
  <c r="C4901" i="9"/>
  <c r="L4901" i="9"/>
  <c r="M4901" i="9" s="1"/>
  <c r="C4906" i="9"/>
  <c r="L4906" i="9"/>
  <c r="M4906" i="9" s="1"/>
  <c r="E4906" i="9"/>
  <c r="D4906" i="9"/>
  <c r="D4917" i="9"/>
  <c r="C4917" i="9"/>
  <c r="L4917" i="9"/>
  <c r="M4917" i="9" s="1"/>
  <c r="E4917" i="9"/>
  <c r="C4922" i="9"/>
  <c r="L4922" i="9"/>
  <c r="M4922" i="9" s="1"/>
  <c r="E4922" i="9"/>
  <c r="D4922" i="9"/>
  <c r="D4933" i="9"/>
  <c r="E4933" i="9"/>
  <c r="E4938" i="9"/>
  <c r="D4938" i="9"/>
  <c r="E4949" i="9"/>
  <c r="D4949" i="9"/>
  <c r="E4954" i="9"/>
  <c r="D4954" i="9"/>
  <c r="D4965" i="9"/>
  <c r="E4965" i="9"/>
  <c r="C4970" i="9"/>
  <c r="L4970" i="9"/>
  <c r="M4970" i="9" s="1"/>
  <c r="E4970" i="9"/>
  <c r="D4970" i="9"/>
  <c r="L4981" i="9"/>
  <c r="M4981" i="9" s="1"/>
  <c r="D4981" i="9"/>
  <c r="C4981" i="9"/>
  <c r="E4981" i="9"/>
  <c r="E4986" i="9"/>
  <c r="D4986" i="9"/>
  <c r="E4997" i="9"/>
  <c r="D4997" i="9"/>
  <c r="E5002" i="9"/>
  <c r="D5002" i="9"/>
  <c r="D5013" i="9"/>
  <c r="E5013" i="9"/>
  <c r="E5018" i="9"/>
  <c r="D5018" i="9"/>
  <c r="L5029" i="9"/>
  <c r="M5029" i="9" s="1"/>
  <c r="D5029" i="9"/>
  <c r="C5029" i="9"/>
  <c r="E5029" i="9"/>
  <c r="E5034" i="9"/>
  <c r="D5034" i="9"/>
  <c r="C5034" i="9"/>
  <c r="L5034" i="9"/>
  <c r="M5034" i="9" s="1"/>
  <c r="E5045" i="9"/>
  <c r="D5045" i="9"/>
  <c r="C5045" i="9"/>
  <c r="L5045" i="9"/>
  <c r="M5045" i="9" s="1"/>
  <c r="C5050" i="9"/>
  <c r="L5050" i="9"/>
  <c r="M5050" i="9" s="1"/>
  <c r="E5050" i="9"/>
  <c r="D5050" i="9"/>
  <c r="D5061" i="9"/>
  <c r="C5061" i="9"/>
  <c r="L5061" i="9"/>
  <c r="M5061" i="9" s="1"/>
  <c r="E5061" i="9"/>
  <c r="C5066" i="9"/>
  <c r="L5066" i="9"/>
  <c r="M5066" i="9" s="1"/>
  <c r="E5066" i="9"/>
  <c r="D5066" i="9"/>
  <c r="L5077" i="9"/>
  <c r="M5077" i="9" s="1"/>
  <c r="D5077" i="9"/>
  <c r="C5077" i="9"/>
  <c r="E5077" i="9"/>
  <c r="E5082" i="9"/>
  <c r="D5082" i="9"/>
  <c r="C5082" i="9"/>
  <c r="L5082" i="9"/>
  <c r="M5082" i="9" s="1"/>
  <c r="E5093" i="9"/>
  <c r="D5093" i="9"/>
  <c r="C5093" i="9"/>
  <c r="L5093" i="9"/>
  <c r="M5093" i="9" s="1"/>
  <c r="C5098" i="9"/>
  <c r="L5098" i="9"/>
  <c r="M5098" i="9" s="1"/>
  <c r="E5098" i="9"/>
  <c r="D5098" i="9"/>
  <c r="E5109" i="9"/>
  <c r="D5109" i="9"/>
  <c r="C5109" i="9"/>
  <c r="L5109" i="9"/>
  <c r="M5109" i="9" s="1"/>
  <c r="L5114" i="9"/>
  <c r="M5114" i="9" s="1"/>
  <c r="E5114" i="9"/>
  <c r="D5114" i="9"/>
  <c r="C5114" i="9"/>
  <c r="L5125" i="9"/>
  <c r="M5125" i="9" s="1"/>
  <c r="E5125" i="9"/>
  <c r="D5125" i="9"/>
  <c r="C5125" i="9"/>
  <c r="E5130" i="9"/>
  <c r="D5130" i="9"/>
  <c r="C5130" i="9"/>
  <c r="L5130" i="9"/>
  <c r="M5130" i="9" s="1"/>
  <c r="E5141" i="9"/>
  <c r="D5141" i="9"/>
  <c r="L5141" i="9"/>
  <c r="M5141" i="9" s="1"/>
  <c r="C5141" i="9"/>
  <c r="E5146" i="9"/>
  <c r="D5146" i="9"/>
  <c r="E5157" i="9"/>
  <c r="D5157" i="9"/>
  <c r="E5162" i="9"/>
  <c r="D5162" i="9"/>
  <c r="E5173" i="9"/>
  <c r="D5173" i="9"/>
  <c r="E5178" i="9"/>
  <c r="D5178" i="9"/>
  <c r="E5189" i="9"/>
  <c r="D5189" i="9"/>
  <c r="E5194" i="9"/>
  <c r="D5194" i="9"/>
  <c r="E5205" i="9"/>
  <c r="D5205" i="9"/>
  <c r="L5210" i="9"/>
  <c r="M5210" i="9" s="1"/>
  <c r="E5210" i="9"/>
  <c r="D5210" i="9"/>
  <c r="C5210" i="9"/>
  <c r="L5221" i="9"/>
  <c r="M5221" i="9" s="1"/>
  <c r="E5221" i="9"/>
  <c r="D5221" i="9"/>
  <c r="C5221" i="9"/>
  <c r="E5226" i="9"/>
  <c r="D5226" i="9"/>
  <c r="E5237" i="9"/>
  <c r="D5237" i="9"/>
  <c r="L5237" i="9"/>
  <c r="M5237" i="9" s="1"/>
  <c r="C5237" i="9"/>
  <c r="E5242" i="9"/>
  <c r="D5242" i="9"/>
  <c r="C5242" i="9"/>
  <c r="L5242" i="9"/>
  <c r="M5242" i="9" s="1"/>
  <c r="E5253" i="9"/>
  <c r="D5253" i="9"/>
  <c r="C5253" i="9"/>
  <c r="L5253" i="9"/>
  <c r="M5253" i="9" s="1"/>
  <c r="L5258" i="9"/>
  <c r="M5258" i="9" s="1"/>
  <c r="E5258" i="9"/>
  <c r="D5258" i="9"/>
  <c r="C5258" i="9"/>
  <c r="L5269" i="9"/>
  <c r="M5269" i="9" s="1"/>
  <c r="E5269" i="9"/>
  <c r="D5269" i="9"/>
  <c r="C5269" i="9"/>
  <c r="E5274" i="9"/>
  <c r="D5274" i="9"/>
  <c r="L5274" i="9"/>
  <c r="M5274" i="9" s="1"/>
  <c r="C5274" i="9"/>
  <c r="E5285" i="9"/>
  <c r="L5285" i="9"/>
  <c r="M5285" i="9" s="1"/>
  <c r="D5285" i="9"/>
  <c r="C5285" i="9"/>
  <c r="E5290" i="9"/>
  <c r="D5290" i="9"/>
  <c r="C5290" i="9"/>
  <c r="L5290" i="9"/>
  <c r="M5290" i="9" s="1"/>
  <c r="E5301" i="9"/>
  <c r="D5301" i="9"/>
  <c r="C5301" i="9"/>
  <c r="L5301" i="9"/>
  <c r="M5301" i="9" s="1"/>
  <c r="L5306" i="9"/>
  <c r="M5306" i="9" s="1"/>
  <c r="E5306" i="9"/>
  <c r="D5306" i="9"/>
  <c r="C5306" i="9"/>
  <c r="E5317" i="9"/>
  <c r="C5317" i="9"/>
  <c r="L5317" i="9"/>
  <c r="M5317" i="9" s="1"/>
  <c r="D5317" i="9"/>
  <c r="C5322" i="9"/>
  <c r="L5322" i="9"/>
  <c r="M5322" i="9" s="1"/>
  <c r="E5322" i="9"/>
  <c r="D5322" i="9"/>
  <c r="D5333" i="9"/>
  <c r="L5333" i="9"/>
  <c r="M5333" i="9" s="1"/>
  <c r="E5333" i="9"/>
  <c r="C5333" i="9"/>
  <c r="E5338" i="9"/>
  <c r="C5338" i="9"/>
  <c r="D5338" i="9"/>
  <c r="L5338" i="9"/>
  <c r="M5338" i="9" s="1"/>
  <c r="L5349" i="9"/>
  <c r="M5349" i="9" s="1"/>
  <c r="D5349" i="9"/>
  <c r="C5349" i="9"/>
  <c r="E5349" i="9"/>
  <c r="E5354" i="9"/>
  <c r="D5354" i="9"/>
  <c r="E5365" i="9"/>
  <c r="D5365" i="9"/>
  <c r="L5370" i="9"/>
  <c r="M5370" i="9" s="1"/>
  <c r="D5370" i="9"/>
  <c r="C5370" i="9"/>
  <c r="E5370" i="9"/>
  <c r="L5381" i="9"/>
  <c r="M5381" i="9" s="1"/>
  <c r="E5381" i="9"/>
  <c r="D5381" i="9"/>
  <c r="C5381" i="9"/>
  <c r="E5386" i="9"/>
  <c r="D5386" i="9"/>
  <c r="E5397" i="9"/>
  <c r="D5397" i="9"/>
  <c r="D5402" i="9"/>
  <c r="E5402" i="9"/>
  <c r="E5413" i="9"/>
  <c r="D5413" i="9"/>
  <c r="E5418" i="9"/>
  <c r="D5418" i="9"/>
  <c r="E5429" i="9"/>
  <c r="D5429" i="9"/>
  <c r="E5434" i="9"/>
  <c r="D5434" i="9"/>
  <c r="E5445" i="9"/>
  <c r="D5445" i="9"/>
  <c r="C5445" i="9"/>
  <c r="L5445" i="9"/>
  <c r="M5445" i="9" s="1"/>
  <c r="E5450" i="9"/>
  <c r="D5450" i="9"/>
  <c r="C5450" i="9"/>
  <c r="L5450" i="9"/>
  <c r="M5450" i="9" s="1"/>
  <c r="E5461" i="9"/>
  <c r="L5461" i="9"/>
  <c r="M5461" i="9" s="1"/>
  <c r="D5461" i="9"/>
  <c r="C5461" i="9"/>
  <c r="L5466" i="9"/>
  <c r="M5466" i="9" s="1"/>
  <c r="C5466" i="9"/>
  <c r="E5466" i="9"/>
  <c r="D5466" i="9"/>
  <c r="D5477" i="9"/>
  <c r="C5477" i="9"/>
  <c r="L5477" i="9"/>
  <c r="M5477" i="9" s="1"/>
  <c r="E5477" i="9"/>
  <c r="E5482" i="9"/>
  <c r="C5482" i="9"/>
  <c r="D5482" i="9"/>
  <c r="L5482" i="9"/>
  <c r="M5482" i="9" s="1"/>
  <c r="D5493" i="9"/>
  <c r="C5493" i="9"/>
  <c r="L5493" i="9"/>
  <c r="M5493" i="9" s="1"/>
  <c r="E5493" i="9"/>
  <c r="E5498" i="9"/>
  <c r="D5498" i="9"/>
  <c r="L5498" i="9"/>
  <c r="M5498" i="9" s="1"/>
  <c r="C5498" i="9"/>
  <c r="E5509" i="9"/>
  <c r="L5509" i="9"/>
  <c r="M5509" i="9" s="1"/>
  <c r="D5509" i="9"/>
  <c r="C5509" i="9"/>
  <c r="L5514" i="9"/>
  <c r="M5514" i="9" s="1"/>
  <c r="C5514" i="9"/>
  <c r="E5514" i="9"/>
  <c r="D5514" i="9"/>
  <c r="D5525" i="9"/>
  <c r="L5525" i="9"/>
  <c r="M5525" i="9" s="1"/>
  <c r="E5525" i="9"/>
  <c r="C5525" i="9"/>
  <c r="E5530" i="9"/>
  <c r="D5530" i="9"/>
  <c r="C5530" i="9"/>
  <c r="L5530" i="9"/>
  <c r="M5530" i="9" s="1"/>
  <c r="L5541" i="9"/>
  <c r="M5541" i="9" s="1"/>
  <c r="E5541" i="9"/>
  <c r="D5541" i="9"/>
  <c r="C5541" i="9"/>
  <c r="E5546" i="9"/>
  <c r="D5546" i="9"/>
  <c r="C5546" i="9"/>
  <c r="L5546" i="9"/>
  <c r="M5546" i="9" s="1"/>
  <c r="E5557" i="9"/>
  <c r="D5557" i="9"/>
  <c r="C5557" i="9"/>
  <c r="L5557" i="9"/>
  <c r="M5557" i="9" s="1"/>
  <c r="D5562" i="9"/>
  <c r="E5562" i="9"/>
  <c r="D5573" i="9"/>
  <c r="E5573" i="9"/>
  <c r="E5578" i="9"/>
  <c r="L5578" i="9"/>
  <c r="M5578" i="9" s="1"/>
  <c r="D5578" i="9"/>
  <c r="C5578" i="9"/>
  <c r="L5589" i="9"/>
  <c r="M5589" i="9" s="1"/>
  <c r="E5589" i="9"/>
  <c r="D5589" i="9"/>
  <c r="C5589" i="9"/>
  <c r="E5594" i="9"/>
  <c r="D5594" i="9"/>
  <c r="E5605" i="9"/>
  <c r="D5605" i="9"/>
  <c r="C5610" i="9"/>
  <c r="L5610" i="9"/>
  <c r="M5610" i="9" s="1"/>
  <c r="E5610" i="9"/>
  <c r="D5610" i="9"/>
  <c r="D5621" i="9"/>
  <c r="C5621" i="9"/>
  <c r="L5621" i="9"/>
  <c r="M5621" i="9" s="1"/>
  <c r="E5621" i="9"/>
  <c r="E5626" i="9"/>
  <c r="D5626" i="9"/>
  <c r="L5637" i="9"/>
  <c r="M5637" i="9" s="1"/>
  <c r="D5637" i="9"/>
  <c r="E5637" i="9"/>
  <c r="C5637" i="9"/>
  <c r="E5642" i="9"/>
  <c r="D5642" i="9"/>
  <c r="C5642" i="9"/>
  <c r="L5642" i="9"/>
  <c r="M5642" i="9" s="1"/>
  <c r="E5653" i="9"/>
  <c r="D5653" i="9"/>
  <c r="C5653" i="9"/>
  <c r="L5653" i="9"/>
  <c r="M5653" i="9" s="1"/>
  <c r="L5658" i="9"/>
  <c r="M5658" i="9" s="1"/>
  <c r="C5658" i="9"/>
  <c r="E5658" i="9"/>
  <c r="D5658" i="9"/>
  <c r="L5669" i="9"/>
  <c r="M5669" i="9" s="1"/>
  <c r="D5669" i="9"/>
  <c r="E5669" i="9"/>
  <c r="C5669" i="9"/>
  <c r="E5674" i="9"/>
  <c r="D5674" i="9"/>
  <c r="C5674" i="9"/>
  <c r="L5674" i="9"/>
  <c r="M5674" i="9" s="1"/>
  <c r="E5685" i="9"/>
  <c r="D5685" i="9"/>
  <c r="L5685" i="9"/>
  <c r="M5685" i="9" s="1"/>
  <c r="C5685" i="9"/>
  <c r="E5690" i="9"/>
  <c r="D5690" i="9"/>
  <c r="C5690" i="9"/>
  <c r="L5690" i="9"/>
  <c r="M5690" i="9" s="1"/>
  <c r="E6328" i="9"/>
  <c r="D6328" i="9"/>
  <c r="C6328" i="9"/>
  <c r="L6328" i="9"/>
  <c r="M6328" i="9" s="1"/>
  <c r="L6332" i="9"/>
  <c r="M6332" i="9" s="1"/>
  <c r="D6332" i="9"/>
  <c r="C6332" i="9"/>
  <c r="E6332" i="9"/>
  <c r="E6336" i="9"/>
  <c r="D6336" i="9"/>
  <c r="C6336" i="9"/>
  <c r="L6336" i="9"/>
  <c r="M6336" i="9" s="1"/>
  <c r="D6340" i="9"/>
  <c r="C6340" i="9"/>
  <c r="L6340" i="9"/>
  <c r="M6340" i="9" s="1"/>
  <c r="E6340" i="9"/>
  <c r="L6344" i="9"/>
  <c r="M6344" i="9" s="1"/>
  <c r="E6344" i="9"/>
  <c r="D6344" i="9"/>
  <c r="C6344" i="9"/>
  <c r="E6348" i="9"/>
  <c r="D6348" i="9"/>
  <c r="C6348" i="9"/>
  <c r="L6348" i="9"/>
  <c r="M6348" i="9" s="1"/>
  <c r="D6352" i="9"/>
  <c r="C6352" i="9"/>
  <c r="L6352" i="9"/>
  <c r="M6352" i="9" s="1"/>
  <c r="E6352" i="9"/>
  <c r="L6356" i="9"/>
  <c r="M6356" i="9" s="1"/>
  <c r="C6356" i="9"/>
  <c r="E6356" i="9"/>
  <c r="D6356" i="9"/>
  <c r="E6360" i="9"/>
  <c r="D6360" i="9"/>
  <c r="C6360" i="9"/>
  <c r="L6360" i="9"/>
  <c r="M6360" i="9" s="1"/>
  <c r="D6364" i="9"/>
  <c r="C6364" i="9"/>
  <c r="L6364" i="9"/>
  <c r="M6364" i="9" s="1"/>
  <c r="E6364" i="9"/>
  <c r="L6368" i="9"/>
  <c r="M6368" i="9" s="1"/>
  <c r="E6368" i="9"/>
  <c r="D6368" i="9"/>
  <c r="C6368" i="9"/>
  <c r="E6372" i="9"/>
  <c r="D6372" i="9"/>
  <c r="C6372" i="9"/>
  <c r="L6372" i="9"/>
  <c r="M6372" i="9" s="1"/>
  <c r="D6376" i="9"/>
  <c r="C6376" i="9"/>
  <c r="L6376" i="9"/>
  <c r="M6376" i="9" s="1"/>
  <c r="E6376" i="9"/>
  <c r="L6380" i="9"/>
  <c r="M6380" i="9" s="1"/>
  <c r="E6380" i="9"/>
  <c r="D6380" i="9"/>
  <c r="C6380" i="9"/>
  <c r="E6384" i="9"/>
  <c r="D6384" i="9"/>
  <c r="C6384" i="9"/>
  <c r="L6384" i="9"/>
  <c r="M6384" i="9" s="1"/>
  <c r="D6388" i="9"/>
  <c r="C6388" i="9"/>
  <c r="L6388" i="9"/>
  <c r="M6388" i="9" s="1"/>
  <c r="E6388" i="9"/>
  <c r="L6392" i="9"/>
  <c r="M6392" i="9" s="1"/>
  <c r="E6392" i="9"/>
  <c r="D6392" i="9"/>
  <c r="C6392" i="9"/>
  <c r="E6396" i="9"/>
  <c r="D6396" i="9"/>
  <c r="C6396" i="9"/>
  <c r="L6396" i="9"/>
  <c r="M6396" i="9" s="1"/>
  <c r="D6400" i="9"/>
  <c r="C6400" i="9"/>
  <c r="L6400" i="9"/>
  <c r="M6400" i="9" s="1"/>
  <c r="E6400" i="9"/>
  <c r="L6404" i="9"/>
  <c r="M6404" i="9" s="1"/>
  <c r="E6404" i="9"/>
  <c r="D6404" i="9"/>
  <c r="C6404" i="9"/>
  <c r="E6408" i="9"/>
  <c r="D6408" i="9"/>
  <c r="C6408" i="9"/>
  <c r="L6408" i="9"/>
  <c r="M6408" i="9" s="1"/>
  <c r="D6412" i="9"/>
  <c r="C6412" i="9"/>
  <c r="L6412" i="9"/>
  <c r="M6412" i="9" s="1"/>
  <c r="E6412" i="9"/>
  <c r="E6416" i="9"/>
  <c r="D6416" i="9"/>
  <c r="C6416" i="9"/>
  <c r="L6416" i="9"/>
  <c r="M6416" i="9" s="1"/>
  <c r="L6420" i="9"/>
  <c r="M6420" i="9" s="1"/>
  <c r="E6420" i="9"/>
  <c r="D6420" i="9"/>
  <c r="C6420" i="9"/>
  <c r="E6424" i="9"/>
  <c r="L6424" i="9"/>
  <c r="M6424" i="9" s="1"/>
  <c r="D6424" i="9"/>
  <c r="C6424" i="9"/>
  <c r="E6428" i="9"/>
  <c r="D6428" i="9"/>
  <c r="L6428" i="9"/>
  <c r="M6428" i="9" s="1"/>
  <c r="C6428" i="9"/>
  <c r="L6432" i="9"/>
  <c r="M6432" i="9" s="1"/>
  <c r="C6432" i="9"/>
  <c r="E6432" i="9"/>
  <c r="D6432" i="9"/>
  <c r="E6436" i="9"/>
  <c r="C6436" i="9"/>
  <c r="D6436" i="9"/>
  <c r="L6436" i="9"/>
  <c r="M6436" i="9" s="1"/>
  <c r="E6440" i="9"/>
  <c r="D6440" i="9"/>
  <c r="C6440" i="9"/>
  <c r="L6440" i="9"/>
  <c r="M6440" i="9" s="1"/>
  <c r="L6444" i="9"/>
  <c r="M6444" i="9" s="1"/>
  <c r="C6444" i="9"/>
  <c r="E6444" i="9"/>
  <c r="D6444" i="9"/>
  <c r="E6448" i="9"/>
  <c r="C6448" i="9"/>
  <c r="L6448" i="9"/>
  <c r="M6448" i="9" s="1"/>
  <c r="D6448" i="9"/>
  <c r="E6452" i="9"/>
  <c r="D6452" i="9"/>
  <c r="C6452" i="9"/>
  <c r="L6452" i="9"/>
  <c r="M6452" i="9" s="1"/>
  <c r="L6456" i="9"/>
  <c r="M6456" i="9" s="1"/>
  <c r="D6456" i="9"/>
  <c r="C6456" i="9"/>
  <c r="E6456" i="9"/>
  <c r="E6460" i="9"/>
  <c r="C6460" i="9"/>
  <c r="L6460" i="9"/>
  <c r="M6460" i="9" s="1"/>
  <c r="D6460" i="9"/>
  <c r="E6464" i="9"/>
  <c r="D6464" i="9"/>
  <c r="C6464" i="9"/>
  <c r="L6464" i="9"/>
  <c r="M6464" i="9" s="1"/>
  <c r="L6468" i="9"/>
  <c r="M6468" i="9" s="1"/>
  <c r="D6468" i="9"/>
  <c r="C6468" i="9"/>
  <c r="E6468" i="9"/>
  <c r="E6472" i="9"/>
  <c r="C6472" i="9"/>
  <c r="L6472" i="9"/>
  <c r="M6472" i="9" s="1"/>
  <c r="D6472" i="9"/>
  <c r="E6476" i="9"/>
  <c r="D6476" i="9"/>
  <c r="C6476" i="9"/>
  <c r="L6476" i="9"/>
  <c r="M6476" i="9" s="1"/>
  <c r="E6480" i="9"/>
  <c r="D6480" i="9"/>
  <c r="C6480" i="9"/>
  <c r="L6480" i="9"/>
  <c r="M6480" i="9" s="1"/>
  <c r="E6484" i="9"/>
  <c r="D6484" i="9"/>
  <c r="C6484" i="9"/>
  <c r="L6484" i="9"/>
  <c r="M6484" i="9" s="1"/>
  <c r="L6488" i="9"/>
  <c r="M6488" i="9" s="1"/>
  <c r="C6488" i="9"/>
  <c r="E6488" i="9"/>
  <c r="D6488" i="9"/>
  <c r="E6492" i="9"/>
  <c r="D6492" i="9"/>
  <c r="C6492" i="9"/>
  <c r="L6492" i="9"/>
  <c r="M6492" i="9" s="1"/>
  <c r="E6496" i="9"/>
  <c r="D6496" i="9"/>
  <c r="C6496" i="9"/>
  <c r="L6496" i="9"/>
  <c r="M6496" i="9" s="1"/>
  <c r="L6500" i="9"/>
  <c r="M6500" i="9" s="1"/>
  <c r="E6500" i="9"/>
  <c r="D6500" i="9"/>
  <c r="C6500" i="9"/>
  <c r="E6504" i="9"/>
  <c r="D6504" i="9"/>
  <c r="L6504" i="9"/>
  <c r="M6504" i="9" s="1"/>
  <c r="C6504" i="9"/>
  <c r="E6508" i="9"/>
  <c r="D6508" i="9"/>
  <c r="C6508" i="9"/>
  <c r="L6508" i="9"/>
  <c r="M6508" i="9" s="1"/>
  <c r="L6512" i="9"/>
  <c r="M6512" i="9" s="1"/>
  <c r="E6512" i="9"/>
  <c r="D6512" i="9"/>
  <c r="C6512" i="9"/>
  <c r="E6516" i="9"/>
  <c r="D6516" i="9"/>
  <c r="L6516" i="9"/>
  <c r="M6516" i="9" s="1"/>
  <c r="C6516" i="9"/>
  <c r="E6520" i="9"/>
  <c r="D6520" i="9"/>
  <c r="C6520" i="9"/>
  <c r="L6520" i="9"/>
  <c r="M6520" i="9" s="1"/>
  <c r="L6524" i="9"/>
  <c r="M6524" i="9" s="1"/>
  <c r="E6524" i="9"/>
  <c r="D6524" i="9"/>
  <c r="C6524" i="9"/>
  <c r="E6528" i="9"/>
  <c r="D6528" i="9"/>
  <c r="L6528" i="9"/>
  <c r="M6528" i="9" s="1"/>
  <c r="C6528" i="9"/>
  <c r="E6532" i="9"/>
  <c r="D6532" i="9"/>
  <c r="C6532" i="9"/>
  <c r="L6532" i="9"/>
  <c r="M6532" i="9" s="1"/>
  <c r="D6536" i="9"/>
  <c r="C6536" i="9"/>
  <c r="L6536" i="9"/>
  <c r="M6536" i="9" s="1"/>
  <c r="E6536" i="9"/>
  <c r="L6540" i="9"/>
  <c r="M6540" i="9" s="1"/>
  <c r="E6540" i="9"/>
  <c r="D6540" i="9"/>
  <c r="C6540" i="9"/>
  <c r="E6544" i="9"/>
  <c r="D6544" i="9"/>
  <c r="C6544" i="9"/>
  <c r="L6544" i="9"/>
  <c r="M6544" i="9" s="1"/>
  <c r="D6548" i="9"/>
  <c r="C6548" i="9"/>
  <c r="L6548" i="9"/>
  <c r="M6548" i="9" s="1"/>
  <c r="E6548" i="9"/>
  <c r="L6552" i="9"/>
  <c r="M6552" i="9" s="1"/>
  <c r="D6552" i="9"/>
  <c r="E6552" i="9"/>
  <c r="C6552" i="9"/>
  <c r="E6556" i="9"/>
  <c r="D6556" i="9"/>
  <c r="C6556" i="9"/>
  <c r="L6556" i="9"/>
  <c r="M6556" i="9" s="1"/>
  <c r="D6560" i="9"/>
  <c r="C6560" i="9"/>
  <c r="L6560" i="9"/>
  <c r="M6560" i="9" s="1"/>
  <c r="E6560" i="9"/>
  <c r="L6564" i="9"/>
  <c r="M6564" i="9" s="1"/>
  <c r="E6564" i="9"/>
  <c r="D6564" i="9"/>
  <c r="C6564" i="9"/>
  <c r="E6568" i="9"/>
  <c r="D6568" i="9"/>
  <c r="C6568" i="9"/>
  <c r="L6568" i="9"/>
  <c r="M6568" i="9" s="1"/>
  <c r="D6572" i="9"/>
  <c r="C6572" i="9"/>
  <c r="L6572" i="9"/>
  <c r="M6572" i="9" s="1"/>
  <c r="E6572" i="9"/>
  <c r="L6576" i="9"/>
  <c r="M6576" i="9" s="1"/>
  <c r="C6576" i="9"/>
  <c r="E6576" i="9"/>
  <c r="D6576" i="9"/>
  <c r="E6580" i="9"/>
  <c r="D6580" i="9"/>
  <c r="C6580" i="9"/>
  <c r="L6580" i="9"/>
  <c r="M6580" i="9" s="1"/>
  <c r="D6584" i="9"/>
  <c r="C6584" i="9"/>
  <c r="L6584" i="9"/>
  <c r="M6584" i="9" s="1"/>
  <c r="E6584" i="9"/>
  <c r="L6588" i="9"/>
  <c r="M6588" i="9" s="1"/>
  <c r="C6588" i="9"/>
  <c r="E6588" i="9"/>
  <c r="D6588" i="9"/>
  <c r="E6592" i="9"/>
  <c r="D6592" i="9"/>
  <c r="C6592" i="9"/>
  <c r="L6592" i="9"/>
  <c r="M6592" i="9" s="1"/>
  <c r="D6596" i="9"/>
  <c r="C6596" i="9"/>
  <c r="L6596" i="9"/>
  <c r="M6596" i="9" s="1"/>
  <c r="E6596" i="9"/>
  <c r="L6600" i="9"/>
  <c r="M6600" i="9" s="1"/>
  <c r="C6600" i="9"/>
  <c r="E6600" i="9"/>
  <c r="D6600" i="9"/>
  <c r="E6604" i="9"/>
  <c r="D6604" i="9"/>
  <c r="C6604" i="9"/>
  <c r="L6604" i="9"/>
  <c r="M6604" i="9" s="1"/>
  <c r="D6608" i="9"/>
  <c r="C6608" i="9"/>
  <c r="L6608" i="9"/>
  <c r="M6608" i="9" s="1"/>
  <c r="E6608" i="9"/>
  <c r="L6355" i="9"/>
  <c r="M6355" i="9" s="1"/>
  <c r="E6355" i="9"/>
  <c r="D6355" i="9"/>
  <c r="C6355" i="9"/>
  <c r="E6359" i="9"/>
  <c r="D6359" i="9"/>
  <c r="L6359" i="9"/>
  <c r="M6359" i="9" s="1"/>
  <c r="C6359" i="9"/>
  <c r="E6363" i="9"/>
  <c r="D6363" i="9"/>
  <c r="C6363" i="9"/>
  <c r="L6363" i="9"/>
  <c r="M6363" i="9" s="1"/>
  <c r="L6367" i="9"/>
  <c r="M6367" i="9" s="1"/>
  <c r="E6367" i="9"/>
  <c r="D6367" i="9"/>
  <c r="C6367" i="9"/>
  <c r="E6371" i="9"/>
  <c r="D6371" i="9"/>
  <c r="L6371" i="9"/>
  <c r="M6371" i="9" s="1"/>
  <c r="C6371" i="9"/>
  <c r="E6375" i="9"/>
  <c r="D6375" i="9"/>
  <c r="C6375" i="9"/>
  <c r="L6375" i="9"/>
  <c r="M6375" i="9" s="1"/>
  <c r="L6379" i="9"/>
  <c r="M6379" i="9" s="1"/>
  <c r="C6379" i="9"/>
  <c r="D6379" i="9"/>
  <c r="E6379" i="9"/>
  <c r="E6383" i="9"/>
  <c r="D6383" i="9"/>
  <c r="C6383" i="9"/>
  <c r="L6383" i="9"/>
  <c r="M6383" i="9" s="1"/>
  <c r="E6387" i="9"/>
  <c r="D6387" i="9"/>
  <c r="C6387" i="9"/>
  <c r="L6387" i="9"/>
  <c r="M6387" i="9" s="1"/>
  <c r="L6391" i="9"/>
  <c r="M6391" i="9" s="1"/>
  <c r="C6391" i="9"/>
  <c r="E6391" i="9"/>
  <c r="D6391" i="9"/>
  <c r="E6395" i="9"/>
  <c r="D6395" i="9"/>
  <c r="C6395" i="9"/>
  <c r="L6395" i="9"/>
  <c r="M6395" i="9" s="1"/>
  <c r="E6399" i="9"/>
  <c r="D6399" i="9"/>
  <c r="C6399" i="9"/>
  <c r="L6399" i="9"/>
  <c r="M6399" i="9" s="1"/>
  <c r="L6403" i="9"/>
  <c r="M6403" i="9" s="1"/>
  <c r="C6403" i="9"/>
  <c r="E6403" i="9"/>
  <c r="D6403" i="9"/>
  <c r="E6407" i="9"/>
  <c r="D6407" i="9"/>
  <c r="C6407" i="9"/>
  <c r="L6407" i="9"/>
  <c r="M6407" i="9" s="1"/>
  <c r="E6411" i="9"/>
  <c r="D6411" i="9"/>
  <c r="C6411" i="9"/>
  <c r="L6411" i="9"/>
  <c r="M6411" i="9" s="1"/>
  <c r="E6415" i="9"/>
  <c r="C6415" i="9"/>
  <c r="L6415" i="9"/>
  <c r="M6415" i="9" s="1"/>
  <c r="D6415" i="9"/>
  <c r="C6419" i="9"/>
  <c r="E6419" i="9"/>
  <c r="D6419" i="9"/>
  <c r="L6419" i="9"/>
  <c r="M6419" i="9" s="1"/>
  <c r="E6423" i="9"/>
  <c r="D6423" i="9"/>
  <c r="C6423" i="9"/>
  <c r="L6423" i="9"/>
  <c r="M6423" i="9" s="1"/>
  <c r="E6427" i="9"/>
  <c r="D6427" i="9"/>
  <c r="C6427" i="9"/>
  <c r="L6427" i="9"/>
  <c r="M6427" i="9" s="1"/>
  <c r="C6431" i="9"/>
  <c r="L6431" i="9"/>
  <c r="M6431" i="9" s="1"/>
  <c r="E6431" i="9"/>
  <c r="D6431" i="9"/>
  <c r="D6435" i="9"/>
  <c r="L6435" i="9"/>
  <c r="M6435" i="9" s="1"/>
  <c r="E6435" i="9"/>
  <c r="C6435" i="9"/>
  <c r="E6439" i="9"/>
  <c r="D6439" i="9"/>
  <c r="C6439" i="9"/>
  <c r="L6439" i="9"/>
  <c r="M6439" i="9" s="1"/>
  <c r="C6443" i="9"/>
  <c r="L6443" i="9"/>
  <c r="M6443" i="9" s="1"/>
  <c r="D6443" i="9"/>
  <c r="E6443" i="9"/>
  <c r="D6447" i="9"/>
  <c r="L6447" i="9"/>
  <c r="M6447" i="9" s="1"/>
  <c r="E6447" i="9"/>
  <c r="C6447" i="9"/>
  <c r="E6451" i="9"/>
  <c r="D6451" i="9"/>
  <c r="C6451" i="9"/>
  <c r="L6451" i="9"/>
  <c r="M6451" i="9" s="1"/>
  <c r="C6455" i="9"/>
  <c r="L6455" i="9"/>
  <c r="M6455" i="9" s="1"/>
  <c r="E6455" i="9"/>
  <c r="D6455" i="9"/>
  <c r="D6459" i="9"/>
  <c r="L6459" i="9"/>
  <c r="M6459" i="9" s="1"/>
  <c r="E6459" i="9"/>
  <c r="C6459" i="9"/>
  <c r="E6463" i="9"/>
  <c r="D6463" i="9"/>
  <c r="C6463" i="9"/>
  <c r="L6463" i="9"/>
  <c r="M6463" i="9" s="1"/>
  <c r="C6467" i="9"/>
  <c r="L6467" i="9"/>
  <c r="M6467" i="9" s="1"/>
  <c r="E6467" i="9"/>
  <c r="D6467" i="9"/>
  <c r="D6471" i="9"/>
  <c r="L6471" i="9"/>
  <c r="M6471" i="9" s="1"/>
  <c r="C6471" i="9"/>
  <c r="E6471" i="9"/>
  <c r="E6475" i="9"/>
  <c r="D6475" i="9"/>
  <c r="C6475" i="9"/>
  <c r="L6475" i="9"/>
  <c r="M6475" i="9" s="1"/>
  <c r="C6479" i="9"/>
  <c r="L6479" i="9"/>
  <c r="M6479" i="9" s="1"/>
  <c r="E6479" i="9"/>
  <c r="D6479" i="9"/>
  <c r="E6483" i="9"/>
  <c r="D6483" i="9"/>
  <c r="C6483" i="9"/>
  <c r="L6483" i="9"/>
  <c r="M6483" i="9" s="1"/>
  <c r="C6487" i="9"/>
  <c r="L6487" i="9"/>
  <c r="M6487" i="9" s="1"/>
  <c r="E6487" i="9"/>
  <c r="D6487" i="9"/>
  <c r="E6491" i="9"/>
  <c r="L6491" i="9"/>
  <c r="M6491" i="9" s="1"/>
  <c r="D6491" i="9"/>
  <c r="C6491" i="9"/>
  <c r="E6495" i="9"/>
  <c r="D6495" i="9"/>
  <c r="C6495" i="9"/>
  <c r="L6495" i="9"/>
  <c r="M6495" i="9" s="1"/>
  <c r="C6499" i="9"/>
  <c r="L6499" i="9"/>
  <c r="M6499" i="9" s="1"/>
  <c r="D6499" i="9"/>
  <c r="E6499" i="9"/>
  <c r="E6503" i="9"/>
  <c r="D6503" i="9"/>
  <c r="C6503" i="9"/>
  <c r="L6503" i="9"/>
  <c r="M6503" i="9" s="1"/>
  <c r="E6507" i="9"/>
  <c r="D6507" i="9"/>
  <c r="C6507" i="9"/>
  <c r="L6507" i="9"/>
  <c r="M6507" i="9" s="1"/>
  <c r="C6511" i="9"/>
  <c r="L6511" i="9"/>
  <c r="M6511" i="9" s="1"/>
  <c r="E6511" i="9"/>
  <c r="D6511" i="9"/>
  <c r="E6515" i="9"/>
  <c r="L6515" i="9"/>
  <c r="M6515" i="9" s="1"/>
  <c r="D6515" i="9"/>
  <c r="C6515" i="9"/>
  <c r="E6519" i="9"/>
  <c r="D6519" i="9"/>
  <c r="C6519" i="9"/>
  <c r="L6519" i="9"/>
  <c r="M6519" i="9" s="1"/>
  <c r="C6523" i="9"/>
  <c r="L6523" i="9"/>
  <c r="M6523" i="9" s="1"/>
  <c r="E6523" i="9"/>
  <c r="D6523" i="9"/>
  <c r="E6527" i="9"/>
  <c r="L6527" i="9"/>
  <c r="M6527" i="9" s="1"/>
  <c r="D6527" i="9"/>
  <c r="C6527" i="9"/>
  <c r="E6531" i="9"/>
  <c r="D6531" i="9"/>
  <c r="C6531" i="9"/>
  <c r="L6531" i="9"/>
  <c r="M6531" i="9" s="1"/>
  <c r="E6535" i="9"/>
  <c r="D6535" i="9"/>
  <c r="C6535" i="9"/>
  <c r="L6535" i="9"/>
  <c r="M6535" i="9" s="1"/>
  <c r="L6539" i="9"/>
  <c r="M6539" i="9" s="1"/>
  <c r="E6539" i="9"/>
  <c r="D6539" i="9"/>
  <c r="C6539" i="9"/>
  <c r="E6543" i="9"/>
  <c r="D6543" i="9"/>
  <c r="C6543" i="9"/>
  <c r="L6543" i="9"/>
  <c r="M6543" i="9" s="1"/>
  <c r="E6547" i="9"/>
  <c r="D6547" i="9"/>
  <c r="C6547" i="9"/>
  <c r="L6547" i="9"/>
  <c r="M6547" i="9" s="1"/>
  <c r="L6551" i="9"/>
  <c r="M6551" i="9" s="1"/>
  <c r="E6551" i="9"/>
  <c r="D6551" i="9"/>
  <c r="C6551" i="9"/>
  <c r="E6555" i="9"/>
  <c r="D6555" i="9"/>
  <c r="C6555" i="9"/>
  <c r="L6555" i="9"/>
  <c r="M6555" i="9" s="1"/>
  <c r="E6559" i="9"/>
  <c r="D6559" i="9"/>
  <c r="C6559" i="9"/>
  <c r="L6559" i="9"/>
  <c r="M6559" i="9" s="1"/>
  <c r="L6563" i="9"/>
  <c r="M6563" i="9" s="1"/>
  <c r="C6563" i="9"/>
  <c r="E6563" i="9"/>
  <c r="D6563" i="9"/>
  <c r="E6567" i="9"/>
  <c r="D6567" i="9"/>
  <c r="C6567" i="9"/>
  <c r="L6567" i="9"/>
  <c r="M6567" i="9" s="1"/>
  <c r="E6571" i="9"/>
  <c r="D6571" i="9"/>
  <c r="C6571" i="9"/>
  <c r="L6571" i="9"/>
  <c r="M6571" i="9" s="1"/>
  <c r="L6575" i="9"/>
  <c r="M6575" i="9" s="1"/>
  <c r="D6575" i="9"/>
  <c r="E6575" i="9"/>
  <c r="C6575" i="9"/>
  <c r="E6579" i="9"/>
  <c r="D6579" i="9"/>
  <c r="C6579" i="9"/>
  <c r="L6579" i="9"/>
  <c r="M6579" i="9" s="1"/>
  <c r="E6583" i="9"/>
  <c r="D6583" i="9"/>
  <c r="C6583" i="9"/>
  <c r="L6583" i="9"/>
  <c r="M6583" i="9" s="1"/>
  <c r="L6587" i="9"/>
  <c r="M6587" i="9" s="1"/>
  <c r="D6587" i="9"/>
  <c r="C6587" i="9"/>
  <c r="E6587" i="9"/>
  <c r="E6591" i="9"/>
  <c r="D6591" i="9"/>
  <c r="C6591" i="9"/>
  <c r="L6591" i="9"/>
  <c r="M6591" i="9" s="1"/>
  <c r="E6595" i="9"/>
  <c r="D6595" i="9"/>
  <c r="C6595" i="9"/>
  <c r="L6595" i="9"/>
  <c r="M6595" i="9" s="1"/>
  <c r="L6599" i="9"/>
  <c r="M6599" i="9" s="1"/>
  <c r="D6599" i="9"/>
  <c r="E6599" i="9"/>
  <c r="C6599" i="9"/>
  <c r="E6603" i="9"/>
  <c r="D6603" i="9"/>
  <c r="C6603" i="9"/>
  <c r="L6603" i="9"/>
  <c r="M6603" i="9" s="1"/>
  <c r="E6607" i="9"/>
  <c r="D6607" i="9"/>
  <c r="C6607" i="9"/>
  <c r="L6607" i="9"/>
  <c r="M6607" i="9" s="1"/>
  <c r="L6611" i="9"/>
  <c r="M6611" i="9" s="1"/>
  <c r="D6611" i="9"/>
  <c r="E6611" i="9"/>
  <c r="C6611" i="9"/>
  <c r="K6353" i="9" l="1"/>
  <c r="J6353" i="9"/>
  <c r="I6353" i="9"/>
  <c r="I5538" i="9"/>
  <c r="K5538" i="9"/>
  <c r="J5538" i="9"/>
  <c r="K4749" i="9"/>
  <c r="J4749" i="9"/>
  <c r="I4749" i="9"/>
  <c r="H6370" i="9"/>
  <c r="G6370" i="9"/>
  <c r="F6370" i="9"/>
  <c r="K5716" i="9"/>
  <c r="J5716" i="9"/>
  <c r="I5716" i="9"/>
  <c r="K5692" i="9"/>
  <c r="J5692" i="9"/>
  <c r="I5692" i="9"/>
  <c r="K6309" i="9"/>
  <c r="J6309" i="9"/>
  <c r="I6309" i="9"/>
  <c r="K5913" i="9"/>
  <c r="J5913" i="9"/>
  <c r="I5913" i="9"/>
  <c r="I5526" i="9"/>
  <c r="J5526" i="9"/>
  <c r="K5526" i="9"/>
  <c r="H3966" i="9"/>
  <c r="G3966" i="9"/>
  <c r="F3966" i="9"/>
  <c r="K3628" i="9"/>
  <c r="J3628" i="9"/>
  <c r="I3628" i="9"/>
  <c r="H3388" i="9"/>
  <c r="G3388" i="9"/>
  <c r="F3388" i="9"/>
  <c r="J2908" i="9"/>
  <c r="I2908" i="9"/>
  <c r="K2908" i="9"/>
  <c r="H2572" i="9"/>
  <c r="G2572" i="9"/>
  <c r="F2572" i="9"/>
  <c r="G1838" i="9"/>
  <c r="F1838" i="9"/>
  <c r="H1838" i="9"/>
  <c r="K468" i="9"/>
  <c r="I468" i="9"/>
  <c r="J468" i="9"/>
  <c r="K288" i="9"/>
  <c r="J288" i="9"/>
  <c r="I288" i="9"/>
  <c r="K4" i="9"/>
  <c r="J4" i="9"/>
  <c r="I4" i="9"/>
  <c r="H3498" i="9"/>
  <c r="G3498" i="9"/>
  <c r="F3498" i="9"/>
  <c r="K1512" i="9"/>
  <c r="J1512" i="9"/>
  <c r="I1512" i="9"/>
  <c r="K1392" i="9"/>
  <c r="J1392" i="9"/>
  <c r="I1392" i="9"/>
  <c r="K972" i="9"/>
  <c r="J972" i="9"/>
  <c r="I972" i="9"/>
  <c r="H484" i="9"/>
  <c r="G484" i="9"/>
  <c r="F484" i="9"/>
  <c r="K3555" i="9"/>
  <c r="J3555" i="9"/>
  <c r="I3555" i="9"/>
  <c r="K2523" i="9"/>
  <c r="J2523" i="9"/>
  <c r="I2523" i="9"/>
  <c r="G1894" i="9"/>
  <c r="F1894" i="9"/>
  <c r="H1894" i="9"/>
  <c r="G3118" i="9"/>
  <c r="F3118" i="9"/>
  <c r="H3118" i="9"/>
  <c r="G2470" i="9"/>
  <c r="F2470" i="9"/>
  <c r="H2470" i="9"/>
  <c r="H1684" i="9"/>
  <c r="G1684" i="9"/>
  <c r="F1684" i="9"/>
  <c r="J3079" i="9"/>
  <c r="I3079" i="9"/>
  <c r="K3079" i="9"/>
  <c r="K1367" i="9"/>
  <c r="J1367" i="9"/>
  <c r="I1367" i="9"/>
  <c r="K1247" i="9"/>
  <c r="J1247" i="9"/>
  <c r="I1247" i="9"/>
  <c r="K1127" i="9"/>
  <c r="J1127" i="9"/>
  <c r="I1127" i="9"/>
  <c r="K1031" i="9"/>
  <c r="J1031" i="9"/>
  <c r="I1031" i="9"/>
  <c r="K935" i="9"/>
  <c r="J935" i="9"/>
  <c r="I935" i="9"/>
  <c r="H2930" i="9"/>
  <c r="F2930" i="9"/>
  <c r="G2930" i="9"/>
  <c r="H2138" i="9"/>
  <c r="G2138" i="9"/>
  <c r="F2138" i="9"/>
  <c r="H3448" i="9"/>
  <c r="G3448" i="9"/>
  <c r="F3448" i="9"/>
  <c r="K2848" i="9"/>
  <c r="J2848" i="9"/>
  <c r="I2848" i="9"/>
  <c r="H2536" i="9"/>
  <c r="G2536" i="9"/>
  <c r="F2536" i="9"/>
  <c r="G742" i="9"/>
  <c r="F742" i="9"/>
  <c r="H742" i="9"/>
  <c r="G634" i="9"/>
  <c r="F634" i="9"/>
  <c r="H634" i="9"/>
  <c r="H538" i="9"/>
  <c r="G538" i="9"/>
  <c r="F538" i="9"/>
  <c r="H430" i="9"/>
  <c r="G430" i="9"/>
  <c r="F430" i="9"/>
  <c r="K3692" i="9"/>
  <c r="J3692" i="9"/>
  <c r="I3692" i="9"/>
  <c r="K3260" i="9"/>
  <c r="J3260" i="9"/>
  <c r="I3260" i="9"/>
  <c r="I3044" i="9"/>
  <c r="K3044" i="9"/>
  <c r="J3044" i="9"/>
  <c r="K2804" i="9"/>
  <c r="J2804" i="9"/>
  <c r="I2804" i="9"/>
  <c r="J2516" i="9"/>
  <c r="K2516" i="9"/>
  <c r="I2516" i="9"/>
  <c r="K1822" i="9"/>
  <c r="J1822" i="9"/>
  <c r="I1822" i="9"/>
  <c r="K4657" i="9"/>
  <c r="J4657" i="9"/>
  <c r="I4657" i="9"/>
  <c r="H829" i="9"/>
  <c r="G829" i="9"/>
  <c r="F829" i="9"/>
  <c r="H409" i="9"/>
  <c r="G409" i="9"/>
  <c r="F409" i="9"/>
  <c r="K4966" i="9"/>
  <c r="J4966" i="9"/>
  <c r="I4966" i="9"/>
  <c r="H3581" i="9"/>
  <c r="G3581" i="9"/>
  <c r="F3581" i="9"/>
  <c r="H2525" i="9"/>
  <c r="G2525" i="9"/>
  <c r="F2525" i="9"/>
  <c r="K1477" i="9"/>
  <c r="J1477" i="9"/>
  <c r="I1477" i="9"/>
  <c r="H1357" i="9"/>
  <c r="F1357" i="9"/>
  <c r="G1357" i="9"/>
  <c r="K1225" i="9"/>
  <c r="J1225" i="9"/>
  <c r="I1225" i="9"/>
  <c r="K1105" i="9"/>
  <c r="J1105" i="9"/>
  <c r="I1105" i="9"/>
  <c r="K973" i="9"/>
  <c r="J973" i="9"/>
  <c r="I973" i="9"/>
  <c r="G2054" i="9"/>
  <c r="F2054" i="9"/>
  <c r="H2054" i="9"/>
  <c r="H6611" i="9"/>
  <c r="G6611" i="9"/>
  <c r="F6611" i="9"/>
  <c r="H6599" i="9"/>
  <c r="G6599" i="9"/>
  <c r="F6599" i="9"/>
  <c r="H6587" i="9"/>
  <c r="G6587" i="9"/>
  <c r="F6587" i="9"/>
  <c r="H6575" i="9"/>
  <c r="G6575" i="9"/>
  <c r="F6575" i="9"/>
  <c r="K6551" i="9"/>
  <c r="J6551" i="9"/>
  <c r="I6551" i="9"/>
  <c r="K6539" i="9"/>
  <c r="J6539" i="9"/>
  <c r="I6539" i="9"/>
  <c r="H6503" i="9"/>
  <c r="G6503" i="9"/>
  <c r="F6503" i="9"/>
  <c r="J6419" i="9"/>
  <c r="K6419" i="9"/>
  <c r="I6419" i="9"/>
  <c r="H6407" i="9"/>
  <c r="G6407" i="9"/>
  <c r="F6407" i="9"/>
  <c r="H6395" i="9"/>
  <c r="G6395" i="9"/>
  <c r="F6395" i="9"/>
  <c r="H6383" i="9"/>
  <c r="G6383" i="9"/>
  <c r="F6383" i="9"/>
  <c r="H6371" i="9"/>
  <c r="G6371" i="9"/>
  <c r="F6371" i="9"/>
  <c r="H6359" i="9"/>
  <c r="G6359" i="9"/>
  <c r="F6359" i="9"/>
  <c r="H6604" i="9"/>
  <c r="G6604" i="9"/>
  <c r="F6604" i="9"/>
  <c r="H6592" i="9"/>
  <c r="G6592" i="9"/>
  <c r="F6592" i="9"/>
  <c r="H6580" i="9"/>
  <c r="G6580" i="9"/>
  <c r="F6580" i="9"/>
  <c r="H6568" i="9"/>
  <c r="G6568" i="9"/>
  <c r="F6568" i="9"/>
  <c r="H6556" i="9"/>
  <c r="G6556" i="9"/>
  <c r="F6556" i="9"/>
  <c r="H6544" i="9"/>
  <c r="G6544" i="9"/>
  <c r="F6544" i="9"/>
  <c r="F6532" i="9"/>
  <c r="G6532" i="9"/>
  <c r="H6532" i="9"/>
  <c r="F6520" i="9"/>
  <c r="H6520" i="9"/>
  <c r="G6520" i="9"/>
  <c r="F6508" i="9"/>
  <c r="G6508" i="9"/>
  <c r="H6508" i="9"/>
  <c r="F6496" i="9"/>
  <c r="H6496" i="9"/>
  <c r="G6496" i="9"/>
  <c r="F6484" i="9"/>
  <c r="H6484" i="9"/>
  <c r="G6484" i="9"/>
  <c r="F6328" i="9"/>
  <c r="H6328" i="9"/>
  <c r="G6328" i="9"/>
  <c r="H5674" i="9"/>
  <c r="G5674" i="9"/>
  <c r="F5674" i="9"/>
  <c r="F5653" i="9"/>
  <c r="H5653" i="9"/>
  <c r="G5653" i="9"/>
  <c r="H5605" i="9"/>
  <c r="G5605" i="9"/>
  <c r="F5605" i="9"/>
  <c r="H5557" i="9"/>
  <c r="G5557" i="9"/>
  <c r="F5557" i="9"/>
  <c r="H5530" i="9"/>
  <c r="G5530" i="9"/>
  <c r="F5530" i="9"/>
  <c r="H5434" i="9"/>
  <c r="G5434" i="9"/>
  <c r="F5434" i="9"/>
  <c r="G5413" i="9"/>
  <c r="F5413" i="9"/>
  <c r="H5413" i="9"/>
  <c r="H5386" i="9"/>
  <c r="G5386" i="9"/>
  <c r="F5386" i="9"/>
  <c r="F5365" i="9"/>
  <c r="H5365" i="9"/>
  <c r="G5365" i="9"/>
  <c r="H5290" i="9"/>
  <c r="G5290" i="9"/>
  <c r="F5290" i="9"/>
  <c r="K5269" i="9"/>
  <c r="J5269" i="9"/>
  <c r="I5269" i="9"/>
  <c r="G5242" i="9"/>
  <c r="F5242" i="9"/>
  <c r="H5242" i="9"/>
  <c r="K5221" i="9"/>
  <c r="J5221" i="9"/>
  <c r="I5221" i="9"/>
  <c r="H5194" i="9"/>
  <c r="G5194" i="9"/>
  <c r="F5194" i="9"/>
  <c r="K5173" i="9"/>
  <c r="J5173" i="9"/>
  <c r="I5173" i="9"/>
  <c r="H5146" i="9"/>
  <c r="G5146" i="9"/>
  <c r="F5146" i="9"/>
  <c r="K5125" i="9"/>
  <c r="J5125" i="9"/>
  <c r="I5125" i="9"/>
  <c r="H5077" i="9"/>
  <c r="G5077" i="9"/>
  <c r="F5077" i="9"/>
  <c r="H5029" i="9"/>
  <c r="G5029" i="9"/>
  <c r="F5029" i="9"/>
  <c r="H4981" i="9"/>
  <c r="G4981" i="9"/>
  <c r="F4981" i="9"/>
  <c r="H4933" i="9"/>
  <c r="G4933" i="9"/>
  <c r="F4933" i="9"/>
  <c r="H4885" i="9"/>
  <c r="G4885" i="9"/>
  <c r="F4885" i="9"/>
  <c r="G4837" i="9"/>
  <c r="H4837" i="9"/>
  <c r="F4837" i="9"/>
  <c r="K4810" i="9"/>
  <c r="J4810" i="9"/>
  <c r="I4810" i="9"/>
  <c r="H4789" i="9"/>
  <c r="G4789" i="9"/>
  <c r="F4789" i="9"/>
  <c r="K4762" i="9"/>
  <c r="J4762" i="9"/>
  <c r="I4762" i="9"/>
  <c r="H4741" i="9"/>
  <c r="F4741" i="9"/>
  <c r="G4741" i="9"/>
  <c r="H4714" i="9"/>
  <c r="F4714" i="9"/>
  <c r="G4714" i="9"/>
  <c r="F4666" i="9"/>
  <c r="H4666" i="9"/>
  <c r="G4666" i="9"/>
  <c r="F4618" i="9"/>
  <c r="H4618" i="9"/>
  <c r="G4618" i="9"/>
  <c r="F4570" i="9"/>
  <c r="H4570" i="9"/>
  <c r="G4570" i="9"/>
  <c r="F4522" i="9"/>
  <c r="H4522" i="9"/>
  <c r="G4522" i="9"/>
  <c r="F4474" i="9"/>
  <c r="H4474" i="9"/>
  <c r="G4474" i="9"/>
  <c r="H4405" i="9"/>
  <c r="G4405" i="9"/>
  <c r="F4405" i="9"/>
  <c r="H4378" i="9"/>
  <c r="G4378" i="9"/>
  <c r="F4378" i="9"/>
  <c r="H4357" i="9"/>
  <c r="G4357" i="9"/>
  <c r="F4357" i="9"/>
  <c r="H4330" i="9"/>
  <c r="G4330" i="9"/>
  <c r="F4330" i="9"/>
  <c r="H4309" i="9"/>
  <c r="G4309" i="9"/>
  <c r="F4309" i="9"/>
  <c r="H4282" i="9"/>
  <c r="G4282" i="9"/>
  <c r="F4282" i="9"/>
  <c r="H4261" i="9"/>
  <c r="G4261" i="9"/>
  <c r="F4261" i="9"/>
  <c r="H4234" i="9"/>
  <c r="G4234" i="9"/>
  <c r="F4234" i="9"/>
  <c r="F4177" i="9"/>
  <c r="H4177" i="9"/>
  <c r="G4177" i="9"/>
  <c r="H4148" i="9"/>
  <c r="G4148" i="9"/>
  <c r="F4148" i="9"/>
  <c r="H6529" i="9"/>
  <c r="G6529" i="9"/>
  <c r="F6529" i="9"/>
  <c r="H6493" i="9"/>
  <c r="G6493" i="9"/>
  <c r="F6493" i="9"/>
  <c r="K6421" i="9"/>
  <c r="J6421" i="9"/>
  <c r="I6421" i="9"/>
  <c r="G6385" i="9"/>
  <c r="F6385" i="9"/>
  <c r="H6385" i="9"/>
  <c r="G6349" i="9"/>
  <c r="F6349" i="9"/>
  <c r="H6349" i="9"/>
  <c r="H6313" i="9"/>
  <c r="G6313" i="9"/>
  <c r="F6313" i="9"/>
  <c r="H6277" i="9"/>
  <c r="G6277" i="9"/>
  <c r="F6277" i="9"/>
  <c r="G6241" i="9"/>
  <c r="F6241" i="9"/>
  <c r="H6241" i="9"/>
  <c r="G6205" i="9"/>
  <c r="F6205" i="9"/>
  <c r="H6205" i="9"/>
  <c r="G6169" i="9"/>
  <c r="F6169" i="9"/>
  <c r="H6169" i="9"/>
  <c r="G6115" i="9"/>
  <c r="F6115" i="9"/>
  <c r="H6115" i="9"/>
  <c r="G6079" i="9"/>
  <c r="F6079" i="9"/>
  <c r="H6079" i="9"/>
  <c r="G6043" i="9"/>
  <c r="F6043" i="9"/>
  <c r="H6043" i="9"/>
  <c r="G6007" i="9"/>
  <c r="F6007" i="9"/>
  <c r="H6007" i="9"/>
  <c r="H5989" i="9"/>
  <c r="G5989" i="9"/>
  <c r="F5989" i="9"/>
  <c r="H5953" i="9"/>
  <c r="G5953" i="9"/>
  <c r="F5953" i="9"/>
  <c r="H5917" i="9"/>
  <c r="G5917" i="9"/>
  <c r="F5917" i="9"/>
  <c r="G5863" i="9"/>
  <c r="F5863" i="9"/>
  <c r="H5863" i="9"/>
  <c r="G5827" i="9"/>
  <c r="F5827" i="9"/>
  <c r="H5827" i="9"/>
  <c r="G5791" i="9"/>
  <c r="F5791" i="9"/>
  <c r="H5791" i="9"/>
  <c r="K5755" i="9"/>
  <c r="J5755" i="9"/>
  <c r="I5755" i="9"/>
  <c r="F5737" i="9"/>
  <c r="H5737" i="9"/>
  <c r="G5737" i="9"/>
  <c r="K5719" i="9"/>
  <c r="J5719" i="9"/>
  <c r="I5719" i="9"/>
  <c r="F5701" i="9"/>
  <c r="H5701" i="9"/>
  <c r="G5701" i="9"/>
  <c r="H5663" i="9"/>
  <c r="G5663" i="9"/>
  <c r="F5663" i="9"/>
  <c r="H5615" i="9"/>
  <c r="G5615" i="9"/>
  <c r="F5615" i="9"/>
  <c r="H5567" i="9"/>
  <c r="G5567" i="9"/>
  <c r="F5567" i="9"/>
  <c r="G5423" i="9"/>
  <c r="F5423" i="9"/>
  <c r="H5423" i="9"/>
  <c r="G5375" i="9"/>
  <c r="F5375" i="9"/>
  <c r="H5375" i="9"/>
  <c r="H5327" i="9"/>
  <c r="G5327" i="9"/>
  <c r="F5327" i="9"/>
  <c r="K5087" i="9"/>
  <c r="J5087" i="9"/>
  <c r="I5087" i="9"/>
  <c r="K5039" i="9"/>
  <c r="J5039" i="9"/>
  <c r="I5039" i="9"/>
  <c r="K4991" i="9"/>
  <c r="J4991" i="9"/>
  <c r="I4991" i="9"/>
  <c r="K4943" i="9"/>
  <c r="J4943" i="9"/>
  <c r="I4943" i="9"/>
  <c r="K4895" i="9"/>
  <c r="J4895" i="9"/>
  <c r="I4895" i="9"/>
  <c r="K4847" i="9"/>
  <c r="J4847" i="9"/>
  <c r="I4847" i="9"/>
  <c r="K4799" i="9"/>
  <c r="J4799" i="9"/>
  <c r="I4799" i="9"/>
  <c r="K4751" i="9"/>
  <c r="J4751" i="9"/>
  <c r="I4751" i="9"/>
  <c r="K4703" i="9"/>
  <c r="J4703" i="9"/>
  <c r="I4703" i="9"/>
  <c r="K4655" i="9"/>
  <c r="J4655" i="9"/>
  <c r="I4655" i="9"/>
  <c r="K4607" i="9"/>
  <c r="J4607" i="9"/>
  <c r="I4607" i="9"/>
  <c r="K4559" i="9"/>
  <c r="J4559" i="9"/>
  <c r="I4559" i="9"/>
  <c r="K4511" i="9"/>
  <c r="J4511" i="9"/>
  <c r="I4511" i="9"/>
  <c r="K4463" i="9"/>
  <c r="J4463" i="9"/>
  <c r="I4463" i="9"/>
  <c r="H4415" i="9"/>
  <c r="G4415" i="9"/>
  <c r="F4415" i="9"/>
  <c r="H4367" i="9"/>
  <c r="G4367" i="9"/>
  <c r="F4367" i="9"/>
  <c r="H4319" i="9"/>
  <c r="G4319" i="9"/>
  <c r="F4319" i="9"/>
  <c r="H4271" i="9"/>
  <c r="G4271" i="9"/>
  <c r="F4271" i="9"/>
  <c r="H4223" i="9"/>
  <c r="G4223" i="9"/>
  <c r="F4223" i="9"/>
  <c r="H4186" i="9"/>
  <c r="G4186" i="9"/>
  <c r="F4186" i="9"/>
  <c r="H4114" i="9"/>
  <c r="G4114" i="9"/>
  <c r="F4114" i="9"/>
  <c r="H4042" i="9"/>
  <c r="G4042" i="9"/>
  <c r="F4042" i="9"/>
  <c r="H3970" i="9"/>
  <c r="G3970" i="9"/>
  <c r="F3970" i="9"/>
  <c r="H5684" i="9"/>
  <c r="G5684" i="9"/>
  <c r="F5684" i="9"/>
  <c r="H5636" i="9"/>
  <c r="G5636" i="9"/>
  <c r="F5636" i="9"/>
  <c r="H5588" i="9"/>
  <c r="G5588" i="9"/>
  <c r="F5588" i="9"/>
  <c r="J5540" i="9"/>
  <c r="I5540" i="9"/>
  <c r="K5540" i="9"/>
  <c r="G5492" i="9"/>
  <c r="H5492" i="9"/>
  <c r="F5492" i="9"/>
  <c r="H5444" i="9"/>
  <c r="G5444" i="9"/>
  <c r="F5444" i="9"/>
  <c r="H5396" i="9"/>
  <c r="G5396" i="9"/>
  <c r="F5396" i="9"/>
  <c r="H5348" i="9"/>
  <c r="G5348" i="9"/>
  <c r="F5348" i="9"/>
  <c r="G5300" i="9"/>
  <c r="F5300" i="9"/>
  <c r="H5300" i="9"/>
  <c r="G5252" i="9"/>
  <c r="F5252" i="9"/>
  <c r="H5252" i="9"/>
  <c r="G5204" i="9"/>
  <c r="F5204" i="9"/>
  <c r="H5204" i="9"/>
  <c r="G5156" i="9"/>
  <c r="F5156" i="9"/>
  <c r="H5156" i="9"/>
  <c r="G5108" i="9"/>
  <c r="F5108" i="9"/>
  <c r="H5108" i="9"/>
  <c r="H5060" i="9"/>
  <c r="G5060" i="9"/>
  <c r="F5060" i="9"/>
  <c r="H5012" i="9"/>
  <c r="G5012" i="9"/>
  <c r="F5012" i="9"/>
  <c r="H4964" i="9"/>
  <c r="G4964" i="9"/>
  <c r="F4964" i="9"/>
  <c r="H4916" i="9"/>
  <c r="G4916" i="9"/>
  <c r="F4916" i="9"/>
  <c r="H4868" i="9"/>
  <c r="G4868" i="9"/>
  <c r="F4868" i="9"/>
  <c r="H4820" i="9"/>
  <c r="G4820" i="9"/>
  <c r="F4820" i="9"/>
  <c r="K4724" i="9"/>
  <c r="J4724" i="9"/>
  <c r="I4724" i="9"/>
  <c r="K4388" i="9"/>
  <c r="J4388" i="9"/>
  <c r="I4388" i="9"/>
  <c r="K4340" i="9"/>
  <c r="J4340" i="9"/>
  <c r="I4340" i="9"/>
  <c r="K4292" i="9"/>
  <c r="J4292" i="9"/>
  <c r="I4292" i="9"/>
  <c r="K4244" i="9"/>
  <c r="J4244" i="9"/>
  <c r="I4244" i="9"/>
  <c r="K4196" i="9"/>
  <c r="J4196" i="9"/>
  <c r="I4196" i="9"/>
  <c r="K4157" i="9"/>
  <c r="J4157" i="9"/>
  <c r="I4157" i="9"/>
  <c r="G4128" i="9"/>
  <c r="F4128" i="9"/>
  <c r="H4128" i="9"/>
  <c r="K4085" i="9"/>
  <c r="J4085" i="9"/>
  <c r="I4085" i="9"/>
  <c r="G4056" i="9"/>
  <c r="F4056" i="9"/>
  <c r="H4056" i="9"/>
  <c r="K4013" i="9"/>
  <c r="J4013" i="9"/>
  <c r="I4013" i="9"/>
  <c r="G3984" i="9"/>
  <c r="F3984" i="9"/>
  <c r="H3984" i="9"/>
  <c r="K3941" i="9"/>
  <c r="J3941" i="9"/>
  <c r="I3941" i="9"/>
  <c r="G3912" i="9"/>
  <c r="F3912" i="9"/>
  <c r="H3912" i="9"/>
  <c r="F3869" i="9"/>
  <c r="H3869" i="9"/>
  <c r="G3869" i="9"/>
  <c r="H3840" i="9"/>
  <c r="G3840" i="9"/>
  <c r="F3840" i="9"/>
  <c r="F3797" i="9"/>
  <c r="H3797" i="9"/>
  <c r="G3797" i="9"/>
  <c r="H3768" i="9"/>
  <c r="G3768" i="9"/>
  <c r="F3768" i="9"/>
  <c r="F3737" i="9"/>
  <c r="H3737" i="9"/>
  <c r="G3737" i="9"/>
  <c r="F6582" i="9"/>
  <c r="H6582" i="9"/>
  <c r="G6582" i="9"/>
  <c r="F6546" i="9"/>
  <c r="H6546" i="9"/>
  <c r="G6546" i="9"/>
  <c r="H6474" i="9"/>
  <c r="G6474" i="9"/>
  <c r="F6474" i="9"/>
  <c r="H6438" i="9"/>
  <c r="G6438" i="9"/>
  <c r="F6438" i="9"/>
  <c r="H6402" i="9"/>
  <c r="G6402" i="9"/>
  <c r="F6402" i="9"/>
  <c r="H6312" i="9"/>
  <c r="G6312" i="9"/>
  <c r="F6312" i="9"/>
  <c r="H6258" i="9"/>
  <c r="G6258" i="9"/>
  <c r="F6258" i="9"/>
  <c r="H6240" i="9"/>
  <c r="G6240" i="9"/>
  <c r="F6240" i="9"/>
  <c r="H6222" i="9"/>
  <c r="G6222" i="9"/>
  <c r="F6222" i="9"/>
  <c r="H6204" i="9"/>
  <c r="G6204" i="9"/>
  <c r="F6204" i="9"/>
  <c r="H6186" i="9"/>
  <c r="G6186" i="9"/>
  <c r="F6186" i="9"/>
  <c r="H6168" i="9"/>
  <c r="G6168" i="9"/>
  <c r="F6168" i="9"/>
  <c r="G6150" i="9"/>
  <c r="H6150" i="9"/>
  <c r="F6150" i="9"/>
  <c r="H6132" i="9"/>
  <c r="G6132" i="9"/>
  <c r="F6132" i="9"/>
  <c r="H6114" i="9"/>
  <c r="G6114" i="9"/>
  <c r="F6114" i="9"/>
  <c r="H6096" i="9"/>
  <c r="G6096" i="9"/>
  <c r="F6096" i="9"/>
  <c r="H6078" i="9"/>
  <c r="G6078" i="9"/>
  <c r="F6078" i="9"/>
  <c r="H6060" i="9"/>
  <c r="G6060" i="9"/>
  <c r="F6060" i="9"/>
  <c r="G6024" i="9"/>
  <c r="H6024" i="9"/>
  <c r="F6024" i="9"/>
  <c r="H5988" i="9"/>
  <c r="G5988" i="9"/>
  <c r="F5988" i="9"/>
  <c r="H5952" i="9"/>
  <c r="G5952" i="9"/>
  <c r="F5952" i="9"/>
  <c r="H5916" i="9"/>
  <c r="G5916" i="9"/>
  <c r="F5916" i="9"/>
  <c r="K5880" i="9"/>
  <c r="J5880" i="9"/>
  <c r="I5880" i="9"/>
  <c r="F5862" i="9"/>
  <c r="H5862" i="9"/>
  <c r="G5862" i="9"/>
  <c r="K5844" i="9"/>
  <c r="J5844" i="9"/>
  <c r="I5844" i="9"/>
  <c r="F5826" i="9"/>
  <c r="H5826" i="9"/>
  <c r="G5826" i="9"/>
  <c r="K5808" i="9"/>
  <c r="J5808" i="9"/>
  <c r="I5808" i="9"/>
  <c r="F5790" i="9"/>
  <c r="H5790" i="9"/>
  <c r="G5790" i="9"/>
  <c r="H5772" i="9"/>
  <c r="G5772" i="9"/>
  <c r="F5772" i="9"/>
  <c r="G5736" i="9"/>
  <c r="F5736" i="9"/>
  <c r="H5736" i="9"/>
  <c r="G5700" i="9"/>
  <c r="F5700" i="9"/>
  <c r="H5700" i="9"/>
  <c r="G5678" i="9"/>
  <c r="H5678" i="9"/>
  <c r="F5678" i="9"/>
  <c r="H5657" i="9"/>
  <c r="G5657" i="9"/>
  <c r="F5657" i="9"/>
  <c r="G5630" i="9"/>
  <c r="F5630" i="9"/>
  <c r="H5630" i="9"/>
  <c r="G5582" i="9"/>
  <c r="F5582" i="9"/>
  <c r="H5582" i="9"/>
  <c r="G5534" i="9"/>
  <c r="H5534" i="9"/>
  <c r="F5534" i="9"/>
  <c r="G5486" i="9"/>
  <c r="F5486" i="9"/>
  <c r="H5486" i="9"/>
  <c r="J5465" i="9"/>
  <c r="K5465" i="9"/>
  <c r="I5465" i="9"/>
  <c r="K5369" i="9"/>
  <c r="J5369" i="9"/>
  <c r="I5369" i="9"/>
  <c r="G5342" i="9"/>
  <c r="H5342" i="9"/>
  <c r="F5342" i="9"/>
  <c r="K5321" i="9"/>
  <c r="J5321" i="9"/>
  <c r="I5321" i="9"/>
  <c r="K5294" i="9"/>
  <c r="J5294" i="9"/>
  <c r="I5294" i="9"/>
  <c r="K5246" i="9"/>
  <c r="J5246" i="9"/>
  <c r="I5246" i="9"/>
  <c r="H5225" i="9"/>
  <c r="G5225" i="9"/>
  <c r="F5225" i="9"/>
  <c r="K5198" i="9"/>
  <c r="J5198" i="9"/>
  <c r="I5198" i="9"/>
  <c r="H5177" i="9"/>
  <c r="G5177" i="9"/>
  <c r="F5177" i="9"/>
  <c r="K5150" i="9"/>
  <c r="J5150" i="9"/>
  <c r="I5150" i="9"/>
  <c r="H5129" i="9"/>
  <c r="G5129" i="9"/>
  <c r="F5129" i="9"/>
  <c r="H5081" i="9"/>
  <c r="G5081" i="9"/>
  <c r="F5081" i="9"/>
  <c r="H5033" i="9"/>
  <c r="G5033" i="9"/>
  <c r="F5033" i="9"/>
  <c r="H4985" i="9"/>
  <c r="G4985" i="9"/>
  <c r="F4985" i="9"/>
  <c r="H4937" i="9"/>
  <c r="G4937" i="9"/>
  <c r="F4937" i="9"/>
  <c r="H4889" i="9"/>
  <c r="G4889" i="9"/>
  <c r="F4889" i="9"/>
  <c r="H4841" i="9"/>
  <c r="G4841" i="9"/>
  <c r="F4841" i="9"/>
  <c r="H4814" i="9"/>
  <c r="G4814" i="9"/>
  <c r="F4814" i="9"/>
  <c r="F4793" i="9"/>
  <c r="H4793" i="9"/>
  <c r="G4793" i="9"/>
  <c r="H4766" i="9"/>
  <c r="G4766" i="9"/>
  <c r="F4766" i="9"/>
  <c r="F4745" i="9"/>
  <c r="H4745" i="9"/>
  <c r="G4745" i="9"/>
  <c r="G4718" i="9"/>
  <c r="H4718" i="9"/>
  <c r="F4718" i="9"/>
  <c r="G4697" i="9"/>
  <c r="F4697" i="9"/>
  <c r="H4697" i="9"/>
  <c r="G4649" i="9"/>
  <c r="F4649" i="9"/>
  <c r="H4649" i="9"/>
  <c r="G4601" i="9"/>
  <c r="F4601" i="9"/>
  <c r="H4601" i="9"/>
  <c r="G4553" i="9"/>
  <c r="F4553" i="9"/>
  <c r="H4553" i="9"/>
  <c r="G4505" i="9"/>
  <c r="F4505" i="9"/>
  <c r="H4505" i="9"/>
  <c r="G4457" i="9"/>
  <c r="F4457" i="9"/>
  <c r="H4457" i="9"/>
  <c r="G4382" i="9"/>
  <c r="F4382" i="9"/>
  <c r="H4382" i="9"/>
  <c r="G4334" i="9"/>
  <c r="F4334" i="9"/>
  <c r="H4334" i="9"/>
  <c r="G4286" i="9"/>
  <c r="F4286" i="9"/>
  <c r="H4286" i="9"/>
  <c r="G4238" i="9"/>
  <c r="F4238" i="9"/>
  <c r="H4238" i="9"/>
  <c r="G4190" i="9"/>
  <c r="F4190" i="9"/>
  <c r="H4190" i="9"/>
  <c r="K4147" i="9"/>
  <c r="J4147" i="9"/>
  <c r="I4147" i="9"/>
  <c r="H4118" i="9"/>
  <c r="G4118" i="9"/>
  <c r="F4118" i="9"/>
  <c r="K4075" i="9"/>
  <c r="J4075" i="9"/>
  <c r="I4075" i="9"/>
  <c r="H5651" i="9"/>
  <c r="G5651" i="9"/>
  <c r="F5651" i="9"/>
  <c r="H5603" i="9"/>
  <c r="G5603" i="9"/>
  <c r="F5603" i="9"/>
  <c r="H5555" i="9"/>
  <c r="G5555" i="9"/>
  <c r="F5555" i="9"/>
  <c r="G5411" i="9"/>
  <c r="F5411" i="9"/>
  <c r="H5411" i="9"/>
  <c r="G5363" i="9"/>
  <c r="F5363" i="9"/>
  <c r="H5363" i="9"/>
  <c r="H5315" i="9"/>
  <c r="G5315" i="9"/>
  <c r="F5315" i="9"/>
  <c r="K5075" i="9"/>
  <c r="J5075" i="9"/>
  <c r="I5075" i="9"/>
  <c r="K5027" i="9"/>
  <c r="J5027" i="9"/>
  <c r="I5027" i="9"/>
  <c r="K4979" i="9"/>
  <c r="J4979" i="9"/>
  <c r="I4979" i="9"/>
  <c r="K4931" i="9"/>
  <c r="J4931" i="9"/>
  <c r="I4931" i="9"/>
  <c r="K4883" i="9"/>
  <c r="J4883" i="9"/>
  <c r="I4883" i="9"/>
  <c r="K4835" i="9"/>
  <c r="I4835" i="9"/>
  <c r="J4835" i="9"/>
  <c r="K4787" i="9"/>
  <c r="J4787" i="9"/>
  <c r="I4787" i="9"/>
  <c r="K4739" i="9"/>
  <c r="J4739" i="9"/>
  <c r="I4739" i="9"/>
  <c r="K4691" i="9"/>
  <c r="J4691" i="9"/>
  <c r="I4691" i="9"/>
  <c r="K4643" i="9"/>
  <c r="J4643" i="9"/>
  <c r="I4643" i="9"/>
  <c r="K4595" i="9"/>
  <c r="J4595" i="9"/>
  <c r="I4595" i="9"/>
  <c r="K4547" i="9"/>
  <c r="J4547" i="9"/>
  <c r="I4547" i="9"/>
  <c r="K4499" i="9"/>
  <c r="J4499" i="9"/>
  <c r="I4499" i="9"/>
  <c r="K4451" i="9"/>
  <c r="J4451" i="9"/>
  <c r="I4451" i="9"/>
  <c r="H4403" i="9"/>
  <c r="G4403" i="9"/>
  <c r="F4403" i="9"/>
  <c r="H4355" i="9"/>
  <c r="G4355" i="9"/>
  <c r="F4355" i="9"/>
  <c r="H4307" i="9"/>
  <c r="G4307" i="9"/>
  <c r="F4307" i="9"/>
  <c r="H4259" i="9"/>
  <c r="G4259" i="9"/>
  <c r="F4259" i="9"/>
  <c r="H4211" i="9"/>
  <c r="G4211" i="9"/>
  <c r="F4211" i="9"/>
  <c r="H4137" i="9"/>
  <c r="G4137" i="9"/>
  <c r="F4137" i="9"/>
  <c r="H4065" i="9"/>
  <c r="G4065" i="9"/>
  <c r="F4065" i="9"/>
  <c r="G6605" i="9"/>
  <c r="F6605" i="9"/>
  <c r="H6605" i="9"/>
  <c r="G6569" i="9"/>
  <c r="F6569" i="9"/>
  <c r="H6569" i="9"/>
  <c r="H6533" i="9"/>
  <c r="G6533" i="9"/>
  <c r="F6533" i="9"/>
  <c r="F6497" i="9"/>
  <c r="H6497" i="9"/>
  <c r="G6497" i="9"/>
  <c r="H6461" i="9"/>
  <c r="G6461" i="9"/>
  <c r="F6461" i="9"/>
  <c r="H6335" i="9"/>
  <c r="G6335" i="9"/>
  <c r="F6335" i="9"/>
  <c r="G6317" i="9"/>
  <c r="F6317" i="9"/>
  <c r="H6317" i="9"/>
  <c r="H6281" i="9"/>
  <c r="G6281" i="9"/>
  <c r="F6281" i="9"/>
  <c r="H6263" i="9"/>
  <c r="G6263" i="9"/>
  <c r="F6263" i="9"/>
  <c r="H6227" i="9"/>
  <c r="G6227" i="9"/>
  <c r="F6227" i="9"/>
  <c r="H6191" i="9"/>
  <c r="G6191" i="9"/>
  <c r="F6191" i="9"/>
  <c r="H6155" i="9"/>
  <c r="G6155" i="9"/>
  <c r="F6155" i="9"/>
  <c r="H6101" i="9"/>
  <c r="G6101" i="9"/>
  <c r="F6101" i="9"/>
  <c r="G5993" i="9"/>
  <c r="F5993" i="9"/>
  <c r="H5993" i="9"/>
  <c r="G5957" i="9"/>
  <c r="F5957" i="9"/>
  <c r="H5957" i="9"/>
  <c r="G5921" i="9"/>
  <c r="F5921" i="9"/>
  <c r="H5921" i="9"/>
  <c r="G5885" i="9"/>
  <c r="F5885" i="9"/>
  <c r="H5885" i="9"/>
  <c r="G5849" i="9"/>
  <c r="F5849" i="9"/>
  <c r="H5849" i="9"/>
  <c r="G5813" i="9"/>
  <c r="F5813" i="9"/>
  <c r="H5813" i="9"/>
  <c r="G5777" i="9"/>
  <c r="F5777" i="9"/>
  <c r="H5777" i="9"/>
  <c r="H5759" i="9"/>
  <c r="G5759" i="9"/>
  <c r="F5759" i="9"/>
  <c r="H5741" i="9"/>
  <c r="G5741" i="9"/>
  <c r="F5741" i="9"/>
  <c r="H5723" i="9"/>
  <c r="G5723" i="9"/>
  <c r="F5723" i="9"/>
  <c r="H5705" i="9"/>
  <c r="G5705" i="9"/>
  <c r="F5705" i="9"/>
  <c r="H5672" i="9"/>
  <c r="G5672" i="9"/>
  <c r="F5672" i="9"/>
  <c r="K5576" i="9"/>
  <c r="J5576" i="9"/>
  <c r="I5576" i="9"/>
  <c r="G5528" i="9"/>
  <c r="F5528" i="9"/>
  <c r="H5528" i="9"/>
  <c r="G5480" i="9"/>
  <c r="H5480" i="9"/>
  <c r="F5480" i="9"/>
  <c r="H5432" i="9"/>
  <c r="G5432" i="9"/>
  <c r="F5432" i="9"/>
  <c r="H5384" i="9"/>
  <c r="G5384" i="9"/>
  <c r="F5384" i="9"/>
  <c r="H5336" i="9"/>
  <c r="G5336" i="9"/>
  <c r="F5336" i="9"/>
  <c r="G5288" i="9"/>
  <c r="F5288" i="9"/>
  <c r="H5288" i="9"/>
  <c r="G5240" i="9"/>
  <c r="F5240" i="9"/>
  <c r="H5240" i="9"/>
  <c r="G5192" i="9"/>
  <c r="F5192" i="9"/>
  <c r="H5192" i="9"/>
  <c r="G5144" i="9"/>
  <c r="F5144" i="9"/>
  <c r="H5144" i="9"/>
  <c r="H5096" i="9"/>
  <c r="G5096" i="9"/>
  <c r="F5096" i="9"/>
  <c r="H5048" i="9"/>
  <c r="G5048" i="9"/>
  <c r="F5048" i="9"/>
  <c r="H5000" i="9"/>
  <c r="G5000" i="9"/>
  <c r="F5000" i="9"/>
  <c r="H4952" i="9"/>
  <c r="G4952" i="9"/>
  <c r="F4952" i="9"/>
  <c r="H4904" i="9"/>
  <c r="G4904" i="9"/>
  <c r="F4904" i="9"/>
  <c r="H4856" i="9"/>
  <c r="G4856" i="9"/>
  <c r="F4856" i="9"/>
  <c r="K4424" i="9"/>
  <c r="J4424" i="9"/>
  <c r="I4424" i="9"/>
  <c r="K4376" i="9"/>
  <c r="J4376" i="9"/>
  <c r="I4376" i="9"/>
  <c r="K4328" i="9"/>
  <c r="J4328" i="9"/>
  <c r="I4328" i="9"/>
  <c r="K4280" i="9"/>
  <c r="J4280" i="9"/>
  <c r="I4280" i="9"/>
  <c r="K4232" i="9"/>
  <c r="J4232" i="9"/>
  <c r="I4232" i="9"/>
  <c r="H4175" i="9"/>
  <c r="G4175" i="9"/>
  <c r="F4175" i="9"/>
  <c r="K4146" i="9"/>
  <c r="J4146" i="9"/>
  <c r="I4146" i="9"/>
  <c r="H4103" i="9"/>
  <c r="G4103" i="9"/>
  <c r="F4103" i="9"/>
  <c r="K4074" i="9"/>
  <c r="J4074" i="9"/>
  <c r="I4074" i="9"/>
  <c r="H4031" i="9"/>
  <c r="G4031" i="9"/>
  <c r="F4031" i="9"/>
  <c r="K4002" i="9"/>
  <c r="J4002" i="9"/>
  <c r="I4002" i="9"/>
  <c r="H3959" i="9"/>
  <c r="G3959" i="9"/>
  <c r="F3959" i="9"/>
  <c r="K3930" i="9"/>
  <c r="J3930" i="9"/>
  <c r="I3930" i="9"/>
  <c r="K3887" i="9"/>
  <c r="J3887" i="9"/>
  <c r="I3887" i="9"/>
  <c r="G3858" i="9"/>
  <c r="F3858" i="9"/>
  <c r="H3858" i="9"/>
  <c r="K3815" i="9"/>
  <c r="J3815" i="9"/>
  <c r="I3815" i="9"/>
  <c r="G3786" i="9"/>
  <c r="F3786" i="9"/>
  <c r="H3786" i="9"/>
  <c r="F3749" i="9"/>
  <c r="H3749" i="9"/>
  <c r="G3749" i="9"/>
  <c r="H5661" i="9"/>
  <c r="G5661" i="9"/>
  <c r="F5661" i="9"/>
  <c r="K5613" i="9"/>
  <c r="J5613" i="9"/>
  <c r="I5613" i="9"/>
  <c r="H5565" i="9"/>
  <c r="G5565" i="9"/>
  <c r="F5565" i="9"/>
  <c r="K5442" i="9"/>
  <c r="J5442" i="9"/>
  <c r="I5442" i="9"/>
  <c r="H5421" i="9"/>
  <c r="G5421" i="9"/>
  <c r="F5421" i="9"/>
  <c r="H5394" i="9"/>
  <c r="G5394" i="9"/>
  <c r="F5394" i="9"/>
  <c r="H5373" i="9"/>
  <c r="G5373" i="9"/>
  <c r="F5373" i="9"/>
  <c r="H5325" i="9"/>
  <c r="G5325" i="9"/>
  <c r="F5325" i="9"/>
  <c r="H5298" i="9"/>
  <c r="G5298" i="9"/>
  <c r="F5298" i="9"/>
  <c r="F5277" i="9"/>
  <c r="H5277" i="9"/>
  <c r="G5277" i="9"/>
  <c r="H5250" i="9"/>
  <c r="G5250" i="9"/>
  <c r="F5250" i="9"/>
  <c r="G5229" i="9"/>
  <c r="F5229" i="9"/>
  <c r="H5229" i="9"/>
  <c r="H5202" i="9"/>
  <c r="G5202" i="9"/>
  <c r="F5202" i="9"/>
  <c r="F5181" i="9"/>
  <c r="H5181" i="9"/>
  <c r="G5181" i="9"/>
  <c r="H5154" i="9"/>
  <c r="G5154" i="9"/>
  <c r="F5154" i="9"/>
  <c r="F5133" i="9"/>
  <c r="H5133" i="9"/>
  <c r="G5133" i="9"/>
  <c r="F5106" i="9"/>
  <c r="H5106" i="9"/>
  <c r="G5106" i="9"/>
  <c r="G5058" i="9"/>
  <c r="F5058" i="9"/>
  <c r="H5058" i="9"/>
  <c r="G5010" i="9"/>
  <c r="F5010" i="9"/>
  <c r="H5010" i="9"/>
  <c r="G4962" i="9"/>
  <c r="F4962" i="9"/>
  <c r="H4962" i="9"/>
  <c r="G4914" i="9"/>
  <c r="F4914" i="9"/>
  <c r="H4914" i="9"/>
  <c r="G4866" i="9"/>
  <c r="F4866" i="9"/>
  <c r="H4866" i="9"/>
  <c r="G4818" i="9"/>
  <c r="F4818" i="9"/>
  <c r="H4818" i="9"/>
  <c r="K4797" i="9"/>
  <c r="J4797" i="9"/>
  <c r="I4797" i="9"/>
  <c r="H4770" i="9"/>
  <c r="G4770" i="9"/>
  <c r="F4770" i="9"/>
  <c r="H4749" i="9"/>
  <c r="G4749" i="9"/>
  <c r="F4749" i="9"/>
  <c r="K6586" i="9"/>
  <c r="J6586" i="9"/>
  <c r="I6586" i="9"/>
  <c r="H6550" i="9"/>
  <c r="G6550" i="9"/>
  <c r="F6550" i="9"/>
  <c r="K6514" i="9"/>
  <c r="J6514" i="9"/>
  <c r="I6514" i="9"/>
  <c r="H6406" i="9"/>
  <c r="G6406" i="9"/>
  <c r="F6406" i="9"/>
  <c r="K6334" i="9"/>
  <c r="J6334" i="9"/>
  <c r="I6334" i="9"/>
  <c r="K6310" i="9"/>
  <c r="J6310" i="9"/>
  <c r="I6310" i="9"/>
  <c r="F6292" i="9"/>
  <c r="H6292" i="9"/>
  <c r="G6292" i="9"/>
  <c r="K6274" i="9"/>
  <c r="J6274" i="9"/>
  <c r="I6274" i="9"/>
  <c r="H6238" i="9"/>
  <c r="G6238" i="9"/>
  <c r="F6238" i="9"/>
  <c r="H6202" i="9"/>
  <c r="G6202" i="9"/>
  <c r="F6202" i="9"/>
  <c r="H6166" i="9"/>
  <c r="G6166" i="9"/>
  <c r="F6166" i="9"/>
  <c r="H6112" i="9"/>
  <c r="G6112" i="9"/>
  <c r="F6112" i="9"/>
  <c r="H6076" i="9"/>
  <c r="G6076" i="9"/>
  <c r="F6076" i="9"/>
  <c r="H6040" i="9"/>
  <c r="G6040" i="9"/>
  <c r="F6040" i="9"/>
  <c r="F6004" i="9"/>
  <c r="H6004" i="9"/>
  <c r="G6004" i="9"/>
  <c r="K5986" i="9"/>
  <c r="J5986" i="9"/>
  <c r="I5986" i="9"/>
  <c r="F5968" i="9"/>
  <c r="H5968" i="9"/>
  <c r="G5968" i="9"/>
  <c r="K5950" i="9"/>
  <c r="J5950" i="9"/>
  <c r="I5950" i="9"/>
  <c r="F5932" i="9"/>
  <c r="H5932" i="9"/>
  <c r="G5932" i="9"/>
  <c r="K5914" i="9"/>
  <c r="J5914" i="9"/>
  <c r="I5914" i="9"/>
  <c r="F5896" i="9"/>
  <c r="H5896" i="9"/>
  <c r="G5896" i="9"/>
  <c r="H5878" i="9"/>
  <c r="G5878" i="9"/>
  <c r="F5878" i="9"/>
  <c r="H5860" i="9"/>
  <c r="G5860" i="9"/>
  <c r="F5860" i="9"/>
  <c r="H5842" i="9"/>
  <c r="F5842" i="9"/>
  <c r="G5842" i="9"/>
  <c r="H5824" i="9"/>
  <c r="G5824" i="9"/>
  <c r="F5824" i="9"/>
  <c r="H5806" i="9"/>
  <c r="G5806" i="9"/>
  <c r="F5806" i="9"/>
  <c r="H5788" i="9"/>
  <c r="G5788" i="9"/>
  <c r="F5788" i="9"/>
  <c r="H5770" i="9"/>
  <c r="G5770" i="9"/>
  <c r="F5770" i="9"/>
  <c r="H5734" i="9"/>
  <c r="G5734" i="9"/>
  <c r="F5734" i="9"/>
  <c r="H5698" i="9"/>
  <c r="G5698" i="9"/>
  <c r="F5698" i="9"/>
  <c r="F5607" i="9"/>
  <c r="H5607" i="9"/>
  <c r="G5607" i="9"/>
  <c r="F5559" i="9"/>
  <c r="H5559" i="9"/>
  <c r="G5559" i="9"/>
  <c r="H5271" i="9"/>
  <c r="G5271" i="9"/>
  <c r="F5271" i="9"/>
  <c r="H5223" i="9"/>
  <c r="G5223" i="9"/>
  <c r="F5223" i="9"/>
  <c r="H5175" i="9"/>
  <c r="G5175" i="9"/>
  <c r="F5175" i="9"/>
  <c r="H5127" i="9"/>
  <c r="G5127" i="9"/>
  <c r="F5127" i="9"/>
  <c r="H4791" i="9"/>
  <c r="G4791" i="9"/>
  <c r="F4791" i="9"/>
  <c r="H4695" i="9"/>
  <c r="G4695" i="9"/>
  <c r="F4695" i="9"/>
  <c r="H4647" i="9"/>
  <c r="G4647" i="9"/>
  <c r="F4647" i="9"/>
  <c r="H4599" i="9"/>
  <c r="G4599" i="9"/>
  <c r="F4599" i="9"/>
  <c r="H4551" i="9"/>
  <c r="G4551" i="9"/>
  <c r="F4551" i="9"/>
  <c r="H4503" i="9"/>
  <c r="G4503" i="9"/>
  <c r="F4503" i="9"/>
  <c r="H4455" i="9"/>
  <c r="G4455" i="9"/>
  <c r="F4455" i="9"/>
  <c r="F4407" i="9"/>
  <c r="H4407" i="9"/>
  <c r="G4407" i="9"/>
  <c r="F4359" i="9"/>
  <c r="H4359" i="9"/>
  <c r="G4359" i="9"/>
  <c r="F4311" i="9"/>
  <c r="H4311" i="9"/>
  <c r="G4311" i="9"/>
  <c r="F4263" i="9"/>
  <c r="H4263" i="9"/>
  <c r="G4263" i="9"/>
  <c r="F4215" i="9"/>
  <c r="H4215" i="9"/>
  <c r="G4215" i="9"/>
  <c r="H4174" i="9"/>
  <c r="G4174" i="9"/>
  <c r="F4174" i="9"/>
  <c r="H5644" i="9"/>
  <c r="G5644" i="9"/>
  <c r="F5644" i="9"/>
  <c r="G5596" i="9"/>
  <c r="F5596" i="9"/>
  <c r="H5596" i="9"/>
  <c r="H5548" i="9"/>
  <c r="G5548" i="9"/>
  <c r="F5548" i="9"/>
  <c r="K5500" i="9"/>
  <c r="I5500" i="9"/>
  <c r="J5500" i="9"/>
  <c r="K5452" i="9"/>
  <c r="J5452" i="9"/>
  <c r="I5452" i="9"/>
  <c r="H5068" i="9"/>
  <c r="G5068" i="9"/>
  <c r="F5068" i="9"/>
  <c r="H5020" i="9"/>
  <c r="G5020" i="9"/>
  <c r="F5020" i="9"/>
  <c r="H4972" i="9"/>
  <c r="G4972" i="9"/>
  <c r="F4972" i="9"/>
  <c r="H4924" i="9"/>
  <c r="G4924" i="9"/>
  <c r="F4924" i="9"/>
  <c r="H4876" i="9"/>
  <c r="G4876" i="9"/>
  <c r="F4876" i="9"/>
  <c r="G4780" i="9"/>
  <c r="F4780" i="9"/>
  <c r="H4780" i="9"/>
  <c r="K6513" i="9"/>
  <c r="J6513" i="9"/>
  <c r="I6513" i="9"/>
  <c r="G6477" i="9"/>
  <c r="F6477" i="9"/>
  <c r="H6477" i="9"/>
  <c r="F6441" i="9"/>
  <c r="H6441" i="9"/>
  <c r="G6441" i="9"/>
  <c r="H6405" i="9"/>
  <c r="G6405" i="9"/>
  <c r="F6405" i="9"/>
  <c r="K6369" i="9"/>
  <c r="J6369" i="9"/>
  <c r="I6369" i="9"/>
  <c r="G6327" i="9"/>
  <c r="F6327" i="9"/>
  <c r="H6327" i="9"/>
  <c r="G6291" i="9"/>
  <c r="F6291" i="9"/>
  <c r="H6291" i="9"/>
  <c r="K6273" i="9"/>
  <c r="J6273" i="9"/>
  <c r="I6273" i="9"/>
  <c r="G6255" i="9"/>
  <c r="F6255" i="9"/>
  <c r="H6255" i="9"/>
  <c r="H6237" i="9"/>
  <c r="G6237" i="9"/>
  <c r="F6237" i="9"/>
  <c r="G6219" i="9"/>
  <c r="F6219" i="9"/>
  <c r="H6219" i="9"/>
  <c r="H6201" i="9"/>
  <c r="G6201" i="9"/>
  <c r="F6201" i="9"/>
  <c r="G6183" i="9"/>
  <c r="F6183" i="9"/>
  <c r="H6183" i="9"/>
  <c r="H6165" i="9"/>
  <c r="G6165" i="9"/>
  <c r="F6165" i="9"/>
  <c r="G6147" i="9"/>
  <c r="F6147" i="9"/>
  <c r="H6147" i="9"/>
  <c r="G6129" i="9"/>
  <c r="F6129" i="9"/>
  <c r="H6129" i="9"/>
  <c r="H6111" i="9"/>
  <c r="G6111" i="9"/>
  <c r="F6111" i="9"/>
  <c r="G6093" i="9"/>
  <c r="F6093" i="9"/>
  <c r="H6093" i="9"/>
  <c r="H6075" i="9"/>
  <c r="F6075" i="9"/>
  <c r="G6075" i="9"/>
  <c r="G6057" i="9"/>
  <c r="F6057" i="9"/>
  <c r="H6057" i="9"/>
  <c r="H6039" i="9"/>
  <c r="F6039" i="9"/>
  <c r="G6039" i="9"/>
  <c r="G6021" i="9"/>
  <c r="F6021" i="9"/>
  <c r="H6021" i="9"/>
  <c r="G6003" i="9"/>
  <c r="F6003" i="9"/>
  <c r="H6003" i="9"/>
  <c r="G5967" i="9"/>
  <c r="F5967" i="9"/>
  <c r="H5967" i="9"/>
  <c r="G5931" i="9"/>
  <c r="F5931" i="9"/>
  <c r="H5931" i="9"/>
  <c r="G5895" i="9"/>
  <c r="F5895" i="9"/>
  <c r="H5895" i="9"/>
  <c r="H5859" i="9"/>
  <c r="G5859" i="9"/>
  <c r="F5859" i="9"/>
  <c r="H5823" i="9"/>
  <c r="G5823" i="9"/>
  <c r="F5823" i="9"/>
  <c r="H5787" i="9"/>
  <c r="G5787" i="9"/>
  <c r="F5787" i="9"/>
  <c r="H5733" i="9"/>
  <c r="G5733" i="9"/>
  <c r="F5733" i="9"/>
  <c r="H5697" i="9"/>
  <c r="G5697" i="9"/>
  <c r="F5697" i="9"/>
  <c r="K5601" i="9"/>
  <c r="J5601" i="9"/>
  <c r="I5601" i="9"/>
  <c r="J5457" i="9"/>
  <c r="I5457" i="9"/>
  <c r="K5457" i="9"/>
  <c r="K5430" i="9"/>
  <c r="J5430" i="9"/>
  <c r="I5430" i="9"/>
  <c r="H5409" i="9"/>
  <c r="G5409" i="9"/>
  <c r="F5409" i="9"/>
  <c r="K5382" i="9"/>
  <c r="J5382" i="9"/>
  <c r="I5382" i="9"/>
  <c r="H5361" i="9"/>
  <c r="F5361" i="9"/>
  <c r="G5361" i="9"/>
  <c r="H5286" i="9"/>
  <c r="G5286" i="9"/>
  <c r="F5286" i="9"/>
  <c r="F5265" i="9"/>
  <c r="H5265" i="9"/>
  <c r="G5265" i="9"/>
  <c r="H5238" i="9"/>
  <c r="G5238" i="9"/>
  <c r="F5238" i="9"/>
  <c r="F5217" i="9"/>
  <c r="H5217" i="9"/>
  <c r="G5217" i="9"/>
  <c r="F5643" i="9"/>
  <c r="H5643" i="9"/>
  <c r="G5643" i="9"/>
  <c r="F5595" i="9"/>
  <c r="G5595" i="9"/>
  <c r="H5595" i="9"/>
  <c r="F5547" i="9"/>
  <c r="G5547" i="9"/>
  <c r="H5547" i="9"/>
  <c r="H5259" i="9"/>
  <c r="G5259" i="9"/>
  <c r="F5259" i="9"/>
  <c r="H5211" i="9"/>
  <c r="G5211" i="9"/>
  <c r="F5211" i="9"/>
  <c r="H5163" i="9"/>
  <c r="G5163" i="9"/>
  <c r="F5163" i="9"/>
  <c r="H5115" i="9"/>
  <c r="G5115" i="9"/>
  <c r="F5115" i="9"/>
  <c r="H4779" i="9"/>
  <c r="G4779" i="9"/>
  <c r="F4779" i="9"/>
  <c r="H4683" i="9"/>
  <c r="G4683" i="9"/>
  <c r="F4683" i="9"/>
  <c r="H4635" i="9"/>
  <c r="G4635" i="9"/>
  <c r="F4635" i="9"/>
  <c r="H4587" i="9"/>
  <c r="G4587" i="9"/>
  <c r="F4587" i="9"/>
  <c r="H4539" i="9"/>
  <c r="G4539" i="9"/>
  <c r="F4539" i="9"/>
  <c r="H4491" i="9"/>
  <c r="G4491" i="9"/>
  <c r="F4491" i="9"/>
  <c r="H4443" i="9"/>
  <c r="G4443" i="9"/>
  <c r="F4443" i="9"/>
  <c r="F4395" i="9"/>
  <c r="H4395" i="9"/>
  <c r="G4395" i="9"/>
  <c r="F4347" i="9"/>
  <c r="H4347" i="9"/>
  <c r="G4347" i="9"/>
  <c r="F4299" i="9"/>
  <c r="H4299" i="9"/>
  <c r="G4299" i="9"/>
  <c r="F4251" i="9"/>
  <c r="H4251" i="9"/>
  <c r="G4251" i="9"/>
  <c r="F4203" i="9"/>
  <c r="H4203" i="9"/>
  <c r="G4203" i="9"/>
  <c r="H4149" i="9"/>
  <c r="G4149" i="9"/>
  <c r="F4149" i="9"/>
  <c r="H4077" i="9"/>
  <c r="G4077" i="9"/>
  <c r="F4077" i="9"/>
  <c r="H4005" i="9"/>
  <c r="G4005" i="9"/>
  <c r="F4005" i="9"/>
  <c r="H3933" i="9"/>
  <c r="G3933" i="9"/>
  <c r="F3933" i="9"/>
  <c r="G3904" i="9"/>
  <c r="F3904" i="9"/>
  <c r="H3904" i="9"/>
  <c r="H3861" i="9"/>
  <c r="G3861" i="9"/>
  <c r="F3861" i="9"/>
  <c r="H6578" i="9"/>
  <c r="G6578" i="9"/>
  <c r="F6578" i="9"/>
  <c r="H6542" i="9"/>
  <c r="G6542" i="9"/>
  <c r="F6542" i="9"/>
  <c r="H6506" i="9"/>
  <c r="G6506" i="9"/>
  <c r="F6506" i="9"/>
  <c r="K6470" i="9"/>
  <c r="J6470" i="9"/>
  <c r="I6470" i="9"/>
  <c r="K6434" i="9"/>
  <c r="J6434" i="9"/>
  <c r="I6434" i="9"/>
  <c r="F6398" i="9"/>
  <c r="H6398" i="9"/>
  <c r="G6398" i="9"/>
  <c r="F6362" i="9"/>
  <c r="H6362" i="9"/>
  <c r="G6362" i="9"/>
  <c r="H6326" i="9"/>
  <c r="G6326" i="9"/>
  <c r="F6326" i="9"/>
  <c r="H6308" i="9"/>
  <c r="G6308" i="9"/>
  <c r="F6308" i="9"/>
  <c r="H6290" i="9"/>
  <c r="G6290" i="9"/>
  <c r="F6290" i="9"/>
  <c r="K6272" i="9"/>
  <c r="J6272" i="9"/>
  <c r="I6272" i="9"/>
  <c r="F6254" i="9"/>
  <c r="H6254" i="9"/>
  <c r="G6254" i="9"/>
  <c r="K6236" i="9"/>
  <c r="J6236" i="9"/>
  <c r="I6236" i="9"/>
  <c r="F6218" i="9"/>
  <c r="H6218" i="9"/>
  <c r="G6218" i="9"/>
  <c r="K6200" i="9"/>
  <c r="J6200" i="9"/>
  <c r="I6200" i="9"/>
  <c r="F6182" i="9"/>
  <c r="H6182" i="9"/>
  <c r="G6182" i="9"/>
  <c r="K6164" i="9"/>
  <c r="J6164" i="9"/>
  <c r="I6164" i="9"/>
  <c r="F6146" i="9"/>
  <c r="H6146" i="9"/>
  <c r="G6146" i="9"/>
  <c r="F6128" i="9"/>
  <c r="H6128" i="9"/>
  <c r="G6128" i="9"/>
  <c r="K6110" i="9"/>
  <c r="J6110" i="9"/>
  <c r="I6110" i="9"/>
  <c r="F6092" i="9"/>
  <c r="H6092" i="9"/>
  <c r="G6092" i="9"/>
  <c r="K6074" i="9"/>
  <c r="J6074" i="9"/>
  <c r="I6074" i="9"/>
  <c r="F6056" i="9"/>
  <c r="H6056" i="9"/>
  <c r="G6056" i="9"/>
  <c r="K6038" i="9"/>
  <c r="J6038" i="9"/>
  <c r="I6038" i="9"/>
  <c r="F6020" i="9"/>
  <c r="H6020" i="9"/>
  <c r="G6020" i="9"/>
  <c r="H6002" i="9"/>
  <c r="G6002" i="9"/>
  <c r="F6002" i="9"/>
  <c r="H5984" i="9"/>
  <c r="G5984" i="9"/>
  <c r="F5984" i="9"/>
  <c r="H5966" i="9"/>
  <c r="G5966" i="9"/>
  <c r="F5966" i="9"/>
  <c r="H5948" i="9"/>
  <c r="F5948" i="9"/>
  <c r="G5948" i="9"/>
  <c r="H5930" i="9"/>
  <c r="G5930" i="9"/>
  <c r="F5930" i="9"/>
  <c r="H5912" i="9"/>
  <c r="G5912" i="9"/>
  <c r="F5912" i="9"/>
  <c r="H5894" i="9"/>
  <c r="G5894" i="9"/>
  <c r="F5894" i="9"/>
  <c r="H5858" i="9"/>
  <c r="G5858" i="9"/>
  <c r="F5858" i="9"/>
  <c r="H5822" i="9"/>
  <c r="G5822" i="9"/>
  <c r="F5822" i="9"/>
  <c r="H5786" i="9"/>
  <c r="G5786" i="9"/>
  <c r="F5786" i="9"/>
  <c r="G5750" i="9"/>
  <c r="H5750" i="9"/>
  <c r="F5750" i="9"/>
  <c r="G5714" i="9"/>
  <c r="H5714" i="9"/>
  <c r="F5714" i="9"/>
  <c r="K5600" i="9"/>
  <c r="J5600" i="9"/>
  <c r="I5600" i="9"/>
  <c r="G5552" i="9"/>
  <c r="H5552" i="9"/>
  <c r="F5552" i="9"/>
  <c r="G5504" i="9"/>
  <c r="H5504" i="9"/>
  <c r="F5504" i="9"/>
  <c r="H5408" i="9"/>
  <c r="G5408" i="9"/>
  <c r="F5408" i="9"/>
  <c r="G5360" i="9"/>
  <c r="F5360" i="9"/>
  <c r="H5360" i="9"/>
  <c r="H5312" i="9"/>
  <c r="G5312" i="9"/>
  <c r="F5312" i="9"/>
  <c r="G5264" i="9"/>
  <c r="F5264" i="9"/>
  <c r="H5264" i="9"/>
  <c r="G5216" i="9"/>
  <c r="F5216" i="9"/>
  <c r="H5216" i="9"/>
  <c r="G5168" i="9"/>
  <c r="F5168" i="9"/>
  <c r="H5168" i="9"/>
  <c r="G5120" i="9"/>
  <c r="F5120" i="9"/>
  <c r="H5120" i="9"/>
  <c r="H5072" i="9"/>
  <c r="G5072" i="9"/>
  <c r="F5072" i="9"/>
  <c r="H5024" i="9"/>
  <c r="G5024" i="9"/>
  <c r="F5024" i="9"/>
  <c r="H4976" i="9"/>
  <c r="G4976" i="9"/>
  <c r="F4976" i="9"/>
  <c r="H4928" i="9"/>
  <c r="G4928" i="9"/>
  <c r="F4928" i="9"/>
  <c r="H4880" i="9"/>
  <c r="G4880" i="9"/>
  <c r="F4880" i="9"/>
  <c r="H4832" i="9"/>
  <c r="G4832" i="9"/>
  <c r="F4832" i="9"/>
  <c r="K4400" i="9"/>
  <c r="J4400" i="9"/>
  <c r="I4400" i="9"/>
  <c r="K4352" i="9"/>
  <c r="J4352" i="9"/>
  <c r="I4352" i="9"/>
  <c r="K4304" i="9"/>
  <c r="J4304" i="9"/>
  <c r="I4304" i="9"/>
  <c r="K4256" i="9"/>
  <c r="J4256" i="9"/>
  <c r="I4256" i="9"/>
  <c r="K4208" i="9"/>
  <c r="J4208" i="9"/>
  <c r="I4208" i="9"/>
  <c r="K4182" i="9"/>
  <c r="J4182" i="9"/>
  <c r="I4182" i="9"/>
  <c r="H4139" i="9"/>
  <c r="G4139" i="9"/>
  <c r="F4139" i="9"/>
  <c r="K4110" i="9"/>
  <c r="J4110" i="9"/>
  <c r="I4110" i="9"/>
  <c r="H4067" i="9"/>
  <c r="G4067" i="9"/>
  <c r="F4067" i="9"/>
  <c r="K4038" i="9"/>
  <c r="J4038" i="9"/>
  <c r="I4038" i="9"/>
  <c r="H3995" i="9"/>
  <c r="G3995" i="9"/>
  <c r="F3995" i="9"/>
  <c r="K3966" i="9"/>
  <c r="J3966" i="9"/>
  <c r="I3966" i="9"/>
  <c r="H3923" i="9"/>
  <c r="G3923" i="9"/>
  <c r="F3923" i="9"/>
  <c r="G3894" i="9"/>
  <c r="F3894" i="9"/>
  <c r="H3894" i="9"/>
  <c r="F5121" i="9"/>
  <c r="H5121" i="9"/>
  <c r="G5121" i="9"/>
  <c r="F4690" i="9"/>
  <c r="H4690" i="9"/>
  <c r="G4690" i="9"/>
  <c r="F4498" i="9"/>
  <c r="H4498" i="9"/>
  <c r="G4498" i="9"/>
  <c r="H4417" i="9"/>
  <c r="G4417" i="9"/>
  <c r="F4417" i="9"/>
  <c r="H4306" i="9"/>
  <c r="G4306" i="9"/>
  <c r="F4306" i="9"/>
  <c r="H4058" i="9"/>
  <c r="G4058" i="9"/>
  <c r="F4058" i="9"/>
  <c r="H3974" i="9"/>
  <c r="G3974" i="9"/>
  <c r="F3974" i="9"/>
  <c r="F3937" i="9"/>
  <c r="H3937" i="9"/>
  <c r="G3937" i="9"/>
  <c r="H3865" i="9"/>
  <c r="G3865" i="9"/>
  <c r="F3865" i="9"/>
  <c r="G3820" i="9"/>
  <c r="F3820" i="9"/>
  <c r="H3820" i="9"/>
  <c r="H3780" i="9"/>
  <c r="G3780" i="9"/>
  <c r="F3780" i="9"/>
  <c r="G3724" i="9"/>
  <c r="F3724" i="9"/>
  <c r="H3724" i="9"/>
  <c r="G3700" i="9"/>
  <c r="F3700" i="9"/>
  <c r="H3700" i="9"/>
  <c r="G3676" i="9"/>
  <c r="F3676" i="9"/>
  <c r="H3676" i="9"/>
  <c r="G3652" i="9"/>
  <c r="F3652" i="9"/>
  <c r="H3652" i="9"/>
  <c r="K3604" i="9"/>
  <c r="J3604" i="9"/>
  <c r="I3604" i="9"/>
  <c r="K3580" i="9"/>
  <c r="J3580" i="9"/>
  <c r="I3580" i="9"/>
  <c r="K3556" i="9"/>
  <c r="J3556" i="9"/>
  <c r="I3556" i="9"/>
  <c r="K3532" i="9"/>
  <c r="J3532" i="9"/>
  <c r="I3532" i="9"/>
  <c r="K3508" i="9"/>
  <c r="J3508" i="9"/>
  <c r="I3508" i="9"/>
  <c r="K3484" i="9"/>
  <c r="J3484" i="9"/>
  <c r="I3484" i="9"/>
  <c r="K3460" i="9"/>
  <c r="J3460" i="9"/>
  <c r="I3460" i="9"/>
  <c r="K3436" i="9"/>
  <c r="J3436" i="9"/>
  <c r="I3436" i="9"/>
  <c r="K3412" i="9"/>
  <c r="J3412" i="9"/>
  <c r="I3412" i="9"/>
  <c r="K3388" i="9"/>
  <c r="J3388" i="9"/>
  <c r="I3388" i="9"/>
  <c r="K3364" i="9"/>
  <c r="J3364" i="9"/>
  <c r="I3364" i="9"/>
  <c r="G3340" i="9"/>
  <c r="F3340" i="9"/>
  <c r="H3340" i="9"/>
  <c r="G3316" i="9"/>
  <c r="F3316" i="9"/>
  <c r="H3316" i="9"/>
  <c r="G3292" i="9"/>
  <c r="F3292" i="9"/>
  <c r="H3292" i="9"/>
  <c r="G3268" i="9"/>
  <c r="F3268" i="9"/>
  <c r="H3268" i="9"/>
  <c r="G3244" i="9"/>
  <c r="F3244" i="9"/>
  <c r="H3244" i="9"/>
  <c r="G3220" i="9"/>
  <c r="F3220" i="9"/>
  <c r="H3220" i="9"/>
  <c r="G3196" i="9"/>
  <c r="F3196" i="9"/>
  <c r="H3196" i="9"/>
  <c r="G3172" i="9"/>
  <c r="F3172" i="9"/>
  <c r="H3172" i="9"/>
  <c r="G3148" i="9"/>
  <c r="F3148" i="9"/>
  <c r="H3148" i="9"/>
  <c r="G3124" i="9"/>
  <c r="F3124" i="9"/>
  <c r="H3124" i="9"/>
  <c r="G3100" i="9"/>
  <c r="F3100" i="9"/>
  <c r="H3100" i="9"/>
  <c r="G3076" i="9"/>
  <c r="F3076" i="9"/>
  <c r="H3076" i="9"/>
  <c r="G3052" i="9"/>
  <c r="F3052" i="9"/>
  <c r="H3052" i="9"/>
  <c r="K2764" i="9"/>
  <c r="J2764" i="9"/>
  <c r="I2764" i="9"/>
  <c r="K2740" i="9"/>
  <c r="J2740" i="9"/>
  <c r="I2740" i="9"/>
  <c r="K2716" i="9"/>
  <c r="J2716" i="9"/>
  <c r="I2716" i="9"/>
  <c r="K2692" i="9"/>
  <c r="J2692" i="9"/>
  <c r="I2692" i="9"/>
  <c r="K2668" i="9"/>
  <c r="J2668" i="9"/>
  <c r="I2668" i="9"/>
  <c r="K2644" i="9"/>
  <c r="J2644" i="9"/>
  <c r="I2644" i="9"/>
  <c r="K2620" i="9"/>
  <c r="J2620" i="9"/>
  <c r="I2620" i="9"/>
  <c r="K2596" i="9"/>
  <c r="J2596" i="9"/>
  <c r="I2596" i="9"/>
  <c r="K2572" i="9"/>
  <c r="J2572" i="9"/>
  <c r="I2572" i="9"/>
  <c r="K2524" i="9"/>
  <c r="J2524" i="9"/>
  <c r="I2524" i="9"/>
  <c r="K2500" i="9"/>
  <c r="J2500" i="9"/>
  <c r="I2500" i="9"/>
  <c r="H2452" i="9"/>
  <c r="G2452" i="9"/>
  <c r="F2452" i="9"/>
  <c r="H2428" i="9"/>
  <c r="G2428" i="9"/>
  <c r="F2428" i="9"/>
  <c r="H2404" i="9"/>
  <c r="G2404" i="9"/>
  <c r="F2404" i="9"/>
  <c r="H2380" i="9"/>
  <c r="G2380" i="9"/>
  <c r="F2380" i="9"/>
  <c r="H2356" i="9"/>
  <c r="G2356" i="9"/>
  <c r="F2356" i="9"/>
  <c r="I2332" i="9"/>
  <c r="K2332" i="9"/>
  <c r="J2332" i="9"/>
  <c r="H2308" i="9"/>
  <c r="G2308" i="9"/>
  <c r="F2308" i="9"/>
  <c r="H2284" i="9"/>
  <c r="G2284" i="9"/>
  <c r="F2284" i="9"/>
  <c r="H2260" i="9"/>
  <c r="G2260" i="9"/>
  <c r="F2260" i="9"/>
  <c r="H2236" i="9"/>
  <c r="G2236" i="9"/>
  <c r="F2236" i="9"/>
  <c r="H2212" i="9"/>
  <c r="G2212" i="9"/>
  <c r="F2212" i="9"/>
  <c r="H2188" i="9"/>
  <c r="G2188" i="9"/>
  <c r="F2188" i="9"/>
  <c r="H2164" i="9"/>
  <c r="G2164" i="9"/>
  <c r="F2164" i="9"/>
  <c r="H2140" i="9"/>
  <c r="G2140" i="9"/>
  <c r="F2140" i="9"/>
  <c r="H2116" i="9"/>
  <c r="G2116" i="9"/>
  <c r="F2116" i="9"/>
  <c r="H2092" i="9"/>
  <c r="G2092" i="9"/>
  <c r="F2092" i="9"/>
  <c r="H2068" i="9"/>
  <c r="G2068" i="9"/>
  <c r="F2068" i="9"/>
  <c r="H2044" i="9"/>
  <c r="G2044" i="9"/>
  <c r="F2044" i="9"/>
  <c r="K2017" i="9"/>
  <c r="J2017" i="9"/>
  <c r="I2017" i="9"/>
  <c r="H1947" i="9"/>
  <c r="F1947" i="9"/>
  <c r="G1947" i="9"/>
  <c r="H1912" i="9"/>
  <c r="G1912" i="9"/>
  <c r="F1912" i="9"/>
  <c r="K1873" i="9"/>
  <c r="J1873" i="9"/>
  <c r="I1873" i="9"/>
  <c r="H1803" i="9"/>
  <c r="F1803" i="9"/>
  <c r="G1803" i="9"/>
  <c r="K1768" i="9"/>
  <c r="J1768" i="9"/>
  <c r="I1768" i="9"/>
  <c r="H1694" i="9"/>
  <c r="G1694" i="9"/>
  <c r="F1694" i="9"/>
  <c r="K1624" i="9"/>
  <c r="J1624" i="9"/>
  <c r="I1624" i="9"/>
  <c r="H1550" i="9"/>
  <c r="G1550" i="9"/>
  <c r="F1550" i="9"/>
  <c r="H1332" i="9"/>
  <c r="G1332" i="9"/>
  <c r="F1332" i="9"/>
  <c r="F1316" i="9"/>
  <c r="H1316" i="9"/>
  <c r="G1316" i="9"/>
  <c r="H1300" i="9"/>
  <c r="G1300" i="9"/>
  <c r="F1300" i="9"/>
  <c r="H1276" i="9"/>
  <c r="G1276" i="9"/>
  <c r="F1276" i="9"/>
  <c r="H1252" i="9"/>
  <c r="G1252" i="9"/>
  <c r="F1252" i="9"/>
  <c r="H1224" i="9"/>
  <c r="G1224" i="9"/>
  <c r="F1224" i="9"/>
  <c r="H1204" i="9"/>
  <c r="G1204" i="9"/>
  <c r="F1204" i="9"/>
  <c r="H1188" i="9"/>
  <c r="G1188" i="9"/>
  <c r="F1188" i="9"/>
  <c r="F1172" i="9"/>
  <c r="H1172" i="9"/>
  <c r="G1172" i="9"/>
  <c r="H1152" i="9"/>
  <c r="G1152" i="9"/>
  <c r="F1152" i="9"/>
  <c r="F1136" i="9"/>
  <c r="H1136" i="9"/>
  <c r="G1136" i="9"/>
  <c r="H1116" i="9"/>
  <c r="G1116" i="9"/>
  <c r="F1116" i="9"/>
  <c r="F1100" i="9"/>
  <c r="H1100" i="9"/>
  <c r="G1100" i="9"/>
  <c r="F1076" i="9"/>
  <c r="H1076" i="9"/>
  <c r="G1076" i="9"/>
  <c r="H1048" i="9"/>
  <c r="G1048" i="9"/>
  <c r="F1048" i="9"/>
  <c r="H1024" i="9"/>
  <c r="G1024" i="9"/>
  <c r="F1024" i="9"/>
  <c r="F1004" i="9"/>
  <c r="H1004" i="9"/>
  <c r="G1004" i="9"/>
  <c r="H984" i="9"/>
  <c r="G984" i="9"/>
  <c r="F984" i="9"/>
  <c r="F956" i="9"/>
  <c r="H956" i="9"/>
  <c r="G956" i="9"/>
  <c r="F932" i="9"/>
  <c r="H932" i="9"/>
  <c r="G932" i="9"/>
  <c r="F896" i="9"/>
  <c r="H896" i="9"/>
  <c r="G896" i="9"/>
  <c r="H876" i="9"/>
  <c r="G876" i="9"/>
  <c r="F876" i="9"/>
  <c r="H856" i="9"/>
  <c r="G856" i="9"/>
  <c r="F856" i="9"/>
  <c r="G836" i="9"/>
  <c r="F836" i="9"/>
  <c r="H836" i="9"/>
  <c r="G824" i="9"/>
  <c r="F824" i="9"/>
  <c r="H824" i="9"/>
  <c r="G800" i="9"/>
  <c r="F800" i="9"/>
  <c r="H800" i="9"/>
  <c r="H772" i="9"/>
  <c r="G772" i="9"/>
  <c r="F772" i="9"/>
  <c r="H748" i="9"/>
  <c r="G748" i="9"/>
  <c r="F748" i="9"/>
  <c r="G728" i="9"/>
  <c r="F728" i="9"/>
  <c r="H728" i="9"/>
  <c r="G704" i="9"/>
  <c r="F704" i="9"/>
  <c r="H704" i="9"/>
  <c r="G632" i="9"/>
  <c r="F632" i="9"/>
  <c r="H632" i="9"/>
  <c r="G584" i="9"/>
  <c r="F584" i="9"/>
  <c r="H584" i="9"/>
  <c r="H568" i="9"/>
  <c r="G568" i="9"/>
  <c r="F568" i="9"/>
  <c r="H544" i="9"/>
  <c r="G544" i="9"/>
  <c r="F544" i="9"/>
  <c r="H520" i="9"/>
  <c r="G520" i="9"/>
  <c r="F520" i="9"/>
  <c r="G488" i="9"/>
  <c r="F488" i="9"/>
  <c r="H488" i="9"/>
  <c r="G404" i="9"/>
  <c r="F404" i="9"/>
  <c r="H404" i="9"/>
  <c r="H388" i="9"/>
  <c r="G388" i="9"/>
  <c r="F388" i="9"/>
  <c r="G368" i="9"/>
  <c r="F368" i="9"/>
  <c r="H368" i="9"/>
  <c r="H340" i="9"/>
  <c r="G340" i="9"/>
  <c r="F340" i="9"/>
  <c r="G320" i="9"/>
  <c r="F320" i="9"/>
  <c r="H320" i="9"/>
  <c r="G308" i="9"/>
  <c r="F308" i="9"/>
  <c r="H308" i="9"/>
  <c r="H232" i="9"/>
  <c r="G232" i="9"/>
  <c r="F232" i="9"/>
  <c r="H148" i="9"/>
  <c r="G148" i="9"/>
  <c r="F148" i="9"/>
  <c r="G128" i="9"/>
  <c r="F128" i="9"/>
  <c r="H128" i="9"/>
  <c r="H88" i="9"/>
  <c r="G88" i="9"/>
  <c r="F88" i="9"/>
  <c r="H76" i="9"/>
  <c r="G76" i="9"/>
  <c r="F76" i="9"/>
  <c r="H64" i="9"/>
  <c r="G64" i="9"/>
  <c r="F64" i="9"/>
  <c r="H52" i="9"/>
  <c r="G52" i="9"/>
  <c r="F52" i="9"/>
  <c r="H40" i="9"/>
  <c r="G40" i="9"/>
  <c r="F40" i="9"/>
  <c r="H28" i="9"/>
  <c r="G28" i="9"/>
  <c r="F28" i="9"/>
  <c r="H16" i="9"/>
  <c r="G16" i="9"/>
  <c r="F16" i="9"/>
  <c r="H4620" i="9"/>
  <c r="G4620" i="9"/>
  <c r="F4620" i="9"/>
  <c r="G4358" i="9"/>
  <c r="F4358" i="9"/>
  <c r="H4358" i="9"/>
  <c r="H4236" i="9"/>
  <c r="G4236" i="9"/>
  <c r="F4236" i="9"/>
  <c r="H4106" i="9"/>
  <c r="G4106" i="9"/>
  <c r="F4106" i="9"/>
  <c r="H4052" i="9"/>
  <c r="G4052" i="9"/>
  <c r="F4052" i="9"/>
  <c r="H3968" i="9"/>
  <c r="G3968" i="9"/>
  <c r="F3968" i="9"/>
  <c r="H3900" i="9"/>
  <c r="G3900" i="9"/>
  <c r="F3900" i="9"/>
  <c r="K3874" i="9"/>
  <c r="J3874" i="9"/>
  <c r="I3874" i="9"/>
  <c r="F3785" i="9"/>
  <c r="H3785" i="9"/>
  <c r="G3785" i="9"/>
  <c r="H3756" i="9"/>
  <c r="G3756" i="9"/>
  <c r="F3756" i="9"/>
  <c r="G3714" i="9"/>
  <c r="H3714" i="9"/>
  <c r="F3714" i="9"/>
  <c r="F3642" i="9"/>
  <c r="H3642" i="9"/>
  <c r="G3642" i="9"/>
  <c r="K3570" i="9"/>
  <c r="J3570" i="9"/>
  <c r="I3570" i="9"/>
  <c r="K3498" i="9"/>
  <c r="J3498" i="9"/>
  <c r="I3498" i="9"/>
  <c r="K3426" i="9"/>
  <c r="J3426" i="9"/>
  <c r="I3426" i="9"/>
  <c r="G3354" i="9"/>
  <c r="H3354" i="9"/>
  <c r="F3354" i="9"/>
  <c r="G3282" i="9"/>
  <c r="H3282" i="9"/>
  <c r="F3282" i="9"/>
  <c r="F3210" i="9"/>
  <c r="G3210" i="9"/>
  <c r="H3210" i="9"/>
  <c r="F3138" i="9"/>
  <c r="H3138" i="9"/>
  <c r="G3138" i="9"/>
  <c r="F3066" i="9"/>
  <c r="H3066" i="9"/>
  <c r="G3066" i="9"/>
  <c r="H2994" i="9"/>
  <c r="G2994" i="9"/>
  <c r="F2994" i="9"/>
  <c r="H2922" i="9"/>
  <c r="G2922" i="9"/>
  <c r="F2922" i="9"/>
  <c r="H2850" i="9"/>
  <c r="G2850" i="9"/>
  <c r="F2850" i="9"/>
  <c r="K2778" i="9"/>
  <c r="J2778" i="9"/>
  <c r="I2778" i="9"/>
  <c r="K2706" i="9"/>
  <c r="J2706" i="9"/>
  <c r="I2706" i="9"/>
  <c r="K2634" i="9"/>
  <c r="J2634" i="9"/>
  <c r="I2634" i="9"/>
  <c r="K2562" i="9"/>
  <c r="J2562" i="9"/>
  <c r="I2562" i="9"/>
  <c r="F2490" i="9"/>
  <c r="H2490" i="9"/>
  <c r="G2490" i="9"/>
  <c r="G2418" i="9"/>
  <c r="F2418" i="9"/>
  <c r="H2418" i="9"/>
  <c r="G2346" i="9"/>
  <c r="F2346" i="9"/>
  <c r="H2346" i="9"/>
  <c r="G2274" i="9"/>
  <c r="F2274" i="9"/>
  <c r="H2274" i="9"/>
  <c r="G2202" i="9"/>
  <c r="F2202" i="9"/>
  <c r="H2202" i="9"/>
  <c r="G2130" i="9"/>
  <c r="F2130" i="9"/>
  <c r="H2130" i="9"/>
  <c r="G2012" i="9"/>
  <c r="F2012" i="9"/>
  <c r="H2012" i="9"/>
  <c r="F1903" i="9"/>
  <c r="H1903" i="9"/>
  <c r="G1903" i="9"/>
  <c r="G1868" i="9"/>
  <c r="F1868" i="9"/>
  <c r="H1868" i="9"/>
  <c r="H1759" i="9"/>
  <c r="G1759" i="9"/>
  <c r="F1759" i="9"/>
  <c r="H1724" i="9"/>
  <c r="G1724" i="9"/>
  <c r="F1724" i="9"/>
  <c r="H1685" i="9"/>
  <c r="G1685" i="9"/>
  <c r="F1685" i="9"/>
  <c r="H1650" i="9"/>
  <c r="G1650" i="9"/>
  <c r="F1650" i="9"/>
  <c r="H1615" i="9"/>
  <c r="G1615" i="9"/>
  <c r="F1615" i="9"/>
  <c r="H1580" i="9"/>
  <c r="G1580" i="9"/>
  <c r="F1580" i="9"/>
  <c r="H1541" i="9"/>
  <c r="G1541" i="9"/>
  <c r="F1541" i="9"/>
  <c r="K1380" i="9"/>
  <c r="J1380" i="9"/>
  <c r="I1380" i="9"/>
  <c r="K1368" i="9"/>
  <c r="J1368" i="9"/>
  <c r="I1368" i="9"/>
  <c r="F1352" i="9"/>
  <c r="H1352" i="9"/>
  <c r="G1352" i="9"/>
  <c r="F1340" i="9"/>
  <c r="H1340" i="9"/>
  <c r="G1340" i="9"/>
  <c r="H1308" i="9"/>
  <c r="G1308" i="9"/>
  <c r="F1308" i="9"/>
  <c r="F1280" i="9"/>
  <c r="H1280" i="9"/>
  <c r="G1280" i="9"/>
  <c r="F1256" i="9"/>
  <c r="H1256" i="9"/>
  <c r="G1256" i="9"/>
  <c r="F1232" i="9"/>
  <c r="H1232" i="9"/>
  <c r="G1232" i="9"/>
  <c r="F1208" i="9"/>
  <c r="H1208" i="9"/>
  <c r="G1208" i="9"/>
  <c r="H1168" i="9"/>
  <c r="G1168" i="9"/>
  <c r="F1168" i="9"/>
  <c r="F1124" i="9"/>
  <c r="H1124" i="9"/>
  <c r="G1124" i="9"/>
  <c r="F1088" i="9"/>
  <c r="H1088" i="9"/>
  <c r="G1088" i="9"/>
  <c r="H1072" i="9"/>
  <c r="G1072" i="9"/>
  <c r="F1072" i="9"/>
  <c r="H1056" i="9"/>
  <c r="G1056" i="9"/>
  <c r="F1056" i="9"/>
  <c r="F1028" i="9"/>
  <c r="H1028" i="9"/>
  <c r="G1028" i="9"/>
  <c r="H1000" i="9"/>
  <c r="G1000" i="9"/>
  <c r="F1000" i="9"/>
  <c r="H972" i="9"/>
  <c r="G972" i="9"/>
  <c r="F972" i="9"/>
  <c r="H952" i="9"/>
  <c r="G952" i="9"/>
  <c r="F952" i="9"/>
  <c r="H928" i="9"/>
  <c r="G928" i="9"/>
  <c r="F928" i="9"/>
  <c r="H916" i="9"/>
  <c r="G916" i="9"/>
  <c r="F916" i="9"/>
  <c r="H888" i="9"/>
  <c r="G888" i="9"/>
  <c r="F888" i="9"/>
  <c r="H864" i="9"/>
  <c r="G864" i="9"/>
  <c r="F864" i="9"/>
  <c r="H820" i="9"/>
  <c r="G820" i="9"/>
  <c r="F820" i="9"/>
  <c r="H796" i="9"/>
  <c r="G796" i="9"/>
  <c r="F796" i="9"/>
  <c r="G776" i="9"/>
  <c r="F776" i="9"/>
  <c r="H776" i="9"/>
  <c r="G752" i="9"/>
  <c r="F752" i="9"/>
  <c r="H752" i="9"/>
  <c r="H724" i="9"/>
  <c r="G724" i="9"/>
  <c r="F724" i="9"/>
  <c r="H700" i="9"/>
  <c r="G700" i="9"/>
  <c r="F700" i="9"/>
  <c r="G680" i="9"/>
  <c r="F680" i="9"/>
  <c r="H680" i="9"/>
  <c r="H664" i="9"/>
  <c r="G664" i="9"/>
  <c r="F664" i="9"/>
  <c r="G524" i="9"/>
  <c r="F524" i="9"/>
  <c r="H524" i="9"/>
  <c r="H364" i="9"/>
  <c r="G364" i="9"/>
  <c r="F364" i="9"/>
  <c r="G344" i="9"/>
  <c r="F344" i="9"/>
  <c r="H344" i="9"/>
  <c r="H304" i="9"/>
  <c r="G304" i="9"/>
  <c r="F304" i="9"/>
  <c r="H280" i="9"/>
  <c r="G280" i="9"/>
  <c r="F280" i="9"/>
  <c r="G248" i="9"/>
  <c r="F248" i="9"/>
  <c r="H248" i="9"/>
  <c r="G236" i="9"/>
  <c r="F236" i="9"/>
  <c r="H236" i="9"/>
  <c r="H208" i="9"/>
  <c r="G208" i="9"/>
  <c r="F208" i="9"/>
  <c r="G152" i="9"/>
  <c r="F152" i="9"/>
  <c r="H152" i="9"/>
  <c r="H124" i="9"/>
  <c r="G124" i="9"/>
  <c r="F124" i="9"/>
  <c r="H4790" i="9"/>
  <c r="G4790" i="9"/>
  <c r="F4790" i="9"/>
  <c r="G4637" i="9"/>
  <c r="F4637" i="9"/>
  <c r="H4637" i="9"/>
  <c r="G4445" i="9"/>
  <c r="F4445" i="9"/>
  <c r="H4445" i="9"/>
  <c r="K4111" i="9"/>
  <c r="J4111" i="9"/>
  <c r="I4111" i="9"/>
  <c r="K4073" i="9"/>
  <c r="J4073" i="9"/>
  <c r="I4073" i="9"/>
  <c r="K4015" i="9"/>
  <c r="J4015" i="9"/>
  <c r="I4015" i="9"/>
  <c r="H3926" i="9"/>
  <c r="G3926" i="9"/>
  <c r="F3926" i="9"/>
  <c r="G3844" i="9"/>
  <c r="F3844" i="9"/>
  <c r="H3844" i="9"/>
  <c r="H3804" i="9"/>
  <c r="G3804" i="9"/>
  <c r="F3804" i="9"/>
  <c r="H3723" i="9"/>
  <c r="G3723" i="9"/>
  <c r="F3723" i="9"/>
  <c r="H3699" i="9"/>
  <c r="G3699" i="9"/>
  <c r="F3699" i="9"/>
  <c r="H3675" i="9"/>
  <c r="G3675" i="9"/>
  <c r="F3675" i="9"/>
  <c r="H3339" i="9"/>
  <c r="G3339" i="9"/>
  <c r="F3339" i="9"/>
  <c r="H3315" i="9"/>
  <c r="G3315" i="9"/>
  <c r="F3315" i="9"/>
  <c r="H3291" i="9"/>
  <c r="G3291" i="9"/>
  <c r="F3291" i="9"/>
  <c r="H3267" i="9"/>
  <c r="G3267" i="9"/>
  <c r="F3267" i="9"/>
  <c r="H3219" i="9"/>
  <c r="G3219" i="9"/>
  <c r="F3219" i="9"/>
  <c r="H3195" i="9"/>
  <c r="G3195" i="9"/>
  <c r="F3195" i="9"/>
  <c r="H3171" i="9"/>
  <c r="G3171" i="9"/>
  <c r="F3171" i="9"/>
  <c r="H3147" i="9"/>
  <c r="G3147" i="9"/>
  <c r="F3147" i="9"/>
  <c r="H3123" i="9"/>
  <c r="G3123" i="9"/>
  <c r="F3123" i="9"/>
  <c r="H3099" i="9"/>
  <c r="G3099" i="9"/>
  <c r="F3099" i="9"/>
  <c r="H3075" i="9"/>
  <c r="G3075" i="9"/>
  <c r="F3075" i="9"/>
  <c r="H3051" i="9"/>
  <c r="G3051" i="9"/>
  <c r="F3051" i="9"/>
  <c r="H3027" i="9"/>
  <c r="G3027" i="9"/>
  <c r="F3027" i="9"/>
  <c r="H2979" i="9"/>
  <c r="G2979" i="9"/>
  <c r="F2979" i="9"/>
  <c r="H2955" i="9"/>
  <c r="G2955" i="9"/>
  <c r="F2955" i="9"/>
  <c r="H2907" i="9"/>
  <c r="G2907" i="9"/>
  <c r="F2907" i="9"/>
  <c r="H2883" i="9"/>
  <c r="G2883" i="9"/>
  <c r="F2883" i="9"/>
  <c r="H2835" i="9"/>
  <c r="G2835" i="9"/>
  <c r="F2835" i="9"/>
  <c r="H2811" i="9"/>
  <c r="G2811" i="9"/>
  <c r="F2811" i="9"/>
  <c r="I2499" i="9"/>
  <c r="K2499" i="9"/>
  <c r="J2499" i="9"/>
  <c r="I2475" i="9"/>
  <c r="K2475" i="9"/>
  <c r="J2475" i="9"/>
  <c r="H2451" i="9"/>
  <c r="G2451" i="9"/>
  <c r="F2451" i="9"/>
  <c r="H2427" i="9"/>
  <c r="G2427" i="9"/>
  <c r="F2427" i="9"/>
  <c r="H2403" i="9"/>
  <c r="G2403" i="9"/>
  <c r="F2403" i="9"/>
  <c r="H2379" i="9"/>
  <c r="G2379" i="9"/>
  <c r="F2379" i="9"/>
  <c r="H2355" i="9"/>
  <c r="G2355" i="9"/>
  <c r="F2355" i="9"/>
  <c r="H2331" i="9"/>
  <c r="G2331" i="9"/>
  <c r="F2331" i="9"/>
  <c r="H2307" i="9"/>
  <c r="G2307" i="9"/>
  <c r="F2307" i="9"/>
  <c r="H2283" i="9"/>
  <c r="G2283" i="9"/>
  <c r="F2283" i="9"/>
  <c r="H2259" i="9"/>
  <c r="G2259" i="9"/>
  <c r="F2259" i="9"/>
  <c r="H2235" i="9"/>
  <c r="G2235" i="9"/>
  <c r="F2235" i="9"/>
  <c r="H2211" i="9"/>
  <c r="G2211" i="9"/>
  <c r="F2211" i="9"/>
  <c r="H2187" i="9"/>
  <c r="G2187" i="9"/>
  <c r="F2187" i="9"/>
  <c r="H2163" i="9"/>
  <c r="G2163" i="9"/>
  <c r="F2163" i="9"/>
  <c r="H2139" i="9"/>
  <c r="G2139" i="9"/>
  <c r="F2139" i="9"/>
  <c r="H2115" i="9"/>
  <c r="G2115" i="9"/>
  <c r="F2115" i="9"/>
  <c r="H2091" i="9"/>
  <c r="G2091" i="9"/>
  <c r="F2091" i="9"/>
  <c r="H2067" i="9"/>
  <c r="F2067" i="9"/>
  <c r="G2067" i="9"/>
  <c r="H2043" i="9"/>
  <c r="F2043" i="9"/>
  <c r="G2043" i="9"/>
  <c r="H2003" i="9"/>
  <c r="G2003" i="9"/>
  <c r="F2003" i="9"/>
  <c r="K1894" i="9"/>
  <c r="J1894" i="9"/>
  <c r="I1894" i="9"/>
  <c r="H1859" i="9"/>
  <c r="G1859" i="9"/>
  <c r="F1859" i="9"/>
  <c r="K1824" i="9"/>
  <c r="I1824" i="9"/>
  <c r="J1824" i="9"/>
  <c r="G1785" i="9"/>
  <c r="F1785" i="9"/>
  <c r="H1785" i="9"/>
  <c r="F1750" i="9"/>
  <c r="H1750" i="9"/>
  <c r="G1750" i="9"/>
  <c r="G1715" i="9"/>
  <c r="F1715" i="9"/>
  <c r="H1715" i="9"/>
  <c r="G1641" i="9"/>
  <c r="F1641" i="9"/>
  <c r="H1641" i="9"/>
  <c r="F1606" i="9"/>
  <c r="H1606" i="9"/>
  <c r="G1606" i="9"/>
  <c r="G1571" i="9"/>
  <c r="F1571" i="9"/>
  <c r="H1571" i="9"/>
  <c r="F4642" i="9"/>
  <c r="H4642" i="9"/>
  <c r="G4642" i="9"/>
  <c r="F4450" i="9"/>
  <c r="H4450" i="9"/>
  <c r="G4450" i="9"/>
  <c r="H4369" i="9"/>
  <c r="G4369" i="9"/>
  <c r="F4369" i="9"/>
  <c r="H4258" i="9"/>
  <c r="G4258" i="9"/>
  <c r="F4258" i="9"/>
  <c r="K4183" i="9"/>
  <c r="J4183" i="9"/>
  <c r="I4183" i="9"/>
  <c r="F4105" i="9"/>
  <c r="H4105" i="9"/>
  <c r="G4105" i="9"/>
  <c r="H4030" i="9"/>
  <c r="G4030" i="9"/>
  <c r="F4030" i="9"/>
  <c r="H4004" i="9"/>
  <c r="G4004" i="9"/>
  <c r="F4004" i="9"/>
  <c r="H3920" i="9"/>
  <c r="G3920" i="9"/>
  <c r="F3920" i="9"/>
  <c r="K3814" i="9"/>
  <c r="J3814" i="9"/>
  <c r="I3814" i="9"/>
  <c r="H3794" i="9"/>
  <c r="G3794" i="9"/>
  <c r="F3794" i="9"/>
  <c r="G3774" i="9"/>
  <c r="F3774" i="9"/>
  <c r="H3774" i="9"/>
  <c r="K3694" i="9"/>
  <c r="J3694" i="9"/>
  <c r="I3694" i="9"/>
  <c r="H3622" i="9"/>
  <c r="G3622" i="9"/>
  <c r="F3622" i="9"/>
  <c r="H3550" i="9"/>
  <c r="G3550" i="9"/>
  <c r="F3550" i="9"/>
  <c r="H3478" i="9"/>
  <c r="G3478" i="9"/>
  <c r="F3478" i="9"/>
  <c r="H3406" i="9"/>
  <c r="G3406" i="9"/>
  <c r="F3406" i="9"/>
  <c r="K3190" i="9"/>
  <c r="J3190" i="9"/>
  <c r="I3190" i="9"/>
  <c r="K3118" i="9"/>
  <c r="J3118" i="9"/>
  <c r="I3118" i="9"/>
  <c r="J3046" i="9"/>
  <c r="I3046" i="9"/>
  <c r="K3046" i="9"/>
  <c r="J2974" i="9"/>
  <c r="K2974" i="9"/>
  <c r="I2974" i="9"/>
  <c r="J2902" i="9"/>
  <c r="K2902" i="9"/>
  <c r="I2902" i="9"/>
  <c r="J2830" i="9"/>
  <c r="K2830" i="9"/>
  <c r="I2830" i="9"/>
  <c r="H2758" i="9"/>
  <c r="G2758" i="9"/>
  <c r="F2758" i="9"/>
  <c r="H2686" i="9"/>
  <c r="G2686" i="9"/>
  <c r="F2686" i="9"/>
  <c r="H2614" i="9"/>
  <c r="G2614" i="9"/>
  <c r="F2614" i="9"/>
  <c r="H2542" i="9"/>
  <c r="G2542" i="9"/>
  <c r="F2542" i="9"/>
  <c r="K2038" i="9"/>
  <c r="J2038" i="9"/>
  <c r="I2038" i="9"/>
  <c r="H2007" i="9"/>
  <c r="F2007" i="9"/>
  <c r="G2007" i="9"/>
  <c r="H1972" i="9"/>
  <c r="G1972" i="9"/>
  <c r="F1972" i="9"/>
  <c r="H1933" i="9"/>
  <c r="G1933" i="9"/>
  <c r="F1933" i="9"/>
  <c r="H1863" i="9"/>
  <c r="F1863" i="9"/>
  <c r="G1863" i="9"/>
  <c r="H1828" i="9"/>
  <c r="G1828" i="9"/>
  <c r="F1828" i="9"/>
  <c r="H1789" i="9"/>
  <c r="G1789" i="9"/>
  <c r="F1789" i="9"/>
  <c r="H1754" i="9"/>
  <c r="G1754" i="9"/>
  <c r="F1754" i="9"/>
  <c r="K1684" i="9"/>
  <c r="J1684" i="9"/>
  <c r="I1684" i="9"/>
  <c r="H1610" i="9"/>
  <c r="G1610" i="9"/>
  <c r="F1610" i="9"/>
  <c r="J1540" i="9"/>
  <c r="I1540" i="9"/>
  <c r="K1540" i="9"/>
  <c r="H515" i="9"/>
  <c r="F515" i="9"/>
  <c r="G515" i="9"/>
  <c r="H495" i="9"/>
  <c r="F495" i="9"/>
  <c r="G495" i="9"/>
  <c r="J471" i="9"/>
  <c r="I471" i="9"/>
  <c r="K471" i="9"/>
  <c r="F451" i="9"/>
  <c r="H451" i="9"/>
  <c r="G451" i="9"/>
  <c r="H419" i="9"/>
  <c r="G419" i="9"/>
  <c r="F419" i="9"/>
  <c r="K219" i="9"/>
  <c r="J219" i="9"/>
  <c r="I219" i="9"/>
  <c r="K195" i="9"/>
  <c r="J195" i="9"/>
  <c r="I195" i="9"/>
  <c r="H175" i="9"/>
  <c r="G175" i="9"/>
  <c r="F175" i="9"/>
  <c r="K159" i="9"/>
  <c r="J159" i="9"/>
  <c r="I159" i="9"/>
  <c r="K135" i="9"/>
  <c r="J135" i="9"/>
  <c r="I135" i="9"/>
  <c r="K111" i="9"/>
  <c r="J111" i="9"/>
  <c r="I111" i="9"/>
  <c r="H91" i="9"/>
  <c r="G91" i="9"/>
  <c r="F91" i="9"/>
  <c r="K63" i="9"/>
  <c r="J63" i="9"/>
  <c r="I63" i="9"/>
  <c r="H43" i="9"/>
  <c r="G43" i="9"/>
  <c r="F43" i="9"/>
  <c r="K5185" i="9"/>
  <c r="J5185" i="9"/>
  <c r="I5185" i="9"/>
  <c r="H5041" i="9"/>
  <c r="G5041" i="9"/>
  <c r="F5041" i="9"/>
  <c r="H4897" i="9"/>
  <c r="G4897" i="9"/>
  <c r="F4897" i="9"/>
  <c r="H4753" i="9"/>
  <c r="G4753" i="9"/>
  <c r="F4753" i="9"/>
  <c r="H4636" i="9"/>
  <c r="G4636" i="9"/>
  <c r="F4636" i="9"/>
  <c r="F4566" i="9"/>
  <c r="H4566" i="9"/>
  <c r="G4566" i="9"/>
  <c r="H4444" i="9"/>
  <c r="G4444" i="9"/>
  <c r="F4444" i="9"/>
  <c r="G4252" i="9"/>
  <c r="F4252" i="9"/>
  <c r="H4252" i="9"/>
  <c r="H4126" i="9"/>
  <c r="G4126" i="9"/>
  <c r="F4126" i="9"/>
  <c r="H3993" i="9"/>
  <c r="G3993" i="9"/>
  <c r="F3993" i="9"/>
  <c r="F3925" i="9"/>
  <c r="G3925" i="9"/>
  <c r="H3925" i="9"/>
  <c r="H3853" i="9"/>
  <c r="G3853" i="9"/>
  <c r="F3853" i="9"/>
  <c r="H3789" i="9"/>
  <c r="G3789" i="9"/>
  <c r="F3789" i="9"/>
  <c r="K3755" i="9"/>
  <c r="J3755" i="9"/>
  <c r="I3755" i="9"/>
  <c r="J3631" i="9"/>
  <c r="I3631" i="9"/>
  <c r="K3631" i="9"/>
  <c r="H3607" i="9"/>
  <c r="G3607" i="9"/>
  <c r="F3607" i="9"/>
  <c r="H3583" i="9"/>
  <c r="G3583" i="9"/>
  <c r="F3583" i="9"/>
  <c r="H3559" i="9"/>
  <c r="G3559" i="9"/>
  <c r="F3559" i="9"/>
  <c r="H3535" i="9"/>
  <c r="G3535" i="9"/>
  <c r="F3535" i="9"/>
  <c r="H3511" i="9"/>
  <c r="G3511" i="9"/>
  <c r="F3511" i="9"/>
  <c r="H3487" i="9"/>
  <c r="G3487" i="9"/>
  <c r="F3487" i="9"/>
  <c r="H3463" i="9"/>
  <c r="G3463" i="9"/>
  <c r="F3463" i="9"/>
  <c r="H3439" i="9"/>
  <c r="G3439" i="9"/>
  <c r="F3439" i="9"/>
  <c r="H3415" i="9"/>
  <c r="G3415" i="9"/>
  <c r="F3415" i="9"/>
  <c r="H3391" i="9"/>
  <c r="G3391" i="9"/>
  <c r="F3391" i="9"/>
  <c r="H2767" i="9"/>
  <c r="G2767" i="9"/>
  <c r="F2767" i="9"/>
  <c r="H2743" i="9"/>
  <c r="G2743" i="9"/>
  <c r="F2743" i="9"/>
  <c r="H2719" i="9"/>
  <c r="G2719" i="9"/>
  <c r="F2719" i="9"/>
  <c r="H2695" i="9"/>
  <c r="G2695" i="9"/>
  <c r="F2695" i="9"/>
  <c r="H2671" i="9"/>
  <c r="G2671" i="9"/>
  <c r="F2671" i="9"/>
  <c r="H2647" i="9"/>
  <c r="G2647" i="9"/>
  <c r="F2647" i="9"/>
  <c r="H2623" i="9"/>
  <c r="G2623" i="9"/>
  <c r="F2623" i="9"/>
  <c r="H2599" i="9"/>
  <c r="G2599" i="9"/>
  <c r="F2599" i="9"/>
  <c r="H2575" i="9"/>
  <c r="G2575" i="9"/>
  <c r="F2575" i="9"/>
  <c r="H2551" i="9"/>
  <c r="G2551" i="9"/>
  <c r="F2551" i="9"/>
  <c r="H2527" i="9"/>
  <c r="G2527" i="9"/>
  <c r="F2527" i="9"/>
  <c r="H2503" i="9"/>
  <c r="G2503" i="9"/>
  <c r="F2503" i="9"/>
  <c r="H2479" i="9"/>
  <c r="G2479" i="9"/>
  <c r="F2479" i="9"/>
  <c r="F2455" i="9"/>
  <c r="H2455" i="9"/>
  <c r="G2455" i="9"/>
  <c r="F2431" i="9"/>
  <c r="H2431" i="9"/>
  <c r="G2431" i="9"/>
  <c r="F2407" i="9"/>
  <c r="G2407" i="9"/>
  <c r="H2407" i="9"/>
  <c r="F2383" i="9"/>
  <c r="G2383" i="9"/>
  <c r="H2383" i="9"/>
  <c r="F2359" i="9"/>
  <c r="G2359" i="9"/>
  <c r="H2359" i="9"/>
  <c r="F2335" i="9"/>
  <c r="G2335" i="9"/>
  <c r="H2335" i="9"/>
  <c r="F2311" i="9"/>
  <c r="H2311" i="9"/>
  <c r="G2311" i="9"/>
  <c r="F2287" i="9"/>
  <c r="H2287" i="9"/>
  <c r="G2287" i="9"/>
  <c r="F2263" i="9"/>
  <c r="H2263" i="9"/>
  <c r="G2263" i="9"/>
  <c r="F2239" i="9"/>
  <c r="H2239" i="9"/>
  <c r="G2239" i="9"/>
  <c r="F2215" i="9"/>
  <c r="H2215" i="9"/>
  <c r="G2215" i="9"/>
  <c r="F2191" i="9"/>
  <c r="H2191" i="9"/>
  <c r="G2191" i="9"/>
  <c r="F2167" i="9"/>
  <c r="H2167" i="9"/>
  <c r="G2167" i="9"/>
  <c r="F2143" i="9"/>
  <c r="H2143" i="9"/>
  <c r="G2143" i="9"/>
  <c r="F2119" i="9"/>
  <c r="H2119" i="9"/>
  <c r="G2119" i="9"/>
  <c r="F2095" i="9"/>
  <c r="H2095" i="9"/>
  <c r="G2095" i="9"/>
  <c r="F2071" i="9"/>
  <c r="H2071" i="9"/>
  <c r="G2071" i="9"/>
  <c r="F2047" i="9"/>
  <c r="H2047" i="9"/>
  <c r="G2047" i="9"/>
  <c r="F2011" i="9"/>
  <c r="H2011" i="9"/>
  <c r="G2011" i="9"/>
  <c r="G1976" i="9"/>
  <c r="F1976" i="9"/>
  <c r="H1976" i="9"/>
  <c r="F1867" i="9"/>
  <c r="H1867" i="9"/>
  <c r="G1867" i="9"/>
  <c r="F1832" i="9"/>
  <c r="H1832" i="9"/>
  <c r="G1832" i="9"/>
  <c r="H1758" i="9"/>
  <c r="G1758" i="9"/>
  <c r="F1758" i="9"/>
  <c r="H1723" i="9"/>
  <c r="G1723" i="9"/>
  <c r="F1723" i="9"/>
  <c r="H1688" i="9"/>
  <c r="G1688" i="9"/>
  <c r="F1688" i="9"/>
  <c r="H1649" i="9"/>
  <c r="G1649" i="9"/>
  <c r="F1649" i="9"/>
  <c r="H1614" i="9"/>
  <c r="G1614" i="9"/>
  <c r="F1614" i="9"/>
  <c r="H1579" i="9"/>
  <c r="G1579" i="9"/>
  <c r="F1579" i="9"/>
  <c r="H1544" i="9"/>
  <c r="F1544" i="9"/>
  <c r="G1544" i="9"/>
  <c r="G1343" i="9"/>
  <c r="F1343" i="9"/>
  <c r="H1343" i="9"/>
  <c r="H839" i="9"/>
  <c r="F839" i="9"/>
  <c r="G839" i="9"/>
  <c r="H827" i="9"/>
  <c r="G827" i="9"/>
  <c r="F827" i="9"/>
  <c r="H815" i="9"/>
  <c r="G815" i="9"/>
  <c r="F815" i="9"/>
  <c r="H803" i="9"/>
  <c r="G803" i="9"/>
  <c r="F803" i="9"/>
  <c r="H791" i="9"/>
  <c r="F791" i="9"/>
  <c r="G791" i="9"/>
  <c r="H779" i="9"/>
  <c r="G779" i="9"/>
  <c r="F779" i="9"/>
  <c r="H767" i="9"/>
  <c r="F767" i="9"/>
  <c r="G767" i="9"/>
  <c r="H755" i="9"/>
  <c r="G755" i="9"/>
  <c r="F755" i="9"/>
  <c r="H743" i="9"/>
  <c r="G743" i="9"/>
  <c r="F743" i="9"/>
  <c r="H731" i="9"/>
  <c r="F731" i="9"/>
  <c r="G731" i="9"/>
  <c r="H719" i="9"/>
  <c r="G719" i="9"/>
  <c r="F719" i="9"/>
  <c r="H707" i="9"/>
  <c r="G707" i="9"/>
  <c r="F707" i="9"/>
  <c r="H695" i="9"/>
  <c r="F695" i="9"/>
  <c r="G695" i="9"/>
  <c r="H683" i="9"/>
  <c r="G683" i="9"/>
  <c r="F683" i="9"/>
  <c r="H671" i="9"/>
  <c r="G671" i="9"/>
  <c r="F671" i="9"/>
  <c r="H659" i="9"/>
  <c r="F659" i="9"/>
  <c r="G659" i="9"/>
  <c r="H647" i="9"/>
  <c r="G647" i="9"/>
  <c r="F647" i="9"/>
  <c r="H635" i="9"/>
  <c r="G635" i="9"/>
  <c r="F635" i="9"/>
  <c r="H623" i="9"/>
  <c r="F623" i="9"/>
  <c r="G623" i="9"/>
  <c r="H611" i="9"/>
  <c r="G611" i="9"/>
  <c r="F611" i="9"/>
  <c r="H599" i="9"/>
  <c r="G599" i="9"/>
  <c r="F599" i="9"/>
  <c r="H587" i="9"/>
  <c r="F587" i="9"/>
  <c r="G587" i="9"/>
  <c r="H575" i="9"/>
  <c r="G575" i="9"/>
  <c r="F575" i="9"/>
  <c r="H563" i="9"/>
  <c r="G563" i="9"/>
  <c r="F563" i="9"/>
  <c r="H551" i="9"/>
  <c r="F551" i="9"/>
  <c r="G551" i="9"/>
  <c r="H539" i="9"/>
  <c r="G539" i="9"/>
  <c r="F539" i="9"/>
  <c r="H527" i="9"/>
  <c r="G527" i="9"/>
  <c r="F527" i="9"/>
  <c r="H491" i="9"/>
  <c r="G491" i="9"/>
  <c r="F491" i="9"/>
  <c r="F463" i="9"/>
  <c r="H463" i="9"/>
  <c r="G463" i="9"/>
  <c r="F439" i="9"/>
  <c r="H439" i="9"/>
  <c r="G439" i="9"/>
  <c r="J423" i="9"/>
  <c r="I423" i="9"/>
  <c r="K423" i="9"/>
  <c r="G407" i="9"/>
  <c r="F407" i="9"/>
  <c r="H407" i="9"/>
  <c r="G395" i="9"/>
  <c r="F395" i="9"/>
  <c r="H395" i="9"/>
  <c r="K279" i="9"/>
  <c r="J279" i="9"/>
  <c r="I279" i="9"/>
  <c r="K267" i="9"/>
  <c r="J267" i="9"/>
  <c r="I267" i="9"/>
  <c r="K243" i="9"/>
  <c r="J243" i="9"/>
  <c r="I243" i="9"/>
  <c r="H103" i="9"/>
  <c r="G103" i="9"/>
  <c r="F103" i="9"/>
  <c r="H79" i="9"/>
  <c r="G79" i="9"/>
  <c r="F79" i="9"/>
  <c r="K27" i="9"/>
  <c r="J27" i="9"/>
  <c r="I27" i="9"/>
  <c r="H7" i="9"/>
  <c r="G7" i="9"/>
  <c r="F7" i="9"/>
  <c r="G4589" i="9"/>
  <c r="F4589" i="9"/>
  <c r="H4589" i="9"/>
  <c r="F4045" i="9"/>
  <c r="H4045" i="9"/>
  <c r="G4045" i="9"/>
  <c r="H3982" i="9"/>
  <c r="G3982" i="9"/>
  <c r="F3982" i="9"/>
  <c r="H3956" i="9"/>
  <c r="G3956" i="9"/>
  <c r="F3956" i="9"/>
  <c r="K3898" i="9"/>
  <c r="J3898" i="9"/>
  <c r="I3898" i="9"/>
  <c r="H3843" i="9"/>
  <c r="G3843" i="9"/>
  <c r="F3843" i="9"/>
  <c r="K3803" i="9"/>
  <c r="J3803" i="9"/>
  <c r="I3803" i="9"/>
  <c r="H3722" i="9"/>
  <c r="G3722" i="9"/>
  <c r="F3722" i="9"/>
  <c r="I3362" i="9"/>
  <c r="K3362" i="9"/>
  <c r="J3362" i="9"/>
  <c r="H3290" i="9"/>
  <c r="G3290" i="9"/>
  <c r="F3290" i="9"/>
  <c r="I3002" i="9"/>
  <c r="K3002" i="9"/>
  <c r="J3002" i="9"/>
  <c r="I2930" i="9"/>
  <c r="K2930" i="9"/>
  <c r="J2930" i="9"/>
  <c r="I2858" i="9"/>
  <c r="K2858" i="9"/>
  <c r="J2858" i="9"/>
  <c r="I2786" i="9"/>
  <c r="K2786" i="9"/>
  <c r="J2786" i="9"/>
  <c r="H2015" i="9"/>
  <c r="G2015" i="9"/>
  <c r="F2015" i="9"/>
  <c r="K1906" i="9"/>
  <c r="J1906" i="9"/>
  <c r="I1906" i="9"/>
  <c r="H1871" i="9"/>
  <c r="G1871" i="9"/>
  <c r="F1871" i="9"/>
  <c r="F1762" i="9"/>
  <c r="H1762" i="9"/>
  <c r="G1762" i="9"/>
  <c r="G1727" i="9"/>
  <c r="F1727" i="9"/>
  <c r="H1727" i="9"/>
  <c r="G1653" i="9"/>
  <c r="F1653" i="9"/>
  <c r="H1653" i="9"/>
  <c r="F1618" i="9"/>
  <c r="H1618" i="9"/>
  <c r="G1618" i="9"/>
  <c r="G1583" i="9"/>
  <c r="F1583" i="9"/>
  <c r="H1583" i="9"/>
  <c r="H5142" i="9"/>
  <c r="G5142" i="9"/>
  <c r="F5142" i="9"/>
  <c r="G4998" i="9"/>
  <c r="F4998" i="9"/>
  <c r="H4998" i="9"/>
  <c r="G4854" i="9"/>
  <c r="F4854" i="9"/>
  <c r="H4854" i="9"/>
  <c r="F4594" i="9"/>
  <c r="H4594" i="9"/>
  <c r="G4594" i="9"/>
  <c r="H4402" i="9"/>
  <c r="G4402" i="9"/>
  <c r="F4402" i="9"/>
  <c r="H4321" i="9"/>
  <c r="G4321" i="9"/>
  <c r="F4321" i="9"/>
  <c r="H4210" i="9"/>
  <c r="F4210" i="9"/>
  <c r="G4210" i="9"/>
  <c r="H4136" i="9"/>
  <c r="G4136" i="9"/>
  <c r="F4136" i="9"/>
  <c r="H4082" i="9"/>
  <c r="G4082" i="9"/>
  <c r="F4082" i="9"/>
  <c r="K3919" i="9"/>
  <c r="J3919" i="9"/>
  <c r="I3919" i="9"/>
  <c r="H3813" i="9"/>
  <c r="G3813" i="9"/>
  <c r="F3813" i="9"/>
  <c r="H3783" i="9"/>
  <c r="G3783" i="9"/>
  <c r="F3783" i="9"/>
  <c r="H3745" i="9"/>
  <c r="G3745" i="9"/>
  <c r="F3745" i="9"/>
  <c r="G3712" i="9"/>
  <c r="F3712" i="9"/>
  <c r="H3712" i="9"/>
  <c r="G3688" i="9"/>
  <c r="F3688" i="9"/>
  <c r="H3688" i="9"/>
  <c r="G3664" i="9"/>
  <c r="F3664" i="9"/>
  <c r="H3664" i="9"/>
  <c r="G3640" i="9"/>
  <c r="F3640" i="9"/>
  <c r="H3640" i="9"/>
  <c r="K3616" i="9"/>
  <c r="J3616" i="9"/>
  <c r="I3616" i="9"/>
  <c r="K3592" i="9"/>
  <c r="J3592" i="9"/>
  <c r="I3592" i="9"/>
  <c r="K3568" i="9"/>
  <c r="J3568" i="9"/>
  <c r="I3568" i="9"/>
  <c r="K3544" i="9"/>
  <c r="J3544" i="9"/>
  <c r="I3544" i="9"/>
  <c r="K3520" i="9"/>
  <c r="J3520" i="9"/>
  <c r="I3520" i="9"/>
  <c r="K3496" i="9"/>
  <c r="J3496" i="9"/>
  <c r="I3496" i="9"/>
  <c r="K3472" i="9"/>
  <c r="J3472" i="9"/>
  <c r="I3472" i="9"/>
  <c r="K3448" i="9"/>
  <c r="J3448" i="9"/>
  <c r="I3448" i="9"/>
  <c r="K3424" i="9"/>
  <c r="J3424" i="9"/>
  <c r="I3424" i="9"/>
  <c r="K3400" i="9"/>
  <c r="J3400" i="9"/>
  <c r="I3400" i="9"/>
  <c r="K3376" i="9"/>
  <c r="J3376" i="9"/>
  <c r="I3376" i="9"/>
  <c r="G3352" i="9"/>
  <c r="F3352" i="9"/>
  <c r="H3352" i="9"/>
  <c r="G3328" i="9"/>
  <c r="F3328" i="9"/>
  <c r="H3328" i="9"/>
  <c r="G3304" i="9"/>
  <c r="F3304" i="9"/>
  <c r="H3304" i="9"/>
  <c r="G3280" i="9"/>
  <c r="F3280" i="9"/>
  <c r="H3280" i="9"/>
  <c r="G3256" i="9"/>
  <c r="F3256" i="9"/>
  <c r="H3256" i="9"/>
  <c r="G3232" i="9"/>
  <c r="F3232" i="9"/>
  <c r="H3232" i="9"/>
  <c r="G3208" i="9"/>
  <c r="F3208" i="9"/>
  <c r="H3208" i="9"/>
  <c r="G3184" i="9"/>
  <c r="F3184" i="9"/>
  <c r="H3184" i="9"/>
  <c r="G3160" i="9"/>
  <c r="F3160" i="9"/>
  <c r="H3160" i="9"/>
  <c r="G3136" i="9"/>
  <c r="F3136" i="9"/>
  <c r="H3136" i="9"/>
  <c r="G3112" i="9"/>
  <c r="F3112" i="9"/>
  <c r="H3112" i="9"/>
  <c r="G3088" i="9"/>
  <c r="F3088" i="9"/>
  <c r="H3088" i="9"/>
  <c r="G3064" i="9"/>
  <c r="F3064" i="9"/>
  <c r="H3064" i="9"/>
  <c r="K2776" i="9"/>
  <c r="J2776" i="9"/>
  <c r="I2776" i="9"/>
  <c r="H2752" i="9"/>
  <c r="G2752" i="9"/>
  <c r="F2752" i="9"/>
  <c r="K2728" i="9"/>
  <c r="J2728" i="9"/>
  <c r="I2728" i="9"/>
  <c r="H2704" i="9"/>
  <c r="G2704" i="9"/>
  <c r="F2704" i="9"/>
  <c r="K2680" i="9"/>
  <c r="J2680" i="9"/>
  <c r="I2680" i="9"/>
  <c r="H2656" i="9"/>
  <c r="G2656" i="9"/>
  <c r="F2656" i="9"/>
  <c r="K2632" i="9"/>
  <c r="J2632" i="9"/>
  <c r="I2632" i="9"/>
  <c r="H2608" i="9"/>
  <c r="G2608" i="9"/>
  <c r="F2608" i="9"/>
  <c r="K2584" i="9"/>
  <c r="J2584" i="9"/>
  <c r="I2584" i="9"/>
  <c r="H2560" i="9"/>
  <c r="G2560" i="9"/>
  <c r="F2560" i="9"/>
  <c r="K2536" i="9"/>
  <c r="J2536" i="9"/>
  <c r="I2536" i="9"/>
  <c r="K2512" i="9"/>
  <c r="J2512" i="9"/>
  <c r="I2512" i="9"/>
  <c r="H2488" i="9"/>
  <c r="G2488" i="9"/>
  <c r="F2488" i="9"/>
  <c r="H2464" i="9"/>
  <c r="G2464" i="9"/>
  <c r="F2464" i="9"/>
  <c r="H2440" i="9"/>
  <c r="G2440" i="9"/>
  <c r="F2440" i="9"/>
  <c r="H2416" i="9"/>
  <c r="G2416" i="9"/>
  <c r="F2416" i="9"/>
  <c r="H2392" i="9"/>
  <c r="G2392" i="9"/>
  <c r="F2392" i="9"/>
  <c r="H2368" i="9"/>
  <c r="G2368" i="9"/>
  <c r="F2368" i="9"/>
  <c r="H2344" i="9"/>
  <c r="G2344" i="9"/>
  <c r="F2344" i="9"/>
  <c r="H2320" i="9"/>
  <c r="G2320" i="9"/>
  <c r="F2320" i="9"/>
  <c r="H2296" i="9"/>
  <c r="G2296" i="9"/>
  <c r="F2296" i="9"/>
  <c r="H2272" i="9"/>
  <c r="G2272" i="9"/>
  <c r="F2272" i="9"/>
  <c r="H2248" i="9"/>
  <c r="G2248" i="9"/>
  <c r="F2248" i="9"/>
  <c r="H2224" i="9"/>
  <c r="G2224" i="9"/>
  <c r="F2224" i="9"/>
  <c r="H2200" i="9"/>
  <c r="G2200" i="9"/>
  <c r="F2200" i="9"/>
  <c r="H2176" i="9"/>
  <c r="G2176" i="9"/>
  <c r="F2176" i="9"/>
  <c r="H2152" i="9"/>
  <c r="G2152" i="9"/>
  <c r="F2152" i="9"/>
  <c r="H2128" i="9"/>
  <c r="G2128" i="9"/>
  <c r="F2128" i="9"/>
  <c r="H2104" i="9"/>
  <c r="G2104" i="9"/>
  <c r="F2104" i="9"/>
  <c r="H2080" i="9"/>
  <c r="G2080" i="9"/>
  <c r="F2080" i="9"/>
  <c r="H2056" i="9"/>
  <c r="G2056" i="9"/>
  <c r="F2056" i="9"/>
  <c r="H2032" i="9"/>
  <c r="G2032" i="9"/>
  <c r="F2032" i="9"/>
  <c r="K1993" i="9"/>
  <c r="J1993" i="9"/>
  <c r="I1993" i="9"/>
  <c r="H1923" i="9"/>
  <c r="F1923" i="9"/>
  <c r="G1923" i="9"/>
  <c r="H1888" i="9"/>
  <c r="G1888" i="9"/>
  <c r="F1888" i="9"/>
  <c r="K1849" i="9"/>
  <c r="J1849" i="9"/>
  <c r="I1849" i="9"/>
  <c r="K1744" i="9"/>
  <c r="J1744" i="9"/>
  <c r="I1744" i="9"/>
  <c r="H1670" i="9"/>
  <c r="G1670" i="9"/>
  <c r="F1670" i="9"/>
  <c r="K1600" i="9"/>
  <c r="J1600" i="9"/>
  <c r="I1600" i="9"/>
  <c r="H342" i="9"/>
  <c r="G342" i="9"/>
  <c r="F342" i="9"/>
  <c r="G286" i="9"/>
  <c r="F286" i="9"/>
  <c r="H286" i="9"/>
  <c r="K266" i="9"/>
  <c r="J266" i="9"/>
  <c r="I266" i="9"/>
  <c r="K242" i="9"/>
  <c r="J242" i="9"/>
  <c r="I242" i="9"/>
  <c r="K218" i="9"/>
  <c r="J218" i="9"/>
  <c r="I218" i="9"/>
  <c r="K194" i="9"/>
  <c r="J194" i="9"/>
  <c r="I194" i="9"/>
  <c r="G166" i="9"/>
  <c r="F166" i="9"/>
  <c r="H166" i="9"/>
  <c r="G142" i="9"/>
  <c r="F142" i="9"/>
  <c r="H142" i="9"/>
  <c r="G118" i="9"/>
  <c r="F118" i="9"/>
  <c r="H118" i="9"/>
  <c r="H90" i="9"/>
  <c r="G90" i="9"/>
  <c r="F90" i="9"/>
  <c r="G70" i="9"/>
  <c r="F70" i="9"/>
  <c r="H70" i="9"/>
  <c r="G46" i="9"/>
  <c r="F46" i="9"/>
  <c r="H46" i="9"/>
  <c r="G22" i="9"/>
  <c r="F22" i="9"/>
  <c r="H22" i="9"/>
  <c r="H4524" i="9"/>
  <c r="G4524" i="9"/>
  <c r="F4524" i="9"/>
  <c r="H4332" i="9"/>
  <c r="G4332" i="9"/>
  <c r="F4332" i="9"/>
  <c r="G4262" i="9"/>
  <c r="F4262" i="9"/>
  <c r="H4262" i="9"/>
  <c r="G4164" i="9"/>
  <c r="F4164" i="9"/>
  <c r="H4164" i="9"/>
  <c r="G4044" i="9"/>
  <c r="F4044" i="9"/>
  <c r="H4044" i="9"/>
  <c r="K3955" i="9"/>
  <c r="J3955" i="9"/>
  <c r="I3955" i="9"/>
  <c r="K3929" i="9"/>
  <c r="J3929" i="9"/>
  <c r="I3929" i="9"/>
  <c r="H3877" i="9"/>
  <c r="G3877" i="9"/>
  <c r="F3877" i="9"/>
  <c r="F3857" i="9"/>
  <c r="H3857" i="9"/>
  <c r="G3857" i="9"/>
  <c r="G3832" i="9"/>
  <c r="F3832" i="9"/>
  <c r="H3832" i="9"/>
  <c r="K3802" i="9"/>
  <c r="J3802" i="9"/>
  <c r="I3802" i="9"/>
  <c r="G3726" i="9"/>
  <c r="F3726" i="9"/>
  <c r="H3726" i="9"/>
  <c r="H3654" i="9"/>
  <c r="G3654" i="9"/>
  <c r="F3654" i="9"/>
  <c r="K3582" i="9"/>
  <c r="J3582" i="9"/>
  <c r="I3582" i="9"/>
  <c r="K3510" i="9"/>
  <c r="J3510" i="9"/>
  <c r="I3510" i="9"/>
  <c r="K3438" i="9"/>
  <c r="J3438" i="9"/>
  <c r="I3438" i="9"/>
  <c r="K3366" i="9"/>
  <c r="J3366" i="9"/>
  <c r="I3366" i="9"/>
  <c r="G3294" i="9"/>
  <c r="H3294" i="9"/>
  <c r="F3294" i="9"/>
  <c r="H3222" i="9"/>
  <c r="G3222" i="9"/>
  <c r="F3222" i="9"/>
  <c r="H3150" i="9"/>
  <c r="G3150" i="9"/>
  <c r="F3150" i="9"/>
  <c r="H3078" i="9"/>
  <c r="G3078" i="9"/>
  <c r="F3078" i="9"/>
  <c r="H3006" i="9"/>
  <c r="G3006" i="9"/>
  <c r="F3006" i="9"/>
  <c r="H2934" i="9"/>
  <c r="G2934" i="9"/>
  <c r="F2934" i="9"/>
  <c r="H2862" i="9"/>
  <c r="G2862" i="9"/>
  <c r="F2862" i="9"/>
  <c r="H2790" i="9"/>
  <c r="G2790" i="9"/>
  <c r="F2790" i="9"/>
  <c r="K2718" i="9"/>
  <c r="J2718" i="9"/>
  <c r="I2718" i="9"/>
  <c r="K2646" i="9"/>
  <c r="J2646" i="9"/>
  <c r="I2646" i="9"/>
  <c r="K2574" i="9"/>
  <c r="J2574" i="9"/>
  <c r="I2574" i="9"/>
  <c r="F2502" i="9"/>
  <c r="H2502" i="9"/>
  <c r="G2502" i="9"/>
  <c r="G2430" i="9"/>
  <c r="F2430" i="9"/>
  <c r="H2430" i="9"/>
  <c r="G2358" i="9"/>
  <c r="F2358" i="9"/>
  <c r="H2358" i="9"/>
  <c r="G2286" i="9"/>
  <c r="F2286" i="9"/>
  <c r="H2286" i="9"/>
  <c r="G2214" i="9"/>
  <c r="F2214" i="9"/>
  <c r="H2214" i="9"/>
  <c r="G2142" i="9"/>
  <c r="F2142" i="9"/>
  <c r="H2142" i="9"/>
  <c r="F1975" i="9"/>
  <c r="H1975" i="9"/>
  <c r="G1975" i="9"/>
  <c r="G1940" i="9"/>
  <c r="F1940" i="9"/>
  <c r="H1940" i="9"/>
  <c r="F1831" i="9"/>
  <c r="G1831" i="9"/>
  <c r="H1831" i="9"/>
  <c r="F1796" i="9"/>
  <c r="H1796" i="9"/>
  <c r="G1796" i="9"/>
  <c r="H1757" i="9"/>
  <c r="G1757" i="9"/>
  <c r="F1757" i="9"/>
  <c r="H1722" i="9"/>
  <c r="G1722" i="9"/>
  <c r="F1722" i="9"/>
  <c r="H1687" i="9"/>
  <c r="G1687" i="9"/>
  <c r="F1687" i="9"/>
  <c r="H1652" i="9"/>
  <c r="G1652" i="9"/>
  <c r="F1652" i="9"/>
  <c r="H1613" i="9"/>
  <c r="G1613" i="9"/>
  <c r="F1613" i="9"/>
  <c r="H1578" i="9"/>
  <c r="G1578" i="9"/>
  <c r="F1578" i="9"/>
  <c r="G1543" i="9"/>
  <c r="F1543" i="9"/>
  <c r="H1543" i="9"/>
  <c r="K766" i="9"/>
  <c r="J766" i="9"/>
  <c r="I766" i="9"/>
  <c r="K754" i="9"/>
  <c r="J754" i="9"/>
  <c r="I754" i="9"/>
  <c r="K742" i="9"/>
  <c r="J742" i="9"/>
  <c r="I742" i="9"/>
  <c r="K730" i="9"/>
  <c r="J730" i="9"/>
  <c r="I730" i="9"/>
  <c r="K718" i="9"/>
  <c r="J718" i="9"/>
  <c r="I718" i="9"/>
  <c r="K706" i="9"/>
  <c r="J706" i="9"/>
  <c r="I706" i="9"/>
  <c r="K694" i="9"/>
  <c r="J694" i="9"/>
  <c r="I694" i="9"/>
  <c r="K682" i="9"/>
  <c r="J682" i="9"/>
  <c r="I682" i="9"/>
  <c r="K670" i="9"/>
  <c r="J670" i="9"/>
  <c r="I670" i="9"/>
  <c r="K658" i="9"/>
  <c r="J658" i="9"/>
  <c r="I658" i="9"/>
  <c r="K646" i="9"/>
  <c r="J646" i="9"/>
  <c r="I646" i="9"/>
  <c r="K634" i="9"/>
  <c r="J634" i="9"/>
  <c r="I634" i="9"/>
  <c r="K622" i="9"/>
  <c r="J622" i="9"/>
  <c r="I622" i="9"/>
  <c r="K610" i="9"/>
  <c r="J610" i="9"/>
  <c r="I610" i="9"/>
  <c r="K598" i="9"/>
  <c r="J598" i="9"/>
  <c r="I598" i="9"/>
  <c r="K586" i="9"/>
  <c r="J586" i="9"/>
  <c r="I586" i="9"/>
  <c r="K574" i="9"/>
  <c r="J574" i="9"/>
  <c r="I574" i="9"/>
  <c r="K562" i="9"/>
  <c r="J562" i="9"/>
  <c r="I562" i="9"/>
  <c r="K550" i="9"/>
  <c r="J550" i="9"/>
  <c r="I550" i="9"/>
  <c r="K538" i="9"/>
  <c r="J538" i="9"/>
  <c r="I538" i="9"/>
  <c r="K526" i="9"/>
  <c r="J526" i="9"/>
  <c r="I526" i="9"/>
  <c r="K514" i="9"/>
  <c r="J514" i="9"/>
  <c r="I514" i="9"/>
  <c r="K502" i="9"/>
  <c r="J502" i="9"/>
  <c r="I502" i="9"/>
  <c r="K490" i="9"/>
  <c r="I490" i="9"/>
  <c r="J490" i="9"/>
  <c r="K478" i="9"/>
  <c r="J478" i="9"/>
  <c r="I478" i="9"/>
  <c r="K466" i="9"/>
  <c r="J466" i="9"/>
  <c r="I466" i="9"/>
  <c r="K454" i="9"/>
  <c r="J454" i="9"/>
  <c r="I454" i="9"/>
  <c r="K442" i="9"/>
  <c r="J442" i="9"/>
  <c r="I442" i="9"/>
  <c r="K430" i="9"/>
  <c r="J430" i="9"/>
  <c r="I430" i="9"/>
  <c r="K418" i="9"/>
  <c r="J418" i="9"/>
  <c r="I418" i="9"/>
  <c r="K406" i="9"/>
  <c r="J406" i="9"/>
  <c r="I406" i="9"/>
  <c r="K394" i="9"/>
  <c r="J394" i="9"/>
  <c r="I394" i="9"/>
  <c r="G382" i="9"/>
  <c r="F382" i="9"/>
  <c r="H382" i="9"/>
  <c r="G370" i="9"/>
  <c r="F370" i="9"/>
  <c r="H370" i="9"/>
  <c r="G358" i="9"/>
  <c r="F358" i="9"/>
  <c r="H358" i="9"/>
  <c r="G346" i="9"/>
  <c r="F346" i="9"/>
  <c r="H346" i="9"/>
  <c r="H330" i="9"/>
  <c r="G330" i="9"/>
  <c r="F330" i="9"/>
  <c r="H318" i="9"/>
  <c r="G318" i="9"/>
  <c r="F318" i="9"/>
  <c r="H306" i="9"/>
  <c r="G306" i="9"/>
  <c r="F306" i="9"/>
  <c r="H282" i="9"/>
  <c r="G282" i="9"/>
  <c r="F282" i="9"/>
  <c r="K254" i="9"/>
  <c r="J254" i="9"/>
  <c r="I254" i="9"/>
  <c r="K230" i="9"/>
  <c r="J230" i="9"/>
  <c r="I230" i="9"/>
  <c r="K206" i="9"/>
  <c r="J206" i="9"/>
  <c r="I206" i="9"/>
  <c r="K182" i="9"/>
  <c r="J182" i="9"/>
  <c r="I182" i="9"/>
  <c r="H162" i="9"/>
  <c r="G162" i="9"/>
  <c r="F162" i="9"/>
  <c r="H138" i="9"/>
  <c r="G138" i="9"/>
  <c r="F138" i="9"/>
  <c r="H114" i="9"/>
  <c r="G114" i="9"/>
  <c r="F114" i="9"/>
  <c r="G94" i="9"/>
  <c r="F94" i="9"/>
  <c r="H94" i="9"/>
  <c r="H66" i="9"/>
  <c r="G66" i="9"/>
  <c r="F66" i="9"/>
  <c r="H42" i="9"/>
  <c r="G42" i="9"/>
  <c r="F42" i="9"/>
  <c r="H18" i="9"/>
  <c r="G18" i="9"/>
  <c r="F18" i="9"/>
  <c r="H5153" i="9"/>
  <c r="G5153" i="9"/>
  <c r="F5153" i="9"/>
  <c r="H5009" i="9"/>
  <c r="G5009" i="9"/>
  <c r="F5009" i="9"/>
  <c r="H4865" i="9"/>
  <c r="G4865" i="9"/>
  <c r="F4865" i="9"/>
  <c r="H4285" i="9"/>
  <c r="G4285" i="9"/>
  <c r="F4285" i="9"/>
  <c r="H4130" i="9"/>
  <c r="G4130" i="9"/>
  <c r="F4130" i="9"/>
  <c r="H4054" i="9"/>
  <c r="G4054" i="9"/>
  <c r="F4054" i="9"/>
  <c r="H4028" i="9"/>
  <c r="G4028" i="9"/>
  <c r="F4028" i="9"/>
  <c r="H3944" i="9"/>
  <c r="G3944" i="9"/>
  <c r="F3944" i="9"/>
  <c r="G3892" i="9"/>
  <c r="F3892" i="9"/>
  <c r="H3892" i="9"/>
  <c r="H3782" i="9"/>
  <c r="G3782" i="9"/>
  <c r="F3782" i="9"/>
  <c r="H3753" i="9"/>
  <c r="G3753" i="9"/>
  <c r="F3753" i="9"/>
  <c r="H3620" i="9"/>
  <c r="G3620" i="9"/>
  <c r="F3620" i="9"/>
  <c r="H3596" i="9"/>
  <c r="G3596" i="9"/>
  <c r="F3596" i="9"/>
  <c r="H3572" i="9"/>
  <c r="G3572" i="9"/>
  <c r="F3572" i="9"/>
  <c r="H3548" i="9"/>
  <c r="G3548" i="9"/>
  <c r="F3548" i="9"/>
  <c r="H3524" i="9"/>
  <c r="G3524" i="9"/>
  <c r="F3524" i="9"/>
  <c r="H3500" i="9"/>
  <c r="G3500" i="9"/>
  <c r="F3500" i="9"/>
  <c r="H3476" i="9"/>
  <c r="G3476" i="9"/>
  <c r="F3476" i="9"/>
  <c r="H3452" i="9"/>
  <c r="G3452" i="9"/>
  <c r="F3452" i="9"/>
  <c r="H3428" i="9"/>
  <c r="G3428" i="9"/>
  <c r="F3428" i="9"/>
  <c r="H3404" i="9"/>
  <c r="G3404" i="9"/>
  <c r="F3404" i="9"/>
  <c r="H2780" i="9"/>
  <c r="G2780" i="9"/>
  <c r="F2780" i="9"/>
  <c r="H2756" i="9"/>
  <c r="G2756" i="9"/>
  <c r="F2756" i="9"/>
  <c r="H2732" i="9"/>
  <c r="G2732" i="9"/>
  <c r="F2732" i="9"/>
  <c r="H2708" i="9"/>
  <c r="G2708" i="9"/>
  <c r="F2708" i="9"/>
  <c r="H2684" i="9"/>
  <c r="G2684" i="9"/>
  <c r="F2684" i="9"/>
  <c r="H2660" i="9"/>
  <c r="G2660" i="9"/>
  <c r="F2660" i="9"/>
  <c r="H2636" i="9"/>
  <c r="G2636" i="9"/>
  <c r="F2636" i="9"/>
  <c r="H2612" i="9"/>
  <c r="G2612" i="9"/>
  <c r="F2612" i="9"/>
  <c r="H2588" i="9"/>
  <c r="G2588" i="9"/>
  <c r="F2588" i="9"/>
  <c r="H2564" i="9"/>
  <c r="G2564" i="9"/>
  <c r="F2564" i="9"/>
  <c r="G2540" i="9"/>
  <c r="F2540" i="9"/>
  <c r="H2540" i="9"/>
  <c r="G2468" i="9"/>
  <c r="F2468" i="9"/>
  <c r="H2468" i="9"/>
  <c r="G2444" i="9"/>
  <c r="F2444" i="9"/>
  <c r="H2444" i="9"/>
  <c r="G2420" i="9"/>
  <c r="F2420" i="9"/>
  <c r="H2420" i="9"/>
  <c r="F2396" i="9"/>
  <c r="H2396" i="9"/>
  <c r="G2396" i="9"/>
  <c r="F2372" i="9"/>
  <c r="H2372" i="9"/>
  <c r="G2372" i="9"/>
  <c r="F2348" i="9"/>
  <c r="H2348" i="9"/>
  <c r="G2348" i="9"/>
  <c r="G2324" i="9"/>
  <c r="F2324" i="9"/>
  <c r="H2324" i="9"/>
  <c r="G2300" i="9"/>
  <c r="F2300" i="9"/>
  <c r="H2300" i="9"/>
  <c r="G2276" i="9"/>
  <c r="F2276" i="9"/>
  <c r="H2276" i="9"/>
  <c r="G2252" i="9"/>
  <c r="F2252" i="9"/>
  <c r="H2252" i="9"/>
  <c r="G2228" i="9"/>
  <c r="F2228" i="9"/>
  <c r="H2228" i="9"/>
  <c r="G2204" i="9"/>
  <c r="F2204" i="9"/>
  <c r="H2204" i="9"/>
  <c r="G2180" i="9"/>
  <c r="F2180" i="9"/>
  <c r="H2180" i="9"/>
  <c r="G2156" i="9"/>
  <c r="F2156" i="9"/>
  <c r="H2156" i="9"/>
  <c r="G2132" i="9"/>
  <c r="F2132" i="9"/>
  <c r="H2132" i="9"/>
  <c r="G2108" i="9"/>
  <c r="F2108" i="9"/>
  <c r="H2108" i="9"/>
  <c r="G2084" i="9"/>
  <c r="F2084" i="9"/>
  <c r="H2084" i="9"/>
  <c r="G2060" i="9"/>
  <c r="F2060" i="9"/>
  <c r="H2060" i="9"/>
  <c r="G2036" i="9"/>
  <c r="F2036" i="9"/>
  <c r="H2036" i="9"/>
  <c r="K1966" i="9"/>
  <c r="J1966" i="9"/>
  <c r="I1966" i="9"/>
  <c r="H1931" i="9"/>
  <c r="G1931" i="9"/>
  <c r="F1931" i="9"/>
  <c r="F1822" i="9"/>
  <c r="H1822" i="9"/>
  <c r="G1822" i="9"/>
  <c r="G1787" i="9"/>
  <c r="F1787" i="9"/>
  <c r="H1787" i="9"/>
  <c r="G1713" i="9"/>
  <c r="F1713" i="9"/>
  <c r="H1713" i="9"/>
  <c r="F1678" i="9"/>
  <c r="H1678" i="9"/>
  <c r="G1678" i="9"/>
  <c r="G1643" i="9"/>
  <c r="F1643" i="9"/>
  <c r="H1643" i="9"/>
  <c r="G1569" i="9"/>
  <c r="F1569" i="9"/>
  <c r="H1569" i="9"/>
  <c r="F4546" i="9"/>
  <c r="H4546" i="9"/>
  <c r="G4546" i="9"/>
  <c r="H4354" i="9"/>
  <c r="G4354" i="9"/>
  <c r="F4354" i="9"/>
  <c r="H4273" i="9"/>
  <c r="G4273" i="9"/>
  <c r="F4273" i="9"/>
  <c r="K4169" i="9"/>
  <c r="J4169" i="9"/>
  <c r="I4169" i="9"/>
  <c r="K4097" i="9"/>
  <c r="J4097" i="9"/>
  <c r="I4097" i="9"/>
  <c r="G3996" i="9"/>
  <c r="F3996" i="9"/>
  <c r="H3996" i="9"/>
  <c r="K3851" i="9"/>
  <c r="J3851" i="9"/>
  <c r="I3851" i="9"/>
  <c r="H3744" i="9"/>
  <c r="G3744" i="9"/>
  <c r="F3744" i="9"/>
  <c r="K3706" i="9"/>
  <c r="J3706" i="9"/>
  <c r="I3706" i="9"/>
  <c r="K3634" i="9"/>
  <c r="J3634" i="9"/>
  <c r="I3634" i="9"/>
  <c r="H3562" i="9"/>
  <c r="G3562" i="9"/>
  <c r="F3562" i="9"/>
  <c r="H3490" i="9"/>
  <c r="G3490" i="9"/>
  <c r="F3490" i="9"/>
  <c r="H3418" i="9"/>
  <c r="G3418" i="9"/>
  <c r="F3418" i="9"/>
  <c r="K3202" i="9"/>
  <c r="J3202" i="9"/>
  <c r="I3202" i="9"/>
  <c r="K3130" i="9"/>
  <c r="J3130" i="9"/>
  <c r="I3130" i="9"/>
  <c r="K3058" i="9"/>
  <c r="J3058" i="9"/>
  <c r="I3058" i="9"/>
  <c r="F2986" i="9"/>
  <c r="H2986" i="9"/>
  <c r="G2986" i="9"/>
  <c r="F2914" i="9"/>
  <c r="H2914" i="9"/>
  <c r="G2914" i="9"/>
  <c r="F2842" i="9"/>
  <c r="H2842" i="9"/>
  <c r="G2842" i="9"/>
  <c r="H2770" i="9"/>
  <c r="G2770" i="9"/>
  <c r="F2770" i="9"/>
  <c r="H2698" i="9"/>
  <c r="G2698" i="9"/>
  <c r="F2698" i="9"/>
  <c r="H2626" i="9"/>
  <c r="G2626" i="9"/>
  <c r="F2626" i="9"/>
  <c r="H2554" i="9"/>
  <c r="G2554" i="9"/>
  <c r="F2554" i="9"/>
  <c r="K2050" i="9"/>
  <c r="J2050" i="9"/>
  <c r="I2050" i="9"/>
  <c r="H2005" i="9"/>
  <c r="G2005" i="9"/>
  <c r="F2005" i="9"/>
  <c r="H1935" i="9"/>
  <c r="F1935" i="9"/>
  <c r="G1935" i="9"/>
  <c r="H1900" i="9"/>
  <c r="G1900" i="9"/>
  <c r="F1900" i="9"/>
  <c r="H1861" i="9"/>
  <c r="G1861" i="9"/>
  <c r="F1861" i="9"/>
  <c r="H1791" i="9"/>
  <c r="F1791" i="9"/>
  <c r="G1791" i="9"/>
  <c r="K1756" i="9"/>
  <c r="J1756" i="9"/>
  <c r="I1756" i="9"/>
  <c r="H1682" i="9"/>
  <c r="G1682" i="9"/>
  <c r="F1682" i="9"/>
  <c r="K1612" i="9"/>
  <c r="J1612" i="9"/>
  <c r="I1612" i="9"/>
  <c r="H1538" i="9"/>
  <c r="G1538" i="9"/>
  <c r="F1538" i="9"/>
  <c r="H881" i="9"/>
  <c r="G881" i="9"/>
  <c r="F881" i="9"/>
  <c r="K829" i="9"/>
  <c r="J829" i="9"/>
  <c r="I829" i="9"/>
  <c r="K793" i="9"/>
  <c r="J793" i="9"/>
  <c r="I793" i="9"/>
  <c r="K781" i="9"/>
  <c r="J781" i="9"/>
  <c r="I781" i="9"/>
  <c r="K733" i="9"/>
  <c r="J733" i="9"/>
  <c r="I733" i="9"/>
  <c r="H637" i="9"/>
  <c r="G637" i="9"/>
  <c r="F637" i="9"/>
  <c r="K577" i="9"/>
  <c r="J577" i="9"/>
  <c r="I577" i="9"/>
  <c r="K457" i="9"/>
  <c r="J457" i="9"/>
  <c r="I457" i="9"/>
  <c r="K445" i="9"/>
  <c r="J445" i="9"/>
  <c r="I445" i="9"/>
  <c r="K433" i="9"/>
  <c r="J433" i="9"/>
  <c r="I433" i="9"/>
  <c r="K421" i="9"/>
  <c r="J421" i="9"/>
  <c r="I421" i="9"/>
  <c r="K409" i="9"/>
  <c r="J409" i="9"/>
  <c r="I409" i="9"/>
  <c r="K397" i="9"/>
  <c r="J397" i="9"/>
  <c r="I397" i="9"/>
  <c r="H377" i="9"/>
  <c r="G377" i="9"/>
  <c r="F377" i="9"/>
  <c r="H349" i="9"/>
  <c r="G349" i="9"/>
  <c r="F349" i="9"/>
  <c r="H325" i="9"/>
  <c r="G325" i="9"/>
  <c r="F325" i="9"/>
  <c r="H301" i="9"/>
  <c r="G301" i="9"/>
  <c r="F301" i="9"/>
  <c r="H277" i="9"/>
  <c r="G277" i="9"/>
  <c r="F277" i="9"/>
  <c r="H253" i="9"/>
  <c r="G253" i="9"/>
  <c r="F253" i="9"/>
  <c r="F237" i="9"/>
  <c r="H237" i="9"/>
  <c r="G237" i="9"/>
  <c r="H217" i="9"/>
  <c r="G217" i="9"/>
  <c r="F217" i="9"/>
  <c r="F189" i="9"/>
  <c r="H189" i="9"/>
  <c r="G189" i="9"/>
  <c r="F165" i="9"/>
  <c r="H165" i="9"/>
  <c r="G165" i="9"/>
  <c r="H145" i="9"/>
  <c r="G145" i="9"/>
  <c r="F145" i="9"/>
  <c r="F117" i="9"/>
  <c r="H117" i="9"/>
  <c r="G117" i="9"/>
  <c r="H97" i="9"/>
  <c r="G97" i="9"/>
  <c r="F97" i="9"/>
  <c r="F81" i="9"/>
  <c r="H81" i="9"/>
  <c r="G81" i="9"/>
  <c r="F69" i="9"/>
  <c r="H69" i="9"/>
  <c r="G69" i="9"/>
  <c r="F45" i="9"/>
  <c r="H45" i="9"/>
  <c r="G45" i="9"/>
  <c r="H25" i="9"/>
  <c r="G25" i="9"/>
  <c r="F25" i="9"/>
  <c r="F9" i="9"/>
  <c r="H9" i="9"/>
  <c r="G9" i="9"/>
  <c r="H5110" i="9"/>
  <c r="G5110" i="9"/>
  <c r="F5110" i="9"/>
  <c r="H4668" i="9"/>
  <c r="G4668" i="9"/>
  <c r="F4668" i="9"/>
  <c r="H4476" i="9"/>
  <c r="G4476" i="9"/>
  <c r="F4476" i="9"/>
  <c r="G4406" i="9"/>
  <c r="F4406" i="9"/>
  <c r="H4406" i="9"/>
  <c r="H4284" i="9"/>
  <c r="G4284" i="9"/>
  <c r="F4284" i="9"/>
  <c r="G4214" i="9"/>
  <c r="F4214" i="9"/>
  <c r="H4214" i="9"/>
  <c r="H4006" i="9"/>
  <c r="G4006" i="9"/>
  <c r="F4006" i="9"/>
  <c r="H3980" i="9"/>
  <c r="G3980" i="9"/>
  <c r="F3980" i="9"/>
  <c r="H3841" i="9"/>
  <c r="G3841" i="9"/>
  <c r="F3841" i="9"/>
  <c r="G3796" i="9"/>
  <c r="F3796" i="9"/>
  <c r="H3796" i="9"/>
  <c r="H3757" i="9"/>
  <c r="G3757" i="9"/>
  <c r="F3757" i="9"/>
  <c r="F3725" i="9"/>
  <c r="H3725" i="9"/>
  <c r="G3725" i="9"/>
  <c r="F3701" i="9"/>
  <c r="H3701" i="9"/>
  <c r="G3701" i="9"/>
  <c r="F3677" i="9"/>
  <c r="H3677" i="9"/>
  <c r="G3677" i="9"/>
  <c r="F3653" i="9"/>
  <c r="G3653" i="9"/>
  <c r="H3653" i="9"/>
  <c r="K3605" i="9"/>
  <c r="J3605" i="9"/>
  <c r="I3605" i="9"/>
  <c r="K3581" i="9"/>
  <c r="J3581" i="9"/>
  <c r="I3581" i="9"/>
  <c r="K3557" i="9"/>
  <c r="J3557" i="9"/>
  <c r="I3557" i="9"/>
  <c r="K3533" i="9"/>
  <c r="J3533" i="9"/>
  <c r="I3533" i="9"/>
  <c r="K3509" i="9"/>
  <c r="J3509" i="9"/>
  <c r="I3509" i="9"/>
  <c r="K3485" i="9"/>
  <c r="J3485" i="9"/>
  <c r="I3485" i="9"/>
  <c r="K3461" i="9"/>
  <c r="J3461" i="9"/>
  <c r="I3461" i="9"/>
  <c r="K3437" i="9"/>
  <c r="J3437" i="9"/>
  <c r="I3437" i="9"/>
  <c r="K3413" i="9"/>
  <c r="J3413" i="9"/>
  <c r="I3413" i="9"/>
  <c r="K3389" i="9"/>
  <c r="J3389" i="9"/>
  <c r="I3389" i="9"/>
  <c r="K3365" i="9"/>
  <c r="J3365" i="9"/>
  <c r="I3365" i="9"/>
  <c r="F3341" i="9"/>
  <c r="H3341" i="9"/>
  <c r="G3341" i="9"/>
  <c r="F3317" i="9"/>
  <c r="H3317" i="9"/>
  <c r="G3317" i="9"/>
  <c r="F3293" i="9"/>
  <c r="H3293" i="9"/>
  <c r="G3293" i="9"/>
  <c r="F3269" i="9"/>
  <c r="H3269" i="9"/>
  <c r="G3269" i="9"/>
  <c r="F3245" i="9"/>
  <c r="H3245" i="9"/>
  <c r="G3245" i="9"/>
  <c r="F3221" i="9"/>
  <c r="G3221" i="9"/>
  <c r="H3221" i="9"/>
  <c r="F3197" i="9"/>
  <c r="G3197" i="9"/>
  <c r="H3197" i="9"/>
  <c r="F3173" i="9"/>
  <c r="G3173" i="9"/>
  <c r="H3173" i="9"/>
  <c r="F3149" i="9"/>
  <c r="G3149" i="9"/>
  <c r="H3149" i="9"/>
  <c r="F3125" i="9"/>
  <c r="G3125" i="9"/>
  <c r="H3125" i="9"/>
  <c r="F3101" i="9"/>
  <c r="G3101" i="9"/>
  <c r="H3101" i="9"/>
  <c r="F3077" i="9"/>
  <c r="G3077" i="9"/>
  <c r="H3077" i="9"/>
  <c r="F3053" i="9"/>
  <c r="G3053" i="9"/>
  <c r="H3053" i="9"/>
  <c r="K2765" i="9"/>
  <c r="J2765" i="9"/>
  <c r="I2765" i="9"/>
  <c r="K2741" i="9"/>
  <c r="J2741" i="9"/>
  <c r="I2741" i="9"/>
  <c r="K2717" i="9"/>
  <c r="J2717" i="9"/>
  <c r="I2717" i="9"/>
  <c r="K2693" i="9"/>
  <c r="J2693" i="9"/>
  <c r="I2693" i="9"/>
  <c r="K2669" i="9"/>
  <c r="J2669" i="9"/>
  <c r="I2669" i="9"/>
  <c r="K2645" i="9"/>
  <c r="J2645" i="9"/>
  <c r="I2645" i="9"/>
  <c r="K2621" i="9"/>
  <c r="J2621" i="9"/>
  <c r="I2621" i="9"/>
  <c r="K2597" i="9"/>
  <c r="J2597" i="9"/>
  <c r="I2597" i="9"/>
  <c r="K2573" i="9"/>
  <c r="J2573" i="9"/>
  <c r="I2573" i="9"/>
  <c r="J2549" i="9"/>
  <c r="I2549" i="9"/>
  <c r="K2549" i="9"/>
  <c r="J2525" i="9"/>
  <c r="I2525" i="9"/>
  <c r="K2525" i="9"/>
  <c r="G2477" i="9"/>
  <c r="F2477" i="9"/>
  <c r="H2477" i="9"/>
  <c r="H2453" i="9"/>
  <c r="G2453" i="9"/>
  <c r="F2453" i="9"/>
  <c r="H2429" i="9"/>
  <c r="G2429" i="9"/>
  <c r="F2429" i="9"/>
  <c r="H2405" i="9"/>
  <c r="G2405" i="9"/>
  <c r="F2405" i="9"/>
  <c r="H2381" i="9"/>
  <c r="G2381" i="9"/>
  <c r="F2381" i="9"/>
  <c r="H2357" i="9"/>
  <c r="G2357" i="9"/>
  <c r="F2357" i="9"/>
  <c r="H2309" i="9"/>
  <c r="G2309" i="9"/>
  <c r="F2309" i="9"/>
  <c r="H2285" i="9"/>
  <c r="G2285" i="9"/>
  <c r="F2285" i="9"/>
  <c r="H2261" i="9"/>
  <c r="G2261" i="9"/>
  <c r="F2261" i="9"/>
  <c r="H2237" i="9"/>
  <c r="G2237" i="9"/>
  <c r="F2237" i="9"/>
  <c r="H2213" i="9"/>
  <c r="G2213" i="9"/>
  <c r="F2213" i="9"/>
  <c r="H2189" i="9"/>
  <c r="G2189" i="9"/>
  <c r="F2189" i="9"/>
  <c r="H2165" i="9"/>
  <c r="G2165" i="9"/>
  <c r="F2165" i="9"/>
  <c r="H2141" i="9"/>
  <c r="G2141" i="9"/>
  <c r="F2141" i="9"/>
  <c r="H2117" i="9"/>
  <c r="G2117" i="9"/>
  <c r="F2117" i="9"/>
  <c r="H2093" i="9"/>
  <c r="G2093" i="9"/>
  <c r="F2093" i="9"/>
  <c r="F1987" i="9"/>
  <c r="H1987" i="9"/>
  <c r="G1987" i="9"/>
  <c r="G1952" i="9"/>
  <c r="F1952" i="9"/>
  <c r="H1952" i="9"/>
  <c r="F1843" i="9"/>
  <c r="H1843" i="9"/>
  <c r="G1843" i="9"/>
  <c r="F1808" i="9"/>
  <c r="H1808" i="9"/>
  <c r="G1808" i="9"/>
  <c r="H1769" i="9"/>
  <c r="G1769" i="9"/>
  <c r="F1769" i="9"/>
  <c r="H1734" i="9"/>
  <c r="G1734" i="9"/>
  <c r="F1734" i="9"/>
  <c r="H1699" i="9"/>
  <c r="G1699" i="9"/>
  <c r="F1699" i="9"/>
  <c r="H1664" i="9"/>
  <c r="G1664" i="9"/>
  <c r="F1664" i="9"/>
  <c r="H1625" i="9"/>
  <c r="G1625" i="9"/>
  <c r="F1625" i="9"/>
  <c r="H1590" i="9"/>
  <c r="G1590" i="9"/>
  <c r="F1590" i="9"/>
  <c r="G1555" i="9"/>
  <c r="F1555" i="9"/>
  <c r="H1555" i="9"/>
  <c r="K1381" i="9"/>
  <c r="J1381" i="9"/>
  <c r="I1381" i="9"/>
  <c r="K1369" i="9"/>
  <c r="J1369" i="9"/>
  <c r="I1369" i="9"/>
  <c r="K1357" i="9"/>
  <c r="J1357" i="9"/>
  <c r="I1357" i="9"/>
  <c r="K1345" i="9"/>
  <c r="J1345" i="9"/>
  <c r="I1345" i="9"/>
  <c r="H941" i="9"/>
  <c r="G941" i="9"/>
  <c r="F941" i="9"/>
  <c r="H857" i="9"/>
  <c r="G857" i="9"/>
  <c r="F857" i="9"/>
  <c r="H833" i="9"/>
  <c r="G833" i="9"/>
  <c r="F833" i="9"/>
  <c r="H817" i="9"/>
  <c r="G817" i="9"/>
  <c r="F817" i="9"/>
  <c r="H797" i="9"/>
  <c r="G797" i="9"/>
  <c r="F797" i="9"/>
  <c r="K613" i="9"/>
  <c r="J613" i="9"/>
  <c r="I613" i="9"/>
  <c r="K589" i="9"/>
  <c r="J589" i="9"/>
  <c r="I589" i="9"/>
  <c r="K517" i="9"/>
  <c r="J517" i="9"/>
  <c r="I517" i="9"/>
  <c r="H373" i="9"/>
  <c r="G373" i="9"/>
  <c r="F373" i="9"/>
  <c r="H353" i="9"/>
  <c r="G353" i="9"/>
  <c r="F353" i="9"/>
  <c r="H329" i="9"/>
  <c r="G329" i="9"/>
  <c r="F329" i="9"/>
  <c r="F309" i="9"/>
  <c r="H309" i="9"/>
  <c r="G309" i="9"/>
  <c r="H281" i="9"/>
  <c r="G281" i="9"/>
  <c r="F281" i="9"/>
  <c r="H257" i="9"/>
  <c r="G257" i="9"/>
  <c r="F257" i="9"/>
  <c r="F225" i="9"/>
  <c r="H225" i="9"/>
  <c r="G225" i="9"/>
  <c r="H197" i="9"/>
  <c r="G197" i="9"/>
  <c r="F197" i="9"/>
  <c r="H173" i="9"/>
  <c r="G173" i="9"/>
  <c r="F173" i="9"/>
  <c r="F153" i="9"/>
  <c r="H153" i="9"/>
  <c r="G153" i="9"/>
  <c r="F129" i="9"/>
  <c r="H129" i="9"/>
  <c r="G129" i="9"/>
  <c r="F105" i="9"/>
  <c r="H105" i="9"/>
  <c r="G105" i="9"/>
  <c r="H61" i="9"/>
  <c r="G61" i="9"/>
  <c r="F61" i="9"/>
  <c r="F33" i="9"/>
  <c r="H33" i="9"/>
  <c r="G33" i="9"/>
  <c r="H4237" i="9"/>
  <c r="G4237" i="9"/>
  <c r="F4237" i="9"/>
  <c r="F4069" i="9"/>
  <c r="H4069" i="9"/>
  <c r="G4069" i="9"/>
  <c r="H3969" i="9"/>
  <c r="G3969" i="9"/>
  <c r="F3969" i="9"/>
  <c r="H3901" i="9"/>
  <c r="G3901" i="9"/>
  <c r="F3901" i="9"/>
  <c r="K3850" i="9"/>
  <c r="J3850" i="9"/>
  <c r="I3850" i="9"/>
  <c r="F3761" i="9"/>
  <c r="H3761" i="9"/>
  <c r="G3761" i="9"/>
  <c r="H3710" i="9"/>
  <c r="G3710" i="9"/>
  <c r="F3710" i="9"/>
  <c r="H3350" i="9"/>
  <c r="G3350" i="9"/>
  <c r="F3350" i="9"/>
  <c r="H3278" i="9"/>
  <c r="G3278" i="9"/>
  <c r="F3278" i="9"/>
  <c r="I3206" i="9"/>
  <c r="J3206" i="9"/>
  <c r="K3206" i="9"/>
  <c r="I3134" i="9"/>
  <c r="J3134" i="9"/>
  <c r="K3134" i="9"/>
  <c r="I3062" i="9"/>
  <c r="J3062" i="9"/>
  <c r="K3062" i="9"/>
  <c r="H2990" i="9"/>
  <c r="F2990" i="9"/>
  <c r="G2990" i="9"/>
  <c r="H2918" i="9"/>
  <c r="F2918" i="9"/>
  <c r="G2918" i="9"/>
  <c r="H2846" i="9"/>
  <c r="F2846" i="9"/>
  <c r="G2846" i="9"/>
  <c r="J2486" i="9"/>
  <c r="I2486" i="9"/>
  <c r="K2486" i="9"/>
  <c r="K1930" i="9"/>
  <c r="J1930" i="9"/>
  <c r="I1930" i="9"/>
  <c r="H1895" i="9"/>
  <c r="G1895" i="9"/>
  <c r="F1895" i="9"/>
  <c r="F1786" i="9"/>
  <c r="H1786" i="9"/>
  <c r="G1786" i="9"/>
  <c r="G1751" i="9"/>
  <c r="F1751" i="9"/>
  <c r="H1751" i="9"/>
  <c r="G1677" i="9"/>
  <c r="F1677" i="9"/>
  <c r="H1677" i="9"/>
  <c r="F1642" i="9"/>
  <c r="H1642" i="9"/>
  <c r="G1642" i="9"/>
  <c r="G1607" i="9"/>
  <c r="F1607" i="9"/>
  <c r="H1607" i="9"/>
  <c r="G1533" i="9"/>
  <c r="H1533" i="9"/>
  <c r="F1533" i="9"/>
  <c r="K6575" i="9"/>
  <c r="J6575" i="9"/>
  <c r="I6575" i="9"/>
  <c r="F6419" i="9"/>
  <c r="H6419" i="9"/>
  <c r="G6419" i="9"/>
  <c r="H5482" i="9"/>
  <c r="G5482" i="9"/>
  <c r="F5482" i="9"/>
  <c r="K4954" i="9"/>
  <c r="J4954" i="9"/>
  <c r="I4954" i="9"/>
  <c r="K4645" i="9"/>
  <c r="J4645" i="9"/>
  <c r="I4645" i="9"/>
  <c r="K4501" i="9"/>
  <c r="J4501" i="9"/>
  <c r="I4501" i="9"/>
  <c r="K6295" i="9"/>
  <c r="J6295" i="9"/>
  <c r="I6295" i="9"/>
  <c r="H5881" i="9"/>
  <c r="G5881" i="9"/>
  <c r="F5881" i="9"/>
  <c r="H5755" i="9"/>
  <c r="G5755" i="9"/>
  <c r="F5755" i="9"/>
  <c r="F5039" i="9"/>
  <c r="H5039" i="9"/>
  <c r="G5039" i="9"/>
  <c r="K4772" i="9"/>
  <c r="J4772" i="9"/>
  <c r="I4772" i="9"/>
  <c r="K4436" i="9"/>
  <c r="J4436" i="9"/>
  <c r="I4436" i="9"/>
  <c r="K5754" i="9"/>
  <c r="J5754" i="9"/>
  <c r="I5754" i="9"/>
  <c r="H4574" i="9"/>
  <c r="G4574" i="9"/>
  <c r="F4574" i="9"/>
  <c r="F5075" i="9"/>
  <c r="H5075" i="9"/>
  <c r="G5075" i="9"/>
  <c r="H4787" i="9"/>
  <c r="G4787" i="9"/>
  <c r="F4787" i="9"/>
  <c r="K4180" i="9"/>
  <c r="J4180" i="9"/>
  <c r="I4180" i="9"/>
  <c r="I6425" i="9"/>
  <c r="K6425" i="9"/>
  <c r="J6425" i="9"/>
  <c r="K6083" i="9"/>
  <c r="J6083" i="9"/>
  <c r="I6083" i="9"/>
  <c r="H5939" i="9"/>
  <c r="G5939" i="9"/>
  <c r="F5939" i="9"/>
  <c r="H3815" i="9"/>
  <c r="G3815" i="9"/>
  <c r="F3815" i="9"/>
  <c r="J5325" i="9"/>
  <c r="I5325" i="9"/>
  <c r="K5325" i="9"/>
  <c r="H6514" i="9"/>
  <c r="G6514" i="9"/>
  <c r="F6514" i="9"/>
  <c r="H6274" i="9"/>
  <c r="G6274" i="9"/>
  <c r="F6274" i="9"/>
  <c r="H5079" i="9"/>
  <c r="G5079" i="9"/>
  <c r="F5079" i="9"/>
  <c r="K5308" i="9"/>
  <c r="J5308" i="9"/>
  <c r="I5308" i="9"/>
  <c r="K5985" i="9"/>
  <c r="J5985" i="9"/>
  <c r="I5985" i="9"/>
  <c r="K5805" i="9"/>
  <c r="J5805" i="9"/>
  <c r="I5805" i="9"/>
  <c r="H5601" i="9"/>
  <c r="G5601" i="9"/>
  <c r="F5601" i="9"/>
  <c r="J5313" i="9"/>
  <c r="I5313" i="9"/>
  <c r="K5313" i="9"/>
  <c r="G5403" i="9"/>
  <c r="F5403" i="9"/>
  <c r="H5403" i="9"/>
  <c r="H4923" i="9"/>
  <c r="G4923" i="9"/>
  <c r="F4923" i="9"/>
  <c r="H3532" i="9"/>
  <c r="G3532" i="9"/>
  <c r="F3532" i="9"/>
  <c r="K2884" i="9"/>
  <c r="J2884" i="9"/>
  <c r="I2884" i="9"/>
  <c r="H2644" i="9"/>
  <c r="G2644" i="9"/>
  <c r="F2644" i="9"/>
  <c r="K1659" i="9"/>
  <c r="J1659" i="9"/>
  <c r="I1659" i="9"/>
  <c r="K420" i="9"/>
  <c r="I420" i="9"/>
  <c r="J420" i="9"/>
  <c r="K192" i="9"/>
  <c r="J192" i="9"/>
  <c r="I192" i="9"/>
  <c r="H2706" i="9"/>
  <c r="G2706" i="9"/>
  <c r="F2706" i="9"/>
  <c r="G1938" i="9"/>
  <c r="F1938" i="9"/>
  <c r="H1938" i="9"/>
  <c r="K1488" i="9"/>
  <c r="J1488" i="9"/>
  <c r="I1488" i="9"/>
  <c r="F1380" i="9"/>
  <c r="H1380" i="9"/>
  <c r="G1380" i="9"/>
  <c r="K624" i="9"/>
  <c r="I624" i="9"/>
  <c r="J624" i="9"/>
  <c r="K456" i="9"/>
  <c r="I456" i="9"/>
  <c r="J456" i="9"/>
  <c r="K4934" i="9"/>
  <c r="J4934" i="9"/>
  <c r="I4934" i="9"/>
  <c r="K3603" i="9"/>
  <c r="J3603" i="9"/>
  <c r="I3603" i="9"/>
  <c r="K3387" i="9"/>
  <c r="J3387" i="9"/>
  <c r="I3387" i="9"/>
  <c r="K2715" i="9"/>
  <c r="J2715" i="9"/>
  <c r="I2715" i="9"/>
  <c r="H2475" i="9"/>
  <c r="G2475" i="9"/>
  <c r="F2475" i="9"/>
  <c r="K1968" i="9"/>
  <c r="I1968" i="9"/>
  <c r="J1968" i="9"/>
  <c r="K1536" i="9"/>
  <c r="J1536" i="9"/>
  <c r="I1536" i="9"/>
  <c r="G3190" i="9"/>
  <c r="F3190" i="9"/>
  <c r="H3190" i="9"/>
  <c r="F2398" i="9"/>
  <c r="H2398" i="9"/>
  <c r="G2398" i="9"/>
  <c r="G1898" i="9"/>
  <c r="F1898" i="9"/>
  <c r="H1898" i="9"/>
  <c r="H195" i="9"/>
  <c r="G195" i="9"/>
  <c r="F195" i="9"/>
  <c r="H5185" i="9"/>
  <c r="F5185" i="9"/>
  <c r="G5185" i="9"/>
  <c r="J3655" i="9"/>
  <c r="I3655" i="9"/>
  <c r="K3655" i="9"/>
  <c r="J3175" i="9"/>
  <c r="I3175" i="9"/>
  <c r="K3175" i="9"/>
  <c r="K1307" i="9"/>
  <c r="J1307" i="9"/>
  <c r="I1307" i="9"/>
  <c r="K1139" i="9"/>
  <c r="J1139" i="9"/>
  <c r="I1139" i="9"/>
  <c r="K995" i="9"/>
  <c r="J995" i="9"/>
  <c r="I995" i="9"/>
  <c r="K851" i="9"/>
  <c r="J851" i="9"/>
  <c r="I851" i="9"/>
  <c r="I3650" i="9"/>
  <c r="K3650" i="9"/>
  <c r="J3650" i="9"/>
  <c r="I3074" i="9"/>
  <c r="K3074" i="9"/>
  <c r="J3074" i="9"/>
  <c r="H2354" i="9"/>
  <c r="G2354" i="9"/>
  <c r="F2354" i="9"/>
  <c r="H1906" i="9"/>
  <c r="G1906" i="9"/>
  <c r="F1906" i="9"/>
  <c r="H3424" i="9"/>
  <c r="G3424" i="9"/>
  <c r="F3424" i="9"/>
  <c r="K4524" i="9"/>
  <c r="J4524" i="9"/>
  <c r="I4524" i="9"/>
  <c r="H2646" i="9"/>
  <c r="G2646" i="9"/>
  <c r="F2646" i="9"/>
  <c r="K826" i="9"/>
  <c r="J826" i="9"/>
  <c r="I826" i="9"/>
  <c r="H718" i="9"/>
  <c r="G718" i="9"/>
  <c r="F718" i="9"/>
  <c r="H610" i="9"/>
  <c r="G610" i="9"/>
  <c r="F610" i="9"/>
  <c r="H514" i="9"/>
  <c r="G514" i="9"/>
  <c r="F514" i="9"/>
  <c r="H418" i="9"/>
  <c r="G418" i="9"/>
  <c r="F418" i="9"/>
  <c r="H3380" i="9"/>
  <c r="G3380" i="9"/>
  <c r="F3380" i="9"/>
  <c r="H3140" i="9"/>
  <c r="G3140" i="9"/>
  <c r="F3140" i="9"/>
  <c r="K2900" i="9"/>
  <c r="J2900" i="9"/>
  <c r="I2900" i="9"/>
  <c r="G1966" i="9"/>
  <c r="F1966" i="9"/>
  <c r="H1966" i="9"/>
  <c r="H4169" i="9"/>
  <c r="G4169" i="9"/>
  <c r="F4169" i="9"/>
  <c r="G3058" i="9"/>
  <c r="F3058" i="9"/>
  <c r="H3058" i="9"/>
  <c r="H2410" i="9"/>
  <c r="G2410" i="9"/>
  <c r="F2410" i="9"/>
  <c r="H937" i="9"/>
  <c r="G937" i="9"/>
  <c r="F937" i="9"/>
  <c r="H4598" i="9"/>
  <c r="G4598" i="9"/>
  <c r="F4598" i="9"/>
  <c r="K3896" i="9"/>
  <c r="J3896" i="9"/>
  <c r="I3896" i="9"/>
  <c r="H3509" i="9"/>
  <c r="G3509" i="9"/>
  <c r="F3509" i="9"/>
  <c r="F3005" i="9"/>
  <c r="H3005" i="9"/>
  <c r="G3005" i="9"/>
  <c r="F2789" i="9"/>
  <c r="H2789" i="9"/>
  <c r="G2789" i="9"/>
  <c r="K1501" i="9"/>
  <c r="J1501" i="9"/>
  <c r="I1501" i="9"/>
  <c r="H1381" i="9"/>
  <c r="G1381" i="9"/>
  <c r="F1381" i="9"/>
  <c r="K1261" i="9"/>
  <c r="J1261" i="9"/>
  <c r="I1261" i="9"/>
  <c r="K1165" i="9"/>
  <c r="J1165" i="9"/>
  <c r="I1165" i="9"/>
  <c r="K1069" i="9"/>
  <c r="J1069" i="9"/>
  <c r="I1069" i="9"/>
  <c r="H961" i="9"/>
  <c r="G961" i="9"/>
  <c r="F961" i="9"/>
  <c r="H613" i="9"/>
  <c r="G613" i="9"/>
  <c r="F613" i="9"/>
  <c r="K2004" i="9"/>
  <c r="I2004" i="9"/>
  <c r="J2004" i="9"/>
  <c r="K6527" i="9"/>
  <c r="J6527" i="9"/>
  <c r="I6527" i="9"/>
  <c r="K6515" i="9"/>
  <c r="J6515" i="9"/>
  <c r="I6515" i="9"/>
  <c r="K6503" i="9"/>
  <c r="J6503" i="9"/>
  <c r="I6503" i="9"/>
  <c r="K6491" i="9"/>
  <c r="J6491" i="9"/>
  <c r="I6491" i="9"/>
  <c r="I6407" i="9"/>
  <c r="K6407" i="9"/>
  <c r="J6407" i="9"/>
  <c r="I6395" i="9"/>
  <c r="K6395" i="9"/>
  <c r="J6395" i="9"/>
  <c r="I6383" i="9"/>
  <c r="K6383" i="9"/>
  <c r="J6383" i="9"/>
  <c r="I6371" i="9"/>
  <c r="K6371" i="9"/>
  <c r="J6371" i="9"/>
  <c r="I6359" i="9"/>
  <c r="K6359" i="9"/>
  <c r="J6359" i="9"/>
  <c r="K6604" i="9"/>
  <c r="J6604" i="9"/>
  <c r="I6604" i="9"/>
  <c r="K6592" i="9"/>
  <c r="J6592" i="9"/>
  <c r="I6592" i="9"/>
  <c r="K6580" i="9"/>
  <c r="J6580" i="9"/>
  <c r="I6580" i="9"/>
  <c r="K6568" i="9"/>
  <c r="J6568" i="9"/>
  <c r="I6568" i="9"/>
  <c r="I6556" i="9"/>
  <c r="K6556" i="9"/>
  <c r="J6556" i="9"/>
  <c r="K6544" i="9"/>
  <c r="J6544" i="9"/>
  <c r="I6544" i="9"/>
  <c r="I6532" i="9"/>
  <c r="K6532" i="9"/>
  <c r="J6532" i="9"/>
  <c r="K6520" i="9"/>
  <c r="J6520" i="9"/>
  <c r="I6520" i="9"/>
  <c r="K6508" i="9"/>
  <c r="J6508" i="9"/>
  <c r="I6508" i="9"/>
  <c r="J6496" i="9"/>
  <c r="I6496" i="9"/>
  <c r="K6496" i="9"/>
  <c r="K6484" i="9"/>
  <c r="J6484" i="9"/>
  <c r="I6484" i="9"/>
  <c r="J6472" i="9"/>
  <c r="I6472" i="9"/>
  <c r="K6472" i="9"/>
  <c r="J6460" i="9"/>
  <c r="I6460" i="9"/>
  <c r="K6460" i="9"/>
  <c r="J6448" i="9"/>
  <c r="I6448" i="9"/>
  <c r="K6448" i="9"/>
  <c r="J6436" i="9"/>
  <c r="I6436" i="9"/>
  <c r="K6436" i="9"/>
  <c r="J6424" i="9"/>
  <c r="I6424" i="9"/>
  <c r="K6424" i="9"/>
  <c r="F6412" i="9"/>
  <c r="H6412" i="9"/>
  <c r="G6412" i="9"/>
  <c r="F6400" i="9"/>
  <c r="H6400" i="9"/>
  <c r="G6400" i="9"/>
  <c r="F6388" i="9"/>
  <c r="H6388" i="9"/>
  <c r="G6388" i="9"/>
  <c r="F6376" i="9"/>
  <c r="H6376" i="9"/>
  <c r="G6376" i="9"/>
  <c r="H6364" i="9"/>
  <c r="G6364" i="9"/>
  <c r="F6364" i="9"/>
  <c r="G6352" i="9"/>
  <c r="F6352" i="9"/>
  <c r="H6352" i="9"/>
  <c r="H6340" i="9"/>
  <c r="G6340" i="9"/>
  <c r="F6340" i="9"/>
  <c r="K6328" i="9"/>
  <c r="J6328" i="9"/>
  <c r="I6328" i="9"/>
  <c r="I5674" i="9"/>
  <c r="K5674" i="9"/>
  <c r="J5674" i="9"/>
  <c r="K5653" i="9"/>
  <c r="J5653" i="9"/>
  <c r="I5653" i="9"/>
  <c r="K5626" i="9"/>
  <c r="J5626" i="9"/>
  <c r="I5626" i="9"/>
  <c r="K5605" i="9"/>
  <c r="J5605" i="9"/>
  <c r="I5605" i="9"/>
  <c r="K5578" i="9"/>
  <c r="J5578" i="9"/>
  <c r="I5578" i="9"/>
  <c r="J5557" i="9"/>
  <c r="I5557" i="9"/>
  <c r="K5557" i="9"/>
  <c r="I5530" i="9"/>
  <c r="K5530" i="9"/>
  <c r="J5530" i="9"/>
  <c r="K5509" i="9"/>
  <c r="J5509" i="9"/>
  <c r="I5509" i="9"/>
  <c r="I5482" i="9"/>
  <c r="K5482" i="9"/>
  <c r="J5482" i="9"/>
  <c r="K5461" i="9"/>
  <c r="J5461" i="9"/>
  <c r="I5461" i="9"/>
  <c r="J5434" i="9"/>
  <c r="I5434" i="9"/>
  <c r="K5434" i="9"/>
  <c r="K5413" i="9"/>
  <c r="J5413" i="9"/>
  <c r="I5413" i="9"/>
  <c r="I5386" i="9"/>
  <c r="K5386" i="9"/>
  <c r="J5386" i="9"/>
  <c r="K5365" i="9"/>
  <c r="J5365" i="9"/>
  <c r="I5365" i="9"/>
  <c r="K5338" i="9"/>
  <c r="I5338" i="9"/>
  <c r="J5338" i="9"/>
  <c r="I5317" i="9"/>
  <c r="K5317" i="9"/>
  <c r="J5317" i="9"/>
  <c r="I5290" i="9"/>
  <c r="K5290" i="9"/>
  <c r="J5290" i="9"/>
  <c r="K5242" i="9"/>
  <c r="J5242" i="9"/>
  <c r="I5242" i="9"/>
  <c r="K5194" i="9"/>
  <c r="I5194" i="9"/>
  <c r="J5194" i="9"/>
  <c r="K5146" i="9"/>
  <c r="I5146" i="9"/>
  <c r="J5146" i="9"/>
  <c r="J4789" i="9"/>
  <c r="I4789" i="9"/>
  <c r="K4789" i="9"/>
  <c r="J4741" i="9"/>
  <c r="I4741" i="9"/>
  <c r="K4741" i="9"/>
  <c r="F4426" i="9"/>
  <c r="G4426" i="9"/>
  <c r="H4426" i="9"/>
  <c r="J4405" i="9"/>
  <c r="I4405" i="9"/>
  <c r="K4405" i="9"/>
  <c r="K4378" i="9"/>
  <c r="J4378" i="9"/>
  <c r="I4378" i="9"/>
  <c r="J4357" i="9"/>
  <c r="I4357" i="9"/>
  <c r="K4357" i="9"/>
  <c r="K4330" i="9"/>
  <c r="J4330" i="9"/>
  <c r="I4330" i="9"/>
  <c r="J4309" i="9"/>
  <c r="I4309" i="9"/>
  <c r="K4309" i="9"/>
  <c r="K4282" i="9"/>
  <c r="J4282" i="9"/>
  <c r="I4282" i="9"/>
  <c r="J4261" i="9"/>
  <c r="I4261" i="9"/>
  <c r="K4261" i="9"/>
  <c r="K4234" i="9"/>
  <c r="J4234" i="9"/>
  <c r="I4234" i="9"/>
  <c r="K4213" i="9"/>
  <c r="J4213" i="9"/>
  <c r="I4213" i="9"/>
  <c r="K4177" i="9"/>
  <c r="J4177" i="9"/>
  <c r="I4177" i="9"/>
  <c r="K4148" i="9"/>
  <c r="J4148" i="9"/>
  <c r="I4148" i="9"/>
  <c r="K6601" i="9"/>
  <c r="J6601" i="9"/>
  <c r="I6601" i="9"/>
  <c r="K6565" i="9"/>
  <c r="J6565" i="9"/>
  <c r="I6565" i="9"/>
  <c r="I6529" i="9"/>
  <c r="K6529" i="9"/>
  <c r="J6529" i="9"/>
  <c r="I6493" i="9"/>
  <c r="K6493" i="9"/>
  <c r="J6493" i="9"/>
  <c r="I6385" i="9"/>
  <c r="K6385" i="9"/>
  <c r="J6385" i="9"/>
  <c r="K6349" i="9"/>
  <c r="J6349" i="9"/>
  <c r="I6349" i="9"/>
  <c r="I6313" i="9"/>
  <c r="K6313" i="9"/>
  <c r="J6313" i="9"/>
  <c r="I6277" i="9"/>
  <c r="K6277" i="9"/>
  <c r="J6277" i="9"/>
  <c r="I6241" i="9"/>
  <c r="K6241" i="9"/>
  <c r="J6241" i="9"/>
  <c r="I6205" i="9"/>
  <c r="K6205" i="9"/>
  <c r="J6205" i="9"/>
  <c r="I6169" i="9"/>
  <c r="K6169" i="9"/>
  <c r="J6169" i="9"/>
  <c r="I6115" i="9"/>
  <c r="K6115" i="9"/>
  <c r="J6115" i="9"/>
  <c r="I6079" i="9"/>
  <c r="K6079" i="9"/>
  <c r="J6079" i="9"/>
  <c r="I6043" i="9"/>
  <c r="K6043" i="9"/>
  <c r="J6043" i="9"/>
  <c r="I6007" i="9"/>
  <c r="K6007" i="9"/>
  <c r="J6007" i="9"/>
  <c r="I5989" i="9"/>
  <c r="K5989" i="9"/>
  <c r="J5989" i="9"/>
  <c r="I5953" i="9"/>
  <c r="K5953" i="9"/>
  <c r="J5953" i="9"/>
  <c r="I5917" i="9"/>
  <c r="K5917" i="9"/>
  <c r="J5917" i="9"/>
  <c r="K5881" i="9"/>
  <c r="J5881" i="9"/>
  <c r="I5881" i="9"/>
  <c r="K5863" i="9"/>
  <c r="J5863" i="9"/>
  <c r="I5863" i="9"/>
  <c r="K5845" i="9"/>
  <c r="J5845" i="9"/>
  <c r="I5845" i="9"/>
  <c r="K5827" i="9"/>
  <c r="I5827" i="9"/>
  <c r="J5827" i="9"/>
  <c r="K5809" i="9"/>
  <c r="J5809" i="9"/>
  <c r="I5809" i="9"/>
  <c r="K5791" i="9"/>
  <c r="J5791" i="9"/>
  <c r="I5791" i="9"/>
  <c r="K5773" i="9"/>
  <c r="J5773" i="9"/>
  <c r="I5773" i="9"/>
  <c r="K5737" i="9"/>
  <c r="J5737" i="9"/>
  <c r="I5737" i="9"/>
  <c r="K5701" i="9"/>
  <c r="J5701" i="9"/>
  <c r="I5701" i="9"/>
  <c r="J5663" i="9"/>
  <c r="K5663" i="9"/>
  <c r="I5663" i="9"/>
  <c r="J5615" i="9"/>
  <c r="I5615" i="9"/>
  <c r="K5615" i="9"/>
  <c r="J5567" i="9"/>
  <c r="I5567" i="9"/>
  <c r="K5567" i="9"/>
  <c r="H5519" i="9"/>
  <c r="G5519" i="9"/>
  <c r="F5519" i="9"/>
  <c r="H5471" i="9"/>
  <c r="G5471" i="9"/>
  <c r="F5471" i="9"/>
  <c r="I5423" i="9"/>
  <c r="K5423" i="9"/>
  <c r="J5423" i="9"/>
  <c r="K5375" i="9"/>
  <c r="J5375" i="9"/>
  <c r="I5375" i="9"/>
  <c r="J5327" i="9"/>
  <c r="K5327" i="9"/>
  <c r="I5327" i="9"/>
  <c r="H5279" i="9"/>
  <c r="G5279" i="9"/>
  <c r="F5279" i="9"/>
  <c r="H5231" i="9"/>
  <c r="F5231" i="9"/>
  <c r="G5231" i="9"/>
  <c r="H5183" i="9"/>
  <c r="G5183" i="9"/>
  <c r="F5183" i="9"/>
  <c r="H5135" i="9"/>
  <c r="G5135" i="9"/>
  <c r="F5135" i="9"/>
  <c r="J4415" i="9"/>
  <c r="I4415" i="9"/>
  <c r="K4415" i="9"/>
  <c r="J4367" i="9"/>
  <c r="I4367" i="9"/>
  <c r="K4367" i="9"/>
  <c r="J4319" i="9"/>
  <c r="I4319" i="9"/>
  <c r="K4319" i="9"/>
  <c r="J4271" i="9"/>
  <c r="I4271" i="9"/>
  <c r="K4271" i="9"/>
  <c r="J4223" i="9"/>
  <c r="I4223" i="9"/>
  <c r="K4223" i="9"/>
  <c r="I4186" i="9"/>
  <c r="K4186" i="9"/>
  <c r="J4186" i="9"/>
  <c r="H4143" i="9"/>
  <c r="G4143" i="9"/>
  <c r="F4143" i="9"/>
  <c r="I4114" i="9"/>
  <c r="K4114" i="9"/>
  <c r="J4114" i="9"/>
  <c r="H4071" i="9"/>
  <c r="G4071" i="9"/>
  <c r="F4071" i="9"/>
  <c r="I4042" i="9"/>
  <c r="K4042" i="9"/>
  <c r="J4042" i="9"/>
  <c r="H3999" i="9"/>
  <c r="G3999" i="9"/>
  <c r="F3999" i="9"/>
  <c r="I3970" i="9"/>
  <c r="K3970" i="9"/>
  <c r="J3970" i="9"/>
  <c r="H3927" i="9"/>
  <c r="G3927" i="9"/>
  <c r="F3927" i="9"/>
  <c r="K5684" i="9"/>
  <c r="J5684" i="9"/>
  <c r="I5684" i="9"/>
  <c r="K5492" i="9"/>
  <c r="J5492" i="9"/>
  <c r="I5492" i="9"/>
  <c r="J5444" i="9"/>
  <c r="I5444" i="9"/>
  <c r="K5444" i="9"/>
  <c r="J5396" i="9"/>
  <c r="I5396" i="9"/>
  <c r="K5396" i="9"/>
  <c r="K5348" i="9"/>
  <c r="J5348" i="9"/>
  <c r="I5348" i="9"/>
  <c r="K5300" i="9"/>
  <c r="J5300" i="9"/>
  <c r="I5300" i="9"/>
  <c r="K5252" i="9"/>
  <c r="J5252" i="9"/>
  <c r="I5252" i="9"/>
  <c r="K5204" i="9"/>
  <c r="J5204" i="9"/>
  <c r="I5204" i="9"/>
  <c r="K5156" i="9"/>
  <c r="J5156" i="9"/>
  <c r="I5156" i="9"/>
  <c r="K5108" i="9"/>
  <c r="J5108" i="9"/>
  <c r="I5108" i="9"/>
  <c r="I5060" i="9"/>
  <c r="K5060" i="9"/>
  <c r="J5060" i="9"/>
  <c r="I5012" i="9"/>
  <c r="K5012" i="9"/>
  <c r="J5012" i="9"/>
  <c r="I4964" i="9"/>
  <c r="K4964" i="9"/>
  <c r="J4964" i="9"/>
  <c r="I4916" i="9"/>
  <c r="K4916" i="9"/>
  <c r="J4916" i="9"/>
  <c r="I4868" i="9"/>
  <c r="K4868" i="9"/>
  <c r="J4868" i="9"/>
  <c r="I4820" i="9"/>
  <c r="K4820" i="9"/>
  <c r="J4820" i="9"/>
  <c r="H4676" i="9"/>
  <c r="F4676" i="9"/>
  <c r="G4676" i="9"/>
  <c r="H4628" i="9"/>
  <c r="F4628" i="9"/>
  <c r="G4628" i="9"/>
  <c r="H4580" i="9"/>
  <c r="F4580" i="9"/>
  <c r="G4580" i="9"/>
  <c r="H4532" i="9"/>
  <c r="F4532" i="9"/>
  <c r="G4532" i="9"/>
  <c r="H4484" i="9"/>
  <c r="F4484" i="9"/>
  <c r="G4484" i="9"/>
  <c r="H4436" i="9"/>
  <c r="F4436" i="9"/>
  <c r="G4436" i="9"/>
  <c r="K4128" i="9"/>
  <c r="J4128" i="9"/>
  <c r="I4128" i="9"/>
  <c r="K4056" i="9"/>
  <c r="J4056" i="9"/>
  <c r="I4056" i="9"/>
  <c r="K3984" i="9"/>
  <c r="J3984" i="9"/>
  <c r="I3984" i="9"/>
  <c r="K3912" i="9"/>
  <c r="J3912" i="9"/>
  <c r="I3912" i="9"/>
  <c r="K3869" i="9"/>
  <c r="J3869" i="9"/>
  <c r="I3869" i="9"/>
  <c r="K3840" i="9"/>
  <c r="J3840" i="9"/>
  <c r="I3840" i="9"/>
  <c r="K3797" i="9"/>
  <c r="J3797" i="9"/>
  <c r="I3797" i="9"/>
  <c r="K3768" i="9"/>
  <c r="J3768" i="9"/>
  <c r="I3768" i="9"/>
  <c r="K3737" i="9"/>
  <c r="J3737" i="9"/>
  <c r="I3737" i="9"/>
  <c r="I6582" i="9"/>
  <c r="K6582" i="9"/>
  <c r="J6582" i="9"/>
  <c r="K6546" i="9"/>
  <c r="J6546" i="9"/>
  <c r="I6546" i="9"/>
  <c r="G6510" i="9"/>
  <c r="F6510" i="9"/>
  <c r="H6510" i="9"/>
  <c r="J6474" i="9"/>
  <c r="I6474" i="9"/>
  <c r="K6474" i="9"/>
  <c r="J6438" i="9"/>
  <c r="I6438" i="9"/>
  <c r="K6438" i="9"/>
  <c r="F6330" i="9"/>
  <c r="H6330" i="9"/>
  <c r="G6330" i="9"/>
  <c r="J6312" i="9"/>
  <c r="I6312" i="9"/>
  <c r="K6312" i="9"/>
  <c r="F6294" i="9"/>
  <c r="H6294" i="9"/>
  <c r="G6294" i="9"/>
  <c r="J6276" i="9"/>
  <c r="I6276" i="9"/>
  <c r="K6276" i="9"/>
  <c r="J6240" i="9"/>
  <c r="I6240" i="9"/>
  <c r="K6240" i="9"/>
  <c r="J6204" i="9"/>
  <c r="I6204" i="9"/>
  <c r="K6204" i="9"/>
  <c r="J6168" i="9"/>
  <c r="I6168" i="9"/>
  <c r="K6168" i="9"/>
  <c r="J6114" i="9"/>
  <c r="I6114" i="9"/>
  <c r="K6114" i="9"/>
  <c r="J6078" i="9"/>
  <c r="I6078" i="9"/>
  <c r="K6078" i="9"/>
  <c r="J6042" i="9"/>
  <c r="I6042" i="9"/>
  <c r="K6042" i="9"/>
  <c r="I6006" i="9"/>
  <c r="K6006" i="9"/>
  <c r="J6006" i="9"/>
  <c r="J5988" i="9"/>
  <c r="I5988" i="9"/>
  <c r="K5988" i="9"/>
  <c r="F5970" i="9"/>
  <c r="H5970" i="9"/>
  <c r="G5970" i="9"/>
  <c r="J5952" i="9"/>
  <c r="I5952" i="9"/>
  <c r="K5952" i="9"/>
  <c r="F5934" i="9"/>
  <c r="H5934" i="9"/>
  <c r="G5934" i="9"/>
  <c r="J5916" i="9"/>
  <c r="I5916" i="9"/>
  <c r="K5916" i="9"/>
  <c r="F5898" i="9"/>
  <c r="H5898" i="9"/>
  <c r="G5898" i="9"/>
  <c r="K5862" i="9"/>
  <c r="J5862" i="9"/>
  <c r="I5862" i="9"/>
  <c r="K5826" i="9"/>
  <c r="J5826" i="9"/>
  <c r="I5826" i="9"/>
  <c r="J5790" i="9"/>
  <c r="K5790" i="9"/>
  <c r="I5790" i="9"/>
  <c r="I5736" i="9"/>
  <c r="K5736" i="9"/>
  <c r="J5736" i="9"/>
  <c r="I5700" i="9"/>
  <c r="K5700" i="9"/>
  <c r="J5700" i="9"/>
  <c r="K5678" i="9"/>
  <c r="J5678" i="9"/>
  <c r="I5678" i="9"/>
  <c r="J5630" i="9"/>
  <c r="K5630" i="9"/>
  <c r="I5630" i="9"/>
  <c r="H5609" i="9"/>
  <c r="G5609" i="9"/>
  <c r="F5609" i="9"/>
  <c r="K5582" i="9"/>
  <c r="J5582" i="9"/>
  <c r="I5582" i="9"/>
  <c r="H5561" i="9"/>
  <c r="G5561" i="9"/>
  <c r="F5561" i="9"/>
  <c r="K5534" i="9"/>
  <c r="J5534" i="9"/>
  <c r="I5534" i="9"/>
  <c r="H5513" i="9"/>
  <c r="G5513" i="9"/>
  <c r="F5513" i="9"/>
  <c r="K5486" i="9"/>
  <c r="J5486" i="9"/>
  <c r="I5486" i="9"/>
  <c r="H5465" i="9"/>
  <c r="G5465" i="9"/>
  <c r="F5465" i="9"/>
  <c r="F5438" i="9"/>
  <c r="H5438" i="9"/>
  <c r="G5438" i="9"/>
  <c r="H5390" i="9"/>
  <c r="G5390" i="9"/>
  <c r="F5390" i="9"/>
  <c r="K5342" i="9"/>
  <c r="J5342" i="9"/>
  <c r="I5342" i="9"/>
  <c r="H5321" i="9"/>
  <c r="G5321" i="9"/>
  <c r="F5321" i="9"/>
  <c r="J5273" i="9"/>
  <c r="I5273" i="9"/>
  <c r="K5273" i="9"/>
  <c r="J5225" i="9"/>
  <c r="I5225" i="9"/>
  <c r="K5225" i="9"/>
  <c r="J5177" i="9"/>
  <c r="I5177" i="9"/>
  <c r="K5177" i="9"/>
  <c r="J5129" i="9"/>
  <c r="I5129" i="9"/>
  <c r="K5129" i="9"/>
  <c r="K5081" i="9"/>
  <c r="J5081" i="9"/>
  <c r="I5081" i="9"/>
  <c r="K5033" i="9"/>
  <c r="J5033" i="9"/>
  <c r="I5033" i="9"/>
  <c r="K4985" i="9"/>
  <c r="J4985" i="9"/>
  <c r="I4985" i="9"/>
  <c r="K4937" i="9"/>
  <c r="J4937" i="9"/>
  <c r="I4937" i="9"/>
  <c r="K4889" i="9"/>
  <c r="J4889" i="9"/>
  <c r="I4889" i="9"/>
  <c r="K4841" i="9"/>
  <c r="J4841" i="9"/>
  <c r="I4841" i="9"/>
  <c r="I4814" i="9"/>
  <c r="K4814" i="9"/>
  <c r="J4814" i="9"/>
  <c r="K4793" i="9"/>
  <c r="J4793" i="9"/>
  <c r="I4793" i="9"/>
  <c r="I4766" i="9"/>
  <c r="K4766" i="9"/>
  <c r="J4766" i="9"/>
  <c r="K4745" i="9"/>
  <c r="J4745" i="9"/>
  <c r="I4745" i="9"/>
  <c r="K4718" i="9"/>
  <c r="J4718" i="9"/>
  <c r="I4718" i="9"/>
  <c r="K4697" i="9"/>
  <c r="I4697" i="9"/>
  <c r="J4697" i="9"/>
  <c r="J4670" i="9"/>
  <c r="I4670" i="9"/>
  <c r="K4670" i="9"/>
  <c r="K4649" i="9"/>
  <c r="I4649" i="9"/>
  <c r="J4649" i="9"/>
  <c r="J4622" i="9"/>
  <c r="I4622" i="9"/>
  <c r="K4622" i="9"/>
  <c r="K4601" i="9"/>
  <c r="I4601" i="9"/>
  <c r="J4601" i="9"/>
  <c r="J4574" i="9"/>
  <c r="I4574" i="9"/>
  <c r="K4574" i="9"/>
  <c r="K4553" i="9"/>
  <c r="I4553" i="9"/>
  <c r="J4553" i="9"/>
  <c r="J4526" i="9"/>
  <c r="I4526" i="9"/>
  <c r="K4526" i="9"/>
  <c r="K4505" i="9"/>
  <c r="I4505" i="9"/>
  <c r="J4505" i="9"/>
  <c r="J4478" i="9"/>
  <c r="I4478" i="9"/>
  <c r="K4478" i="9"/>
  <c r="K4457" i="9"/>
  <c r="I4457" i="9"/>
  <c r="J4457" i="9"/>
  <c r="J4430" i="9"/>
  <c r="K4430" i="9"/>
  <c r="I4430" i="9"/>
  <c r="H4409" i="9"/>
  <c r="F4409" i="9"/>
  <c r="G4409" i="9"/>
  <c r="K4382" i="9"/>
  <c r="I4382" i="9"/>
  <c r="J4382" i="9"/>
  <c r="H4361" i="9"/>
  <c r="F4361" i="9"/>
  <c r="G4361" i="9"/>
  <c r="K4334" i="9"/>
  <c r="I4334" i="9"/>
  <c r="J4334" i="9"/>
  <c r="H4313" i="9"/>
  <c r="F4313" i="9"/>
  <c r="G4313" i="9"/>
  <c r="K4286" i="9"/>
  <c r="I4286" i="9"/>
  <c r="J4286" i="9"/>
  <c r="H4265" i="9"/>
  <c r="F4265" i="9"/>
  <c r="G4265" i="9"/>
  <c r="K4238" i="9"/>
  <c r="I4238" i="9"/>
  <c r="J4238" i="9"/>
  <c r="H4217" i="9"/>
  <c r="F4217" i="9"/>
  <c r="G4217" i="9"/>
  <c r="K4190" i="9"/>
  <c r="J4190" i="9"/>
  <c r="I4190" i="9"/>
  <c r="K4118" i="9"/>
  <c r="J4118" i="9"/>
  <c r="I4118" i="9"/>
  <c r="J5651" i="9"/>
  <c r="K5651" i="9"/>
  <c r="I5651" i="9"/>
  <c r="J5603" i="9"/>
  <c r="I5603" i="9"/>
  <c r="K5603" i="9"/>
  <c r="J5555" i="9"/>
  <c r="I5555" i="9"/>
  <c r="K5555" i="9"/>
  <c r="H5507" i="9"/>
  <c r="G5507" i="9"/>
  <c r="F5507" i="9"/>
  <c r="H5459" i="9"/>
  <c r="G5459" i="9"/>
  <c r="F5459" i="9"/>
  <c r="K5411" i="9"/>
  <c r="J5411" i="9"/>
  <c r="I5411" i="9"/>
  <c r="K5363" i="9"/>
  <c r="I5363" i="9"/>
  <c r="J5363" i="9"/>
  <c r="J5315" i="9"/>
  <c r="K5315" i="9"/>
  <c r="I5315" i="9"/>
  <c r="H5267" i="9"/>
  <c r="G5267" i="9"/>
  <c r="F5267" i="9"/>
  <c r="H5219" i="9"/>
  <c r="G5219" i="9"/>
  <c r="F5219" i="9"/>
  <c r="H5171" i="9"/>
  <c r="G5171" i="9"/>
  <c r="F5171" i="9"/>
  <c r="H5123" i="9"/>
  <c r="G5123" i="9"/>
  <c r="F5123" i="9"/>
  <c r="J4403" i="9"/>
  <c r="I4403" i="9"/>
  <c r="K4403" i="9"/>
  <c r="J4355" i="9"/>
  <c r="I4355" i="9"/>
  <c r="K4355" i="9"/>
  <c r="J4307" i="9"/>
  <c r="I4307" i="9"/>
  <c r="K4307" i="9"/>
  <c r="J4259" i="9"/>
  <c r="I4259" i="9"/>
  <c r="K4259" i="9"/>
  <c r="J4211" i="9"/>
  <c r="I4211" i="9"/>
  <c r="K4211" i="9"/>
  <c r="J4137" i="9"/>
  <c r="I4137" i="9"/>
  <c r="K4137" i="9"/>
  <c r="J4065" i="9"/>
  <c r="I4065" i="9"/>
  <c r="K4065" i="9"/>
  <c r="J6605" i="9"/>
  <c r="K6605" i="9"/>
  <c r="I6605" i="9"/>
  <c r="J6569" i="9"/>
  <c r="K6569" i="9"/>
  <c r="I6569" i="9"/>
  <c r="K6533" i="9"/>
  <c r="J6533" i="9"/>
  <c r="I6533" i="9"/>
  <c r="K6497" i="9"/>
  <c r="J6497" i="9"/>
  <c r="I6497" i="9"/>
  <c r="I6461" i="9"/>
  <c r="K6461" i="9"/>
  <c r="J6461" i="9"/>
  <c r="H6425" i="9"/>
  <c r="G6425" i="9"/>
  <c r="F6425" i="9"/>
  <c r="K6335" i="9"/>
  <c r="J6335" i="9"/>
  <c r="I6335" i="9"/>
  <c r="K6317" i="9"/>
  <c r="J6317" i="9"/>
  <c r="I6317" i="9"/>
  <c r="H6299" i="9"/>
  <c r="G6299" i="9"/>
  <c r="F6299" i="9"/>
  <c r="J6281" i="9"/>
  <c r="K6281" i="9"/>
  <c r="I6281" i="9"/>
  <c r="I6263" i="9"/>
  <c r="K6263" i="9"/>
  <c r="J6263" i="9"/>
  <c r="I6227" i="9"/>
  <c r="K6227" i="9"/>
  <c r="J6227" i="9"/>
  <c r="I6191" i="9"/>
  <c r="K6191" i="9"/>
  <c r="J6191" i="9"/>
  <c r="I6155" i="9"/>
  <c r="K6155" i="9"/>
  <c r="J6155" i="9"/>
  <c r="I6101" i="9"/>
  <c r="K6101" i="9"/>
  <c r="J6101" i="9"/>
  <c r="H6065" i="9"/>
  <c r="G6065" i="9"/>
  <c r="F6065" i="9"/>
  <c r="H6029" i="9"/>
  <c r="G6029" i="9"/>
  <c r="F6029" i="9"/>
  <c r="K5993" i="9"/>
  <c r="J5993" i="9"/>
  <c r="I5993" i="9"/>
  <c r="K5975" i="9"/>
  <c r="J5975" i="9"/>
  <c r="I5975" i="9"/>
  <c r="K5957" i="9"/>
  <c r="J5957" i="9"/>
  <c r="I5957" i="9"/>
  <c r="K5939" i="9"/>
  <c r="J5939" i="9"/>
  <c r="I5939" i="9"/>
  <c r="K5921" i="9"/>
  <c r="J5921" i="9"/>
  <c r="I5921" i="9"/>
  <c r="K5903" i="9"/>
  <c r="J5903" i="9"/>
  <c r="I5903" i="9"/>
  <c r="K5885" i="9"/>
  <c r="J5885" i="9"/>
  <c r="I5885" i="9"/>
  <c r="I5849" i="9"/>
  <c r="K5849" i="9"/>
  <c r="J5849" i="9"/>
  <c r="I5813" i="9"/>
  <c r="K5813" i="9"/>
  <c r="J5813" i="9"/>
  <c r="I5777" i="9"/>
  <c r="K5777" i="9"/>
  <c r="J5777" i="9"/>
  <c r="J5759" i="9"/>
  <c r="K5759" i="9"/>
  <c r="I5759" i="9"/>
  <c r="J5723" i="9"/>
  <c r="K5723" i="9"/>
  <c r="I5723" i="9"/>
  <c r="K5672" i="9"/>
  <c r="J5672" i="9"/>
  <c r="I5672" i="9"/>
  <c r="K5528" i="9"/>
  <c r="J5528" i="9"/>
  <c r="I5528" i="9"/>
  <c r="K5480" i="9"/>
  <c r="J5480" i="9"/>
  <c r="I5480" i="9"/>
  <c r="J5432" i="9"/>
  <c r="I5432" i="9"/>
  <c r="K5432" i="9"/>
  <c r="J5384" i="9"/>
  <c r="I5384" i="9"/>
  <c r="K5384" i="9"/>
  <c r="K5336" i="9"/>
  <c r="J5336" i="9"/>
  <c r="I5336" i="9"/>
  <c r="K5288" i="9"/>
  <c r="J5288" i="9"/>
  <c r="I5288" i="9"/>
  <c r="K5240" i="9"/>
  <c r="J5240" i="9"/>
  <c r="I5240" i="9"/>
  <c r="K5192" i="9"/>
  <c r="J5192" i="9"/>
  <c r="I5192" i="9"/>
  <c r="K5144" i="9"/>
  <c r="J5144" i="9"/>
  <c r="I5144" i="9"/>
  <c r="I5096" i="9"/>
  <c r="K5096" i="9"/>
  <c r="J5096" i="9"/>
  <c r="I5048" i="9"/>
  <c r="K5048" i="9"/>
  <c r="J5048" i="9"/>
  <c r="I5000" i="9"/>
  <c r="K5000" i="9"/>
  <c r="J5000" i="9"/>
  <c r="I4952" i="9"/>
  <c r="K4952" i="9"/>
  <c r="J4952" i="9"/>
  <c r="I4904" i="9"/>
  <c r="K4904" i="9"/>
  <c r="J4904" i="9"/>
  <c r="I4856" i="9"/>
  <c r="K4856" i="9"/>
  <c r="J4856" i="9"/>
  <c r="H4712" i="9"/>
  <c r="F4712" i="9"/>
  <c r="G4712" i="9"/>
  <c r="H4664" i="9"/>
  <c r="F4664" i="9"/>
  <c r="G4664" i="9"/>
  <c r="H4616" i="9"/>
  <c r="F4616" i="9"/>
  <c r="G4616" i="9"/>
  <c r="H4568" i="9"/>
  <c r="F4568" i="9"/>
  <c r="G4568" i="9"/>
  <c r="H4520" i="9"/>
  <c r="F4520" i="9"/>
  <c r="G4520" i="9"/>
  <c r="H4472" i="9"/>
  <c r="F4472" i="9"/>
  <c r="G4472" i="9"/>
  <c r="K4175" i="9"/>
  <c r="J4175" i="9"/>
  <c r="I4175" i="9"/>
  <c r="K4103" i="9"/>
  <c r="J4103" i="9"/>
  <c r="I4103" i="9"/>
  <c r="K4031" i="9"/>
  <c r="J4031" i="9"/>
  <c r="I4031" i="9"/>
  <c r="K3959" i="9"/>
  <c r="J3959" i="9"/>
  <c r="I3959" i="9"/>
  <c r="K3858" i="9"/>
  <c r="J3858" i="9"/>
  <c r="I3858" i="9"/>
  <c r="K3786" i="9"/>
  <c r="J3786" i="9"/>
  <c r="I3786" i="9"/>
  <c r="K3749" i="9"/>
  <c r="J3749" i="9"/>
  <c r="I3749" i="9"/>
  <c r="J5661" i="9"/>
  <c r="I5661" i="9"/>
  <c r="K5661" i="9"/>
  <c r="F5517" i="9"/>
  <c r="H5517" i="9"/>
  <c r="G5517" i="9"/>
  <c r="F5469" i="9"/>
  <c r="H5469" i="9"/>
  <c r="G5469" i="9"/>
  <c r="I5421" i="9"/>
  <c r="K5421" i="9"/>
  <c r="J5421" i="9"/>
  <c r="I5373" i="9"/>
  <c r="J5373" i="9"/>
  <c r="K5373" i="9"/>
  <c r="I5298" i="9"/>
  <c r="K5298" i="9"/>
  <c r="J5298" i="9"/>
  <c r="J5277" i="9"/>
  <c r="I5277" i="9"/>
  <c r="K5277" i="9"/>
  <c r="I5250" i="9"/>
  <c r="J5250" i="9"/>
  <c r="K5250" i="9"/>
  <c r="K5229" i="9"/>
  <c r="J5229" i="9"/>
  <c r="I5229" i="9"/>
  <c r="I5202" i="9"/>
  <c r="K5202" i="9"/>
  <c r="J5202" i="9"/>
  <c r="J5181" i="9"/>
  <c r="I5181" i="9"/>
  <c r="K5181" i="9"/>
  <c r="I5154" i="9"/>
  <c r="K5154" i="9"/>
  <c r="J5154" i="9"/>
  <c r="J5133" i="9"/>
  <c r="I5133" i="9"/>
  <c r="K5133" i="9"/>
  <c r="J5106" i="9"/>
  <c r="I5106" i="9"/>
  <c r="K5106" i="9"/>
  <c r="H5085" i="9"/>
  <c r="G5085" i="9"/>
  <c r="F5085" i="9"/>
  <c r="K5058" i="9"/>
  <c r="J5058" i="9"/>
  <c r="I5058" i="9"/>
  <c r="H5037" i="9"/>
  <c r="G5037" i="9"/>
  <c r="F5037" i="9"/>
  <c r="K5010" i="9"/>
  <c r="J5010" i="9"/>
  <c r="I5010" i="9"/>
  <c r="H4989" i="9"/>
  <c r="G4989" i="9"/>
  <c r="F4989" i="9"/>
  <c r="K4962" i="9"/>
  <c r="J4962" i="9"/>
  <c r="I4962" i="9"/>
  <c r="H4941" i="9"/>
  <c r="G4941" i="9"/>
  <c r="F4941" i="9"/>
  <c r="K4914" i="9"/>
  <c r="J4914" i="9"/>
  <c r="I4914" i="9"/>
  <c r="H4893" i="9"/>
  <c r="G4893" i="9"/>
  <c r="F4893" i="9"/>
  <c r="K4866" i="9"/>
  <c r="J4866" i="9"/>
  <c r="I4866" i="9"/>
  <c r="H4845" i="9"/>
  <c r="G4845" i="9"/>
  <c r="F4845" i="9"/>
  <c r="K4818" i="9"/>
  <c r="J4818" i="9"/>
  <c r="I4818" i="9"/>
  <c r="K4770" i="9"/>
  <c r="J4770" i="9"/>
  <c r="I4770" i="9"/>
  <c r="F6478" i="9"/>
  <c r="H6478" i="9"/>
  <c r="G6478" i="9"/>
  <c r="H6442" i="9"/>
  <c r="G6442" i="9"/>
  <c r="F6442" i="9"/>
  <c r="J6406" i="9"/>
  <c r="I6406" i="9"/>
  <c r="K6406" i="9"/>
  <c r="J6370" i="9"/>
  <c r="I6370" i="9"/>
  <c r="K6370" i="9"/>
  <c r="K6292" i="9"/>
  <c r="J6292" i="9"/>
  <c r="I6292" i="9"/>
  <c r="F6256" i="9"/>
  <c r="H6256" i="9"/>
  <c r="G6256" i="9"/>
  <c r="J6238" i="9"/>
  <c r="I6238" i="9"/>
  <c r="K6238" i="9"/>
  <c r="F6220" i="9"/>
  <c r="H6220" i="9"/>
  <c r="G6220" i="9"/>
  <c r="J6202" i="9"/>
  <c r="I6202" i="9"/>
  <c r="K6202" i="9"/>
  <c r="F6184" i="9"/>
  <c r="H6184" i="9"/>
  <c r="G6184" i="9"/>
  <c r="J6166" i="9"/>
  <c r="I6166" i="9"/>
  <c r="K6166" i="9"/>
  <c r="F6148" i="9"/>
  <c r="H6148" i="9"/>
  <c r="G6148" i="9"/>
  <c r="F6130" i="9"/>
  <c r="H6130" i="9"/>
  <c r="G6130" i="9"/>
  <c r="J6112" i="9"/>
  <c r="I6112" i="9"/>
  <c r="K6112" i="9"/>
  <c r="F6094" i="9"/>
  <c r="H6094" i="9"/>
  <c r="G6094" i="9"/>
  <c r="J6076" i="9"/>
  <c r="I6076" i="9"/>
  <c r="K6076" i="9"/>
  <c r="F6058" i="9"/>
  <c r="H6058" i="9"/>
  <c r="G6058" i="9"/>
  <c r="J6040" i="9"/>
  <c r="I6040" i="9"/>
  <c r="K6040" i="9"/>
  <c r="F6022" i="9"/>
  <c r="H6022" i="9"/>
  <c r="G6022" i="9"/>
  <c r="K6004" i="9"/>
  <c r="J6004" i="9"/>
  <c r="I6004" i="9"/>
  <c r="K5968" i="9"/>
  <c r="J5968" i="9"/>
  <c r="I5968" i="9"/>
  <c r="K5932" i="9"/>
  <c r="J5932" i="9"/>
  <c r="I5932" i="9"/>
  <c r="J5896" i="9"/>
  <c r="I5896" i="9"/>
  <c r="K5896" i="9"/>
  <c r="J5860" i="9"/>
  <c r="I5860" i="9"/>
  <c r="K5860" i="9"/>
  <c r="J5824" i="9"/>
  <c r="I5824" i="9"/>
  <c r="K5824" i="9"/>
  <c r="J5788" i="9"/>
  <c r="I5788" i="9"/>
  <c r="K5788" i="9"/>
  <c r="I5734" i="9"/>
  <c r="K5734" i="9"/>
  <c r="J5734" i="9"/>
  <c r="I5698" i="9"/>
  <c r="K5698" i="9"/>
  <c r="J5698" i="9"/>
  <c r="F5655" i="9"/>
  <c r="H5655" i="9"/>
  <c r="G5655" i="9"/>
  <c r="K5607" i="9"/>
  <c r="J5607" i="9"/>
  <c r="I5607" i="9"/>
  <c r="J5559" i="9"/>
  <c r="K5559" i="9"/>
  <c r="I5559" i="9"/>
  <c r="F5511" i="9"/>
  <c r="H5511" i="9"/>
  <c r="G5511" i="9"/>
  <c r="F5463" i="9"/>
  <c r="H5463" i="9"/>
  <c r="G5463" i="9"/>
  <c r="F5319" i="9"/>
  <c r="H5319" i="9"/>
  <c r="G5319" i="9"/>
  <c r="J5079" i="9"/>
  <c r="I5079" i="9"/>
  <c r="K5079" i="9"/>
  <c r="J5031" i="9"/>
  <c r="I5031" i="9"/>
  <c r="K5031" i="9"/>
  <c r="J4983" i="9"/>
  <c r="I4983" i="9"/>
  <c r="K4983" i="9"/>
  <c r="J4935" i="9"/>
  <c r="I4935" i="9"/>
  <c r="K4935" i="9"/>
  <c r="J4887" i="9"/>
  <c r="I4887" i="9"/>
  <c r="K4887" i="9"/>
  <c r="J4839" i="9"/>
  <c r="I4839" i="9"/>
  <c r="K4839" i="9"/>
  <c r="K4791" i="9"/>
  <c r="J4791" i="9"/>
  <c r="I4791" i="9"/>
  <c r="H4743" i="9"/>
  <c r="G4743" i="9"/>
  <c r="F4743" i="9"/>
  <c r="I4695" i="9"/>
  <c r="K4695" i="9"/>
  <c r="J4695" i="9"/>
  <c r="I4647" i="9"/>
  <c r="K4647" i="9"/>
  <c r="J4647" i="9"/>
  <c r="I4599" i="9"/>
  <c r="K4599" i="9"/>
  <c r="J4599" i="9"/>
  <c r="I4551" i="9"/>
  <c r="K4551" i="9"/>
  <c r="J4551" i="9"/>
  <c r="I4503" i="9"/>
  <c r="K4503" i="9"/>
  <c r="J4503" i="9"/>
  <c r="I4455" i="9"/>
  <c r="K4455" i="9"/>
  <c r="J4455" i="9"/>
  <c r="K4407" i="9"/>
  <c r="J4407" i="9"/>
  <c r="I4407" i="9"/>
  <c r="K4359" i="9"/>
  <c r="J4359" i="9"/>
  <c r="I4359" i="9"/>
  <c r="K4311" i="9"/>
  <c r="J4311" i="9"/>
  <c r="I4311" i="9"/>
  <c r="K4263" i="9"/>
  <c r="J4263" i="9"/>
  <c r="I4263" i="9"/>
  <c r="K4215" i="9"/>
  <c r="J4215" i="9"/>
  <c r="I4215" i="9"/>
  <c r="I4174" i="9"/>
  <c r="K4174" i="9"/>
  <c r="J4174" i="9"/>
  <c r="K5644" i="9"/>
  <c r="J5644" i="9"/>
  <c r="I5644" i="9"/>
  <c r="K5596" i="9"/>
  <c r="J5596" i="9"/>
  <c r="I5596" i="9"/>
  <c r="K5548" i="9"/>
  <c r="J5548" i="9"/>
  <c r="I5548" i="9"/>
  <c r="F5356" i="9"/>
  <c r="H5356" i="9"/>
  <c r="G5356" i="9"/>
  <c r="K5212" i="9"/>
  <c r="J5212" i="9"/>
  <c r="I5212" i="9"/>
  <c r="K5164" i="9"/>
  <c r="J5164" i="9"/>
  <c r="I5164" i="9"/>
  <c r="I5068" i="9"/>
  <c r="K5068" i="9"/>
  <c r="J5068" i="9"/>
  <c r="I5020" i="9"/>
  <c r="K5020" i="9"/>
  <c r="J5020" i="9"/>
  <c r="I4972" i="9"/>
  <c r="K4972" i="9"/>
  <c r="J4972" i="9"/>
  <c r="I4924" i="9"/>
  <c r="K4924" i="9"/>
  <c r="J4924" i="9"/>
  <c r="I4876" i="9"/>
  <c r="K4876" i="9"/>
  <c r="J4876" i="9"/>
  <c r="H4828" i="9"/>
  <c r="G4828" i="9"/>
  <c r="F4828" i="9"/>
  <c r="K4780" i="9"/>
  <c r="J4780" i="9"/>
  <c r="I4780" i="9"/>
  <c r="K4732" i="9"/>
  <c r="J4732" i="9"/>
  <c r="I4732" i="9"/>
  <c r="K6477" i="9"/>
  <c r="J6477" i="9"/>
  <c r="I6477" i="9"/>
  <c r="J6441" i="9"/>
  <c r="K6441" i="9"/>
  <c r="I6441" i="9"/>
  <c r="K6405" i="9"/>
  <c r="J6405" i="9"/>
  <c r="I6405" i="9"/>
  <c r="H6345" i="9"/>
  <c r="G6345" i="9"/>
  <c r="F6345" i="9"/>
  <c r="I6327" i="9"/>
  <c r="K6327" i="9"/>
  <c r="J6327" i="9"/>
  <c r="I6291" i="9"/>
  <c r="K6291" i="9"/>
  <c r="J6291" i="9"/>
  <c r="K6255" i="9"/>
  <c r="J6255" i="9"/>
  <c r="I6255" i="9"/>
  <c r="K6237" i="9"/>
  <c r="J6237" i="9"/>
  <c r="I6237" i="9"/>
  <c r="K6219" i="9"/>
  <c r="J6219" i="9"/>
  <c r="I6219" i="9"/>
  <c r="K6201" i="9"/>
  <c r="J6201" i="9"/>
  <c r="I6201" i="9"/>
  <c r="K6183" i="9"/>
  <c r="J6183" i="9"/>
  <c r="I6183" i="9"/>
  <c r="K6165" i="9"/>
  <c r="J6165" i="9"/>
  <c r="I6165" i="9"/>
  <c r="J6147" i="9"/>
  <c r="K6147" i="9"/>
  <c r="I6147" i="9"/>
  <c r="K6129" i="9"/>
  <c r="J6129" i="9"/>
  <c r="I6129" i="9"/>
  <c r="K6111" i="9"/>
  <c r="J6111" i="9"/>
  <c r="I6111" i="9"/>
  <c r="K6093" i="9"/>
  <c r="J6093" i="9"/>
  <c r="I6093" i="9"/>
  <c r="K6075" i="9"/>
  <c r="J6075" i="9"/>
  <c r="I6075" i="9"/>
  <c r="K6057" i="9"/>
  <c r="J6057" i="9"/>
  <c r="I6057" i="9"/>
  <c r="K6039" i="9"/>
  <c r="J6039" i="9"/>
  <c r="I6039" i="9"/>
  <c r="J6021" i="9"/>
  <c r="K6021" i="9"/>
  <c r="I6021" i="9"/>
  <c r="I6003" i="9"/>
  <c r="K6003" i="9"/>
  <c r="J6003" i="9"/>
  <c r="I5967" i="9"/>
  <c r="J5967" i="9"/>
  <c r="K5967" i="9"/>
  <c r="I5931" i="9"/>
  <c r="K5931" i="9"/>
  <c r="J5931" i="9"/>
  <c r="I5895" i="9"/>
  <c r="K5895" i="9"/>
  <c r="J5895" i="9"/>
  <c r="I5859" i="9"/>
  <c r="K5859" i="9"/>
  <c r="J5859" i="9"/>
  <c r="I5823" i="9"/>
  <c r="K5823" i="9"/>
  <c r="J5823" i="9"/>
  <c r="I5787" i="9"/>
  <c r="K5787" i="9"/>
  <c r="J5787" i="9"/>
  <c r="F5751" i="9"/>
  <c r="H5751" i="9"/>
  <c r="G5751" i="9"/>
  <c r="J5733" i="9"/>
  <c r="I5733" i="9"/>
  <c r="K5733" i="9"/>
  <c r="F5715" i="9"/>
  <c r="H5715" i="9"/>
  <c r="G5715" i="9"/>
  <c r="J5697" i="9"/>
  <c r="I5697" i="9"/>
  <c r="K5697" i="9"/>
  <c r="I5649" i="9"/>
  <c r="K5649" i="9"/>
  <c r="J5649" i="9"/>
  <c r="F5505" i="9"/>
  <c r="H5505" i="9"/>
  <c r="G5505" i="9"/>
  <c r="I5409" i="9"/>
  <c r="J5409" i="9"/>
  <c r="K5409" i="9"/>
  <c r="I5361" i="9"/>
  <c r="J5361" i="9"/>
  <c r="K5361" i="9"/>
  <c r="I5286" i="9"/>
  <c r="K5286" i="9"/>
  <c r="J5286" i="9"/>
  <c r="J5265" i="9"/>
  <c r="I5265" i="9"/>
  <c r="K5265" i="9"/>
  <c r="I5238" i="9"/>
  <c r="K5238" i="9"/>
  <c r="J5238" i="9"/>
  <c r="J5217" i="9"/>
  <c r="I5217" i="9"/>
  <c r="K5217" i="9"/>
  <c r="F5691" i="9"/>
  <c r="H5691" i="9"/>
  <c r="G5691" i="9"/>
  <c r="I5643" i="9"/>
  <c r="K5643" i="9"/>
  <c r="J5643" i="9"/>
  <c r="K5595" i="9"/>
  <c r="J5595" i="9"/>
  <c r="I5595" i="9"/>
  <c r="I5547" i="9"/>
  <c r="J5547" i="9"/>
  <c r="K5547" i="9"/>
  <c r="F5499" i="9"/>
  <c r="H5499" i="9"/>
  <c r="G5499" i="9"/>
  <c r="H5451" i="9"/>
  <c r="G5451" i="9"/>
  <c r="F5451" i="9"/>
  <c r="F5355" i="9"/>
  <c r="H5355" i="9"/>
  <c r="G5355" i="9"/>
  <c r="H5307" i="9"/>
  <c r="G5307" i="9"/>
  <c r="F5307" i="9"/>
  <c r="J5067" i="9"/>
  <c r="I5067" i="9"/>
  <c r="K5067" i="9"/>
  <c r="J5019" i="9"/>
  <c r="I5019" i="9"/>
  <c r="K5019" i="9"/>
  <c r="J4971" i="9"/>
  <c r="I4971" i="9"/>
  <c r="K4971" i="9"/>
  <c r="J4923" i="9"/>
  <c r="I4923" i="9"/>
  <c r="K4923" i="9"/>
  <c r="J4875" i="9"/>
  <c r="I4875" i="9"/>
  <c r="K4875" i="9"/>
  <c r="J4827" i="9"/>
  <c r="I4827" i="9"/>
  <c r="K4827" i="9"/>
  <c r="K4779" i="9"/>
  <c r="J4779" i="9"/>
  <c r="I4779" i="9"/>
  <c r="H4731" i="9"/>
  <c r="G4731" i="9"/>
  <c r="F4731" i="9"/>
  <c r="I4683" i="9"/>
  <c r="K4683" i="9"/>
  <c r="J4683" i="9"/>
  <c r="I4635" i="9"/>
  <c r="K4635" i="9"/>
  <c r="J4635" i="9"/>
  <c r="I4587" i="9"/>
  <c r="K4587" i="9"/>
  <c r="J4587" i="9"/>
  <c r="I4539" i="9"/>
  <c r="K4539" i="9"/>
  <c r="J4539" i="9"/>
  <c r="I4491" i="9"/>
  <c r="K4491" i="9"/>
  <c r="J4491" i="9"/>
  <c r="I4443" i="9"/>
  <c r="K4443" i="9"/>
  <c r="J4443" i="9"/>
  <c r="K4395" i="9"/>
  <c r="J4395" i="9"/>
  <c r="I4395" i="9"/>
  <c r="K4347" i="9"/>
  <c r="J4347" i="9"/>
  <c r="I4347" i="9"/>
  <c r="K4299" i="9"/>
  <c r="J4299" i="9"/>
  <c r="I4299" i="9"/>
  <c r="K4251" i="9"/>
  <c r="J4251" i="9"/>
  <c r="I4251" i="9"/>
  <c r="K4203" i="9"/>
  <c r="J4203" i="9"/>
  <c r="I4203" i="9"/>
  <c r="J4149" i="9"/>
  <c r="I4149" i="9"/>
  <c r="K4149" i="9"/>
  <c r="J4077" i="9"/>
  <c r="I4077" i="9"/>
  <c r="K4077" i="9"/>
  <c r="J4005" i="9"/>
  <c r="I4005" i="9"/>
  <c r="K4005" i="9"/>
  <c r="J3933" i="9"/>
  <c r="I3933" i="9"/>
  <c r="K3933" i="9"/>
  <c r="K3904" i="9"/>
  <c r="I3904" i="9"/>
  <c r="J3904" i="9"/>
  <c r="J6578" i="9"/>
  <c r="I6578" i="9"/>
  <c r="K6578" i="9"/>
  <c r="J6542" i="9"/>
  <c r="I6542" i="9"/>
  <c r="K6542" i="9"/>
  <c r="K6506" i="9"/>
  <c r="J6506" i="9"/>
  <c r="I6506" i="9"/>
  <c r="K6398" i="9"/>
  <c r="J6398" i="9"/>
  <c r="I6398" i="9"/>
  <c r="K6362" i="9"/>
  <c r="J6362" i="9"/>
  <c r="I6362" i="9"/>
  <c r="J6326" i="9"/>
  <c r="I6326" i="9"/>
  <c r="K6326" i="9"/>
  <c r="J6290" i="9"/>
  <c r="I6290" i="9"/>
  <c r="K6290" i="9"/>
  <c r="K6254" i="9"/>
  <c r="J6254" i="9"/>
  <c r="I6254" i="9"/>
  <c r="K6218" i="9"/>
  <c r="J6218" i="9"/>
  <c r="I6218" i="9"/>
  <c r="K6182" i="9"/>
  <c r="J6182" i="9"/>
  <c r="I6182" i="9"/>
  <c r="K6146" i="9"/>
  <c r="I6146" i="9"/>
  <c r="J6146" i="9"/>
  <c r="K6128" i="9"/>
  <c r="J6128" i="9"/>
  <c r="I6128" i="9"/>
  <c r="K6092" i="9"/>
  <c r="J6092" i="9"/>
  <c r="I6092" i="9"/>
  <c r="K6056" i="9"/>
  <c r="I6056" i="9"/>
  <c r="J6056" i="9"/>
  <c r="K6020" i="9"/>
  <c r="I6020" i="9"/>
  <c r="J6020" i="9"/>
  <c r="J6002" i="9"/>
  <c r="I6002" i="9"/>
  <c r="K6002" i="9"/>
  <c r="J5966" i="9"/>
  <c r="I5966" i="9"/>
  <c r="K5966" i="9"/>
  <c r="J5930" i="9"/>
  <c r="I5930" i="9"/>
  <c r="K5930" i="9"/>
  <c r="J5894" i="9"/>
  <c r="I5894" i="9"/>
  <c r="K5894" i="9"/>
  <c r="F5876" i="9"/>
  <c r="H5876" i="9"/>
  <c r="G5876" i="9"/>
  <c r="J5858" i="9"/>
  <c r="I5858" i="9"/>
  <c r="K5858" i="9"/>
  <c r="F5840" i="9"/>
  <c r="H5840" i="9"/>
  <c r="G5840" i="9"/>
  <c r="J5822" i="9"/>
  <c r="I5822" i="9"/>
  <c r="L5822" i="9" s="1"/>
  <c r="M5822" i="9" s="1"/>
  <c r="K5822" i="9"/>
  <c r="F5804" i="9"/>
  <c r="H5804" i="9"/>
  <c r="G5804" i="9"/>
  <c r="J5786" i="9"/>
  <c r="I5786" i="9"/>
  <c r="K5786" i="9"/>
  <c r="F5768" i="9"/>
  <c r="H5768" i="9"/>
  <c r="G5768" i="9"/>
  <c r="K5750" i="9"/>
  <c r="J5750" i="9"/>
  <c r="I5750" i="9"/>
  <c r="K5732" i="9"/>
  <c r="J5732" i="9"/>
  <c r="I5732" i="9"/>
  <c r="K5714" i="9"/>
  <c r="J5714" i="9"/>
  <c r="I5714" i="9"/>
  <c r="K5696" i="9"/>
  <c r="J5696" i="9"/>
  <c r="I5696" i="9"/>
  <c r="K5504" i="9"/>
  <c r="J5504" i="9"/>
  <c r="I5504" i="9"/>
  <c r="G5456" i="9"/>
  <c r="F5456" i="9"/>
  <c r="H5456" i="9"/>
  <c r="J5408" i="9"/>
  <c r="I5408" i="9"/>
  <c r="K5408" i="9"/>
  <c r="J5360" i="9"/>
  <c r="I5360" i="9"/>
  <c r="K5360" i="9"/>
  <c r="K5312" i="9"/>
  <c r="J5312" i="9"/>
  <c r="I5312" i="9"/>
  <c r="K5264" i="9"/>
  <c r="J5264" i="9"/>
  <c r="I5264" i="9"/>
  <c r="K5216" i="9"/>
  <c r="J5216" i="9"/>
  <c r="I5216" i="9"/>
  <c r="K5168" i="9"/>
  <c r="J5168" i="9"/>
  <c r="I5168" i="9"/>
  <c r="K5120" i="9"/>
  <c r="J5120" i="9"/>
  <c r="I5120" i="9"/>
  <c r="I5072" i="9"/>
  <c r="K5072" i="9"/>
  <c r="J5072" i="9"/>
  <c r="I5024" i="9"/>
  <c r="K5024" i="9"/>
  <c r="J5024" i="9"/>
  <c r="I4976" i="9"/>
  <c r="K4976" i="9"/>
  <c r="J4976" i="9"/>
  <c r="I4928" i="9"/>
  <c r="K4928" i="9"/>
  <c r="J4928" i="9"/>
  <c r="I4880" i="9"/>
  <c r="K4880" i="9"/>
  <c r="J4880" i="9"/>
  <c r="I4832" i="9"/>
  <c r="K4832" i="9"/>
  <c r="J4832" i="9"/>
  <c r="H4688" i="9"/>
  <c r="F4688" i="9"/>
  <c r="G4688" i="9"/>
  <c r="H4640" i="9"/>
  <c r="F4640" i="9"/>
  <c r="G4640" i="9"/>
  <c r="H4592" i="9"/>
  <c r="F4592" i="9"/>
  <c r="G4592" i="9"/>
  <c r="H4544" i="9"/>
  <c r="F4544" i="9"/>
  <c r="G4544" i="9"/>
  <c r="H4496" i="9"/>
  <c r="F4496" i="9"/>
  <c r="G4496" i="9"/>
  <c r="H4448" i="9"/>
  <c r="F4448" i="9"/>
  <c r="G4448" i="9"/>
  <c r="K4139" i="9"/>
  <c r="J4139" i="9"/>
  <c r="I4139" i="9"/>
  <c r="K4067" i="9"/>
  <c r="J4067" i="9"/>
  <c r="I4067" i="9"/>
  <c r="K3995" i="9"/>
  <c r="J3995" i="9"/>
  <c r="I3995" i="9"/>
  <c r="K3923" i="9"/>
  <c r="J3923" i="9"/>
  <c r="I3923" i="9"/>
  <c r="K3894" i="9"/>
  <c r="J3894" i="9"/>
  <c r="I3894" i="9"/>
  <c r="J5121" i="9"/>
  <c r="I5121" i="9"/>
  <c r="K5121" i="9"/>
  <c r="H4977" i="9"/>
  <c r="G4977" i="9"/>
  <c r="F4977" i="9"/>
  <c r="H4833" i="9"/>
  <c r="G4833" i="9"/>
  <c r="F4833" i="9"/>
  <c r="J4417" i="9"/>
  <c r="I4417" i="9"/>
  <c r="K4417" i="9"/>
  <c r="K4306" i="9"/>
  <c r="J4306" i="9"/>
  <c r="I4306" i="9"/>
  <c r="J4225" i="9"/>
  <c r="K4225" i="9"/>
  <c r="I4225" i="9"/>
  <c r="K4058" i="9"/>
  <c r="J4058" i="9"/>
  <c r="I4058" i="9"/>
  <c r="K3974" i="9"/>
  <c r="J3974" i="9"/>
  <c r="I3974" i="9"/>
  <c r="K3937" i="9"/>
  <c r="J3937" i="9"/>
  <c r="I3937" i="9"/>
  <c r="J3865" i="9"/>
  <c r="I3865" i="9"/>
  <c r="K3865" i="9"/>
  <c r="H3835" i="9"/>
  <c r="F3835" i="9"/>
  <c r="G3835" i="9"/>
  <c r="K3820" i="9"/>
  <c r="I3820" i="9"/>
  <c r="J3820" i="9"/>
  <c r="K3780" i="9"/>
  <c r="J3780" i="9"/>
  <c r="I3780" i="9"/>
  <c r="K3724" i="9"/>
  <c r="I3724" i="9"/>
  <c r="J3724" i="9"/>
  <c r="K3700" i="9"/>
  <c r="I3700" i="9"/>
  <c r="J3700" i="9"/>
  <c r="K3676" i="9"/>
  <c r="I3676" i="9"/>
  <c r="J3676" i="9"/>
  <c r="K3652" i="9"/>
  <c r="J3652" i="9"/>
  <c r="I3652" i="9"/>
  <c r="F3628" i="9"/>
  <c r="H3628" i="9"/>
  <c r="G3628" i="9"/>
  <c r="I3340" i="9"/>
  <c r="J3340" i="9"/>
  <c r="K3340" i="9"/>
  <c r="I3316" i="9"/>
  <c r="K3316" i="9"/>
  <c r="J3316" i="9"/>
  <c r="I3292" i="9"/>
  <c r="K3292" i="9"/>
  <c r="J3292" i="9"/>
  <c r="I3268" i="9"/>
  <c r="K3268" i="9"/>
  <c r="J3268" i="9"/>
  <c r="I3244" i="9"/>
  <c r="K3244" i="9"/>
  <c r="J3244" i="9"/>
  <c r="K3220" i="9"/>
  <c r="J3220" i="9"/>
  <c r="I3220" i="9"/>
  <c r="K3196" i="9"/>
  <c r="J3196" i="9"/>
  <c r="I3196" i="9"/>
  <c r="K3172" i="9"/>
  <c r="J3172" i="9"/>
  <c r="I3172" i="9"/>
  <c r="K3148" i="9"/>
  <c r="J3148" i="9"/>
  <c r="I3148" i="9"/>
  <c r="K3124" i="9"/>
  <c r="J3124" i="9"/>
  <c r="I3124" i="9"/>
  <c r="K3100" i="9"/>
  <c r="J3100" i="9"/>
  <c r="I3100" i="9"/>
  <c r="K3076" i="9"/>
  <c r="J3076" i="9"/>
  <c r="I3076" i="9"/>
  <c r="K3052" i="9"/>
  <c r="J3052" i="9"/>
  <c r="I3052" i="9"/>
  <c r="G3028" i="9"/>
  <c r="F3028" i="9"/>
  <c r="H3028" i="9"/>
  <c r="G3004" i="9"/>
  <c r="F3004" i="9"/>
  <c r="H3004" i="9"/>
  <c r="G2980" i="9"/>
  <c r="F2980" i="9"/>
  <c r="H2980" i="9"/>
  <c r="G2956" i="9"/>
  <c r="F2956" i="9"/>
  <c r="H2956" i="9"/>
  <c r="G2932" i="9"/>
  <c r="F2932" i="9"/>
  <c r="H2932" i="9"/>
  <c r="G2908" i="9"/>
  <c r="F2908" i="9"/>
  <c r="H2908" i="9"/>
  <c r="G2884" i="9"/>
  <c r="F2884" i="9"/>
  <c r="H2884" i="9"/>
  <c r="G2860" i="9"/>
  <c r="F2860" i="9"/>
  <c r="H2860" i="9"/>
  <c r="G2836" i="9"/>
  <c r="F2836" i="9"/>
  <c r="H2836" i="9"/>
  <c r="G2812" i="9"/>
  <c r="F2812" i="9"/>
  <c r="H2812" i="9"/>
  <c r="G2788" i="9"/>
  <c r="F2788" i="9"/>
  <c r="H2788" i="9"/>
  <c r="H2548" i="9"/>
  <c r="G2548" i="9"/>
  <c r="F2548" i="9"/>
  <c r="I2452" i="9"/>
  <c r="K2452" i="9"/>
  <c r="J2452" i="9"/>
  <c r="I2428" i="9"/>
  <c r="K2428" i="9"/>
  <c r="J2428" i="9"/>
  <c r="I2404" i="9"/>
  <c r="J2404" i="9"/>
  <c r="K2404" i="9"/>
  <c r="I2380" i="9"/>
  <c r="J2380" i="9"/>
  <c r="K2380" i="9"/>
  <c r="I2356" i="9"/>
  <c r="J2356" i="9"/>
  <c r="K2356" i="9"/>
  <c r="I2308" i="9"/>
  <c r="K2308" i="9"/>
  <c r="J2308" i="9"/>
  <c r="I2284" i="9"/>
  <c r="K2284" i="9"/>
  <c r="J2284" i="9"/>
  <c r="I2260" i="9"/>
  <c r="K2260" i="9"/>
  <c r="J2260" i="9"/>
  <c r="I2236" i="9"/>
  <c r="K2236" i="9"/>
  <c r="J2236" i="9"/>
  <c r="I2212" i="9"/>
  <c r="K2212" i="9"/>
  <c r="J2212" i="9"/>
  <c r="I2188" i="9"/>
  <c r="K2188" i="9"/>
  <c r="J2188" i="9"/>
  <c r="I2164" i="9"/>
  <c r="K2164" i="9"/>
  <c r="J2164" i="9"/>
  <c r="I2140" i="9"/>
  <c r="K2140" i="9"/>
  <c r="J2140" i="9"/>
  <c r="I2116" i="9"/>
  <c r="K2116" i="9"/>
  <c r="J2116" i="9"/>
  <c r="I2092" i="9"/>
  <c r="K2092" i="9"/>
  <c r="J2092" i="9"/>
  <c r="I2068" i="9"/>
  <c r="K2068" i="9"/>
  <c r="J2068" i="9"/>
  <c r="I2044" i="9"/>
  <c r="K2044" i="9"/>
  <c r="J2044" i="9"/>
  <c r="K1982" i="9"/>
  <c r="J1982" i="9"/>
  <c r="I1982" i="9"/>
  <c r="J1947" i="9"/>
  <c r="I1947" i="9"/>
  <c r="K1947" i="9"/>
  <c r="I1912" i="9"/>
  <c r="K1912" i="9"/>
  <c r="J1912" i="9"/>
  <c r="K1838" i="9"/>
  <c r="J1838" i="9"/>
  <c r="I1838" i="9"/>
  <c r="J1803" i="9"/>
  <c r="I1803" i="9"/>
  <c r="K1803" i="9"/>
  <c r="K1316" i="9"/>
  <c r="J1316" i="9"/>
  <c r="I1316" i="9"/>
  <c r="L1316" i="9" s="1"/>
  <c r="M1316" i="9" s="1"/>
  <c r="J1300" i="9"/>
  <c r="I1300" i="9"/>
  <c r="K1300" i="9"/>
  <c r="J1276" i="9"/>
  <c r="I1276" i="9"/>
  <c r="K1276" i="9"/>
  <c r="J1252" i="9"/>
  <c r="I1252" i="9"/>
  <c r="K1252" i="9"/>
  <c r="J1204" i="9"/>
  <c r="I1204" i="9"/>
  <c r="K1204" i="9"/>
  <c r="K1172" i="9"/>
  <c r="J1172" i="9"/>
  <c r="I1172" i="9"/>
  <c r="K1136" i="9"/>
  <c r="J1136" i="9"/>
  <c r="I1136" i="9"/>
  <c r="K1100" i="9"/>
  <c r="I1100" i="9"/>
  <c r="J1100" i="9"/>
  <c r="K1076" i="9"/>
  <c r="J1076" i="9"/>
  <c r="I1076" i="9"/>
  <c r="J1048" i="9"/>
  <c r="I1048" i="9"/>
  <c r="K1048" i="9"/>
  <c r="J1024" i="9"/>
  <c r="I1024" i="9"/>
  <c r="K1024" i="9"/>
  <c r="K1004" i="9"/>
  <c r="J1004" i="9"/>
  <c r="I1004" i="9"/>
  <c r="K956" i="9"/>
  <c r="J956" i="9"/>
  <c r="I956" i="9"/>
  <c r="K932" i="9"/>
  <c r="J932" i="9"/>
  <c r="I932" i="9"/>
  <c r="K896" i="9"/>
  <c r="J896" i="9"/>
  <c r="I896" i="9"/>
  <c r="J856" i="9"/>
  <c r="I856" i="9"/>
  <c r="K856" i="9"/>
  <c r="K836" i="9"/>
  <c r="J836" i="9"/>
  <c r="I836" i="9"/>
  <c r="K824" i="9"/>
  <c r="I824" i="9"/>
  <c r="J824" i="9"/>
  <c r="K800" i="9"/>
  <c r="J800" i="9"/>
  <c r="I800" i="9"/>
  <c r="I772" i="9"/>
  <c r="K772" i="9"/>
  <c r="J772" i="9"/>
  <c r="I748" i="9"/>
  <c r="K748" i="9"/>
  <c r="J748" i="9"/>
  <c r="K728" i="9"/>
  <c r="I728" i="9"/>
  <c r="J728" i="9"/>
  <c r="K704" i="9"/>
  <c r="J704" i="9"/>
  <c r="I704" i="9"/>
  <c r="K632" i="9"/>
  <c r="J632" i="9"/>
  <c r="I632" i="9"/>
  <c r="K584" i="9"/>
  <c r="I584" i="9"/>
  <c r="J584" i="9"/>
  <c r="I568" i="9"/>
  <c r="K568" i="9"/>
  <c r="J568" i="9"/>
  <c r="I544" i="9"/>
  <c r="K544" i="9"/>
  <c r="J544" i="9"/>
  <c r="I520" i="9"/>
  <c r="K520" i="9"/>
  <c r="J520" i="9"/>
  <c r="J488" i="9"/>
  <c r="I488" i="9"/>
  <c r="K488" i="9"/>
  <c r="K404" i="9"/>
  <c r="J404" i="9"/>
  <c r="I404" i="9"/>
  <c r="I388" i="9"/>
  <c r="K388" i="9"/>
  <c r="J388" i="9"/>
  <c r="K368" i="9"/>
  <c r="I368" i="9"/>
  <c r="J368" i="9"/>
  <c r="K340" i="9"/>
  <c r="J340" i="9"/>
  <c r="I340" i="9"/>
  <c r="K320" i="9"/>
  <c r="I320" i="9"/>
  <c r="J320" i="9"/>
  <c r="K308" i="9"/>
  <c r="I308" i="9"/>
  <c r="J308" i="9"/>
  <c r="K232" i="9"/>
  <c r="J232" i="9"/>
  <c r="I232" i="9"/>
  <c r="K148" i="9"/>
  <c r="J148" i="9"/>
  <c r="I148" i="9"/>
  <c r="K128" i="9"/>
  <c r="I128" i="9"/>
  <c r="J128" i="9"/>
  <c r="K88" i="9"/>
  <c r="J88" i="9"/>
  <c r="I88" i="9"/>
  <c r="K76" i="9"/>
  <c r="J76" i="9"/>
  <c r="I76" i="9"/>
  <c r="K64" i="9"/>
  <c r="J64" i="9"/>
  <c r="I64" i="9"/>
  <c r="K52" i="9"/>
  <c r="J52" i="9"/>
  <c r="I52" i="9"/>
  <c r="K40" i="9"/>
  <c r="J40" i="9"/>
  <c r="I40" i="9"/>
  <c r="K28" i="9"/>
  <c r="J28" i="9"/>
  <c r="I28" i="9"/>
  <c r="K16" i="9"/>
  <c r="J16" i="9"/>
  <c r="I16" i="9"/>
  <c r="J4550" i="9"/>
  <c r="I4550" i="9"/>
  <c r="K4550" i="9"/>
  <c r="G4428" i="9"/>
  <c r="H4428" i="9"/>
  <c r="F4428" i="9"/>
  <c r="K4358" i="9"/>
  <c r="I4358" i="9"/>
  <c r="J4358" i="9"/>
  <c r="I4236" i="9"/>
  <c r="K4236" i="9"/>
  <c r="J4236" i="9"/>
  <c r="K4106" i="9"/>
  <c r="J4106" i="9"/>
  <c r="I4106" i="9"/>
  <c r="K4052" i="9"/>
  <c r="J4052" i="9"/>
  <c r="I4052" i="9"/>
  <c r="K3968" i="9"/>
  <c r="J3968" i="9"/>
  <c r="I3968" i="9"/>
  <c r="K3900" i="9"/>
  <c r="J3900" i="9"/>
  <c r="I3900" i="9"/>
  <c r="K3785" i="9"/>
  <c r="J3785" i="9"/>
  <c r="I3785" i="9"/>
  <c r="K3756" i="9"/>
  <c r="J3756" i="9"/>
  <c r="I3756" i="9"/>
  <c r="K3714" i="9"/>
  <c r="J3714" i="9"/>
  <c r="I3714" i="9"/>
  <c r="K3642" i="9"/>
  <c r="J3642" i="9"/>
  <c r="I3642" i="9"/>
  <c r="K3354" i="9"/>
  <c r="J3354" i="9"/>
  <c r="I3354" i="9"/>
  <c r="K3282" i="9"/>
  <c r="J3282" i="9"/>
  <c r="I3282" i="9"/>
  <c r="K3210" i="9"/>
  <c r="J3210" i="9"/>
  <c r="I3210" i="9"/>
  <c r="K3138" i="9"/>
  <c r="J3138" i="9"/>
  <c r="I3138" i="9"/>
  <c r="K3066" i="9"/>
  <c r="J3066" i="9"/>
  <c r="I3066" i="9"/>
  <c r="J2994" i="9"/>
  <c r="K2994" i="9"/>
  <c r="I2994" i="9"/>
  <c r="J2922" i="9"/>
  <c r="K2922" i="9"/>
  <c r="I2922" i="9"/>
  <c r="J2850" i="9"/>
  <c r="K2850" i="9"/>
  <c r="I2850" i="9"/>
  <c r="I2490" i="9"/>
  <c r="K2490" i="9"/>
  <c r="J2490" i="9"/>
  <c r="I2418" i="9"/>
  <c r="K2418" i="9"/>
  <c r="J2418" i="9"/>
  <c r="I2346" i="9"/>
  <c r="K2346" i="9"/>
  <c r="J2346" i="9"/>
  <c r="I2274" i="9"/>
  <c r="J2274" i="9"/>
  <c r="K2274" i="9"/>
  <c r="I2202" i="9"/>
  <c r="K2202" i="9"/>
  <c r="J2202" i="9"/>
  <c r="I2130" i="9"/>
  <c r="J2130" i="9"/>
  <c r="K2130" i="9"/>
  <c r="I2058" i="9"/>
  <c r="K2058" i="9"/>
  <c r="J2058" i="9"/>
  <c r="K2012" i="9"/>
  <c r="J2012" i="9"/>
  <c r="I2012" i="9"/>
  <c r="H1973" i="9"/>
  <c r="G1973" i="9"/>
  <c r="F1973" i="9"/>
  <c r="I1938" i="9"/>
  <c r="K1938" i="9"/>
  <c r="J1938" i="9"/>
  <c r="K1903" i="9"/>
  <c r="J1903" i="9"/>
  <c r="I1903" i="9"/>
  <c r="K1868" i="9"/>
  <c r="J1868" i="9"/>
  <c r="I1868" i="9"/>
  <c r="H1829" i="9"/>
  <c r="G1829" i="9"/>
  <c r="F1829" i="9"/>
  <c r="K1794" i="9"/>
  <c r="J1794" i="9"/>
  <c r="I1794" i="9"/>
  <c r="I1759" i="9"/>
  <c r="K1759" i="9"/>
  <c r="J1759" i="9"/>
  <c r="J1724" i="9"/>
  <c r="I1724" i="9"/>
  <c r="K1724" i="9"/>
  <c r="K1685" i="9"/>
  <c r="J1685" i="9"/>
  <c r="I1685" i="9"/>
  <c r="J1650" i="9"/>
  <c r="I1650" i="9"/>
  <c r="K1650" i="9"/>
  <c r="I1615" i="9"/>
  <c r="K1615" i="9"/>
  <c r="J1615" i="9"/>
  <c r="J1580" i="9"/>
  <c r="I1580" i="9"/>
  <c r="K1580" i="9"/>
  <c r="K1541" i="9"/>
  <c r="I1541" i="9"/>
  <c r="J1541" i="9"/>
  <c r="F1524" i="9"/>
  <c r="H1524" i="9"/>
  <c r="G1524" i="9"/>
  <c r="F1512" i="9"/>
  <c r="H1512" i="9"/>
  <c r="G1512" i="9"/>
  <c r="F1500" i="9"/>
  <c r="H1500" i="9"/>
  <c r="G1500" i="9"/>
  <c r="F1488" i="9"/>
  <c r="G1488" i="9"/>
  <c r="H1488" i="9"/>
  <c r="F1476" i="9"/>
  <c r="H1476" i="9"/>
  <c r="G1476" i="9"/>
  <c r="F1464" i="9"/>
  <c r="H1464" i="9"/>
  <c r="G1464" i="9"/>
  <c r="F1452" i="9"/>
  <c r="G1452" i="9"/>
  <c r="H1452" i="9"/>
  <c r="F1440" i="9"/>
  <c r="G1440" i="9"/>
  <c r="H1440" i="9"/>
  <c r="F1428" i="9"/>
  <c r="H1428" i="9"/>
  <c r="G1428" i="9"/>
  <c r="F1416" i="9"/>
  <c r="H1416" i="9"/>
  <c r="G1416" i="9"/>
  <c r="F1404" i="9"/>
  <c r="H1404" i="9"/>
  <c r="G1404" i="9"/>
  <c r="F1392" i="9"/>
  <c r="G1392" i="9"/>
  <c r="H1392" i="9"/>
  <c r="J1352" i="9"/>
  <c r="I1352" i="9"/>
  <c r="K1352" i="9"/>
  <c r="K1340" i="9"/>
  <c r="I1340" i="9"/>
  <c r="J1340" i="9"/>
  <c r="K1280" i="9"/>
  <c r="J1280" i="9"/>
  <c r="I1280" i="9"/>
  <c r="K1256" i="9"/>
  <c r="J1256" i="9"/>
  <c r="I1256" i="9"/>
  <c r="K1232" i="9"/>
  <c r="J1232" i="9"/>
  <c r="I1232" i="9"/>
  <c r="K1208" i="9"/>
  <c r="J1208" i="9"/>
  <c r="I1208" i="9"/>
  <c r="J1168" i="9"/>
  <c r="I1168" i="9"/>
  <c r="K1168" i="9"/>
  <c r="K1124" i="9"/>
  <c r="J1124" i="9"/>
  <c r="I1124" i="9"/>
  <c r="K1088" i="9"/>
  <c r="J1088" i="9"/>
  <c r="I1088" i="9"/>
  <c r="J1072" i="9"/>
  <c r="I1072" i="9"/>
  <c r="K1072" i="9"/>
  <c r="K1028" i="9"/>
  <c r="J1028" i="9"/>
  <c r="I1028" i="9"/>
  <c r="J1000" i="9"/>
  <c r="I1000" i="9"/>
  <c r="K1000" i="9"/>
  <c r="J952" i="9"/>
  <c r="I952" i="9"/>
  <c r="K952" i="9"/>
  <c r="J928" i="9"/>
  <c r="I928" i="9"/>
  <c r="K928" i="9"/>
  <c r="J916" i="9"/>
  <c r="I916" i="9"/>
  <c r="K916" i="9"/>
  <c r="I820" i="9"/>
  <c r="K820" i="9"/>
  <c r="J820" i="9"/>
  <c r="I796" i="9"/>
  <c r="K796" i="9"/>
  <c r="J796" i="9"/>
  <c r="K776" i="9"/>
  <c r="I776" i="9"/>
  <c r="J776" i="9"/>
  <c r="K752" i="9"/>
  <c r="J752" i="9"/>
  <c r="I752" i="9"/>
  <c r="I724" i="9"/>
  <c r="K724" i="9"/>
  <c r="J724" i="9"/>
  <c r="I700" i="9"/>
  <c r="K700" i="9"/>
  <c r="J700" i="9"/>
  <c r="K680" i="9"/>
  <c r="J680" i="9"/>
  <c r="I680" i="9"/>
  <c r="I664" i="9"/>
  <c r="K664" i="9"/>
  <c r="J664" i="9"/>
  <c r="K524" i="9"/>
  <c r="J524" i="9"/>
  <c r="I524" i="9"/>
  <c r="I484" i="9"/>
  <c r="K484" i="9"/>
  <c r="J484" i="9"/>
  <c r="I436" i="9"/>
  <c r="K436" i="9"/>
  <c r="J436" i="9"/>
  <c r="I400" i="9"/>
  <c r="K400" i="9"/>
  <c r="J400" i="9"/>
  <c r="K364" i="9"/>
  <c r="J364" i="9"/>
  <c r="I364" i="9"/>
  <c r="K344" i="9"/>
  <c r="I344" i="9"/>
  <c r="J344" i="9"/>
  <c r="K304" i="9"/>
  <c r="J304" i="9"/>
  <c r="I304" i="9"/>
  <c r="K280" i="9"/>
  <c r="J280" i="9"/>
  <c r="I280" i="9"/>
  <c r="K248" i="9"/>
  <c r="I248" i="9"/>
  <c r="J248" i="9"/>
  <c r="K236" i="9"/>
  <c r="I236" i="9"/>
  <c r="J236" i="9"/>
  <c r="K208" i="9"/>
  <c r="J208" i="9"/>
  <c r="I208" i="9"/>
  <c r="K152" i="9"/>
  <c r="I152" i="9"/>
  <c r="J152" i="9"/>
  <c r="K124" i="9"/>
  <c r="J124" i="9"/>
  <c r="I124" i="9"/>
  <c r="I4790" i="9"/>
  <c r="K4790" i="9"/>
  <c r="J4790" i="9"/>
  <c r="K4637" i="9"/>
  <c r="I4637" i="9"/>
  <c r="J4637" i="9"/>
  <c r="K4445" i="9"/>
  <c r="I4445" i="9"/>
  <c r="J4445" i="9"/>
  <c r="H4253" i="9"/>
  <c r="F4253" i="9"/>
  <c r="G4253" i="9"/>
  <c r="K3926" i="9"/>
  <c r="J3926" i="9"/>
  <c r="I3926" i="9"/>
  <c r="H3859" i="9"/>
  <c r="F3859" i="9"/>
  <c r="G3859" i="9"/>
  <c r="K3844" i="9"/>
  <c r="I3844" i="9"/>
  <c r="J3844" i="9"/>
  <c r="K3804" i="9"/>
  <c r="J3804" i="9"/>
  <c r="I3804" i="9"/>
  <c r="H3751" i="9"/>
  <c r="F3751" i="9"/>
  <c r="G3751" i="9"/>
  <c r="J3723" i="9"/>
  <c r="I3723" i="9"/>
  <c r="K3723" i="9"/>
  <c r="J3699" i="9"/>
  <c r="K3699" i="9"/>
  <c r="I3699" i="9"/>
  <c r="J3675" i="9"/>
  <c r="K3675" i="9"/>
  <c r="I3675" i="9"/>
  <c r="K3651" i="9"/>
  <c r="J3651" i="9"/>
  <c r="I3651" i="9"/>
  <c r="K3627" i="9"/>
  <c r="J3627" i="9"/>
  <c r="I3627" i="9"/>
  <c r="J3339" i="9"/>
  <c r="K3339" i="9"/>
  <c r="I3339" i="9"/>
  <c r="J3315" i="9"/>
  <c r="K3315" i="9"/>
  <c r="I3315" i="9"/>
  <c r="J3291" i="9"/>
  <c r="K3291" i="9"/>
  <c r="I3291" i="9"/>
  <c r="J3267" i="9"/>
  <c r="K3267" i="9"/>
  <c r="I3267" i="9"/>
  <c r="J3243" i="9"/>
  <c r="K3243" i="9"/>
  <c r="I3243" i="9"/>
  <c r="I3219" i="9"/>
  <c r="K3219" i="9"/>
  <c r="J3219" i="9"/>
  <c r="I3195" i="9"/>
  <c r="K3195" i="9"/>
  <c r="J3195" i="9"/>
  <c r="I3171" i="9"/>
  <c r="K3171" i="9"/>
  <c r="J3171" i="9"/>
  <c r="I3147" i="9"/>
  <c r="K3147" i="9"/>
  <c r="J3147" i="9"/>
  <c r="I3123" i="9"/>
  <c r="K3123" i="9"/>
  <c r="J3123" i="9"/>
  <c r="I3099" i="9"/>
  <c r="K3099" i="9"/>
  <c r="J3099" i="9"/>
  <c r="I3075" i="9"/>
  <c r="K3075" i="9"/>
  <c r="J3075" i="9"/>
  <c r="I3051" i="9"/>
  <c r="K3051" i="9"/>
  <c r="J3051" i="9"/>
  <c r="K3027" i="9"/>
  <c r="J3027" i="9"/>
  <c r="I3027" i="9"/>
  <c r="K3003" i="9"/>
  <c r="J3003" i="9"/>
  <c r="I3003" i="9"/>
  <c r="K2979" i="9"/>
  <c r="I2979" i="9"/>
  <c r="J2979" i="9"/>
  <c r="K2955" i="9"/>
  <c r="J2955" i="9"/>
  <c r="I2955" i="9"/>
  <c r="K2931" i="9"/>
  <c r="J2931" i="9"/>
  <c r="I2931" i="9"/>
  <c r="K2907" i="9"/>
  <c r="I2907" i="9"/>
  <c r="J2907" i="9"/>
  <c r="K2883" i="9"/>
  <c r="J2883" i="9"/>
  <c r="I2883" i="9"/>
  <c r="K2859" i="9"/>
  <c r="J2859" i="9"/>
  <c r="I2859" i="9"/>
  <c r="K2835" i="9"/>
  <c r="I2835" i="9"/>
  <c r="J2835" i="9"/>
  <c r="K2811" i="9"/>
  <c r="J2811" i="9"/>
  <c r="I2811" i="9"/>
  <c r="K2787" i="9"/>
  <c r="J2787" i="9"/>
  <c r="I2787" i="9"/>
  <c r="J2451" i="9"/>
  <c r="I2451" i="9"/>
  <c r="K2451" i="9"/>
  <c r="J2427" i="9"/>
  <c r="I2427" i="9"/>
  <c r="K2427" i="9"/>
  <c r="J2403" i="9"/>
  <c r="I2403" i="9"/>
  <c r="K2403" i="9"/>
  <c r="J2379" i="9"/>
  <c r="I2379" i="9"/>
  <c r="K2379" i="9"/>
  <c r="J2355" i="9"/>
  <c r="I2355" i="9"/>
  <c r="K2355" i="9"/>
  <c r="J2331" i="9"/>
  <c r="I2331" i="9"/>
  <c r="K2331" i="9"/>
  <c r="J2307" i="9"/>
  <c r="I2307" i="9"/>
  <c r="K2307" i="9"/>
  <c r="J2283" i="9"/>
  <c r="I2283" i="9"/>
  <c r="K2283" i="9"/>
  <c r="J2259" i="9"/>
  <c r="I2259" i="9"/>
  <c r="K2259" i="9"/>
  <c r="J2235" i="9"/>
  <c r="I2235" i="9"/>
  <c r="K2235" i="9"/>
  <c r="J2211" i="9"/>
  <c r="I2211" i="9"/>
  <c r="K2211" i="9"/>
  <c r="J2187" i="9"/>
  <c r="I2187" i="9"/>
  <c r="K2187" i="9"/>
  <c r="J2163" i="9"/>
  <c r="I2163" i="9"/>
  <c r="K2163" i="9"/>
  <c r="J2139" i="9"/>
  <c r="I2139" i="9"/>
  <c r="K2139" i="9"/>
  <c r="J2115" i="9"/>
  <c r="I2115" i="9"/>
  <c r="K2115" i="9"/>
  <c r="J2091" i="9"/>
  <c r="I2091" i="9"/>
  <c r="K2091" i="9"/>
  <c r="J2067" i="9"/>
  <c r="I2067" i="9"/>
  <c r="K2067" i="9"/>
  <c r="J2043" i="9"/>
  <c r="I2043" i="9"/>
  <c r="K2043" i="9"/>
  <c r="F1929" i="9"/>
  <c r="H1929" i="9"/>
  <c r="G1929" i="9"/>
  <c r="I1785" i="9"/>
  <c r="K1785" i="9"/>
  <c r="J1785" i="9"/>
  <c r="K1750" i="9"/>
  <c r="J1750" i="9"/>
  <c r="I1750" i="9"/>
  <c r="K1715" i="9"/>
  <c r="J1715" i="9"/>
  <c r="I1715" i="9"/>
  <c r="F1680" i="9"/>
  <c r="H1680" i="9"/>
  <c r="G1680" i="9"/>
  <c r="I1641" i="9"/>
  <c r="J1641" i="9"/>
  <c r="K1641" i="9"/>
  <c r="K1606" i="9"/>
  <c r="J1606" i="9"/>
  <c r="I1606" i="9"/>
  <c r="K1571" i="9"/>
  <c r="J1571" i="9"/>
  <c r="I1571" i="9"/>
  <c r="F1536" i="9"/>
  <c r="G1536" i="9"/>
  <c r="H1536" i="9"/>
  <c r="J4369" i="9"/>
  <c r="I4369" i="9"/>
  <c r="K4369" i="9"/>
  <c r="K4258" i="9"/>
  <c r="J4258" i="9"/>
  <c r="I4258" i="9"/>
  <c r="K4105" i="9"/>
  <c r="J4105" i="9"/>
  <c r="I4105" i="9"/>
  <c r="I4030" i="9"/>
  <c r="K4030" i="9"/>
  <c r="J4030" i="9"/>
  <c r="K4004" i="9"/>
  <c r="J4004" i="9"/>
  <c r="I4004" i="9"/>
  <c r="K3920" i="9"/>
  <c r="J3920" i="9"/>
  <c r="I3920" i="9"/>
  <c r="I3794" i="9"/>
  <c r="K3794" i="9"/>
  <c r="J3794" i="9"/>
  <c r="K3774" i="9"/>
  <c r="J3774" i="9"/>
  <c r="I3774" i="9"/>
  <c r="K3622" i="9"/>
  <c r="J3622" i="9"/>
  <c r="I3622" i="9"/>
  <c r="K3550" i="9"/>
  <c r="J3550" i="9"/>
  <c r="I3550" i="9"/>
  <c r="K3478" i="9"/>
  <c r="J3478" i="9"/>
  <c r="I3478" i="9"/>
  <c r="K3406" i="9"/>
  <c r="I3406" i="9"/>
  <c r="J3406" i="9"/>
  <c r="K2758" i="9"/>
  <c r="J2758" i="9"/>
  <c r="I2758" i="9"/>
  <c r="K2686" i="9"/>
  <c r="I2686" i="9"/>
  <c r="J2686" i="9"/>
  <c r="K2614" i="9"/>
  <c r="J2614" i="9"/>
  <c r="I2614" i="9"/>
  <c r="J2542" i="9"/>
  <c r="I2542" i="9"/>
  <c r="K2542" i="9"/>
  <c r="I2470" i="9"/>
  <c r="K2470" i="9"/>
  <c r="J2470" i="9"/>
  <c r="J2007" i="9"/>
  <c r="I2007" i="9"/>
  <c r="K2007" i="9"/>
  <c r="I1972" i="9"/>
  <c r="K1972" i="9"/>
  <c r="J1972" i="9"/>
  <c r="K1898" i="9"/>
  <c r="J1898" i="9"/>
  <c r="I1898" i="9"/>
  <c r="J1863" i="9"/>
  <c r="I1863" i="9"/>
  <c r="K1863" i="9"/>
  <c r="I1828" i="9"/>
  <c r="J1828" i="9"/>
  <c r="K1828" i="9"/>
  <c r="J495" i="9"/>
  <c r="I495" i="9"/>
  <c r="K495" i="9"/>
  <c r="K451" i="9"/>
  <c r="J451" i="9"/>
  <c r="I451" i="9"/>
  <c r="H263" i="9"/>
  <c r="F263" i="9"/>
  <c r="G263" i="9"/>
  <c r="H239" i="9"/>
  <c r="F239" i="9"/>
  <c r="G239" i="9"/>
  <c r="J175" i="9"/>
  <c r="I175" i="9"/>
  <c r="K175" i="9"/>
  <c r="J91" i="9"/>
  <c r="I91" i="9"/>
  <c r="K91" i="9"/>
  <c r="J43" i="9"/>
  <c r="I43" i="9"/>
  <c r="K43" i="9"/>
  <c r="F23" i="9"/>
  <c r="H23" i="9"/>
  <c r="G23" i="9"/>
  <c r="J4753" i="9"/>
  <c r="I4753" i="9"/>
  <c r="K4753" i="9"/>
  <c r="J4636" i="9"/>
  <c r="I4636" i="9"/>
  <c r="K4636" i="9"/>
  <c r="J4566" i="9"/>
  <c r="I4566" i="9"/>
  <c r="K4566" i="9"/>
  <c r="J4444" i="9"/>
  <c r="I4444" i="9"/>
  <c r="K4444" i="9"/>
  <c r="K4252" i="9"/>
  <c r="J4252" i="9"/>
  <c r="I4252" i="9"/>
  <c r="I4126" i="9"/>
  <c r="K4126" i="9"/>
  <c r="J4126" i="9"/>
  <c r="H4083" i="9"/>
  <c r="G4083" i="9"/>
  <c r="F4083" i="9"/>
  <c r="J3993" i="9"/>
  <c r="I3993" i="9"/>
  <c r="K3993" i="9"/>
  <c r="K3925" i="9"/>
  <c r="J3925" i="9"/>
  <c r="I3925" i="9"/>
  <c r="J3853" i="9"/>
  <c r="I3853" i="9"/>
  <c r="K3853" i="9"/>
  <c r="H3727" i="9"/>
  <c r="F3727" i="9"/>
  <c r="G3727" i="9"/>
  <c r="H3703" i="9"/>
  <c r="F3703" i="9"/>
  <c r="G3703" i="9"/>
  <c r="H3679" i="9"/>
  <c r="F3679" i="9"/>
  <c r="G3679" i="9"/>
  <c r="H3655" i="9"/>
  <c r="G3655" i="9"/>
  <c r="F3655" i="9"/>
  <c r="K3607" i="9"/>
  <c r="J3607" i="9"/>
  <c r="I3607" i="9"/>
  <c r="K3583" i="9"/>
  <c r="J3583" i="9"/>
  <c r="I3583" i="9"/>
  <c r="K3559" i="9"/>
  <c r="J3559" i="9"/>
  <c r="I3559" i="9"/>
  <c r="K3535" i="9"/>
  <c r="J3535" i="9"/>
  <c r="I3535" i="9"/>
  <c r="K3511" i="9"/>
  <c r="J3511" i="9"/>
  <c r="I3511" i="9"/>
  <c r="K3487" i="9"/>
  <c r="J3487" i="9"/>
  <c r="I3487" i="9"/>
  <c r="K3463" i="9"/>
  <c r="J3463" i="9"/>
  <c r="I3463" i="9"/>
  <c r="K3439" i="9"/>
  <c r="J3439" i="9"/>
  <c r="I3439" i="9"/>
  <c r="K3415" i="9"/>
  <c r="J3415" i="9"/>
  <c r="I3415" i="9"/>
  <c r="K3391" i="9"/>
  <c r="J3391" i="9"/>
  <c r="I3391" i="9"/>
  <c r="H3367" i="9"/>
  <c r="G3367" i="9"/>
  <c r="F3367" i="9"/>
  <c r="F3343" i="9"/>
  <c r="H3343" i="9"/>
  <c r="G3343" i="9"/>
  <c r="F3319" i="9"/>
  <c r="H3319" i="9"/>
  <c r="G3319" i="9"/>
  <c r="F3295" i="9"/>
  <c r="H3295" i="9"/>
  <c r="G3295" i="9"/>
  <c r="F3271" i="9"/>
  <c r="H3271" i="9"/>
  <c r="G3271" i="9"/>
  <c r="F3247" i="9"/>
  <c r="H3247" i="9"/>
  <c r="G3247" i="9"/>
  <c r="G3223" i="9"/>
  <c r="F3223" i="9"/>
  <c r="H3223" i="9"/>
  <c r="H3199" i="9"/>
  <c r="G3199" i="9"/>
  <c r="F3199" i="9"/>
  <c r="H3175" i="9"/>
  <c r="G3175" i="9"/>
  <c r="F3175" i="9"/>
  <c r="H3151" i="9"/>
  <c r="F3151" i="9"/>
  <c r="G3151" i="9"/>
  <c r="G3127" i="9"/>
  <c r="F3127" i="9"/>
  <c r="H3127" i="9"/>
  <c r="H3103" i="9"/>
  <c r="G3103" i="9"/>
  <c r="F3103" i="9"/>
  <c r="H3079" i="9"/>
  <c r="G3079" i="9"/>
  <c r="F3079" i="9"/>
  <c r="H3055" i="9"/>
  <c r="G3055" i="9"/>
  <c r="F3055" i="9"/>
  <c r="H3031" i="9"/>
  <c r="G3031" i="9"/>
  <c r="F3031" i="9"/>
  <c r="H3007" i="9"/>
  <c r="G3007" i="9"/>
  <c r="F3007" i="9"/>
  <c r="G2983" i="9"/>
  <c r="F2983" i="9"/>
  <c r="H2983" i="9"/>
  <c r="H2959" i="9"/>
  <c r="G2959" i="9"/>
  <c r="F2959" i="9"/>
  <c r="H2935" i="9"/>
  <c r="G2935" i="9"/>
  <c r="F2935" i="9"/>
  <c r="G2911" i="9"/>
  <c r="F2911" i="9"/>
  <c r="H2911" i="9"/>
  <c r="H2887" i="9"/>
  <c r="G2887" i="9"/>
  <c r="F2887" i="9"/>
  <c r="H2863" i="9"/>
  <c r="G2863" i="9"/>
  <c r="F2863" i="9"/>
  <c r="G2839" i="9"/>
  <c r="F2839" i="9"/>
  <c r="H2839" i="9"/>
  <c r="H2815" i="9"/>
  <c r="G2815" i="9"/>
  <c r="F2815" i="9"/>
  <c r="H2791" i="9"/>
  <c r="G2791" i="9"/>
  <c r="F2791" i="9"/>
  <c r="K2767" i="9"/>
  <c r="J2767" i="9"/>
  <c r="I2767" i="9"/>
  <c r="K2743" i="9"/>
  <c r="J2743" i="9"/>
  <c r="I2743" i="9"/>
  <c r="K2719" i="9"/>
  <c r="J2719" i="9"/>
  <c r="I2719" i="9"/>
  <c r="K2695" i="9"/>
  <c r="J2695" i="9"/>
  <c r="I2695" i="9"/>
  <c r="K2671" i="9"/>
  <c r="J2671" i="9"/>
  <c r="I2671" i="9"/>
  <c r="K2647" i="9"/>
  <c r="J2647" i="9"/>
  <c r="I2647" i="9"/>
  <c r="K2623" i="9"/>
  <c r="J2623" i="9"/>
  <c r="I2623" i="9"/>
  <c r="K2599" i="9"/>
  <c r="J2599" i="9"/>
  <c r="I2599" i="9"/>
  <c r="K2575" i="9"/>
  <c r="J2575" i="9"/>
  <c r="I2575" i="9"/>
  <c r="K2551" i="9"/>
  <c r="J2551" i="9"/>
  <c r="I2551" i="9"/>
  <c r="K2527" i="9"/>
  <c r="J2527" i="9"/>
  <c r="I2527" i="9"/>
  <c r="K2503" i="9"/>
  <c r="J2503" i="9"/>
  <c r="I2503" i="9"/>
  <c r="K2479" i="9"/>
  <c r="J2479" i="9"/>
  <c r="I2479" i="9"/>
  <c r="K2455" i="9"/>
  <c r="J2455" i="9"/>
  <c r="I2455" i="9"/>
  <c r="K2431" i="9"/>
  <c r="J2431" i="9"/>
  <c r="I2431" i="9"/>
  <c r="K2407" i="9"/>
  <c r="J2407" i="9"/>
  <c r="I2407" i="9"/>
  <c r="K2383" i="9"/>
  <c r="J2383" i="9"/>
  <c r="I2383" i="9"/>
  <c r="I2359" i="9"/>
  <c r="K2359" i="9"/>
  <c r="J2359" i="9"/>
  <c r="K2335" i="9"/>
  <c r="J2335" i="9"/>
  <c r="I2335" i="9"/>
  <c r="I2311" i="9"/>
  <c r="K2311" i="9"/>
  <c r="J2311" i="9"/>
  <c r="K2287" i="9"/>
  <c r="J2287" i="9"/>
  <c r="I2287" i="9"/>
  <c r="I2263" i="9"/>
  <c r="K2263" i="9"/>
  <c r="J2263" i="9"/>
  <c r="K2239" i="9"/>
  <c r="J2239" i="9"/>
  <c r="I2239" i="9"/>
  <c r="I2215" i="9"/>
  <c r="K2215" i="9"/>
  <c r="J2215" i="9"/>
  <c r="K2191" i="9"/>
  <c r="J2191" i="9"/>
  <c r="I2191" i="9"/>
  <c r="I2167" i="9"/>
  <c r="K2167" i="9"/>
  <c r="J2167" i="9"/>
  <c r="K2143" i="9"/>
  <c r="J2143" i="9"/>
  <c r="I2143" i="9"/>
  <c r="I2119" i="9"/>
  <c r="K2119" i="9"/>
  <c r="J2119" i="9"/>
  <c r="K2095" i="9"/>
  <c r="J2095" i="9"/>
  <c r="I2095" i="9"/>
  <c r="J2071" i="9"/>
  <c r="I2071" i="9"/>
  <c r="K2071" i="9"/>
  <c r="K2047" i="9"/>
  <c r="J2047" i="9"/>
  <c r="I2047" i="9"/>
  <c r="K2011" i="9"/>
  <c r="J2011" i="9"/>
  <c r="I2011" i="9"/>
  <c r="K1976" i="9"/>
  <c r="J1976" i="9"/>
  <c r="I1976" i="9"/>
  <c r="H1937" i="9"/>
  <c r="G1937" i="9"/>
  <c r="F1937" i="9"/>
  <c r="I1902" i="9"/>
  <c r="K1902" i="9"/>
  <c r="J1902" i="9"/>
  <c r="K1867" i="9"/>
  <c r="I1867" i="9"/>
  <c r="J1867" i="9"/>
  <c r="K1832" i="9"/>
  <c r="J1832" i="9"/>
  <c r="I1832" i="9"/>
  <c r="H1793" i="9"/>
  <c r="G1793" i="9"/>
  <c r="F1793" i="9"/>
  <c r="J1758" i="9"/>
  <c r="I1758" i="9"/>
  <c r="K1758" i="9"/>
  <c r="I1723" i="9"/>
  <c r="K1723" i="9"/>
  <c r="J1723" i="9"/>
  <c r="J1688" i="9"/>
  <c r="I1688" i="9"/>
  <c r="K1688" i="9"/>
  <c r="K1649" i="9"/>
  <c r="J1649" i="9"/>
  <c r="I1649" i="9"/>
  <c r="J1614" i="9"/>
  <c r="I1614" i="9"/>
  <c r="K1614" i="9"/>
  <c r="I1579" i="9"/>
  <c r="K1579" i="9"/>
  <c r="J1579" i="9"/>
  <c r="J1544" i="9"/>
  <c r="I1544" i="9"/>
  <c r="K1544" i="9"/>
  <c r="K1523" i="9"/>
  <c r="J1523" i="9"/>
  <c r="I1523" i="9"/>
  <c r="K1511" i="9"/>
  <c r="J1511" i="9"/>
  <c r="I1511" i="9"/>
  <c r="K1499" i="9"/>
  <c r="J1499" i="9"/>
  <c r="I1499" i="9"/>
  <c r="K1487" i="9"/>
  <c r="J1487" i="9"/>
  <c r="I1487" i="9"/>
  <c r="K1475" i="9"/>
  <c r="J1475" i="9"/>
  <c r="I1475" i="9"/>
  <c r="K1463" i="9"/>
  <c r="J1463" i="9"/>
  <c r="I1463" i="9"/>
  <c r="K1451" i="9"/>
  <c r="J1451" i="9"/>
  <c r="I1451" i="9"/>
  <c r="K1439" i="9"/>
  <c r="J1439" i="9"/>
  <c r="I1439" i="9"/>
  <c r="K1427" i="9"/>
  <c r="J1427" i="9"/>
  <c r="I1427" i="9"/>
  <c r="K1415" i="9"/>
  <c r="J1415" i="9"/>
  <c r="I1415" i="9"/>
  <c r="K1403" i="9"/>
  <c r="J1403" i="9"/>
  <c r="I1403" i="9"/>
  <c r="K1391" i="9"/>
  <c r="J1391" i="9"/>
  <c r="I1391" i="9"/>
  <c r="K463" i="9"/>
  <c r="J463" i="9"/>
  <c r="I463" i="9"/>
  <c r="K439" i="9"/>
  <c r="J439" i="9"/>
  <c r="I439" i="9"/>
  <c r="H383" i="9"/>
  <c r="F383" i="9"/>
  <c r="G383" i="9"/>
  <c r="H371" i="9"/>
  <c r="F371" i="9"/>
  <c r="G371" i="9"/>
  <c r="H359" i="9"/>
  <c r="F359" i="9"/>
  <c r="G359" i="9"/>
  <c r="H347" i="9"/>
  <c r="F347" i="9"/>
  <c r="G347" i="9"/>
  <c r="H335" i="9"/>
  <c r="F335" i="9"/>
  <c r="G335" i="9"/>
  <c r="H323" i="9"/>
  <c r="F323" i="9"/>
  <c r="G323" i="9"/>
  <c r="H311" i="9"/>
  <c r="F311" i="9"/>
  <c r="G311" i="9"/>
  <c r="H299" i="9"/>
  <c r="F299" i="9"/>
  <c r="G299" i="9"/>
  <c r="H215" i="9"/>
  <c r="F215" i="9"/>
  <c r="G215" i="9"/>
  <c r="H191" i="9"/>
  <c r="F191" i="9"/>
  <c r="G191" i="9"/>
  <c r="H155" i="9"/>
  <c r="F155" i="9"/>
  <c r="G155" i="9"/>
  <c r="H131" i="9"/>
  <c r="F131" i="9"/>
  <c r="G131" i="9"/>
  <c r="J103" i="9"/>
  <c r="I103" i="9"/>
  <c r="K103" i="9"/>
  <c r="J79" i="9"/>
  <c r="I79" i="9"/>
  <c r="K79" i="9"/>
  <c r="H59" i="9"/>
  <c r="F59" i="9"/>
  <c r="G59" i="9"/>
  <c r="I7" i="9"/>
  <c r="K7" i="9"/>
  <c r="J7" i="9"/>
  <c r="K4589" i="9"/>
  <c r="I4589" i="9"/>
  <c r="J4589" i="9"/>
  <c r="H4397" i="9"/>
  <c r="F4397" i="9"/>
  <c r="G4397" i="9"/>
  <c r="H4205" i="9"/>
  <c r="G4205" i="9"/>
  <c r="F4205" i="9"/>
  <c r="K4045" i="9"/>
  <c r="J4045" i="9"/>
  <c r="I4045" i="9"/>
  <c r="I3982" i="9"/>
  <c r="K3982" i="9"/>
  <c r="J3982" i="9"/>
  <c r="K3956" i="9"/>
  <c r="J3956" i="9"/>
  <c r="I3956" i="9"/>
  <c r="J3843" i="9"/>
  <c r="I3843" i="9"/>
  <c r="K3843" i="9"/>
  <c r="H3823" i="9"/>
  <c r="F3823" i="9"/>
  <c r="G3823" i="9"/>
  <c r="I3722" i="9"/>
  <c r="K3722" i="9"/>
  <c r="J3722" i="9"/>
  <c r="H3578" i="9"/>
  <c r="G3578" i="9"/>
  <c r="F3578" i="9"/>
  <c r="H3506" i="9"/>
  <c r="G3506" i="9"/>
  <c r="F3506" i="9"/>
  <c r="H3434" i="9"/>
  <c r="G3434" i="9"/>
  <c r="F3434" i="9"/>
  <c r="I3290" i="9"/>
  <c r="K3290" i="9"/>
  <c r="J3290" i="9"/>
  <c r="H2714" i="9"/>
  <c r="G2714" i="9"/>
  <c r="F2714" i="9"/>
  <c r="H2642" i="9"/>
  <c r="G2642" i="9"/>
  <c r="F2642" i="9"/>
  <c r="H2570" i="9"/>
  <c r="G2570" i="9"/>
  <c r="F2570" i="9"/>
  <c r="K2426" i="9"/>
  <c r="J2426" i="9"/>
  <c r="I2426" i="9"/>
  <c r="K2354" i="9"/>
  <c r="J2354" i="9"/>
  <c r="I2354" i="9"/>
  <c r="K2282" i="9"/>
  <c r="J2282" i="9"/>
  <c r="I2282" i="9"/>
  <c r="K2210" i="9"/>
  <c r="J2210" i="9"/>
  <c r="I2210" i="9"/>
  <c r="K2138" i="9"/>
  <c r="J2138" i="9"/>
  <c r="I2138" i="9"/>
  <c r="K2066" i="9"/>
  <c r="J2066" i="9"/>
  <c r="I2066" i="9"/>
  <c r="F1941" i="9"/>
  <c r="H1941" i="9"/>
  <c r="G1941" i="9"/>
  <c r="H1797" i="9"/>
  <c r="G1797" i="9"/>
  <c r="F1797" i="9"/>
  <c r="K1762" i="9"/>
  <c r="J1762" i="9"/>
  <c r="I1762" i="9"/>
  <c r="K1727" i="9"/>
  <c r="J1727" i="9"/>
  <c r="I1727" i="9"/>
  <c r="F1692" i="9"/>
  <c r="H1692" i="9"/>
  <c r="G1692" i="9"/>
  <c r="I1653" i="9"/>
  <c r="K1653" i="9"/>
  <c r="J1653" i="9"/>
  <c r="K1618" i="9"/>
  <c r="J1618" i="9"/>
  <c r="I1618" i="9"/>
  <c r="K1583" i="9"/>
  <c r="J1583" i="9"/>
  <c r="I1583" i="9"/>
  <c r="F1548" i="9"/>
  <c r="H1548" i="9"/>
  <c r="G1548" i="9"/>
  <c r="I5142" i="9"/>
  <c r="K5142" i="9"/>
  <c r="J5142" i="9"/>
  <c r="K4998" i="9"/>
  <c r="J4998" i="9"/>
  <c r="I4998" i="9"/>
  <c r="K4854" i="9"/>
  <c r="J4854" i="9"/>
  <c r="I4854" i="9"/>
  <c r="K4705" i="9"/>
  <c r="J4705" i="9"/>
  <c r="I4705" i="9"/>
  <c r="K4402" i="9"/>
  <c r="J4402" i="9"/>
  <c r="I4402" i="9"/>
  <c r="J4321" i="9"/>
  <c r="I4321" i="9"/>
  <c r="K4321" i="9"/>
  <c r="K4210" i="9"/>
  <c r="J4210" i="9"/>
  <c r="I4210" i="9"/>
  <c r="K4136" i="9"/>
  <c r="J4136" i="9"/>
  <c r="I4136" i="9"/>
  <c r="K4082" i="9"/>
  <c r="J4082" i="9"/>
  <c r="I4082" i="9"/>
  <c r="H3987" i="9"/>
  <c r="G3987" i="9"/>
  <c r="F3987" i="9"/>
  <c r="J3783" i="9"/>
  <c r="I3783" i="9"/>
  <c r="K3783" i="9"/>
  <c r="J3745" i="9"/>
  <c r="I3745" i="9"/>
  <c r="K3745" i="9"/>
  <c r="K3712" i="9"/>
  <c r="I3712" i="9"/>
  <c r="J3712" i="9"/>
  <c r="K3688" i="9"/>
  <c r="I3688" i="9"/>
  <c r="J3688" i="9"/>
  <c r="K3664" i="9"/>
  <c r="J3664" i="9"/>
  <c r="I3664" i="9"/>
  <c r="K3640" i="9"/>
  <c r="J3640" i="9"/>
  <c r="I3640" i="9"/>
  <c r="I3352" i="9"/>
  <c r="K3352" i="9"/>
  <c r="J3352" i="9"/>
  <c r="I3328" i="9"/>
  <c r="K3328" i="9"/>
  <c r="J3328" i="9"/>
  <c r="I3304" i="9"/>
  <c r="K3304" i="9"/>
  <c r="J3304" i="9"/>
  <c r="I3280" i="9"/>
  <c r="K3280" i="9"/>
  <c r="J3280" i="9"/>
  <c r="I3256" i="9"/>
  <c r="K3256" i="9"/>
  <c r="J3256" i="9"/>
  <c r="I3232" i="9"/>
  <c r="K3232" i="9"/>
  <c r="J3232" i="9"/>
  <c r="J3208" i="9"/>
  <c r="I3208" i="9"/>
  <c r="K3208" i="9"/>
  <c r="K3184" i="9"/>
  <c r="J3184" i="9"/>
  <c r="I3184" i="9"/>
  <c r="K3160" i="9"/>
  <c r="J3160" i="9"/>
  <c r="I3160" i="9"/>
  <c r="K3136" i="9"/>
  <c r="J3136" i="9"/>
  <c r="I3136" i="9"/>
  <c r="J3112" i="9"/>
  <c r="I3112" i="9"/>
  <c r="K3112" i="9"/>
  <c r="K3088" i="9"/>
  <c r="J3088" i="9"/>
  <c r="I3088" i="9"/>
  <c r="K3064" i="9"/>
  <c r="J3064" i="9"/>
  <c r="I3064" i="9"/>
  <c r="G3040" i="9"/>
  <c r="F3040" i="9"/>
  <c r="H3040" i="9"/>
  <c r="G3016" i="9"/>
  <c r="F3016" i="9"/>
  <c r="H3016" i="9"/>
  <c r="G2992" i="9"/>
  <c r="F2992" i="9"/>
  <c r="H2992" i="9"/>
  <c r="G2968" i="9"/>
  <c r="F2968" i="9"/>
  <c r="H2968" i="9"/>
  <c r="G2944" i="9"/>
  <c r="F2944" i="9"/>
  <c r="H2944" i="9"/>
  <c r="G2920" i="9"/>
  <c r="F2920" i="9"/>
  <c r="H2920" i="9"/>
  <c r="G2896" i="9"/>
  <c r="F2896" i="9"/>
  <c r="H2896" i="9"/>
  <c r="G2872" i="9"/>
  <c r="F2872" i="9"/>
  <c r="H2872" i="9"/>
  <c r="G2848" i="9"/>
  <c r="F2848" i="9"/>
  <c r="H2848" i="9"/>
  <c r="G2824" i="9"/>
  <c r="F2824" i="9"/>
  <c r="H2824" i="9"/>
  <c r="G2800" i="9"/>
  <c r="F2800" i="9"/>
  <c r="H2800" i="9"/>
  <c r="K2488" i="9"/>
  <c r="J2488" i="9"/>
  <c r="I2488" i="9"/>
  <c r="I2464" i="9"/>
  <c r="K2464" i="9"/>
  <c r="J2464" i="9"/>
  <c r="I2440" i="9"/>
  <c r="K2440" i="9"/>
  <c r="J2440" i="9"/>
  <c r="I2416" i="9"/>
  <c r="K2416" i="9"/>
  <c r="J2416" i="9"/>
  <c r="I2392" i="9"/>
  <c r="J2392" i="9"/>
  <c r="K2392" i="9"/>
  <c r="I2368" i="9"/>
  <c r="J2368" i="9"/>
  <c r="K2368" i="9"/>
  <c r="I2344" i="9"/>
  <c r="J2344" i="9"/>
  <c r="K2344" i="9"/>
  <c r="I2320" i="9"/>
  <c r="K2320" i="9"/>
  <c r="J2320" i="9"/>
  <c r="I2296" i="9"/>
  <c r="K2296" i="9"/>
  <c r="J2296" i="9"/>
  <c r="I2272" i="9"/>
  <c r="K2272" i="9"/>
  <c r="J2272" i="9"/>
  <c r="I2248" i="9"/>
  <c r="K2248" i="9"/>
  <c r="J2248" i="9"/>
  <c r="I2224" i="9"/>
  <c r="K2224" i="9"/>
  <c r="J2224" i="9"/>
  <c r="I2200" i="9"/>
  <c r="K2200" i="9"/>
  <c r="J2200" i="9"/>
  <c r="I2176" i="9"/>
  <c r="K2176" i="9"/>
  <c r="J2176" i="9"/>
  <c r="I2152" i="9"/>
  <c r="K2152" i="9"/>
  <c r="J2152" i="9"/>
  <c r="I2128" i="9"/>
  <c r="K2128" i="9"/>
  <c r="J2128" i="9"/>
  <c r="I2104" i="9"/>
  <c r="K2104" i="9"/>
  <c r="J2104" i="9"/>
  <c r="I2080" i="9"/>
  <c r="K2080" i="9"/>
  <c r="J2080" i="9"/>
  <c r="I2056" i="9"/>
  <c r="K2056" i="9"/>
  <c r="J2056" i="9"/>
  <c r="I2032" i="9"/>
  <c r="K2032" i="9"/>
  <c r="J2032" i="9"/>
  <c r="K1958" i="9"/>
  <c r="J1958" i="9"/>
  <c r="I1958" i="9"/>
  <c r="J1923" i="9"/>
  <c r="I1923" i="9"/>
  <c r="K1923" i="9"/>
  <c r="I1888" i="9"/>
  <c r="K1888" i="9"/>
  <c r="J1888" i="9"/>
  <c r="K1814" i="9"/>
  <c r="J1814" i="9"/>
  <c r="I1814" i="9"/>
  <c r="I342" i="9"/>
  <c r="K342" i="9"/>
  <c r="J342" i="9"/>
  <c r="K286" i="9"/>
  <c r="J286" i="9"/>
  <c r="I286" i="9"/>
  <c r="K166" i="9"/>
  <c r="J166" i="9"/>
  <c r="I166" i="9"/>
  <c r="K142" i="9"/>
  <c r="J142" i="9"/>
  <c r="I142" i="9"/>
  <c r="K118" i="9"/>
  <c r="J118" i="9"/>
  <c r="I118" i="9"/>
  <c r="I90" i="9"/>
  <c r="K90" i="9"/>
  <c r="J90" i="9"/>
  <c r="K70" i="9"/>
  <c r="J70" i="9"/>
  <c r="I70" i="9"/>
  <c r="K46" i="9"/>
  <c r="J46" i="9"/>
  <c r="I46" i="9"/>
  <c r="K22" i="9"/>
  <c r="J22" i="9"/>
  <c r="I22" i="9"/>
  <c r="I4716" i="9"/>
  <c r="J4716" i="9"/>
  <c r="K4716" i="9"/>
  <c r="J4646" i="9"/>
  <c r="I4646" i="9"/>
  <c r="K4646" i="9"/>
  <c r="J4454" i="9"/>
  <c r="I4454" i="9"/>
  <c r="K4454" i="9"/>
  <c r="I4332" i="9"/>
  <c r="K4332" i="9"/>
  <c r="J4332" i="9"/>
  <c r="K4262" i="9"/>
  <c r="I4262" i="9"/>
  <c r="J4262" i="9"/>
  <c r="K4164" i="9"/>
  <c r="J4164" i="9"/>
  <c r="I4164" i="9"/>
  <c r="K4044" i="9"/>
  <c r="J4044" i="9"/>
  <c r="I4044" i="9"/>
  <c r="J3877" i="9"/>
  <c r="I3877" i="9"/>
  <c r="K3877" i="9"/>
  <c r="K3857" i="9"/>
  <c r="J3857" i="9"/>
  <c r="I3857" i="9"/>
  <c r="K3832" i="9"/>
  <c r="I3832" i="9"/>
  <c r="J3832" i="9"/>
  <c r="K3726" i="9"/>
  <c r="J3726" i="9"/>
  <c r="I3726" i="9"/>
  <c r="K3654" i="9"/>
  <c r="J3654" i="9"/>
  <c r="I3654" i="9"/>
  <c r="K3294" i="9"/>
  <c r="J3294" i="9"/>
  <c r="I3294" i="9"/>
  <c r="K3222" i="9"/>
  <c r="J3222" i="9"/>
  <c r="I3222" i="9"/>
  <c r="K3150" i="9"/>
  <c r="J3150" i="9"/>
  <c r="I3150" i="9"/>
  <c r="K3078" i="9"/>
  <c r="J3078" i="9"/>
  <c r="I3078" i="9"/>
  <c r="J3006" i="9"/>
  <c r="K3006" i="9"/>
  <c r="I3006" i="9"/>
  <c r="J2934" i="9"/>
  <c r="K2934" i="9"/>
  <c r="I2934" i="9"/>
  <c r="J2862" i="9"/>
  <c r="K2862" i="9"/>
  <c r="I2862" i="9"/>
  <c r="J2790" i="9"/>
  <c r="K2790" i="9"/>
  <c r="I2790" i="9"/>
  <c r="I2502" i="9"/>
  <c r="K2502" i="9"/>
  <c r="J2502" i="9"/>
  <c r="I2430" i="9"/>
  <c r="K2430" i="9"/>
  <c r="J2430" i="9"/>
  <c r="K2358" i="9"/>
  <c r="J2358" i="9"/>
  <c r="I2358" i="9"/>
  <c r="I2286" i="9"/>
  <c r="K2286" i="9"/>
  <c r="J2286" i="9"/>
  <c r="I2214" i="9"/>
  <c r="K2214" i="9"/>
  <c r="J2214" i="9"/>
  <c r="I2142" i="9"/>
  <c r="K2142" i="9"/>
  <c r="J2142" i="9"/>
  <c r="I2070" i="9"/>
  <c r="K2070" i="9"/>
  <c r="J2070" i="9"/>
  <c r="I2010" i="9"/>
  <c r="K2010" i="9"/>
  <c r="J2010" i="9"/>
  <c r="K1975" i="9"/>
  <c r="J1975" i="9"/>
  <c r="I1975" i="9"/>
  <c r="K1940" i="9"/>
  <c r="J1940" i="9"/>
  <c r="I1940" i="9"/>
  <c r="H1901" i="9"/>
  <c r="G1901" i="9"/>
  <c r="F1901" i="9"/>
  <c r="I1866" i="9"/>
  <c r="K1866" i="9"/>
  <c r="J1866" i="9"/>
  <c r="I1831" i="9"/>
  <c r="K1831" i="9"/>
  <c r="J1831" i="9"/>
  <c r="K1796" i="9"/>
  <c r="J1796" i="9"/>
  <c r="I1796" i="9"/>
  <c r="K1757" i="9"/>
  <c r="J1757" i="9"/>
  <c r="I1757" i="9"/>
  <c r="J1722" i="9"/>
  <c r="I1722" i="9"/>
  <c r="K1722" i="9"/>
  <c r="I1687" i="9"/>
  <c r="K1687" i="9"/>
  <c r="J1687" i="9"/>
  <c r="J1652" i="9"/>
  <c r="I1652" i="9"/>
  <c r="K1652" i="9"/>
  <c r="K1613" i="9"/>
  <c r="J1613" i="9"/>
  <c r="I1613" i="9"/>
  <c r="J1578" i="9"/>
  <c r="I1578" i="9"/>
  <c r="K1578" i="9"/>
  <c r="I1543" i="9"/>
  <c r="K1543" i="9"/>
  <c r="J1543" i="9"/>
  <c r="F1522" i="9"/>
  <c r="H1522" i="9"/>
  <c r="G1522" i="9"/>
  <c r="F1510" i="9"/>
  <c r="H1510" i="9"/>
  <c r="G1510" i="9"/>
  <c r="F1498" i="9"/>
  <c r="H1498" i="9"/>
  <c r="G1498" i="9"/>
  <c r="F1486" i="9"/>
  <c r="H1486" i="9"/>
  <c r="G1486" i="9"/>
  <c r="F1474" i="9"/>
  <c r="H1474" i="9"/>
  <c r="G1474" i="9"/>
  <c r="F1462" i="9"/>
  <c r="H1462" i="9"/>
  <c r="G1462" i="9"/>
  <c r="F1450" i="9"/>
  <c r="H1450" i="9"/>
  <c r="G1450" i="9"/>
  <c r="F1438" i="9"/>
  <c r="H1438" i="9"/>
  <c r="G1438" i="9"/>
  <c r="F1426" i="9"/>
  <c r="H1426" i="9"/>
  <c r="G1426" i="9"/>
  <c r="F1414" i="9"/>
  <c r="H1414" i="9"/>
  <c r="G1414" i="9"/>
  <c r="F1402" i="9"/>
  <c r="H1402" i="9"/>
  <c r="G1402" i="9"/>
  <c r="F1390" i="9"/>
  <c r="H1390" i="9"/>
  <c r="G1390" i="9"/>
  <c r="H1378" i="9"/>
  <c r="G1378" i="9"/>
  <c r="F1378" i="9"/>
  <c r="H1366" i="9"/>
  <c r="G1366" i="9"/>
  <c r="F1366" i="9"/>
  <c r="H1354" i="9"/>
  <c r="G1354" i="9"/>
  <c r="F1354" i="9"/>
  <c r="F1342" i="9"/>
  <c r="H1342" i="9"/>
  <c r="G1342" i="9"/>
  <c r="F1330" i="9"/>
  <c r="H1330" i="9"/>
  <c r="G1330" i="9"/>
  <c r="F1318" i="9"/>
  <c r="G1318" i="9"/>
  <c r="H1318" i="9"/>
  <c r="F1306" i="9"/>
  <c r="H1306" i="9"/>
  <c r="G1306" i="9"/>
  <c r="F1294" i="9"/>
  <c r="H1294" i="9"/>
  <c r="G1294" i="9"/>
  <c r="F1282" i="9"/>
  <c r="H1282" i="9"/>
  <c r="G1282" i="9"/>
  <c r="F1270" i="9"/>
  <c r="G1270" i="9"/>
  <c r="H1270" i="9"/>
  <c r="F1258" i="9"/>
  <c r="H1258" i="9"/>
  <c r="G1258" i="9"/>
  <c r="F1246" i="9"/>
  <c r="H1246" i="9"/>
  <c r="G1246" i="9"/>
  <c r="F1234" i="9"/>
  <c r="H1234" i="9"/>
  <c r="G1234" i="9"/>
  <c r="F1222" i="9"/>
  <c r="G1222" i="9"/>
  <c r="H1222" i="9"/>
  <c r="F1210" i="9"/>
  <c r="H1210" i="9"/>
  <c r="G1210" i="9"/>
  <c r="F1198" i="9"/>
  <c r="H1198" i="9"/>
  <c r="G1198" i="9"/>
  <c r="F1186" i="9"/>
  <c r="H1186" i="9"/>
  <c r="G1186" i="9"/>
  <c r="F1174" i="9"/>
  <c r="G1174" i="9"/>
  <c r="H1174" i="9"/>
  <c r="F1162" i="9"/>
  <c r="H1162" i="9"/>
  <c r="G1162" i="9"/>
  <c r="F1150" i="9"/>
  <c r="H1150" i="9"/>
  <c r="G1150" i="9"/>
  <c r="F1138" i="9"/>
  <c r="H1138" i="9"/>
  <c r="G1138" i="9"/>
  <c r="F1126" i="9"/>
  <c r="G1126" i="9"/>
  <c r="H1126" i="9"/>
  <c r="F1114" i="9"/>
  <c r="H1114" i="9"/>
  <c r="G1114" i="9"/>
  <c r="F1102" i="9"/>
  <c r="H1102" i="9"/>
  <c r="G1102" i="9"/>
  <c r="F1090" i="9"/>
  <c r="H1090" i="9"/>
  <c r="G1090" i="9"/>
  <c r="F1078" i="9"/>
  <c r="G1078" i="9"/>
  <c r="H1078" i="9"/>
  <c r="F1066" i="9"/>
  <c r="H1066" i="9"/>
  <c r="G1066" i="9"/>
  <c r="F1054" i="9"/>
  <c r="H1054" i="9"/>
  <c r="G1054" i="9"/>
  <c r="F1042" i="9"/>
  <c r="H1042" i="9"/>
  <c r="G1042" i="9"/>
  <c r="F1030" i="9"/>
  <c r="G1030" i="9"/>
  <c r="H1030" i="9"/>
  <c r="F1018" i="9"/>
  <c r="H1018" i="9"/>
  <c r="G1018" i="9"/>
  <c r="F1006" i="9"/>
  <c r="H1006" i="9"/>
  <c r="G1006" i="9"/>
  <c r="F994" i="9"/>
  <c r="G994" i="9"/>
  <c r="H994" i="9"/>
  <c r="F982" i="9"/>
  <c r="H982" i="9"/>
  <c r="G982" i="9"/>
  <c r="F970" i="9"/>
  <c r="G970" i="9"/>
  <c r="H970" i="9"/>
  <c r="F958" i="9"/>
  <c r="G958" i="9"/>
  <c r="H958" i="9"/>
  <c r="F946" i="9"/>
  <c r="H946" i="9"/>
  <c r="G946" i="9"/>
  <c r="F934" i="9"/>
  <c r="H934" i="9"/>
  <c r="G934" i="9"/>
  <c r="F922" i="9"/>
  <c r="G922" i="9"/>
  <c r="H922" i="9"/>
  <c r="F910" i="9"/>
  <c r="H910" i="9"/>
  <c r="G910" i="9"/>
  <c r="F898" i="9"/>
  <c r="H898" i="9"/>
  <c r="G898" i="9"/>
  <c r="F886" i="9"/>
  <c r="G886" i="9"/>
  <c r="H886" i="9"/>
  <c r="F874" i="9"/>
  <c r="H874" i="9"/>
  <c r="G874" i="9"/>
  <c r="F862" i="9"/>
  <c r="H862" i="9"/>
  <c r="G862" i="9"/>
  <c r="F850" i="9"/>
  <c r="G850" i="9"/>
  <c r="H850" i="9"/>
  <c r="K382" i="9"/>
  <c r="J382" i="9"/>
  <c r="I382" i="9"/>
  <c r="K370" i="9"/>
  <c r="J370" i="9"/>
  <c r="I370" i="9"/>
  <c r="K358" i="9"/>
  <c r="J358" i="9"/>
  <c r="I358" i="9"/>
  <c r="K346" i="9"/>
  <c r="J346" i="9"/>
  <c r="I346" i="9"/>
  <c r="I330" i="9"/>
  <c r="K330" i="9"/>
  <c r="J330" i="9"/>
  <c r="I318" i="9"/>
  <c r="K318" i="9"/>
  <c r="J318" i="9"/>
  <c r="I306" i="9"/>
  <c r="K306" i="9"/>
  <c r="J306" i="9"/>
  <c r="I282" i="9"/>
  <c r="K282" i="9"/>
  <c r="J282" i="9"/>
  <c r="I162" i="9"/>
  <c r="K162" i="9"/>
  <c r="J162" i="9"/>
  <c r="I138" i="9"/>
  <c r="K138" i="9"/>
  <c r="J138" i="9"/>
  <c r="I114" i="9"/>
  <c r="K114" i="9"/>
  <c r="J114" i="9"/>
  <c r="K94" i="9"/>
  <c r="J94" i="9"/>
  <c r="I94" i="9"/>
  <c r="I66" i="9"/>
  <c r="K66" i="9"/>
  <c r="J66" i="9"/>
  <c r="I42" i="9"/>
  <c r="K42" i="9"/>
  <c r="J42" i="9"/>
  <c r="I18" i="9"/>
  <c r="K18" i="9"/>
  <c r="J18" i="9"/>
  <c r="J5153" i="9"/>
  <c r="I5153" i="9"/>
  <c r="K5153" i="9"/>
  <c r="K5009" i="9"/>
  <c r="J5009" i="9"/>
  <c r="I5009" i="9"/>
  <c r="K4865" i="9"/>
  <c r="J4865" i="9"/>
  <c r="I4865" i="9"/>
  <c r="J4285" i="9"/>
  <c r="I4285" i="9"/>
  <c r="K4285" i="9"/>
  <c r="K4130" i="9"/>
  <c r="J4130" i="9"/>
  <c r="I4130" i="9"/>
  <c r="I4054" i="9"/>
  <c r="K4054" i="9"/>
  <c r="J4054" i="9"/>
  <c r="K4028" i="9"/>
  <c r="J4028" i="9"/>
  <c r="I4028" i="9"/>
  <c r="K3944" i="9"/>
  <c r="J3944" i="9"/>
  <c r="I3944" i="9"/>
  <c r="K3892" i="9"/>
  <c r="I3892" i="9"/>
  <c r="J3892" i="9"/>
  <c r="I3782" i="9"/>
  <c r="K3782" i="9"/>
  <c r="J3782" i="9"/>
  <c r="J3620" i="9"/>
  <c r="I3620" i="9"/>
  <c r="K3620" i="9"/>
  <c r="J3596" i="9"/>
  <c r="I3596" i="9"/>
  <c r="K3596" i="9"/>
  <c r="J3572" i="9"/>
  <c r="I3572" i="9"/>
  <c r="K3572" i="9"/>
  <c r="J3548" i="9"/>
  <c r="I3548" i="9"/>
  <c r="K3548" i="9"/>
  <c r="J3524" i="9"/>
  <c r="I3524" i="9"/>
  <c r="K3524" i="9"/>
  <c r="J3500" i="9"/>
  <c r="I3500" i="9"/>
  <c r="K3500" i="9"/>
  <c r="J3476" i="9"/>
  <c r="I3476" i="9"/>
  <c r="K3476" i="9"/>
  <c r="J3452" i="9"/>
  <c r="I3452" i="9"/>
  <c r="K3452" i="9"/>
  <c r="J3428" i="9"/>
  <c r="I3428" i="9"/>
  <c r="K3428" i="9"/>
  <c r="J3404" i="9"/>
  <c r="I3404" i="9"/>
  <c r="K3404" i="9"/>
  <c r="J3380" i="9"/>
  <c r="I3380" i="9"/>
  <c r="K3380" i="9"/>
  <c r="J2780" i="9"/>
  <c r="I2780" i="9"/>
  <c r="K2780" i="9"/>
  <c r="J2756" i="9"/>
  <c r="I2756" i="9"/>
  <c r="K2756" i="9"/>
  <c r="J2732" i="9"/>
  <c r="I2732" i="9"/>
  <c r="K2732" i="9"/>
  <c r="J2708" i="9"/>
  <c r="I2708" i="9"/>
  <c r="K2708" i="9"/>
  <c r="J2684" i="9"/>
  <c r="I2684" i="9"/>
  <c r="K2684" i="9"/>
  <c r="J2660" i="9"/>
  <c r="I2660" i="9"/>
  <c r="K2660" i="9"/>
  <c r="J2636" i="9"/>
  <c r="I2636" i="9"/>
  <c r="K2636" i="9"/>
  <c r="J2612" i="9"/>
  <c r="I2612" i="9"/>
  <c r="K2612" i="9"/>
  <c r="J2588" i="9"/>
  <c r="I2588" i="9"/>
  <c r="K2588" i="9"/>
  <c r="J2564" i="9"/>
  <c r="I2564" i="9"/>
  <c r="K2564" i="9"/>
  <c r="J2540" i="9"/>
  <c r="I2540" i="9"/>
  <c r="K2540" i="9"/>
  <c r="G2516" i="9"/>
  <c r="F2516" i="9"/>
  <c r="H2516" i="9"/>
  <c r="G2492" i="9"/>
  <c r="H2492" i="9"/>
  <c r="F2492" i="9"/>
  <c r="K2468" i="9"/>
  <c r="J2468" i="9"/>
  <c r="I2468" i="9"/>
  <c r="K2444" i="9"/>
  <c r="J2444" i="9"/>
  <c r="I2444" i="9"/>
  <c r="K2420" i="9"/>
  <c r="J2420" i="9"/>
  <c r="I2420" i="9"/>
  <c r="K2396" i="9"/>
  <c r="J2396" i="9"/>
  <c r="I2396" i="9"/>
  <c r="K2372" i="9"/>
  <c r="J2372" i="9"/>
  <c r="I2372" i="9"/>
  <c r="K2348" i="9"/>
  <c r="J2348" i="9"/>
  <c r="I2348" i="9"/>
  <c r="K2324" i="9"/>
  <c r="J2324" i="9"/>
  <c r="I2324" i="9"/>
  <c r="K2300" i="9"/>
  <c r="J2300" i="9"/>
  <c r="I2300" i="9"/>
  <c r="K2276" i="9"/>
  <c r="J2276" i="9"/>
  <c r="I2276" i="9"/>
  <c r="K2252" i="9"/>
  <c r="J2252" i="9"/>
  <c r="I2252" i="9"/>
  <c r="K2228" i="9"/>
  <c r="J2228" i="9"/>
  <c r="I2228" i="9"/>
  <c r="K2204" i="9"/>
  <c r="J2204" i="9"/>
  <c r="I2204" i="9"/>
  <c r="K2180" i="9"/>
  <c r="J2180" i="9"/>
  <c r="I2180" i="9"/>
  <c r="K2156" i="9"/>
  <c r="J2156" i="9"/>
  <c r="I2156" i="9"/>
  <c r="K2132" i="9"/>
  <c r="J2132" i="9"/>
  <c r="I2132" i="9"/>
  <c r="K2108" i="9"/>
  <c r="J2108" i="9"/>
  <c r="I2108" i="9"/>
  <c r="K2084" i="9"/>
  <c r="J2084" i="9"/>
  <c r="I2084" i="9"/>
  <c r="K2060" i="9"/>
  <c r="I2060" i="9"/>
  <c r="J2060" i="9"/>
  <c r="K2036" i="9"/>
  <c r="J2036" i="9"/>
  <c r="I2036" i="9"/>
  <c r="F2001" i="9"/>
  <c r="H2001" i="9"/>
  <c r="G2001" i="9"/>
  <c r="F1857" i="9"/>
  <c r="H1857" i="9"/>
  <c r="G1857" i="9"/>
  <c r="K1787" i="9"/>
  <c r="J1787" i="9"/>
  <c r="I1787" i="9"/>
  <c r="F1752" i="9"/>
  <c r="G1752" i="9"/>
  <c r="H1752" i="9"/>
  <c r="I1713" i="9"/>
  <c r="K1713" i="9"/>
  <c r="J1713" i="9"/>
  <c r="K1678" i="9"/>
  <c r="J1678" i="9"/>
  <c r="I1678" i="9"/>
  <c r="K1643" i="9"/>
  <c r="J1643" i="9"/>
  <c r="I1643" i="9"/>
  <c r="F1608" i="9"/>
  <c r="H1608" i="9"/>
  <c r="G1608" i="9"/>
  <c r="I1569" i="9"/>
  <c r="K1569" i="9"/>
  <c r="J1569" i="9"/>
  <c r="F1534" i="9"/>
  <c r="H1534" i="9"/>
  <c r="G1534" i="9"/>
  <c r="K4354" i="9"/>
  <c r="J4354" i="9"/>
  <c r="I4354" i="9"/>
  <c r="J4273" i="9"/>
  <c r="I4273" i="9"/>
  <c r="K4273" i="9"/>
  <c r="K3996" i="9"/>
  <c r="J3996" i="9"/>
  <c r="I3996" i="9"/>
  <c r="H3907" i="9"/>
  <c r="F3907" i="9"/>
  <c r="G3907" i="9"/>
  <c r="H3871" i="9"/>
  <c r="F3871" i="9"/>
  <c r="G3871" i="9"/>
  <c r="K3744" i="9"/>
  <c r="J3744" i="9"/>
  <c r="I3744" i="9"/>
  <c r="K3562" i="9"/>
  <c r="J3562" i="9"/>
  <c r="I3562" i="9"/>
  <c r="K3490" i="9"/>
  <c r="J3490" i="9"/>
  <c r="I3490" i="9"/>
  <c r="K3418" i="9"/>
  <c r="J3418" i="9"/>
  <c r="I3418" i="9"/>
  <c r="J2770" i="9"/>
  <c r="I2770" i="9"/>
  <c r="K2770" i="9"/>
  <c r="K2698" i="9"/>
  <c r="J2698" i="9"/>
  <c r="I2698" i="9"/>
  <c r="J2626" i="9"/>
  <c r="I2626" i="9"/>
  <c r="K2626" i="9"/>
  <c r="J2554" i="9"/>
  <c r="I2554" i="9"/>
  <c r="K2554" i="9"/>
  <c r="K2482" i="9"/>
  <c r="J2482" i="9"/>
  <c r="I2482" i="9"/>
  <c r="K1970" i="9"/>
  <c r="J1970" i="9"/>
  <c r="I1970" i="9"/>
  <c r="J1935" i="9"/>
  <c r="I1935" i="9"/>
  <c r="K1935" i="9"/>
  <c r="I1900" i="9"/>
  <c r="K1900" i="9"/>
  <c r="J1900" i="9"/>
  <c r="K1826" i="9"/>
  <c r="J1826" i="9"/>
  <c r="I1826" i="9"/>
  <c r="J1791" i="9"/>
  <c r="I1791" i="9"/>
  <c r="K1791" i="9"/>
  <c r="I881" i="9"/>
  <c r="K881" i="9"/>
  <c r="J881" i="9"/>
  <c r="F753" i="9"/>
  <c r="H753" i="9"/>
  <c r="G753" i="9"/>
  <c r="F705" i="9"/>
  <c r="H705" i="9"/>
  <c r="G705" i="9"/>
  <c r="F681" i="9"/>
  <c r="H681" i="9"/>
  <c r="G681" i="9"/>
  <c r="F657" i="9"/>
  <c r="H657" i="9"/>
  <c r="G657" i="9"/>
  <c r="H617" i="9"/>
  <c r="G617" i="9"/>
  <c r="F617" i="9"/>
  <c r="H593" i="9"/>
  <c r="G593" i="9"/>
  <c r="F593" i="9"/>
  <c r="F549" i="9"/>
  <c r="H549" i="9"/>
  <c r="G549" i="9"/>
  <c r="H521" i="9"/>
  <c r="G521" i="9"/>
  <c r="F521" i="9"/>
  <c r="F501" i="9"/>
  <c r="H501" i="9"/>
  <c r="G501" i="9"/>
  <c r="J377" i="9"/>
  <c r="I377" i="9"/>
  <c r="K377" i="9"/>
  <c r="K237" i="9"/>
  <c r="J237" i="9"/>
  <c r="I237" i="9"/>
  <c r="K189" i="9"/>
  <c r="J189" i="9"/>
  <c r="I189" i="9"/>
  <c r="K165" i="9"/>
  <c r="J165" i="9"/>
  <c r="I165" i="9"/>
  <c r="K117" i="9"/>
  <c r="J117" i="9"/>
  <c r="I117" i="9"/>
  <c r="K81" i="9"/>
  <c r="J81" i="9"/>
  <c r="I81" i="9"/>
  <c r="K69" i="9"/>
  <c r="J69" i="9"/>
  <c r="I69" i="9"/>
  <c r="K45" i="9"/>
  <c r="J45" i="9"/>
  <c r="I45" i="9"/>
  <c r="K9" i="9"/>
  <c r="J9" i="9"/>
  <c r="I9" i="9"/>
  <c r="I5110" i="9"/>
  <c r="K5110" i="9"/>
  <c r="J5110" i="9"/>
  <c r="J4598" i="9"/>
  <c r="I4598" i="9"/>
  <c r="K4598" i="9"/>
  <c r="K4406" i="9"/>
  <c r="I4406" i="9"/>
  <c r="J4406" i="9"/>
  <c r="I4284" i="9"/>
  <c r="K4284" i="9"/>
  <c r="J4284" i="9"/>
  <c r="K4214" i="9"/>
  <c r="J4214" i="9"/>
  <c r="I4214" i="9"/>
  <c r="H4059" i="9"/>
  <c r="G4059" i="9"/>
  <c r="F4059" i="9"/>
  <c r="I4006" i="9"/>
  <c r="K4006" i="9"/>
  <c r="J4006" i="9"/>
  <c r="K3980" i="9"/>
  <c r="J3980" i="9"/>
  <c r="I3980" i="9"/>
  <c r="J3841" i="9"/>
  <c r="I3841" i="9"/>
  <c r="K3841" i="9"/>
  <c r="H3811" i="9"/>
  <c r="F3811" i="9"/>
  <c r="G3811" i="9"/>
  <c r="K3796" i="9"/>
  <c r="I3796" i="9"/>
  <c r="J3796" i="9"/>
  <c r="J3757" i="9"/>
  <c r="I3757" i="9"/>
  <c r="K3757" i="9"/>
  <c r="K3725" i="9"/>
  <c r="J3725" i="9"/>
  <c r="I3725" i="9"/>
  <c r="K3701" i="9"/>
  <c r="J3701" i="9"/>
  <c r="I3701" i="9"/>
  <c r="K3677" i="9"/>
  <c r="J3677" i="9"/>
  <c r="I3677" i="9"/>
  <c r="K3653" i="9"/>
  <c r="J3653" i="9"/>
  <c r="I3653" i="9"/>
  <c r="K3629" i="9"/>
  <c r="J3629" i="9"/>
  <c r="I3629" i="9"/>
  <c r="K3341" i="9"/>
  <c r="J3341" i="9"/>
  <c r="I3341" i="9"/>
  <c r="K3317" i="9"/>
  <c r="J3317" i="9"/>
  <c r="I3317" i="9"/>
  <c r="K3293" i="9"/>
  <c r="J3293" i="9"/>
  <c r="I3293" i="9"/>
  <c r="K3269" i="9"/>
  <c r="J3269" i="9"/>
  <c r="I3269" i="9"/>
  <c r="K3245" i="9"/>
  <c r="J3245" i="9"/>
  <c r="I3245" i="9"/>
  <c r="K3221" i="9"/>
  <c r="J3221" i="9"/>
  <c r="I3221" i="9"/>
  <c r="K3197" i="9"/>
  <c r="J3197" i="9"/>
  <c r="I3197" i="9"/>
  <c r="K3173" i="9"/>
  <c r="J3173" i="9"/>
  <c r="I3173" i="9"/>
  <c r="K3149" i="9"/>
  <c r="I3149" i="9"/>
  <c r="J3149" i="9"/>
  <c r="K3125" i="9"/>
  <c r="J3125" i="9"/>
  <c r="I3125" i="9"/>
  <c r="K3101" i="9"/>
  <c r="J3101" i="9"/>
  <c r="I3101" i="9"/>
  <c r="K3077" i="9"/>
  <c r="J3077" i="9"/>
  <c r="I3077" i="9"/>
  <c r="K3053" i="9"/>
  <c r="I3053" i="9"/>
  <c r="J3053" i="9"/>
  <c r="K3029" i="9"/>
  <c r="J3029" i="9"/>
  <c r="I3029" i="9"/>
  <c r="K3005" i="9"/>
  <c r="I3005" i="9"/>
  <c r="J3005" i="9"/>
  <c r="K2981" i="9"/>
  <c r="J2981" i="9"/>
  <c r="I2981" i="9"/>
  <c r="K2957" i="9"/>
  <c r="J2957" i="9"/>
  <c r="I2957" i="9"/>
  <c r="K2933" i="9"/>
  <c r="I2933" i="9"/>
  <c r="J2933" i="9"/>
  <c r="K2909" i="9"/>
  <c r="J2909" i="9"/>
  <c r="I2909" i="9"/>
  <c r="K2885" i="9"/>
  <c r="J2885" i="9"/>
  <c r="I2885" i="9"/>
  <c r="K2861" i="9"/>
  <c r="I2861" i="9"/>
  <c r="J2861" i="9"/>
  <c r="K2837" i="9"/>
  <c r="J2837" i="9"/>
  <c r="I2837" i="9"/>
  <c r="K2813" i="9"/>
  <c r="J2813" i="9"/>
  <c r="I2813" i="9"/>
  <c r="K2789" i="9"/>
  <c r="I2789" i="9"/>
  <c r="J2789" i="9"/>
  <c r="J2501" i="9"/>
  <c r="K2501" i="9"/>
  <c r="I2501" i="9"/>
  <c r="J2477" i="9"/>
  <c r="I2477" i="9"/>
  <c r="K2477" i="9"/>
  <c r="J2453" i="9"/>
  <c r="I2453" i="9"/>
  <c r="K2453" i="9"/>
  <c r="J2429" i="9"/>
  <c r="I2429" i="9"/>
  <c r="K2429" i="9"/>
  <c r="I2405" i="9"/>
  <c r="K2405" i="9"/>
  <c r="J2405" i="9"/>
  <c r="I2381" i="9"/>
  <c r="K2381" i="9"/>
  <c r="J2381" i="9"/>
  <c r="I2357" i="9"/>
  <c r="J2357" i="9"/>
  <c r="K2357" i="9"/>
  <c r="I2333" i="9"/>
  <c r="K2333" i="9"/>
  <c r="J2333" i="9"/>
  <c r="J2309" i="9"/>
  <c r="I2309" i="9"/>
  <c r="K2309" i="9"/>
  <c r="J2285" i="9"/>
  <c r="I2285" i="9"/>
  <c r="K2285" i="9"/>
  <c r="J2261" i="9"/>
  <c r="I2261" i="9"/>
  <c r="K2261" i="9"/>
  <c r="J2237" i="9"/>
  <c r="I2237" i="9"/>
  <c r="K2237" i="9"/>
  <c r="J2213" i="9"/>
  <c r="I2213" i="9"/>
  <c r="K2213" i="9"/>
  <c r="J2189" i="9"/>
  <c r="I2189" i="9"/>
  <c r="K2189" i="9"/>
  <c r="J2165" i="9"/>
  <c r="I2165" i="9"/>
  <c r="K2165" i="9"/>
  <c r="J2141" i="9"/>
  <c r="I2141" i="9"/>
  <c r="K2141" i="9"/>
  <c r="J2117" i="9"/>
  <c r="I2117" i="9"/>
  <c r="K2117" i="9"/>
  <c r="J2093" i="9"/>
  <c r="I2093" i="9"/>
  <c r="K2093" i="9"/>
  <c r="H2069" i="9"/>
  <c r="G2069" i="9"/>
  <c r="F2069" i="9"/>
  <c r="H2045" i="9"/>
  <c r="G2045" i="9"/>
  <c r="F2045" i="9"/>
  <c r="I2022" i="9"/>
  <c r="K2022" i="9"/>
  <c r="J2022" i="9"/>
  <c r="K1987" i="9"/>
  <c r="J1987" i="9"/>
  <c r="I1987" i="9"/>
  <c r="K1952" i="9"/>
  <c r="I1952" i="9"/>
  <c r="J1952" i="9"/>
  <c r="H1913" i="9"/>
  <c r="G1913" i="9"/>
  <c r="F1913" i="9"/>
  <c r="I1878" i="9"/>
  <c r="K1878" i="9"/>
  <c r="J1878" i="9"/>
  <c r="K1843" i="9"/>
  <c r="J1843" i="9"/>
  <c r="I1843" i="9"/>
  <c r="K1808" i="9"/>
  <c r="J1808" i="9"/>
  <c r="I1808" i="9"/>
  <c r="K1769" i="9"/>
  <c r="J1769" i="9"/>
  <c r="I1769" i="9"/>
  <c r="J1734" i="9"/>
  <c r="I1734" i="9"/>
  <c r="K1734" i="9"/>
  <c r="I1699" i="9"/>
  <c r="K1699" i="9"/>
  <c r="J1699" i="9"/>
  <c r="J1664" i="9"/>
  <c r="I1664" i="9"/>
  <c r="K1664" i="9"/>
  <c r="K1625" i="9"/>
  <c r="J1625" i="9"/>
  <c r="I1625" i="9"/>
  <c r="J1590" i="9"/>
  <c r="I1590" i="9"/>
  <c r="K1590" i="9"/>
  <c r="I1555" i="9"/>
  <c r="K1555" i="9"/>
  <c r="J1555" i="9"/>
  <c r="I941" i="9"/>
  <c r="K941" i="9"/>
  <c r="J941" i="9"/>
  <c r="I857" i="9"/>
  <c r="K857" i="9"/>
  <c r="J857" i="9"/>
  <c r="J833" i="9"/>
  <c r="I833" i="9"/>
  <c r="K833" i="9"/>
  <c r="J797" i="9"/>
  <c r="I797" i="9"/>
  <c r="K797" i="9"/>
  <c r="F765" i="9"/>
  <c r="H765" i="9"/>
  <c r="G765" i="9"/>
  <c r="H737" i="9"/>
  <c r="G737" i="9"/>
  <c r="F737" i="9"/>
  <c r="F717" i="9"/>
  <c r="H717" i="9"/>
  <c r="G717" i="9"/>
  <c r="H689" i="9"/>
  <c r="G689" i="9"/>
  <c r="F689" i="9"/>
  <c r="F669" i="9"/>
  <c r="H669" i="9"/>
  <c r="G669" i="9"/>
  <c r="H641" i="9"/>
  <c r="G641" i="9"/>
  <c r="F641" i="9"/>
  <c r="F561" i="9"/>
  <c r="H561" i="9"/>
  <c r="G561" i="9"/>
  <c r="F537" i="9"/>
  <c r="H537" i="9"/>
  <c r="G537" i="9"/>
  <c r="F489" i="9"/>
  <c r="H489" i="9"/>
  <c r="G489" i="9"/>
  <c r="F477" i="9"/>
  <c r="H477" i="9"/>
  <c r="G477" i="9"/>
  <c r="F465" i="9"/>
  <c r="H465" i="9"/>
  <c r="G465" i="9"/>
  <c r="J353" i="9"/>
  <c r="I353" i="9"/>
  <c r="K353" i="9"/>
  <c r="J329" i="9"/>
  <c r="I329" i="9"/>
  <c r="K329" i="9"/>
  <c r="K309" i="9"/>
  <c r="J309" i="9"/>
  <c r="I309" i="9"/>
  <c r="J281" i="9"/>
  <c r="I281" i="9"/>
  <c r="K281" i="9"/>
  <c r="J257" i="9"/>
  <c r="I257" i="9"/>
  <c r="K257" i="9"/>
  <c r="K225" i="9"/>
  <c r="J225" i="9"/>
  <c r="I225" i="9"/>
  <c r="J197" i="9"/>
  <c r="I197" i="9"/>
  <c r="K197" i="9"/>
  <c r="J173" i="9"/>
  <c r="I173" i="9"/>
  <c r="K173" i="9"/>
  <c r="K153" i="9"/>
  <c r="J153" i="9"/>
  <c r="I153" i="9"/>
  <c r="K129" i="9"/>
  <c r="J129" i="9"/>
  <c r="I129" i="9"/>
  <c r="K105" i="9"/>
  <c r="J105" i="9"/>
  <c r="I105" i="9"/>
  <c r="K33" i="9"/>
  <c r="J33" i="9"/>
  <c r="I33" i="9"/>
  <c r="J4237" i="9"/>
  <c r="I4237" i="9"/>
  <c r="K4237" i="9"/>
  <c r="K4069" i="9"/>
  <c r="J4069" i="9"/>
  <c r="I4069" i="9"/>
  <c r="J3969" i="9"/>
  <c r="I3969" i="9"/>
  <c r="K3969" i="9"/>
  <c r="J3901" i="9"/>
  <c r="I3901" i="9"/>
  <c r="K3901" i="9"/>
  <c r="K3761" i="9"/>
  <c r="J3761" i="9"/>
  <c r="I3761" i="9"/>
  <c r="I3710" i="9"/>
  <c r="K3710" i="9"/>
  <c r="J3710" i="9"/>
  <c r="H3566" i="9"/>
  <c r="G3566" i="9"/>
  <c r="F3566" i="9"/>
  <c r="H3494" i="9"/>
  <c r="G3494" i="9"/>
  <c r="F3494" i="9"/>
  <c r="H3422" i="9"/>
  <c r="G3422" i="9"/>
  <c r="F3422" i="9"/>
  <c r="I3350" i="9"/>
  <c r="K3350" i="9"/>
  <c r="J3350" i="9"/>
  <c r="I3278" i="9"/>
  <c r="K3278" i="9"/>
  <c r="J3278" i="9"/>
  <c r="I2990" i="9"/>
  <c r="J2990" i="9"/>
  <c r="K2990" i="9"/>
  <c r="I2918" i="9"/>
  <c r="J2918" i="9"/>
  <c r="K2918" i="9"/>
  <c r="I2846" i="9"/>
  <c r="J2846" i="9"/>
  <c r="K2846" i="9"/>
  <c r="H2774" i="9"/>
  <c r="F2774" i="9"/>
  <c r="G2774" i="9"/>
  <c r="H2702" i="9"/>
  <c r="G2702" i="9"/>
  <c r="F2702" i="9"/>
  <c r="H2630" i="9"/>
  <c r="F2630" i="9"/>
  <c r="G2630" i="9"/>
  <c r="H2558" i="9"/>
  <c r="G2558" i="9"/>
  <c r="F2558" i="9"/>
  <c r="K2414" i="9"/>
  <c r="J2414" i="9"/>
  <c r="I2414" i="9"/>
  <c r="K2342" i="9"/>
  <c r="J2342" i="9"/>
  <c r="I2342" i="9"/>
  <c r="K2270" i="9"/>
  <c r="J2270" i="9"/>
  <c r="I2270" i="9"/>
  <c r="K2198" i="9"/>
  <c r="J2198" i="9"/>
  <c r="I2198" i="9"/>
  <c r="K2126" i="9"/>
  <c r="J2126" i="9"/>
  <c r="I2126" i="9"/>
  <c r="K2054" i="9"/>
  <c r="J2054" i="9"/>
  <c r="I2054" i="9"/>
  <c r="F1965" i="9"/>
  <c r="H1965" i="9"/>
  <c r="G1965" i="9"/>
  <c r="H1821" i="9"/>
  <c r="G1821" i="9"/>
  <c r="F1821" i="9"/>
  <c r="K1786" i="9"/>
  <c r="J1786" i="9"/>
  <c r="I1786" i="9"/>
  <c r="K1751" i="9"/>
  <c r="J1751" i="9"/>
  <c r="I1751" i="9"/>
  <c r="F1716" i="9"/>
  <c r="H1716" i="9"/>
  <c r="G1716" i="9"/>
  <c r="I1677" i="9"/>
  <c r="K1677" i="9"/>
  <c r="J1677" i="9"/>
  <c r="K1642" i="9"/>
  <c r="J1642" i="9"/>
  <c r="I1642" i="9"/>
  <c r="K1607" i="9"/>
  <c r="J1607" i="9"/>
  <c r="I1607" i="9"/>
  <c r="F1572" i="9"/>
  <c r="H1572" i="9"/>
  <c r="G1572" i="9"/>
  <c r="I1533" i="9"/>
  <c r="K1533" i="9"/>
  <c r="J1533" i="9"/>
  <c r="H4147" i="9"/>
  <c r="G4147" i="9"/>
  <c r="F4147" i="9"/>
  <c r="K4108" i="9"/>
  <c r="J4108" i="9"/>
  <c r="I4108" i="9"/>
  <c r="H5903" i="9"/>
  <c r="G5903" i="9"/>
  <c r="F5903" i="9"/>
  <c r="K5741" i="9"/>
  <c r="J5741" i="9"/>
  <c r="I5741" i="9"/>
  <c r="H3930" i="9"/>
  <c r="G3930" i="9"/>
  <c r="F3930" i="9"/>
  <c r="F5586" i="9"/>
  <c r="H5586" i="9"/>
  <c r="G5586" i="9"/>
  <c r="H5950" i="9"/>
  <c r="G5950" i="9"/>
  <c r="F5950" i="9"/>
  <c r="H5031" i="9"/>
  <c r="G5031" i="9"/>
  <c r="F5031" i="9"/>
  <c r="I4828" i="9"/>
  <c r="K4828" i="9"/>
  <c r="J4828" i="9"/>
  <c r="K5841" i="9"/>
  <c r="J5841" i="9"/>
  <c r="I5841" i="9"/>
  <c r="H5649" i="9"/>
  <c r="G5649" i="9"/>
  <c r="F5649" i="9"/>
  <c r="H5382" i="9"/>
  <c r="G5382" i="9"/>
  <c r="F5382" i="9"/>
  <c r="H5067" i="9"/>
  <c r="G5067" i="9"/>
  <c r="F5067" i="9"/>
  <c r="H3484" i="9"/>
  <c r="G3484" i="9"/>
  <c r="F3484" i="9"/>
  <c r="G1982" i="9"/>
  <c r="F1982" i="9"/>
  <c r="H1982" i="9"/>
  <c r="K1585" i="9"/>
  <c r="J1585" i="9"/>
  <c r="I1585" i="9"/>
  <c r="K876" i="9"/>
  <c r="J876" i="9"/>
  <c r="I876" i="9"/>
  <c r="K1416" i="9"/>
  <c r="J1416" i="9"/>
  <c r="I1416" i="9"/>
  <c r="K264" i="9"/>
  <c r="J264" i="9"/>
  <c r="I264" i="9"/>
  <c r="K3363" i="9"/>
  <c r="J3363" i="9"/>
  <c r="I3363" i="9"/>
  <c r="K2595" i="9"/>
  <c r="J2595" i="9"/>
  <c r="I2595" i="9"/>
  <c r="F2902" i="9"/>
  <c r="H2902" i="9"/>
  <c r="G2902" i="9"/>
  <c r="G2038" i="9"/>
  <c r="F2038" i="9"/>
  <c r="H2038" i="9"/>
  <c r="H1575" i="9"/>
  <c r="G1575" i="9"/>
  <c r="F1575" i="9"/>
  <c r="H159" i="9"/>
  <c r="G159" i="9"/>
  <c r="F159" i="9"/>
  <c r="J3223" i="9"/>
  <c r="I3223" i="9"/>
  <c r="K3223" i="9"/>
  <c r="I2983" i="9"/>
  <c r="K2983" i="9"/>
  <c r="J2983" i="9"/>
  <c r="I1793" i="9"/>
  <c r="J1793" i="9"/>
  <c r="K1793" i="9"/>
  <c r="K1355" i="9"/>
  <c r="J1355" i="9"/>
  <c r="I1355" i="9"/>
  <c r="K1223" i="9"/>
  <c r="J1223" i="9"/>
  <c r="I1223" i="9"/>
  <c r="K1091" i="9"/>
  <c r="J1091" i="9"/>
  <c r="I1091" i="9"/>
  <c r="K947" i="9"/>
  <c r="J947" i="9"/>
  <c r="I947" i="9"/>
  <c r="J395" i="9"/>
  <c r="K395" i="9"/>
  <c r="I395" i="9"/>
  <c r="H267" i="9"/>
  <c r="G267" i="9"/>
  <c r="F267" i="9"/>
  <c r="H2858" i="9"/>
  <c r="F2858" i="9"/>
  <c r="G2858" i="9"/>
  <c r="H3919" i="9"/>
  <c r="F3919" i="9"/>
  <c r="G3919" i="9"/>
  <c r="H2584" i="9"/>
  <c r="G2584" i="9"/>
  <c r="F2584" i="9"/>
  <c r="H1993" i="9"/>
  <c r="G1993" i="9"/>
  <c r="F1993" i="9"/>
  <c r="H1600" i="9"/>
  <c r="G1600" i="9"/>
  <c r="F1600" i="9"/>
  <c r="H3366" i="9"/>
  <c r="G3366" i="9"/>
  <c r="F3366" i="9"/>
  <c r="G1866" i="9"/>
  <c r="F1866" i="9"/>
  <c r="H1866" i="9"/>
  <c r="H754" i="9"/>
  <c r="G754" i="9"/>
  <c r="F754" i="9"/>
  <c r="G598" i="9"/>
  <c r="F598" i="9"/>
  <c r="H598" i="9"/>
  <c r="H442" i="9"/>
  <c r="G442" i="9"/>
  <c r="F442" i="9"/>
  <c r="H3092" i="9"/>
  <c r="G3092" i="9"/>
  <c r="F3092" i="9"/>
  <c r="K2828" i="9"/>
  <c r="J2828" i="9"/>
  <c r="I2828" i="9"/>
  <c r="K4465" i="9"/>
  <c r="J4465" i="9"/>
  <c r="I4465" i="9"/>
  <c r="G3634" i="9"/>
  <c r="F3634" i="9"/>
  <c r="H3634" i="9"/>
  <c r="K2122" i="9"/>
  <c r="J2122" i="9"/>
  <c r="I2122" i="9"/>
  <c r="K1717" i="9"/>
  <c r="J1717" i="9"/>
  <c r="I1717" i="9"/>
  <c r="H853" i="9"/>
  <c r="G853" i="9"/>
  <c r="F853" i="9"/>
  <c r="K4668" i="9"/>
  <c r="J4668" i="9"/>
  <c r="I4668" i="9"/>
  <c r="H3605" i="9"/>
  <c r="G3605" i="9"/>
  <c r="F3605" i="9"/>
  <c r="G2501" i="9"/>
  <c r="F2501" i="9"/>
  <c r="H2501" i="9"/>
  <c r="K1453" i="9"/>
  <c r="J1453" i="9"/>
  <c r="I1453" i="9"/>
  <c r="H1345" i="9"/>
  <c r="G1345" i="9"/>
  <c r="F1345" i="9"/>
  <c r="K1213" i="9"/>
  <c r="J1213" i="9"/>
  <c r="I1213" i="9"/>
  <c r="K1081" i="9"/>
  <c r="J1081" i="9"/>
  <c r="I1081" i="9"/>
  <c r="K4621" i="9"/>
  <c r="J4621" i="9"/>
  <c r="I4621" i="9"/>
  <c r="H3062" i="9"/>
  <c r="G3062" i="9"/>
  <c r="F3062" i="9"/>
  <c r="H2414" i="9"/>
  <c r="G2414" i="9"/>
  <c r="F2414" i="9"/>
  <c r="F6523" i="9"/>
  <c r="H6523" i="9"/>
  <c r="G6523" i="9"/>
  <c r="H6511" i="9"/>
  <c r="G6511" i="9"/>
  <c r="F6511" i="9"/>
  <c r="K6499" i="9"/>
  <c r="J6499" i="9"/>
  <c r="I6499" i="9"/>
  <c r="H6487" i="9"/>
  <c r="G6487" i="9"/>
  <c r="F6487" i="9"/>
  <c r="G6415" i="9"/>
  <c r="F6415" i="9"/>
  <c r="H6415" i="9"/>
  <c r="H6403" i="9"/>
  <c r="G6403" i="9"/>
  <c r="F6403" i="9"/>
  <c r="H6391" i="9"/>
  <c r="G6391" i="9"/>
  <c r="F6391" i="9"/>
  <c r="K6379" i="9"/>
  <c r="J6379" i="9"/>
  <c r="I6379" i="9"/>
  <c r="H6600" i="9"/>
  <c r="G6600" i="9"/>
  <c r="F6600" i="9"/>
  <c r="H6588" i="9"/>
  <c r="G6588" i="9"/>
  <c r="F6588" i="9"/>
  <c r="H6576" i="9"/>
  <c r="G6576" i="9"/>
  <c r="F6576" i="9"/>
  <c r="K6468" i="9"/>
  <c r="J6468" i="9"/>
  <c r="I6468" i="9"/>
  <c r="K6456" i="9"/>
  <c r="J6456" i="9"/>
  <c r="I6456" i="9"/>
  <c r="G6444" i="9"/>
  <c r="H6444" i="9"/>
  <c r="F6444" i="9"/>
  <c r="G6432" i="9"/>
  <c r="H6432" i="9"/>
  <c r="F6432" i="9"/>
  <c r="K5621" i="9"/>
  <c r="J5621" i="9"/>
  <c r="I5621" i="9"/>
  <c r="K5573" i="9"/>
  <c r="J5573" i="9"/>
  <c r="I5573" i="9"/>
  <c r="J5477" i="9"/>
  <c r="K5477" i="9"/>
  <c r="I5477" i="9"/>
  <c r="H5429" i="9"/>
  <c r="G5429" i="9"/>
  <c r="F5429" i="9"/>
  <c r="K5402" i="9"/>
  <c r="J5402" i="9"/>
  <c r="I5402" i="9"/>
  <c r="H5066" i="9"/>
  <c r="G5066" i="9"/>
  <c r="F5066" i="9"/>
  <c r="H5018" i="9"/>
  <c r="G5018" i="9"/>
  <c r="F5018" i="9"/>
  <c r="H4970" i="9"/>
  <c r="G4970" i="9"/>
  <c r="F4970" i="9"/>
  <c r="H4922" i="9"/>
  <c r="G4922" i="9"/>
  <c r="F4922" i="9"/>
  <c r="H4874" i="9"/>
  <c r="G4874" i="9"/>
  <c r="F4874" i="9"/>
  <c r="H4826" i="9"/>
  <c r="F4826" i="9"/>
  <c r="G4826" i="9"/>
  <c r="K4421" i="9"/>
  <c r="J4421" i="9"/>
  <c r="I4421" i="9"/>
  <c r="K4373" i="9"/>
  <c r="J4373" i="9"/>
  <c r="I4373" i="9"/>
  <c r="K4325" i="9"/>
  <c r="J4325" i="9"/>
  <c r="I4325" i="9"/>
  <c r="K4277" i="9"/>
  <c r="J4277" i="9"/>
  <c r="I4277" i="9"/>
  <c r="K4229" i="9"/>
  <c r="J4229" i="9"/>
  <c r="I4229" i="9"/>
  <c r="K6343" i="9"/>
  <c r="J6343" i="9"/>
  <c r="I6343" i="9"/>
  <c r="H6307" i="9"/>
  <c r="G6307" i="9"/>
  <c r="F6307" i="9"/>
  <c r="H6271" i="9"/>
  <c r="F6271" i="9"/>
  <c r="G6271" i="9"/>
  <c r="H6235" i="9"/>
  <c r="G6235" i="9"/>
  <c r="F6235" i="9"/>
  <c r="H6199" i="9"/>
  <c r="G6199" i="9"/>
  <c r="F6199" i="9"/>
  <c r="H6163" i="9"/>
  <c r="G6163" i="9"/>
  <c r="F6163" i="9"/>
  <c r="H6109" i="9"/>
  <c r="G6109" i="9"/>
  <c r="F6109" i="9"/>
  <c r="H6073" i="9"/>
  <c r="G6073" i="9"/>
  <c r="F6073" i="9"/>
  <c r="H6037" i="9"/>
  <c r="G6037" i="9"/>
  <c r="F6037" i="9"/>
  <c r="H5983" i="9"/>
  <c r="G5983" i="9"/>
  <c r="F5983" i="9"/>
  <c r="H5947" i="9"/>
  <c r="G5947" i="9"/>
  <c r="F5947" i="9"/>
  <c r="G5911" i="9"/>
  <c r="F5911" i="9"/>
  <c r="H5911" i="9"/>
  <c r="H5857" i="9"/>
  <c r="G5857" i="9"/>
  <c r="F5857" i="9"/>
  <c r="K5731" i="9"/>
  <c r="J5731" i="9"/>
  <c r="I5731" i="9"/>
  <c r="H5551" i="9"/>
  <c r="F5551" i="9"/>
  <c r="G5551" i="9"/>
  <c r="H5455" i="9"/>
  <c r="G5455" i="9"/>
  <c r="F5455" i="9"/>
  <c r="K4783" i="9"/>
  <c r="J4783" i="9"/>
  <c r="I4783" i="9"/>
  <c r="K4735" i="9"/>
  <c r="J4735" i="9"/>
  <c r="I4735" i="9"/>
  <c r="K4399" i="9"/>
  <c r="J4399" i="9"/>
  <c r="I4399" i="9"/>
  <c r="K4351" i="9"/>
  <c r="J4351" i="9"/>
  <c r="I4351" i="9"/>
  <c r="K4303" i="9"/>
  <c r="J4303" i="9"/>
  <c r="I4303" i="9"/>
  <c r="K4255" i="9"/>
  <c r="J4255" i="9"/>
  <c r="I4255" i="9"/>
  <c r="H4207" i="9"/>
  <c r="G4207" i="9"/>
  <c r="F4207" i="9"/>
  <c r="K4167" i="9"/>
  <c r="J4167" i="9"/>
  <c r="I4167" i="9"/>
  <c r="K4095" i="9"/>
  <c r="J4095" i="9"/>
  <c r="I4095" i="9"/>
  <c r="K4023" i="9"/>
  <c r="J4023" i="9"/>
  <c r="I4023" i="9"/>
  <c r="K3951" i="9"/>
  <c r="J3951" i="9"/>
  <c r="I3951" i="9"/>
  <c r="H3922" i="9"/>
  <c r="G3922" i="9"/>
  <c r="F3922" i="9"/>
  <c r="H5668" i="9"/>
  <c r="G5668" i="9"/>
  <c r="F5668" i="9"/>
  <c r="H5476" i="9"/>
  <c r="G5476" i="9"/>
  <c r="F5476" i="9"/>
  <c r="K5428" i="9"/>
  <c r="J5428" i="9"/>
  <c r="I5428" i="9"/>
  <c r="K5380" i="9"/>
  <c r="J5380" i="9"/>
  <c r="I5380" i="9"/>
  <c r="H5332" i="9"/>
  <c r="G5332" i="9"/>
  <c r="F5332" i="9"/>
  <c r="H5188" i="9"/>
  <c r="G5188" i="9"/>
  <c r="F5188" i="9"/>
  <c r="H5140" i="9"/>
  <c r="G5140" i="9"/>
  <c r="F5140" i="9"/>
  <c r="K6498" i="9"/>
  <c r="J6498" i="9"/>
  <c r="I6498" i="9"/>
  <c r="I6426" i="9"/>
  <c r="K6426" i="9"/>
  <c r="J6426" i="9"/>
  <c r="K6390" i="9"/>
  <c r="J6390" i="9"/>
  <c r="I6390" i="9"/>
  <c r="K6306" i="9"/>
  <c r="J6306" i="9"/>
  <c r="I6306" i="9"/>
  <c r="H6288" i="9"/>
  <c r="G6288" i="9"/>
  <c r="F6288" i="9"/>
  <c r="K6270" i="9"/>
  <c r="I6270" i="9"/>
  <c r="J6270" i="9"/>
  <c r="K6234" i="9"/>
  <c r="J6234" i="9"/>
  <c r="I6234" i="9"/>
  <c r="K6198" i="9"/>
  <c r="J6198" i="9"/>
  <c r="I6198" i="9"/>
  <c r="K6162" i="9"/>
  <c r="J6162" i="9"/>
  <c r="I6162" i="9"/>
  <c r="K6108" i="9"/>
  <c r="J6108" i="9"/>
  <c r="I6108" i="9"/>
  <c r="K6072" i="9"/>
  <c r="I6072" i="9"/>
  <c r="J6072" i="9"/>
  <c r="H6054" i="9"/>
  <c r="G6054" i="9"/>
  <c r="F6054" i="9"/>
  <c r="K6036" i="9"/>
  <c r="I6036" i="9"/>
  <c r="J6036" i="9"/>
  <c r="K5982" i="9"/>
  <c r="J5982" i="9"/>
  <c r="I5982" i="9"/>
  <c r="K5946" i="9"/>
  <c r="J5946" i="9"/>
  <c r="I5946" i="9"/>
  <c r="K5910" i="9"/>
  <c r="J5910" i="9"/>
  <c r="I5910" i="9"/>
  <c r="F5766" i="9"/>
  <c r="H5766" i="9"/>
  <c r="G5766" i="9"/>
  <c r="H5730" i="9"/>
  <c r="G5730" i="9"/>
  <c r="F5730" i="9"/>
  <c r="H5694" i="9"/>
  <c r="G5694" i="9"/>
  <c r="F5694" i="9"/>
  <c r="H5646" i="9"/>
  <c r="G5646" i="9"/>
  <c r="F5646" i="9"/>
  <c r="H5625" i="9"/>
  <c r="G5625" i="9"/>
  <c r="F5625" i="9"/>
  <c r="G5598" i="9"/>
  <c r="F5598" i="9"/>
  <c r="H5598" i="9"/>
  <c r="H5577" i="9"/>
  <c r="G5577" i="9"/>
  <c r="F5577" i="9"/>
  <c r="F5550" i="9"/>
  <c r="H5550" i="9"/>
  <c r="G5550" i="9"/>
  <c r="G5502" i="9"/>
  <c r="F5502" i="9"/>
  <c r="H5502" i="9"/>
  <c r="J5481" i="9"/>
  <c r="I5481" i="9"/>
  <c r="K5481" i="9"/>
  <c r="H5454" i="9"/>
  <c r="G5454" i="9"/>
  <c r="F5454" i="9"/>
  <c r="K5406" i="9"/>
  <c r="J5406" i="9"/>
  <c r="I5406" i="9"/>
  <c r="J5337" i="9"/>
  <c r="I5337" i="9"/>
  <c r="K5337" i="9"/>
  <c r="G5310" i="9"/>
  <c r="F5310" i="9"/>
  <c r="H5310" i="9"/>
  <c r="K5097" i="9"/>
  <c r="J5097" i="9"/>
  <c r="I5097" i="9"/>
  <c r="K5049" i="9"/>
  <c r="J5049" i="9"/>
  <c r="I5049" i="9"/>
  <c r="K5001" i="9"/>
  <c r="J5001" i="9"/>
  <c r="I5001" i="9"/>
  <c r="K4953" i="9"/>
  <c r="J4953" i="9"/>
  <c r="I4953" i="9"/>
  <c r="K4905" i="9"/>
  <c r="J4905" i="9"/>
  <c r="I4905" i="9"/>
  <c r="K4857" i="9"/>
  <c r="J4857" i="9"/>
  <c r="I4857" i="9"/>
  <c r="G4713" i="9"/>
  <c r="H4713" i="9"/>
  <c r="F4713" i="9"/>
  <c r="G4665" i="9"/>
  <c r="H4665" i="9"/>
  <c r="F4665" i="9"/>
  <c r="G4617" i="9"/>
  <c r="H4617" i="9"/>
  <c r="F4617" i="9"/>
  <c r="G4569" i="9"/>
  <c r="H4569" i="9"/>
  <c r="F4569" i="9"/>
  <c r="G4521" i="9"/>
  <c r="H4521" i="9"/>
  <c r="F4521" i="9"/>
  <c r="G4473" i="9"/>
  <c r="H4473" i="9"/>
  <c r="F4473" i="9"/>
  <c r="H4398" i="9"/>
  <c r="G4398" i="9"/>
  <c r="F4398" i="9"/>
  <c r="H4350" i="9"/>
  <c r="G4350" i="9"/>
  <c r="F4350" i="9"/>
  <c r="H4302" i="9"/>
  <c r="G4302" i="9"/>
  <c r="F4302" i="9"/>
  <c r="H4254" i="9"/>
  <c r="G4254" i="9"/>
  <c r="F4254" i="9"/>
  <c r="H4206" i="9"/>
  <c r="G4206" i="9"/>
  <c r="F4206" i="9"/>
  <c r="H5395" i="9"/>
  <c r="G5395" i="9"/>
  <c r="F5395" i="9"/>
  <c r="K4771" i="9"/>
  <c r="J4771" i="9"/>
  <c r="I4771" i="9"/>
  <c r="G4435" i="9"/>
  <c r="F4435" i="9"/>
  <c r="H4435" i="9"/>
  <c r="K4387" i="9"/>
  <c r="J4387" i="9"/>
  <c r="I4387" i="9"/>
  <c r="K4339" i="9"/>
  <c r="J4339" i="9"/>
  <c r="I4339" i="9"/>
  <c r="K4291" i="9"/>
  <c r="J4291" i="9"/>
  <c r="I4291" i="9"/>
  <c r="K4243" i="9"/>
  <c r="J4243" i="9"/>
  <c r="I4243" i="9"/>
  <c r="H4132" i="9"/>
  <c r="G4132" i="9"/>
  <c r="F4132" i="9"/>
  <c r="H4060" i="9"/>
  <c r="G4060" i="9"/>
  <c r="F4060" i="9"/>
  <c r="H6413" i="9"/>
  <c r="G6413" i="9"/>
  <c r="F6413" i="9"/>
  <c r="H6377" i="9"/>
  <c r="G6377" i="9"/>
  <c r="F6377" i="9"/>
  <c r="H6257" i="9"/>
  <c r="G6257" i="9"/>
  <c r="F6257" i="9"/>
  <c r="H6221" i="9"/>
  <c r="G6221" i="9"/>
  <c r="F6221" i="9"/>
  <c r="H6185" i="9"/>
  <c r="G6185" i="9"/>
  <c r="F6185" i="9"/>
  <c r="H6149" i="9"/>
  <c r="G6149" i="9"/>
  <c r="F6149" i="9"/>
  <c r="H6131" i="9"/>
  <c r="G6131" i="9"/>
  <c r="F6131" i="9"/>
  <c r="H6095" i="9"/>
  <c r="G6095" i="9"/>
  <c r="F6095" i="9"/>
  <c r="H6059" i="9"/>
  <c r="G6059" i="9"/>
  <c r="F6059" i="9"/>
  <c r="I6041" i="9"/>
  <c r="K6041" i="9"/>
  <c r="J6041" i="9"/>
  <c r="H6023" i="9"/>
  <c r="F6023" i="9"/>
  <c r="G6023" i="9"/>
  <c r="H5915" i="9"/>
  <c r="G5915" i="9"/>
  <c r="F5915" i="9"/>
  <c r="H5879" i="9"/>
  <c r="G5879" i="9"/>
  <c r="F5879" i="9"/>
  <c r="H5843" i="9"/>
  <c r="G5843" i="9"/>
  <c r="F5843" i="9"/>
  <c r="H5807" i="9"/>
  <c r="G5807" i="9"/>
  <c r="F5807" i="9"/>
  <c r="H5771" i="9"/>
  <c r="G5771" i="9"/>
  <c r="F5771" i="9"/>
  <c r="K5753" i="9"/>
  <c r="J5753" i="9"/>
  <c r="I5753" i="9"/>
  <c r="H5656" i="9"/>
  <c r="F5656" i="9"/>
  <c r="G5656" i="9"/>
  <c r="H5464" i="9"/>
  <c r="G5464" i="9"/>
  <c r="F5464" i="9"/>
  <c r="K5416" i="9"/>
  <c r="J5416" i="9"/>
  <c r="I5416" i="9"/>
  <c r="H5368" i="9"/>
  <c r="G5368" i="9"/>
  <c r="F5368" i="9"/>
  <c r="H5320" i="9"/>
  <c r="G5320" i="9"/>
  <c r="F5320" i="9"/>
  <c r="H5272" i="9"/>
  <c r="G5272" i="9"/>
  <c r="F5272" i="9"/>
  <c r="H5128" i="9"/>
  <c r="G5128" i="9"/>
  <c r="F5128" i="9"/>
  <c r="H5554" i="9"/>
  <c r="G5554" i="9"/>
  <c r="F5554" i="9"/>
  <c r="H5458" i="9"/>
  <c r="G5458" i="9"/>
  <c r="F5458" i="9"/>
  <c r="G5245" i="9"/>
  <c r="F5245" i="9"/>
  <c r="H5245" i="9"/>
  <c r="K5101" i="9"/>
  <c r="J5101" i="9"/>
  <c r="I5101" i="9"/>
  <c r="G5074" i="9"/>
  <c r="F5074" i="9"/>
  <c r="H5074" i="9"/>
  <c r="K5053" i="9"/>
  <c r="J5053" i="9"/>
  <c r="I5053" i="9"/>
  <c r="G5026" i="9"/>
  <c r="F5026" i="9"/>
  <c r="H5026" i="9"/>
  <c r="K5005" i="9"/>
  <c r="J5005" i="9"/>
  <c r="I5005" i="9"/>
  <c r="G4978" i="9"/>
  <c r="F4978" i="9"/>
  <c r="H4978" i="9"/>
  <c r="K4957" i="9"/>
  <c r="J4957" i="9"/>
  <c r="I4957" i="9"/>
  <c r="G4930" i="9"/>
  <c r="F4930" i="9"/>
  <c r="H4930" i="9"/>
  <c r="K4909" i="9"/>
  <c r="J4909" i="9"/>
  <c r="I4909" i="9"/>
  <c r="G4882" i="9"/>
  <c r="F4882" i="9"/>
  <c r="H4882" i="9"/>
  <c r="K4861" i="9"/>
  <c r="J4861" i="9"/>
  <c r="I4861" i="9"/>
  <c r="G4834" i="9"/>
  <c r="F4834" i="9"/>
  <c r="H4834" i="9"/>
  <c r="K6466" i="9"/>
  <c r="I6466" i="9"/>
  <c r="J6466" i="9"/>
  <c r="H6358" i="9"/>
  <c r="G6358" i="9"/>
  <c r="F6358" i="9"/>
  <c r="K6232" i="9"/>
  <c r="J6232" i="9"/>
  <c r="I6232" i="9"/>
  <c r="K6196" i="9"/>
  <c r="J6196" i="9"/>
  <c r="I6196" i="9"/>
  <c r="K6160" i="9"/>
  <c r="J6160" i="9"/>
  <c r="I6160" i="9"/>
  <c r="K6106" i="9"/>
  <c r="J6106" i="9"/>
  <c r="I6106" i="9"/>
  <c r="H6016" i="9"/>
  <c r="G6016" i="9"/>
  <c r="F6016" i="9"/>
  <c r="K5926" i="9"/>
  <c r="J5926" i="9"/>
  <c r="I5926" i="9"/>
  <c r="K5854" i="9"/>
  <c r="J5854" i="9"/>
  <c r="I5854" i="9"/>
  <c r="K5818" i="9"/>
  <c r="J5818" i="9"/>
  <c r="I5818" i="9"/>
  <c r="K5782" i="9"/>
  <c r="J5782" i="9"/>
  <c r="I5782" i="9"/>
  <c r="G5764" i="9"/>
  <c r="F5764" i="9"/>
  <c r="H5764" i="9"/>
  <c r="H5728" i="9"/>
  <c r="G5728" i="9"/>
  <c r="F5728" i="9"/>
  <c r="H5543" i="9"/>
  <c r="G5543" i="9"/>
  <c r="F5543" i="9"/>
  <c r="K5303" i="9"/>
  <c r="J5303" i="9"/>
  <c r="I5303" i="9"/>
  <c r="K5255" i="9"/>
  <c r="J5255" i="9"/>
  <c r="I5255" i="9"/>
  <c r="K5207" i="9"/>
  <c r="J5207" i="9"/>
  <c r="I5207" i="9"/>
  <c r="K5159" i="9"/>
  <c r="J5159" i="9"/>
  <c r="I5159" i="9"/>
  <c r="K5111" i="9"/>
  <c r="J5111" i="9"/>
  <c r="I5111" i="9"/>
  <c r="H4679" i="9"/>
  <c r="G4679" i="9"/>
  <c r="F4679" i="9"/>
  <c r="H4631" i="9"/>
  <c r="G4631" i="9"/>
  <c r="F4631" i="9"/>
  <c r="H4583" i="9"/>
  <c r="G4583" i="9"/>
  <c r="F4583" i="9"/>
  <c r="H4535" i="9"/>
  <c r="G4535" i="9"/>
  <c r="F4535" i="9"/>
  <c r="H4487" i="9"/>
  <c r="G4487" i="9"/>
  <c r="F4487" i="9"/>
  <c r="H4439" i="9"/>
  <c r="G4439" i="9"/>
  <c r="F4439" i="9"/>
  <c r="K4155" i="9"/>
  <c r="J4155" i="9"/>
  <c r="I4155" i="9"/>
  <c r="G5532" i="9"/>
  <c r="F5532" i="9"/>
  <c r="H5532" i="9"/>
  <c r="G5484" i="9"/>
  <c r="F5484" i="9"/>
  <c r="H5484" i="9"/>
  <c r="G5292" i="9"/>
  <c r="F5292" i="9"/>
  <c r="H5292" i="9"/>
  <c r="H5244" i="9"/>
  <c r="G5244" i="9"/>
  <c r="F5244" i="9"/>
  <c r="G5196" i="9"/>
  <c r="F5196" i="9"/>
  <c r="H5196" i="9"/>
  <c r="G5148" i="9"/>
  <c r="F5148" i="9"/>
  <c r="H5148" i="9"/>
  <c r="F6609" i="9"/>
  <c r="H6609" i="9"/>
  <c r="G6609" i="9"/>
  <c r="F6573" i="9"/>
  <c r="H6573" i="9"/>
  <c r="G6573" i="9"/>
  <c r="H6537" i="9"/>
  <c r="G6537" i="9"/>
  <c r="F6537" i="9"/>
  <c r="K6501" i="9"/>
  <c r="J6501" i="9"/>
  <c r="I6501" i="9"/>
  <c r="H6321" i="9"/>
  <c r="G6321" i="9"/>
  <c r="F6321" i="9"/>
  <c r="H6285" i="9"/>
  <c r="F6285" i="9"/>
  <c r="G6285" i="9"/>
  <c r="G6267" i="9"/>
  <c r="F6267" i="9"/>
  <c r="H6267" i="9"/>
  <c r="H6015" i="9"/>
  <c r="F6015" i="9"/>
  <c r="G6015" i="9"/>
  <c r="K5997" i="9"/>
  <c r="J5997" i="9"/>
  <c r="I5997" i="9"/>
  <c r="H5961" i="9"/>
  <c r="G5961" i="9"/>
  <c r="F5961" i="9"/>
  <c r="H5925" i="9"/>
  <c r="G5925" i="9"/>
  <c r="F5925" i="9"/>
  <c r="H5889" i="9"/>
  <c r="G5889" i="9"/>
  <c r="F5889" i="9"/>
  <c r="G5853" i="9"/>
  <c r="H5853" i="9"/>
  <c r="F5853" i="9"/>
  <c r="H5817" i="9"/>
  <c r="G5817" i="9"/>
  <c r="F5817" i="9"/>
  <c r="H5781" i="9"/>
  <c r="G5781" i="9"/>
  <c r="F5781" i="9"/>
  <c r="K5763" i="9"/>
  <c r="J5763" i="9"/>
  <c r="I5763" i="9"/>
  <c r="K5727" i="9"/>
  <c r="J5727" i="9"/>
  <c r="I5727" i="9"/>
  <c r="H5542" i="9"/>
  <c r="G5542" i="9"/>
  <c r="F5542" i="9"/>
  <c r="H5494" i="9"/>
  <c r="G5494" i="9"/>
  <c r="F5494" i="9"/>
  <c r="H5350" i="9"/>
  <c r="G5350" i="9"/>
  <c r="F5350" i="9"/>
  <c r="J5531" i="9"/>
  <c r="K5531" i="9"/>
  <c r="I5531" i="9"/>
  <c r="K5291" i="9"/>
  <c r="J5291" i="9"/>
  <c r="I5291" i="9"/>
  <c r="K5243" i="9"/>
  <c r="J5243" i="9"/>
  <c r="I5243" i="9"/>
  <c r="K5195" i="9"/>
  <c r="J5195" i="9"/>
  <c r="I5195" i="9"/>
  <c r="K5147" i="9"/>
  <c r="J5147" i="9"/>
  <c r="I5147" i="9"/>
  <c r="H4715" i="9"/>
  <c r="G4715" i="9"/>
  <c r="F4715" i="9"/>
  <c r="H4667" i="9"/>
  <c r="G4667" i="9"/>
  <c r="F4667" i="9"/>
  <c r="H4619" i="9"/>
  <c r="G4619" i="9"/>
  <c r="F4619" i="9"/>
  <c r="H4571" i="9"/>
  <c r="G4571" i="9"/>
  <c r="F4571" i="9"/>
  <c r="H4523" i="9"/>
  <c r="G4523" i="9"/>
  <c r="F4523" i="9"/>
  <c r="H4475" i="9"/>
  <c r="G4475" i="9"/>
  <c r="F4475" i="9"/>
  <c r="H4427" i="9"/>
  <c r="G4427" i="9"/>
  <c r="F4427" i="9"/>
  <c r="H4144" i="9"/>
  <c r="G4144" i="9"/>
  <c r="F4144" i="9"/>
  <c r="H4072" i="9"/>
  <c r="G4072" i="9"/>
  <c r="F4072" i="9"/>
  <c r="H4000" i="9"/>
  <c r="G4000" i="9"/>
  <c r="F4000" i="9"/>
  <c r="H3928" i="9"/>
  <c r="G3928" i="9"/>
  <c r="F3928" i="9"/>
  <c r="K3885" i="9"/>
  <c r="J3885" i="9"/>
  <c r="I3885" i="9"/>
  <c r="G6422" i="9"/>
  <c r="H6422" i="9"/>
  <c r="F6422" i="9"/>
  <c r="K6320" i="9"/>
  <c r="J6320" i="9"/>
  <c r="I6320" i="9"/>
  <c r="H6266" i="9"/>
  <c r="G6266" i="9"/>
  <c r="F6266" i="9"/>
  <c r="H6140" i="9"/>
  <c r="G6140" i="9"/>
  <c r="F6140" i="9"/>
  <c r="K5996" i="9"/>
  <c r="J5996" i="9"/>
  <c r="I5996" i="9"/>
  <c r="K5960" i="9"/>
  <c r="J5960" i="9"/>
  <c r="I5960" i="9"/>
  <c r="K5924" i="9"/>
  <c r="J5924" i="9"/>
  <c r="I5924" i="9"/>
  <c r="K5888" i="9"/>
  <c r="J5888" i="9"/>
  <c r="I5888" i="9"/>
  <c r="K5852" i="9"/>
  <c r="J5852" i="9"/>
  <c r="I5852" i="9"/>
  <c r="K5816" i="9"/>
  <c r="J5816" i="9"/>
  <c r="I5816" i="9"/>
  <c r="K5780" i="9"/>
  <c r="J5780" i="9"/>
  <c r="I5780" i="9"/>
  <c r="H5680" i="9"/>
  <c r="G5680" i="9"/>
  <c r="F5680" i="9"/>
  <c r="H5536" i="9"/>
  <c r="G5536" i="9"/>
  <c r="F5536" i="9"/>
  <c r="K5440" i="9"/>
  <c r="J5440" i="9"/>
  <c r="I5440" i="9"/>
  <c r="H5392" i="9"/>
  <c r="F5392" i="9"/>
  <c r="G5392" i="9"/>
  <c r="H5344" i="9"/>
  <c r="G5344" i="9"/>
  <c r="F5344" i="9"/>
  <c r="H5296" i="9"/>
  <c r="G5296" i="9"/>
  <c r="F5296" i="9"/>
  <c r="H5200" i="9"/>
  <c r="G5200" i="9"/>
  <c r="F5200" i="9"/>
  <c r="H4720" i="9"/>
  <c r="F4720" i="9"/>
  <c r="G4720" i="9"/>
  <c r="K5073" i="9"/>
  <c r="J5073" i="9"/>
  <c r="I5073" i="9"/>
  <c r="K4929" i="9"/>
  <c r="J4929" i="9"/>
  <c r="I4929" i="9"/>
  <c r="K4289" i="9"/>
  <c r="J4289" i="9"/>
  <c r="I4289" i="9"/>
  <c r="H3860" i="9"/>
  <c r="G3860" i="9"/>
  <c r="F3860" i="9"/>
  <c r="H3311" i="9"/>
  <c r="G3311" i="9"/>
  <c r="F3311" i="9"/>
  <c r="H2975" i="9"/>
  <c r="G2975" i="9"/>
  <c r="F2975" i="9"/>
  <c r="H2903" i="9"/>
  <c r="G2903" i="9"/>
  <c r="F2903" i="9"/>
  <c r="H2831" i="9"/>
  <c r="G2831" i="9"/>
  <c r="F2831" i="9"/>
  <c r="K2543" i="9"/>
  <c r="I2543" i="9"/>
  <c r="J2543" i="9"/>
  <c r="K2519" i="9"/>
  <c r="J2519" i="9"/>
  <c r="I2519" i="9"/>
  <c r="K2447" i="9"/>
  <c r="J2447" i="9"/>
  <c r="I2447" i="9"/>
  <c r="K2423" i="9"/>
  <c r="J2423" i="9"/>
  <c r="I2423" i="9"/>
  <c r="H2399" i="9"/>
  <c r="G2399" i="9"/>
  <c r="F2399" i="9"/>
  <c r="H2375" i="9"/>
  <c r="G2375" i="9"/>
  <c r="F2375" i="9"/>
  <c r="H2351" i="9"/>
  <c r="G2351" i="9"/>
  <c r="F2351" i="9"/>
  <c r="K2327" i="9"/>
  <c r="J2327" i="9"/>
  <c r="I2327" i="9"/>
  <c r="K2303" i="9"/>
  <c r="J2303" i="9"/>
  <c r="I2303" i="9"/>
  <c r="K2279" i="9"/>
  <c r="J2279" i="9"/>
  <c r="I2279" i="9"/>
  <c r="K2255" i="9"/>
  <c r="J2255" i="9"/>
  <c r="I2255" i="9"/>
  <c r="K2231" i="9"/>
  <c r="J2231" i="9"/>
  <c r="I2231" i="9"/>
  <c r="K2207" i="9"/>
  <c r="J2207" i="9"/>
  <c r="I2207" i="9"/>
  <c r="K2183" i="9"/>
  <c r="J2183" i="9"/>
  <c r="I2183" i="9"/>
  <c r="K2159" i="9"/>
  <c r="J2159" i="9"/>
  <c r="I2159" i="9"/>
  <c r="K2135" i="9"/>
  <c r="J2135" i="9"/>
  <c r="I2135" i="9"/>
  <c r="K2111" i="9"/>
  <c r="J2111" i="9"/>
  <c r="I2111" i="9"/>
  <c r="K2087" i="9"/>
  <c r="J2087" i="9"/>
  <c r="I2087" i="9"/>
  <c r="J2063" i="9"/>
  <c r="I2063" i="9"/>
  <c r="K2063" i="9"/>
  <c r="J2039" i="9"/>
  <c r="I2039" i="9"/>
  <c r="K2039" i="9"/>
  <c r="K1969" i="9"/>
  <c r="J1969" i="9"/>
  <c r="I1969" i="9"/>
  <c r="H1755" i="9"/>
  <c r="G1755" i="9"/>
  <c r="F1755" i="9"/>
  <c r="H1681" i="9"/>
  <c r="G1681" i="9"/>
  <c r="F1681" i="9"/>
  <c r="K1646" i="9"/>
  <c r="J1646" i="9"/>
  <c r="I1646" i="9"/>
  <c r="H1611" i="9"/>
  <c r="G1611" i="9"/>
  <c r="F1611" i="9"/>
  <c r="H1537" i="9"/>
  <c r="G1537" i="9"/>
  <c r="F1537" i="9"/>
  <c r="H816" i="9"/>
  <c r="G816" i="9"/>
  <c r="F816" i="9"/>
  <c r="H792" i="9"/>
  <c r="G792" i="9"/>
  <c r="F792" i="9"/>
  <c r="H768" i="9"/>
  <c r="G768" i="9"/>
  <c r="F768" i="9"/>
  <c r="H744" i="9"/>
  <c r="G744" i="9"/>
  <c r="F744" i="9"/>
  <c r="H720" i="9"/>
  <c r="G720" i="9"/>
  <c r="F720" i="9"/>
  <c r="H696" i="9"/>
  <c r="G696" i="9"/>
  <c r="F696" i="9"/>
  <c r="H540" i="9"/>
  <c r="G540" i="9"/>
  <c r="F540" i="9"/>
  <c r="H480" i="9"/>
  <c r="G480" i="9"/>
  <c r="F480" i="9"/>
  <c r="H432" i="9"/>
  <c r="G432" i="9"/>
  <c r="F432" i="9"/>
  <c r="H396" i="9"/>
  <c r="G396" i="9"/>
  <c r="F396" i="9"/>
  <c r="H300" i="9"/>
  <c r="G300" i="9"/>
  <c r="F300" i="9"/>
  <c r="H228" i="9"/>
  <c r="G228" i="9"/>
  <c r="F228" i="9"/>
  <c r="H204" i="9"/>
  <c r="G204" i="9"/>
  <c r="F204" i="9"/>
  <c r="H120" i="9"/>
  <c r="G120" i="9"/>
  <c r="F120" i="9"/>
  <c r="H84" i="9"/>
  <c r="G84" i="9"/>
  <c r="F84" i="9"/>
  <c r="H72" i="9"/>
  <c r="G72" i="9"/>
  <c r="F72" i="9"/>
  <c r="H60" i="9"/>
  <c r="G60" i="9"/>
  <c r="F60" i="9"/>
  <c r="H48" i="9"/>
  <c r="G48" i="9"/>
  <c r="F48" i="9"/>
  <c r="H36" i="9"/>
  <c r="G36" i="9"/>
  <c r="F36" i="9"/>
  <c r="H24" i="9"/>
  <c r="G24" i="9"/>
  <c r="F24" i="9"/>
  <c r="H12" i="9"/>
  <c r="G12" i="9"/>
  <c r="F12" i="9"/>
  <c r="H4422" i="9"/>
  <c r="G4422" i="9"/>
  <c r="F4422" i="9"/>
  <c r="H4230" i="9"/>
  <c r="G4230" i="9"/>
  <c r="F4230" i="9"/>
  <c r="H4036" i="9"/>
  <c r="G4036" i="9"/>
  <c r="F4036" i="9"/>
  <c r="K3963" i="9"/>
  <c r="J3963" i="9"/>
  <c r="I3963" i="9"/>
  <c r="K3895" i="9"/>
  <c r="J3895" i="9"/>
  <c r="I3895" i="9"/>
  <c r="K3775" i="9"/>
  <c r="J3775" i="9"/>
  <c r="I3775" i="9"/>
  <c r="G2034" i="9"/>
  <c r="F2034" i="9"/>
  <c r="H2034" i="9"/>
  <c r="G1890" i="9"/>
  <c r="F1890" i="9"/>
  <c r="H1890" i="9"/>
  <c r="H660" i="9"/>
  <c r="G660" i="9"/>
  <c r="F660" i="9"/>
  <c r="H564" i="9"/>
  <c r="G564" i="9"/>
  <c r="F564" i="9"/>
  <c r="H516" i="9"/>
  <c r="G516" i="9"/>
  <c r="F516" i="9"/>
  <c r="H384" i="9"/>
  <c r="G384" i="9"/>
  <c r="F384" i="9"/>
  <c r="H360" i="9"/>
  <c r="G360" i="9"/>
  <c r="F360" i="9"/>
  <c r="H336" i="9"/>
  <c r="G336" i="9"/>
  <c r="F336" i="9"/>
  <c r="H276" i="9"/>
  <c r="G276" i="9"/>
  <c r="F276" i="9"/>
  <c r="H144" i="9"/>
  <c r="G144" i="9"/>
  <c r="F144" i="9"/>
  <c r="H5030" i="9"/>
  <c r="G5030" i="9"/>
  <c r="F5030" i="9"/>
  <c r="H4886" i="9"/>
  <c r="G4886" i="9"/>
  <c r="F4886" i="9"/>
  <c r="H4573" i="9"/>
  <c r="G4573" i="9"/>
  <c r="F4573" i="9"/>
  <c r="K3765" i="9"/>
  <c r="J3765" i="9"/>
  <c r="I3765" i="9"/>
  <c r="H3742" i="9"/>
  <c r="G3742" i="9"/>
  <c r="F3742" i="9"/>
  <c r="J3661" i="9"/>
  <c r="I3661" i="9"/>
  <c r="K3661" i="9"/>
  <c r="J3637" i="9"/>
  <c r="I3637" i="9"/>
  <c r="K3637" i="9"/>
  <c r="J3229" i="9"/>
  <c r="I3229" i="9"/>
  <c r="K3229" i="9"/>
  <c r="J3205" i="9"/>
  <c r="I3205" i="9"/>
  <c r="K3205" i="9"/>
  <c r="J3181" i="9"/>
  <c r="I3181" i="9"/>
  <c r="K3181" i="9"/>
  <c r="J3157" i="9"/>
  <c r="I3157" i="9"/>
  <c r="K3157" i="9"/>
  <c r="J3133" i="9"/>
  <c r="I3133" i="9"/>
  <c r="K3133" i="9"/>
  <c r="J3109" i="9"/>
  <c r="I3109" i="9"/>
  <c r="K3109" i="9"/>
  <c r="J3085" i="9"/>
  <c r="I3085" i="9"/>
  <c r="K3085" i="9"/>
  <c r="J3061" i="9"/>
  <c r="I3061" i="9"/>
  <c r="K3061" i="9"/>
  <c r="G3013" i="9"/>
  <c r="H3013" i="9"/>
  <c r="F3013" i="9"/>
  <c r="G2989" i="9"/>
  <c r="H2989" i="9"/>
  <c r="F2989" i="9"/>
  <c r="G2941" i="9"/>
  <c r="H2941" i="9"/>
  <c r="F2941" i="9"/>
  <c r="G2917" i="9"/>
  <c r="H2917" i="9"/>
  <c r="F2917" i="9"/>
  <c r="G2869" i="9"/>
  <c r="H2869" i="9"/>
  <c r="F2869" i="9"/>
  <c r="G2845" i="9"/>
  <c r="H2845" i="9"/>
  <c r="F2845" i="9"/>
  <c r="G2797" i="9"/>
  <c r="H2797" i="9"/>
  <c r="F2797" i="9"/>
  <c r="H2365" i="9"/>
  <c r="G2365" i="9"/>
  <c r="F2365" i="9"/>
  <c r="H2293" i="9"/>
  <c r="G2293" i="9"/>
  <c r="F2293" i="9"/>
  <c r="H2245" i="9"/>
  <c r="G2245" i="9"/>
  <c r="F2245" i="9"/>
  <c r="H2197" i="9"/>
  <c r="G2197" i="9"/>
  <c r="F2197" i="9"/>
  <c r="H2149" i="9"/>
  <c r="G2149" i="9"/>
  <c r="F2149" i="9"/>
  <c r="H2101" i="9"/>
  <c r="G2101" i="9"/>
  <c r="F2101" i="9"/>
  <c r="K2025" i="9"/>
  <c r="J2025" i="9"/>
  <c r="I2025" i="9"/>
  <c r="J1955" i="9"/>
  <c r="I1955" i="9"/>
  <c r="K1955" i="9"/>
  <c r="H1920" i="9"/>
  <c r="G1920" i="9"/>
  <c r="F1920" i="9"/>
  <c r="K1881" i="9"/>
  <c r="J1881" i="9"/>
  <c r="I1881" i="9"/>
  <c r="H1811" i="9"/>
  <c r="G1811" i="9"/>
  <c r="F1811" i="9"/>
  <c r="K1776" i="9"/>
  <c r="J1776" i="9"/>
  <c r="I1776" i="9"/>
  <c r="K1632" i="9"/>
  <c r="J1632" i="9"/>
  <c r="I1632" i="9"/>
  <c r="K1558" i="9"/>
  <c r="I1558" i="9"/>
  <c r="J1558" i="9"/>
  <c r="K4241" i="9"/>
  <c r="J4241" i="9"/>
  <c r="I4241" i="9"/>
  <c r="H3988" i="9"/>
  <c r="G3988" i="9"/>
  <c r="F3988" i="9"/>
  <c r="J3915" i="9"/>
  <c r="I3915" i="9"/>
  <c r="K3915" i="9"/>
  <c r="H3670" i="9"/>
  <c r="G3670" i="9"/>
  <c r="F3670" i="9"/>
  <c r="H3310" i="9"/>
  <c r="G3310" i="9"/>
  <c r="F3310" i="9"/>
  <c r="G3238" i="9"/>
  <c r="F3238" i="9"/>
  <c r="H3238" i="9"/>
  <c r="J3022" i="9"/>
  <c r="K3022" i="9"/>
  <c r="I3022" i="9"/>
  <c r="J2950" i="9"/>
  <c r="K2950" i="9"/>
  <c r="I2950" i="9"/>
  <c r="J2878" i="9"/>
  <c r="K2878" i="9"/>
  <c r="I2878" i="9"/>
  <c r="J2806" i="9"/>
  <c r="K2806" i="9"/>
  <c r="I2806" i="9"/>
  <c r="H2446" i="9"/>
  <c r="G2446" i="9"/>
  <c r="F2446" i="9"/>
  <c r="K2374" i="9"/>
  <c r="J2374" i="9"/>
  <c r="I2374" i="9"/>
  <c r="H2302" i="9"/>
  <c r="G2302" i="9"/>
  <c r="F2302" i="9"/>
  <c r="F2230" i="9"/>
  <c r="H2230" i="9"/>
  <c r="G2230" i="9"/>
  <c r="H2158" i="9"/>
  <c r="G2158" i="9"/>
  <c r="F2158" i="9"/>
  <c r="F2086" i="9"/>
  <c r="H2086" i="9"/>
  <c r="G2086" i="9"/>
  <c r="G1994" i="9"/>
  <c r="F1994" i="9"/>
  <c r="H1994" i="9"/>
  <c r="G1850" i="9"/>
  <c r="F1850" i="9"/>
  <c r="H1850" i="9"/>
  <c r="H1741" i="9"/>
  <c r="G1741" i="9"/>
  <c r="F1741" i="9"/>
  <c r="K1706" i="9"/>
  <c r="J1706" i="9"/>
  <c r="I1706" i="9"/>
  <c r="H1671" i="9"/>
  <c r="G1671" i="9"/>
  <c r="F1671" i="9"/>
  <c r="H1597" i="9"/>
  <c r="F1597" i="9"/>
  <c r="G1597" i="9"/>
  <c r="K1562" i="9"/>
  <c r="J1562" i="9"/>
  <c r="I1562" i="9"/>
  <c r="J467" i="9"/>
  <c r="K467" i="9"/>
  <c r="I467" i="9"/>
  <c r="J443" i="9"/>
  <c r="K443" i="9"/>
  <c r="I443" i="9"/>
  <c r="K107" i="9"/>
  <c r="J107" i="9"/>
  <c r="I107" i="9"/>
  <c r="K83" i="9"/>
  <c r="J83" i="9"/>
  <c r="I83" i="9"/>
  <c r="K35" i="9"/>
  <c r="J35" i="9"/>
  <c r="I35" i="9"/>
  <c r="K11" i="9"/>
  <c r="J11" i="9"/>
  <c r="I11" i="9"/>
  <c r="K4993" i="9"/>
  <c r="J4993" i="9"/>
  <c r="I4993" i="9"/>
  <c r="K4849" i="9"/>
  <c r="J4849" i="9"/>
  <c r="I4849" i="9"/>
  <c r="K4700" i="9"/>
  <c r="J4700" i="9"/>
  <c r="I4700" i="9"/>
  <c r="K4630" i="9"/>
  <c r="J4630" i="9"/>
  <c r="I4630" i="9"/>
  <c r="K4508" i="9"/>
  <c r="J4508" i="9"/>
  <c r="I4508" i="9"/>
  <c r="K4438" i="9"/>
  <c r="J4438" i="9"/>
  <c r="I4438" i="9"/>
  <c r="H4316" i="9"/>
  <c r="G4316" i="9"/>
  <c r="F4316" i="9"/>
  <c r="K3873" i="9"/>
  <c r="J3873" i="9"/>
  <c r="I3873" i="9"/>
  <c r="H3848" i="9"/>
  <c r="G3848" i="9"/>
  <c r="F3848" i="9"/>
  <c r="K3741" i="9"/>
  <c r="J3741" i="9"/>
  <c r="I3741" i="9"/>
  <c r="F3041" i="9"/>
  <c r="H3041" i="9"/>
  <c r="G3041" i="9"/>
  <c r="F3017" i="9"/>
  <c r="H3017" i="9"/>
  <c r="G3017" i="9"/>
  <c r="F2993" i="9"/>
  <c r="H2993" i="9"/>
  <c r="G2993" i="9"/>
  <c r="F2945" i="9"/>
  <c r="H2945" i="9"/>
  <c r="G2945" i="9"/>
  <c r="F2921" i="9"/>
  <c r="H2921" i="9"/>
  <c r="G2921" i="9"/>
  <c r="F2873" i="9"/>
  <c r="H2873" i="9"/>
  <c r="G2873" i="9"/>
  <c r="F2849" i="9"/>
  <c r="H2849" i="9"/>
  <c r="G2849" i="9"/>
  <c r="F2801" i="9"/>
  <c r="H2801" i="9"/>
  <c r="G2801" i="9"/>
  <c r="H2537" i="9"/>
  <c r="G2537" i="9"/>
  <c r="F2537" i="9"/>
  <c r="J2057" i="9"/>
  <c r="I2057" i="9"/>
  <c r="K2057" i="9"/>
  <c r="G1998" i="9"/>
  <c r="F1998" i="9"/>
  <c r="H1998" i="9"/>
  <c r="G1854" i="9"/>
  <c r="F1854" i="9"/>
  <c r="H1854" i="9"/>
  <c r="H483" i="9"/>
  <c r="F483" i="9"/>
  <c r="G483" i="9"/>
  <c r="J455" i="9"/>
  <c r="I455" i="9"/>
  <c r="K455" i="9"/>
  <c r="H435" i="9"/>
  <c r="F435" i="9"/>
  <c r="G435" i="9"/>
  <c r="K275" i="9"/>
  <c r="J275" i="9"/>
  <c r="I275" i="9"/>
  <c r="K179" i="9"/>
  <c r="J179" i="9"/>
  <c r="I179" i="9"/>
  <c r="K95" i="9"/>
  <c r="J95" i="9"/>
  <c r="I95" i="9"/>
  <c r="K71" i="9"/>
  <c r="J71" i="9"/>
  <c r="I71" i="9"/>
  <c r="H4525" i="9"/>
  <c r="G4525" i="9"/>
  <c r="F4525" i="9"/>
  <c r="H3940" i="9"/>
  <c r="G3940" i="9"/>
  <c r="F3940" i="9"/>
  <c r="K3883" i="9"/>
  <c r="J3883" i="9"/>
  <c r="I3883" i="9"/>
  <c r="H3838" i="9"/>
  <c r="G3838" i="9"/>
  <c r="F3838" i="9"/>
  <c r="H3626" i="9"/>
  <c r="F3626" i="9"/>
  <c r="G3626" i="9"/>
  <c r="K3554" i="9"/>
  <c r="J3554" i="9"/>
  <c r="I3554" i="9"/>
  <c r="K3482" i="9"/>
  <c r="J3482" i="9"/>
  <c r="I3482" i="9"/>
  <c r="K3410" i="9"/>
  <c r="J3410" i="9"/>
  <c r="I3410" i="9"/>
  <c r="H3194" i="9"/>
  <c r="G3194" i="9"/>
  <c r="F3194" i="9"/>
  <c r="H3122" i="9"/>
  <c r="G3122" i="9"/>
  <c r="F3122" i="9"/>
  <c r="H3050" i="9"/>
  <c r="G3050" i="9"/>
  <c r="F3050" i="9"/>
  <c r="K2762" i="9"/>
  <c r="J2762" i="9"/>
  <c r="I2762" i="9"/>
  <c r="K2690" i="9"/>
  <c r="J2690" i="9"/>
  <c r="I2690" i="9"/>
  <c r="K2618" i="9"/>
  <c r="J2618" i="9"/>
  <c r="I2618" i="9"/>
  <c r="K2546" i="9"/>
  <c r="J2546" i="9"/>
  <c r="I2546" i="9"/>
  <c r="J1967" i="9"/>
  <c r="I1967" i="9"/>
  <c r="K1967" i="9"/>
  <c r="H1932" i="9"/>
  <c r="G1932" i="9"/>
  <c r="F1932" i="9"/>
  <c r="K1893" i="9"/>
  <c r="J1893" i="9"/>
  <c r="I1893" i="9"/>
  <c r="H1823" i="9"/>
  <c r="G1823" i="9"/>
  <c r="F1823" i="9"/>
  <c r="K1788" i="9"/>
  <c r="J1788" i="9"/>
  <c r="I1788" i="9"/>
  <c r="K1644" i="9"/>
  <c r="J1644" i="9"/>
  <c r="I1644" i="9"/>
  <c r="G1535" i="9"/>
  <c r="F1535" i="9"/>
  <c r="H1535" i="9"/>
  <c r="K4385" i="9"/>
  <c r="J4385" i="9"/>
  <c r="I4385" i="9"/>
  <c r="K4193" i="9"/>
  <c r="J4193" i="9"/>
  <c r="I4193" i="9"/>
  <c r="K4131" i="9"/>
  <c r="J4131" i="9"/>
  <c r="I4131" i="9"/>
  <c r="H3872" i="9"/>
  <c r="G3872" i="9"/>
  <c r="F3872" i="9"/>
  <c r="K3763" i="9"/>
  <c r="J3763" i="9"/>
  <c r="I3763" i="9"/>
  <c r="H3740" i="9"/>
  <c r="G3740" i="9"/>
  <c r="F3740" i="9"/>
  <c r="F3179" i="9"/>
  <c r="H3179" i="9"/>
  <c r="G3179" i="9"/>
  <c r="F3083" i="9"/>
  <c r="H3083" i="9"/>
  <c r="G3083" i="9"/>
  <c r="H3011" i="9"/>
  <c r="G3011" i="9"/>
  <c r="F3011" i="9"/>
  <c r="H2939" i="9"/>
  <c r="G2939" i="9"/>
  <c r="F2939" i="9"/>
  <c r="H2867" i="9"/>
  <c r="G2867" i="9"/>
  <c r="F2867" i="9"/>
  <c r="H2795" i="9"/>
  <c r="G2795" i="9"/>
  <c r="F2795" i="9"/>
  <c r="K2555" i="9"/>
  <c r="J2555" i="9"/>
  <c r="I2555" i="9"/>
  <c r="K2531" i="9"/>
  <c r="I2531" i="9"/>
  <c r="J2531" i="9"/>
  <c r="K2507" i="9"/>
  <c r="J2507" i="9"/>
  <c r="I2507" i="9"/>
  <c r="K2483" i="9"/>
  <c r="J2483" i="9"/>
  <c r="I2483" i="9"/>
  <c r="K2459" i="9"/>
  <c r="J2459" i="9"/>
  <c r="I2459" i="9"/>
  <c r="K2435" i="9"/>
  <c r="J2435" i="9"/>
  <c r="I2435" i="9"/>
  <c r="H2411" i="9"/>
  <c r="G2411" i="9"/>
  <c r="F2411" i="9"/>
  <c r="H2387" i="9"/>
  <c r="G2387" i="9"/>
  <c r="F2387" i="9"/>
  <c r="H2363" i="9"/>
  <c r="G2363" i="9"/>
  <c r="F2363" i="9"/>
  <c r="H2339" i="9"/>
  <c r="G2339" i="9"/>
  <c r="F2339" i="9"/>
  <c r="K2315" i="9"/>
  <c r="J2315" i="9"/>
  <c r="I2315" i="9"/>
  <c r="K2291" i="9"/>
  <c r="J2291" i="9"/>
  <c r="I2291" i="9"/>
  <c r="K2267" i="9"/>
  <c r="J2267" i="9"/>
  <c r="I2267" i="9"/>
  <c r="K2243" i="9"/>
  <c r="J2243" i="9"/>
  <c r="I2243" i="9"/>
  <c r="K2219" i="9"/>
  <c r="J2219" i="9"/>
  <c r="I2219" i="9"/>
  <c r="K2195" i="9"/>
  <c r="J2195" i="9"/>
  <c r="I2195" i="9"/>
  <c r="K2171" i="9"/>
  <c r="J2171" i="9"/>
  <c r="I2171" i="9"/>
  <c r="K2147" i="9"/>
  <c r="J2147" i="9"/>
  <c r="I2147" i="9"/>
  <c r="K2123" i="9"/>
  <c r="J2123" i="9"/>
  <c r="I2123" i="9"/>
  <c r="K2099" i="9"/>
  <c r="J2099" i="9"/>
  <c r="I2099" i="9"/>
  <c r="K2075" i="9"/>
  <c r="J2075" i="9"/>
  <c r="I2075" i="9"/>
  <c r="J2051" i="9"/>
  <c r="I2051" i="9"/>
  <c r="K2051" i="9"/>
  <c r="K1766" i="9"/>
  <c r="J1766" i="9"/>
  <c r="I1766" i="9"/>
  <c r="H1731" i="9"/>
  <c r="G1731" i="9"/>
  <c r="F1731" i="9"/>
  <c r="H1657" i="9"/>
  <c r="G1657" i="9"/>
  <c r="F1657" i="9"/>
  <c r="K1622" i="9"/>
  <c r="J1622" i="9"/>
  <c r="I1622" i="9"/>
  <c r="H1587" i="9"/>
  <c r="G1587" i="9"/>
  <c r="F1587" i="9"/>
  <c r="H302" i="9"/>
  <c r="G302" i="9"/>
  <c r="F302" i="9"/>
  <c r="H278" i="9"/>
  <c r="G278" i="9"/>
  <c r="F278" i="9"/>
  <c r="H158" i="9"/>
  <c r="G158" i="9"/>
  <c r="F158" i="9"/>
  <c r="H134" i="9"/>
  <c r="G134" i="9"/>
  <c r="F134" i="9"/>
  <c r="H110" i="9"/>
  <c r="G110" i="9"/>
  <c r="F110" i="9"/>
  <c r="H62" i="9"/>
  <c r="G62" i="9"/>
  <c r="F62" i="9"/>
  <c r="H38" i="9"/>
  <c r="G38" i="9"/>
  <c r="F38" i="9"/>
  <c r="H14" i="9"/>
  <c r="G14" i="9"/>
  <c r="F14" i="9"/>
  <c r="H4326" i="9"/>
  <c r="G4326" i="9"/>
  <c r="F4326" i="9"/>
  <c r="K3847" i="9"/>
  <c r="J3847" i="9"/>
  <c r="I3847" i="9"/>
  <c r="G1962" i="9"/>
  <c r="F1962" i="9"/>
  <c r="H1962" i="9"/>
  <c r="G1818" i="9"/>
  <c r="F1818" i="9"/>
  <c r="H1818" i="9"/>
  <c r="G774" i="9"/>
  <c r="F774" i="9"/>
  <c r="H774" i="9"/>
  <c r="G762" i="9"/>
  <c r="F762" i="9"/>
  <c r="H762" i="9"/>
  <c r="G738" i="9"/>
  <c r="F738" i="9"/>
  <c r="H738" i="9"/>
  <c r="G726" i="9"/>
  <c r="F726" i="9"/>
  <c r="H726" i="9"/>
  <c r="G702" i="9"/>
  <c r="F702" i="9"/>
  <c r="H702" i="9"/>
  <c r="G690" i="9"/>
  <c r="F690" i="9"/>
  <c r="H690" i="9"/>
  <c r="G666" i="9"/>
  <c r="F666" i="9"/>
  <c r="H666" i="9"/>
  <c r="G654" i="9"/>
  <c r="F654" i="9"/>
  <c r="H654" i="9"/>
  <c r="G630" i="9"/>
  <c r="F630" i="9"/>
  <c r="H630" i="9"/>
  <c r="G618" i="9"/>
  <c r="F618" i="9"/>
  <c r="H618" i="9"/>
  <c r="G594" i="9"/>
  <c r="F594" i="9"/>
  <c r="H594" i="9"/>
  <c r="G582" i="9"/>
  <c r="F582" i="9"/>
  <c r="H582" i="9"/>
  <c r="G558" i="9"/>
  <c r="F558" i="9"/>
  <c r="H558" i="9"/>
  <c r="G546" i="9"/>
  <c r="F546" i="9"/>
  <c r="H546" i="9"/>
  <c r="G522" i="9"/>
  <c r="F522" i="9"/>
  <c r="H522" i="9"/>
  <c r="G510" i="9"/>
  <c r="F510" i="9"/>
  <c r="H510" i="9"/>
  <c r="G486" i="9"/>
  <c r="F486" i="9"/>
  <c r="H486" i="9"/>
  <c r="G474" i="9"/>
  <c r="F474" i="9"/>
  <c r="H474" i="9"/>
  <c r="G462" i="9"/>
  <c r="F462" i="9"/>
  <c r="H462" i="9"/>
  <c r="G450" i="9"/>
  <c r="F450" i="9"/>
  <c r="H450" i="9"/>
  <c r="G438" i="9"/>
  <c r="F438" i="9"/>
  <c r="H438" i="9"/>
  <c r="G426" i="9"/>
  <c r="F426" i="9"/>
  <c r="H426" i="9"/>
  <c r="G414" i="9"/>
  <c r="F414" i="9"/>
  <c r="H414" i="9"/>
  <c r="G402" i="9"/>
  <c r="F402" i="9"/>
  <c r="H402" i="9"/>
  <c r="G390" i="9"/>
  <c r="F390" i="9"/>
  <c r="H390" i="9"/>
  <c r="H338" i="9"/>
  <c r="G338" i="9"/>
  <c r="F338" i="9"/>
  <c r="H326" i="9"/>
  <c r="G326" i="9"/>
  <c r="F326" i="9"/>
  <c r="H314" i="9"/>
  <c r="G314" i="9"/>
  <c r="F314" i="9"/>
  <c r="H86" i="9"/>
  <c r="G86" i="9"/>
  <c r="F86" i="9"/>
  <c r="G4605" i="9"/>
  <c r="H4605" i="9"/>
  <c r="F4605" i="9"/>
  <c r="H4012" i="9"/>
  <c r="G4012" i="9"/>
  <c r="F4012" i="9"/>
  <c r="K3939" i="9"/>
  <c r="J3939" i="9"/>
  <c r="I3939" i="9"/>
  <c r="K3837" i="9"/>
  <c r="J3837" i="9"/>
  <c r="I3837" i="9"/>
  <c r="K3777" i="9"/>
  <c r="J3777" i="9"/>
  <c r="I3777" i="9"/>
  <c r="H3663" i="9"/>
  <c r="G3663" i="9"/>
  <c r="F3663" i="9"/>
  <c r="H3615" i="9"/>
  <c r="G3615" i="9"/>
  <c r="F3615" i="9"/>
  <c r="H3591" i="9"/>
  <c r="G3591" i="9"/>
  <c r="F3591" i="9"/>
  <c r="H3567" i="9"/>
  <c r="G3567" i="9"/>
  <c r="F3567" i="9"/>
  <c r="H3543" i="9"/>
  <c r="G3543" i="9"/>
  <c r="F3543" i="9"/>
  <c r="H3519" i="9"/>
  <c r="G3519" i="9"/>
  <c r="F3519" i="9"/>
  <c r="K3495" i="9"/>
  <c r="J3495" i="9"/>
  <c r="I3495" i="9"/>
  <c r="H3471" i="9"/>
  <c r="G3471" i="9"/>
  <c r="F3471" i="9"/>
  <c r="H3447" i="9"/>
  <c r="G3447" i="9"/>
  <c r="F3447" i="9"/>
  <c r="H3423" i="9"/>
  <c r="G3423" i="9"/>
  <c r="F3423" i="9"/>
  <c r="H3399" i="9"/>
  <c r="G3399" i="9"/>
  <c r="F3399" i="9"/>
  <c r="H3375" i="9"/>
  <c r="G3375" i="9"/>
  <c r="F3375" i="9"/>
  <c r="H3231" i="9"/>
  <c r="G3231" i="9"/>
  <c r="F3231" i="9"/>
  <c r="K2775" i="9"/>
  <c r="J2775" i="9"/>
  <c r="I2775" i="9"/>
  <c r="H2751" i="9"/>
  <c r="G2751" i="9"/>
  <c r="F2751" i="9"/>
  <c r="H2727" i="9"/>
  <c r="G2727" i="9"/>
  <c r="F2727" i="9"/>
  <c r="H2703" i="9"/>
  <c r="G2703" i="9"/>
  <c r="F2703" i="9"/>
  <c r="H2679" i="9"/>
  <c r="G2679" i="9"/>
  <c r="F2679" i="9"/>
  <c r="H2655" i="9"/>
  <c r="G2655" i="9"/>
  <c r="F2655" i="9"/>
  <c r="H2631" i="9"/>
  <c r="G2631" i="9"/>
  <c r="F2631" i="9"/>
  <c r="H2607" i="9"/>
  <c r="G2607" i="9"/>
  <c r="F2607" i="9"/>
  <c r="K2583" i="9"/>
  <c r="J2583" i="9"/>
  <c r="I2583" i="9"/>
  <c r="H2559" i="9"/>
  <c r="G2559" i="9"/>
  <c r="F2559" i="9"/>
  <c r="H2535" i="9"/>
  <c r="G2535" i="9"/>
  <c r="F2535" i="9"/>
  <c r="K2511" i="9"/>
  <c r="I2511" i="9"/>
  <c r="J2511" i="9"/>
  <c r="I2487" i="9"/>
  <c r="K2487" i="9"/>
  <c r="J2487" i="9"/>
  <c r="J2027" i="9"/>
  <c r="I2027" i="9"/>
  <c r="K2027" i="9"/>
  <c r="H1992" i="9"/>
  <c r="G1992" i="9"/>
  <c r="F1992" i="9"/>
  <c r="K1953" i="9"/>
  <c r="J1953" i="9"/>
  <c r="I1953" i="9"/>
  <c r="J1883" i="9"/>
  <c r="I1883" i="9"/>
  <c r="K1883" i="9"/>
  <c r="H1848" i="9"/>
  <c r="G1848" i="9"/>
  <c r="F1848" i="9"/>
  <c r="K1809" i="9"/>
  <c r="J1809" i="9"/>
  <c r="I1809" i="9"/>
  <c r="K1704" i="9"/>
  <c r="J1704" i="9"/>
  <c r="I1704" i="9"/>
  <c r="K4337" i="9"/>
  <c r="J4337" i="9"/>
  <c r="I4337" i="9"/>
  <c r="K3739" i="9"/>
  <c r="J3739" i="9"/>
  <c r="I3739" i="9"/>
  <c r="H3682" i="9"/>
  <c r="G3682" i="9"/>
  <c r="F3682" i="9"/>
  <c r="H3322" i="9"/>
  <c r="G3322" i="9"/>
  <c r="F3322" i="9"/>
  <c r="H3250" i="9"/>
  <c r="G3250" i="9"/>
  <c r="F3250" i="9"/>
  <c r="H2458" i="9"/>
  <c r="G2458" i="9"/>
  <c r="F2458" i="9"/>
  <c r="K2386" i="9"/>
  <c r="J2386" i="9"/>
  <c r="I2386" i="9"/>
  <c r="H2314" i="9"/>
  <c r="G2314" i="9"/>
  <c r="F2314" i="9"/>
  <c r="H2242" i="9"/>
  <c r="F2242" i="9"/>
  <c r="G2242" i="9"/>
  <c r="H2170" i="9"/>
  <c r="G2170" i="9"/>
  <c r="F2170" i="9"/>
  <c r="H2098" i="9"/>
  <c r="G2098" i="9"/>
  <c r="F2098" i="9"/>
  <c r="G1922" i="9"/>
  <c r="F1922" i="9"/>
  <c r="H1922" i="9"/>
  <c r="K1778" i="9"/>
  <c r="J1778" i="9"/>
  <c r="I1778" i="9"/>
  <c r="H1743" i="9"/>
  <c r="G1743" i="9"/>
  <c r="F1743" i="9"/>
  <c r="H1708" i="9"/>
  <c r="G1708" i="9"/>
  <c r="F1708" i="9"/>
  <c r="H1669" i="9"/>
  <c r="G1669" i="9"/>
  <c r="F1669" i="9"/>
  <c r="K1634" i="9"/>
  <c r="J1634" i="9"/>
  <c r="I1634" i="9"/>
  <c r="H1599" i="9"/>
  <c r="G1599" i="9"/>
  <c r="F1599" i="9"/>
  <c r="K789" i="9"/>
  <c r="J789" i="9"/>
  <c r="I789" i="9"/>
  <c r="K745" i="9"/>
  <c r="J745" i="9"/>
  <c r="I745" i="9"/>
  <c r="J725" i="9"/>
  <c r="I725" i="9"/>
  <c r="K725" i="9"/>
  <c r="K673" i="9"/>
  <c r="J673" i="9"/>
  <c r="I673" i="9"/>
  <c r="J653" i="9"/>
  <c r="I653" i="9"/>
  <c r="K653" i="9"/>
  <c r="K633" i="9"/>
  <c r="J633" i="9"/>
  <c r="I633" i="9"/>
  <c r="K609" i="9"/>
  <c r="J609" i="9"/>
  <c r="I609" i="9"/>
  <c r="K585" i="9"/>
  <c r="J585" i="9"/>
  <c r="I585" i="9"/>
  <c r="J569" i="9"/>
  <c r="I569" i="9"/>
  <c r="K569" i="9"/>
  <c r="K513" i="9"/>
  <c r="J513" i="9"/>
  <c r="I513" i="9"/>
  <c r="J497" i="9"/>
  <c r="I497" i="9"/>
  <c r="K497" i="9"/>
  <c r="I453" i="9"/>
  <c r="K453" i="9"/>
  <c r="J453" i="9"/>
  <c r="K441" i="9"/>
  <c r="J441" i="9"/>
  <c r="I441" i="9"/>
  <c r="I429" i="9"/>
  <c r="K429" i="9"/>
  <c r="J429" i="9"/>
  <c r="K417" i="9"/>
  <c r="J417" i="9"/>
  <c r="I417" i="9"/>
  <c r="I405" i="9"/>
  <c r="K405" i="9"/>
  <c r="J405" i="9"/>
  <c r="K393" i="9"/>
  <c r="J393" i="9"/>
  <c r="I393" i="9"/>
  <c r="K313" i="9"/>
  <c r="J313" i="9"/>
  <c r="I313" i="9"/>
  <c r="K289" i="9"/>
  <c r="J289" i="9"/>
  <c r="I289" i="9"/>
  <c r="K229" i="9"/>
  <c r="J229" i="9"/>
  <c r="I229" i="9"/>
  <c r="K109" i="9"/>
  <c r="J109" i="9"/>
  <c r="I109" i="9"/>
  <c r="K37" i="9"/>
  <c r="J37" i="9"/>
  <c r="I37" i="9"/>
  <c r="H5" i="9"/>
  <c r="G5" i="9"/>
  <c r="F5" i="9"/>
  <c r="G5062" i="9"/>
  <c r="F5062" i="9"/>
  <c r="H5062" i="9"/>
  <c r="G4918" i="9"/>
  <c r="F4918" i="9"/>
  <c r="H4918" i="9"/>
  <c r="H4278" i="9"/>
  <c r="G4278" i="9"/>
  <c r="F4278" i="9"/>
  <c r="H3964" i="9"/>
  <c r="G3964" i="9"/>
  <c r="F3964" i="9"/>
  <c r="H3886" i="9"/>
  <c r="G3886" i="9"/>
  <c r="F3886" i="9"/>
  <c r="H3836" i="9"/>
  <c r="G3836" i="9"/>
  <c r="F3836" i="9"/>
  <c r="J3360" i="9"/>
  <c r="I3360" i="9"/>
  <c r="K3360" i="9"/>
  <c r="F2544" i="9"/>
  <c r="H2544" i="9"/>
  <c r="G2544" i="9"/>
  <c r="F2520" i="9"/>
  <c r="H2520" i="9"/>
  <c r="G2520" i="9"/>
  <c r="H2496" i="9"/>
  <c r="G2496" i="9"/>
  <c r="F2496" i="9"/>
  <c r="H2472" i="9"/>
  <c r="G2472" i="9"/>
  <c r="F2472" i="9"/>
  <c r="H2448" i="9"/>
  <c r="G2448" i="9"/>
  <c r="F2448" i="9"/>
  <c r="H2424" i="9"/>
  <c r="G2424" i="9"/>
  <c r="F2424" i="9"/>
  <c r="K2376" i="9"/>
  <c r="J2376" i="9"/>
  <c r="I2376" i="9"/>
  <c r="H2328" i="9"/>
  <c r="G2328" i="9"/>
  <c r="F2328" i="9"/>
  <c r="K2304" i="9"/>
  <c r="J2304" i="9"/>
  <c r="I2304" i="9"/>
  <c r="H2280" i="9"/>
  <c r="G2280" i="9"/>
  <c r="F2280" i="9"/>
  <c r="K2256" i="9"/>
  <c r="J2256" i="9"/>
  <c r="I2256" i="9"/>
  <c r="H2232" i="9"/>
  <c r="G2232" i="9"/>
  <c r="F2232" i="9"/>
  <c r="K2208" i="9"/>
  <c r="J2208" i="9"/>
  <c r="I2208" i="9"/>
  <c r="H2184" i="9"/>
  <c r="G2184" i="9"/>
  <c r="F2184" i="9"/>
  <c r="K2160" i="9"/>
  <c r="J2160" i="9"/>
  <c r="I2160" i="9"/>
  <c r="H2136" i="9"/>
  <c r="G2136" i="9"/>
  <c r="F2136" i="9"/>
  <c r="K2112" i="9"/>
  <c r="J2112" i="9"/>
  <c r="I2112" i="9"/>
  <c r="H2088" i="9"/>
  <c r="G2088" i="9"/>
  <c r="F2088" i="9"/>
  <c r="H2064" i="9"/>
  <c r="G2064" i="9"/>
  <c r="F2064" i="9"/>
  <c r="H2040" i="9"/>
  <c r="G2040" i="9"/>
  <c r="F2040" i="9"/>
  <c r="J2009" i="9"/>
  <c r="I2009" i="9"/>
  <c r="K2009" i="9"/>
  <c r="J1865" i="9"/>
  <c r="I1865" i="9"/>
  <c r="K1865" i="9"/>
  <c r="G1830" i="9"/>
  <c r="F1830" i="9"/>
  <c r="H1830" i="9"/>
  <c r="K825" i="9"/>
  <c r="J825" i="9"/>
  <c r="I825" i="9"/>
  <c r="K813" i="9"/>
  <c r="J813" i="9"/>
  <c r="I813" i="9"/>
  <c r="K777" i="9"/>
  <c r="J777" i="9"/>
  <c r="I777" i="9"/>
  <c r="K729" i="9"/>
  <c r="J729" i="9"/>
  <c r="I729" i="9"/>
  <c r="K709" i="9"/>
  <c r="J709" i="9"/>
  <c r="I709" i="9"/>
  <c r="J629" i="9"/>
  <c r="I629" i="9"/>
  <c r="K629" i="9"/>
  <c r="K601" i="9"/>
  <c r="J601" i="9"/>
  <c r="I601" i="9"/>
  <c r="K573" i="9"/>
  <c r="J573" i="9"/>
  <c r="I573" i="9"/>
  <c r="J533" i="9"/>
  <c r="I533" i="9"/>
  <c r="K533" i="9"/>
  <c r="J485" i="9"/>
  <c r="I485" i="9"/>
  <c r="K485" i="9"/>
  <c r="K385" i="9"/>
  <c r="J385" i="9"/>
  <c r="I385" i="9"/>
  <c r="K193" i="9"/>
  <c r="J193" i="9"/>
  <c r="I193" i="9"/>
  <c r="K169" i="9"/>
  <c r="J169" i="9"/>
  <c r="I169" i="9"/>
  <c r="K121" i="9"/>
  <c r="J121" i="9"/>
  <c r="I121" i="9"/>
  <c r="K85" i="9"/>
  <c r="J85" i="9"/>
  <c r="I85" i="9"/>
  <c r="G4557" i="9"/>
  <c r="H4557" i="9"/>
  <c r="F4557" i="9"/>
  <c r="H3752" i="9"/>
  <c r="G3752" i="9"/>
  <c r="F3752" i="9"/>
  <c r="K3614" i="9"/>
  <c r="J3614" i="9"/>
  <c r="I3614" i="9"/>
  <c r="K3542" i="9"/>
  <c r="J3542" i="9"/>
  <c r="I3542" i="9"/>
  <c r="K3470" i="9"/>
  <c r="J3470" i="9"/>
  <c r="I3470" i="9"/>
  <c r="K3398" i="9"/>
  <c r="J3398" i="9"/>
  <c r="I3398" i="9"/>
  <c r="K2750" i="9"/>
  <c r="J2750" i="9"/>
  <c r="I2750" i="9"/>
  <c r="K2678" i="9"/>
  <c r="J2678" i="9"/>
  <c r="I2678" i="9"/>
  <c r="K2606" i="9"/>
  <c r="J2606" i="9"/>
  <c r="I2606" i="9"/>
  <c r="K2534" i="9"/>
  <c r="J2534" i="9"/>
  <c r="I2534" i="9"/>
  <c r="J1991" i="9"/>
  <c r="I1991" i="9"/>
  <c r="K1991" i="9"/>
  <c r="H1956" i="9"/>
  <c r="G1956" i="9"/>
  <c r="F1956" i="9"/>
  <c r="K1917" i="9"/>
  <c r="J1917" i="9"/>
  <c r="I1917" i="9"/>
  <c r="J1847" i="9"/>
  <c r="I1847" i="9"/>
  <c r="K1847" i="9"/>
  <c r="K1668" i="9"/>
  <c r="J1668" i="9"/>
  <c r="I1668" i="9"/>
  <c r="G1559" i="9"/>
  <c r="F1559" i="9"/>
  <c r="H1559" i="9"/>
  <c r="H6515" i="9"/>
  <c r="G6515" i="9"/>
  <c r="F6515" i="9"/>
  <c r="F5509" i="9"/>
  <c r="H5509" i="9"/>
  <c r="G5509" i="9"/>
  <c r="H6421" i="9"/>
  <c r="G6421" i="9"/>
  <c r="F6421" i="9"/>
  <c r="H4799" i="9"/>
  <c r="G4799" i="9"/>
  <c r="F4799" i="9"/>
  <c r="H4724" i="9"/>
  <c r="G4724" i="9"/>
  <c r="F4724" i="9"/>
  <c r="H4196" i="9"/>
  <c r="G4196" i="9"/>
  <c r="F4196" i="9"/>
  <c r="H6006" i="9"/>
  <c r="G6006" i="9"/>
  <c r="F6006" i="9"/>
  <c r="H5246" i="9"/>
  <c r="G5246" i="9"/>
  <c r="F5246" i="9"/>
  <c r="H4526" i="9"/>
  <c r="G4526" i="9"/>
  <c r="F4526" i="9"/>
  <c r="J5507" i="9"/>
  <c r="K5507" i="9"/>
  <c r="I5507" i="9"/>
  <c r="F5027" i="9"/>
  <c r="H5027" i="9"/>
  <c r="G5027" i="9"/>
  <c r="K6299" i="9"/>
  <c r="J6299" i="9"/>
  <c r="I6299" i="9"/>
  <c r="K6119" i="9"/>
  <c r="J6119" i="9"/>
  <c r="I6119" i="9"/>
  <c r="K4760" i="9"/>
  <c r="J4760" i="9"/>
  <c r="I4760" i="9"/>
  <c r="H3887" i="9"/>
  <c r="G3887" i="9"/>
  <c r="F3887" i="9"/>
  <c r="K5752" i="9"/>
  <c r="J5752" i="9"/>
  <c r="I5752" i="9"/>
  <c r="G5367" i="9"/>
  <c r="F5367" i="9"/>
  <c r="H5367" i="9"/>
  <c r="F5457" i="9"/>
  <c r="H5457" i="9"/>
  <c r="G5457" i="9"/>
  <c r="K5307" i="9"/>
  <c r="J5307" i="9"/>
  <c r="I5307" i="9"/>
  <c r="H4875" i="9"/>
  <c r="G4875" i="9"/>
  <c r="F4875" i="9"/>
  <c r="G6272" i="9"/>
  <c r="H6272" i="9"/>
  <c r="F6272" i="9"/>
  <c r="G6074" i="9"/>
  <c r="F6074" i="9"/>
  <c r="H6074" i="9"/>
  <c r="H5696" i="9"/>
  <c r="G5696" i="9"/>
  <c r="F5696" i="9"/>
  <c r="K4609" i="9"/>
  <c r="J4609" i="9"/>
  <c r="I4609" i="9"/>
  <c r="H3460" i="9"/>
  <c r="G3460" i="9"/>
  <c r="F3460" i="9"/>
  <c r="H2764" i="9"/>
  <c r="G2764" i="9"/>
  <c r="F2764" i="9"/>
  <c r="H2524" i="9"/>
  <c r="G2524" i="9"/>
  <c r="F2524" i="9"/>
  <c r="H2017" i="9"/>
  <c r="G2017" i="9"/>
  <c r="F2017" i="9"/>
  <c r="H1624" i="9"/>
  <c r="G1624" i="9"/>
  <c r="F1624" i="9"/>
  <c r="K4620" i="9"/>
  <c r="J4620" i="9"/>
  <c r="I4620" i="9"/>
  <c r="K1440" i="9"/>
  <c r="J1440" i="9"/>
  <c r="I1440" i="9"/>
  <c r="K1056" i="9"/>
  <c r="J1056" i="9"/>
  <c r="I1056" i="9"/>
  <c r="K600" i="9"/>
  <c r="I600" i="9"/>
  <c r="J600" i="9"/>
  <c r="K180" i="9"/>
  <c r="J180" i="9"/>
  <c r="I180" i="9"/>
  <c r="K3507" i="9"/>
  <c r="J3507" i="9"/>
  <c r="I3507" i="9"/>
  <c r="H2931" i="9"/>
  <c r="G2931" i="9"/>
  <c r="F2931" i="9"/>
  <c r="K2763" i="9"/>
  <c r="J2763" i="9"/>
  <c r="I2763" i="9"/>
  <c r="K2547" i="9"/>
  <c r="J2547" i="9"/>
  <c r="I2547" i="9"/>
  <c r="F2830" i="9"/>
  <c r="H2830" i="9"/>
  <c r="G2830" i="9"/>
  <c r="K2110" i="9"/>
  <c r="J2110" i="9"/>
  <c r="I2110" i="9"/>
  <c r="K1719" i="9"/>
  <c r="J1719" i="9"/>
  <c r="I1719" i="9"/>
  <c r="K1283" i="9"/>
  <c r="J1283" i="9"/>
  <c r="I1283" i="9"/>
  <c r="K1187" i="9"/>
  <c r="J1187" i="9"/>
  <c r="I1187" i="9"/>
  <c r="K1067" i="9"/>
  <c r="J1067" i="9"/>
  <c r="I1067" i="9"/>
  <c r="K959" i="9"/>
  <c r="J959" i="9"/>
  <c r="I959" i="9"/>
  <c r="K875" i="9"/>
  <c r="J875" i="9"/>
  <c r="I875" i="9"/>
  <c r="H243" i="9"/>
  <c r="G243" i="9"/>
  <c r="F243" i="9"/>
  <c r="H27" i="9"/>
  <c r="G27" i="9"/>
  <c r="F27" i="9"/>
  <c r="H3362" i="9"/>
  <c r="G3362" i="9"/>
  <c r="F3362" i="9"/>
  <c r="C3362" i="9" s="1"/>
  <c r="K1980" i="9"/>
  <c r="I1980" i="9"/>
  <c r="J1980" i="9"/>
  <c r="H3568" i="9"/>
  <c r="G3568" i="9"/>
  <c r="F3568" i="9"/>
  <c r="K2920" i="9"/>
  <c r="J2920" i="9"/>
  <c r="I2920" i="9"/>
  <c r="H2728" i="9"/>
  <c r="G2728" i="9"/>
  <c r="F2728" i="9"/>
  <c r="H1849" i="9"/>
  <c r="G1849" i="9"/>
  <c r="F1849" i="9"/>
  <c r="K1561" i="9"/>
  <c r="J1561" i="9"/>
  <c r="I1561" i="9"/>
  <c r="H4646" i="9"/>
  <c r="G4646" i="9"/>
  <c r="F4646" i="9"/>
  <c r="H2718" i="9"/>
  <c r="G2718" i="9"/>
  <c r="F2718" i="9"/>
  <c r="K802" i="9"/>
  <c r="J802" i="9"/>
  <c r="I802" i="9"/>
  <c r="H682" i="9"/>
  <c r="G682" i="9"/>
  <c r="F682" i="9"/>
  <c r="H550" i="9"/>
  <c r="G550" i="9"/>
  <c r="F550" i="9"/>
  <c r="H406" i="9"/>
  <c r="G406" i="9"/>
  <c r="F406" i="9"/>
  <c r="K3812" i="9"/>
  <c r="J3812" i="9"/>
  <c r="I3812" i="9"/>
  <c r="K3284" i="9"/>
  <c r="J3284" i="9"/>
  <c r="I3284" i="9"/>
  <c r="K3020" i="9"/>
  <c r="J3020" i="9"/>
  <c r="I3020" i="9"/>
  <c r="G3202" i="9"/>
  <c r="F3202" i="9"/>
  <c r="H3202" i="9"/>
  <c r="K1573" i="9"/>
  <c r="J1573" i="9"/>
  <c r="I1573" i="9"/>
  <c r="H793" i="9"/>
  <c r="G793" i="9"/>
  <c r="F793" i="9"/>
  <c r="J4822" i="9"/>
  <c r="K4822" i="9"/>
  <c r="I4822" i="9"/>
  <c r="H3461" i="9"/>
  <c r="G3461" i="9"/>
  <c r="F3461" i="9"/>
  <c r="H2717" i="9"/>
  <c r="G2717" i="9"/>
  <c r="F2717" i="9"/>
  <c r="H2549" i="9"/>
  <c r="G2549" i="9"/>
  <c r="F2549" i="9"/>
  <c r="K1429" i="9"/>
  <c r="J1429" i="9"/>
  <c r="I1429" i="9"/>
  <c r="K1309" i="9"/>
  <c r="J1309" i="9"/>
  <c r="I1309" i="9"/>
  <c r="K1201" i="9"/>
  <c r="J1201" i="9"/>
  <c r="I1201" i="9"/>
  <c r="H1093" i="9"/>
  <c r="G1093" i="9"/>
  <c r="F1093" i="9"/>
  <c r="H997" i="9"/>
  <c r="G997" i="9"/>
  <c r="F997" i="9"/>
  <c r="H3206" i="9"/>
  <c r="G3206" i="9"/>
  <c r="F3206" i="9"/>
  <c r="H2270" i="9"/>
  <c r="G2270" i="9"/>
  <c r="F2270" i="9"/>
  <c r="K6523" i="9"/>
  <c r="J6523" i="9"/>
  <c r="I6523" i="9"/>
  <c r="K6511" i="9"/>
  <c r="J6511" i="9"/>
  <c r="I6511" i="9"/>
  <c r="F6499" i="9"/>
  <c r="H6499" i="9"/>
  <c r="G6499" i="9"/>
  <c r="K6487" i="9"/>
  <c r="J6487" i="9"/>
  <c r="I6487" i="9"/>
  <c r="K6403" i="9"/>
  <c r="J6403" i="9"/>
  <c r="I6403" i="9"/>
  <c r="K6391" i="9"/>
  <c r="J6391" i="9"/>
  <c r="I6391" i="9"/>
  <c r="H6379" i="9"/>
  <c r="F6379" i="9"/>
  <c r="G6379" i="9"/>
  <c r="H6367" i="9"/>
  <c r="F6367" i="9"/>
  <c r="G6367" i="9"/>
  <c r="H6355" i="9"/>
  <c r="G6355" i="9"/>
  <c r="F6355" i="9"/>
  <c r="K6600" i="9"/>
  <c r="J6600" i="9"/>
  <c r="I6600" i="9"/>
  <c r="K6588" i="9"/>
  <c r="J6588" i="9"/>
  <c r="I6588" i="9"/>
  <c r="K6576" i="9"/>
  <c r="J6576" i="9"/>
  <c r="I6576" i="9"/>
  <c r="H6564" i="9"/>
  <c r="G6564" i="9"/>
  <c r="F6564" i="9"/>
  <c r="K6552" i="9"/>
  <c r="J6552" i="9"/>
  <c r="I6552" i="9"/>
  <c r="H6540" i="9"/>
  <c r="G6540" i="9"/>
  <c r="F6540" i="9"/>
  <c r="K6444" i="9"/>
  <c r="J6444" i="9"/>
  <c r="I6444" i="9"/>
  <c r="J6432" i="9"/>
  <c r="I6432" i="9"/>
  <c r="K6432" i="9"/>
  <c r="H6420" i="9"/>
  <c r="G6420" i="9"/>
  <c r="F6420" i="9"/>
  <c r="K5669" i="9"/>
  <c r="J5669" i="9"/>
  <c r="I5669" i="9"/>
  <c r="J5525" i="9"/>
  <c r="I5525" i="9"/>
  <c r="K5525" i="9"/>
  <c r="K5429" i="9"/>
  <c r="J5429" i="9"/>
  <c r="I5429" i="9"/>
  <c r="H5381" i="9"/>
  <c r="G5381" i="9"/>
  <c r="F5381" i="9"/>
  <c r="K5333" i="9"/>
  <c r="I5333" i="9"/>
  <c r="J5333" i="9"/>
  <c r="H5306" i="9"/>
  <c r="G5306" i="9"/>
  <c r="F5306" i="9"/>
  <c r="H5285" i="9"/>
  <c r="G5285" i="9"/>
  <c r="F5285" i="9"/>
  <c r="H5258" i="9"/>
  <c r="G5258" i="9"/>
  <c r="F5258" i="9"/>
  <c r="H5210" i="9"/>
  <c r="G5210" i="9"/>
  <c r="F5210" i="9"/>
  <c r="H5162" i="9"/>
  <c r="G5162" i="9"/>
  <c r="F5162" i="9"/>
  <c r="H5114" i="9"/>
  <c r="G5114" i="9"/>
  <c r="F5114" i="9"/>
  <c r="K5066" i="9"/>
  <c r="J5066" i="9"/>
  <c r="I5066" i="9"/>
  <c r="K5018" i="9"/>
  <c r="J5018" i="9"/>
  <c r="I5018" i="9"/>
  <c r="K4970" i="9"/>
  <c r="J4970" i="9"/>
  <c r="I4970" i="9"/>
  <c r="K4922" i="9"/>
  <c r="J4922" i="9"/>
  <c r="I4922" i="9"/>
  <c r="K4874" i="9"/>
  <c r="J4874" i="9"/>
  <c r="I4874" i="9"/>
  <c r="K4826" i="9"/>
  <c r="J4826" i="9"/>
  <c r="I4826" i="9"/>
  <c r="H4682" i="9"/>
  <c r="G4682" i="9"/>
  <c r="F4682" i="9"/>
  <c r="H4634" i="9"/>
  <c r="G4634" i="9"/>
  <c r="F4634" i="9"/>
  <c r="H4586" i="9"/>
  <c r="G4586" i="9"/>
  <c r="F4586" i="9"/>
  <c r="H4538" i="9"/>
  <c r="G4538" i="9"/>
  <c r="F4538" i="9"/>
  <c r="H4490" i="9"/>
  <c r="G4490" i="9"/>
  <c r="F4490" i="9"/>
  <c r="H4442" i="9"/>
  <c r="G4442" i="9"/>
  <c r="F4442" i="9"/>
  <c r="H6553" i="9"/>
  <c r="G6553" i="9"/>
  <c r="F6553" i="9"/>
  <c r="H6481" i="9"/>
  <c r="G6481" i="9"/>
  <c r="F6481" i="9"/>
  <c r="H6445" i="9"/>
  <c r="F6445" i="9"/>
  <c r="G6445" i="9"/>
  <c r="K6307" i="9"/>
  <c r="J6307" i="9"/>
  <c r="I6307" i="9"/>
  <c r="K6271" i="9"/>
  <c r="J6271" i="9"/>
  <c r="I6271" i="9"/>
  <c r="K6235" i="9"/>
  <c r="J6235" i="9"/>
  <c r="I6235" i="9"/>
  <c r="K6199" i="9"/>
  <c r="J6199" i="9"/>
  <c r="I6199" i="9"/>
  <c r="K6163" i="9"/>
  <c r="J6163" i="9"/>
  <c r="I6163" i="9"/>
  <c r="K6109" i="9"/>
  <c r="J6109" i="9"/>
  <c r="I6109" i="9"/>
  <c r="K6073" i="9"/>
  <c r="J6073" i="9"/>
  <c r="I6073" i="9"/>
  <c r="K6037" i="9"/>
  <c r="J6037" i="9"/>
  <c r="I6037" i="9"/>
  <c r="K5983" i="9"/>
  <c r="J5983" i="9"/>
  <c r="I5983" i="9"/>
  <c r="K5947" i="9"/>
  <c r="J5947" i="9"/>
  <c r="I5947" i="9"/>
  <c r="K5911" i="9"/>
  <c r="J5911" i="9"/>
  <c r="I5911" i="9"/>
  <c r="H5821" i="9"/>
  <c r="G5821" i="9"/>
  <c r="F5821" i="9"/>
  <c r="H5785" i="9"/>
  <c r="G5785" i="9"/>
  <c r="F5785" i="9"/>
  <c r="H5695" i="9"/>
  <c r="G5695" i="9"/>
  <c r="F5695" i="9"/>
  <c r="H5647" i="9"/>
  <c r="G5647" i="9"/>
  <c r="F5647" i="9"/>
  <c r="H5599" i="9"/>
  <c r="G5599" i="9"/>
  <c r="F5599" i="9"/>
  <c r="K5551" i="9"/>
  <c r="J5551" i="9"/>
  <c r="I5551" i="9"/>
  <c r="H5503" i="9"/>
  <c r="F5503" i="9"/>
  <c r="G5503" i="9"/>
  <c r="K5455" i="9"/>
  <c r="J5455" i="9"/>
  <c r="I5455" i="9"/>
  <c r="H5407" i="9"/>
  <c r="G5407" i="9"/>
  <c r="F5407" i="9"/>
  <c r="H5359" i="9"/>
  <c r="G5359" i="9"/>
  <c r="F5359" i="9"/>
  <c r="H5311" i="9"/>
  <c r="G5311" i="9"/>
  <c r="F5311" i="9"/>
  <c r="K4207" i="9"/>
  <c r="I4207" i="9"/>
  <c r="J4207" i="9"/>
  <c r="K5668" i="9"/>
  <c r="J5668" i="9"/>
  <c r="I5668" i="9"/>
  <c r="H5524" i="9"/>
  <c r="F5524" i="9"/>
  <c r="G5524" i="9"/>
  <c r="H5380" i="9"/>
  <c r="F5380" i="9"/>
  <c r="G5380" i="9"/>
  <c r="H5284" i="9"/>
  <c r="G5284" i="9"/>
  <c r="F5284" i="9"/>
  <c r="H5236" i="9"/>
  <c r="G5236" i="9"/>
  <c r="F5236" i="9"/>
  <c r="H4181" i="9"/>
  <c r="G4181" i="9"/>
  <c r="F4181" i="9"/>
  <c r="H4109" i="9"/>
  <c r="G4109" i="9"/>
  <c r="F4109" i="9"/>
  <c r="H4037" i="9"/>
  <c r="G4037" i="9"/>
  <c r="F4037" i="9"/>
  <c r="H3965" i="9"/>
  <c r="G3965" i="9"/>
  <c r="F3965" i="9"/>
  <c r="G6354" i="9"/>
  <c r="F6354" i="9"/>
  <c r="H6354" i="9"/>
  <c r="H6018" i="9"/>
  <c r="G6018" i="9"/>
  <c r="F6018" i="9"/>
  <c r="H5856" i="9"/>
  <c r="G5856" i="9"/>
  <c r="F5856" i="9"/>
  <c r="K5820" i="9"/>
  <c r="J5820" i="9"/>
  <c r="I5820" i="9"/>
  <c r="H5784" i="9"/>
  <c r="G5784" i="9"/>
  <c r="F5784" i="9"/>
  <c r="K5766" i="9"/>
  <c r="J5766" i="9"/>
  <c r="I5766" i="9"/>
  <c r="K5730" i="9"/>
  <c r="J5730" i="9"/>
  <c r="I5730" i="9"/>
  <c r="K5694" i="9"/>
  <c r="J5694" i="9"/>
  <c r="I5694" i="9"/>
  <c r="K5646" i="9"/>
  <c r="J5646" i="9"/>
  <c r="I5646" i="9"/>
  <c r="K5598" i="9"/>
  <c r="J5598" i="9"/>
  <c r="I5598" i="9"/>
  <c r="K5577" i="9"/>
  <c r="J5577" i="9"/>
  <c r="I5577" i="9"/>
  <c r="K5550" i="9"/>
  <c r="I5550" i="9"/>
  <c r="J5550" i="9"/>
  <c r="I5502" i="9"/>
  <c r="K5502" i="9"/>
  <c r="J5502" i="9"/>
  <c r="I5454" i="9"/>
  <c r="K5454" i="9"/>
  <c r="J5454" i="9"/>
  <c r="H5358" i="9"/>
  <c r="G5358" i="9"/>
  <c r="F5358" i="9"/>
  <c r="K5310" i="9"/>
  <c r="J5310" i="9"/>
  <c r="I5310" i="9"/>
  <c r="H4809" i="9"/>
  <c r="G4809" i="9"/>
  <c r="F4809" i="9"/>
  <c r="K4761" i="9"/>
  <c r="J4761" i="9"/>
  <c r="I4761" i="9"/>
  <c r="K4713" i="9"/>
  <c r="J4713" i="9"/>
  <c r="I4713" i="9"/>
  <c r="K4665" i="9"/>
  <c r="J4665" i="9"/>
  <c r="I4665" i="9"/>
  <c r="K4617" i="9"/>
  <c r="J4617" i="9"/>
  <c r="I4617" i="9"/>
  <c r="K4569" i="9"/>
  <c r="J4569" i="9"/>
  <c r="I4569" i="9"/>
  <c r="K4521" i="9"/>
  <c r="J4521" i="9"/>
  <c r="I4521" i="9"/>
  <c r="K4473" i="9"/>
  <c r="J4473" i="9"/>
  <c r="I4473" i="9"/>
  <c r="G4425" i="9"/>
  <c r="H4425" i="9"/>
  <c r="F4425" i="9"/>
  <c r="K4398" i="9"/>
  <c r="J4398" i="9"/>
  <c r="I4398" i="9"/>
  <c r="H4377" i="9"/>
  <c r="G4377" i="9"/>
  <c r="F4377" i="9"/>
  <c r="K4350" i="9"/>
  <c r="J4350" i="9"/>
  <c r="I4350" i="9"/>
  <c r="H4329" i="9"/>
  <c r="G4329" i="9"/>
  <c r="F4329" i="9"/>
  <c r="K4302" i="9"/>
  <c r="J4302" i="9"/>
  <c r="I4302" i="9"/>
  <c r="H4281" i="9"/>
  <c r="G4281" i="9"/>
  <c r="F4281" i="9"/>
  <c r="K4254" i="9"/>
  <c r="J4254" i="9"/>
  <c r="I4254" i="9"/>
  <c r="H4233" i="9"/>
  <c r="G4233" i="9"/>
  <c r="F4233" i="9"/>
  <c r="J4206" i="9"/>
  <c r="I4206" i="9"/>
  <c r="K4206" i="9"/>
  <c r="H4171" i="9"/>
  <c r="G4171" i="9"/>
  <c r="F4171" i="9"/>
  <c r="H4099" i="9"/>
  <c r="G4099" i="9"/>
  <c r="F4099" i="9"/>
  <c r="H5683" i="9"/>
  <c r="G5683" i="9"/>
  <c r="F5683" i="9"/>
  <c r="K5635" i="9"/>
  <c r="J5635" i="9"/>
  <c r="I5635" i="9"/>
  <c r="H5587" i="9"/>
  <c r="F5587" i="9"/>
  <c r="G5587" i="9"/>
  <c r="H5539" i="9"/>
  <c r="G5539" i="9"/>
  <c r="F5539" i="9"/>
  <c r="H5491" i="9"/>
  <c r="F5491" i="9"/>
  <c r="G5491" i="9"/>
  <c r="H5347" i="9"/>
  <c r="F5347" i="9"/>
  <c r="G5347" i="9"/>
  <c r="H4723" i="9"/>
  <c r="G4723" i="9"/>
  <c r="F4723" i="9"/>
  <c r="H4195" i="9"/>
  <c r="G4195" i="9"/>
  <c r="F4195" i="9"/>
  <c r="K4132" i="9"/>
  <c r="J4132" i="9"/>
  <c r="I4132" i="9"/>
  <c r="K4060" i="9"/>
  <c r="J4060" i="9"/>
  <c r="I4060" i="9"/>
  <c r="K6413" i="9"/>
  <c r="J6413" i="9"/>
  <c r="I6413" i="9"/>
  <c r="K6377" i="9"/>
  <c r="J6377" i="9"/>
  <c r="I6377" i="9"/>
  <c r="K6275" i="9"/>
  <c r="J6275" i="9"/>
  <c r="I6275" i="9"/>
  <c r="K6257" i="9"/>
  <c r="J6257" i="9"/>
  <c r="I6257" i="9"/>
  <c r="K6221" i="9"/>
  <c r="J6221" i="9"/>
  <c r="I6221" i="9"/>
  <c r="K6185" i="9"/>
  <c r="J6185" i="9"/>
  <c r="I6185" i="9"/>
  <c r="K6149" i="9"/>
  <c r="J6149" i="9"/>
  <c r="I6149" i="9"/>
  <c r="K6131" i="9"/>
  <c r="J6131" i="9"/>
  <c r="I6131" i="9"/>
  <c r="K6095" i="9"/>
  <c r="J6095" i="9"/>
  <c r="I6095" i="9"/>
  <c r="J6059" i="9"/>
  <c r="I6059" i="9"/>
  <c r="K6059" i="9"/>
  <c r="J6023" i="9"/>
  <c r="I6023" i="9"/>
  <c r="K6023" i="9"/>
  <c r="H5987" i="9"/>
  <c r="G5987" i="9"/>
  <c r="F5987" i="9"/>
  <c r="H5951" i="9"/>
  <c r="G5951" i="9"/>
  <c r="F5951" i="9"/>
  <c r="K5879" i="9"/>
  <c r="J5879" i="9"/>
  <c r="I5879" i="9"/>
  <c r="K5843" i="9"/>
  <c r="J5843" i="9"/>
  <c r="I5843" i="9"/>
  <c r="K5807" i="9"/>
  <c r="J5807" i="9"/>
  <c r="I5807" i="9"/>
  <c r="K5771" i="9"/>
  <c r="J5771" i="9"/>
  <c r="I5771" i="9"/>
  <c r="K5717" i="9"/>
  <c r="J5717" i="9"/>
  <c r="I5717" i="9"/>
  <c r="K5656" i="9"/>
  <c r="J5656" i="9"/>
  <c r="I5656" i="9"/>
  <c r="H5512" i="9"/>
  <c r="G5512" i="9"/>
  <c r="F5512" i="9"/>
  <c r="K5368" i="9"/>
  <c r="J5368" i="9"/>
  <c r="I5368" i="9"/>
  <c r="K5272" i="9"/>
  <c r="J5272" i="9"/>
  <c r="I5272" i="9"/>
  <c r="H5224" i="9"/>
  <c r="G5224" i="9"/>
  <c r="F5224" i="9"/>
  <c r="H5176" i="9"/>
  <c r="G5176" i="9"/>
  <c r="F5176" i="9"/>
  <c r="H4170" i="9"/>
  <c r="G4170" i="9"/>
  <c r="F4170" i="9"/>
  <c r="H4098" i="9"/>
  <c r="G4098" i="9"/>
  <c r="F4098" i="9"/>
  <c r="H4026" i="9"/>
  <c r="G4026" i="9"/>
  <c r="F4026" i="9"/>
  <c r="H3954" i="9"/>
  <c r="G3954" i="9"/>
  <c r="F3954" i="9"/>
  <c r="H3839" i="9"/>
  <c r="G3839" i="9"/>
  <c r="F3839" i="9"/>
  <c r="H3767" i="9"/>
  <c r="G3767" i="9"/>
  <c r="F3767" i="9"/>
  <c r="H5602" i="9"/>
  <c r="G5602" i="9"/>
  <c r="F5602" i="9"/>
  <c r="F5533" i="9"/>
  <c r="H5533" i="9"/>
  <c r="G5533" i="9"/>
  <c r="H5506" i="9"/>
  <c r="G5506" i="9"/>
  <c r="F5506" i="9"/>
  <c r="F5485" i="9"/>
  <c r="H5485" i="9"/>
  <c r="G5485" i="9"/>
  <c r="F5293" i="9"/>
  <c r="H5293" i="9"/>
  <c r="G5293" i="9"/>
  <c r="K5245" i="9"/>
  <c r="J5245" i="9"/>
  <c r="I5245" i="9"/>
  <c r="H5197" i="9"/>
  <c r="F5197" i="9"/>
  <c r="G5197" i="9"/>
  <c r="H5149" i="9"/>
  <c r="F5149" i="9"/>
  <c r="G5149" i="9"/>
  <c r="K5074" i="9"/>
  <c r="J5074" i="9"/>
  <c r="I5074" i="9"/>
  <c r="K5026" i="9"/>
  <c r="J5026" i="9"/>
  <c r="I5026" i="9"/>
  <c r="K4978" i="9"/>
  <c r="J4978" i="9"/>
  <c r="I4978" i="9"/>
  <c r="K4930" i="9"/>
  <c r="J4930" i="9"/>
  <c r="I4930" i="9"/>
  <c r="K4882" i="9"/>
  <c r="J4882" i="9"/>
  <c r="I4882" i="9"/>
  <c r="J4834" i="9"/>
  <c r="K4834" i="9"/>
  <c r="I4834" i="9"/>
  <c r="H4786" i="9"/>
  <c r="G4786" i="9"/>
  <c r="F4786" i="9"/>
  <c r="H4738" i="9"/>
  <c r="G4738" i="9"/>
  <c r="F4738" i="9"/>
  <c r="H6610" i="9"/>
  <c r="G6610" i="9"/>
  <c r="F6610" i="9"/>
  <c r="H6574" i="9"/>
  <c r="G6574" i="9"/>
  <c r="F6574" i="9"/>
  <c r="H6538" i="9"/>
  <c r="G6538" i="9"/>
  <c r="F6538" i="9"/>
  <c r="H6502" i="9"/>
  <c r="G6502" i="9"/>
  <c r="F6502" i="9"/>
  <c r="K6430" i="9"/>
  <c r="I6430" i="9"/>
  <c r="J6430" i="9"/>
  <c r="H6322" i="9"/>
  <c r="G6322" i="9"/>
  <c r="F6322" i="9"/>
  <c r="H6286" i="9"/>
  <c r="G6286" i="9"/>
  <c r="F6286" i="9"/>
  <c r="H6142" i="9"/>
  <c r="G6142" i="9"/>
  <c r="F6142" i="9"/>
  <c r="K6070" i="9"/>
  <c r="J6070" i="9"/>
  <c r="I6070" i="9"/>
  <c r="K6034" i="9"/>
  <c r="J6034" i="9"/>
  <c r="I6034" i="9"/>
  <c r="H5998" i="9"/>
  <c r="G5998" i="9"/>
  <c r="F5998" i="9"/>
  <c r="H5962" i="9"/>
  <c r="G5962" i="9"/>
  <c r="F5962" i="9"/>
  <c r="H5890" i="9"/>
  <c r="G5890" i="9"/>
  <c r="F5890" i="9"/>
  <c r="K5764" i="9"/>
  <c r="J5764" i="9"/>
  <c r="I5764" i="9"/>
  <c r="K5728" i="9"/>
  <c r="J5728" i="9"/>
  <c r="I5728" i="9"/>
  <c r="J5543" i="9"/>
  <c r="I5543" i="9"/>
  <c r="K5543" i="9"/>
  <c r="F5063" i="9"/>
  <c r="H5063" i="9"/>
  <c r="G5063" i="9"/>
  <c r="F5015" i="9"/>
  <c r="H5015" i="9"/>
  <c r="G5015" i="9"/>
  <c r="F4967" i="9"/>
  <c r="H4967" i="9"/>
  <c r="G4967" i="9"/>
  <c r="F4919" i="9"/>
  <c r="H4919" i="9"/>
  <c r="G4919" i="9"/>
  <c r="F4871" i="9"/>
  <c r="H4871" i="9"/>
  <c r="G4871" i="9"/>
  <c r="F4823" i="9"/>
  <c r="H4823" i="9"/>
  <c r="G4823" i="9"/>
  <c r="H4775" i="9"/>
  <c r="G4775" i="9"/>
  <c r="F4775" i="9"/>
  <c r="H4727" i="9"/>
  <c r="G4727" i="9"/>
  <c r="F4727" i="9"/>
  <c r="I5532" i="9"/>
  <c r="K5532" i="9"/>
  <c r="J5532" i="9"/>
  <c r="I5484" i="9"/>
  <c r="K5484" i="9"/>
  <c r="J5484" i="9"/>
  <c r="K5292" i="9"/>
  <c r="J5292" i="9"/>
  <c r="I5292" i="9"/>
  <c r="K5244" i="9"/>
  <c r="J5244" i="9"/>
  <c r="I5244" i="9"/>
  <c r="K5196" i="9"/>
  <c r="J5196" i="9"/>
  <c r="I5196" i="9"/>
  <c r="K5148" i="9"/>
  <c r="J5148" i="9"/>
  <c r="I5148" i="9"/>
  <c r="H5100" i="9"/>
  <c r="G5100" i="9"/>
  <c r="F5100" i="9"/>
  <c r="H5052" i="9"/>
  <c r="G5052" i="9"/>
  <c r="F5052" i="9"/>
  <c r="H5004" i="9"/>
  <c r="G5004" i="9"/>
  <c r="F5004" i="9"/>
  <c r="H4956" i="9"/>
  <c r="G4956" i="9"/>
  <c r="F4956" i="9"/>
  <c r="H4908" i="9"/>
  <c r="G4908" i="9"/>
  <c r="F4908" i="9"/>
  <c r="H4860" i="9"/>
  <c r="G4860" i="9"/>
  <c r="F4860" i="9"/>
  <c r="K6609" i="9"/>
  <c r="J6609" i="9"/>
  <c r="I6609" i="9"/>
  <c r="K6573" i="9"/>
  <c r="J6573" i="9"/>
  <c r="I6573" i="9"/>
  <c r="K6537" i="9"/>
  <c r="J6537" i="9"/>
  <c r="I6537" i="9"/>
  <c r="H6357" i="9"/>
  <c r="G6357" i="9"/>
  <c r="F6357" i="9"/>
  <c r="H6339" i="9"/>
  <c r="G6339" i="9"/>
  <c r="F6339" i="9"/>
  <c r="K6321" i="9"/>
  <c r="J6321" i="9"/>
  <c r="I6321" i="9"/>
  <c r="K6285" i="9"/>
  <c r="J6285" i="9"/>
  <c r="I6285" i="9"/>
  <c r="K6141" i="9"/>
  <c r="J6141" i="9"/>
  <c r="I6141" i="9"/>
  <c r="K6015" i="9"/>
  <c r="J6015" i="9"/>
  <c r="I6015" i="9"/>
  <c r="H5997" i="9"/>
  <c r="G5997" i="9"/>
  <c r="F5997" i="9"/>
  <c r="K5961" i="9"/>
  <c r="J5961" i="9"/>
  <c r="I5961" i="9"/>
  <c r="K5925" i="9"/>
  <c r="J5925" i="9"/>
  <c r="I5925" i="9"/>
  <c r="K5889" i="9"/>
  <c r="J5889" i="9"/>
  <c r="I5889" i="9"/>
  <c r="K5853" i="9"/>
  <c r="J5853" i="9"/>
  <c r="I5853" i="9"/>
  <c r="K5817" i="9"/>
  <c r="J5817" i="9"/>
  <c r="I5817" i="9"/>
  <c r="K5781" i="9"/>
  <c r="J5781" i="9"/>
  <c r="I5781" i="9"/>
  <c r="F5521" i="9"/>
  <c r="H5521" i="9"/>
  <c r="G5521" i="9"/>
  <c r="F5473" i="9"/>
  <c r="H5473" i="9"/>
  <c r="G5473" i="9"/>
  <c r="F5281" i="9"/>
  <c r="H5281" i="9"/>
  <c r="G5281" i="9"/>
  <c r="H5233" i="9"/>
  <c r="G5233" i="9"/>
  <c r="F5233" i="9"/>
  <c r="J5483" i="9"/>
  <c r="K5483" i="9"/>
  <c r="I5483" i="9"/>
  <c r="F5099" i="9"/>
  <c r="H5099" i="9"/>
  <c r="G5099" i="9"/>
  <c r="F5051" i="9"/>
  <c r="H5051" i="9"/>
  <c r="G5051" i="9"/>
  <c r="F5003" i="9"/>
  <c r="H5003" i="9"/>
  <c r="G5003" i="9"/>
  <c r="F4955" i="9"/>
  <c r="H4955" i="9"/>
  <c r="G4955" i="9"/>
  <c r="F4907" i="9"/>
  <c r="H4907" i="9"/>
  <c r="G4907" i="9"/>
  <c r="F4859" i="9"/>
  <c r="H4859" i="9"/>
  <c r="G4859" i="9"/>
  <c r="H4811" i="9"/>
  <c r="G4811" i="9"/>
  <c r="F4811" i="9"/>
  <c r="H4763" i="9"/>
  <c r="G4763" i="9"/>
  <c r="F4763" i="9"/>
  <c r="K4144" i="9"/>
  <c r="J4144" i="9"/>
  <c r="I4144" i="9"/>
  <c r="K4072" i="9"/>
  <c r="J4072" i="9"/>
  <c r="I4072" i="9"/>
  <c r="K4000" i="9"/>
  <c r="J4000" i="9"/>
  <c r="I4000" i="9"/>
  <c r="K3928" i="9"/>
  <c r="I3928" i="9"/>
  <c r="J3928" i="9"/>
  <c r="H6458" i="9"/>
  <c r="G6458" i="9"/>
  <c r="F6458" i="9"/>
  <c r="K6422" i="9"/>
  <c r="J6422" i="9"/>
  <c r="I6422" i="9"/>
  <c r="G6284" i="9"/>
  <c r="H6284" i="9"/>
  <c r="F6284" i="9"/>
  <c r="K6266" i="9"/>
  <c r="J6266" i="9"/>
  <c r="I6266" i="9"/>
  <c r="H6248" i="9"/>
  <c r="G6248" i="9"/>
  <c r="F6248" i="9"/>
  <c r="H6212" i="9"/>
  <c r="G6212" i="9"/>
  <c r="F6212" i="9"/>
  <c r="H6176" i="9"/>
  <c r="G6176" i="9"/>
  <c r="F6176" i="9"/>
  <c r="H6122" i="9"/>
  <c r="G6122" i="9"/>
  <c r="F6122" i="9"/>
  <c r="H6086" i="9"/>
  <c r="G6086" i="9"/>
  <c r="F6086" i="9"/>
  <c r="G6050" i="9"/>
  <c r="F6050" i="9"/>
  <c r="H6050" i="9"/>
  <c r="G6014" i="9"/>
  <c r="H6014" i="9"/>
  <c r="F6014" i="9"/>
  <c r="K5680" i="9"/>
  <c r="J5680" i="9"/>
  <c r="I5680" i="9"/>
  <c r="H5488" i="9"/>
  <c r="G5488" i="9"/>
  <c r="F5488" i="9"/>
  <c r="K5392" i="9"/>
  <c r="J5392" i="9"/>
  <c r="I5392" i="9"/>
  <c r="K5296" i="9"/>
  <c r="J5296" i="9"/>
  <c r="I5296" i="9"/>
  <c r="H5248" i="9"/>
  <c r="G5248" i="9"/>
  <c r="F5248" i="9"/>
  <c r="H5152" i="9"/>
  <c r="G5152" i="9"/>
  <c r="F5152" i="9"/>
  <c r="H4134" i="9"/>
  <c r="G4134" i="9"/>
  <c r="F4134" i="9"/>
  <c r="H4062" i="9"/>
  <c r="G4062" i="9"/>
  <c r="F4062" i="9"/>
  <c r="H3990" i="9"/>
  <c r="G3990" i="9"/>
  <c r="F3990" i="9"/>
  <c r="G3918" i="9"/>
  <c r="F3918" i="9"/>
  <c r="H3918" i="9"/>
  <c r="H3875" i="9"/>
  <c r="G3875" i="9"/>
  <c r="F3875" i="9"/>
  <c r="H4785" i="9"/>
  <c r="G4785" i="9"/>
  <c r="F4785" i="9"/>
  <c r="H4562" i="9"/>
  <c r="G4562" i="9"/>
  <c r="F4562" i="9"/>
  <c r="K3860" i="9"/>
  <c r="J3860" i="9"/>
  <c r="I3860" i="9"/>
  <c r="H3743" i="9"/>
  <c r="G3743" i="9"/>
  <c r="F3743" i="9"/>
  <c r="H3719" i="9"/>
  <c r="G3719" i="9"/>
  <c r="F3719" i="9"/>
  <c r="H3695" i="9"/>
  <c r="G3695" i="9"/>
  <c r="F3695" i="9"/>
  <c r="H3671" i="9"/>
  <c r="G3671" i="9"/>
  <c r="F3671" i="9"/>
  <c r="F3647" i="9"/>
  <c r="H3647" i="9"/>
  <c r="G3647" i="9"/>
  <c r="H3335" i="9"/>
  <c r="G3335" i="9"/>
  <c r="F3335" i="9"/>
  <c r="H3287" i="9"/>
  <c r="G3287" i="9"/>
  <c r="F3287" i="9"/>
  <c r="H3263" i="9"/>
  <c r="G3263" i="9"/>
  <c r="F3263" i="9"/>
  <c r="G3239" i="9"/>
  <c r="F3239" i="9"/>
  <c r="H3239" i="9"/>
  <c r="F3215" i="9"/>
  <c r="H3215" i="9"/>
  <c r="G3215" i="9"/>
  <c r="F3191" i="9"/>
  <c r="H3191" i="9"/>
  <c r="G3191" i="9"/>
  <c r="F3167" i="9"/>
  <c r="H3167" i="9"/>
  <c r="G3167" i="9"/>
  <c r="F3143" i="9"/>
  <c r="H3143" i="9"/>
  <c r="G3143" i="9"/>
  <c r="F3119" i="9"/>
  <c r="H3119" i="9"/>
  <c r="G3119" i="9"/>
  <c r="F3095" i="9"/>
  <c r="H3095" i="9"/>
  <c r="G3095" i="9"/>
  <c r="F3071" i="9"/>
  <c r="H3071" i="9"/>
  <c r="G3071" i="9"/>
  <c r="F3047" i="9"/>
  <c r="H3047" i="9"/>
  <c r="G3047" i="9"/>
  <c r="H3023" i="9"/>
  <c r="G3023" i="9"/>
  <c r="F3023" i="9"/>
  <c r="H2999" i="9"/>
  <c r="G2999" i="9"/>
  <c r="F2999" i="9"/>
  <c r="H2951" i="9"/>
  <c r="G2951" i="9"/>
  <c r="F2951" i="9"/>
  <c r="H2927" i="9"/>
  <c r="G2927" i="9"/>
  <c r="F2927" i="9"/>
  <c r="H2879" i="9"/>
  <c r="G2879" i="9"/>
  <c r="F2879" i="9"/>
  <c r="H2855" i="9"/>
  <c r="G2855" i="9"/>
  <c r="F2855" i="9"/>
  <c r="H2807" i="9"/>
  <c r="G2807" i="9"/>
  <c r="F2807" i="9"/>
  <c r="K2495" i="9"/>
  <c r="J2495" i="9"/>
  <c r="I2495" i="9"/>
  <c r="K2471" i="9"/>
  <c r="J2471" i="9"/>
  <c r="I2471" i="9"/>
  <c r="K2399" i="9"/>
  <c r="J2399" i="9"/>
  <c r="I2399" i="9"/>
  <c r="K2375" i="9"/>
  <c r="J2375" i="9"/>
  <c r="I2375" i="9"/>
  <c r="K2351" i="9"/>
  <c r="J2351" i="9"/>
  <c r="I2351" i="9"/>
  <c r="G1934" i="9"/>
  <c r="F1934" i="9"/>
  <c r="H1934" i="9"/>
  <c r="H1825" i="9"/>
  <c r="G1825" i="9"/>
  <c r="F1825" i="9"/>
  <c r="G1790" i="9"/>
  <c r="F1790" i="9"/>
  <c r="H1790" i="9"/>
  <c r="K1755" i="9"/>
  <c r="J1755" i="9"/>
  <c r="I1755" i="9"/>
  <c r="H1720" i="9"/>
  <c r="G1720" i="9"/>
  <c r="F1720" i="9"/>
  <c r="K1681" i="9"/>
  <c r="J1681" i="9"/>
  <c r="I1681" i="9"/>
  <c r="K1611" i="9"/>
  <c r="J1611" i="9"/>
  <c r="I1611" i="9"/>
  <c r="H1576" i="9"/>
  <c r="G1576" i="9"/>
  <c r="F1576" i="9"/>
  <c r="K1537" i="9"/>
  <c r="J1537" i="9"/>
  <c r="I1537" i="9"/>
  <c r="K1272" i="9"/>
  <c r="J1272" i="9"/>
  <c r="I1272" i="9"/>
  <c r="K1200" i="9"/>
  <c r="J1200" i="9"/>
  <c r="I1200" i="9"/>
  <c r="K1164" i="9"/>
  <c r="J1164" i="9"/>
  <c r="I1164" i="9"/>
  <c r="K996" i="9"/>
  <c r="J996" i="9"/>
  <c r="I996" i="9"/>
  <c r="K948" i="9"/>
  <c r="J948" i="9"/>
  <c r="I948" i="9"/>
  <c r="K912" i="9"/>
  <c r="J912" i="9"/>
  <c r="I912" i="9"/>
  <c r="K852" i="9"/>
  <c r="J852" i="9"/>
  <c r="I852" i="9"/>
  <c r="K816" i="9"/>
  <c r="J816" i="9"/>
  <c r="I816" i="9"/>
  <c r="K792" i="9"/>
  <c r="J792" i="9"/>
  <c r="I792" i="9"/>
  <c r="K768" i="9"/>
  <c r="I768" i="9"/>
  <c r="J768" i="9"/>
  <c r="K744" i="9"/>
  <c r="I744" i="9"/>
  <c r="J744" i="9"/>
  <c r="K720" i="9"/>
  <c r="I720" i="9"/>
  <c r="J720" i="9"/>
  <c r="K696" i="9"/>
  <c r="I696" i="9"/>
  <c r="J696" i="9"/>
  <c r="K540" i="9"/>
  <c r="I540" i="9"/>
  <c r="J540" i="9"/>
  <c r="K480" i="9"/>
  <c r="I480" i="9"/>
  <c r="J480" i="9"/>
  <c r="H460" i="9"/>
  <c r="G460" i="9"/>
  <c r="F460" i="9"/>
  <c r="K432" i="9"/>
  <c r="I432" i="9"/>
  <c r="J432" i="9"/>
  <c r="K396" i="9"/>
  <c r="I396" i="9"/>
  <c r="J396" i="9"/>
  <c r="K300" i="9"/>
  <c r="J300" i="9"/>
  <c r="I300" i="9"/>
  <c r="K228" i="9"/>
  <c r="J228" i="9"/>
  <c r="I228" i="9"/>
  <c r="K204" i="9"/>
  <c r="J204" i="9"/>
  <c r="I204" i="9"/>
  <c r="K120" i="9"/>
  <c r="J120" i="9"/>
  <c r="I120" i="9"/>
  <c r="K84" i="9"/>
  <c r="J84" i="9"/>
  <c r="I84" i="9"/>
  <c r="K72" i="9"/>
  <c r="J72" i="9"/>
  <c r="I72" i="9"/>
  <c r="K60" i="9"/>
  <c r="J60" i="9"/>
  <c r="I60" i="9"/>
  <c r="K48" i="9"/>
  <c r="J48" i="9"/>
  <c r="I48" i="9"/>
  <c r="K36" i="9"/>
  <c r="J36" i="9"/>
  <c r="I36" i="9"/>
  <c r="K24" i="9"/>
  <c r="J24" i="9"/>
  <c r="I24" i="9"/>
  <c r="K12" i="9"/>
  <c r="J12" i="9"/>
  <c r="I12" i="9"/>
  <c r="K4422" i="9"/>
  <c r="J4422" i="9"/>
  <c r="I4422" i="9"/>
  <c r="K4230" i="9"/>
  <c r="J4230" i="9"/>
  <c r="I4230" i="9"/>
  <c r="K4036" i="9"/>
  <c r="J4036" i="9"/>
  <c r="I4036" i="9"/>
  <c r="H3618" i="9"/>
  <c r="G3618" i="9"/>
  <c r="F3618" i="9"/>
  <c r="H3546" i="9"/>
  <c r="G3546" i="9"/>
  <c r="F3546" i="9"/>
  <c r="H3474" i="9"/>
  <c r="G3474" i="9"/>
  <c r="F3474" i="9"/>
  <c r="H3402" i="9"/>
  <c r="G3402" i="9"/>
  <c r="F3402" i="9"/>
  <c r="H2754" i="9"/>
  <c r="G2754" i="9"/>
  <c r="F2754" i="9"/>
  <c r="H2682" i="9"/>
  <c r="G2682" i="9"/>
  <c r="F2682" i="9"/>
  <c r="H2610" i="9"/>
  <c r="G2610" i="9"/>
  <c r="F2610" i="9"/>
  <c r="H2538" i="9"/>
  <c r="G2538" i="9"/>
  <c r="F2538" i="9"/>
  <c r="J1925" i="9"/>
  <c r="I1925" i="9"/>
  <c r="K1925" i="9"/>
  <c r="K1296" i="9"/>
  <c r="J1296" i="9"/>
  <c r="I1296" i="9"/>
  <c r="K1248" i="9"/>
  <c r="J1248" i="9"/>
  <c r="I1248" i="9"/>
  <c r="K1068" i="9"/>
  <c r="J1068" i="9"/>
  <c r="I1068" i="9"/>
  <c r="K1044" i="9"/>
  <c r="J1044" i="9"/>
  <c r="I1044" i="9"/>
  <c r="K1020" i="9"/>
  <c r="J1020" i="9"/>
  <c r="I1020" i="9"/>
  <c r="K924" i="9"/>
  <c r="J924" i="9"/>
  <c r="I924" i="9"/>
  <c r="K660" i="9"/>
  <c r="I660" i="9"/>
  <c r="J660" i="9"/>
  <c r="K564" i="9"/>
  <c r="I564" i="9"/>
  <c r="J564" i="9"/>
  <c r="K516" i="9"/>
  <c r="I516" i="9"/>
  <c r="J516" i="9"/>
  <c r="K384" i="9"/>
  <c r="J384" i="9"/>
  <c r="I384" i="9"/>
  <c r="K360" i="9"/>
  <c r="J360" i="9"/>
  <c r="I360" i="9"/>
  <c r="K336" i="9"/>
  <c r="J336" i="9"/>
  <c r="I336" i="9"/>
  <c r="K276" i="9"/>
  <c r="J276" i="9"/>
  <c r="I276" i="9"/>
  <c r="K144" i="9"/>
  <c r="J144" i="9"/>
  <c r="I144" i="9"/>
  <c r="H5174" i="9"/>
  <c r="G5174" i="9"/>
  <c r="F5174" i="9"/>
  <c r="K5030" i="9"/>
  <c r="J5030" i="9"/>
  <c r="I5030" i="9"/>
  <c r="K4886" i="9"/>
  <c r="J4886" i="9"/>
  <c r="I4886" i="9"/>
  <c r="K4573" i="9"/>
  <c r="J4573" i="9"/>
  <c r="I4573" i="9"/>
  <c r="H4189" i="9"/>
  <c r="G4189" i="9"/>
  <c r="F4189" i="9"/>
  <c r="H3910" i="9"/>
  <c r="F3910" i="9"/>
  <c r="G3910" i="9"/>
  <c r="G3037" i="9"/>
  <c r="F3037" i="9"/>
  <c r="H3037" i="9"/>
  <c r="J3013" i="9"/>
  <c r="I3013" i="9"/>
  <c r="K3013" i="9"/>
  <c r="J2989" i="9"/>
  <c r="I2989" i="9"/>
  <c r="K2989" i="9"/>
  <c r="G2965" i="9"/>
  <c r="F2965" i="9"/>
  <c r="H2965" i="9"/>
  <c r="J2941" i="9"/>
  <c r="I2941" i="9"/>
  <c r="K2941" i="9"/>
  <c r="J2917" i="9"/>
  <c r="I2917" i="9"/>
  <c r="K2917" i="9"/>
  <c r="G2893" i="9"/>
  <c r="F2893" i="9"/>
  <c r="H2893" i="9"/>
  <c r="J2869" i="9"/>
  <c r="I2869" i="9"/>
  <c r="K2869" i="9"/>
  <c r="J2845" i="9"/>
  <c r="I2845" i="9"/>
  <c r="K2845" i="9"/>
  <c r="G2821" i="9"/>
  <c r="F2821" i="9"/>
  <c r="H2821" i="9"/>
  <c r="J2797" i="9"/>
  <c r="I2797" i="9"/>
  <c r="K2797" i="9"/>
  <c r="H2461" i="9"/>
  <c r="G2461" i="9"/>
  <c r="F2461" i="9"/>
  <c r="H2437" i="9"/>
  <c r="G2437" i="9"/>
  <c r="F2437" i="9"/>
  <c r="H2413" i="9"/>
  <c r="G2413" i="9"/>
  <c r="F2413" i="9"/>
  <c r="H2389" i="9"/>
  <c r="G2389" i="9"/>
  <c r="F2389" i="9"/>
  <c r="K2365" i="9"/>
  <c r="J2365" i="9"/>
  <c r="I2365" i="9"/>
  <c r="H2341" i="9"/>
  <c r="G2341" i="9"/>
  <c r="F2341" i="9"/>
  <c r="H2317" i="9"/>
  <c r="G2317" i="9"/>
  <c r="F2317" i="9"/>
  <c r="K2293" i="9"/>
  <c r="J2293" i="9"/>
  <c r="I2293" i="9"/>
  <c r="H2269" i="9"/>
  <c r="G2269" i="9"/>
  <c r="F2269" i="9"/>
  <c r="K2245" i="9"/>
  <c r="J2245" i="9"/>
  <c r="I2245" i="9"/>
  <c r="H2221" i="9"/>
  <c r="G2221" i="9"/>
  <c r="F2221" i="9"/>
  <c r="K2197" i="9"/>
  <c r="J2197" i="9"/>
  <c r="I2197" i="9"/>
  <c r="H2173" i="9"/>
  <c r="G2173" i="9"/>
  <c r="F2173" i="9"/>
  <c r="K2149" i="9"/>
  <c r="J2149" i="9"/>
  <c r="I2149" i="9"/>
  <c r="H2125" i="9"/>
  <c r="G2125" i="9"/>
  <c r="F2125" i="9"/>
  <c r="K2101" i="9"/>
  <c r="J2101" i="9"/>
  <c r="I2101" i="9"/>
  <c r="H2077" i="9"/>
  <c r="G2077" i="9"/>
  <c r="F2077" i="9"/>
  <c r="H2053" i="9"/>
  <c r="G2053" i="9"/>
  <c r="F2053" i="9"/>
  <c r="H1990" i="9"/>
  <c r="G1990" i="9"/>
  <c r="F1990" i="9"/>
  <c r="K1920" i="9"/>
  <c r="I1920" i="9"/>
  <c r="J1920" i="9"/>
  <c r="H1846" i="9"/>
  <c r="G1846" i="9"/>
  <c r="F1846" i="9"/>
  <c r="J1811" i="9"/>
  <c r="I1811" i="9"/>
  <c r="K1811" i="9"/>
  <c r="H4514" i="9"/>
  <c r="G4514" i="9"/>
  <c r="F4514" i="9"/>
  <c r="H4051" i="9"/>
  <c r="G4051" i="9"/>
  <c r="F4051" i="9"/>
  <c r="H4025" i="9"/>
  <c r="G4025" i="9"/>
  <c r="F4025" i="9"/>
  <c r="K3988" i="9"/>
  <c r="J3988" i="9"/>
  <c r="I3988" i="9"/>
  <c r="K3310" i="9"/>
  <c r="J3310" i="9"/>
  <c r="I3310" i="9"/>
  <c r="K3238" i="9"/>
  <c r="J3238" i="9"/>
  <c r="I3238" i="9"/>
  <c r="G3166" i="9"/>
  <c r="F3166" i="9"/>
  <c r="H3166" i="9"/>
  <c r="G3094" i="9"/>
  <c r="F3094" i="9"/>
  <c r="H3094" i="9"/>
  <c r="K2446" i="9"/>
  <c r="J2446" i="9"/>
  <c r="I2446" i="9"/>
  <c r="H2374" i="9"/>
  <c r="G2374" i="9"/>
  <c r="F2374" i="9"/>
  <c r="K2302" i="9"/>
  <c r="J2302" i="9"/>
  <c r="I2302" i="9"/>
  <c r="K2230" i="9"/>
  <c r="J2230" i="9"/>
  <c r="I2230" i="9"/>
  <c r="K2158" i="9"/>
  <c r="J2158" i="9"/>
  <c r="I2158" i="9"/>
  <c r="K2086" i="9"/>
  <c r="J2086" i="9"/>
  <c r="I2086" i="9"/>
  <c r="H2029" i="9"/>
  <c r="G2029" i="9"/>
  <c r="F2029" i="9"/>
  <c r="H1885" i="9"/>
  <c r="G1885" i="9"/>
  <c r="F1885" i="9"/>
  <c r="H1780" i="9"/>
  <c r="G1780" i="9"/>
  <c r="F1780" i="9"/>
  <c r="K1741" i="9"/>
  <c r="J1741" i="9"/>
  <c r="I1741" i="9"/>
  <c r="K1671" i="9"/>
  <c r="J1671" i="9"/>
  <c r="I1671" i="9"/>
  <c r="H1636" i="9"/>
  <c r="G1636" i="9"/>
  <c r="F1636" i="9"/>
  <c r="K1597" i="9"/>
  <c r="J1597" i="9"/>
  <c r="I1597" i="9"/>
  <c r="H291" i="9"/>
  <c r="G291" i="9"/>
  <c r="F291" i="9"/>
  <c r="H255" i="9"/>
  <c r="G255" i="9"/>
  <c r="F255" i="9"/>
  <c r="H231" i="9"/>
  <c r="G231" i="9"/>
  <c r="F231" i="9"/>
  <c r="H171" i="9"/>
  <c r="G171" i="9"/>
  <c r="F171" i="9"/>
  <c r="H5137" i="9"/>
  <c r="F5137" i="9"/>
  <c r="G5137" i="9"/>
  <c r="H4121" i="9"/>
  <c r="G4121" i="9"/>
  <c r="F4121" i="9"/>
  <c r="K3848" i="9"/>
  <c r="J3848" i="9"/>
  <c r="I3848" i="9"/>
  <c r="H3617" i="9"/>
  <c r="G3617" i="9"/>
  <c r="F3617" i="9"/>
  <c r="H3593" i="9"/>
  <c r="G3593" i="9"/>
  <c r="F3593" i="9"/>
  <c r="H3569" i="9"/>
  <c r="G3569" i="9"/>
  <c r="F3569" i="9"/>
  <c r="H3545" i="9"/>
  <c r="G3545" i="9"/>
  <c r="F3545" i="9"/>
  <c r="H3521" i="9"/>
  <c r="G3521" i="9"/>
  <c r="F3521" i="9"/>
  <c r="H3497" i="9"/>
  <c r="G3497" i="9"/>
  <c r="F3497" i="9"/>
  <c r="H3473" i="9"/>
  <c r="G3473" i="9"/>
  <c r="F3473" i="9"/>
  <c r="H3449" i="9"/>
  <c r="G3449" i="9"/>
  <c r="F3449" i="9"/>
  <c r="H3425" i="9"/>
  <c r="G3425" i="9"/>
  <c r="F3425" i="9"/>
  <c r="H3401" i="9"/>
  <c r="G3401" i="9"/>
  <c r="F3401" i="9"/>
  <c r="H3377" i="9"/>
  <c r="F3377" i="9"/>
  <c r="G3377" i="9"/>
  <c r="F2969" i="9"/>
  <c r="H2969" i="9"/>
  <c r="G2969" i="9"/>
  <c r="F2897" i="9"/>
  <c r="H2897" i="9"/>
  <c r="G2897" i="9"/>
  <c r="F2825" i="9"/>
  <c r="H2825" i="9"/>
  <c r="G2825" i="9"/>
  <c r="H2777" i="9"/>
  <c r="G2777" i="9"/>
  <c r="F2777" i="9"/>
  <c r="H2753" i="9"/>
  <c r="G2753" i="9"/>
  <c r="F2753" i="9"/>
  <c r="H2729" i="9"/>
  <c r="G2729" i="9"/>
  <c r="F2729" i="9"/>
  <c r="H2705" i="9"/>
  <c r="G2705" i="9"/>
  <c r="F2705" i="9"/>
  <c r="H2681" i="9"/>
  <c r="G2681" i="9"/>
  <c r="F2681" i="9"/>
  <c r="H2657" i="9"/>
  <c r="G2657" i="9"/>
  <c r="F2657" i="9"/>
  <c r="H2633" i="9"/>
  <c r="G2633" i="9"/>
  <c r="F2633" i="9"/>
  <c r="H2609" i="9"/>
  <c r="G2609" i="9"/>
  <c r="F2609" i="9"/>
  <c r="H2585" i="9"/>
  <c r="G2585" i="9"/>
  <c r="F2585" i="9"/>
  <c r="H2561" i="9"/>
  <c r="G2561" i="9"/>
  <c r="F2561" i="9"/>
  <c r="G2489" i="9"/>
  <c r="F2489" i="9"/>
  <c r="H2489" i="9"/>
  <c r="J2033" i="9"/>
  <c r="I2033" i="9"/>
  <c r="K2033" i="9"/>
  <c r="J1889" i="9"/>
  <c r="I1889" i="9"/>
  <c r="K1889" i="9"/>
  <c r="J483" i="9"/>
  <c r="I483" i="9"/>
  <c r="K483" i="9"/>
  <c r="J435" i="9"/>
  <c r="I435" i="9"/>
  <c r="K435" i="9"/>
  <c r="F391" i="9"/>
  <c r="H391" i="9"/>
  <c r="G391" i="9"/>
  <c r="H207" i="9"/>
  <c r="G207" i="9"/>
  <c r="F207" i="9"/>
  <c r="H147" i="9"/>
  <c r="G147" i="9"/>
  <c r="F147" i="9"/>
  <c r="H123" i="9"/>
  <c r="G123" i="9"/>
  <c r="F123" i="9"/>
  <c r="H51" i="9"/>
  <c r="G51" i="9"/>
  <c r="F51" i="9"/>
  <c r="K4525" i="9"/>
  <c r="J4525" i="9"/>
  <c r="I4525" i="9"/>
  <c r="H4003" i="9"/>
  <c r="G4003" i="9"/>
  <c r="F4003" i="9"/>
  <c r="H3977" i="9"/>
  <c r="G3977" i="9"/>
  <c r="F3977" i="9"/>
  <c r="K3940" i="9"/>
  <c r="J3940" i="9"/>
  <c r="I3940" i="9"/>
  <c r="K3626" i="9"/>
  <c r="J3626" i="9"/>
  <c r="I3626" i="9"/>
  <c r="I3194" i="9"/>
  <c r="K3194" i="9"/>
  <c r="J3194" i="9"/>
  <c r="I3122" i="9"/>
  <c r="K3122" i="9"/>
  <c r="J3122" i="9"/>
  <c r="I3050" i="9"/>
  <c r="K3050" i="9"/>
  <c r="J3050" i="9"/>
  <c r="H2978" i="9"/>
  <c r="F2978" i="9"/>
  <c r="G2978" i="9"/>
  <c r="H2906" i="9"/>
  <c r="F2906" i="9"/>
  <c r="G2906" i="9"/>
  <c r="H2834" i="9"/>
  <c r="F2834" i="9"/>
  <c r="G2834" i="9"/>
  <c r="H2402" i="9"/>
  <c r="G2402" i="9"/>
  <c r="F2402" i="9"/>
  <c r="H2330" i="9"/>
  <c r="G2330" i="9"/>
  <c r="F2330" i="9"/>
  <c r="H2258" i="9"/>
  <c r="G2258" i="9"/>
  <c r="F2258" i="9"/>
  <c r="H2186" i="9"/>
  <c r="G2186" i="9"/>
  <c r="F2186" i="9"/>
  <c r="H2114" i="9"/>
  <c r="G2114" i="9"/>
  <c r="F2114" i="9"/>
  <c r="G2042" i="9"/>
  <c r="F2042" i="9"/>
  <c r="H2042" i="9"/>
  <c r="G2002" i="9"/>
  <c r="F2002" i="9"/>
  <c r="H2002" i="9"/>
  <c r="K1932" i="9"/>
  <c r="I1932" i="9"/>
  <c r="J1932" i="9"/>
  <c r="G1858" i="9"/>
  <c r="F1858" i="9"/>
  <c r="H1858" i="9"/>
  <c r="J1823" i="9"/>
  <c r="I1823" i="9"/>
  <c r="K1823" i="9"/>
  <c r="H4658" i="9"/>
  <c r="G4658" i="9"/>
  <c r="F4658" i="9"/>
  <c r="H4466" i="9"/>
  <c r="G4466" i="9"/>
  <c r="F4466" i="9"/>
  <c r="K3872" i="9"/>
  <c r="J3872" i="9"/>
  <c r="I3872" i="9"/>
  <c r="K3740" i="9"/>
  <c r="J3740" i="9"/>
  <c r="I3740" i="9"/>
  <c r="H3707" i="9"/>
  <c r="G3707" i="9"/>
  <c r="F3707" i="9"/>
  <c r="H3683" i="9"/>
  <c r="G3683" i="9"/>
  <c r="F3683" i="9"/>
  <c r="F3659" i="9"/>
  <c r="H3659" i="9"/>
  <c r="G3659" i="9"/>
  <c r="F3635" i="9"/>
  <c r="H3635" i="9"/>
  <c r="G3635" i="9"/>
  <c r="H3347" i="9"/>
  <c r="G3347" i="9"/>
  <c r="F3347" i="9"/>
  <c r="H3323" i="9"/>
  <c r="G3323" i="9"/>
  <c r="F3323" i="9"/>
  <c r="H3299" i="9"/>
  <c r="G3299" i="9"/>
  <c r="F3299" i="9"/>
  <c r="H3275" i="9"/>
  <c r="G3275" i="9"/>
  <c r="F3275" i="9"/>
  <c r="H3251" i="9"/>
  <c r="G3251" i="9"/>
  <c r="F3251" i="9"/>
  <c r="F3227" i="9"/>
  <c r="H3227" i="9"/>
  <c r="G3227" i="9"/>
  <c r="F3203" i="9"/>
  <c r="H3203" i="9"/>
  <c r="G3203" i="9"/>
  <c r="F3155" i="9"/>
  <c r="H3155" i="9"/>
  <c r="G3155" i="9"/>
  <c r="F3131" i="9"/>
  <c r="H3131" i="9"/>
  <c r="G3131" i="9"/>
  <c r="F3107" i="9"/>
  <c r="H3107" i="9"/>
  <c r="G3107" i="9"/>
  <c r="F3059" i="9"/>
  <c r="H3059" i="9"/>
  <c r="G3059" i="9"/>
  <c r="H3035" i="9"/>
  <c r="G3035" i="9"/>
  <c r="F3035" i="9"/>
  <c r="H2987" i="9"/>
  <c r="G2987" i="9"/>
  <c r="F2987" i="9"/>
  <c r="H2963" i="9"/>
  <c r="G2963" i="9"/>
  <c r="F2963" i="9"/>
  <c r="H2915" i="9"/>
  <c r="G2915" i="9"/>
  <c r="F2915" i="9"/>
  <c r="H2891" i="9"/>
  <c r="G2891" i="9"/>
  <c r="F2891" i="9"/>
  <c r="H2843" i="9"/>
  <c r="G2843" i="9"/>
  <c r="F2843" i="9"/>
  <c r="H2819" i="9"/>
  <c r="G2819" i="9"/>
  <c r="F2819" i="9"/>
  <c r="K2411" i="9"/>
  <c r="J2411" i="9"/>
  <c r="I2411" i="9"/>
  <c r="K2387" i="9"/>
  <c r="J2387" i="9"/>
  <c r="I2387" i="9"/>
  <c r="K2363" i="9"/>
  <c r="J2363" i="9"/>
  <c r="I2363" i="9"/>
  <c r="K2339" i="9"/>
  <c r="J2339" i="9"/>
  <c r="I2339" i="9"/>
  <c r="H1945" i="9"/>
  <c r="G1945" i="9"/>
  <c r="F1945" i="9"/>
  <c r="G1910" i="9"/>
  <c r="F1910" i="9"/>
  <c r="H1910" i="9"/>
  <c r="H1801" i="9"/>
  <c r="G1801" i="9"/>
  <c r="F1801" i="9"/>
  <c r="K1731" i="9"/>
  <c r="J1731" i="9"/>
  <c r="I1731" i="9"/>
  <c r="H1696" i="9"/>
  <c r="G1696" i="9"/>
  <c r="F1696" i="9"/>
  <c r="K1657" i="9"/>
  <c r="J1657" i="9"/>
  <c r="I1657" i="9"/>
  <c r="K1587" i="9"/>
  <c r="J1587" i="9"/>
  <c r="I1587" i="9"/>
  <c r="H1552" i="9"/>
  <c r="G1552" i="9"/>
  <c r="F1552" i="9"/>
  <c r="K14" i="9"/>
  <c r="J14" i="9"/>
  <c r="I14" i="9"/>
  <c r="K4326" i="9"/>
  <c r="J4326" i="9"/>
  <c r="I4326" i="9"/>
  <c r="H4087" i="9"/>
  <c r="G4087" i="9"/>
  <c r="F4087" i="9"/>
  <c r="H4039" i="9"/>
  <c r="G4039" i="9"/>
  <c r="F4039" i="9"/>
  <c r="H3827" i="9"/>
  <c r="G3827" i="9"/>
  <c r="F3827" i="9"/>
  <c r="K3630" i="9"/>
  <c r="J3630" i="9"/>
  <c r="I3630" i="9"/>
  <c r="H3558" i="9"/>
  <c r="G3558" i="9"/>
  <c r="F3558" i="9"/>
  <c r="H3486" i="9"/>
  <c r="G3486" i="9"/>
  <c r="F3486" i="9"/>
  <c r="H3414" i="9"/>
  <c r="G3414" i="9"/>
  <c r="F3414" i="9"/>
  <c r="H2766" i="9"/>
  <c r="G2766" i="9"/>
  <c r="F2766" i="9"/>
  <c r="H2694" i="9"/>
  <c r="G2694" i="9"/>
  <c r="F2694" i="9"/>
  <c r="H2622" i="9"/>
  <c r="G2622" i="9"/>
  <c r="F2622" i="9"/>
  <c r="H2550" i="9"/>
  <c r="G2550" i="9"/>
  <c r="F2550" i="9"/>
  <c r="G2046" i="9"/>
  <c r="F2046" i="9"/>
  <c r="H2046" i="9"/>
  <c r="J1997" i="9"/>
  <c r="I1997" i="9"/>
  <c r="K1997" i="9"/>
  <c r="J1853" i="9"/>
  <c r="I1853" i="9"/>
  <c r="K1853" i="9"/>
  <c r="G750" i="9"/>
  <c r="F750" i="9"/>
  <c r="H750" i="9"/>
  <c r="G714" i="9"/>
  <c r="F714" i="9"/>
  <c r="H714" i="9"/>
  <c r="G678" i="9"/>
  <c r="F678" i="9"/>
  <c r="H678" i="9"/>
  <c r="G642" i="9"/>
  <c r="F642" i="9"/>
  <c r="H642" i="9"/>
  <c r="G606" i="9"/>
  <c r="F606" i="9"/>
  <c r="H606" i="9"/>
  <c r="G570" i="9"/>
  <c r="F570" i="9"/>
  <c r="H570" i="9"/>
  <c r="G534" i="9"/>
  <c r="F534" i="9"/>
  <c r="H534" i="9"/>
  <c r="G498" i="9"/>
  <c r="F498" i="9"/>
  <c r="H498" i="9"/>
  <c r="I390" i="9"/>
  <c r="K390" i="9"/>
  <c r="J390" i="9"/>
  <c r="F4817" i="9"/>
  <c r="H4817" i="9"/>
  <c r="G4817" i="9"/>
  <c r="K4605" i="9"/>
  <c r="J4605" i="9"/>
  <c r="I4605" i="9"/>
  <c r="H4413" i="9"/>
  <c r="G4413" i="9"/>
  <c r="F4413" i="9"/>
  <c r="G4221" i="9"/>
  <c r="F4221" i="9"/>
  <c r="H4221" i="9"/>
  <c r="H4049" i="9"/>
  <c r="G4049" i="9"/>
  <c r="F4049" i="9"/>
  <c r="K4012" i="9"/>
  <c r="J4012" i="9"/>
  <c r="I4012" i="9"/>
  <c r="H3639" i="9"/>
  <c r="G3639" i="9"/>
  <c r="F3639" i="9"/>
  <c r="K3615" i="9"/>
  <c r="J3615" i="9"/>
  <c r="I3615" i="9"/>
  <c r="K3591" i="9"/>
  <c r="J3591" i="9"/>
  <c r="I3591" i="9"/>
  <c r="K3567" i="9"/>
  <c r="J3567" i="9"/>
  <c r="I3567" i="9"/>
  <c r="K3543" i="9"/>
  <c r="J3543" i="9"/>
  <c r="I3543" i="9"/>
  <c r="K3519" i="9"/>
  <c r="J3519" i="9"/>
  <c r="I3519" i="9"/>
  <c r="H3495" i="9"/>
  <c r="G3495" i="9"/>
  <c r="F3495" i="9"/>
  <c r="K3471" i="9"/>
  <c r="J3471" i="9"/>
  <c r="I3471" i="9"/>
  <c r="K3447" i="9"/>
  <c r="J3447" i="9"/>
  <c r="I3447" i="9"/>
  <c r="K3423" i="9"/>
  <c r="J3423" i="9"/>
  <c r="I3423" i="9"/>
  <c r="K3399" i="9"/>
  <c r="J3399" i="9"/>
  <c r="I3399" i="9"/>
  <c r="K3375" i="9"/>
  <c r="J3375" i="9"/>
  <c r="I3375" i="9"/>
  <c r="H3207" i="9"/>
  <c r="G3207" i="9"/>
  <c r="F3207" i="9"/>
  <c r="H3183" i="9"/>
  <c r="G3183" i="9"/>
  <c r="F3183" i="9"/>
  <c r="H3159" i="9"/>
  <c r="G3159" i="9"/>
  <c r="F3159" i="9"/>
  <c r="H3135" i="9"/>
  <c r="G3135" i="9"/>
  <c r="F3135" i="9"/>
  <c r="H3111" i="9"/>
  <c r="G3111" i="9"/>
  <c r="F3111" i="9"/>
  <c r="H3087" i="9"/>
  <c r="G3087" i="9"/>
  <c r="F3087" i="9"/>
  <c r="H3063" i="9"/>
  <c r="G3063" i="9"/>
  <c r="F3063" i="9"/>
  <c r="H3039" i="9"/>
  <c r="G3039" i="9"/>
  <c r="F3039" i="9"/>
  <c r="H2967" i="9"/>
  <c r="G2967" i="9"/>
  <c r="F2967" i="9"/>
  <c r="H2895" i="9"/>
  <c r="G2895" i="9"/>
  <c r="F2895" i="9"/>
  <c r="H2823" i="9"/>
  <c r="G2823" i="9"/>
  <c r="F2823" i="9"/>
  <c r="H2775" i="9"/>
  <c r="G2775" i="9"/>
  <c r="F2775" i="9"/>
  <c r="K2751" i="9"/>
  <c r="J2751" i="9"/>
  <c r="I2751" i="9"/>
  <c r="K2727" i="9"/>
  <c r="J2727" i="9"/>
  <c r="I2727" i="9"/>
  <c r="K2703" i="9"/>
  <c r="J2703" i="9"/>
  <c r="I2703" i="9"/>
  <c r="K2679" i="9"/>
  <c r="J2679" i="9"/>
  <c r="I2679" i="9"/>
  <c r="K2655" i="9"/>
  <c r="J2655" i="9"/>
  <c r="I2655" i="9"/>
  <c r="K2631" i="9"/>
  <c r="J2631" i="9"/>
  <c r="I2631" i="9"/>
  <c r="K2607" i="9"/>
  <c r="J2607" i="9"/>
  <c r="I2607" i="9"/>
  <c r="H2583" i="9"/>
  <c r="G2583" i="9"/>
  <c r="F2583" i="9"/>
  <c r="K2559" i="9"/>
  <c r="J2559" i="9"/>
  <c r="I2559" i="9"/>
  <c r="K2535" i="9"/>
  <c r="J2535" i="9"/>
  <c r="I2535" i="9"/>
  <c r="H2511" i="9"/>
  <c r="G2511" i="9"/>
  <c r="F2511" i="9"/>
  <c r="K1992" i="9"/>
  <c r="I1992" i="9"/>
  <c r="J1992" i="9"/>
  <c r="H1918" i="9"/>
  <c r="G1918" i="9"/>
  <c r="F1918" i="9"/>
  <c r="K1848" i="9"/>
  <c r="I1848" i="9"/>
  <c r="J1848" i="9"/>
  <c r="K1560" i="9"/>
  <c r="J1560" i="9"/>
  <c r="I1560" i="9"/>
  <c r="K4721" i="9"/>
  <c r="J4721" i="9"/>
  <c r="I4721" i="9"/>
  <c r="H4610" i="9"/>
  <c r="G4610" i="9"/>
  <c r="F4610" i="9"/>
  <c r="H4135" i="9"/>
  <c r="G4135" i="9"/>
  <c r="F4135" i="9"/>
  <c r="H3991" i="9"/>
  <c r="G3991" i="9"/>
  <c r="F3991" i="9"/>
  <c r="K3322" i="9"/>
  <c r="J3322" i="9"/>
  <c r="I3322" i="9"/>
  <c r="K3250" i="9"/>
  <c r="J3250" i="9"/>
  <c r="I3250" i="9"/>
  <c r="G3178" i="9"/>
  <c r="F3178" i="9"/>
  <c r="H3178" i="9"/>
  <c r="G3106" i="9"/>
  <c r="F3106" i="9"/>
  <c r="H3106" i="9"/>
  <c r="F3034" i="9"/>
  <c r="H3034" i="9"/>
  <c r="G3034" i="9"/>
  <c r="F2962" i="9"/>
  <c r="H2962" i="9"/>
  <c r="G2962" i="9"/>
  <c r="F2890" i="9"/>
  <c r="H2890" i="9"/>
  <c r="G2890" i="9"/>
  <c r="F2818" i="9"/>
  <c r="H2818" i="9"/>
  <c r="G2818" i="9"/>
  <c r="K2458" i="9"/>
  <c r="J2458" i="9"/>
  <c r="I2458" i="9"/>
  <c r="H2386" i="9"/>
  <c r="G2386" i="9"/>
  <c r="F2386" i="9"/>
  <c r="K2314" i="9"/>
  <c r="J2314" i="9"/>
  <c r="I2314" i="9"/>
  <c r="K2242" i="9"/>
  <c r="J2242" i="9"/>
  <c r="I2242" i="9"/>
  <c r="K2170" i="9"/>
  <c r="J2170" i="9"/>
  <c r="I2170" i="9"/>
  <c r="K2098" i="9"/>
  <c r="J2098" i="9"/>
  <c r="I2098" i="9"/>
  <c r="H1957" i="9"/>
  <c r="G1957" i="9"/>
  <c r="F1957" i="9"/>
  <c r="H1813" i="9"/>
  <c r="G1813" i="9"/>
  <c r="F1813" i="9"/>
  <c r="K1743" i="9"/>
  <c r="J1743" i="9"/>
  <c r="I1743" i="9"/>
  <c r="K1669" i="9"/>
  <c r="J1669" i="9"/>
  <c r="I1669" i="9"/>
  <c r="K1599" i="9"/>
  <c r="J1599" i="9"/>
  <c r="I1599" i="9"/>
  <c r="H1564" i="9"/>
  <c r="G1564" i="9"/>
  <c r="F1564" i="9"/>
  <c r="H769" i="9"/>
  <c r="G769" i="9"/>
  <c r="F769" i="9"/>
  <c r="H697" i="9"/>
  <c r="G697" i="9"/>
  <c r="F697" i="9"/>
  <c r="H541" i="9"/>
  <c r="G541" i="9"/>
  <c r="F541" i="9"/>
  <c r="K5" i="9"/>
  <c r="J5" i="9"/>
  <c r="I5" i="9"/>
  <c r="K5062" i="9"/>
  <c r="J5062" i="9"/>
  <c r="I5062" i="9"/>
  <c r="K4918" i="9"/>
  <c r="J4918" i="9"/>
  <c r="I4918" i="9"/>
  <c r="H4774" i="9"/>
  <c r="G4774" i="9"/>
  <c r="F4774" i="9"/>
  <c r="K4278" i="9"/>
  <c r="J4278" i="9"/>
  <c r="I4278" i="9"/>
  <c r="H4027" i="9"/>
  <c r="G4027" i="9"/>
  <c r="F4027" i="9"/>
  <c r="H4001" i="9"/>
  <c r="G4001" i="9"/>
  <c r="F4001" i="9"/>
  <c r="K3964" i="9"/>
  <c r="J3964" i="9"/>
  <c r="I3964" i="9"/>
  <c r="K3836" i="9"/>
  <c r="J3836" i="9"/>
  <c r="I3836" i="9"/>
  <c r="K3024" i="9"/>
  <c r="J3024" i="9"/>
  <c r="I3024" i="9"/>
  <c r="K3000" i="9"/>
  <c r="J3000" i="9"/>
  <c r="I3000" i="9"/>
  <c r="K2952" i="9"/>
  <c r="J2952" i="9"/>
  <c r="I2952" i="9"/>
  <c r="K2928" i="9"/>
  <c r="J2928" i="9"/>
  <c r="I2928" i="9"/>
  <c r="K2880" i="9"/>
  <c r="J2880" i="9"/>
  <c r="I2880" i="9"/>
  <c r="K2856" i="9"/>
  <c r="J2856" i="9"/>
  <c r="I2856" i="9"/>
  <c r="K2808" i="9"/>
  <c r="J2808" i="9"/>
  <c r="I2808" i="9"/>
  <c r="K2496" i="9"/>
  <c r="J2496" i="9"/>
  <c r="I2496" i="9"/>
  <c r="K2472" i="9"/>
  <c r="J2472" i="9"/>
  <c r="I2472" i="9"/>
  <c r="K2448" i="9"/>
  <c r="J2448" i="9"/>
  <c r="I2448" i="9"/>
  <c r="K2424" i="9"/>
  <c r="J2424" i="9"/>
  <c r="I2424" i="9"/>
  <c r="H2400" i="9"/>
  <c r="G2400" i="9"/>
  <c r="F2400" i="9"/>
  <c r="H2352" i="9"/>
  <c r="G2352" i="9"/>
  <c r="F2352" i="9"/>
  <c r="K2328" i="9"/>
  <c r="J2328" i="9"/>
  <c r="I2328" i="9"/>
  <c r="H2304" i="9"/>
  <c r="G2304" i="9"/>
  <c r="F2304" i="9"/>
  <c r="K2280" i="9"/>
  <c r="J2280" i="9"/>
  <c r="I2280" i="9"/>
  <c r="H2256" i="9"/>
  <c r="G2256" i="9"/>
  <c r="F2256" i="9"/>
  <c r="K2232" i="9"/>
  <c r="J2232" i="9"/>
  <c r="I2232" i="9"/>
  <c r="H2208" i="9"/>
  <c r="G2208" i="9"/>
  <c r="F2208" i="9"/>
  <c r="K2184" i="9"/>
  <c r="J2184" i="9"/>
  <c r="I2184" i="9"/>
  <c r="H2160" i="9"/>
  <c r="G2160" i="9"/>
  <c r="F2160" i="9"/>
  <c r="K2136" i="9"/>
  <c r="J2136" i="9"/>
  <c r="I2136" i="9"/>
  <c r="H2112" i="9"/>
  <c r="G2112" i="9"/>
  <c r="F2112" i="9"/>
  <c r="K2088" i="9"/>
  <c r="J2088" i="9"/>
  <c r="I2088" i="9"/>
  <c r="K2064" i="9"/>
  <c r="I2064" i="9"/>
  <c r="J2064" i="9"/>
  <c r="K2040" i="9"/>
  <c r="I2040" i="9"/>
  <c r="J2040" i="9"/>
  <c r="G1974" i="9"/>
  <c r="F1974" i="9"/>
  <c r="H1974" i="9"/>
  <c r="H757" i="9"/>
  <c r="G757" i="9"/>
  <c r="F757" i="9"/>
  <c r="H685" i="9"/>
  <c r="G685" i="9"/>
  <c r="F685" i="9"/>
  <c r="H661" i="9"/>
  <c r="G661" i="9"/>
  <c r="F661" i="9"/>
  <c r="H553" i="9"/>
  <c r="G553" i="9"/>
  <c r="F553" i="9"/>
  <c r="H505" i="9"/>
  <c r="G505" i="9"/>
  <c r="F505" i="9"/>
  <c r="J473" i="9"/>
  <c r="I473" i="9"/>
  <c r="K473" i="9"/>
  <c r="K4557" i="9"/>
  <c r="J4557" i="9"/>
  <c r="I4557" i="9"/>
  <c r="H4365" i="9"/>
  <c r="G4365" i="9"/>
  <c r="F4365" i="9"/>
  <c r="K3752" i="9"/>
  <c r="J3752" i="9"/>
  <c r="I3752" i="9"/>
  <c r="H3182" i="9"/>
  <c r="G3182" i="9"/>
  <c r="F3182" i="9"/>
  <c r="H3110" i="9"/>
  <c r="G3110" i="9"/>
  <c r="F3110" i="9"/>
  <c r="H3038" i="9"/>
  <c r="F3038" i="9"/>
  <c r="G3038" i="9"/>
  <c r="H2966" i="9"/>
  <c r="F2966" i="9"/>
  <c r="G2966" i="9"/>
  <c r="H2894" i="9"/>
  <c r="F2894" i="9"/>
  <c r="G2894" i="9"/>
  <c r="H2822" i="9"/>
  <c r="F2822" i="9"/>
  <c r="G2822" i="9"/>
  <c r="H2462" i="9"/>
  <c r="G2462" i="9"/>
  <c r="F2462" i="9"/>
  <c r="H2390" i="9"/>
  <c r="G2390" i="9"/>
  <c r="F2390" i="9"/>
  <c r="H2318" i="9"/>
  <c r="G2318" i="9"/>
  <c r="F2318" i="9"/>
  <c r="H2246" i="9"/>
  <c r="G2246" i="9"/>
  <c r="F2246" i="9"/>
  <c r="H2174" i="9"/>
  <c r="G2174" i="9"/>
  <c r="F2174" i="9"/>
  <c r="H2102" i="9"/>
  <c r="G2102" i="9"/>
  <c r="F2102" i="9"/>
  <c r="H2026" i="9"/>
  <c r="G2026" i="9"/>
  <c r="F2026" i="9"/>
  <c r="K1956" i="9"/>
  <c r="I1956" i="9"/>
  <c r="J1956" i="9"/>
  <c r="H1882" i="9"/>
  <c r="G1882" i="9"/>
  <c r="F1882" i="9"/>
  <c r="H1812" i="9"/>
  <c r="G1812" i="9"/>
  <c r="F1812" i="9"/>
  <c r="K6599" i="9"/>
  <c r="J6599" i="9"/>
  <c r="I6599" i="9"/>
  <c r="K6479" i="9"/>
  <c r="J6479" i="9"/>
  <c r="I6479" i="9"/>
  <c r="H6424" i="9"/>
  <c r="G6424" i="9"/>
  <c r="F6424" i="9"/>
  <c r="F5461" i="9"/>
  <c r="H5461" i="9"/>
  <c r="G5461" i="9"/>
  <c r="K4426" i="9"/>
  <c r="I4426" i="9"/>
  <c r="J4426" i="9"/>
  <c r="K5935" i="9"/>
  <c r="J5935" i="9"/>
  <c r="I5935" i="9"/>
  <c r="H5773" i="9"/>
  <c r="G5773" i="9"/>
  <c r="F5773" i="9"/>
  <c r="J5471" i="9"/>
  <c r="K5471" i="9"/>
  <c r="I5471" i="9"/>
  <c r="F4943" i="9"/>
  <c r="H4943" i="9"/>
  <c r="G4943" i="9"/>
  <c r="H4013" i="9"/>
  <c r="G4013" i="9"/>
  <c r="F4013" i="9"/>
  <c r="K6366" i="9"/>
  <c r="J6366" i="9"/>
  <c r="I6366" i="9"/>
  <c r="H5808" i="9"/>
  <c r="G5808" i="9"/>
  <c r="F5808" i="9"/>
  <c r="J5513" i="9"/>
  <c r="K5513" i="9"/>
  <c r="I5513" i="9"/>
  <c r="K5102" i="9"/>
  <c r="J5102" i="9"/>
  <c r="I5102" i="9"/>
  <c r="K4862" i="9"/>
  <c r="J4862" i="9"/>
  <c r="I4862" i="9"/>
  <c r="H4670" i="9"/>
  <c r="G4670" i="9"/>
  <c r="F4670" i="9"/>
  <c r="G4430" i="9"/>
  <c r="H4430" i="9"/>
  <c r="F4430" i="9"/>
  <c r="F4883" i="9"/>
  <c r="H4883" i="9"/>
  <c r="G4883" i="9"/>
  <c r="J6047" i="9"/>
  <c r="I6047" i="9"/>
  <c r="K6047" i="9"/>
  <c r="K5831" i="9"/>
  <c r="J5831" i="9"/>
  <c r="I5831" i="9"/>
  <c r="H4074" i="9"/>
  <c r="G4074" i="9"/>
  <c r="F4074" i="9"/>
  <c r="H5634" i="9"/>
  <c r="G5634" i="9"/>
  <c r="F5634" i="9"/>
  <c r="K5415" i="9"/>
  <c r="J5415" i="9"/>
  <c r="I5415" i="9"/>
  <c r="H4887" i="9"/>
  <c r="G4887" i="9"/>
  <c r="F4887" i="9"/>
  <c r="K5260" i="9"/>
  <c r="J5260" i="9"/>
  <c r="I5260" i="9"/>
  <c r="K4048" i="9"/>
  <c r="J4048" i="9"/>
  <c r="I4048" i="9"/>
  <c r="H3580" i="9"/>
  <c r="G3580" i="9"/>
  <c r="F3580" i="9"/>
  <c r="J2980" i="9"/>
  <c r="I2980" i="9"/>
  <c r="K2980" i="9"/>
  <c r="H2692" i="9"/>
  <c r="G2692" i="9"/>
  <c r="F2692" i="9"/>
  <c r="K1188" i="9"/>
  <c r="J1188" i="9"/>
  <c r="I1188" i="9"/>
  <c r="K216" i="9"/>
  <c r="J216" i="9"/>
  <c r="I216" i="9"/>
  <c r="K1404" i="9"/>
  <c r="J1404" i="9"/>
  <c r="I1404" i="9"/>
  <c r="K888" i="9"/>
  <c r="J888" i="9"/>
  <c r="I888" i="9"/>
  <c r="K552" i="9"/>
  <c r="I552" i="9"/>
  <c r="J552" i="9"/>
  <c r="K3483" i="9"/>
  <c r="J3483" i="9"/>
  <c r="I3483" i="9"/>
  <c r="K2691" i="9"/>
  <c r="J2691" i="9"/>
  <c r="I2691" i="9"/>
  <c r="J3199" i="9"/>
  <c r="I3199" i="9"/>
  <c r="K3199" i="9"/>
  <c r="K1319" i="9"/>
  <c r="J1319" i="9"/>
  <c r="I1319" i="9"/>
  <c r="K1175" i="9"/>
  <c r="J1175" i="9"/>
  <c r="I1175" i="9"/>
  <c r="K1043" i="9"/>
  <c r="J1043" i="9"/>
  <c r="I1043" i="9"/>
  <c r="K899" i="9"/>
  <c r="J899" i="9"/>
  <c r="I899" i="9"/>
  <c r="H423" i="9"/>
  <c r="F423" i="9"/>
  <c r="G423" i="9"/>
  <c r="H2786" i="9"/>
  <c r="F2786" i="9"/>
  <c r="G2786" i="9"/>
  <c r="H2282" i="9"/>
  <c r="G2282" i="9"/>
  <c r="F2282" i="9"/>
  <c r="K1836" i="9"/>
  <c r="I1836" i="9"/>
  <c r="J1836" i="9"/>
  <c r="H3592" i="9"/>
  <c r="G3592" i="9"/>
  <c r="F3592" i="9"/>
  <c r="G3376" i="9"/>
  <c r="F3376" i="9"/>
  <c r="H3376" i="9"/>
  <c r="J2944" i="9"/>
  <c r="I2944" i="9"/>
  <c r="K2944" i="9"/>
  <c r="H2680" i="9"/>
  <c r="G2680" i="9"/>
  <c r="F2680" i="9"/>
  <c r="K1705" i="9"/>
  <c r="J1705" i="9"/>
  <c r="I1705" i="9"/>
  <c r="G2010" i="9"/>
  <c r="F2010" i="9"/>
  <c r="H2010" i="9"/>
  <c r="H694" i="9"/>
  <c r="G694" i="9"/>
  <c r="F694" i="9"/>
  <c r="H466" i="9"/>
  <c r="G466" i="9"/>
  <c r="F466" i="9"/>
  <c r="K3308" i="9"/>
  <c r="J3308" i="9"/>
  <c r="I3308" i="9"/>
  <c r="H2924" i="9"/>
  <c r="G2924" i="9"/>
  <c r="F2924" i="9"/>
  <c r="H2482" i="9"/>
  <c r="G2482" i="9"/>
  <c r="F2482" i="9"/>
  <c r="K1647" i="9"/>
  <c r="J1647" i="9"/>
  <c r="I1647" i="9"/>
  <c r="H3413" i="9"/>
  <c r="G3413" i="9"/>
  <c r="F3413" i="9"/>
  <c r="H2333" i="9"/>
  <c r="G2333" i="9"/>
  <c r="F2333" i="9"/>
  <c r="K1465" i="9"/>
  <c r="J1465" i="9"/>
  <c r="I1465" i="9"/>
  <c r="K1321" i="9"/>
  <c r="J1321" i="9"/>
  <c r="I1321" i="9"/>
  <c r="K1177" i="9"/>
  <c r="J1177" i="9"/>
  <c r="I1177" i="9"/>
  <c r="K1045" i="9"/>
  <c r="J1045" i="9"/>
  <c r="I1045" i="9"/>
  <c r="H3134" i="9"/>
  <c r="G3134" i="9"/>
  <c r="F3134" i="9"/>
  <c r="H2486" i="9"/>
  <c r="G2486" i="9"/>
  <c r="F2486" i="9"/>
  <c r="K1860" i="9"/>
  <c r="I1860" i="9"/>
  <c r="J1860" i="9"/>
  <c r="H6607" i="9"/>
  <c r="G6607" i="9"/>
  <c r="F6607" i="9"/>
  <c r="H6595" i="9"/>
  <c r="G6595" i="9"/>
  <c r="F6595" i="9"/>
  <c r="H6583" i="9"/>
  <c r="G6583" i="9"/>
  <c r="F6583" i="9"/>
  <c r="H6571" i="9"/>
  <c r="G6571" i="9"/>
  <c r="F6571" i="9"/>
  <c r="H6559" i="9"/>
  <c r="G6559" i="9"/>
  <c r="F6559" i="9"/>
  <c r="H6547" i="9"/>
  <c r="G6547" i="9"/>
  <c r="F6547" i="9"/>
  <c r="H6535" i="9"/>
  <c r="G6535" i="9"/>
  <c r="F6535" i="9"/>
  <c r="G6475" i="9"/>
  <c r="F6475" i="9"/>
  <c r="H6475" i="9"/>
  <c r="G6463" i="9"/>
  <c r="F6463" i="9"/>
  <c r="H6463" i="9"/>
  <c r="G6451" i="9"/>
  <c r="F6451" i="9"/>
  <c r="H6451" i="9"/>
  <c r="G6439" i="9"/>
  <c r="F6439" i="9"/>
  <c r="H6439" i="9"/>
  <c r="G6427" i="9"/>
  <c r="F6427" i="9"/>
  <c r="H6427" i="9"/>
  <c r="K6367" i="9"/>
  <c r="J6367" i="9"/>
  <c r="I6367" i="9"/>
  <c r="K6355" i="9"/>
  <c r="J6355" i="9"/>
  <c r="I6355" i="9"/>
  <c r="K6564" i="9"/>
  <c r="J6564" i="9"/>
  <c r="I6564" i="9"/>
  <c r="H6552" i="9"/>
  <c r="G6552" i="9"/>
  <c r="F6552" i="9"/>
  <c r="K6540" i="9"/>
  <c r="J6540" i="9"/>
  <c r="I6540" i="9"/>
  <c r="H6528" i="9"/>
  <c r="G6528" i="9"/>
  <c r="F6528" i="9"/>
  <c r="H6516" i="9"/>
  <c r="G6516" i="9"/>
  <c r="F6516" i="9"/>
  <c r="H6504" i="9"/>
  <c r="G6504" i="9"/>
  <c r="F6504" i="9"/>
  <c r="H6492" i="9"/>
  <c r="G6492" i="9"/>
  <c r="F6492" i="9"/>
  <c r="H6480" i="9"/>
  <c r="G6480" i="9"/>
  <c r="F6480" i="9"/>
  <c r="G6468" i="9"/>
  <c r="H6468" i="9"/>
  <c r="F6468" i="9"/>
  <c r="G6456" i="9"/>
  <c r="F6456" i="9"/>
  <c r="H6456" i="9"/>
  <c r="I6420" i="9"/>
  <c r="J6420" i="9"/>
  <c r="K6420" i="9"/>
  <c r="H6408" i="9"/>
  <c r="G6408" i="9"/>
  <c r="F6408" i="9"/>
  <c r="H6396" i="9"/>
  <c r="G6396" i="9"/>
  <c r="F6396" i="9"/>
  <c r="H6384" i="9"/>
  <c r="G6384" i="9"/>
  <c r="F6384" i="9"/>
  <c r="H6372" i="9"/>
  <c r="G6372" i="9"/>
  <c r="F6372" i="9"/>
  <c r="H6360" i="9"/>
  <c r="G6360" i="9"/>
  <c r="F6360" i="9"/>
  <c r="H6348" i="9"/>
  <c r="G6348" i="9"/>
  <c r="F6348" i="9"/>
  <c r="H6336" i="9"/>
  <c r="G6336" i="9"/>
  <c r="F6336" i="9"/>
  <c r="G5690" i="9"/>
  <c r="H5690" i="9"/>
  <c r="F5690" i="9"/>
  <c r="H5669" i="9"/>
  <c r="G5669" i="9"/>
  <c r="F5669" i="9"/>
  <c r="G5642" i="9"/>
  <c r="F5642" i="9"/>
  <c r="H5642" i="9"/>
  <c r="G5594" i="9"/>
  <c r="F5594" i="9"/>
  <c r="H5594" i="9"/>
  <c r="G5546" i="9"/>
  <c r="F5546" i="9"/>
  <c r="H5546" i="9"/>
  <c r="G5498" i="9"/>
  <c r="H5498" i="9"/>
  <c r="F5498" i="9"/>
  <c r="H5450" i="9"/>
  <c r="G5450" i="9"/>
  <c r="F5450" i="9"/>
  <c r="K5381" i="9"/>
  <c r="J5381" i="9"/>
  <c r="I5381" i="9"/>
  <c r="G5354" i="9"/>
  <c r="H5354" i="9"/>
  <c r="F5354" i="9"/>
  <c r="K5306" i="9"/>
  <c r="J5306" i="9"/>
  <c r="I5306" i="9"/>
  <c r="K5258" i="9"/>
  <c r="J5258" i="9"/>
  <c r="I5258" i="9"/>
  <c r="H5237" i="9"/>
  <c r="G5237" i="9"/>
  <c r="F5237" i="9"/>
  <c r="K5210" i="9"/>
  <c r="J5210" i="9"/>
  <c r="I5210" i="9"/>
  <c r="H5189" i="9"/>
  <c r="G5189" i="9"/>
  <c r="F5189" i="9"/>
  <c r="K5162" i="9"/>
  <c r="J5162" i="9"/>
  <c r="I5162" i="9"/>
  <c r="H5141" i="9"/>
  <c r="G5141" i="9"/>
  <c r="F5141" i="9"/>
  <c r="K5114" i="9"/>
  <c r="J5114" i="9"/>
  <c r="I5114" i="9"/>
  <c r="H5093" i="9"/>
  <c r="G5093" i="9"/>
  <c r="F5093" i="9"/>
  <c r="H5045" i="9"/>
  <c r="G5045" i="9"/>
  <c r="F5045" i="9"/>
  <c r="H4997" i="9"/>
  <c r="G4997" i="9"/>
  <c r="F4997" i="9"/>
  <c r="H4949" i="9"/>
  <c r="G4949" i="9"/>
  <c r="F4949" i="9"/>
  <c r="H4901" i="9"/>
  <c r="G4901" i="9"/>
  <c r="F4901" i="9"/>
  <c r="H4853" i="9"/>
  <c r="G4853" i="9"/>
  <c r="F4853" i="9"/>
  <c r="F4805" i="9"/>
  <c r="H4805" i="9"/>
  <c r="G4805" i="9"/>
  <c r="H4778" i="9"/>
  <c r="G4778" i="9"/>
  <c r="F4778" i="9"/>
  <c r="F4757" i="9"/>
  <c r="H4757" i="9"/>
  <c r="G4757" i="9"/>
  <c r="H4730" i="9"/>
  <c r="G4730" i="9"/>
  <c r="F4730" i="9"/>
  <c r="G4709" i="9"/>
  <c r="F4709" i="9"/>
  <c r="H4709" i="9"/>
  <c r="G4661" i="9"/>
  <c r="F4661" i="9"/>
  <c r="H4661" i="9"/>
  <c r="G4613" i="9"/>
  <c r="F4613" i="9"/>
  <c r="H4613" i="9"/>
  <c r="G4565" i="9"/>
  <c r="F4565" i="9"/>
  <c r="H4565" i="9"/>
  <c r="G4517" i="9"/>
  <c r="F4517" i="9"/>
  <c r="H4517" i="9"/>
  <c r="G4469" i="9"/>
  <c r="F4469" i="9"/>
  <c r="H4469" i="9"/>
  <c r="G4394" i="9"/>
  <c r="F4394" i="9"/>
  <c r="H4394" i="9"/>
  <c r="G4346" i="9"/>
  <c r="F4346" i="9"/>
  <c r="H4346" i="9"/>
  <c r="G4298" i="9"/>
  <c r="F4298" i="9"/>
  <c r="H4298" i="9"/>
  <c r="G4250" i="9"/>
  <c r="F4250" i="9"/>
  <c r="H4250" i="9"/>
  <c r="G4202" i="9"/>
  <c r="F4202" i="9"/>
  <c r="H4202" i="9"/>
  <c r="H4172" i="9"/>
  <c r="G4172" i="9"/>
  <c r="F4172" i="9"/>
  <c r="F4129" i="9"/>
  <c r="H4129" i="9"/>
  <c r="G4129" i="9"/>
  <c r="H6589" i="9"/>
  <c r="G6589" i="9"/>
  <c r="F6589" i="9"/>
  <c r="H6517" i="9"/>
  <c r="G6517" i="9"/>
  <c r="F6517" i="9"/>
  <c r="K6445" i="9"/>
  <c r="J6445" i="9"/>
  <c r="I6445" i="9"/>
  <c r="G6409" i="9"/>
  <c r="F6409" i="9"/>
  <c r="H6409" i="9"/>
  <c r="G6373" i="9"/>
  <c r="F6373" i="9"/>
  <c r="H6373" i="9"/>
  <c r="H6343" i="9"/>
  <c r="F6343" i="9"/>
  <c r="G6343" i="9"/>
  <c r="H6325" i="9"/>
  <c r="G6325" i="9"/>
  <c r="F6325" i="9"/>
  <c r="H6289" i="9"/>
  <c r="G6289" i="9"/>
  <c r="F6289" i="9"/>
  <c r="G6253" i="9"/>
  <c r="F6253" i="9"/>
  <c r="H6253" i="9"/>
  <c r="G6217" i="9"/>
  <c r="F6217" i="9"/>
  <c r="H6217" i="9"/>
  <c r="G6181" i="9"/>
  <c r="F6181" i="9"/>
  <c r="H6181" i="9"/>
  <c r="G6145" i="9"/>
  <c r="F6145" i="9"/>
  <c r="H6145" i="9"/>
  <c r="G6127" i="9"/>
  <c r="F6127" i="9"/>
  <c r="H6127" i="9"/>
  <c r="G6091" i="9"/>
  <c r="F6091" i="9"/>
  <c r="H6091" i="9"/>
  <c r="G6055" i="9"/>
  <c r="F6055" i="9"/>
  <c r="H6055" i="9"/>
  <c r="G6019" i="9"/>
  <c r="F6019" i="9"/>
  <c r="H6019" i="9"/>
  <c r="H6001" i="9"/>
  <c r="G6001" i="9"/>
  <c r="F6001" i="9"/>
  <c r="H5965" i="9"/>
  <c r="G5965" i="9"/>
  <c r="F5965" i="9"/>
  <c r="H5929" i="9"/>
  <c r="G5929" i="9"/>
  <c r="F5929" i="9"/>
  <c r="H5893" i="9"/>
  <c r="G5893" i="9"/>
  <c r="F5893" i="9"/>
  <c r="G5875" i="9"/>
  <c r="F5875" i="9"/>
  <c r="H5875" i="9"/>
  <c r="G5839" i="9"/>
  <c r="F5839" i="9"/>
  <c r="H5839" i="9"/>
  <c r="G5803" i="9"/>
  <c r="F5803" i="9"/>
  <c r="H5803" i="9"/>
  <c r="G5767" i="9"/>
  <c r="F5767" i="9"/>
  <c r="H5767" i="9"/>
  <c r="F5749" i="9"/>
  <c r="H5749" i="9"/>
  <c r="G5749" i="9"/>
  <c r="H5731" i="9"/>
  <c r="G5731" i="9"/>
  <c r="F5731" i="9"/>
  <c r="F5713" i="9"/>
  <c r="H5713" i="9"/>
  <c r="G5713" i="9"/>
  <c r="K5695" i="9"/>
  <c r="J5695" i="9"/>
  <c r="I5695" i="9"/>
  <c r="K5647" i="9"/>
  <c r="J5647" i="9"/>
  <c r="I5647" i="9"/>
  <c r="K5599" i="9"/>
  <c r="J5599" i="9"/>
  <c r="I5599" i="9"/>
  <c r="K5503" i="9"/>
  <c r="J5503" i="9"/>
  <c r="I5503" i="9"/>
  <c r="K5311" i="9"/>
  <c r="I5311" i="9"/>
  <c r="J5311" i="9"/>
  <c r="H5263" i="9"/>
  <c r="G5263" i="9"/>
  <c r="F5263" i="9"/>
  <c r="H5215" i="9"/>
  <c r="G5215" i="9"/>
  <c r="F5215" i="9"/>
  <c r="H5167" i="9"/>
  <c r="G5167" i="9"/>
  <c r="F5167" i="9"/>
  <c r="H5119" i="9"/>
  <c r="G5119" i="9"/>
  <c r="F5119" i="9"/>
  <c r="F5071" i="9"/>
  <c r="H5071" i="9"/>
  <c r="G5071" i="9"/>
  <c r="F5023" i="9"/>
  <c r="H5023" i="9"/>
  <c r="G5023" i="9"/>
  <c r="F4975" i="9"/>
  <c r="H4975" i="9"/>
  <c r="G4975" i="9"/>
  <c r="F4927" i="9"/>
  <c r="H4927" i="9"/>
  <c r="G4927" i="9"/>
  <c r="F4879" i="9"/>
  <c r="H4879" i="9"/>
  <c r="G4879" i="9"/>
  <c r="F4831" i="9"/>
  <c r="H4831" i="9"/>
  <c r="G4831" i="9"/>
  <c r="G4687" i="9"/>
  <c r="F4687" i="9"/>
  <c r="H4687" i="9"/>
  <c r="G4639" i="9"/>
  <c r="F4639" i="9"/>
  <c r="H4639" i="9"/>
  <c r="G4591" i="9"/>
  <c r="F4591" i="9"/>
  <c r="H4591" i="9"/>
  <c r="G4543" i="9"/>
  <c r="F4543" i="9"/>
  <c r="H4543" i="9"/>
  <c r="G4495" i="9"/>
  <c r="F4495" i="9"/>
  <c r="H4495" i="9"/>
  <c r="G4447" i="9"/>
  <c r="F4447" i="9"/>
  <c r="H4447" i="9"/>
  <c r="H4399" i="9"/>
  <c r="G4399" i="9"/>
  <c r="F4399" i="9"/>
  <c r="H4351" i="9"/>
  <c r="G4351" i="9"/>
  <c r="F4351" i="9"/>
  <c r="H4303" i="9"/>
  <c r="G4303" i="9"/>
  <c r="F4303" i="9"/>
  <c r="H4255" i="9"/>
  <c r="G4255" i="9"/>
  <c r="F4255" i="9"/>
  <c r="H4138" i="9"/>
  <c r="G4138" i="9"/>
  <c r="F4138" i="9"/>
  <c r="H4066" i="9"/>
  <c r="G4066" i="9"/>
  <c r="F4066" i="9"/>
  <c r="H3994" i="9"/>
  <c r="G3994" i="9"/>
  <c r="F3994" i="9"/>
  <c r="H5620" i="9"/>
  <c r="G5620" i="9"/>
  <c r="F5620" i="9"/>
  <c r="H5572" i="9"/>
  <c r="G5572" i="9"/>
  <c r="F5572" i="9"/>
  <c r="K5524" i="9"/>
  <c r="J5524" i="9"/>
  <c r="I5524" i="9"/>
  <c r="K5476" i="9"/>
  <c r="I5476" i="9"/>
  <c r="J5476" i="9"/>
  <c r="H5428" i="9"/>
  <c r="G5428" i="9"/>
  <c r="F5428" i="9"/>
  <c r="K5284" i="9"/>
  <c r="J5284" i="9"/>
  <c r="I5284" i="9"/>
  <c r="K5236" i="9"/>
  <c r="J5236" i="9"/>
  <c r="I5236" i="9"/>
  <c r="H5092" i="9"/>
  <c r="G5092" i="9"/>
  <c r="F5092" i="9"/>
  <c r="H5044" i="9"/>
  <c r="G5044" i="9"/>
  <c r="F5044" i="9"/>
  <c r="H4996" i="9"/>
  <c r="G4996" i="9"/>
  <c r="F4996" i="9"/>
  <c r="H4948" i="9"/>
  <c r="G4948" i="9"/>
  <c r="F4948" i="9"/>
  <c r="H4900" i="9"/>
  <c r="G4900" i="9"/>
  <c r="F4900" i="9"/>
  <c r="H4852" i="9"/>
  <c r="G4852" i="9"/>
  <c r="F4852" i="9"/>
  <c r="G4804" i="9"/>
  <c r="F4804" i="9"/>
  <c r="H4804" i="9"/>
  <c r="G4756" i="9"/>
  <c r="F4756" i="9"/>
  <c r="H4756" i="9"/>
  <c r="H4708" i="9"/>
  <c r="G4708" i="9"/>
  <c r="F4708" i="9"/>
  <c r="H4660" i="9"/>
  <c r="G4660" i="9"/>
  <c r="F4660" i="9"/>
  <c r="H4612" i="9"/>
  <c r="G4612" i="9"/>
  <c r="F4612" i="9"/>
  <c r="H4564" i="9"/>
  <c r="G4564" i="9"/>
  <c r="F4564" i="9"/>
  <c r="H4516" i="9"/>
  <c r="G4516" i="9"/>
  <c r="F4516" i="9"/>
  <c r="H4468" i="9"/>
  <c r="G4468" i="9"/>
  <c r="F4468" i="9"/>
  <c r="G4420" i="9"/>
  <c r="F4420" i="9"/>
  <c r="H4420" i="9"/>
  <c r="G4372" i="9"/>
  <c r="F4372" i="9"/>
  <c r="H4372" i="9"/>
  <c r="G4324" i="9"/>
  <c r="F4324" i="9"/>
  <c r="H4324" i="9"/>
  <c r="G4276" i="9"/>
  <c r="F4276" i="9"/>
  <c r="H4276" i="9"/>
  <c r="G4228" i="9"/>
  <c r="F4228" i="9"/>
  <c r="H4228" i="9"/>
  <c r="K4181" i="9"/>
  <c r="J4181" i="9"/>
  <c r="I4181" i="9"/>
  <c r="G4152" i="9"/>
  <c r="F4152" i="9"/>
  <c r="H4152" i="9"/>
  <c r="K4109" i="9"/>
  <c r="J4109" i="9"/>
  <c r="I4109" i="9"/>
  <c r="G4080" i="9"/>
  <c r="F4080" i="9"/>
  <c r="H4080" i="9"/>
  <c r="K4037" i="9"/>
  <c r="J4037" i="9"/>
  <c r="I4037" i="9"/>
  <c r="G4008" i="9"/>
  <c r="F4008" i="9"/>
  <c r="H4008" i="9"/>
  <c r="K3965" i="9"/>
  <c r="J3965" i="9"/>
  <c r="I3965" i="9"/>
  <c r="G3936" i="9"/>
  <c r="F3936" i="9"/>
  <c r="H3936" i="9"/>
  <c r="F3893" i="9"/>
  <c r="H3893" i="9"/>
  <c r="G3893" i="9"/>
  <c r="H3864" i="9"/>
  <c r="G3864" i="9"/>
  <c r="F3864" i="9"/>
  <c r="F3821" i="9"/>
  <c r="H3821" i="9"/>
  <c r="G3821" i="9"/>
  <c r="H3792" i="9"/>
  <c r="G3792" i="9"/>
  <c r="F3792" i="9"/>
  <c r="H3759" i="9"/>
  <c r="G3759" i="9"/>
  <c r="F3759" i="9"/>
  <c r="F6606" i="9"/>
  <c r="H6606" i="9"/>
  <c r="G6606" i="9"/>
  <c r="F6570" i="9"/>
  <c r="H6570" i="9"/>
  <c r="G6570" i="9"/>
  <c r="F6534" i="9"/>
  <c r="H6534" i="9"/>
  <c r="G6534" i="9"/>
  <c r="H6462" i="9"/>
  <c r="G6462" i="9"/>
  <c r="F6462" i="9"/>
  <c r="H6426" i="9"/>
  <c r="G6426" i="9"/>
  <c r="F6426" i="9"/>
  <c r="H6390" i="9"/>
  <c r="G6390" i="9"/>
  <c r="F6390" i="9"/>
  <c r="K6354" i="9"/>
  <c r="J6354" i="9"/>
  <c r="I6354" i="9"/>
  <c r="H6324" i="9"/>
  <c r="G6324" i="9"/>
  <c r="F6324" i="9"/>
  <c r="H6252" i="9"/>
  <c r="G6252" i="9"/>
  <c r="F6252" i="9"/>
  <c r="H6234" i="9"/>
  <c r="G6234" i="9"/>
  <c r="F6234" i="9"/>
  <c r="H6216" i="9"/>
  <c r="G6216" i="9"/>
  <c r="F6216" i="9"/>
  <c r="H6198" i="9"/>
  <c r="G6198" i="9"/>
  <c r="F6198" i="9"/>
  <c r="H6180" i="9"/>
  <c r="G6180" i="9"/>
  <c r="F6180" i="9"/>
  <c r="H6162" i="9"/>
  <c r="G6162" i="9"/>
  <c r="F6162" i="9"/>
  <c r="H6144" i="9"/>
  <c r="G6144" i="9"/>
  <c r="F6144" i="9"/>
  <c r="H6126" i="9"/>
  <c r="G6126" i="9"/>
  <c r="F6126" i="9"/>
  <c r="H6108" i="9"/>
  <c r="G6108" i="9"/>
  <c r="F6108" i="9"/>
  <c r="H6090" i="9"/>
  <c r="G6090" i="9"/>
  <c r="F6090" i="9"/>
  <c r="H6072" i="9"/>
  <c r="G6072" i="9"/>
  <c r="F6072" i="9"/>
  <c r="H6036" i="9"/>
  <c r="G6036" i="9"/>
  <c r="F6036" i="9"/>
  <c r="H6000" i="9"/>
  <c r="G6000" i="9"/>
  <c r="F6000" i="9"/>
  <c r="H5964" i="9"/>
  <c r="G5964" i="9"/>
  <c r="F5964" i="9"/>
  <c r="H5928" i="9"/>
  <c r="G5928" i="9"/>
  <c r="F5928" i="9"/>
  <c r="H5892" i="9"/>
  <c r="G5892" i="9"/>
  <c r="F5892" i="9"/>
  <c r="F5874" i="9"/>
  <c r="H5874" i="9"/>
  <c r="G5874" i="9"/>
  <c r="K5856" i="9"/>
  <c r="J5856" i="9"/>
  <c r="I5856" i="9"/>
  <c r="F5838" i="9"/>
  <c r="H5838" i="9"/>
  <c r="G5838" i="9"/>
  <c r="H5820" i="9"/>
  <c r="G5820" i="9"/>
  <c r="F5820" i="9"/>
  <c r="F5802" i="9"/>
  <c r="H5802" i="9"/>
  <c r="G5802" i="9"/>
  <c r="K5784" i="9"/>
  <c r="J5784" i="9"/>
  <c r="I5784" i="9"/>
  <c r="G5748" i="9"/>
  <c r="F5748" i="9"/>
  <c r="H5748" i="9"/>
  <c r="G5712" i="9"/>
  <c r="F5712" i="9"/>
  <c r="H5712" i="9"/>
  <c r="H5673" i="9"/>
  <c r="G5673" i="9"/>
  <c r="F5673" i="9"/>
  <c r="K5625" i="9"/>
  <c r="J5625" i="9"/>
  <c r="I5625" i="9"/>
  <c r="L5625" i="9" s="1"/>
  <c r="M5625" i="9" s="1"/>
  <c r="F5529" i="9"/>
  <c r="H5529" i="9"/>
  <c r="G5529" i="9"/>
  <c r="H5433" i="9"/>
  <c r="G5433" i="9"/>
  <c r="F5433" i="9"/>
  <c r="H5406" i="9"/>
  <c r="G5406" i="9"/>
  <c r="F5406" i="9"/>
  <c r="H5385" i="9"/>
  <c r="G5385" i="9"/>
  <c r="F5385" i="9"/>
  <c r="K5358" i="9"/>
  <c r="I5358" i="9"/>
  <c r="J5358" i="9"/>
  <c r="H5337" i="9"/>
  <c r="G5337" i="9"/>
  <c r="F5337" i="9"/>
  <c r="F5289" i="9"/>
  <c r="H5289" i="9"/>
  <c r="G5289" i="9"/>
  <c r="H5262" i="9"/>
  <c r="G5262" i="9"/>
  <c r="F5262" i="9"/>
  <c r="F5241" i="9"/>
  <c r="H5241" i="9"/>
  <c r="G5241" i="9"/>
  <c r="H5214" i="9"/>
  <c r="G5214" i="9"/>
  <c r="F5214" i="9"/>
  <c r="F5193" i="9"/>
  <c r="H5193" i="9"/>
  <c r="G5193" i="9"/>
  <c r="H5166" i="9"/>
  <c r="G5166" i="9"/>
  <c r="F5166" i="9"/>
  <c r="F5145" i="9"/>
  <c r="H5145" i="9"/>
  <c r="G5145" i="9"/>
  <c r="H5118" i="9"/>
  <c r="G5118" i="9"/>
  <c r="F5118" i="9"/>
  <c r="G5070" i="9"/>
  <c r="F5070" i="9"/>
  <c r="H5070" i="9"/>
  <c r="G5022" i="9"/>
  <c r="F5022" i="9"/>
  <c r="H5022" i="9"/>
  <c r="G4974" i="9"/>
  <c r="F4974" i="9"/>
  <c r="H4974" i="9"/>
  <c r="G4926" i="9"/>
  <c r="F4926" i="9"/>
  <c r="H4926" i="9"/>
  <c r="G4878" i="9"/>
  <c r="F4878" i="9"/>
  <c r="H4878" i="9"/>
  <c r="G4830" i="9"/>
  <c r="F4830" i="9"/>
  <c r="H4830" i="9"/>
  <c r="K4809" i="9"/>
  <c r="J4809" i="9"/>
  <c r="I4809" i="9"/>
  <c r="H4782" i="9"/>
  <c r="G4782" i="9"/>
  <c r="F4782" i="9"/>
  <c r="H4761" i="9"/>
  <c r="G4761" i="9"/>
  <c r="F4761" i="9"/>
  <c r="H4734" i="9"/>
  <c r="G4734" i="9"/>
  <c r="F4734" i="9"/>
  <c r="F4686" i="9"/>
  <c r="H4686" i="9"/>
  <c r="G4686" i="9"/>
  <c r="F4638" i="9"/>
  <c r="H4638" i="9"/>
  <c r="G4638" i="9"/>
  <c r="F4590" i="9"/>
  <c r="H4590" i="9"/>
  <c r="G4590" i="9"/>
  <c r="F4542" i="9"/>
  <c r="H4542" i="9"/>
  <c r="G4542" i="9"/>
  <c r="F4494" i="9"/>
  <c r="H4494" i="9"/>
  <c r="G4494" i="9"/>
  <c r="F4446" i="9"/>
  <c r="H4446" i="9"/>
  <c r="G4446" i="9"/>
  <c r="J4425" i="9"/>
  <c r="K4425" i="9"/>
  <c r="I4425" i="9"/>
  <c r="K4377" i="9"/>
  <c r="J4377" i="9"/>
  <c r="I4377" i="9"/>
  <c r="K4329" i="9"/>
  <c r="J4329" i="9"/>
  <c r="I4329" i="9"/>
  <c r="K4281" i="9"/>
  <c r="J4281" i="9"/>
  <c r="I4281" i="9"/>
  <c r="K4233" i="9"/>
  <c r="J4233" i="9"/>
  <c r="I4233" i="9"/>
  <c r="K4171" i="9"/>
  <c r="J4171" i="9"/>
  <c r="I4171" i="9"/>
  <c r="H4142" i="9"/>
  <c r="G4142" i="9"/>
  <c r="F4142" i="9"/>
  <c r="K4099" i="9"/>
  <c r="J4099" i="9"/>
  <c r="I4099" i="9"/>
  <c r="K5683" i="9"/>
  <c r="J5683" i="9"/>
  <c r="I5683" i="9"/>
  <c r="H5635" i="9"/>
  <c r="G5635" i="9"/>
  <c r="F5635" i="9"/>
  <c r="K5587" i="9"/>
  <c r="J5587" i="9"/>
  <c r="I5587" i="9"/>
  <c r="K5539" i="9"/>
  <c r="J5539" i="9"/>
  <c r="I5539" i="9"/>
  <c r="K5491" i="9"/>
  <c r="J5491" i="9"/>
  <c r="I5491" i="9"/>
  <c r="H5443" i="9"/>
  <c r="G5443" i="9"/>
  <c r="F5443" i="9"/>
  <c r="K5347" i="9"/>
  <c r="J5347" i="9"/>
  <c r="I5347" i="9"/>
  <c r="H5299" i="9"/>
  <c r="G5299" i="9"/>
  <c r="F5299" i="9"/>
  <c r="H5251" i="9"/>
  <c r="G5251" i="9"/>
  <c r="F5251" i="9"/>
  <c r="H5203" i="9"/>
  <c r="G5203" i="9"/>
  <c r="F5203" i="9"/>
  <c r="H5155" i="9"/>
  <c r="G5155" i="9"/>
  <c r="F5155" i="9"/>
  <c r="H5107" i="9"/>
  <c r="G5107" i="9"/>
  <c r="F5107" i="9"/>
  <c r="F5059" i="9"/>
  <c r="H5059" i="9"/>
  <c r="G5059" i="9"/>
  <c r="F5011" i="9"/>
  <c r="H5011" i="9"/>
  <c r="G5011" i="9"/>
  <c r="F4963" i="9"/>
  <c r="H4963" i="9"/>
  <c r="G4963" i="9"/>
  <c r="F4915" i="9"/>
  <c r="H4915" i="9"/>
  <c r="G4915" i="9"/>
  <c r="F4867" i="9"/>
  <c r="H4867" i="9"/>
  <c r="G4867" i="9"/>
  <c r="F4819" i="9"/>
  <c r="H4819" i="9"/>
  <c r="G4819" i="9"/>
  <c r="K4723" i="9"/>
  <c r="J4723" i="9"/>
  <c r="I4723" i="9"/>
  <c r="G4675" i="9"/>
  <c r="F4675" i="9"/>
  <c r="H4675" i="9"/>
  <c r="G4627" i="9"/>
  <c r="F4627" i="9"/>
  <c r="H4627" i="9"/>
  <c r="G4579" i="9"/>
  <c r="F4579" i="9"/>
  <c r="H4579" i="9"/>
  <c r="G4531" i="9"/>
  <c r="F4531" i="9"/>
  <c r="H4531" i="9"/>
  <c r="G4483" i="9"/>
  <c r="F4483" i="9"/>
  <c r="H4483" i="9"/>
  <c r="H4387" i="9"/>
  <c r="G4387" i="9"/>
  <c r="F4387" i="9"/>
  <c r="H4339" i="9"/>
  <c r="G4339" i="9"/>
  <c r="F4339" i="9"/>
  <c r="H4291" i="9"/>
  <c r="G4291" i="9"/>
  <c r="F4291" i="9"/>
  <c r="H4243" i="9"/>
  <c r="G4243" i="9"/>
  <c r="F4243" i="9"/>
  <c r="K4195" i="9"/>
  <c r="I4195" i="9"/>
  <c r="J4195" i="9"/>
  <c r="H4161" i="9"/>
  <c r="G4161" i="9"/>
  <c r="F4161" i="9"/>
  <c r="H4089" i="9"/>
  <c r="G4089" i="9"/>
  <c r="F4089" i="9"/>
  <c r="G6593" i="9"/>
  <c r="F6593" i="9"/>
  <c r="H6593" i="9"/>
  <c r="G6557" i="9"/>
  <c r="F6557" i="9"/>
  <c r="H6557" i="9"/>
  <c r="F6521" i="9"/>
  <c r="H6521" i="9"/>
  <c r="G6521" i="9"/>
  <c r="H6485" i="9"/>
  <c r="G6485" i="9"/>
  <c r="F6485" i="9"/>
  <c r="H6449" i="9"/>
  <c r="G6449" i="9"/>
  <c r="F6449" i="9"/>
  <c r="H6347" i="9"/>
  <c r="G6347" i="9"/>
  <c r="F6347" i="9"/>
  <c r="G6329" i="9"/>
  <c r="F6329" i="9"/>
  <c r="H6329" i="9"/>
  <c r="H6311" i="9"/>
  <c r="G6311" i="9"/>
  <c r="F6311" i="9"/>
  <c r="G6293" i="9"/>
  <c r="F6293" i="9"/>
  <c r="H6293" i="9"/>
  <c r="H6239" i="9"/>
  <c r="G6239" i="9"/>
  <c r="F6239" i="9"/>
  <c r="H6203" i="9"/>
  <c r="G6203" i="9"/>
  <c r="F6203" i="9"/>
  <c r="H6167" i="9"/>
  <c r="G6167" i="9"/>
  <c r="F6167" i="9"/>
  <c r="H6113" i="9"/>
  <c r="G6113" i="9"/>
  <c r="F6113" i="9"/>
  <c r="H6077" i="9"/>
  <c r="G6077" i="9"/>
  <c r="F6077" i="9"/>
  <c r="G6005" i="9"/>
  <c r="F6005" i="9"/>
  <c r="H6005" i="9"/>
  <c r="G5969" i="9"/>
  <c r="F5969" i="9"/>
  <c r="H5969" i="9"/>
  <c r="G5933" i="9"/>
  <c r="F5933" i="9"/>
  <c r="H5933" i="9"/>
  <c r="G5897" i="9"/>
  <c r="F5897" i="9"/>
  <c r="H5897" i="9"/>
  <c r="G5861" i="9"/>
  <c r="F5861" i="9"/>
  <c r="H5861" i="9"/>
  <c r="G5825" i="9"/>
  <c r="F5825" i="9"/>
  <c r="H5825" i="9"/>
  <c r="G5789" i="9"/>
  <c r="F5789" i="9"/>
  <c r="H5789" i="9"/>
  <c r="H5753" i="9"/>
  <c r="G5753" i="9"/>
  <c r="F5753" i="9"/>
  <c r="H5735" i="9"/>
  <c r="G5735" i="9"/>
  <c r="F5735" i="9"/>
  <c r="H5717" i="9"/>
  <c r="G5717" i="9"/>
  <c r="F5717" i="9"/>
  <c r="H5699" i="9"/>
  <c r="G5699" i="9"/>
  <c r="F5699" i="9"/>
  <c r="F5608" i="9"/>
  <c r="H5608" i="9"/>
  <c r="G5608" i="9"/>
  <c r="H5560" i="9"/>
  <c r="G5560" i="9"/>
  <c r="F5560" i="9"/>
  <c r="K5512" i="9"/>
  <c r="I5512" i="9"/>
  <c r="J5512" i="9"/>
  <c r="K5464" i="9"/>
  <c r="I5464" i="9"/>
  <c r="J5464" i="9"/>
  <c r="H5416" i="9"/>
  <c r="G5416" i="9"/>
  <c r="F5416" i="9"/>
  <c r="H5080" i="9"/>
  <c r="G5080" i="9"/>
  <c r="F5080" i="9"/>
  <c r="H5032" i="9"/>
  <c r="G5032" i="9"/>
  <c r="F5032" i="9"/>
  <c r="H4984" i="9"/>
  <c r="G4984" i="9"/>
  <c r="F4984" i="9"/>
  <c r="H4936" i="9"/>
  <c r="G4936" i="9"/>
  <c r="F4936" i="9"/>
  <c r="H4888" i="9"/>
  <c r="G4888" i="9"/>
  <c r="F4888" i="9"/>
  <c r="H4840" i="9"/>
  <c r="G4840" i="9"/>
  <c r="F4840" i="9"/>
  <c r="G4792" i="9"/>
  <c r="F4792" i="9"/>
  <c r="H4792" i="9"/>
  <c r="G4744" i="9"/>
  <c r="F4744" i="9"/>
  <c r="H4744" i="9"/>
  <c r="H4696" i="9"/>
  <c r="G4696" i="9"/>
  <c r="F4696" i="9"/>
  <c r="H4648" i="9"/>
  <c r="G4648" i="9"/>
  <c r="F4648" i="9"/>
  <c r="H4600" i="9"/>
  <c r="G4600" i="9"/>
  <c r="F4600" i="9"/>
  <c r="H4552" i="9"/>
  <c r="G4552" i="9"/>
  <c r="F4552" i="9"/>
  <c r="H4504" i="9"/>
  <c r="G4504" i="9"/>
  <c r="F4504" i="9"/>
  <c r="H4456" i="9"/>
  <c r="G4456" i="9"/>
  <c r="F4456" i="9"/>
  <c r="G4408" i="9"/>
  <c r="F4408" i="9"/>
  <c r="H4408" i="9"/>
  <c r="G4360" i="9"/>
  <c r="F4360" i="9"/>
  <c r="H4360" i="9"/>
  <c r="G4312" i="9"/>
  <c r="F4312" i="9"/>
  <c r="H4312" i="9"/>
  <c r="G4264" i="9"/>
  <c r="F4264" i="9"/>
  <c r="H4264" i="9"/>
  <c r="G4216" i="9"/>
  <c r="H4216" i="9"/>
  <c r="F4216" i="9"/>
  <c r="K4170" i="9"/>
  <c r="J4170" i="9"/>
  <c r="I4170" i="9"/>
  <c r="H4127" i="9"/>
  <c r="G4127" i="9"/>
  <c r="F4127" i="9"/>
  <c r="K4098" i="9"/>
  <c r="J4098" i="9"/>
  <c r="I4098" i="9"/>
  <c r="H4055" i="9"/>
  <c r="G4055" i="9"/>
  <c r="F4055" i="9"/>
  <c r="K4026" i="9"/>
  <c r="J4026" i="9"/>
  <c r="I4026" i="9"/>
  <c r="H3983" i="9"/>
  <c r="G3983" i="9"/>
  <c r="F3983" i="9"/>
  <c r="K3954" i="9"/>
  <c r="J3954" i="9"/>
  <c r="I3954" i="9"/>
  <c r="H3911" i="9"/>
  <c r="G3911" i="9"/>
  <c r="F3911" i="9"/>
  <c r="G3882" i="9"/>
  <c r="F3882" i="9"/>
  <c r="H3882" i="9"/>
  <c r="K3839" i="9"/>
  <c r="J3839" i="9"/>
  <c r="I3839" i="9"/>
  <c r="G3810" i="9"/>
  <c r="F3810" i="9"/>
  <c r="H3810" i="9"/>
  <c r="K3767" i="9"/>
  <c r="J3767" i="9"/>
  <c r="I3767" i="9"/>
  <c r="G3736" i="9"/>
  <c r="F3736" i="9"/>
  <c r="H3736" i="9"/>
  <c r="F5677" i="9"/>
  <c r="H5677" i="9"/>
  <c r="G5677" i="9"/>
  <c r="H5650" i="9"/>
  <c r="G5650" i="9"/>
  <c r="F5650" i="9"/>
  <c r="H5629" i="9"/>
  <c r="G5629" i="9"/>
  <c r="F5629" i="9"/>
  <c r="H5581" i="9"/>
  <c r="G5581" i="9"/>
  <c r="F5581" i="9"/>
  <c r="G5437" i="9"/>
  <c r="F5437" i="9"/>
  <c r="H5437" i="9"/>
  <c r="H5410" i="9"/>
  <c r="G5410" i="9"/>
  <c r="F5410" i="9"/>
  <c r="F5389" i="9"/>
  <c r="H5389" i="9"/>
  <c r="G5389" i="9"/>
  <c r="H5362" i="9"/>
  <c r="G5362" i="9"/>
  <c r="F5362" i="9"/>
  <c r="H5341" i="9"/>
  <c r="F5341" i="9"/>
  <c r="G5341" i="9"/>
  <c r="H5314" i="9"/>
  <c r="F5314" i="9"/>
  <c r="G5314" i="9"/>
  <c r="K5293" i="9"/>
  <c r="J5293" i="9"/>
  <c r="I5293" i="9"/>
  <c r="H5266" i="9"/>
  <c r="G5266" i="9"/>
  <c r="F5266" i="9"/>
  <c r="H5218" i="9"/>
  <c r="G5218" i="9"/>
  <c r="F5218" i="9"/>
  <c r="K5197" i="9"/>
  <c r="J5197" i="9"/>
  <c r="I5197" i="9"/>
  <c r="H5170" i="9"/>
  <c r="G5170" i="9"/>
  <c r="F5170" i="9"/>
  <c r="K5149" i="9"/>
  <c r="J5149" i="9"/>
  <c r="I5149" i="9"/>
  <c r="H5122" i="9"/>
  <c r="G5122" i="9"/>
  <c r="F5122" i="9"/>
  <c r="H5101" i="9"/>
  <c r="G5101" i="9"/>
  <c r="F5101" i="9"/>
  <c r="H5053" i="9"/>
  <c r="G5053" i="9"/>
  <c r="F5053" i="9"/>
  <c r="H5005" i="9"/>
  <c r="G5005" i="9"/>
  <c r="F5005" i="9"/>
  <c r="H4957" i="9"/>
  <c r="G4957" i="9"/>
  <c r="F4957" i="9"/>
  <c r="H4909" i="9"/>
  <c r="G4909" i="9"/>
  <c r="F4909" i="9"/>
  <c r="H4861" i="9"/>
  <c r="G4861" i="9"/>
  <c r="F4861" i="9"/>
  <c r="H4813" i="9"/>
  <c r="G4813" i="9"/>
  <c r="F4813" i="9"/>
  <c r="K4786" i="9"/>
  <c r="J4786" i="9"/>
  <c r="I4786" i="9"/>
  <c r="H4765" i="9"/>
  <c r="G4765" i="9"/>
  <c r="F4765" i="9"/>
  <c r="K4738" i="9"/>
  <c r="I4738" i="9"/>
  <c r="J4738" i="9"/>
  <c r="K6610" i="9"/>
  <c r="J6610" i="9"/>
  <c r="I6610" i="9"/>
  <c r="K6574" i="9"/>
  <c r="J6574" i="9"/>
  <c r="I6574" i="9"/>
  <c r="K6538" i="9"/>
  <c r="J6538" i="9"/>
  <c r="I6538" i="9"/>
  <c r="K6502" i="9"/>
  <c r="J6502" i="9"/>
  <c r="I6502" i="9"/>
  <c r="H6394" i="9"/>
  <c r="G6394" i="9"/>
  <c r="F6394" i="9"/>
  <c r="K6322" i="9"/>
  <c r="J6322" i="9"/>
  <c r="I6322" i="9"/>
  <c r="F6304" i="9"/>
  <c r="H6304" i="9"/>
  <c r="G6304" i="9"/>
  <c r="K6286" i="9"/>
  <c r="J6286" i="9"/>
  <c r="I6286" i="9"/>
  <c r="F6268" i="9"/>
  <c r="H6268" i="9"/>
  <c r="G6268" i="9"/>
  <c r="H6250" i="9"/>
  <c r="G6250" i="9"/>
  <c r="F6250" i="9"/>
  <c r="H6214" i="9"/>
  <c r="G6214" i="9"/>
  <c r="F6214" i="9"/>
  <c r="H6178" i="9"/>
  <c r="G6178" i="9"/>
  <c r="F6178" i="9"/>
  <c r="H6124" i="9"/>
  <c r="G6124" i="9"/>
  <c r="F6124" i="9"/>
  <c r="H6088" i="9"/>
  <c r="G6088" i="9"/>
  <c r="F6088" i="9"/>
  <c r="H6052" i="9"/>
  <c r="G6052" i="9"/>
  <c r="F6052" i="9"/>
  <c r="K5998" i="9"/>
  <c r="J5998" i="9"/>
  <c r="I5998" i="9"/>
  <c r="F5980" i="9"/>
  <c r="H5980" i="9"/>
  <c r="G5980" i="9"/>
  <c r="K5962" i="9"/>
  <c r="J5962" i="9"/>
  <c r="I5962" i="9"/>
  <c r="F5944" i="9"/>
  <c r="H5944" i="9"/>
  <c r="G5944" i="9"/>
  <c r="H5926" i="9"/>
  <c r="G5926" i="9"/>
  <c r="F5926" i="9"/>
  <c r="F5908" i="9"/>
  <c r="H5908" i="9"/>
  <c r="G5908" i="9"/>
  <c r="K5890" i="9"/>
  <c r="J5890" i="9"/>
  <c r="I5890" i="9"/>
  <c r="H5872" i="9"/>
  <c r="G5872" i="9"/>
  <c r="F5872" i="9"/>
  <c r="H5854" i="9"/>
  <c r="G5854" i="9"/>
  <c r="F5854" i="9"/>
  <c r="H5836" i="9"/>
  <c r="G5836" i="9"/>
  <c r="F5836" i="9"/>
  <c r="H5818" i="9"/>
  <c r="G5818" i="9"/>
  <c r="F5818" i="9"/>
  <c r="H5800" i="9"/>
  <c r="G5800" i="9"/>
  <c r="F5800" i="9"/>
  <c r="H5782" i="9"/>
  <c r="G5782" i="9"/>
  <c r="F5782" i="9"/>
  <c r="H5746" i="9"/>
  <c r="G5746" i="9"/>
  <c r="F5746" i="9"/>
  <c r="H5710" i="9"/>
  <c r="G5710" i="9"/>
  <c r="F5710" i="9"/>
  <c r="H5687" i="9"/>
  <c r="G5687" i="9"/>
  <c r="F5687" i="9"/>
  <c r="H5639" i="9"/>
  <c r="G5639" i="9"/>
  <c r="F5639" i="9"/>
  <c r="H5591" i="9"/>
  <c r="G5591" i="9"/>
  <c r="F5591" i="9"/>
  <c r="J5495" i="9"/>
  <c r="I5495" i="9"/>
  <c r="K5495" i="9"/>
  <c r="G5447" i="9"/>
  <c r="F5447" i="9"/>
  <c r="H5447" i="9"/>
  <c r="G5399" i="9"/>
  <c r="F5399" i="9"/>
  <c r="H5399" i="9"/>
  <c r="H5351" i="9"/>
  <c r="G5351" i="9"/>
  <c r="F5351" i="9"/>
  <c r="K5063" i="9"/>
  <c r="J5063" i="9"/>
  <c r="I5063" i="9"/>
  <c r="K5015" i="9"/>
  <c r="J5015" i="9"/>
  <c r="I5015" i="9"/>
  <c r="K4967" i="9"/>
  <c r="J4967" i="9"/>
  <c r="I4967" i="9"/>
  <c r="K4919" i="9"/>
  <c r="J4919" i="9"/>
  <c r="I4919" i="9"/>
  <c r="K4871" i="9"/>
  <c r="J4871" i="9"/>
  <c r="I4871" i="9"/>
  <c r="K4823" i="9"/>
  <c r="I4823" i="9"/>
  <c r="J4823" i="9"/>
  <c r="K4775" i="9"/>
  <c r="J4775" i="9"/>
  <c r="I4775" i="9"/>
  <c r="K4727" i="9"/>
  <c r="J4727" i="9"/>
  <c r="I4727" i="9"/>
  <c r="K4679" i="9"/>
  <c r="J4679" i="9"/>
  <c r="I4679" i="9"/>
  <c r="K4631" i="9"/>
  <c r="J4631" i="9"/>
  <c r="I4631" i="9"/>
  <c r="K4583" i="9"/>
  <c r="J4583" i="9"/>
  <c r="I4583" i="9"/>
  <c r="K4535" i="9"/>
  <c r="J4535" i="9"/>
  <c r="I4535" i="9"/>
  <c r="K4487" i="9"/>
  <c r="J4487" i="9"/>
  <c r="I4487" i="9"/>
  <c r="K4439" i="9"/>
  <c r="J4439" i="9"/>
  <c r="I4439" i="9"/>
  <c r="H4391" i="9"/>
  <c r="G4391" i="9"/>
  <c r="F4391" i="9"/>
  <c r="H4343" i="9"/>
  <c r="G4343" i="9"/>
  <c r="F4343" i="9"/>
  <c r="H4295" i="9"/>
  <c r="G4295" i="9"/>
  <c r="F4295" i="9"/>
  <c r="H4247" i="9"/>
  <c r="G4247" i="9"/>
  <c r="F4247" i="9"/>
  <c r="H4199" i="9"/>
  <c r="G4199" i="9"/>
  <c r="F4199" i="9"/>
  <c r="G5676" i="9"/>
  <c r="F5676" i="9"/>
  <c r="H5676" i="9"/>
  <c r="H5628" i="9"/>
  <c r="G5628" i="9"/>
  <c r="F5628" i="9"/>
  <c r="H5580" i="9"/>
  <c r="G5580" i="9"/>
  <c r="F5580" i="9"/>
  <c r="F5436" i="9"/>
  <c r="H5436" i="9"/>
  <c r="G5436" i="9"/>
  <c r="F5388" i="9"/>
  <c r="G5388" i="9"/>
  <c r="H5388" i="9"/>
  <c r="G5340" i="9"/>
  <c r="F5340" i="9"/>
  <c r="H5340" i="9"/>
  <c r="K5100" i="9"/>
  <c r="J5100" i="9"/>
  <c r="I5100" i="9"/>
  <c r="K5052" i="9"/>
  <c r="J5052" i="9"/>
  <c r="I5052" i="9"/>
  <c r="K5004" i="9"/>
  <c r="J5004" i="9"/>
  <c r="I5004" i="9"/>
  <c r="K4956" i="9"/>
  <c r="J4956" i="9"/>
  <c r="I4956" i="9"/>
  <c r="K4908" i="9"/>
  <c r="J4908" i="9"/>
  <c r="I4908" i="9"/>
  <c r="K4860" i="9"/>
  <c r="J4860" i="9"/>
  <c r="I4860" i="9"/>
  <c r="H4812" i="9"/>
  <c r="G4812" i="9"/>
  <c r="F4812" i="9"/>
  <c r="H4764" i="9"/>
  <c r="G4764" i="9"/>
  <c r="F4764" i="9"/>
  <c r="H6501" i="9"/>
  <c r="G6501" i="9"/>
  <c r="F6501" i="9"/>
  <c r="G6465" i="9"/>
  <c r="F6465" i="9"/>
  <c r="H6465" i="9"/>
  <c r="F6429" i="9"/>
  <c r="H6429" i="9"/>
  <c r="G6429" i="9"/>
  <c r="H6393" i="9"/>
  <c r="G6393" i="9"/>
  <c r="F6393" i="9"/>
  <c r="K6357" i="9"/>
  <c r="J6357" i="9"/>
  <c r="I6357" i="9"/>
  <c r="G6303" i="9"/>
  <c r="F6303" i="9"/>
  <c r="H6303" i="9"/>
  <c r="H6249" i="9"/>
  <c r="G6249" i="9"/>
  <c r="F6249" i="9"/>
  <c r="G6231" i="9"/>
  <c r="F6231" i="9"/>
  <c r="H6231" i="9"/>
  <c r="H6213" i="9"/>
  <c r="G6213" i="9"/>
  <c r="F6213" i="9"/>
  <c r="G6195" i="9"/>
  <c r="F6195" i="9"/>
  <c r="H6195" i="9"/>
  <c r="H6177" i="9"/>
  <c r="G6177" i="9"/>
  <c r="F6177" i="9"/>
  <c r="G6159" i="9"/>
  <c r="F6159" i="9"/>
  <c r="H6159" i="9"/>
  <c r="H6123" i="9"/>
  <c r="G6123" i="9"/>
  <c r="F6123" i="9"/>
  <c r="G6105" i="9"/>
  <c r="F6105" i="9"/>
  <c r="H6105" i="9"/>
  <c r="H6087" i="9"/>
  <c r="G6087" i="9"/>
  <c r="F6087" i="9"/>
  <c r="G6069" i="9"/>
  <c r="F6069" i="9"/>
  <c r="H6069" i="9"/>
  <c r="H6051" i="9"/>
  <c r="F6051" i="9"/>
  <c r="G6051" i="9"/>
  <c r="G6033" i="9"/>
  <c r="F6033" i="9"/>
  <c r="H6033" i="9"/>
  <c r="G5979" i="9"/>
  <c r="F5979" i="9"/>
  <c r="H5979" i="9"/>
  <c r="G5943" i="9"/>
  <c r="F5943" i="9"/>
  <c r="H5943" i="9"/>
  <c r="G5907" i="9"/>
  <c r="F5907" i="9"/>
  <c r="H5907" i="9"/>
  <c r="H5871" i="9"/>
  <c r="G5871" i="9"/>
  <c r="F5871" i="9"/>
  <c r="H5835" i="9"/>
  <c r="G5835" i="9"/>
  <c r="F5835" i="9"/>
  <c r="H5799" i="9"/>
  <c r="G5799" i="9"/>
  <c r="F5799" i="9"/>
  <c r="H5745" i="9"/>
  <c r="G5745" i="9"/>
  <c r="F5745" i="9"/>
  <c r="H5709" i="9"/>
  <c r="G5709" i="9"/>
  <c r="F5709" i="9"/>
  <c r="H5686" i="9"/>
  <c r="G5686" i="9"/>
  <c r="F5686" i="9"/>
  <c r="F5665" i="9"/>
  <c r="H5665" i="9"/>
  <c r="G5665" i="9"/>
  <c r="H5638" i="9"/>
  <c r="G5638" i="9"/>
  <c r="F5638" i="9"/>
  <c r="H5617" i="9"/>
  <c r="G5617" i="9"/>
  <c r="F5617" i="9"/>
  <c r="H5590" i="9"/>
  <c r="G5590" i="9"/>
  <c r="F5590" i="9"/>
  <c r="H5569" i="9"/>
  <c r="G5569" i="9"/>
  <c r="F5569" i="9"/>
  <c r="K5542" i="9"/>
  <c r="J5542" i="9"/>
  <c r="I5542" i="9"/>
  <c r="H5446" i="9"/>
  <c r="G5446" i="9"/>
  <c r="F5446" i="9"/>
  <c r="G5425" i="9"/>
  <c r="F5425" i="9"/>
  <c r="H5425" i="9"/>
  <c r="H5398" i="9"/>
  <c r="G5398" i="9"/>
  <c r="F5398" i="9"/>
  <c r="F5377" i="9"/>
  <c r="G5377" i="9"/>
  <c r="H5377" i="9"/>
  <c r="H5329" i="9"/>
  <c r="F5329" i="9"/>
  <c r="G5329" i="9"/>
  <c r="H5302" i="9"/>
  <c r="G5302" i="9"/>
  <c r="F5302" i="9"/>
  <c r="K5281" i="9"/>
  <c r="J5281" i="9"/>
  <c r="I5281" i="9"/>
  <c r="F5254" i="9"/>
  <c r="H5254" i="9"/>
  <c r="G5254" i="9"/>
  <c r="K5233" i="9"/>
  <c r="J5233" i="9"/>
  <c r="I5233" i="9"/>
  <c r="H5206" i="9"/>
  <c r="G5206" i="9"/>
  <c r="F5206" i="9"/>
  <c r="H5675" i="9"/>
  <c r="G5675" i="9"/>
  <c r="F5675" i="9"/>
  <c r="H5627" i="9"/>
  <c r="G5627" i="9"/>
  <c r="F5627" i="9"/>
  <c r="H5579" i="9"/>
  <c r="G5579" i="9"/>
  <c r="F5579" i="9"/>
  <c r="G5435" i="9"/>
  <c r="F5435" i="9"/>
  <c r="H5435" i="9"/>
  <c r="G5387" i="9"/>
  <c r="F5387" i="9"/>
  <c r="H5387" i="9"/>
  <c r="H5339" i="9"/>
  <c r="G5339" i="9"/>
  <c r="F5339" i="9"/>
  <c r="K5099" i="9"/>
  <c r="J5099" i="9"/>
  <c r="I5099" i="9"/>
  <c r="K5051" i="9"/>
  <c r="J5051" i="9"/>
  <c r="I5051" i="9"/>
  <c r="K5003" i="9"/>
  <c r="J5003" i="9"/>
  <c r="I5003" i="9"/>
  <c r="K4955" i="9"/>
  <c r="J4955" i="9"/>
  <c r="I4955" i="9"/>
  <c r="K4907" i="9"/>
  <c r="J4907" i="9"/>
  <c r="I4907" i="9"/>
  <c r="K4859" i="9"/>
  <c r="J4859" i="9"/>
  <c r="I4859" i="9"/>
  <c r="K4811" i="9"/>
  <c r="J4811" i="9"/>
  <c r="I4811" i="9"/>
  <c r="K4763" i="9"/>
  <c r="J4763" i="9"/>
  <c r="I4763" i="9"/>
  <c r="J4715" i="9"/>
  <c r="K4715" i="9"/>
  <c r="I4715" i="9"/>
  <c r="K4667" i="9"/>
  <c r="J4667" i="9"/>
  <c r="I4667" i="9"/>
  <c r="K4619" i="9"/>
  <c r="J4619" i="9"/>
  <c r="I4619" i="9"/>
  <c r="K4571" i="9"/>
  <c r="J4571" i="9"/>
  <c r="I4571" i="9"/>
  <c r="K4523" i="9"/>
  <c r="J4523" i="9"/>
  <c r="I4523" i="9"/>
  <c r="K4475" i="9"/>
  <c r="J4475" i="9"/>
  <c r="I4475" i="9"/>
  <c r="H4379" i="9"/>
  <c r="G4379" i="9"/>
  <c r="F4379" i="9"/>
  <c r="H4331" i="9"/>
  <c r="G4331" i="9"/>
  <c r="F4331" i="9"/>
  <c r="H4283" i="9"/>
  <c r="G4283" i="9"/>
  <c r="F4283" i="9"/>
  <c r="H4235" i="9"/>
  <c r="G4235" i="9"/>
  <c r="F4235" i="9"/>
  <c r="H4173" i="9"/>
  <c r="G4173" i="9"/>
  <c r="F4173" i="9"/>
  <c r="H4101" i="9"/>
  <c r="G4101" i="9"/>
  <c r="F4101" i="9"/>
  <c r="H4029" i="9"/>
  <c r="G4029" i="9"/>
  <c r="F4029" i="9"/>
  <c r="H3957" i="9"/>
  <c r="G3957" i="9"/>
  <c r="F3957" i="9"/>
  <c r="H3885" i="9"/>
  <c r="G3885" i="9"/>
  <c r="F3885" i="9"/>
  <c r="H6602" i="9"/>
  <c r="G6602" i="9"/>
  <c r="F6602" i="9"/>
  <c r="H6566" i="9"/>
  <c r="G6566" i="9"/>
  <c r="F6566" i="9"/>
  <c r="H6530" i="9"/>
  <c r="G6530" i="9"/>
  <c r="F6530" i="9"/>
  <c r="H6494" i="9"/>
  <c r="G6494" i="9"/>
  <c r="F6494" i="9"/>
  <c r="K6458" i="9"/>
  <c r="J6458" i="9"/>
  <c r="I6458" i="9"/>
  <c r="F6386" i="9"/>
  <c r="H6386" i="9"/>
  <c r="G6386" i="9"/>
  <c r="F6350" i="9"/>
  <c r="H6350" i="9"/>
  <c r="G6350" i="9"/>
  <c r="H6320" i="9"/>
  <c r="G6320" i="9"/>
  <c r="F6320" i="9"/>
  <c r="H6302" i="9"/>
  <c r="G6302" i="9"/>
  <c r="F6302" i="9"/>
  <c r="K6284" i="9"/>
  <c r="J6284" i="9"/>
  <c r="I6284" i="9"/>
  <c r="K6248" i="9"/>
  <c r="J6248" i="9"/>
  <c r="I6248" i="9"/>
  <c r="F6230" i="9"/>
  <c r="H6230" i="9"/>
  <c r="G6230" i="9"/>
  <c r="K6212" i="9"/>
  <c r="J6212" i="9"/>
  <c r="I6212" i="9"/>
  <c r="F6194" i="9"/>
  <c r="H6194" i="9"/>
  <c r="G6194" i="9"/>
  <c r="K6176" i="9"/>
  <c r="J6176" i="9"/>
  <c r="I6176" i="9"/>
  <c r="F6158" i="9"/>
  <c r="H6158" i="9"/>
  <c r="G6158" i="9"/>
  <c r="K6140" i="9"/>
  <c r="J6140" i="9"/>
  <c r="I6140" i="9"/>
  <c r="K6122" i="9"/>
  <c r="J6122" i="9"/>
  <c r="I6122" i="9"/>
  <c r="F6104" i="9"/>
  <c r="H6104" i="9"/>
  <c r="G6104" i="9"/>
  <c r="K6086" i="9"/>
  <c r="J6086" i="9"/>
  <c r="I6086" i="9"/>
  <c r="F6068" i="9"/>
  <c r="H6068" i="9"/>
  <c r="G6068" i="9"/>
  <c r="K6050" i="9"/>
  <c r="J6050" i="9"/>
  <c r="I6050" i="9"/>
  <c r="F6032" i="9"/>
  <c r="H6032" i="9"/>
  <c r="G6032" i="9"/>
  <c r="K6014" i="9"/>
  <c r="J6014" i="9"/>
  <c r="I6014" i="9"/>
  <c r="H5996" i="9"/>
  <c r="F5996" i="9"/>
  <c r="G5996" i="9"/>
  <c r="H5978" i="9"/>
  <c r="G5978" i="9"/>
  <c r="F5978" i="9"/>
  <c r="H5960" i="9"/>
  <c r="G5960" i="9"/>
  <c r="F5960" i="9"/>
  <c r="H5942" i="9"/>
  <c r="G5942" i="9"/>
  <c r="F5942" i="9"/>
  <c r="H5924" i="9"/>
  <c r="G5924" i="9"/>
  <c r="F5924" i="9"/>
  <c r="H5906" i="9"/>
  <c r="G5906" i="9"/>
  <c r="F5906" i="9"/>
  <c r="H5888" i="9"/>
  <c r="G5888" i="9"/>
  <c r="F5888" i="9"/>
  <c r="H5870" i="9"/>
  <c r="G5870" i="9"/>
  <c r="F5870" i="9"/>
  <c r="H5834" i="9"/>
  <c r="G5834" i="9"/>
  <c r="F5834" i="9"/>
  <c r="H5798" i="9"/>
  <c r="G5798" i="9"/>
  <c r="F5798" i="9"/>
  <c r="G5762" i="9"/>
  <c r="H5762" i="9"/>
  <c r="F5762" i="9"/>
  <c r="H5744" i="9"/>
  <c r="G5744" i="9"/>
  <c r="F5744" i="9"/>
  <c r="G5726" i="9"/>
  <c r="H5726" i="9"/>
  <c r="F5726" i="9"/>
  <c r="H5708" i="9"/>
  <c r="G5708" i="9"/>
  <c r="F5708" i="9"/>
  <c r="H5632" i="9"/>
  <c r="G5632" i="9"/>
  <c r="F5632" i="9"/>
  <c r="F5584" i="9"/>
  <c r="H5584" i="9"/>
  <c r="G5584" i="9"/>
  <c r="K5536" i="9"/>
  <c r="J5536" i="9"/>
  <c r="I5536" i="9"/>
  <c r="K5488" i="9"/>
  <c r="I5488" i="9"/>
  <c r="J5488" i="9"/>
  <c r="H5440" i="9"/>
  <c r="G5440" i="9"/>
  <c r="F5440" i="9"/>
  <c r="K5248" i="9"/>
  <c r="J5248" i="9"/>
  <c r="I5248" i="9"/>
  <c r="H5104" i="9"/>
  <c r="G5104" i="9"/>
  <c r="F5104" i="9"/>
  <c r="H5056" i="9"/>
  <c r="G5056" i="9"/>
  <c r="F5056" i="9"/>
  <c r="H5008" i="9"/>
  <c r="G5008" i="9"/>
  <c r="F5008" i="9"/>
  <c r="H4960" i="9"/>
  <c r="G4960" i="9"/>
  <c r="F4960" i="9"/>
  <c r="H4912" i="9"/>
  <c r="G4912" i="9"/>
  <c r="F4912" i="9"/>
  <c r="H4864" i="9"/>
  <c r="G4864" i="9"/>
  <c r="F4864" i="9"/>
  <c r="G4816" i="9"/>
  <c r="F4816" i="9"/>
  <c r="H4816" i="9"/>
  <c r="G4768" i="9"/>
  <c r="F4768" i="9"/>
  <c r="H4768" i="9"/>
  <c r="H4672" i="9"/>
  <c r="G4672" i="9"/>
  <c r="F4672" i="9"/>
  <c r="H4624" i="9"/>
  <c r="G4624" i="9"/>
  <c r="F4624" i="9"/>
  <c r="H4576" i="9"/>
  <c r="G4576" i="9"/>
  <c r="F4576" i="9"/>
  <c r="H4528" i="9"/>
  <c r="G4528" i="9"/>
  <c r="F4528" i="9"/>
  <c r="H4480" i="9"/>
  <c r="G4480" i="9"/>
  <c r="F4480" i="9"/>
  <c r="H4432" i="9"/>
  <c r="F4432" i="9"/>
  <c r="G4432" i="9"/>
  <c r="G4384" i="9"/>
  <c r="F4384" i="9"/>
  <c r="H4384" i="9"/>
  <c r="G4336" i="9"/>
  <c r="F4336" i="9"/>
  <c r="H4336" i="9"/>
  <c r="G4288" i="9"/>
  <c r="F4288" i="9"/>
  <c r="H4288" i="9"/>
  <c r="G4240" i="9"/>
  <c r="F4240" i="9"/>
  <c r="H4240" i="9"/>
  <c r="F4192" i="9"/>
  <c r="H4192" i="9"/>
  <c r="G4192" i="9"/>
  <c r="H4163" i="9"/>
  <c r="G4163" i="9"/>
  <c r="F4163" i="9"/>
  <c r="K4134" i="9"/>
  <c r="J4134" i="9"/>
  <c r="I4134" i="9"/>
  <c r="H4091" i="9"/>
  <c r="G4091" i="9"/>
  <c r="F4091" i="9"/>
  <c r="K4062" i="9"/>
  <c r="J4062" i="9"/>
  <c r="I4062" i="9"/>
  <c r="H4019" i="9"/>
  <c r="G4019" i="9"/>
  <c r="F4019" i="9"/>
  <c r="K3990" i="9"/>
  <c r="J3990" i="9"/>
  <c r="I3990" i="9"/>
  <c r="H3947" i="9"/>
  <c r="G3947" i="9"/>
  <c r="F3947" i="9"/>
  <c r="K3918" i="9"/>
  <c r="J3918" i="9"/>
  <c r="I3918" i="9"/>
  <c r="K3875" i="9"/>
  <c r="J3875" i="9"/>
  <c r="I3875" i="9"/>
  <c r="K4785" i="9"/>
  <c r="J4785" i="9"/>
  <c r="I4785" i="9"/>
  <c r="G4673" i="9"/>
  <c r="F4673" i="9"/>
  <c r="H4673" i="9"/>
  <c r="G4481" i="9"/>
  <c r="F4481" i="9"/>
  <c r="H4481" i="9"/>
  <c r="G4370" i="9"/>
  <c r="F4370" i="9"/>
  <c r="H4370" i="9"/>
  <c r="H4184" i="9"/>
  <c r="G4184" i="9"/>
  <c r="F4184" i="9"/>
  <c r="F4021" i="9"/>
  <c r="H4021" i="9"/>
  <c r="G4021" i="9"/>
  <c r="H3958" i="9"/>
  <c r="G3958" i="9"/>
  <c r="F3958" i="9"/>
  <c r="H3932" i="9"/>
  <c r="G3932" i="9"/>
  <c r="F3932" i="9"/>
  <c r="H3830" i="9"/>
  <c r="G3830" i="9"/>
  <c r="F3830" i="9"/>
  <c r="H3805" i="9"/>
  <c r="G3805" i="9"/>
  <c r="F3805" i="9"/>
  <c r="K3743" i="9"/>
  <c r="J3743" i="9"/>
  <c r="I3743" i="9"/>
  <c r="K3719" i="9"/>
  <c r="J3719" i="9"/>
  <c r="I3719" i="9"/>
  <c r="K3695" i="9"/>
  <c r="J3695" i="9"/>
  <c r="I3695" i="9"/>
  <c r="K3671" i="9"/>
  <c r="J3671" i="9"/>
  <c r="I3671" i="9"/>
  <c r="K3647" i="9"/>
  <c r="J3647" i="9"/>
  <c r="I3647" i="9"/>
  <c r="G3623" i="9"/>
  <c r="F3623" i="9"/>
  <c r="H3623" i="9"/>
  <c r="G3599" i="9"/>
  <c r="F3599" i="9"/>
  <c r="H3599" i="9"/>
  <c r="G3575" i="9"/>
  <c r="F3575" i="9"/>
  <c r="H3575" i="9"/>
  <c r="G3551" i="9"/>
  <c r="F3551" i="9"/>
  <c r="H3551" i="9"/>
  <c r="G3527" i="9"/>
  <c r="F3527" i="9"/>
  <c r="H3527" i="9"/>
  <c r="G3503" i="9"/>
  <c r="F3503" i="9"/>
  <c r="H3503" i="9"/>
  <c r="G3479" i="9"/>
  <c r="F3479" i="9"/>
  <c r="H3479" i="9"/>
  <c r="G3455" i="9"/>
  <c r="F3455" i="9"/>
  <c r="H3455" i="9"/>
  <c r="G3431" i="9"/>
  <c r="F3431" i="9"/>
  <c r="H3431" i="9"/>
  <c r="G3407" i="9"/>
  <c r="F3407" i="9"/>
  <c r="H3407" i="9"/>
  <c r="G3383" i="9"/>
  <c r="F3383" i="9"/>
  <c r="H3383" i="9"/>
  <c r="H3359" i="9"/>
  <c r="G3359" i="9"/>
  <c r="F3359" i="9"/>
  <c r="K3335" i="9"/>
  <c r="J3335" i="9"/>
  <c r="I3335" i="9"/>
  <c r="K3311" i="9"/>
  <c r="J3311" i="9"/>
  <c r="I3311" i="9"/>
  <c r="K3287" i="9"/>
  <c r="J3287" i="9"/>
  <c r="I3287" i="9"/>
  <c r="K3263" i="9"/>
  <c r="J3263" i="9"/>
  <c r="I3263" i="9"/>
  <c r="K3239" i="9"/>
  <c r="J3239" i="9"/>
  <c r="I3239" i="9"/>
  <c r="K3215" i="9"/>
  <c r="J3215" i="9"/>
  <c r="I3215" i="9"/>
  <c r="K3191" i="9"/>
  <c r="J3191" i="9"/>
  <c r="I3191" i="9"/>
  <c r="K3167" i="9"/>
  <c r="J3167" i="9"/>
  <c r="I3167" i="9"/>
  <c r="K3143" i="9"/>
  <c r="J3143" i="9"/>
  <c r="I3143" i="9"/>
  <c r="K3119" i="9"/>
  <c r="J3119" i="9"/>
  <c r="I3119" i="9"/>
  <c r="K3095" i="9"/>
  <c r="J3095" i="9"/>
  <c r="I3095" i="9"/>
  <c r="K3071" i="9"/>
  <c r="J3071" i="9"/>
  <c r="I3071" i="9"/>
  <c r="K3047" i="9"/>
  <c r="I3047" i="9"/>
  <c r="J3047" i="9"/>
  <c r="K3023" i="9"/>
  <c r="I3023" i="9"/>
  <c r="J3023" i="9"/>
  <c r="K2999" i="9"/>
  <c r="I2999" i="9"/>
  <c r="J2999" i="9"/>
  <c r="K2975" i="9"/>
  <c r="I2975" i="9"/>
  <c r="J2975" i="9"/>
  <c r="K2951" i="9"/>
  <c r="I2951" i="9"/>
  <c r="J2951" i="9"/>
  <c r="K2927" i="9"/>
  <c r="I2927" i="9"/>
  <c r="J2927" i="9"/>
  <c r="K2903" i="9"/>
  <c r="I2903" i="9"/>
  <c r="J2903" i="9"/>
  <c r="K2879" i="9"/>
  <c r="I2879" i="9"/>
  <c r="J2879" i="9"/>
  <c r="K2855" i="9"/>
  <c r="I2855" i="9"/>
  <c r="J2855" i="9"/>
  <c r="K2831" i="9"/>
  <c r="I2831" i="9"/>
  <c r="J2831" i="9"/>
  <c r="K2807" i="9"/>
  <c r="I2807" i="9"/>
  <c r="J2807" i="9"/>
  <c r="G2783" i="9"/>
  <c r="F2783" i="9"/>
  <c r="H2783" i="9"/>
  <c r="G2759" i="9"/>
  <c r="F2759" i="9"/>
  <c r="H2759" i="9"/>
  <c r="G2735" i="9"/>
  <c r="F2735" i="9"/>
  <c r="H2735" i="9"/>
  <c r="G2711" i="9"/>
  <c r="F2711" i="9"/>
  <c r="H2711" i="9"/>
  <c r="G2687" i="9"/>
  <c r="F2687" i="9"/>
  <c r="H2687" i="9"/>
  <c r="G2663" i="9"/>
  <c r="F2663" i="9"/>
  <c r="H2663" i="9"/>
  <c r="G2639" i="9"/>
  <c r="F2639" i="9"/>
  <c r="H2639" i="9"/>
  <c r="G2615" i="9"/>
  <c r="F2615" i="9"/>
  <c r="H2615" i="9"/>
  <c r="G2591" i="9"/>
  <c r="F2591" i="9"/>
  <c r="H2591" i="9"/>
  <c r="G2567" i="9"/>
  <c r="F2567" i="9"/>
  <c r="H2567" i="9"/>
  <c r="H2447" i="9"/>
  <c r="G2447" i="9"/>
  <c r="F2447" i="9"/>
  <c r="H2423" i="9"/>
  <c r="F2423" i="9"/>
  <c r="G2423" i="9"/>
  <c r="H2327" i="9"/>
  <c r="G2327" i="9"/>
  <c r="F2327" i="9"/>
  <c r="H2303" i="9"/>
  <c r="G2303" i="9"/>
  <c r="F2303" i="9"/>
  <c r="H2279" i="9"/>
  <c r="G2279" i="9"/>
  <c r="F2279" i="9"/>
  <c r="H2255" i="9"/>
  <c r="G2255" i="9"/>
  <c r="F2255" i="9"/>
  <c r="H2231" i="9"/>
  <c r="G2231" i="9"/>
  <c r="F2231" i="9"/>
  <c r="H2207" i="9"/>
  <c r="G2207" i="9"/>
  <c r="F2207" i="9"/>
  <c r="H2183" i="9"/>
  <c r="G2183" i="9"/>
  <c r="F2183" i="9"/>
  <c r="H2159" i="9"/>
  <c r="G2159" i="9"/>
  <c r="F2159" i="9"/>
  <c r="H2135" i="9"/>
  <c r="G2135" i="9"/>
  <c r="F2135" i="9"/>
  <c r="H2111" i="9"/>
  <c r="G2111" i="9"/>
  <c r="F2111" i="9"/>
  <c r="H2087" i="9"/>
  <c r="G2087" i="9"/>
  <c r="F2087" i="9"/>
  <c r="H2063" i="9"/>
  <c r="F2063" i="9"/>
  <c r="G2063" i="9"/>
  <c r="H2039" i="9"/>
  <c r="G2039" i="9"/>
  <c r="F2039" i="9"/>
  <c r="H2008" i="9"/>
  <c r="G2008" i="9"/>
  <c r="F2008" i="9"/>
  <c r="H1969" i="9"/>
  <c r="G1969" i="9"/>
  <c r="F1969" i="9"/>
  <c r="H1899" i="9"/>
  <c r="F1899" i="9"/>
  <c r="G1899" i="9"/>
  <c r="H1864" i="9"/>
  <c r="G1864" i="9"/>
  <c r="F1864" i="9"/>
  <c r="K1825" i="9"/>
  <c r="J1825" i="9"/>
  <c r="I1825" i="9"/>
  <c r="K1720" i="9"/>
  <c r="J1720" i="9"/>
  <c r="I1720" i="9"/>
  <c r="H1646" i="9"/>
  <c r="G1646" i="9"/>
  <c r="F1646" i="9"/>
  <c r="K1576" i="9"/>
  <c r="J1576" i="9"/>
  <c r="I1576" i="9"/>
  <c r="H1324" i="9"/>
  <c r="G1324" i="9"/>
  <c r="F1324" i="9"/>
  <c r="H1312" i="9"/>
  <c r="G1312" i="9"/>
  <c r="F1312" i="9"/>
  <c r="F1292" i="9"/>
  <c r="H1292" i="9"/>
  <c r="G1292" i="9"/>
  <c r="H1272" i="9"/>
  <c r="G1272" i="9"/>
  <c r="F1272" i="9"/>
  <c r="F1244" i="9"/>
  <c r="H1244" i="9"/>
  <c r="G1244" i="9"/>
  <c r="F1220" i="9"/>
  <c r="H1220" i="9"/>
  <c r="G1220" i="9"/>
  <c r="H1200" i="9"/>
  <c r="G1200" i="9"/>
  <c r="F1200" i="9"/>
  <c r="F1184" i="9"/>
  <c r="H1184" i="9"/>
  <c r="G1184" i="9"/>
  <c r="H1164" i="9"/>
  <c r="G1164" i="9"/>
  <c r="F1164" i="9"/>
  <c r="F1148" i="9"/>
  <c r="H1148" i="9"/>
  <c r="G1148" i="9"/>
  <c r="H1132" i="9"/>
  <c r="G1132" i="9"/>
  <c r="F1132" i="9"/>
  <c r="H1108" i="9"/>
  <c r="G1108" i="9"/>
  <c r="F1108" i="9"/>
  <c r="H1096" i="9"/>
  <c r="G1096" i="9"/>
  <c r="F1096" i="9"/>
  <c r="F1064" i="9"/>
  <c r="H1064" i="9"/>
  <c r="G1064" i="9"/>
  <c r="H1036" i="9"/>
  <c r="G1036" i="9"/>
  <c r="F1036" i="9"/>
  <c r="F1016" i="9"/>
  <c r="H1016" i="9"/>
  <c r="G1016" i="9"/>
  <c r="H996" i="9"/>
  <c r="G996" i="9"/>
  <c r="F996" i="9"/>
  <c r="H976" i="9"/>
  <c r="G976" i="9"/>
  <c r="F976" i="9"/>
  <c r="H948" i="9"/>
  <c r="G948" i="9"/>
  <c r="F948" i="9"/>
  <c r="H912" i="9"/>
  <c r="G912" i="9"/>
  <c r="F912" i="9"/>
  <c r="H892" i="9"/>
  <c r="G892" i="9"/>
  <c r="F892" i="9"/>
  <c r="H868" i="9"/>
  <c r="G868" i="9"/>
  <c r="F868" i="9"/>
  <c r="H852" i="9"/>
  <c r="G852" i="9"/>
  <c r="F852" i="9"/>
  <c r="H832" i="9"/>
  <c r="G832" i="9"/>
  <c r="F832" i="9"/>
  <c r="H652" i="9"/>
  <c r="G652" i="9"/>
  <c r="F652" i="9"/>
  <c r="H628" i="9"/>
  <c r="G628" i="9"/>
  <c r="F628" i="9"/>
  <c r="H604" i="9"/>
  <c r="G604" i="9"/>
  <c r="F604" i="9"/>
  <c r="H580" i="9"/>
  <c r="G580" i="9"/>
  <c r="F580" i="9"/>
  <c r="G560" i="9"/>
  <c r="F560" i="9"/>
  <c r="H560" i="9"/>
  <c r="G512" i="9"/>
  <c r="F512" i="9"/>
  <c r="H512" i="9"/>
  <c r="G416" i="9"/>
  <c r="F416" i="9"/>
  <c r="H416" i="9"/>
  <c r="G380" i="9"/>
  <c r="F380" i="9"/>
  <c r="H380" i="9"/>
  <c r="G356" i="9"/>
  <c r="F356" i="9"/>
  <c r="H356" i="9"/>
  <c r="G332" i="9"/>
  <c r="F332" i="9"/>
  <c r="H332" i="9"/>
  <c r="H316" i="9"/>
  <c r="G316" i="9"/>
  <c r="F316" i="9"/>
  <c r="H268" i="9"/>
  <c r="G268" i="9"/>
  <c r="F268" i="9"/>
  <c r="H184" i="9"/>
  <c r="G184" i="9"/>
  <c r="F184" i="9"/>
  <c r="H160" i="9"/>
  <c r="G160" i="9"/>
  <c r="F160" i="9"/>
  <c r="G140" i="9"/>
  <c r="F140" i="9"/>
  <c r="H140" i="9"/>
  <c r="H4684" i="9"/>
  <c r="G4684" i="9"/>
  <c r="F4684" i="9"/>
  <c r="F4614" i="9"/>
  <c r="H4614" i="9"/>
  <c r="G4614" i="9"/>
  <c r="H4492" i="9"/>
  <c r="G4492" i="9"/>
  <c r="F4492" i="9"/>
  <c r="G4300" i="9"/>
  <c r="F4300" i="9"/>
  <c r="H4300" i="9"/>
  <c r="G4068" i="9"/>
  <c r="F4068" i="9"/>
  <c r="H4068" i="9"/>
  <c r="H3795" i="9"/>
  <c r="G3795" i="9"/>
  <c r="F3795" i="9"/>
  <c r="H3747" i="9"/>
  <c r="G3747" i="9"/>
  <c r="F3747" i="9"/>
  <c r="G3690" i="9"/>
  <c r="H3690" i="9"/>
  <c r="F3690" i="9"/>
  <c r="K3618" i="9"/>
  <c r="J3618" i="9"/>
  <c r="I3618" i="9"/>
  <c r="K3546" i="9"/>
  <c r="J3546" i="9"/>
  <c r="I3546" i="9"/>
  <c r="K3474" i="9"/>
  <c r="J3474" i="9"/>
  <c r="I3474" i="9"/>
  <c r="K3402" i="9"/>
  <c r="J3402" i="9"/>
  <c r="I3402" i="9"/>
  <c r="G3330" i="9"/>
  <c r="H3330" i="9"/>
  <c r="F3330" i="9"/>
  <c r="G3258" i="9"/>
  <c r="H3258" i="9"/>
  <c r="F3258" i="9"/>
  <c r="F3186" i="9"/>
  <c r="H3186" i="9"/>
  <c r="G3186" i="9"/>
  <c r="F3114" i="9"/>
  <c r="H3114" i="9"/>
  <c r="G3114" i="9"/>
  <c r="H3042" i="9"/>
  <c r="G3042" i="9"/>
  <c r="F3042" i="9"/>
  <c r="H2970" i="9"/>
  <c r="G2970" i="9"/>
  <c r="F2970" i="9"/>
  <c r="H2898" i="9"/>
  <c r="G2898" i="9"/>
  <c r="F2898" i="9"/>
  <c r="H2826" i="9"/>
  <c r="G2826" i="9"/>
  <c r="F2826" i="9"/>
  <c r="K2754" i="9"/>
  <c r="J2754" i="9"/>
  <c r="I2754" i="9"/>
  <c r="K2682" i="9"/>
  <c r="J2682" i="9"/>
  <c r="I2682" i="9"/>
  <c r="K2610" i="9"/>
  <c r="J2610" i="9"/>
  <c r="I2610" i="9"/>
  <c r="K2538" i="9"/>
  <c r="I2538" i="9"/>
  <c r="J2538" i="9"/>
  <c r="G2466" i="9"/>
  <c r="F2466" i="9"/>
  <c r="H2466" i="9"/>
  <c r="G2394" i="9"/>
  <c r="F2394" i="9"/>
  <c r="H2394" i="9"/>
  <c r="G2322" i="9"/>
  <c r="F2322" i="9"/>
  <c r="H2322" i="9"/>
  <c r="G2250" i="9"/>
  <c r="F2250" i="9"/>
  <c r="H2250" i="9"/>
  <c r="G2178" i="9"/>
  <c r="F2178" i="9"/>
  <c r="H2178" i="9"/>
  <c r="G2106" i="9"/>
  <c r="F2106" i="9"/>
  <c r="H2106" i="9"/>
  <c r="F1999" i="9"/>
  <c r="H1999" i="9"/>
  <c r="G1999" i="9"/>
  <c r="G1964" i="9"/>
  <c r="F1964" i="9"/>
  <c r="H1964" i="9"/>
  <c r="F1855" i="9"/>
  <c r="H1855" i="9"/>
  <c r="G1855" i="9"/>
  <c r="F1820" i="9"/>
  <c r="H1820" i="9"/>
  <c r="G1820" i="9"/>
  <c r="H1781" i="9"/>
  <c r="G1781" i="9"/>
  <c r="F1781" i="9"/>
  <c r="H1746" i="9"/>
  <c r="G1746" i="9"/>
  <c r="F1746" i="9"/>
  <c r="H1711" i="9"/>
  <c r="G1711" i="9"/>
  <c r="F1711" i="9"/>
  <c r="H1676" i="9"/>
  <c r="G1676" i="9"/>
  <c r="F1676" i="9"/>
  <c r="H1637" i="9"/>
  <c r="G1637" i="9"/>
  <c r="F1637" i="9"/>
  <c r="H1602" i="9"/>
  <c r="G1602" i="9"/>
  <c r="F1602" i="9"/>
  <c r="H1567" i="9"/>
  <c r="G1567" i="9"/>
  <c r="F1567" i="9"/>
  <c r="H1532" i="9"/>
  <c r="F1532" i="9"/>
  <c r="G1532" i="9"/>
  <c r="H1520" i="9"/>
  <c r="F1520" i="9"/>
  <c r="G1520" i="9"/>
  <c r="H1508" i="9"/>
  <c r="F1508" i="9"/>
  <c r="G1508" i="9"/>
  <c r="H1496" i="9"/>
  <c r="F1496" i="9"/>
  <c r="G1496" i="9"/>
  <c r="H1484" i="9"/>
  <c r="F1484" i="9"/>
  <c r="G1484" i="9"/>
  <c r="H1472" i="9"/>
  <c r="F1472" i="9"/>
  <c r="G1472" i="9"/>
  <c r="H1460" i="9"/>
  <c r="F1460" i="9"/>
  <c r="G1460" i="9"/>
  <c r="H1448" i="9"/>
  <c r="F1448" i="9"/>
  <c r="G1448" i="9"/>
  <c r="H1436" i="9"/>
  <c r="F1436" i="9"/>
  <c r="G1436" i="9"/>
  <c r="H1424" i="9"/>
  <c r="F1424" i="9"/>
  <c r="G1424" i="9"/>
  <c r="H1412" i="9"/>
  <c r="F1412" i="9"/>
  <c r="G1412" i="9"/>
  <c r="H1400" i="9"/>
  <c r="F1400" i="9"/>
  <c r="G1400" i="9"/>
  <c r="H1388" i="9"/>
  <c r="F1388" i="9"/>
  <c r="G1388" i="9"/>
  <c r="F1376" i="9"/>
  <c r="H1376" i="9"/>
  <c r="G1376" i="9"/>
  <c r="F1364" i="9"/>
  <c r="H1364" i="9"/>
  <c r="G1364" i="9"/>
  <c r="H1348" i="9"/>
  <c r="G1348" i="9"/>
  <c r="F1348" i="9"/>
  <c r="H1336" i="9"/>
  <c r="G1336" i="9"/>
  <c r="F1336" i="9"/>
  <c r="H1296" i="9"/>
  <c r="G1296" i="9"/>
  <c r="F1296" i="9"/>
  <c r="F1268" i="9"/>
  <c r="H1268" i="9"/>
  <c r="G1268" i="9"/>
  <c r="H1248" i="9"/>
  <c r="G1248" i="9"/>
  <c r="F1248" i="9"/>
  <c r="H1228" i="9"/>
  <c r="G1228" i="9"/>
  <c r="F1228" i="9"/>
  <c r="F1196" i="9"/>
  <c r="H1196" i="9"/>
  <c r="G1196" i="9"/>
  <c r="H1156" i="9"/>
  <c r="G1156" i="9"/>
  <c r="F1156" i="9"/>
  <c r="H1120" i="9"/>
  <c r="G1120" i="9"/>
  <c r="F1120" i="9"/>
  <c r="H1084" i="9"/>
  <c r="G1084" i="9"/>
  <c r="F1084" i="9"/>
  <c r="H1068" i="9"/>
  <c r="G1068" i="9"/>
  <c r="F1068" i="9"/>
  <c r="H1044" i="9"/>
  <c r="G1044" i="9"/>
  <c r="F1044" i="9"/>
  <c r="H1020" i="9"/>
  <c r="G1020" i="9"/>
  <c r="F1020" i="9"/>
  <c r="F992" i="9"/>
  <c r="H992" i="9"/>
  <c r="G992" i="9"/>
  <c r="H964" i="9"/>
  <c r="G964" i="9"/>
  <c r="F964" i="9"/>
  <c r="F944" i="9"/>
  <c r="H944" i="9"/>
  <c r="G944" i="9"/>
  <c r="H924" i="9"/>
  <c r="G924" i="9"/>
  <c r="F924" i="9"/>
  <c r="F908" i="9"/>
  <c r="H908" i="9"/>
  <c r="G908" i="9"/>
  <c r="H880" i="9"/>
  <c r="G880" i="9"/>
  <c r="F880" i="9"/>
  <c r="F848" i="9"/>
  <c r="H848" i="9"/>
  <c r="G848" i="9"/>
  <c r="G812" i="9"/>
  <c r="F812" i="9"/>
  <c r="H812" i="9"/>
  <c r="G788" i="9"/>
  <c r="F788" i="9"/>
  <c r="H788" i="9"/>
  <c r="G764" i="9"/>
  <c r="F764" i="9"/>
  <c r="H764" i="9"/>
  <c r="G740" i="9"/>
  <c r="F740" i="9"/>
  <c r="H740" i="9"/>
  <c r="G716" i="9"/>
  <c r="F716" i="9"/>
  <c r="H716" i="9"/>
  <c r="G692" i="9"/>
  <c r="F692" i="9"/>
  <c r="H692" i="9"/>
  <c r="H676" i="9"/>
  <c r="G676" i="9"/>
  <c r="F676" i="9"/>
  <c r="G644" i="9"/>
  <c r="F644" i="9"/>
  <c r="H644" i="9"/>
  <c r="H616" i="9"/>
  <c r="G616" i="9"/>
  <c r="F616" i="9"/>
  <c r="G596" i="9"/>
  <c r="F596" i="9"/>
  <c r="H596" i="9"/>
  <c r="G536" i="9"/>
  <c r="F536" i="9"/>
  <c r="H536" i="9"/>
  <c r="G500" i="9"/>
  <c r="F500" i="9"/>
  <c r="H500" i="9"/>
  <c r="G476" i="9"/>
  <c r="F476" i="9"/>
  <c r="H476" i="9"/>
  <c r="G452" i="9"/>
  <c r="F452" i="9"/>
  <c r="H452" i="9"/>
  <c r="G428" i="9"/>
  <c r="F428" i="9"/>
  <c r="H428" i="9"/>
  <c r="H292" i="9"/>
  <c r="G292" i="9"/>
  <c r="F292" i="9"/>
  <c r="H256" i="9"/>
  <c r="G256" i="9"/>
  <c r="F256" i="9"/>
  <c r="H244" i="9"/>
  <c r="G244" i="9"/>
  <c r="F244" i="9"/>
  <c r="G224" i="9"/>
  <c r="F224" i="9"/>
  <c r="H224" i="9"/>
  <c r="H196" i="9"/>
  <c r="G196" i="9"/>
  <c r="F196" i="9"/>
  <c r="H172" i="9"/>
  <c r="G172" i="9"/>
  <c r="F172" i="9"/>
  <c r="G116" i="9"/>
  <c r="F116" i="9"/>
  <c r="H116" i="9"/>
  <c r="G104" i="9"/>
  <c r="F104" i="9"/>
  <c r="H104" i="9"/>
  <c r="K5174" i="9"/>
  <c r="J5174" i="9"/>
  <c r="I5174" i="9"/>
  <c r="H4742" i="9"/>
  <c r="G4742" i="9"/>
  <c r="F4742" i="9"/>
  <c r="H4381" i="9"/>
  <c r="G4381" i="9"/>
  <c r="F4381" i="9"/>
  <c r="K4189" i="9"/>
  <c r="J4189" i="9"/>
  <c r="I4189" i="9"/>
  <c r="H4100" i="9"/>
  <c r="G4100" i="9"/>
  <c r="F4100" i="9"/>
  <c r="F4057" i="9"/>
  <c r="H4057" i="9"/>
  <c r="G4057" i="9"/>
  <c r="F3973" i="9"/>
  <c r="H3973" i="9"/>
  <c r="G3973" i="9"/>
  <c r="H3854" i="9"/>
  <c r="G3854" i="9"/>
  <c r="F3854" i="9"/>
  <c r="H3829" i="9"/>
  <c r="G3829" i="9"/>
  <c r="F3829" i="9"/>
  <c r="H3765" i="9"/>
  <c r="G3765" i="9"/>
  <c r="F3765" i="9"/>
  <c r="K3742" i="9"/>
  <c r="J3742" i="9"/>
  <c r="I3742" i="9"/>
  <c r="L3742" i="9" s="1"/>
  <c r="M3742" i="9" s="1"/>
  <c r="H3709" i="9"/>
  <c r="G3709" i="9"/>
  <c r="F3709" i="9"/>
  <c r="H3685" i="9"/>
  <c r="G3685" i="9"/>
  <c r="F3685" i="9"/>
  <c r="H3613" i="9"/>
  <c r="G3613" i="9"/>
  <c r="F3613" i="9"/>
  <c r="H3589" i="9"/>
  <c r="G3589" i="9"/>
  <c r="F3589" i="9"/>
  <c r="H3565" i="9"/>
  <c r="G3565" i="9"/>
  <c r="F3565" i="9"/>
  <c r="H3541" i="9"/>
  <c r="G3541" i="9"/>
  <c r="F3541" i="9"/>
  <c r="H3517" i="9"/>
  <c r="G3517" i="9"/>
  <c r="F3517" i="9"/>
  <c r="H3493" i="9"/>
  <c r="G3493" i="9"/>
  <c r="F3493" i="9"/>
  <c r="H3469" i="9"/>
  <c r="G3469" i="9"/>
  <c r="F3469" i="9"/>
  <c r="H3445" i="9"/>
  <c r="G3445" i="9"/>
  <c r="F3445" i="9"/>
  <c r="H3421" i="9"/>
  <c r="G3421" i="9"/>
  <c r="F3421" i="9"/>
  <c r="H3397" i="9"/>
  <c r="G3397" i="9"/>
  <c r="F3397" i="9"/>
  <c r="H3373" i="9"/>
  <c r="G3373" i="9"/>
  <c r="F3373" i="9"/>
  <c r="H3349" i="9"/>
  <c r="G3349" i="9"/>
  <c r="F3349" i="9"/>
  <c r="H3325" i="9"/>
  <c r="G3325" i="9"/>
  <c r="F3325" i="9"/>
  <c r="H3301" i="9"/>
  <c r="G3301" i="9"/>
  <c r="F3301" i="9"/>
  <c r="H3277" i="9"/>
  <c r="G3277" i="9"/>
  <c r="F3277" i="9"/>
  <c r="H3253" i="9"/>
  <c r="G3253" i="9"/>
  <c r="F3253" i="9"/>
  <c r="J3037" i="9"/>
  <c r="I3037" i="9"/>
  <c r="K3037" i="9"/>
  <c r="J2965" i="9"/>
  <c r="I2965" i="9"/>
  <c r="K2965" i="9"/>
  <c r="J2893" i="9"/>
  <c r="I2893" i="9"/>
  <c r="K2893" i="9"/>
  <c r="J2821" i="9"/>
  <c r="I2821" i="9"/>
  <c r="K2821" i="9"/>
  <c r="H2773" i="9"/>
  <c r="G2773" i="9"/>
  <c r="F2773" i="9"/>
  <c r="H2749" i="9"/>
  <c r="G2749" i="9"/>
  <c r="F2749" i="9"/>
  <c r="H2725" i="9"/>
  <c r="G2725" i="9"/>
  <c r="F2725" i="9"/>
  <c r="H2701" i="9"/>
  <c r="F2701" i="9"/>
  <c r="G2701" i="9"/>
  <c r="H2677" i="9"/>
  <c r="G2677" i="9"/>
  <c r="F2677" i="9"/>
  <c r="H2653" i="9"/>
  <c r="G2653" i="9"/>
  <c r="F2653" i="9"/>
  <c r="H2629" i="9"/>
  <c r="G2629" i="9"/>
  <c r="F2629" i="9"/>
  <c r="H2605" i="9"/>
  <c r="G2605" i="9"/>
  <c r="F2605" i="9"/>
  <c r="H2581" i="9"/>
  <c r="G2581" i="9"/>
  <c r="F2581" i="9"/>
  <c r="H2557" i="9"/>
  <c r="G2557" i="9"/>
  <c r="F2557" i="9"/>
  <c r="H2533" i="9"/>
  <c r="G2533" i="9"/>
  <c r="F2533" i="9"/>
  <c r="F2509" i="9"/>
  <c r="H2509" i="9"/>
  <c r="G2509" i="9"/>
  <c r="H2485" i="9"/>
  <c r="G2485" i="9"/>
  <c r="F2485" i="9"/>
  <c r="K2461" i="9"/>
  <c r="J2461" i="9"/>
  <c r="I2461" i="9"/>
  <c r="K2437" i="9"/>
  <c r="J2437" i="9"/>
  <c r="I2437" i="9"/>
  <c r="K2413" i="9"/>
  <c r="J2413" i="9"/>
  <c r="I2413" i="9"/>
  <c r="K2389" i="9"/>
  <c r="J2389" i="9"/>
  <c r="I2389" i="9"/>
  <c r="K2341" i="9"/>
  <c r="J2341" i="9"/>
  <c r="I2341" i="9"/>
  <c r="K2317" i="9"/>
  <c r="J2317" i="9"/>
  <c r="I2317" i="9"/>
  <c r="K2269" i="9"/>
  <c r="J2269" i="9"/>
  <c r="I2269" i="9"/>
  <c r="K2221" i="9"/>
  <c r="J2221" i="9"/>
  <c r="I2221" i="9"/>
  <c r="K2173" i="9"/>
  <c r="J2173" i="9"/>
  <c r="I2173" i="9"/>
  <c r="K2125" i="9"/>
  <c r="J2125" i="9"/>
  <c r="I2125" i="9"/>
  <c r="K2077" i="9"/>
  <c r="J2077" i="9"/>
  <c r="I2077" i="9"/>
  <c r="K2053" i="9"/>
  <c r="J2053" i="9"/>
  <c r="I2053" i="9"/>
  <c r="K1990" i="9"/>
  <c r="J1990" i="9"/>
  <c r="I1990" i="9"/>
  <c r="H1955" i="9"/>
  <c r="F1955" i="9"/>
  <c r="G1955" i="9"/>
  <c r="K1846" i="9"/>
  <c r="J1846" i="9"/>
  <c r="I1846" i="9"/>
  <c r="G1737" i="9"/>
  <c r="F1737" i="9"/>
  <c r="H1737" i="9"/>
  <c r="F1702" i="9"/>
  <c r="H1702" i="9"/>
  <c r="G1702" i="9"/>
  <c r="G1667" i="9"/>
  <c r="F1667" i="9"/>
  <c r="H1667" i="9"/>
  <c r="G1593" i="9"/>
  <c r="F1593" i="9"/>
  <c r="H1593" i="9"/>
  <c r="H4706" i="9"/>
  <c r="G4706" i="9"/>
  <c r="F4706" i="9"/>
  <c r="G4625" i="9"/>
  <c r="F4625" i="9"/>
  <c r="H4625" i="9"/>
  <c r="G4433" i="9"/>
  <c r="H4433" i="9"/>
  <c r="F4433" i="9"/>
  <c r="G4322" i="9"/>
  <c r="F4322" i="9"/>
  <c r="H4322" i="9"/>
  <c r="H4160" i="9"/>
  <c r="G4160" i="9"/>
  <c r="F4160" i="9"/>
  <c r="K4051" i="9"/>
  <c r="J4051" i="9"/>
  <c r="I4051" i="9"/>
  <c r="K4025" i="9"/>
  <c r="J4025" i="9"/>
  <c r="I4025" i="9"/>
  <c r="H3879" i="9"/>
  <c r="G3879" i="9"/>
  <c r="F3879" i="9"/>
  <c r="F3809" i="9"/>
  <c r="H3809" i="9"/>
  <c r="G3809" i="9"/>
  <c r="G3784" i="9"/>
  <c r="F3784" i="9"/>
  <c r="H3784" i="9"/>
  <c r="H3746" i="9"/>
  <c r="G3746" i="9"/>
  <c r="F3746" i="9"/>
  <c r="K3670" i="9"/>
  <c r="J3670" i="9"/>
  <c r="I3670" i="9"/>
  <c r="H3598" i="9"/>
  <c r="G3598" i="9"/>
  <c r="F3598" i="9"/>
  <c r="H3526" i="9"/>
  <c r="G3526" i="9"/>
  <c r="F3526" i="9"/>
  <c r="H3454" i="9"/>
  <c r="G3454" i="9"/>
  <c r="F3454" i="9"/>
  <c r="H3382" i="9"/>
  <c r="G3382" i="9"/>
  <c r="F3382" i="9"/>
  <c r="K3166" i="9"/>
  <c r="J3166" i="9"/>
  <c r="I3166" i="9"/>
  <c r="K3094" i="9"/>
  <c r="J3094" i="9"/>
  <c r="I3094" i="9"/>
  <c r="F3022" i="9"/>
  <c r="H3022" i="9"/>
  <c r="G3022" i="9"/>
  <c r="F2950" i="9"/>
  <c r="H2950" i="9"/>
  <c r="G2950" i="9"/>
  <c r="F2878" i="9"/>
  <c r="H2878" i="9"/>
  <c r="G2878" i="9"/>
  <c r="F2806" i="9"/>
  <c r="H2806" i="9"/>
  <c r="G2806" i="9"/>
  <c r="H2734" i="9"/>
  <c r="G2734" i="9"/>
  <c r="F2734" i="9"/>
  <c r="H2662" i="9"/>
  <c r="G2662" i="9"/>
  <c r="F2662" i="9"/>
  <c r="H2590" i="9"/>
  <c r="G2590" i="9"/>
  <c r="F2590" i="9"/>
  <c r="H2518" i="9"/>
  <c r="G2518" i="9"/>
  <c r="F2518" i="9"/>
  <c r="K2029" i="9"/>
  <c r="J2029" i="9"/>
  <c r="I2029" i="9"/>
  <c r="H1959" i="9"/>
  <c r="F1959" i="9"/>
  <c r="G1959" i="9"/>
  <c r="H1924" i="9"/>
  <c r="G1924" i="9"/>
  <c r="F1924" i="9"/>
  <c r="K1885" i="9"/>
  <c r="J1885" i="9"/>
  <c r="I1885" i="9"/>
  <c r="H1815" i="9"/>
  <c r="F1815" i="9"/>
  <c r="G1815" i="9"/>
  <c r="K1780" i="9"/>
  <c r="J1780" i="9"/>
  <c r="I1780" i="9"/>
  <c r="H1706" i="9"/>
  <c r="G1706" i="9"/>
  <c r="F1706" i="9"/>
  <c r="K1636" i="9"/>
  <c r="J1636" i="9"/>
  <c r="I1636" i="9"/>
  <c r="H1562" i="9"/>
  <c r="G1562" i="9"/>
  <c r="F1562" i="9"/>
  <c r="F523" i="9"/>
  <c r="H523" i="9"/>
  <c r="G523" i="9"/>
  <c r="F511" i="9"/>
  <c r="H511" i="9"/>
  <c r="G511" i="9"/>
  <c r="F487" i="9"/>
  <c r="H487" i="9"/>
  <c r="G487" i="9"/>
  <c r="H467" i="9"/>
  <c r="G467" i="9"/>
  <c r="F467" i="9"/>
  <c r="H443" i="9"/>
  <c r="G443" i="9"/>
  <c r="F443" i="9"/>
  <c r="K291" i="9"/>
  <c r="J291" i="9"/>
  <c r="I291" i="9"/>
  <c r="K255" i="9"/>
  <c r="J255" i="9"/>
  <c r="I255" i="9"/>
  <c r="K231" i="9"/>
  <c r="J231" i="9"/>
  <c r="I231" i="9"/>
  <c r="H211" i="9"/>
  <c r="G211" i="9"/>
  <c r="F211" i="9"/>
  <c r="H187" i="9"/>
  <c r="G187" i="9"/>
  <c r="F187" i="9"/>
  <c r="K171" i="9"/>
  <c r="J171" i="9"/>
  <c r="I171" i="9"/>
  <c r="H151" i="9"/>
  <c r="G151" i="9"/>
  <c r="F151" i="9"/>
  <c r="H127" i="9"/>
  <c r="G127" i="9"/>
  <c r="F127" i="9"/>
  <c r="H55" i="9"/>
  <c r="G55" i="9"/>
  <c r="F55" i="9"/>
  <c r="K5137" i="9"/>
  <c r="J5137" i="9"/>
  <c r="I5137" i="9"/>
  <c r="H4993" i="9"/>
  <c r="G4993" i="9"/>
  <c r="F4993" i="9"/>
  <c r="H4849" i="9"/>
  <c r="G4849" i="9"/>
  <c r="F4849" i="9"/>
  <c r="F4630" i="9"/>
  <c r="H4630" i="9"/>
  <c r="G4630" i="9"/>
  <c r="F4438" i="9"/>
  <c r="H4438" i="9"/>
  <c r="G4438" i="9"/>
  <c r="K4316" i="9"/>
  <c r="J4316" i="9"/>
  <c r="I4316" i="9"/>
  <c r="H4246" i="9"/>
  <c r="G4246" i="9"/>
  <c r="F4246" i="9"/>
  <c r="K4121" i="9"/>
  <c r="J4121" i="9"/>
  <c r="I4121" i="9"/>
  <c r="H4040" i="9"/>
  <c r="G4040" i="9"/>
  <c r="F4040" i="9"/>
  <c r="G3972" i="9"/>
  <c r="F3972" i="9"/>
  <c r="H3972" i="9"/>
  <c r="H3873" i="9"/>
  <c r="G3873" i="9"/>
  <c r="F3873" i="9"/>
  <c r="H3769" i="9"/>
  <c r="G3769" i="9"/>
  <c r="F3769" i="9"/>
  <c r="H3741" i="9"/>
  <c r="G3741" i="9"/>
  <c r="F3741" i="9"/>
  <c r="F3713" i="9"/>
  <c r="H3713" i="9"/>
  <c r="G3713" i="9"/>
  <c r="F3689" i="9"/>
  <c r="H3689" i="9"/>
  <c r="G3689" i="9"/>
  <c r="F3665" i="9"/>
  <c r="H3665" i="9"/>
  <c r="G3665" i="9"/>
  <c r="F3641" i="9"/>
  <c r="H3641" i="9"/>
  <c r="G3641" i="9"/>
  <c r="K3617" i="9"/>
  <c r="J3617" i="9"/>
  <c r="I3617" i="9"/>
  <c r="K3593" i="9"/>
  <c r="J3593" i="9"/>
  <c r="I3593" i="9"/>
  <c r="K3569" i="9"/>
  <c r="J3569" i="9"/>
  <c r="I3569" i="9"/>
  <c r="K3545" i="9"/>
  <c r="J3545" i="9"/>
  <c r="I3545" i="9"/>
  <c r="K3521" i="9"/>
  <c r="J3521" i="9"/>
  <c r="I3521" i="9"/>
  <c r="K3497" i="9"/>
  <c r="J3497" i="9"/>
  <c r="I3497" i="9"/>
  <c r="K3473" i="9"/>
  <c r="J3473" i="9"/>
  <c r="I3473" i="9"/>
  <c r="K3449" i="9"/>
  <c r="J3449" i="9"/>
  <c r="I3449" i="9"/>
  <c r="K3425" i="9"/>
  <c r="J3425" i="9"/>
  <c r="I3425" i="9"/>
  <c r="K3401" i="9"/>
  <c r="J3401" i="9"/>
  <c r="I3401" i="9"/>
  <c r="K3377" i="9"/>
  <c r="J3377" i="9"/>
  <c r="I3377" i="9"/>
  <c r="F3353" i="9"/>
  <c r="H3353" i="9"/>
  <c r="G3353" i="9"/>
  <c r="F3329" i="9"/>
  <c r="H3329" i="9"/>
  <c r="G3329" i="9"/>
  <c r="F3305" i="9"/>
  <c r="H3305" i="9"/>
  <c r="G3305" i="9"/>
  <c r="F3281" i="9"/>
  <c r="H3281" i="9"/>
  <c r="G3281" i="9"/>
  <c r="F3257" i="9"/>
  <c r="H3257" i="9"/>
  <c r="G3257" i="9"/>
  <c r="F3233" i="9"/>
  <c r="H3233" i="9"/>
  <c r="G3233" i="9"/>
  <c r="F3209" i="9"/>
  <c r="H3209" i="9"/>
  <c r="G3209" i="9"/>
  <c r="F3185" i="9"/>
  <c r="H3185" i="9"/>
  <c r="G3185" i="9"/>
  <c r="F3161" i="9"/>
  <c r="H3161" i="9"/>
  <c r="G3161" i="9"/>
  <c r="F3137" i="9"/>
  <c r="H3137" i="9"/>
  <c r="G3137" i="9"/>
  <c r="F3113" i="9"/>
  <c r="H3113" i="9"/>
  <c r="G3113" i="9"/>
  <c r="F3089" i="9"/>
  <c r="H3089" i="9"/>
  <c r="G3089" i="9"/>
  <c r="F3065" i="9"/>
  <c r="H3065" i="9"/>
  <c r="G3065" i="9"/>
  <c r="K2777" i="9"/>
  <c r="J2777" i="9"/>
  <c r="I2777" i="9"/>
  <c r="K2753" i="9"/>
  <c r="J2753" i="9"/>
  <c r="I2753" i="9"/>
  <c r="K2729" i="9"/>
  <c r="J2729" i="9"/>
  <c r="I2729" i="9"/>
  <c r="K2705" i="9"/>
  <c r="J2705" i="9"/>
  <c r="I2705" i="9"/>
  <c r="K2681" i="9"/>
  <c r="J2681" i="9"/>
  <c r="I2681" i="9"/>
  <c r="K2657" i="9"/>
  <c r="J2657" i="9"/>
  <c r="I2657" i="9"/>
  <c r="K2633" i="9"/>
  <c r="J2633" i="9"/>
  <c r="I2633" i="9"/>
  <c r="K2609" i="9"/>
  <c r="J2609" i="9"/>
  <c r="I2609" i="9"/>
  <c r="K2585" i="9"/>
  <c r="J2585" i="9"/>
  <c r="I2585" i="9"/>
  <c r="K2561" i="9"/>
  <c r="J2561" i="9"/>
  <c r="I2561" i="9"/>
  <c r="J2537" i="9"/>
  <c r="I2537" i="9"/>
  <c r="K2537" i="9"/>
  <c r="G2513" i="9"/>
  <c r="F2513" i="9"/>
  <c r="H2513" i="9"/>
  <c r="H2465" i="9"/>
  <c r="G2465" i="9"/>
  <c r="F2465" i="9"/>
  <c r="H2441" i="9"/>
  <c r="G2441" i="9"/>
  <c r="F2441" i="9"/>
  <c r="H2417" i="9"/>
  <c r="G2417" i="9"/>
  <c r="F2417" i="9"/>
  <c r="H2393" i="9"/>
  <c r="G2393" i="9"/>
  <c r="F2393" i="9"/>
  <c r="H2369" i="9"/>
  <c r="G2369" i="9"/>
  <c r="F2369" i="9"/>
  <c r="H2345" i="9"/>
  <c r="G2345" i="9"/>
  <c r="F2345" i="9"/>
  <c r="H2321" i="9"/>
  <c r="G2321" i="9"/>
  <c r="F2321" i="9"/>
  <c r="H2297" i="9"/>
  <c r="G2297" i="9"/>
  <c r="F2297" i="9"/>
  <c r="H2273" i="9"/>
  <c r="G2273" i="9"/>
  <c r="F2273" i="9"/>
  <c r="H2249" i="9"/>
  <c r="G2249" i="9"/>
  <c r="F2249" i="9"/>
  <c r="H2225" i="9"/>
  <c r="G2225" i="9"/>
  <c r="F2225" i="9"/>
  <c r="H2201" i="9"/>
  <c r="G2201" i="9"/>
  <c r="F2201" i="9"/>
  <c r="H2177" i="9"/>
  <c r="G2177" i="9"/>
  <c r="F2177" i="9"/>
  <c r="H2153" i="9"/>
  <c r="G2153" i="9"/>
  <c r="F2153" i="9"/>
  <c r="H2129" i="9"/>
  <c r="G2129" i="9"/>
  <c r="F2129" i="9"/>
  <c r="H2105" i="9"/>
  <c r="G2105" i="9"/>
  <c r="F2105" i="9"/>
  <c r="H2081" i="9"/>
  <c r="G2081" i="9"/>
  <c r="F2081" i="9"/>
  <c r="F1963" i="9"/>
  <c r="H1963" i="9"/>
  <c r="G1963" i="9"/>
  <c r="G1928" i="9"/>
  <c r="F1928" i="9"/>
  <c r="H1928" i="9"/>
  <c r="F1819" i="9"/>
  <c r="G1819" i="9"/>
  <c r="H1819" i="9"/>
  <c r="H1784" i="9"/>
  <c r="G1784" i="9"/>
  <c r="F1784" i="9"/>
  <c r="H1745" i="9"/>
  <c r="G1745" i="9"/>
  <c r="F1745" i="9"/>
  <c r="H1710" i="9"/>
  <c r="G1710" i="9"/>
  <c r="F1710" i="9"/>
  <c r="H1675" i="9"/>
  <c r="G1675" i="9"/>
  <c r="F1675" i="9"/>
  <c r="H1640" i="9"/>
  <c r="G1640" i="9"/>
  <c r="F1640" i="9"/>
  <c r="H1601" i="9"/>
  <c r="G1601" i="9"/>
  <c r="F1601" i="9"/>
  <c r="H1566" i="9"/>
  <c r="G1566" i="9"/>
  <c r="F1566" i="9"/>
  <c r="G1531" i="9"/>
  <c r="F1531" i="9"/>
  <c r="H1531" i="9"/>
  <c r="G1519" i="9"/>
  <c r="F1519" i="9"/>
  <c r="H1519" i="9"/>
  <c r="G1507" i="9"/>
  <c r="F1507" i="9"/>
  <c r="H1507" i="9"/>
  <c r="G1495" i="9"/>
  <c r="F1495" i="9"/>
  <c r="H1495" i="9"/>
  <c r="G1483" i="9"/>
  <c r="F1483" i="9"/>
  <c r="H1483" i="9"/>
  <c r="G1471" i="9"/>
  <c r="F1471" i="9"/>
  <c r="H1471" i="9"/>
  <c r="G1459" i="9"/>
  <c r="F1459" i="9"/>
  <c r="H1459" i="9"/>
  <c r="G1447" i="9"/>
  <c r="F1447" i="9"/>
  <c r="H1447" i="9"/>
  <c r="G1435" i="9"/>
  <c r="F1435" i="9"/>
  <c r="H1435" i="9"/>
  <c r="G1423" i="9"/>
  <c r="F1423" i="9"/>
  <c r="H1423" i="9"/>
  <c r="G1411" i="9"/>
  <c r="F1411" i="9"/>
  <c r="H1411" i="9"/>
  <c r="G1399" i="9"/>
  <c r="F1399" i="9"/>
  <c r="H1399" i="9"/>
  <c r="G1387" i="9"/>
  <c r="F1387" i="9"/>
  <c r="H1387" i="9"/>
  <c r="G1375" i="9"/>
  <c r="F1375" i="9"/>
  <c r="H1375" i="9"/>
  <c r="G1363" i="9"/>
  <c r="F1363" i="9"/>
  <c r="H1363" i="9"/>
  <c r="G1351" i="9"/>
  <c r="F1351" i="9"/>
  <c r="H1351" i="9"/>
  <c r="G1339" i="9"/>
  <c r="F1339" i="9"/>
  <c r="H1339" i="9"/>
  <c r="G1327" i="9"/>
  <c r="F1327" i="9"/>
  <c r="H1327" i="9"/>
  <c r="G1315" i="9"/>
  <c r="F1315" i="9"/>
  <c r="H1315" i="9"/>
  <c r="G1303" i="9"/>
  <c r="F1303" i="9"/>
  <c r="H1303" i="9"/>
  <c r="G1291" i="9"/>
  <c r="F1291" i="9"/>
  <c r="H1291" i="9"/>
  <c r="G1279" i="9"/>
  <c r="F1279" i="9"/>
  <c r="H1279" i="9"/>
  <c r="G1267" i="9"/>
  <c r="F1267" i="9"/>
  <c r="H1267" i="9"/>
  <c r="G1255" i="9"/>
  <c r="F1255" i="9"/>
  <c r="H1255" i="9"/>
  <c r="G1243" i="9"/>
  <c r="F1243" i="9"/>
  <c r="H1243" i="9"/>
  <c r="G1231" i="9"/>
  <c r="F1231" i="9"/>
  <c r="H1231" i="9"/>
  <c r="G1219" i="9"/>
  <c r="F1219" i="9"/>
  <c r="H1219" i="9"/>
  <c r="G1207" i="9"/>
  <c r="F1207" i="9"/>
  <c r="H1207" i="9"/>
  <c r="G1195" i="9"/>
  <c r="F1195" i="9"/>
  <c r="H1195" i="9"/>
  <c r="G1183" i="9"/>
  <c r="F1183" i="9"/>
  <c r="H1183" i="9"/>
  <c r="G1171" i="9"/>
  <c r="F1171" i="9"/>
  <c r="H1171" i="9"/>
  <c r="G1159" i="9"/>
  <c r="F1159" i="9"/>
  <c r="H1159" i="9"/>
  <c r="G1147" i="9"/>
  <c r="F1147" i="9"/>
  <c r="H1147" i="9"/>
  <c r="G1135" i="9"/>
  <c r="F1135" i="9"/>
  <c r="H1135" i="9"/>
  <c r="G1123" i="9"/>
  <c r="F1123" i="9"/>
  <c r="H1123" i="9"/>
  <c r="G1111" i="9"/>
  <c r="F1111" i="9"/>
  <c r="H1111" i="9"/>
  <c r="G1099" i="9"/>
  <c r="F1099" i="9"/>
  <c r="H1099" i="9"/>
  <c r="G1087" i="9"/>
  <c r="F1087" i="9"/>
  <c r="H1087" i="9"/>
  <c r="G1075" i="9"/>
  <c r="F1075" i="9"/>
  <c r="H1075" i="9"/>
  <c r="G1063" i="9"/>
  <c r="F1063" i="9"/>
  <c r="H1063" i="9"/>
  <c r="G1051" i="9"/>
  <c r="F1051" i="9"/>
  <c r="H1051" i="9"/>
  <c r="G1039" i="9"/>
  <c r="F1039" i="9"/>
  <c r="H1039" i="9"/>
  <c r="G1027" i="9"/>
  <c r="F1027" i="9"/>
  <c r="H1027" i="9"/>
  <c r="G1015" i="9"/>
  <c r="F1015" i="9"/>
  <c r="H1015" i="9"/>
  <c r="G1003" i="9"/>
  <c r="F1003" i="9"/>
  <c r="H1003" i="9"/>
  <c r="G991" i="9"/>
  <c r="F991" i="9"/>
  <c r="H991" i="9"/>
  <c r="G979" i="9"/>
  <c r="F979" i="9"/>
  <c r="H979" i="9"/>
  <c r="G967" i="9"/>
  <c r="F967" i="9"/>
  <c r="H967" i="9"/>
  <c r="G955" i="9"/>
  <c r="F955" i="9"/>
  <c r="H955" i="9"/>
  <c r="G943" i="9"/>
  <c r="F943" i="9"/>
  <c r="H943" i="9"/>
  <c r="G931" i="9"/>
  <c r="F931" i="9"/>
  <c r="H931" i="9"/>
  <c r="G919" i="9"/>
  <c r="F919" i="9"/>
  <c r="H919" i="9"/>
  <c r="G907" i="9"/>
  <c r="F907" i="9"/>
  <c r="H907" i="9"/>
  <c r="G895" i="9"/>
  <c r="F895" i="9"/>
  <c r="H895" i="9"/>
  <c r="G883" i="9"/>
  <c r="F883" i="9"/>
  <c r="H883" i="9"/>
  <c r="G871" i="9"/>
  <c r="F871" i="9"/>
  <c r="H871" i="9"/>
  <c r="G859" i="9"/>
  <c r="F859" i="9"/>
  <c r="H859" i="9"/>
  <c r="G847" i="9"/>
  <c r="F847" i="9"/>
  <c r="H847" i="9"/>
  <c r="F835" i="9"/>
  <c r="H835" i="9"/>
  <c r="G835" i="9"/>
  <c r="F823" i="9"/>
  <c r="H823" i="9"/>
  <c r="G823" i="9"/>
  <c r="F811" i="9"/>
  <c r="H811" i="9"/>
  <c r="G811" i="9"/>
  <c r="F799" i="9"/>
  <c r="H799" i="9"/>
  <c r="G799" i="9"/>
  <c r="F787" i="9"/>
  <c r="H787" i="9"/>
  <c r="G787" i="9"/>
  <c r="F775" i="9"/>
  <c r="H775" i="9"/>
  <c r="G775" i="9"/>
  <c r="F763" i="9"/>
  <c r="H763" i="9"/>
  <c r="G763" i="9"/>
  <c r="F751" i="9"/>
  <c r="H751" i="9"/>
  <c r="G751" i="9"/>
  <c r="F739" i="9"/>
  <c r="H739" i="9"/>
  <c r="G739" i="9"/>
  <c r="F727" i="9"/>
  <c r="H727" i="9"/>
  <c r="G727" i="9"/>
  <c r="F715" i="9"/>
  <c r="H715" i="9"/>
  <c r="G715" i="9"/>
  <c r="F703" i="9"/>
  <c r="H703" i="9"/>
  <c r="G703" i="9"/>
  <c r="F691" i="9"/>
  <c r="H691" i="9"/>
  <c r="G691" i="9"/>
  <c r="F679" i="9"/>
  <c r="H679" i="9"/>
  <c r="G679" i="9"/>
  <c r="F667" i="9"/>
  <c r="H667" i="9"/>
  <c r="G667" i="9"/>
  <c r="F655" i="9"/>
  <c r="H655" i="9"/>
  <c r="G655" i="9"/>
  <c r="F643" i="9"/>
  <c r="H643" i="9"/>
  <c r="G643" i="9"/>
  <c r="F631" i="9"/>
  <c r="H631" i="9"/>
  <c r="G631" i="9"/>
  <c r="F619" i="9"/>
  <c r="H619" i="9"/>
  <c r="G619" i="9"/>
  <c r="F607" i="9"/>
  <c r="H607" i="9"/>
  <c r="G607" i="9"/>
  <c r="F595" i="9"/>
  <c r="H595" i="9"/>
  <c r="G595" i="9"/>
  <c r="F583" i="9"/>
  <c r="H583" i="9"/>
  <c r="G583" i="9"/>
  <c r="F571" i="9"/>
  <c r="H571" i="9"/>
  <c r="G571" i="9"/>
  <c r="F559" i="9"/>
  <c r="H559" i="9"/>
  <c r="G559" i="9"/>
  <c r="F547" i="9"/>
  <c r="H547" i="9"/>
  <c r="G547" i="9"/>
  <c r="F535" i="9"/>
  <c r="H535" i="9"/>
  <c r="G535" i="9"/>
  <c r="H507" i="9"/>
  <c r="F507" i="9"/>
  <c r="G507" i="9"/>
  <c r="G455" i="9"/>
  <c r="F455" i="9"/>
  <c r="H455" i="9"/>
  <c r="F415" i="9"/>
  <c r="H415" i="9"/>
  <c r="G415" i="9"/>
  <c r="F403" i="9"/>
  <c r="H403" i="9"/>
  <c r="G403" i="9"/>
  <c r="H379" i="9"/>
  <c r="G379" i="9"/>
  <c r="F379" i="9"/>
  <c r="H367" i="9"/>
  <c r="G367" i="9"/>
  <c r="F367" i="9"/>
  <c r="H355" i="9"/>
  <c r="G355" i="9"/>
  <c r="F355" i="9"/>
  <c r="H343" i="9"/>
  <c r="G343" i="9"/>
  <c r="F343" i="9"/>
  <c r="H331" i="9"/>
  <c r="G331" i="9"/>
  <c r="F331" i="9"/>
  <c r="H319" i="9"/>
  <c r="G319" i="9"/>
  <c r="F319" i="9"/>
  <c r="H307" i="9"/>
  <c r="G307" i="9"/>
  <c r="F307" i="9"/>
  <c r="H295" i="9"/>
  <c r="G295" i="9"/>
  <c r="F295" i="9"/>
  <c r="H259" i="9"/>
  <c r="G259" i="9"/>
  <c r="F259" i="9"/>
  <c r="H235" i="9"/>
  <c r="G235" i="9"/>
  <c r="F235" i="9"/>
  <c r="K207" i="9"/>
  <c r="J207" i="9"/>
  <c r="I207" i="9"/>
  <c r="K147" i="9"/>
  <c r="J147" i="9"/>
  <c r="I147" i="9"/>
  <c r="K123" i="9"/>
  <c r="J123" i="9"/>
  <c r="I123" i="9"/>
  <c r="K51" i="9"/>
  <c r="J51" i="9"/>
  <c r="I51" i="9"/>
  <c r="H19" i="9"/>
  <c r="G19" i="9"/>
  <c r="F19" i="9"/>
  <c r="H4717" i="9"/>
  <c r="F4717" i="9"/>
  <c r="G4717" i="9"/>
  <c r="H4333" i="9"/>
  <c r="G4333" i="9"/>
  <c r="F4333" i="9"/>
  <c r="F4165" i="9"/>
  <c r="H4165" i="9"/>
  <c r="G4165" i="9"/>
  <c r="K4003" i="9"/>
  <c r="J4003" i="9"/>
  <c r="I4003" i="9"/>
  <c r="K3977" i="9"/>
  <c r="J3977" i="9"/>
  <c r="I3977" i="9"/>
  <c r="K3838" i="9"/>
  <c r="J3838" i="9"/>
  <c r="I3838" i="9"/>
  <c r="H3818" i="9"/>
  <c r="G3818" i="9"/>
  <c r="F3818" i="9"/>
  <c r="G3798" i="9"/>
  <c r="F3798" i="9"/>
  <c r="H3798" i="9"/>
  <c r="H3698" i="9"/>
  <c r="G3698" i="9"/>
  <c r="F3698" i="9"/>
  <c r="H3338" i="9"/>
  <c r="G3338" i="9"/>
  <c r="F3338" i="9"/>
  <c r="H3266" i="9"/>
  <c r="G3266" i="9"/>
  <c r="F3266" i="9"/>
  <c r="I2978" i="9"/>
  <c r="K2978" i="9"/>
  <c r="J2978" i="9"/>
  <c r="I2906" i="9"/>
  <c r="K2906" i="9"/>
  <c r="J2906" i="9"/>
  <c r="I2834" i="9"/>
  <c r="K2834" i="9"/>
  <c r="J2834" i="9"/>
  <c r="H2474" i="9"/>
  <c r="G2474" i="9"/>
  <c r="F2474" i="9"/>
  <c r="K2002" i="9"/>
  <c r="J2002" i="9"/>
  <c r="I2002" i="9"/>
  <c r="H1967" i="9"/>
  <c r="G1967" i="9"/>
  <c r="F1967" i="9"/>
  <c r="K1858" i="9"/>
  <c r="J1858" i="9"/>
  <c r="I1858" i="9"/>
  <c r="G1749" i="9"/>
  <c r="F1749" i="9"/>
  <c r="H1749" i="9"/>
  <c r="F1714" i="9"/>
  <c r="H1714" i="9"/>
  <c r="G1714" i="9"/>
  <c r="G1679" i="9"/>
  <c r="F1679" i="9"/>
  <c r="H1679" i="9"/>
  <c r="G1605" i="9"/>
  <c r="F1605" i="9"/>
  <c r="H1605" i="9"/>
  <c r="F1570" i="9"/>
  <c r="H1570" i="9"/>
  <c r="G1570" i="9"/>
  <c r="G5094" i="9"/>
  <c r="F5094" i="9"/>
  <c r="H5094" i="9"/>
  <c r="G4950" i="9"/>
  <c r="F4950" i="9"/>
  <c r="H4950" i="9"/>
  <c r="H4806" i="9"/>
  <c r="G4806" i="9"/>
  <c r="F4806" i="9"/>
  <c r="G4577" i="9"/>
  <c r="F4577" i="9"/>
  <c r="H4577" i="9"/>
  <c r="G4274" i="9"/>
  <c r="F4274" i="9"/>
  <c r="H4274" i="9"/>
  <c r="H4034" i="9"/>
  <c r="G4034" i="9"/>
  <c r="F4034" i="9"/>
  <c r="H3945" i="9"/>
  <c r="G3945" i="9"/>
  <c r="F3945" i="9"/>
  <c r="H3793" i="9"/>
  <c r="G3793" i="9"/>
  <c r="F3793" i="9"/>
  <c r="K3707" i="9"/>
  <c r="J3707" i="9"/>
  <c r="I3707" i="9"/>
  <c r="K3683" i="9"/>
  <c r="J3683" i="9"/>
  <c r="I3683" i="9"/>
  <c r="K3659" i="9"/>
  <c r="J3659" i="9"/>
  <c r="I3659" i="9"/>
  <c r="K3635" i="9"/>
  <c r="J3635" i="9"/>
  <c r="I3635" i="9"/>
  <c r="G3611" i="9"/>
  <c r="F3611" i="9"/>
  <c r="H3611" i="9"/>
  <c r="G3587" i="9"/>
  <c r="F3587" i="9"/>
  <c r="H3587" i="9"/>
  <c r="G3563" i="9"/>
  <c r="F3563" i="9"/>
  <c r="H3563" i="9"/>
  <c r="G3539" i="9"/>
  <c r="F3539" i="9"/>
  <c r="H3539" i="9"/>
  <c r="G3515" i="9"/>
  <c r="F3515" i="9"/>
  <c r="H3515" i="9"/>
  <c r="G3491" i="9"/>
  <c r="F3491" i="9"/>
  <c r="H3491" i="9"/>
  <c r="G3467" i="9"/>
  <c r="F3467" i="9"/>
  <c r="H3467" i="9"/>
  <c r="G3443" i="9"/>
  <c r="F3443" i="9"/>
  <c r="H3443" i="9"/>
  <c r="G3419" i="9"/>
  <c r="F3419" i="9"/>
  <c r="H3419" i="9"/>
  <c r="G3395" i="9"/>
  <c r="F3395" i="9"/>
  <c r="H3395" i="9"/>
  <c r="G3371" i="9"/>
  <c r="F3371" i="9"/>
  <c r="H3371" i="9"/>
  <c r="K3347" i="9"/>
  <c r="J3347" i="9"/>
  <c r="I3347" i="9"/>
  <c r="K3323" i="9"/>
  <c r="J3323" i="9"/>
  <c r="I3323" i="9"/>
  <c r="K3299" i="9"/>
  <c r="J3299" i="9"/>
  <c r="I3299" i="9"/>
  <c r="K3275" i="9"/>
  <c r="J3275" i="9"/>
  <c r="I3275" i="9"/>
  <c r="K3251" i="9"/>
  <c r="J3251" i="9"/>
  <c r="I3251" i="9"/>
  <c r="K3227" i="9"/>
  <c r="J3227" i="9"/>
  <c r="I3227" i="9"/>
  <c r="K3203" i="9"/>
  <c r="J3203" i="9"/>
  <c r="I3203" i="9"/>
  <c r="K3179" i="9"/>
  <c r="J3179" i="9"/>
  <c r="I3179" i="9"/>
  <c r="K3155" i="9"/>
  <c r="J3155" i="9"/>
  <c r="I3155" i="9"/>
  <c r="K3131" i="9"/>
  <c r="J3131" i="9"/>
  <c r="I3131" i="9"/>
  <c r="K3107" i="9"/>
  <c r="J3107" i="9"/>
  <c r="I3107" i="9"/>
  <c r="K3083" i="9"/>
  <c r="J3083" i="9"/>
  <c r="I3083" i="9"/>
  <c r="K3059" i="9"/>
  <c r="J3059" i="9"/>
  <c r="I3059" i="9"/>
  <c r="K3035" i="9"/>
  <c r="I3035" i="9"/>
  <c r="J3035" i="9"/>
  <c r="K3011" i="9"/>
  <c r="I3011" i="9"/>
  <c r="J3011" i="9"/>
  <c r="K2987" i="9"/>
  <c r="I2987" i="9"/>
  <c r="J2987" i="9"/>
  <c r="K2963" i="9"/>
  <c r="I2963" i="9"/>
  <c r="J2963" i="9"/>
  <c r="K2939" i="9"/>
  <c r="I2939" i="9"/>
  <c r="J2939" i="9"/>
  <c r="K2915" i="9"/>
  <c r="I2915" i="9"/>
  <c r="J2915" i="9"/>
  <c r="K2891" i="9"/>
  <c r="I2891" i="9"/>
  <c r="J2891" i="9"/>
  <c r="K2867" i="9"/>
  <c r="I2867" i="9"/>
  <c r="J2867" i="9"/>
  <c r="K2843" i="9"/>
  <c r="I2843" i="9"/>
  <c r="J2843" i="9"/>
  <c r="K2819" i="9"/>
  <c r="I2819" i="9"/>
  <c r="J2819" i="9"/>
  <c r="K2795" i="9"/>
  <c r="I2795" i="9"/>
  <c r="J2795" i="9"/>
  <c r="G2771" i="9"/>
  <c r="F2771" i="9"/>
  <c r="H2771" i="9"/>
  <c r="G2747" i="9"/>
  <c r="F2747" i="9"/>
  <c r="H2747" i="9"/>
  <c r="G2723" i="9"/>
  <c r="F2723" i="9"/>
  <c r="H2723" i="9"/>
  <c r="G2699" i="9"/>
  <c r="F2699" i="9"/>
  <c r="H2699" i="9"/>
  <c r="G2675" i="9"/>
  <c r="F2675" i="9"/>
  <c r="H2675" i="9"/>
  <c r="G2651" i="9"/>
  <c r="F2651" i="9"/>
  <c r="H2651" i="9"/>
  <c r="G2627" i="9"/>
  <c r="F2627" i="9"/>
  <c r="H2627" i="9"/>
  <c r="G2603" i="9"/>
  <c r="F2603" i="9"/>
  <c r="H2603" i="9"/>
  <c r="G2579" i="9"/>
  <c r="F2579" i="9"/>
  <c r="H2579" i="9"/>
  <c r="H2459" i="9"/>
  <c r="G2459" i="9"/>
  <c r="F2459" i="9"/>
  <c r="H2435" i="9"/>
  <c r="G2435" i="9"/>
  <c r="F2435" i="9"/>
  <c r="H2315" i="9"/>
  <c r="G2315" i="9"/>
  <c r="F2315" i="9"/>
  <c r="H2291" i="9"/>
  <c r="G2291" i="9"/>
  <c r="F2291" i="9"/>
  <c r="H2267" i="9"/>
  <c r="G2267" i="9"/>
  <c r="F2267" i="9"/>
  <c r="H2243" i="9"/>
  <c r="G2243" i="9"/>
  <c r="F2243" i="9"/>
  <c r="H2219" i="9"/>
  <c r="G2219" i="9"/>
  <c r="F2219" i="9"/>
  <c r="H2195" i="9"/>
  <c r="G2195" i="9"/>
  <c r="F2195" i="9"/>
  <c r="H2171" i="9"/>
  <c r="G2171" i="9"/>
  <c r="F2171" i="9"/>
  <c r="H2147" i="9"/>
  <c r="G2147" i="9"/>
  <c r="F2147" i="9"/>
  <c r="H2123" i="9"/>
  <c r="G2123" i="9"/>
  <c r="F2123" i="9"/>
  <c r="H2099" i="9"/>
  <c r="G2099" i="9"/>
  <c r="F2099" i="9"/>
  <c r="H2075" i="9"/>
  <c r="G2075" i="9"/>
  <c r="F2075" i="9"/>
  <c r="H2051" i="9"/>
  <c r="G2051" i="9"/>
  <c r="F2051" i="9"/>
  <c r="H2019" i="9"/>
  <c r="F2019" i="9"/>
  <c r="G2019" i="9"/>
  <c r="H1984" i="9"/>
  <c r="G1984" i="9"/>
  <c r="F1984" i="9"/>
  <c r="K1945" i="9"/>
  <c r="J1945" i="9"/>
  <c r="I1945" i="9"/>
  <c r="H1875" i="9"/>
  <c r="F1875" i="9"/>
  <c r="G1875" i="9"/>
  <c r="H1840" i="9"/>
  <c r="G1840" i="9"/>
  <c r="F1840" i="9"/>
  <c r="K1801" i="9"/>
  <c r="J1801" i="9"/>
  <c r="I1801" i="9"/>
  <c r="H1766" i="9"/>
  <c r="G1766" i="9"/>
  <c r="F1766" i="9"/>
  <c r="K1696" i="9"/>
  <c r="J1696" i="9"/>
  <c r="I1696" i="9"/>
  <c r="H1622" i="9"/>
  <c r="G1622" i="9"/>
  <c r="F1622" i="9"/>
  <c r="J1552" i="9"/>
  <c r="I1552" i="9"/>
  <c r="K1552" i="9"/>
  <c r="K302" i="9"/>
  <c r="J302" i="9"/>
  <c r="I302" i="9"/>
  <c r="K278" i="9"/>
  <c r="J278" i="9"/>
  <c r="I278" i="9"/>
  <c r="H258" i="9"/>
  <c r="G258" i="9"/>
  <c r="F258" i="9"/>
  <c r="H234" i="9"/>
  <c r="G234" i="9"/>
  <c r="F234" i="9"/>
  <c r="H210" i="9"/>
  <c r="G210" i="9"/>
  <c r="F210" i="9"/>
  <c r="H186" i="9"/>
  <c r="G186" i="9"/>
  <c r="F186" i="9"/>
  <c r="K158" i="9"/>
  <c r="J158" i="9"/>
  <c r="I158" i="9"/>
  <c r="K134" i="9"/>
  <c r="J134" i="9"/>
  <c r="I134" i="9"/>
  <c r="K110" i="9"/>
  <c r="J110" i="9"/>
  <c r="I110" i="9"/>
  <c r="G82" i="9"/>
  <c r="F82" i="9"/>
  <c r="H82" i="9"/>
  <c r="K62" i="9"/>
  <c r="J62" i="9"/>
  <c r="I62" i="9"/>
  <c r="K38" i="9"/>
  <c r="J38" i="9"/>
  <c r="I38" i="9"/>
  <c r="F4710" i="9"/>
  <c r="H4710" i="9"/>
  <c r="G4710" i="9"/>
  <c r="H4588" i="9"/>
  <c r="G4588" i="9"/>
  <c r="F4588" i="9"/>
  <c r="F4518" i="9"/>
  <c r="H4518" i="9"/>
  <c r="G4518" i="9"/>
  <c r="G4396" i="9"/>
  <c r="F4396" i="9"/>
  <c r="H4396" i="9"/>
  <c r="F4204" i="9"/>
  <c r="H4204" i="9"/>
  <c r="G4204" i="9"/>
  <c r="K4087" i="9"/>
  <c r="J4087" i="9"/>
  <c r="I4087" i="9"/>
  <c r="K4039" i="9"/>
  <c r="J4039" i="9"/>
  <c r="I4039" i="9"/>
  <c r="H3950" i="9"/>
  <c r="G3950" i="9"/>
  <c r="F3950" i="9"/>
  <c r="F3913" i="9"/>
  <c r="H3913" i="9"/>
  <c r="G3913" i="9"/>
  <c r="H3867" i="9"/>
  <c r="G3867" i="9"/>
  <c r="F3867" i="9"/>
  <c r="K3827" i="9"/>
  <c r="J3827" i="9"/>
  <c r="I3827" i="9"/>
  <c r="H3758" i="9"/>
  <c r="G3758" i="9"/>
  <c r="F3758" i="9"/>
  <c r="G3702" i="9"/>
  <c r="H3702" i="9"/>
  <c r="F3702" i="9"/>
  <c r="K3558" i="9"/>
  <c r="J3558" i="9"/>
  <c r="I3558" i="9"/>
  <c r="K3486" i="9"/>
  <c r="J3486" i="9"/>
  <c r="I3486" i="9"/>
  <c r="K3414" i="9"/>
  <c r="J3414" i="9"/>
  <c r="I3414" i="9"/>
  <c r="G3342" i="9"/>
  <c r="H3342" i="9"/>
  <c r="F3342" i="9"/>
  <c r="G3270" i="9"/>
  <c r="H3270" i="9"/>
  <c r="F3270" i="9"/>
  <c r="H3198" i="9"/>
  <c r="G3198" i="9"/>
  <c r="F3198" i="9"/>
  <c r="H3126" i="9"/>
  <c r="G3126" i="9"/>
  <c r="F3126" i="9"/>
  <c r="H3054" i="9"/>
  <c r="G3054" i="9"/>
  <c r="F3054" i="9"/>
  <c r="H2982" i="9"/>
  <c r="G2982" i="9"/>
  <c r="F2982" i="9"/>
  <c r="H2910" i="9"/>
  <c r="G2910" i="9"/>
  <c r="F2910" i="9"/>
  <c r="H2838" i="9"/>
  <c r="G2838" i="9"/>
  <c r="F2838" i="9"/>
  <c r="K2766" i="9"/>
  <c r="J2766" i="9"/>
  <c r="I2766" i="9"/>
  <c r="K2694" i="9"/>
  <c r="J2694" i="9"/>
  <c r="I2694" i="9"/>
  <c r="K2622" i="9"/>
  <c r="J2622" i="9"/>
  <c r="I2622" i="9"/>
  <c r="K2550" i="9"/>
  <c r="I2550" i="9"/>
  <c r="J2550" i="9"/>
  <c r="F2478" i="9"/>
  <c r="H2478" i="9"/>
  <c r="G2478" i="9"/>
  <c r="G2406" i="9"/>
  <c r="F2406" i="9"/>
  <c r="H2406" i="9"/>
  <c r="G2334" i="9"/>
  <c r="F2334" i="9"/>
  <c r="H2334" i="9"/>
  <c r="G2262" i="9"/>
  <c r="F2262" i="9"/>
  <c r="H2262" i="9"/>
  <c r="G2190" i="9"/>
  <c r="F2190" i="9"/>
  <c r="H2190" i="9"/>
  <c r="G2118" i="9"/>
  <c r="F2118" i="9"/>
  <c r="H2118" i="9"/>
  <c r="F1927" i="9"/>
  <c r="H1927" i="9"/>
  <c r="G1927" i="9"/>
  <c r="G1892" i="9"/>
  <c r="F1892" i="9"/>
  <c r="H1892" i="9"/>
  <c r="H1783" i="9"/>
  <c r="G1783" i="9"/>
  <c r="F1783" i="9"/>
  <c r="H1748" i="9"/>
  <c r="G1748" i="9"/>
  <c r="F1748" i="9"/>
  <c r="H1709" i="9"/>
  <c r="G1709" i="9"/>
  <c r="F1709" i="9"/>
  <c r="H1674" i="9"/>
  <c r="G1674" i="9"/>
  <c r="F1674" i="9"/>
  <c r="H1639" i="9"/>
  <c r="G1639" i="9"/>
  <c r="F1639" i="9"/>
  <c r="H1604" i="9"/>
  <c r="G1604" i="9"/>
  <c r="F1604" i="9"/>
  <c r="H1565" i="9"/>
  <c r="G1565" i="9"/>
  <c r="F1565" i="9"/>
  <c r="H1530" i="9"/>
  <c r="G1530" i="9"/>
  <c r="F1530" i="9"/>
  <c r="H1518" i="9"/>
  <c r="G1518" i="9"/>
  <c r="F1518" i="9"/>
  <c r="H1506" i="9"/>
  <c r="G1506" i="9"/>
  <c r="F1506" i="9"/>
  <c r="H1494" i="9"/>
  <c r="G1494" i="9"/>
  <c r="F1494" i="9"/>
  <c r="H1482" i="9"/>
  <c r="G1482" i="9"/>
  <c r="F1482" i="9"/>
  <c r="H1470" i="9"/>
  <c r="G1470" i="9"/>
  <c r="F1470" i="9"/>
  <c r="H1458" i="9"/>
  <c r="G1458" i="9"/>
  <c r="F1458" i="9"/>
  <c r="H1446" i="9"/>
  <c r="G1446" i="9"/>
  <c r="F1446" i="9"/>
  <c r="H1434" i="9"/>
  <c r="G1434" i="9"/>
  <c r="F1434" i="9"/>
  <c r="H1422" i="9"/>
  <c r="G1422" i="9"/>
  <c r="F1422" i="9"/>
  <c r="H1410" i="9"/>
  <c r="G1410" i="9"/>
  <c r="F1410" i="9"/>
  <c r="H1398" i="9"/>
  <c r="G1398" i="9"/>
  <c r="F1398" i="9"/>
  <c r="H1386" i="9"/>
  <c r="G1386" i="9"/>
  <c r="F1386" i="9"/>
  <c r="H1374" i="9"/>
  <c r="G1374" i="9"/>
  <c r="F1374" i="9"/>
  <c r="H1362" i="9"/>
  <c r="G1362" i="9"/>
  <c r="F1362" i="9"/>
  <c r="H1350" i="9"/>
  <c r="G1350" i="9"/>
  <c r="F1350" i="9"/>
  <c r="H1338" i="9"/>
  <c r="G1338" i="9"/>
  <c r="F1338" i="9"/>
  <c r="H1326" i="9"/>
  <c r="G1326" i="9"/>
  <c r="F1326" i="9"/>
  <c r="H1314" i="9"/>
  <c r="G1314" i="9"/>
  <c r="F1314" i="9"/>
  <c r="H1302" i="9"/>
  <c r="G1302" i="9"/>
  <c r="F1302" i="9"/>
  <c r="H1290" i="9"/>
  <c r="G1290" i="9"/>
  <c r="F1290" i="9"/>
  <c r="H1278" i="9"/>
  <c r="G1278" i="9"/>
  <c r="F1278" i="9"/>
  <c r="H1266" i="9"/>
  <c r="G1266" i="9"/>
  <c r="F1266" i="9"/>
  <c r="H1254" i="9"/>
  <c r="G1254" i="9"/>
  <c r="F1254" i="9"/>
  <c r="H1242" i="9"/>
  <c r="G1242" i="9"/>
  <c r="F1242" i="9"/>
  <c r="H1230" i="9"/>
  <c r="G1230" i="9"/>
  <c r="F1230" i="9"/>
  <c r="H1218" i="9"/>
  <c r="G1218" i="9"/>
  <c r="F1218" i="9"/>
  <c r="H1206" i="9"/>
  <c r="G1206" i="9"/>
  <c r="F1206" i="9"/>
  <c r="H1194" i="9"/>
  <c r="G1194" i="9"/>
  <c r="F1194" i="9"/>
  <c r="H1182" i="9"/>
  <c r="G1182" i="9"/>
  <c r="F1182" i="9"/>
  <c r="H1170" i="9"/>
  <c r="G1170" i="9"/>
  <c r="F1170" i="9"/>
  <c r="H1158" i="9"/>
  <c r="G1158" i="9"/>
  <c r="F1158" i="9"/>
  <c r="H1146" i="9"/>
  <c r="G1146" i="9"/>
  <c r="F1146" i="9"/>
  <c r="H1134" i="9"/>
  <c r="G1134" i="9"/>
  <c r="F1134" i="9"/>
  <c r="H1122" i="9"/>
  <c r="G1122" i="9"/>
  <c r="F1122" i="9"/>
  <c r="H1110" i="9"/>
  <c r="G1110" i="9"/>
  <c r="F1110" i="9"/>
  <c r="H1098" i="9"/>
  <c r="G1098" i="9"/>
  <c r="F1098" i="9"/>
  <c r="H1086" i="9"/>
  <c r="G1086" i="9"/>
  <c r="F1086" i="9"/>
  <c r="H1074" i="9"/>
  <c r="G1074" i="9"/>
  <c r="F1074" i="9"/>
  <c r="H1062" i="9"/>
  <c r="G1062" i="9"/>
  <c r="F1062" i="9"/>
  <c r="H1050" i="9"/>
  <c r="G1050" i="9"/>
  <c r="F1050" i="9"/>
  <c r="H1038" i="9"/>
  <c r="G1038" i="9"/>
  <c r="F1038" i="9"/>
  <c r="H1026" i="9"/>
  <c r="G1026" i="9"/>
  <c r="F1026" i="9"/>
  <c r="H1014" i="9"/>
  <c r="G1014" i="9"/>
  <c r="F1014" i="9"/>
  <c r="H1002" i="9"/>
  <c r="G1002" i="9"/>
  <c r="F1002" i="9"/>
  <c r="H990" i="9"/>
  <c r="G990" i="9"/>
  <c r="F990" i="9"/>
  <c r="H978" i="9"/>
  <c r="G978" i="9"/>
  <c r="F978" i="9"/>
  <c r="H966" i="9"/>
  <c r="G966" i="9"/>
  <c r="F966" i="9"/>
  <c r="H954" i="9"/>
  <c r="G954" i="9"/>
  <c r="F954" i="9"/>
  <c r="H942" i="9"/>
  <c r="G942" i="9"/>
  <c r="F942" i="9"/>
  <c r="H930" i="9"/>
  <c r="G930" i="9"/>
  <c r="F930" i="9"/>
  <c r="H918" i="9"/>
  <c r="G918" i="9"/>
  <c r="F918" i="9"/>
  <c r="H906" i="9"/>
  <c r="G906" i="9"/>
  <c r="F906" i="9"/>
  <c r="H894" i="9"/>
  <c r="G894" i="9"/>
  <c r="F894" i="9"/>
  <c r="H882" i="9"/>
  <c r="G882" i="9"/>
  <c r="F882" i="9"/>
  <c r="H870" i="9"/>
  <c r="G870" i="9"/>
  <c r="F870" i="9"/>
  <c r="H858" i="9"/>
  <c r="G858" i="9"/>
  <c r="F858" i="9"/>
  <c r="H846" i="9"/>
  <c r="G846" i="9"/>
  <c r="F846" i="9"/>
  <c r="G834" i="9"/>
  <c r="F834" i="9"/>
  <c r="H834" i="9"/>
  <c r="G822" i="9"/>
  <c r="F822" i="9"/>
  <c r="H822" i="9"/>
  <c r="G810" i="9"/>
  <c r="F810" i="9"/>
  <c r="H810" i="9"/>
  <c r="G798" i="9"/>
  <c r="F798" i="9"/>
  <c r="H798" i="9"/>
  <c r="G786" i="9"/>
  <c r="F786" i="9"/>
  <c r="H786" i="9"/>
  <c r="H378" i="9"/>
  <c r="G378" i="9"/>
  <c r="F378" i="9"/>
  <c r="H366" i="9"/>
  <c r="G366" i="9"/>
  <c r="F366" i="9"/>
  <c r="H354" i="9"/>
  <c r="G354" i="9"/>
  <c r="F354" i="9"/>
  <c r="K338" i="9"/>
  <c r="J338" i="9"/>
  <c r="I338" i="9"/>
  <c r="K326" i="9"/>
  <c r="J326" i="9"/>
  <c r="I326" i="9"/>
  <c r="K314" i="9"/>
  <c r="J314" i="9"/>
  <c r="I314" i="9"/>
  <c r="G298" i="9"/>
  <c r="F298" i="9"/>
  <c r="H298" i="9"/>
  <c r="G274" i="9"/>
  <c r="F274" i="9"/>
  <c r="H274" i="9"/>
  <c r="G250" i="9"/>
  <c r="F250" i="9"/>
  <c r="H250" i="9"/>
  <c r="H222" i="9"/>
  <c r="G222" i="9"/>
  <c r="F222" i="9"/>
  <c r="H198" i="9"/>
  <c r="G198" i="9"/>
  <c r="F198" i="9"/>
  <c r="G178" i="9"/>
  <c r="F178" i="9"/>
  <c r="H178" i="9"/>
  <c r="G154" i="9"/>
  <c r="F154" i="9"/>
  <c r="H154" i="9"/>
  <c r="G130" i="9"/>
  <c r="F130" i="9"/>
  <c r="H130" i="9"/>
  <c r="G106" i="9"/>
  <c r="F106" i="9"/>
  <c r="H106" i="9"/>
  <c r="K86" i="9"/>
  <c r="J86" i="9"/>
  <c r="I86" i="9"/>
  <c r="G58" i="9"/>
  <c r="F58" i="9"/>
  <c r="H58" i="9"/>
  <c r="G34" i="9"/>
  <c r="F34" i="9"/>
  <c r="H34" i="9"/>
  <c r="G10" i="9"/>
  <c r="F10" i="9"/>
  <c r="H10" i="9"/>
  <c r="F5105" i="9"/>
  <c r="H5105" i="9"/>
  <c r="G5105" i="9"/>
  <c r="H4961" i="9"/>
  <c r="G4961" i="9"/>
  <c r="F4961" i="9"/>
  <c r="K4817" i="9"/>
  <c r="J4817" i="9"/>
  <c r="I4817" i="9"/>
  <c r="K4413" i="9"/>
  <c r="J4413" i="9"/>
  <c r="I4413" i="9"/>
  <c r="K4221" i="9"/>
  <c r="J4221" i="9"/>
  <c r="I4221" i="9"/>
  <c r="G4092" i="9"/>
  <c r="F4092" i="9"/>
  <c r="H4092" i="9"/>
  <c r="K4049" i="9"/>
  <c r="J4049" i="9"/>
  <c r="I4049" i="9"/>
  <c r="H3837" i="9"/>
  <c r="G3837" i="9"/>
  <c r="F3837" i="9"/>
  <c r="H3807" i="9"/>
  <c r="G3807" i="9"/>
  <c r="F3807" i="9"/>
  <c r="H3777" i="9"/>
  <c r="G3777" i="9"/>
  <c r="F3777" i="9"/>
  <c r="H3735" i="9"/>
  <c r="G3735" i="9"/>
  <c r="F3735" i="9"/>
  <c r="H3711" i="9"/>
  <c r="G3711" i="9"/>
  <c r="F3711" i="9"/>
  <c r="H3687" i="9"/>
  <c r="G3687" i="9"/>
  <c r="F3687" i="9"/>
  <c r="H3351" i="9"/>
  <c r="G3351" i="9"/>
  <c r="F3351" i="9"/>
  <c r="H3327" i="9"/>
  <c r="G3327" i="9"/>
  <c r="F3327" i="9"/>
  <c r="H3303" i="9"/>
  <c r="G3303" i="9"/>
  <c r="F3303" i="9"/>
  <c r="H3279" i="9"/>
  <c r="G3279" i="9"/>
  <c r="F3279" i="9"/>
  <c r="H3255" i="9"/>
  <c r="G3255" i="9"/>
  <c r="F3255" i="9"/>
  <c r="H3015" i="9"/>
  <c r="G3015" i="9"/>
  <c r="F3015" i="9"/>
  <c r="H2991" i="9"/>
  <c r="G2991" i="9"/>
  <c r="F2991" i="9"/>
  <c r="H2943" i="9"/>
  <c r="G2943" i="9"/>
  <c r="F2943" i="9"/>
  <c r="H2919" i="9"/>
  <c r="G2919" i="9"/>
  <c r="F2919" i="9"/>
  <c r="H2871" i="9"/>
  <c r="G2871" i="9"/>
  <c r="F2871" i="9"/>
  <c r="H2847" i="9"/>
  <c r="G2847" i="9"/>
  <c r="F2847" i="9"/>
  <c r="H2799" i="9"/>
  <c r="G2799" i="9"/>
  <c r="F2799" i="9"/>
  <c r="H2487" i="9"/>
  <c r="G2487" i="9"/>
  <c r="F2487" i="9"/>
  <c r="H2463" i="9"/>
  <c r="G2463" i="9"/>
  <c r="F2463" i="9"/>
  <c r="H2439" i="9"/>
  <c r="G2439" i="9"/>
  <c r="F2439" i="9"/>
  <c r="H2415" i="9"/>
  <c r="G2415" i="9"/>
  <c r="F2415" i="9"/>
  <c r="H2391" i="9"/>
  <c r="G2391" i="9"/>
  <c r="F2391" i="9"/>
  <c r="H2367" i="9"/>
  <c r="G2367" i="9"/>
  <c r="F2367" i="9"/>
  <c r="H2343" i="9"/>
  <c r="G2343" i="9"/>
  <c r="F2343" i="9"/>
  <c r="H2319" i="9"/>
  <c r="G2319" i="9"/>
  <c r="F2319" i="9"/>
  <c r="H2295" i="9"/>
  <c r="G2295" i="9"/>
  <c r="F2295" i="9"/>
  <c r="H2271" i="9"/>
  <c r="G2271" i="9"/>
  <c r="F2271" i="9"/>
  <c r="H2247" i="9"/>
  <c r="G2247" i="9"/>
  <c r="F2247" i="9"/>
  <c r="H2223" i="9"/>
  <c r="G2223" i="9"/>
  <c r="F2223" i="9"/>
  <c r="H2199" i="9"/>
  <c r="G2199" i="9"/>
  <c r="F2199" i="9"/>
  <c r="H2175" i="9"/>
  <c r="G2175" i="9"/>
  <c r="F2175" i="9"/>
  <c r="H2151" i="9"/>
  <c r="G2151" i="9"/>
  <c r="F2151" i="9"/>
  <c r="H2127" i="9"/>
  <c r="G2127" i="9"/>
  <c r="F2127" i="9"/>
  <c r="H2103" i="9"/>
  <c r="G2103" i="9"/>
  <c r="F2103" i="9"/>
  <c r="H2079" i="9"/>
  <c r="G2079" i="9"/>
  <c r="F2079" i="9"/>
  <c r="H2055" i="9"/>
  <c r="F2055" i="9"/>
  <c r="G2055" i="9"/>
  <c r="H2027" i="9"/>
  <c r="F2027" i="9"/>
  <c r="G2027" i="9"/>
  <c r="K1918" i="9"/>
  <c r="J1918" i="9"/>
  <c r="I1918" i="9"/>
  <c r="H1883" i="9"/>
  <c r="F1883" i="9"/>
  <c r="G1883" i="9"/>
  <c r="F1774" i="9"/>
  <c r="H1774" i="9"/>
  <c r="G1774" i="9"/>
  <c r="G1739" i="9"/>
  <c r="F1739" i="9"/>
  <c r="H1739" i="9"/>
  <c r="G1665" i="9"/>
  <c r="F1665" i="9"/>
  <c r="H1665" i="9"/>
  <c r="F1630" i="9"/>
  <c r="H1630" i="9"/>
  <c r="G1630" i="9"/>
  <c r="G1595" i="9"/>
  <c r="F1595" i="9"/>
  <c r="H1595" i="9"/>
  <c r="G4529" i="9"/>
  <c r="F4529" i="9"/>
  <c r="H4529" i="9"/>
  <c r="G4418" i="9"/>
  <c r="F4418" i="9"/>
  <c r="H4418" i="9"/>
  <c r="G4226" i="9"/>
  <c r="F4226" i="9"/>
  <c r="H4226" i="9"/>
  <c r="K4135" i="9"/>
  <c r="J4135" i="9"/>
  <c r="I4135" i="9"/>
  <c r="H4070" i="9"/>
  <c r="G4070" i="9"/>
  <c r="F4070" i="9"/>
  <c r="K3991" i="9"/>
  <c r="J3991" i="9"/>
  <c r="I3991" i="9"/>
  <c r="H3902" i="9"/>
  <c r="G3902" i="9"/>
  <c r="F3902" i="9"/>
  <c r="H3866" i="9"/>
  <c r="G3866" i="9"/>
  <c r="F3866" i="9"/>
  <c r="G3846" i="9"/>
  <c r="F3846" i="9"/>
  <c r="H3846" i="9"/>
  <c r="K3682" i="9"/>
  <c r="J3682" i="9"/>
  <c r="I3682" i="9"/>
  <c r="H3610" i="9"/>
  <c r="G3610" i="9"/>
  <c r="F3610" i="9"/>
  <c r="H3538" i="9"/>
  <c r="G3538" i="9"/>
  <c r="F3538" i="9"/>
  <c r="H3466" i="9"/>
  <c r="G3466" i="9"/>
  <c r="F3466" i="9"/>
  <c r="H3394" i="9"/>
  <c r="G3394" i="9"/>
  <c r="F3394" i="9"/>
  <c r="K3178" i="9"/>
  <c r="J3178" i="9"/>
  <c r="I3178" i="9"/>
  <c r="K3106" i="9"/>
  <c r="J3106" i="9"/>
  <c r="I3106" i="9"/>
  <c r="J3034" i="9"/>
  <c r="I3034" i="9"/>
  <c r="K3034" i="9"/>
  <c r="J2962" i="9"/>
  <c r="I2962" i="9"/>
  <c r="K2962" i="9"/>
  <c r="J2890" i="9"/>
  <c r="I2890" i="9"/>
  <c r="K2890" i="9"/>
  <c r="J2818" i="9"/>
  <c r="I2818" i="9"/>
  <c r="K2818" i="9"/>
  <c r="H2746" i="9"/>
  <c r="G2746" i="9"/>
  <c r="F2746" i="9"/>
  <c r="H2674" i="9"/>
  <c r="G2674" i="9"/>
  <c r="F2674" i="9"/>
  <c r="H2602" i="9"/>
  <c r="G2602" i="9"/>
  <c r="F2602" i="9"/>
  <c r="H2530" i="9"/>
  <c r="G2530" i="9"/>
  <c r="F2530" i="9"/>
  <c r="H2031" i="9"/>
  <c r="F2031" i="9"/>
  <c r="G2031" i="9"/>
  <c r="H1996" i="9"/>
  <c r="G1996" i="9"/>
  <c r="F1996" i="9"/>
  <c r="K1957" i="9"/>
  <c r="J1957" i="9"/>
  <c r="I1957" i="9"/>
  <c r="H1887" i="9"/>
  <c r="F1887" i="9"/>
  <c r="G1887" i="9"/>
  <c r="H1852" i="9"/>
  <c r="G1852" i="9"/>
  <c r="F1852" i="9"/>
  <c r="K1813" i="9"/>
  <c r="J1813" i="9"/>
  <c r="I1813" i="9"/>
  <c r="H1778" i="9"/>
  <c r="G1778" i="9"/>
  <c r="F1778" i="9"/>
  <c r="K1708" i="9"/>
  <c r="J1708" i="9"/>
  <c r="I1708" i="9"/>
  <c r="H1634" i="9"/>
  <c r="G1634" i="9"/>
  <c r="F1634" i="9"/>
  <c r="K1564" i="9"/>
  <c r="J1564" i="9"/>
  <c r="I1564" i="9"/>
  <c r="H953" i="9"/>
  <c r="G953" i="9"/>
  <c r="F953" i="9"/>
  <c r="G933" i="9"/>
  <c r="H933" i="9"/>
  <c r="F933" i="9"/>
  <c r="G921" i="9"/>
  <c r="H921" i="9"/>
  <c r="F921" i="9"/>
  <c r="G909" i="9"/>
  <c r="H909" i="9"/>
  <c r="F909" i="9"/>
  <c r="G897" i="9"/>
  <c r="H897" i="9"/>
  <c r="F897" i="9"/>
  <c r="H869" i="9"/>
  <c r="G869" i="9"/>
  <c r="F869" i="9"/>
  <c r="H845" i="9"/>
  <c r="G845" i="9"/>
  <c r="F845" i="9"/>
  <c r="H809" i="9"/>
  <c r="G809" i="9"/>
  <c r="F809" i="9"/>
  <c r="K769" i="9"/>
  <c r="J769" i="9"/>
  <c r="I769" i="9"/>
  <c r="H745" i="9"/>
  <c r="G745" i="9"/>
  <c r="F745" i="9"/>
  <c r="K697" i="9"/>
  <c r="J697" i="9"/>
  <c r="I697" i="9"/>
  <c r="H673" i="9"/>
  <c r="G673" i="9"/>
  <c r="F673" i="9"/>
  <c r="K541" i="9"/>
  <c r="J541" i="9"/>
  <c r="I541" i="9"/>
  <c r="F369" i="9"/>
  <c r="H369" i="9"/>
  <c r="G369" i="9"/>
  <c r="H341" i="9"/>
  <c r="G341" i="9"/>
  <c r="F341" i="9"/>
  <c r="H313" i="9"/>
  <c r="G313" i="9"/>
  <c r="F313" i="9"/>
  <c r="H289" i="9"/>
  <c r="G289" i="9"/>
  <c r="F289" i="9"/>
  <c r="H269" i="9"/>
  <c r="G269" i="9"/>
  <c r="F269" i="9"/>
  <c r="F249" i="9"/>
  <c r="H249" i="9"/>
  <c r="G249" i="9"/>
  <c r="H229" i="9"/>
  <c r="G229" i="9"/>
  <c r="F229" i="9"/>
  <c r="H209" i="9"/>
  <c r="G209" i="9"/>
  <c r="F209" i="9"/>
  <c r="H185" i="9"/>
  <c r="G185" i="9"/>
  <c r="F185" i="9"/>
  <c r="H161" i="9"/>
  <c r="G161" i="9"/>
  <c r="F161" i="9"/>
  <c r="H137" i="9"/>
  <c r="G137" i="9"/>
  <c r="F137" i="9"/>
  <c r="H109" i="9"/>
  <c r="G109" i="9"/>
  <c r="F109" i="9"/>
  <c r="F93" i="9"/>
  <c r="H93" i="9"/>
  <c r="G93" i="9"/>
  <c r="H77" i="9"/>
  <c r="G77" i="9"/>
  <c r="F77" i="9"/>
  <c r="F57" i="9"/>
  <c r="H57" i="9"/>
  <c r="G57" i="9"/>
  <c r="H37" i="9"/>
  <c r="G37" i="9"/>
  <c r="F37" i="9"/>
  <c r="H17" i="9"/>
  <c r="G17" i="9"/>
  <c r="F17" i="9"/>
  <c r="K4774" i="9"/>
  <c r="J4774" i="9"/>
  <c r="I4774" i="9"/>
  <c r="F4662" i="9"/>
  <c r="H4662" i="9"/>
  <c r="G4662" i="9"/>
  <c r="H4540" i="9"/>
  <c r="G4540" i="9"/>
  <c r="F4540" i="9"/>
  <c r="F4470" i="9"/>
  <c r="H4470" i="9"/>
  <c r="G4470" i="9"/>
  <c r="G4348" i="9"/>
  <c r="F4348" i="9"/>
  <c r="H4348" i="9"/>
  <c r="G4140" i="9"/>
  <c r="F4140" i="9"/>
  <c r="H4140" i="9"/>
  <c r="K4027" i="9"/>
  <c r="J4027" i="9"/>
  <c r="I4027" i="9"/>
  <c r="K4001" i="9"/>
  <c r="J4001" i="9"/>
  <c r="I4001" i="9"/>
  <c r="K3886" i="9"/>
  <c r="J3886" i="9"/>
  <c r="I3886" i="9"/>
  <c r="H3806" i="9"/>
  <c r="G3806" i="9"/>
  <c r="F3806" i="9"/>
  <c r="H3781" i="9"/>
  <c r="G3781" i="9"/>
  <c r="F3781" i="9"/>
  <c r="G3748" i="9"/>
  <c r="F3748" i="9"/>
  <c r="H3748" i="9"/>
  <c r="H3720" i="9"/>
  <c r="G3720" i="9"/>
  <c r="F3720" i="9"/>
  <c r="H3696" i="9"/>
  <c r="G3696" i="9"/>
  <c r="F3696" i="9"/>
  <c r="H3672" i="9"/>
  <c r="G3672" i="9"/>
  <c r="F3672" i="9"/>
  <c r="H3648" i="9"/>
  <c r="G3648" i="9"/>
  <c r="F3648" i="9"/>
  <c r="H3624" i="9"/>
  <c r="F3624" i="9"/>
  <c r="G3624" i="9"/>
  <c r="F3600" i="9"/>
  <c r="H3600" i="9"/>
  <c r="G3600" i="9"/>
  <c r="F3576" i="9"/>
  <c r="H3576" i="9"/>
  <c r="G3576" i="9"/>
  <c r="F3552" i="9"/>
  <c r="H3552" i="9"/>
  <c r="G3552" i="9"/>
  <c r="F3528" i="9"/>
  <c r="H3528" i="9"/>
  <c r="G3528" i="9"/>
  <c r="F3504" i="9"/>
  <c r="H3504" i="9"/>
  <c r="G3504" i="9"/>
  <c r="F3480" i="9"/>
  <c r="H3480" i="9"/>
  <c r="G3480" i="9"/>
  <c r="F3456" i="9"/>
  <c r="H3456" i="9"/>
  <c r="G3456" i="9"/>
  <c r="F3432" i="9"/>
  <c r="H3432" i="9"/>
  <c r="G3432" i="9"/>
  <c r="F3408" i="9"/>
  <c r="H3408" i="9"/>
  <c r="G3408" i="9"/>
  <c r="F3384" i="9"/>
  <c r="H3384" i="9"/>
  <c r="G3384" i="9"/>
  <c r="H3336" i="9"/>
  <c r="G3336" i="9"/>
  <c r="F3336" i="9"/>
  <c r="H3312" i="9"/>
  <c r="G3312" i="9"/>
  <c r="F3312" i="9"/>
  <c r="H3288" i="9"/>
  <c r="G3288" i="9"/>
  <c r="F3288" i="9"/>
  <c r="H3264" i="9"/>
  <c r="G3264" i="9"/>
  <c r="F3264" i="9"/>
  <c r="H3240" i="9"/>
  <c r="F3240" i="9"/>
  <c r="G3240" i="9"/>
  <c r="H3216" i="9"/>
  <c r="G3216" i="9"/>
  <c r="F3216" i="9"/>
  <c r="H3192" i="9"/>
  <c r="G3192" i="9"/>
  <c r="F3192" i="9"/>
  <c r="H3168" i="9"/>
  <c r="G3168" i="9"/>
  <c r="F3168" i="9"/>
  <c r="H3144" i="9"/>
  <c r="G3144" i="9"/>
  <c r="F3144" i="9"/>
  <c r="H3120" i="9"/>
  <c r="G3120" i="9"/>
  <c r="F3120" i="9"/>
  <c r="H3096" i="9"/>
  <c r="G3096" i="9"/>
  <c r="F3096" i="9"/>
  <c r="H3072" i="9"/>
  <c r="G3072" i="9"/>
  <c r="F3072" i="9"/>
  <c r="H3048" i="9"/>
  <c r="G3048" i="9"/>
  <c r="F3048" i="9"/>
  <c r="K2976" i="9"/>
  <c r="J2976" i="9"/>
  <c r="I2976" i="9"/>
  <c r="K2904" i="9"/>
  <c r="J2904" i="9"/>
  <c r="I2904" i="9"/>
  <c r="K2832" i="9"/>
  <c r="J2832" i="9"/>
  <c r="I2832" i="9"/>
  <c r="F2784" i="9"/>
  <c r="H2784" i="9"/>
  <c r="G2784" i="9"/>
  <c r="F2760" i="9"/>
  <c r="G2760" i="9"/>
  <c r="H2760" i="9"/>
  <c r="F2736" i="9"/>
  <c r="H2736" i="9"/>
  <c r="G2736" i="9"/>
  <c r="F2712" i="9"/>
  <c r="H2712" i="9"/>
  <c r="G2712" i="9"/>
  <c r="F2688" i="9"/>
  <c r="H2688" i="9"/>
  <c r="G2688" i="9"/>
  <c r="F2664" i="9"/>
  <c r="H2664" i="9"/>
  <c r="G2664" i="9"/>
  <c r="F2640" i="9"/>
  <c r="H2640" i="9"/>
  <c r="G2640" i="9"/>
  <c r="F2616" i="9"/>
  <c r="H2616" i="9"/>
  <c r="G2616" i="9"/>
  <c r="F2592" i="9"/>
  <c r="H2592" i="9"/>
  <c r="G2592" i="9"/>
  <c r="F2568" i="9"/>
  <c r="G2568" i="9"/>
  <c r="H2568" i="9"/>
  <c r="K2400" i="9"/>
  <c r="J2400" i="9"/>
  <c r="I2400" i="9"/>
  <c r="H2376" i="9"/>
  <c r="G2376" i="9"/>
  <c r="F2376" i="9"/>
  <c r="K2352" i="9"/>
  <c r="J2352" i="9"/>
  <c r="I2352" i="9"/>
  <c r="F1939" i="9"/>
  <c r="H1939" i="9"/>
  <c r="G1939" i="9"/>
  <c r="G1904" i="9"/>
  <c r="F1904" i="9"/>
  <c r="H1904" i="9"/>
  <c r="F1795" i="9"/>
  <c r="G1795" i="9"/>
  <c r="H1795" i="9"/>
  <c r="H1760" i="9"/>
  <c r="G1760" i="9"/>
  <c r="F1760" i="9"/>
  <c r="H1721" i="9"/>
  <c r="G1721" i="9"/>
  <c r="F1721" i="9"/>
  <c r="H1686" i="9"/>
  <c r="G1686" i="9"/>
  <c r="F1686" i="9"/>
  <c r="H1651" i="9"/>
  <c r="G1651" i="9"/>
  <c r="F1651" i="9"/>
  <c r="H1616" i="9"/>
  <c r="G1616" i="9"/>
  <c r="F1616" i="9"/>
  <c r="H1577" i="9"/>
  <c r="G1577" i="9"/>
  <c r="F1577" i="9"/>
  <c r="H1542" i="9"/>
  <c r="G1542" i="9"/>
  <c r="F1542" i="9"/>
  <c r="G1521" i="9"/>
  <c r="H1521" i="9"/>
  <c r="F1521" i="9"/>
  <c r="G1509" i="9"/>
  <c r="H1509" i="9"/>
  <c r="F1509" i="9"/>
  <c r="G1497" i="9"/>
  <c r="H1497" i="9"/>
  <c r="F1497" i="9"/>
  <c r="G1485" i="9"/>
  <c r="H1485" i="9"/>
  <c r="F1485" i="9"/>
  <c r="G1473" i="9"/>
  <c r="H1473" i="9"/>
  <c r="F1473" i="9"/>
  <c r="G1461" i="9"/>
  <c r="H1461" i="9"/>
  <c r="F1461" i="9"/>
  <c r="G1449" i="9"/>
  <c r="H1449" i="9"/>
  <c r="F1449" i="9"/>
  <c r="G1437" i="9"/>
  <c r="H1437" i="9"/>
  <c r="F1437" i="9"/>
  <c r="G1425" i="9"/>
  <c r="H1425" i="9"/>
  <c r="F1425" i="9"/>
  <c r="G1413" i="9"/>
  <c r="H1413" i="9"/>
  <c r="F1413" i="9"/>
  <c r="G1401" i="9"/>
  <c r="H1401" i="9"/>
  <c r="F1401" i="9"/>
  <c r="G1389" i="9"/>
  <c r="H1389" i="9"/>
  <c r="F1389" i="9"/>
  <c r="H1377" i="9"/>
  <c r="G1377" i="9"/>
  <c r="F1377" i="9"/>
  <c r="H1365" i="9"/>
  <c r="G1365" i="9"/>
  <c r="F1365" i="9"/>
  <c r="H1353" i="9"/>
  <c r="G1353" i="9"/>
  <c r="F1353" i="9"/>
  <c r="G1341" i="9"/>
  <c r="H1341" i="9"/>
  <c r="F1341" i="9"/>
  <c r="G1329" i="9"/>
  <c r="H1329" i="9"/>
  <c r="F1329" i="9"/>
  <c r="G1317" i="9"/>
  <c r="H1317" i="9"/>
  <c r="F1317" i="9"/>
  <c r="G1305" i="9"/>
  <c r="H1305" i="9"/>
  <c r="F1305" i="9"/>
  <c r="G1293" i="9"/>
  <c r="F1293" i="9"/>
  <c r="H1293" i="9"/>
  <c r="G1281" i="9"/>
  <c r="H1281" i="9"/>
  <c r="F1281" i="9"/>
  <c r="G1269" i="9"/>
  <c r="H1269" i="9"/>
  <c r="F1269" i="9"/>
  <c r="G1257" i="9"/>
  <c r="H1257" i="9"/>
  <c r="F1257" i="9"/>
  <c r="G1245" i="9"/>
  <c r="H1245" i="9"/>
  <c r="F1245" i="9"/>
  <c r="G1233" i="9"/>
  <c r="H1233" i="9"/>
  <c r="F1233" i="9"/>
  <c r="G1221" i="9"/>
  <c r="H1221" i="9"/>
  <c r="F1221" i="9"/>
  <c r="G1209" i="9"/>
  <c r="H1209" i="9"/>
  <c r="F1209" i="9"/>
  <c r="G1197" i="9"/>
  <c r="H1197" i="9"/>
  <c r="F1197" i="9"/>
  <c r="G1185" i="9"/>
  <c r="H1185" i="9"/>
  <c r="F1185" i="9"/>
  <c r="G1173" i="9"/>
  <c r="H1173" i="9"/>
  <c r="F1173" i="9"/>
  <c r="G1161" i="9"/>
  <c r="H1161" i="9"/>
  <c r="F1161" i="9"/>
  <c r="G1149" i="9"/>
  <c r="H1149" i="9"/>
  <c r="F1149" i="9"/>
  <c r="G1137" i="9"/>
  <c r="H1137" i="9"/>
  <c r="F1137" i="9"/>
  <c r="G1125" i="9"/>
  <c r="H1125" i="9"/>
  <c r="F1125" i="9"/>
  <c r="G1113" i="9"/>
  <c r="H1113" i="9"/>
  <c r="F1113" i="9"/>
  <c r="G1101" i="9"/>
  <c r="F1101" i="9"/>
  <c r="H1101" i="9"/>
  <c r="G1089" i="9"/>
  <c r="H1089" i="9"/>
  <c r="F1089" i="9"/>
  <c r="G1077" i="9"/>
  <c r="H1077" i="9"/>
  <c r="F1077" i="9"/>
  <c r="G1065" i="9"/>
  <c r="H1065" i="9"/>
  <c r="F1065" i="9"/>
  <c r="G1053" i="9"/>
  <c r="H1053" i="9"/>
  <c r="F1053" i="9"/>
  <c r="G1041" i="9"/>
  <c r="H1041" i="9"/>
  <c r="F1041" i="9"/>
  <c r="G1029" i="9"/>
  <c r="H1029" i="9"/>
  <c r="F1029" i="9"/>
  <c r="G1017" i="9"/>
  <c r="H1017" i="9"/>
  <c r="F1017" i="9"/>
  <c r="G1005" i="9"/>
  <c r="H1005" i="9"/>
  <c r="F1005" i="9"/>
  <c r="G993" i="9"/>
  <c r="H993" i="9"/>
  <c r="F993" i="9"/>
  <c r="G981" i="9"/>
  <c r="H981" i="9"/>
  <c r="F981" i="9"/>
  <c r="G969" i="9"/>
  <c r="H969" i="9"/>
  <c r="F969" i="9"/>
  <c r="G957" i="9"/>
  <c r="H957" i="9"/>
  <c r="F957" i="9"/>
  <c r="H893" i="9"/>
  <c r="G893" i="9"/>
  <c r="F893" i="9"/>
  <c r="G873" i="9"/>
  <c r="H873" i="9"/>
  <c r="F873" i="9"/>
  <c r="G849" i="9"/>
  <c r="H849" i="9"/>
  <c r="F849" i="9"/>
  <c r="K757" i="9"/>
  <c r="J757" i="9"/>
  <c r="I757" i="9"/>
  <c r="H709" i="9"/>
  <c r="G709" i="9"/>
  <c r="F709" i="9"/>
  <c r="K685" i="9"/>
  <c r="J685" i="9"/>
  <c r="I685" i="9"/>
  <c r="K661" i="9"/>
  <c r="J661" i="9"/>
  <c r="I661" i="9"/>
  <c r="H601" i="9"/>
  <c r="G601" i="9"/>
  <c r="F601" i="9"/>
  <c r="K553" i="9"/>
  <c r="J553" i="9"/>
  <c r="I553" i="9"/>
  <c r="K505" i="9"/>
  <c r="J505" i="9"/>
  <c r="I505" i="9"/>
  <c r="H385" i="9"/>
  <c r="G385" i="9"/>
  <c r="F385" i="9"/>
  <c r="H365" i="9"/>
  <c r="G365" i="9"/>
  <c r="F365" i="9"/>
  <c r="F345" i="9"/>
  <c r="H345" i="9"/>
  <c r="G345" i="9"/>
  <c r="F321" i="9"/>
  <c r="H321" i="9"/>
  <c r="G321" i="9"/>
  <c r="F297" i="9"/>
  <c r="H297" i="9"/>
  <c r="G297" i="9"/>
  <c r="F273" i="9"/>
  <c r="H273" i="9"/>
  <c r="G273" i="9"/>
  <c r="H245" i="9"/>
  <c r="G245" i="9"/>
  <c r="F245" i="9"/>
  <c r="F213" i="9"/>
  <c r="H213" i="9"/>
  <c r="G213" i="9"/>
  <c r="H193" i="9"/>
  <c r="G193" i="9"/>
  <c r="F193" i="9"/>
  <c r="H169" i="9"/>
  <c r="G169" i="9"/>
  <c r="F169" i="9"/>
  <c r="F141" i="9"/>
  <c r="H141" i="9"/>
  <c r="G141" i="9"/>
  <c r="H121" i="9"/>
  <c r="G121" i="9"/>
  <c r="F121" i="9"/>
  <c r="H85" i="9"/>
  <c r="G85" i="9"/>
  <c r="F85" i="9"/>
  <c r="H53" i="9"/>
  <c r="G53" i="9"/>
  <c r="F53" i="9"/>
  <c r="F21" i="9"/>
  <c r="H21" i="9"/>
  <c r="G21" i="9"/>
  <c r="K4365" i="9"/>
  <c r="J4365" i="9"/>
  <c r="I4365" i="9"/>
  <c r="H4112" i="9"/>
  <c r="G4112" i="9"/>
  <c r="F4112" i="9"/>
  <c r="H4016" i="9"/>
  <c r="G4016" i="9"/>
  <c r="F4016" i="9"/>
  <c r="G3948" i="9"/>
  <c r="F3948" i="9"/>
  <c r="H3948" i="9"/>
  <c r="H3891" i="9"/>
  <c r="G3891" i="9"/>
  <c r="F3891" i="9"/>
  <c r="H3771" i="9"/>
  <c r="G3771" i="9"/>
  <c r="F3771" i="9"/>
  <c r="H3686" i="9"/>
  <c r="G3686" i="9"/>
  <c r="F3686" i="9"/>
  <c r="H3326" i="9"/>
  <c r="G3326" i="9"/>
  <c r="F3326" i="9"/>
  <c r="H3254" i="9"/>
  <c r="G3254" i="9"/>
  <c r="F3254" i="9"/>
  <c r="I3182" i="9"/>
  <c r="J3182" i="9"/>
  <c r="K3182" i="9"/>
  <c r="I3110" i="9"/>
  <c r="J3110" i="9"/>
  <c r="K3110" i="9"/>
  <c r="I3038" i="9"/>
  <c r="K3038" i="9"/>
  <c r="J3038" i="9"/>
  <c r="I2966" i="9"/>
  <c r="K2966" i="9"/>
  <c r="J2966" i="9"/>
  <c r="I2894" i="9"/>
  <c r="K2894" i="9"/>
  <c r="J2894" i="9"/>
  <c r="I2822" i="9"/>
  <c r="K2822" i="9"/>
  <c r="J2822" i="9"/>
  <c r="K2026" i="9"/>
  <c r="J2026" i="9"/>
  <c r="I2026" i="9"/>
  <c r="H1991" i="9"/>
  <c r="F1991" i="9"/>
  <c r="G1991" i="9"/>
  <c r="K1882" i="9"/>
  <c r="J1882" i="9"/>
  <c r="I1882" i="9"/>
  <c r="H1847" i="9"/>
  <c r="F1847" i="9"/>
  <c r="G1847" i="9"/>
  <c r="K1812" i="9"/>
  <c r="I1812" i="9"/>
  <c r="J1812" i="9"/>
  <c r="G1773" i="9"/>
  <c r="F1773" i="9"/>
  <c r="H1773" i="9"/>
  <c r="F1738" i="9"/>
  <c r="H1738" i="9"/>
  <c r="G1738" i="9"/>
  <c r="G1703" i="9"/>
  <c r="F1703" i="9"/>
  <c r="H1703" i="9"/>
  <c r="G1629" i="9"/>
  <c r="F1629" i="9"/>
  <c r="H1629" i="9"/>
  <c r="F1594" i="9"/>
  <c r="H1594" i="9"/>
  <c r="G1594" i="9"/>
  <c r="H6551" i="9"/>
  <c r="G6551" i="9"/>
  <c r="F6551" i="9"/>
  <c r="H6443" i="9"/>
  <c r="G6443" i="9"/>
  <c r="F6443" i="9"/>
  <c r="H5338" i="9"/>
  <c r="G5338" i="9"/>
  <c r="F5338" i="9"/>
  <c r="K5098" i="9"/>
  <c r="J5098" i="9"/>
  <c r="I5098" i="9"/>
  <c r="K4858" i="9"/>
  <c r="J4858" i="9"/>
  <c r="I4858" i="9"/>
  <c r="K4453" i="9"/>
  <c r="J4453" i="9"/>
  <c r="I4453" i="9"/>
  <c r="H6457" i="9"/>
  <c r="F6457" i="9"/>
  <c r="G6457" i="9"/>
  <c r="K6259" i="9"/>
  <c r="J6259" i="9"/>
  <c r="I6259" i="9"/>
  <c r="G6133" i="9"/>
  <c r="F6133" i="9"/>
  <c r="H6133" i="9"/>
  <c r="F4895" i="9"/>
  <c r="H4895" i="9"/>
  <c r="G4895" i="9"/>
  <c r="K5404" i="9"/>
  <c r="J5404" i="9"/>
  <c r="I5404" i="9"/>
  <c r="K5670" i="9"/>
  <c r="J5670" i="9"/>
  <c r="I5670" i="9"/>
  <c r="H5430" i="9"/>
  <c r="G5430" i="9"/>
  <c r="F5430" i="9"/>
  <c r="H6200" i="9"/>
  <c r="G6200" i="9"/>
  <c r="F6200" i="9"/>
  <c r="H5600" i="9"/>
  <c r="G5600" i="9"/>
  <c r="F5600" i="9"/>
  <c r="H4038" i="9"/>
  <c r="G4038" i="9"/>
  <c r="F4038" i="9"/>
  <c r="H3412" i="9"/>
  <c r="G3412" i="9"/>
  <c r="F3412" i="9"/>
  <c r="K2956" i="9"/>
  <c r="J2956" i="9"/>
  <c r="I2956" i="9"/>
  <c r="H2332" i="9"/>
  <c r="G2332" i="9"/>
  <c r="F2332" i="9"/>
  <c r="K1729" i="9"/>
  <c r="J1729" i="9"/>
  <c r="I1729" i="9"/>
  <c r="K1224" i="9"/>
  <c r="J1224" i="9"/>
  <c r="I1224" i="9"/>
  <c r="H3426" i="9"/>
  <c r="G3426" i="9"/>
  <c r="F3426" i="9"/>
  <c r="H2634" i="9"/>
  <c r="G2634" i="9"/>
  <c r="F2634" i="9"/>
  <c r="K1452" i="9"/>
  <c r="J1452" i="9"/>
  <c r="I1452" i="9"/>
  <c r="K108" i="9"/>
  <c r="J108" i="9"/>
  <c r="I108" i="9"/>
  <c r="H4111" i="9"/>
  <c r="G4111" i="9"/>
  <c r="F4111" i="9"/>
  <c r="K3435" i="9"/>
  <c r="J3435" i="9"/>
  <c r="I3435" i="9"/>
  <c r="H2859" i="9"/>
  <c r="G2859" i="9"/>
  <c r="F2859" i="9"/>
  <c r="K2619" i="9"/>
  <c r="J2619" i="9"/>
  <c r="I2619" i="9"/>
  <c r="H4183" i="9"/>
  <c r="G4183" i="9"/>
  <c r="F4183" i="9"/>
  <c r="F2974" i="9"/>
  <c r="H2974" i="9"/>
  <c r="G2974" i="9"/>
  <c r="K2254" i="9"/>
  <c r="J2254" i="9"/>
  <c r="I2254" i="9"/>
  <c r="H135" i="9"/>
  <c r="G135" i="9"/>
  <c r="F135" i="9"/>
  <c r="J3103" i="9"/>
  <c r="I3103" i="9"/>
  <c r="K3103" i="9"/>
  <c r="I2911" i="9"/>
  <c r="K2911" i="9"/>
  <c r="J2911" i="9"/>
  <c r="G1902" i="9"/>
  <c r="F1902" i="9"/>
  <c r="H1902" i="9"/>
  <c r="K1331" i="9"/>
  <c r="J1331" i="9"/>
  <c r="I1331" i="9"/>
  <c r="K1199" i="9"/>
  <c r="J1199" i="9"/>
  <c r="I1199" i="9"/>
  <c r="K1079" i="9"/>
  <c r="J1079" i="9"/>
  <c r="I1079" i="9"/>
  <c r="K971" i="9"/>
  <c r="J971" i="9"/>
  <c r="I971" i="9"/>
  <c r="K887" i="9"/>
  <c r="J887" i="9"/>
  <c r="I887" i="9"/>
  <c r="H279" i="9"/>
  <c r="G279" i="9"/>
  <c r="F279" i="9"/>
  <c r="H3002" i="9"/>
  <c r="F3002" i="9"/>
  <c r="G3002" i="9"/>
  <c r="H2426" i="9"/>
  <c r="G2426" i="9"/>
  <c r="F2426" i="9"/>
  <c r="H3544" i="9"/>
  <c r="G3544" i="9"/>
  <c r="F3544" i="9"/>
  <c r="H2776" i="9"/>
  <c r="G2776" i="9"/>
  <c r="F2776" i="9"/>
  <c r="H1744" i="9"/>
  <c r="G1744" i="9"/>
  <c r="F1744" i="9"/>
  <c r="H3955" i="9"/>
  <c r="G3955" i="9"/>
  <c r="F3955" i="9"/>
  <c r="H3510" i="9"/>
  <c r="G3510" i="9"/>
  <c r="F3510" i="9"/>
  <c r="K778" i="9"/>
  <c r="J778" i="9"/>
  <c r="I778" i="9"/>
  <c r="G670" i="9"/>
  <c r="F670" i="9"/>
  <c r="H670" i="9"/>
  <c r="H574" i="9"/>
  <c r="G574" i="9"/>
  <c r="F574" i="9"/>
  <c r="H478" i="9"/>
  <c r="G478" i="9"/>
  <c r="F478" i="9"/>
  <c r="K4477" i="9"/>
  <c r="J4477" i="9"/>
  <c r="I4477" i="9"/>
  <c r="K3716" i="9"/>
  <c r="J3716" i="9"/>
  <c r="I3716" i="9"/>
  <c r="H3212" i="9"/>
  <c r="G3212" i="9"/>
  <c r="F3212" i="9"/>
  <c r="H2996" i="9"/>
  <c r="G2996" i="9"/>
  <c r="F2996" i="9"/>
  <c r="G3130" i="9"/>
  <c r="F3130" i="9"/>
  <c r="H3130" i="9"/>
  <c r="H2338" i="9"/>
  <c r="G2338" i="9"/>
  <c r="F2338" i="9"/>
  <c r="H925" i="9"/>
  <c r="G925" i="9"/>
  <c r="F925" i="9"/>
  <c r="H445" i="9"/>
  <c r="G445" i="9"/>
  <c r="F445" i="9"/>
  <c r="H3533" i="9"/>
  <c r="G3533" i="9"/>
  <c r="F3533" i="9"/>
  <c r="H3365" i="9"/>
  <c r="F3365" i="9"/>
  <c r="G3365" i="9"/>
  <c r="H2765" i="9"/>
  <c r="G2765" i="9"/>
  <c r="F2765" i="9"/>
  <c r="H2621" i="9"/>
  <c r="G2621" i="9"/>
  <c r="F2621" i="9"/>
  <c r="K1489" i="9"/>
  <c r="J1489" i="9"/>
  <c r="I1489" i="9"/>
  <c r="H1369" i="9"/>
  <c r="G1369" i="9"/>
  <c r="F1369" i="9"/>
  <c r="K1249" i="9"/>
  <c r="J1249" i="9"/>
  <c r="I1249" i="9"/>
  <c r="K1129" i="9"/>
  <c r="J1129" i="9"/>
  <c r="I1129" i="9"/>
  <c r="K1021" i="9"/>
  <c r="J1021" i="9"/>
  <c r="I1021" i="9"/>
  <c r="H2342" i="9"/>
  <c r="G2342" i="9"/>
  <c r="F2342" i="9"/>
  <c r="G1930" i="9"/>
  <c r="F1930" i="9"/>
  <c r="H1930" i="9"/>
  <c r="K6607" i="9"/>
  <c r="J6607" i="9"/>
  <c r="I6607" i="9"/>
  <c r="K6595" i="9"/>
  <c r="J6595" i="9"/>
  <c r="I6595" i="9"/>
  <c r="K6583" i="9"/>
  <c r="J6583" i="9"/>
  <c r="I6583" i="9"/>
  <c r="K6571" i="9"/>
  <c r="J6571" i="9"/>
  <c r="I6571" i="9"/>
  <c r="K6559" i="9"/>
  <c r="J6559" i="9"/>
  <c r="I6559" i="9"/>
  <c r="K6547" i="9"/>
  <c r="J6547" i="9"/>
  <c r="I6547" i="9"/>
  <c r="K6535" i="9"/>
  <c r="J6535" i="9"/>
  <c r="I6535" i="9"/>
  <c r="I6475" i="9"/>
  <c r="K6475" i="9"/>
  <c r="J6475" i="9"/>
  <c r="I6463" i="9"/>
  <c r="K6463" i="9"/>
  <c r="J6463" i="9"/>
  <c r="I6451" i="9"/>
  <c r="K6451" i="9"/>
  <c r="J6451" i="9"/>
  <c r="K6439" i="9"/>
  <c r="J6439" i="9"/>
  <c r="I6439" i="9"/>
  <c r="J6427" i="9"/>
  <c r="I6427" i="9"/>
  <c r="K6427" i="9"/>
  <c r="K6415" i="9"/>
  <c r="J6415" i="9"/>
  <c r="I6415" i="9"/>
  <c r="J6528" i="9"/>
  <c r="I6528" i="9"/>
  <c r="K6528" i="9"/>
  <c r="J6516" i="9"/>
  <c r="I6516" i="9"/>
  <c r="K6516" i="9"/>
  <c r="J6504" i="9"/>
  <c r="I6504" i="9"/>
  <c r="K6504" i="9"/>
  <c r="J6492" i="9"/>
  <c r="I6492" i="9"/>
  <c r="K6492" i="9"/>
  <c r="J6480" i="9"/>
  <c r="I6480" i="9"/>
  <c r="K6480" i="9"/>
  <c r="J6408" i="9"/>
  <c r="I6408" i="9"/>
  <c r="K6408" i="9"/>
  <c r="J6396" i="9"/>
  <c r="I6396" i="9"/>
  <c r="K6396" i="9"/>
  <c r="J6384" i="9"/>
  <c r="I6384" i="9"/>
  <c r="K6384" i="9"/>
  <c r="J6372" i="9"/>
  <c r="I6372" i="9"/>
  <c r="K6372" i="9"/>
  <c r="K6360" i="9"/>
  <c r="J6360" i="9"/>
  <c r="I6360" i="9"/>
  <c r="K6348" i="9"/>
  <c r="J6348" i="9"/>
  <c r="I6348" i="9"/>
  <c r="J6336" i="9"/>
  <c r="I6336" i="9"/>
  <c r="K6336" i="9"/>
  <c r="K5690" i="9"/>
  <c r="J5690" i="9"/>
  <c r="I5690" i="9"/>
  <c r="K5642" i="9"/>
  <c r="J5642" i="9"/>
  <c r="I5642" i="9"/>
  <c r="G5621" i="9"/>
  <c r="F5621" i="9"/>
  <c r="H5621" i="9"/>
  <c r="K5594" i="9"/>
  <c r="J5594" i="9"/>
  <c r="I5594" i="9"/>
  <c r="H5573" i="9"/>
  <c r="F5573" i="9"/>
  <c r="G5573" i="9"/>
  <c r="J5546" i="9"/>
  <c r="I5546" i="9"/>
  <c r="K5546" i="9"/>
  <c r="H5525" i="9"/>
  <c r="G5525" i="9"/>
  <c r="F5525" i="9"/>
  <c r="K5498" i="9"/>
  <c r="J5498" i="9"/>
  <c r="I5498" i="9"/>
  <c r="H5477" i="9"/>
  <c r="G5477" i="9"/>
  <c r="F5477" i="9"/>
  <c r="K5450" i="9"/>
  <c r="J5450" i="9"/>
  <c r="I5450" i="9"/>
  <c r="H5402" i="9"/>
  <c r="G5402" i="9"/>
  <c r="F5402" i="9"/>
  <c r="K5354" i="9"/>
  <c r="J5354" i="9"/>
  <c r="I5354" i="9"/>
  <c r="H5333" i="9"/>
  <c r="G5333" i="9"/>
  <c r="F5333" i="9"/>
  <c r="J5285" i="9"/>
  <c r="I5285" i="9"/>
  <c r="K5285" i="9"/>
  <c r="J5237" i="9"/>
  <c r="I5237" i="9"/>
  <c r="K5237" i="9"/>
  <c r="J5189" i="9"/>
  <c r="I5189" i="9"/>
  <c r="K5189" i="9"/>
  <c r="J5141" i="9"/>
  <c r="I5141" i="9"/>
  <c r="K5141" i="9"/>
  <c r="K5093" i="9"/>
  <c r="J5093" i="9"/>
  <c r="I5093" i="9"/>
  <c r="K5045" i="9"/>
  <c r="J5045" i="9"/>
  <c r="I5045" i="9"/>
  <c r="K4997" i="9"/>
  <c r="J4997" i="9"/>
  <c r="I4997" i="9"/>
  <c r="K4949" i="9"/>
  <c r="J4949" i="9"/>
  <c r="I4949" i="9"/>
  <c r="K4901" i="9"/>
  <c r="J4901" i="9"/>
  <c r="I4901" i="9"/>
  <c r="K4853" i="9"/>
  <c r="J4853" i="9"/>
  <c r="I4853" i="9"/>
  <c r="K4805" i="9"/>
  <c r="J4805" i="9"/>
  <c r="I4805" i="9"/>
  <c r="I4778" i="9"/>
  <c r="K4778" i="9"/>
  <c r="J4778" i="9"/>
  <c r="K4757" i="9"/>
  <c r="J4757" i="9"/>
  <c r="I4757" i="9"/>
  <c r="I4730" i="9"/>
  <c r="J4730" i="9"/>
  <c r="K4730" i="9"/>
  <c r="K4709" i="9"/>
  <c r="I4709" i="9"/>
  <c r="J4709" i="9"/>
  <c r="J4682" i="9"/>
  <c r="I4682" i="9"/>
  <c r="K4682" i="9"/>
  <c r="K4661" i="9"/>
  <c r="I4661" i="9"/>
  <c r="J4661" i="9"/>
  <c r="J4634" i="9"/>
  <c r="I4634" i="9"/>
  <c r="K4634" i="9"/>
  <c r="K4613" i="9"/>
  <c r="I4613" i="9"/>
  <c r="J4613" i="9"/>
  <c r="J4586" i="9"/>
  <c r="I4586" i="9"/>
  <c r="K4586" i="9"/>
  <c r="K4565" i="9"/>
  <c r="I4565" i="9"/>
  <c r="J4565" i="9"/>
  <c r="J4538" i="9"/>
  <c r="I4538" i="9"/>
  <c r="K4538" i="9"/>
  <c r="K4517" i="9"/>
  <c r="I4517" i="9"/>
  <c r="J4517" i="9"/>
  <c r="J4490" i="9"/>
  <c r="I4490" i="9"/>
  <c r="K4490" i="9"/>
  <c r="K4469" i="9"/>
  <c r="I4469" i="9"/>
  <c r="J4469" i="9"/>
  <c r="J4442" i="9"/>
  <c r="I4442" i="9"/>
  <c r="K4442" i="9"/>
  <c r="H4421" i="9"/>
  <c r="F4421" i="9"/>
  <c r="G4421" i="9"/>
  <c r="K4394" i="9"/>
  <c r="I4394" i="9"/>
  <c r="J4394" i="9"/>
  <c r="H4373" i="9"/>
  <c r="F4373" i="9"/>
  <c r="G4373" i="9"/>
  <c r="K4346" i="9"/>
  <c r="I4346" i="9"/>
  <c r="J4346" i="9"/>
  <c r="H4325" i="9"/>
  <c r="F4325" i="9"/>
  <c r="G4325" i="9"/>
  <c r="K4298" i="9"/>
  <c r="I4298" i="9"/>
  <c r="J4298" i="9"/>
  <c r="H4277" i="9"/>
  <c r="F4277" i="9"/>
  <c r="G4277" i="9"/>
  <c r="K4250" i="9"/>
  <c r="I4250" i="9"/>
  <c r="J4250" i="9"/>
  <c r="H4229" i="9"/>
  <c r="F4229" i="9"/>
  <c r="G4229" i="9"/>
  <c r="K4202" i="9"/>
  <c r="J4202" i="9"/>
  <c r="I4202" i="9"/>
  <c r="K4172" i="9"/>
  <c r="J4172" i="9"/>
  <c r="I4172" i="9"/>
  <c r="K4129" i="9"/>
  <c r="J4129" i="9"/>
  <c r="I4129" i="9"/>
  <c r="K6589" i="9"/>
  <c r="J6589" i="9"/>
  <c r="I6589" i="9"/>
  <c r="K6553" i="9"/>
  <c r="J6553" i="9"/>
  <c r="I6553" i="9"/>
  <c r="I6517" i="9"/>
  <c r="K6517" i="9"/>
  <c r="J6517" i="9"/>
  <c r="I6481" i="9"/>
  <c r="K6481" i="9"/>
  <c r="J6481" i="9"/>
  <c r="I6409" i="9"/>
  <c r="K6409" i="9"/>
  <c r="J6409" i="9"/>
  <c r="I6373" i="9"/>
  <c r="K6373" i="9"/>
  <c r="J6373" i="9"/>
  <c r="I6325" i="9"/>
  <c r="K6325" i="9"/>
  <c r="J6325" i="9"/>
  <c r="I6289" i="9"/>
  <c r="K6289" i="9"/>
  <c r="J6289" i="9"/>
  <c r="I6253" i="9"/>
  <c r="K6253" i="9"/>
  <c r="J6253" i="9"/>
  <c r="I6217" i="9"/>
  <c r="K6217" i="9"/>
  <c r="J6217" i="9"/>
  <c r="I6181" i="9"/>
  <c r="K6181" i="9"/>
  <c r="J6181" i="9"/>
  <c r="I6145" i="9"/>
  <c r="K6145" i="9"/>
  <c r="J6145" i="9"/>
  <c r="I6127" i="9"/>
  <c r="K6127" i="9"/>
  <c r="J6127" i="9"/>
  <c r="I6091" i="9"/>
  <c r="K6091" i="9"/>
  <c r="J6091" i="9"/>
  <c r="I6055" i="9"/>
  <c r="K6055" i="9"/>
  <c r="J6055" i="9"/>
  <c r="I6019" i="9"/>
  <c r="K6019" i="9"/>
  <c r="J6019" i="9"/>
  <c r="I6001" i="9"/>
  <c r="K6001" i="9"/>
  <c r="J6001" i="9"/>
  <c r="I5965" i="9"/>
  <c r="K5965" i="9"/>
  <c r="J5965" i="9"/>
  <c r="I5929" i="9"/>
  <c r="K5929" i="9"/>
  <c r="J5929" i="9"/>
  <c r="I5893" i="9"/>
  <c r="K5893" i="9"/>
  <c r="J5893" i="9"/>
  <c r="K5875" i="9"/>
  <c r="I5875" i="9"/>
  <c r="J5875" i="9"/>
  <c r="K5857" i="9"/>
  <c r="J5857" i="9"/>
  <c r="I5857" i="9"/>
  <c r="K5839" i="9"/>
  <c r="J5839" i="9"/>
  <c r="I5839" i="9"/>
  <c r="K5821" i="9"/>
  <c r="J5821" i="9"/>
  <c r="I5821" i="9"/>
  <c r="K5803" i="9"/>
  <c r="J5803" i="9"/>
  <c r="I5803" i="9"/>
  <c r="K5785" i="9"/>
  <c r="J5785" i="9"/>
  <c r="I5785" i="9"/>
  <c r="K5767" i="9"/>
  <c r="J5767" i="9"/>
  <c r="I5767" i="9"/>
  <c r="K5749" i="9"/>
  <c r="J5749" i="9"/>
  <c r="I5749" i="9"/>
  <c r="K5713" i="9"/>
  <c r="J5713" i="9"/>
  <c r="I5713" i="9"/>
  <c r="K5407" i="9"/>
  <c r="J5407" i="9"/>
  <c r="I5407" i="9"/>
  <c r="K5359" i="9"/>
  <c r="J5359" i="9"/>
  <c r="I5359" i="9"/>
  <c r="K5263" i="9"/>
  <c r="J5263" i="9"/>
  <c r="I5263" i="9"/>
  <c r="K5215" i="9"/>
  <c r="J5215" i="9"/>
  <c r="I5215" i="9"/>
  <c r="K5167" i="9"/>
  <c r="J5167" i="9"/>
  <c r="I5167" i="9"/>
  <c r="K5119" i="9"/>
  <c r="J5119" i="9"/>
  <c r="I5119" i="9"/>
  <c r="J5071" i="9"/>
  <c r="I5071" i="9"/>
  <c r="K5071" i="9"/>
  <c r="J5023" i="9"/>
  <c r="I5023" i="9"/>
  <c r="K5023" i="9"/>
  <c r="J4975" i="9"/>
  <c r="I4975" i="9"/>
  <c r="K4975" i="9"/>
  <c r="J4927" i="9"/>
  <c r="I4927" i="9"/>
  <c r="K4927" i="9"/>
  <c r="J4879" i="9"/>
  <c r="I4879" i="9"/>
  <c r="K4879" i="9"/>
  <c r="J4831" i="9"/>
  <c r="I4831" i="9"/>
  <c r="K4831" i="9"/>
  <c r="H4783" i="9"/>
  <c r="G4783" i="9"/>
  <c r="F4783" i="9"/>
  <c r="H4735" i="9"/>
  <c r="G4735" i="9"/>
  <c r="F4735" i="9"/>
  <c r="I4687" i="9"/>
  <c r="K4687" i="9"/>
  <c r="J4687" i="9"/>
  <c r="I4639" i="9"/>
  <c r="K4639" i="9"/>
  <c r="J4639" i="9"/>
  <c r="I4591" i="9"/>
  <c r="K4591" i="9"/>
  <c r="J4591" i="9"/>
  <c r="I4543" i="9"/>
  <c r="K4543" i="9"/>
  <c r="J4543" i="9"/>
  <c r="I4495" i="9"/>
  <c r="K4495" i="9"/>
  <c r="J4495" i="9"/>
  <c r="I4447" i="9"/>
  <c r="K4447" i="9"/>
  <c r="J4447" i="9"/>
  <c r="H4167" i="9"/>
  <c r="G4167" i="9"/>
  <c r="F4167" i="9"/>
  <c r="I4138" i="9"/>
  <c r="K4138" i="9"/>
  <c r="J4138" i="9"/>
  <c r="H4095" i="9"/>
  <c r="G4095" i="9"/>
  <c r="F4095" i="9"/>
  <c r="I4066" i="9"/>
  <c r="K4066" i="9"/>
  <c r="J4066" i="9"/>
  <c r="H4023" i="9"/>
  <c r="G4023" i="9"/>
  <c r="F4023" i="9"/>
  <c r="I3994" i="9"/>
  <c r="K3994" i="9"/>
  <c r="J3994" i="9"/>
  <c r="H3951" i="9"/>
  <c r="G3951" i="9"/>
  <c r="F3951" i="9"/>
  <c r="I3922" i="9"/>
  <c r="K3922" i="9"/>
  <c r="J3922" i="9"/>
  <c r="K5620" i="9"/>
  <c r="I5620" i="9"/>
  <c r="J5620" i="9"/>
  <c r="K5572" i="9"/>
  <c r="I5572" i="9"/>
  <c r="J5572" i="9"/>
  <c r="I5332" i="9"/>
  <c r="K5332" i="9"/>
  <c r="J5332" i="9"/>
  <c r="K5188" i="9"/>
  <c r="J5188" i="9"/>
  <c r="I5188" i="9"/>
  <c r="K5140" i="9"/>
  <c r="J5140" i="9"/>
  <c r="I5140" i="9"/>
  <c r="I5092" i="9"/>
  <c r="K5092" i="9"/>
  <c r="J5092" i="9"/>
  <c r="I5044" i="9"/>
  <c r="K5044" i="9"/>
  <c r="J5044" i="9"/>
  <c r="I4996" i="9"/>
  <c r="K4996" i="9"/>
  <c r="J4996" i="9"/>
  <c r="I4948" i="9"/>
  <c r="K4948" i="9"/>
  <c r="J4948" i="9"/>
  <c r="I4900" i="9"/>
  <c r="K4900" i="9"/>
  <c r="J4900" i="9"/>
  <c r="I4852" i="9"/>
  <c r="K4852" i="9"/>
  <c r="J4852" i="9"/>
  <c r="K4804" i="9"/>
  <c r="J4804" i="9"/>
  <c r="I4804" i="9"/>
  <c r="K4756" i="9"/>
  <c r="I4756" i="9"/>
  <c r="J4756" i="9"/>
  <c r="J4708" i="9"/>
  <c r="I4708" i="9"/>
  <c r="K4708" i="9"/>
  <c r="J4660" i="9"/>
  <c r="I4660" i="9"/>
  <c r="K4660" i="9"/>
  <c r="J4612" i="9"/>
  <c r="I4612" i="9"/>
  <c r="K4612" i="9"/>
  <c r="J4564" i="9"/>
  <c r="I4564" i="9"/>
  <c r="K4564" i="9"/>
  <c r="J4516" i="9"/>
  <c r="I4516" i="9"/>
  <c r="K4516" i="9"/>
  <c r="J4468" i="9"/>
  <c r="I4468" i="9"/>
  <c r="K4468" i="9"/>
  <c r="K4420" i="9"/>
  <c r="J4420" i="9"/>
  <c r="I4420" i="9"/>
  <c r="K4372" i="9"/>
  <c r="J4372" i="9"/>
  <c r="I4372" i="9"/>
  <c r="K4324" i="9"/>
  <c r="J4324" i="9"/>
  <c r="I4324" i="9"/>
  <c r="K4276" i="9"/>
  <c r="J4276" i="9"/>
  <c r="I4276" i="9"/>
  <c r="K4228" i="9"/>
  <c r="J4228" i="9"/>
  <c r="I4228" i="9"/>
  <c r="K4152" i="9"/>
  <c r="J4152" i="9"/>
  <c r="I4152" i="9"/>
  <c r="K4080" i="9"/>
  <c r="J4080" i="9"/>
  <c r="I4080" i="9"/>
  <c r="K4008" i="9"/>
  <c r="J4008" i="9"/>
  <c r="I4008" i="9"/>
  <c r="K3936" i="9"/>
  <c r="J3936" i="9"/>
  <c r="I3936" i="9"/>
  <c r="K3893" i="9"/>
  <c r="J3893" i="9"/>
  <c r="I3893" i="9"/>
  <c r="K3864" i="9"/>
  <c r="J3864" i="9"/>
  <c r="I3864" i="9"/>
  <c r="K3821" i="9"/>
  <c r="J3821" i="9"/>
  <c r="I3821" i="9"/>
  <c r="K3792" i="9"/>
  <c r="J3792" i="9"/>
  <c r="I3792" i="9"/>
  <c r="J3759" i="9"/>
  <c r="I3759" i="9"/>
  <c r="K3759" i="9"/>
  <c r="I6606" i="9"/>
  <c r="K6606" i="9"/>
  <c r="J6606" i="9"/>
  <c r="I6570" i="9"/>
  <c r="K6570" i="9"/>
  <c r="J6570" i="9"/>
  <c r="J6534" i="9"/>
  <c r="I6534" i="9"/>
  <c r="K6534" i="9"/>
  <c r="H6498" i="9"/>
  <c r="G6498" i="9"/>
  <c r="F6498" i="9"/>
  <c r="J6462" i="9"/>
  <c r="I6462" i="9"/>
  <c r="K6462" i="9"/>
  <c r="J6324" i="9"/>
  <c r="I6324" i="9"/>
  <c r="K6324" i="9"/>
  <c r="F6306" i="9"/>
  <c r="H6306" i="9"/>
  <c r="G6306" i="9"/>
  <c r="J6288" i="9"/>
  <c r="I6288" i="9"/>
  <c r="K6288" i="9"/>
  <c r="H6270" i="9"/>
  <c r="G6270" i="9"/>
  <c r="F6270" i="9"/>
  <c r="J6252" i="9"/>
  <c r="I6252" i="9"/>
  <c r="K6252" i="9"/>
  <c r="J6216" i="9"/>
  <c r="I6216" i="9"/>
  <c r="K6216" i="9"/>
  <c r="J6180" i="9"/>
  <c r="I6180" i="9"/>
  <c r="K6180" i="9"/>
  <c r="J6144" i="9"/>
  <c r="I6144" i="9"/>
  <c r="K6144" i="9"/>
  <c r="J6126" i="9"/>
  <c r="I6126" i="9"/>
  <c r="K6126" i="9"/>
  <c r="J6090" i="9"/>
  <c r="I6090" i="9"/>
  <c r="K6090" i="9"/>
  <c r="J6054" i="9"/>
  <c r="I6054" i="9"/>
  <c r="K6054" i="9"/>
  <c r="J6018" i="9"/>
  <c r="I6018" i="9"/>
  <c r="K6018" i="9"/>
  <c r="J6000" i="9"/>
  <c r="I6000" i="9"/>
  <c r="K6000" i="9"/>
  <c r="F5982" i="9"/>
  <c r="G5982" i="9"/>
  <c r="H5982" i="9"/>
  <c r="J5964" i="9"/>
  <c r="I5964" i="9"/>
  <c r="K5964" i="9"/>
  <c r="F5946" i="9"/>
  <c r="H5946" i="9"/>
  <c r="G5946" i="9"/>
  <c r="J5928" i="9"/>
  <c r="I5928" i="9"/>
  <c r="K5928" i="9"/>
  <c r="F5910" i="9"/>
  <c r="H5910" i="9"/>
  <c r="G5910" i="9"/>
  <c r="J5892" i="9"/>
  <c r="I5892" i="9"/>
  <c r="K5892" i="9"/>
  <c r="K5874" i="9"/>
  <c r="J5874" i="9"/>
  <c r="I5874" i="9"/>
  <c r="J5838" i="9"/>
  <c r="K5838" i="9"/>
  <c r="I5838" i="9"/>
  <c r="K5802" i="9"/>
  <c r="I5802" i="9"/>
  <c r="J5802" i="9"/>
  <c r="I5748" i="9"/>
  <c r="K5748" i="9"/>
  <c r="J5748" i="9"/>
  <c r="I5712" i="9"/>
  <c r="K5712" i="9"/>
  <c r="J5712" i="9"/>
  <c r="J5673" i="9"/>
  <c r="I5673" i="9"/>
  <c r="K5673" i="9"/>
  <c r="J5529" i="9"/>
  <c r="I5529" i="9"/>
  <c r="K5529" i="9"/>
  <c r="F5481" i="9"/>
  <c r="H5481" i="9"/>
  <c r="G5481" i="9"/>
  <c r="I5433" i="9"/>
  <c r="K5433" i="9"/>
  <c r="J5433" i="9"/>
  <c r="I5385" i="9"/>
  <c r="J5385" i="9"/>
  <c r="K5385" i="9"/>
  <c r="J5289" i="9"/>
  <c r="I5289" i="9"/>
  <c r="K5289" i="9"/>
  <c r="I5262" i="9"/>
  <c r="K5262" i="9"/>
  <c r="J5262" i="9"/>
  <c r="K5241" i="9"/>
  <c r="J5241" i="9"/>
  <c r="I5241" i="9"/>
  <c r="I5214" i="9"/>
  <c r="K5214" i="9"/>
  <c r="J5214" i="9"/>
  <c r="J5193" i="9"/>
  <c r="I5193" i="9"/>
  <c r="K5193" i="9"/>
  <c r="I5166" i="9"/>
  <c r="K5166" i="9"/>
  <c r="J5166" i="9"/>
  <c r="J5145" i="9"/>
  <c r="I5145" i="9"/>
  <c r="K5145" i="9"/>
  <c r="I5118" i="9"/>
  <c r="K5118" i="9"/>
  <c r="J5118" i="9"/>
  <c r="H5097" i="9"/>
  <c r="G5097" i="9"/>
  <c r="F5097" i="9"/>
  <c r="K5070" i="9"/>
  <c r="J5070" i="9"/>
  <c r="I5070" i="9"/>
  <c r="H5049" i="9"/>
  <c r="G5049" i="9"/>
  <c r="F5049" i="9"/>
  <c r="K5022" i="9"/>
  <c r="J5022" i="9"/>
  <c r="I5022" i="9"/>
  <c r="H5001" i="9"/>
  <c r="G5001" i="9"/>
  <c r="F5001" i="9"/>
  <c r="K4974" i="9"/>
  <c r="J4974" i="9"/>
  <c r="I4974" i="9"/>
  <c r="H4953" i="9"/>
  <c r="G4953" i="9"/>
  <c r="F4953" i="9"/>
  <c r="K4926" i="9"/>
  <c r="J4926" i="9"/>
  <c r="I4926" i="9"/>
  <c r="H4905" i="9"/>
  <c r="G4905" i="9"/>
  <c r="F4905" i="9"/>
  <c r="K4878" i="9"/>
  <c r="J4878" i="9"/>
  <c r="I4878" i="9"/>
  <c r="H4857" i="9"/>
  <c r="G4857" i="9"/>
  <c r="F4857" i="9"/>
  <c r="K4830" i="9"/>
  <c r="J4830" i="9"/>
  <c r="I4830" i="9"/>
  <c r="K4782" i="9"/>
  <c r="J4782" i="9"/>
  <c r="I4782" i="9"/>
  <c r="K4734" i="9"/>
  <c r="J4734" i="9"/>
  <c r="I4734" i="9"/>
  <c r="J4686" i="9"/>
  <c r="K4686" i="9"/>
  <c r="I4686" i="9"/>
  <c r="J4638" i="9"/>
  <c r="K4638" i="9"/>
  <c r="I4638" i="9"/>
  <c r="J4590" i="9"/>
  <c r="K4590" i="9"/>
  <c r="I4590" i="9"/>
  <c r="J4542" i="9"/>
  <c r="K4542" i="9"/>
  <c r="I4542" i="9"/>
  <c r="J4494" i="9"/>
  <c r="K4494" i="9"/>
  <c r="I4494" i="9"/>
  <c r="J4446" i="9"/>
  <c r="K4446" i="9"/>
  <c r="I4446" i="9"/>
  <c r="K4142" i="9"/>
  <c r="J4142" i="9"/>
  <c r="I4142" i="9"/>
  <c r="K5443" i="9"/>
  <c r="J5443" i="9"/>
  <c r="I5443" i="9"/>
  <c r="K5395" i="9"/>
  <c r="J5395" i="9"/>
  <c r="I5395" i="9"/>
  <c r="K5299" i="9"/>
  <c r="J5299" i="9"/>
  <c r="I5299" i="9"/>
  <c r="K5251" i="9"/>
  <c r="J5251" i="9"/>
  <c r="I5251" i="9"/>
  <c r="K5203" i="9"/>
  <c r="J5203" i="9"/>
  <c r="I5203" i="9"/>
  <c r="K5155" i="9"/>
  <c r="J5155" i="9"/>
  <c r="I5155" i="9"/>
  <c r="K5107" i="9"/>
  <c r="J5107" i="9"/>
  <c r="I5107" i="9"/>
  <c r="J5059" i="9"/>
  <c r="I5059" i="9"/>
  <c r="K5059" i="9"/>
  <c r="J5011" i="9"/>
  <c r="I5011" i="9"/>
  <c r="K5011" i="9"/>
  <c r="J4963" i="9"/>
  <c r="I4963" i="9"/>
  <c r="K4963" i="9"/>
  <c r="J4915" i="9"/>
  <c r="I4915" i="9"/>
  <c r="K4915" i="9"/>
  <c r="J4867" i="9"/>
  <c r="I4867" i="9"/>
  <c r="K4867" i="9"/>
  <c r="J4819" i="9"/>
  <c r="I4819" i="9"/>
  <c r="K4819" i="9"/>
  <c r="H4771" i="9"/>
  <c r="G4771" i="9"/>
  <c r="F4771" i="9"/>
  <c r="I4675" i="9"/>
  <c r="K4675" i="9"/>
  <c r="J4675" i="9"/>
  <c r="I4627" i="9"/>
  <c r="K4627" i="9"/>
  <c r="J4627" i="9"/>
  <c r="I4579" i="9"/>
  <c r="K4579" i="9"/>
  <c r="J4579" i="9"/>
  <c r="I4531" i="9"/>
  <c r="K4531" i="9"/>
  <c r="J4531" i="9"/>
  <c r="I4483" i="9"/>
  <c r="K4483" i="9"/>
  <c r="J4483" i="9"/>
  <c r="I4435" i="9"/>
  <c r="K4435" i="9"/>
  <c r="J4435" i="9"/>
  <c r="J4161" i="9"/>
  <c r="I4161" i="9"/>
  <c r="K4161" i="9"/>
  <c r="J4089" i="9"/>
  <c r="I4089" i="9"/>
  <c r="K4089" i="9"/>
  <c r="J6593" i="9"/>
  <c r="K6593" i="9"/>
  <c r="I6593" i="9"/>
  <c r="K6557" i="9"/>
  <c r="J6557" i="9"/>
  <c r="I6557" i="9"/>
  <c r="K6521" i="9"/>
  <c r="J6521" i="9"/>
  <c r="I6521" i="9"/>
  <c r="K6485" i="9"/>
  <c r="I6485" i="9"/>
  <c r="J6485" i="9"/>
  <c r="I6449" i="9"/>
  <c r="K6449" i="9"/>
  <c r="J6449" i="9"/>
  <c r="I6347" i="9"/>
  <c r="K6347" i="9"/>
  <c r="J6347" i="9"/>
  <c r="K6329" i="9"/>
  <c r="J6329" i="9"/>
  <c r="I6329" i="9"/>
  <c r="K6311" i="9"/>
  <c r="J6311" i="9"/>
  <c r="I6311" i="9"/>
  <c r="J6293" i="9"/>
  <c r="K6293" i="9"/>
  <c r="I6293" i="9"/>
  <c r="H6275" i="9"/>
  <c r="G6275" i="9"/>
  <c r="F6275" i="9"/>
  <c r="I6239" i="9"/>
  <c r="K6239" i="9"/>
  <c r="J6239" i="9"/>
  <c r="I6203" i="9"/>
  <c r="K6203" i="9"/>
  <c r="J6203" i="9"/>
  <c r="I6167" i="9"/>
  <c r="K6167" i="9"/>
  <c r="J6167" i="9"/>
  <c r="I6113" i="9"/>
  <c r="K6113" i="9"/>
  <c r="J6113" i="9"/>
  <c r="I6077" i="9"/>
  <c r="K6077" i="9"/>
  <c r="J6077" i="9"/>
  <c r="H6041" i="9"/>
  <c r="G6041" i="9"/>
  <c r="F6041" i="9"/>
  <c r="K6005" i="9"/>
  <c r="J6005" i="9"/>
  <c r="I6005" i="9"/>
  <c r="K5987" i="9"/>
  <c r="J5987" i="9"/>
  <c r="I5987" i="9"/>
  <c r="K5969" i="9"/>
  <c r="J5969" i="9"/>
  <c r="I5969" i="9"/>
  <c r="K5951" i="9"/>
  <c r="J5951" i="9"/>
  <c r="I5951" i="9"/>
  <c r="K5933" i="9"/>
  <c r="I5933" i="9"/>
  <c r="J5933" i="9"/>
  <c r="K5915" i="9"/>
  <c r="J5915" i="9"/>
  <c r="I5915" i="9"/>
  <c r="K5897" i="9"/>
  <c r="J5897" i="9"/>
  <c r="I5897" i="9"/>
  <c r="I5861" i="9"/>
  <c r="K5861" i="9"/>
  <c r="J5861" i="9"/>
  <c r="I5825" i="9"/>
  <c r="K5825" i="9"/>
  <c r="J5825" i="9"/>
  <c r="I5789" i="9"/>
  <c r="K5789" i="9"/>
  <c r="J5789" i="9"/>
  <c r="J5735" i="9"/>
  <c r="K5735" i="9"/>
  <c r="I5735" i="9"/>
  <c r="J5699" i="9"/>
  <c r="K5699" i="9"/>
  <c r="I5699" i="9"/>
  <c r="K5608" i="9"/>
  <c r="I5608" i="9"/>
  <c r="J5608" i="9"/>
  <c r="K5560" i="9"/>
  <c r="J5560" i="9"/>
  <c r="I5560" i="9"/>
  <c r="I5320" i="9"/>
  <c r="J5320" i="9"/>
  <c r="K5320" i="9"/>
  <c r="K5224" i="9"/>
  <c r="J5224" i="9"/>
  <c r="I5224" i="9"/>
  <c r="K5176" i="9"/>
  <c r="J5176" i="9"/>
  <c r="I5176" i="9"/>
  <c r="K5128" i="9"/>
  <c r="J5128" i="9"/>
  <c r="I5128" i="9"/>
  <c r="I5080" i="9"/>
  <c r="K5080" i="9"/>
  <c r="J5080" i="9"/>
  <c r="I5032" i="9"/>
  <c r="K5032" i="9"/>
  <c r="J5032" i="9"/>
  <c r="I4984" i="9"/>
  <c r="K4984" i="9"/>
  <c r="J4984" i="9"/>
  <c r="I4936" i="9"/>
  <c r="K4936" i="9"/>
  <c r="J4936" i="9"/>
  <c r="I4888" i="9"/>
  <c r="K4888" i="9"/>
  <c r="J4888" i="9"/>
  <c r="I4840" i="9"/>
  <c r="K4840" i="9"/>
  <c r="J4840" i="9"/>
  <c r="K4792" i="9"/>
  <c r="J4792" i="9"/>
  <c r="I4792" i="9"/>
  <c r="K4744" i="9"/>
  <c r="I4744" i="9"/>
  <c r="J4744" i="9"/>
  <c r="J4696" i="9"/>
  <c r="I4696" i="9"/>
  <c r="K4696" i="9"/>
  <c r="J4648" i="9"/>
  <c r="I4648" i="9"/>
  <c r="K4648" i="9"/>
  <c r="J4600" i="9"/>
  <c r="I4600" i="9"/>
  <c r="K4600" i="9"/>
  <c r="J4552" i="9"/>
  <c r="I4552" i="9"/>
  <c r="K4552" i="9"/>
  <c r="J4504" i="9"/>
  <c r="I4504" i="9"/>
  <c r="K4504" i="9"/>
  <c r="J4456" i="9"/>
  <c r="I4456" i="9"/>
  <c r="K4456" i="9"/>
  <c r="K4408" i="9"/>
  <c r="J4408" i="9"/>
  <c r="I4408" i="9"/>
  <c r="K4360" i="9"/>
  <c r="J4360" i="9"/>
  <c r="I4360" i="9"/>
  <c r="K4312" i="9"/>
  <c r="J4312" i="9"/>
  <c r="I4312" i="9"/>
  <c r="K4264" i="9"/>
  <c r="J4264" i="9"/>
  <c r="I4264" i="9"/>
  <c r="K4216" i="9"/>
  <c r="J4216" i="9"/>
  <c r="I4216" i="9"/>
  <c r="K4127" i="9"/>
  <c r="J4127" i="9"/>
  <c r="I4127" i="9"/>
  <c r="K4055" i="9"/>
  <c r="J4055" i="9"/>
  <c r="I4055" i="9"/>
  <c r="K3983" i="9"/>
  <c r="J3983" i="9"/>
  <c r="I3983" i="9"/>
  <c r="K3911" i="9"/>
  <c r="J3911" i="9"/>
  <c r="I3911" i="9"/>
  <c r="K3882" i="9"/>
  <c r="J3882" i="9"/>
  <c r="I3882" i="9"/>
  <c r="K3810" i="9"/>
  <c r="J3810" i="9"/>
  <c r="I3810" i="9"/>
  <c r="K3736" i="9"/>
  <c r="I3736" i="9"/>
  <c r="J3736" i="9"/>
  <c r="K5677" i="9"/>
  <c r="J5677" i="9"/>
  <c r="I5677" i="9"/>
  <c r="I5650" i="9"/>
  <c r="K5650" i="9"/>
  <c r="J5650" i="9"/>
  <c r="J5629" i="9"/>
  <c r="I5629" i="9"/>
  <c r="K5629" i="9"/>
  <c r="K5602" i="9"/>
  <c r="J5602" i="9"/>
  <c r="I5602" i="9"/>
  <c r="J5581" i="9"/>
  <c r="I5581" i="9"/>
  <c r="K5581" i="9"/>
  <c r="K5554" i="9"/>
  <c r="J5554" i="9"/>
  <c r="I5554" i="9"/>
  <c r="K5533" i="9"/>
  <c r="I5533" i="9"/>
  <c r="J5533" i="9"/>
  <c r="I5506" i="9"/>
  <c r="K5506" i="9"/>
  <c r="J5506" i="9"/>
  <c r="K5485" i="9"/>
  <c r="J5485" i="9"/>
  <c r="I5485" i="9"/>
  <c r="I5458" i="9"/>
  <c r="K5458" i="9"/>
  <c r="J5458" i="9"/>
  <c r="K5437" i="9"/>
  <c r="J5437" i="9"/>
  <c r="I5437" i="9"/>
  <c r="I5410" i="9"/>
  <c r="K5410" i="9"/>
  <c r="J5410" i="9"/>
  <c r="K5389" i="9"/>
  <c r="I5389" i="9"/>
  <c r="J5389" i="9"/>
  <c r="K5362" i="9"/>
  <c r="J5362" i="9"/>
  <c r="I5362" i="9"/>
  <c r="K5341" i="9"/>
  <c r="J5341" i="9"/>
  <c r="I5341" i="9"/>
  <c r="K5314" i="9"/>
  <c r="I5314" i="9"/>
  <c r="J5314" i="9"/>
  <c r="I5266" i="9"/>
  <c r="K5266" i="9"/>
  <c r="J5266" i="9"/>
  <c r="K5218" i="9"/>
  <c r="I5218" i="9"/>
  <c r="J5218" i="9"/>
  <c r="K5170" i="9"/>
  <c r="I5170" i="9"/>
  <c r="J5170" i="9"/>
  <c r="K5122" i="9"/>
  <c r="I5122" i="9"/>
  <c r="J5122" i="9"/>
  <c r="J4813" i="9"/>
  <c r="I4813" i="9"/>
  <c r="K4813" i="9"/>
  <c r="J4765" i="9"/>
  <c r="I4765" i="9"/>
  <c r="K4765" i="9"/>
  <c r="F6466" i="9"/>
  <c r="H6466" i="9"/>
  <c r="G6466" i="9"/>
  <c r="G6430" i="9"/>
  <c r="F6430" i="9"/>
  <c r="H6430" i="9"/>
  <c r="J6394" i="9"/>
  <c r="I6394" i="9"/>
  <c r="K6394" i="9"/>
  <c r="J6358" i="9"/>
  <c r="I6358" i="9"/>
  <c r="K6358" i="9"/>
  <c r="K6304" i="9"/>
  <c r="J6304" i="9"/>
  <c r="I6304" i="9"/>
  <c r="K6268" i="9"/>
  <c r="J6268" i="9"/>
  <c r="I6268" i="9"/>
  <c r="J6250" i="9"/>
  <c r="I6250" i="9"/>
  <c r="K6250" i="9"/>
  <c r="F6232" i="9"/>
  <c r="H6232" i="9"/>
  <c r="G6232" i="9"/>
  <c r="J6214" i="9"/>
  <c r="I6214" i="9"/>
  <c r="K6214" i="9"/>
  <c r="F6196" i="9"/>
  <c r="H6196" i="9"/>
  <c r="G6196" i="9"/>
  <c r="J6178" i="9"/>
  <c r="I6178" i="9"/>
  <c r="K6178" i="9"/>
  <c r="F6160" i="9"/>
  <c r="H6160" i="9"/>
  <c r="G6160" i="9"/>
  <c r="J6142" i="9"/>
  <c r="I6142" i="9"/>
  <c r="K6142" i="9"/>
  <c r="J6124" i="9"/>
  <c r="I6124" i="9"/>
  <c r="K6124" i="9"/>
  <c r="F6106" i="9"/>
  <c r="H6106" i="9"/>
  <c r="G6106" i="9"/>
  <c r="J6088" i="9"/>
  <c r="I6088" i="9"/>
  <c r="K6088" i="9"/>
  <c r="F6070" i="9"/>
  <c r="H6070" i="9"/>
  <c r="G6070" i="9"/>
  <c r="J6052" i="9"/>
  <c r="I6052" i="9"/>
  <c r="K6052" i="9"/>
  <c r="F6034" i="9"/>
  <c r="G6034" i="9"/>
  <c r="H6034" i="9"/>
  <c r="J6016" i="9"/>
  <c r="I6016" i="9"/>
  <c r="K6016" i="9"/>
  <c r="K5980" i="9"/>
  <c r="J5980" i="9"/>
  <c r="I5980" i="9"/>
  <c r="J5944" i="9"/>
  <c r="I5944" i="9"/>
  <c r="K5944" i="9"/>
  <c r="K5908" i="9"/>
  <c r="I5908" i="9"/>
  <c r="J5908" i="9"/>
  <c r="J5872" i="9"/>
  <c r="I5872" i="9"/>
  <c r="K5872" i="9"/>
  <c r="J5836" i="9"/>
  <c r="I5836" i="9"/>
  <c r="K5836" i="9"/>
  <c r="J5800" i="9"/>
  <c r="I5800" i="9"/>
  <c r="K5800" i="9"/>
  <c r="I5746" i="9"/>
  <c r="K5746" i="9"/>
  <c r="J5746" i="9"/>
  <c r="I5710" i="9"/>
  <c r="K5710" i="9"/>
  <c r="J5710" i="9"/>
  <c r="J5687" i="9"/>
  <c r="K5687" i="9"/>
  <c r="I5687" i="9"/>
  <c r="J5639" i="9"/>
  <c r="I5639" i="9"/>
  <c r="K5639" i="9"/>
  <c r="J5591" i="9"/>
  <c r="I5591" i="9"/>
  <c r="K5591" i="9"/>
  <c r="H5495" i="9"/>
  <c r="G5495" i="9"/>
  <c r="F5495" i="9"/>
  <c r="I5447" i="9"/>
  <c r="K5447" i="9"/>
  <c r="J5447" i="9"/>
  <c r="K5399" i="9"/>
  <c r="J5399" i="9"/>
  <c r="I5399" i="9"/>
  <c r="J5351" i="9"/>
  <c r="K5351" i="9"/>
  <c r="I5351" i="9"/>
  <c r="H5303" i="9"/>
  <c r="G5303" i="9"/>
  <c r="F5303" i="9"/>
  <c r="H5255" i="9"/>
  <c r="G5255" i="9"/>
  <c r="F5255" i="9"/>
  <c r="H5207" i="9"/>
  <c r="G5207" i="9"/>
  <c r="F5207" i="9"/>
  <c r="H5159" i="9"/>
  <c r="G5159" i="9"/>
  <c r="F5159" i="9"/>
  <c r="H5111" i="9"/>
  <c r="G5111" i="9"/>
  <c r="F5111" i="9"/>
  <c r="J4391" i="9"/>
  <c r="I4391" i="9"/>
  <c r="K4391" i="9"/>
  <c r="J4343" i="9"/>
  <c r="I4343" i="9"/>
  <c r="K4343" i="9"/>
  <c r="J4295" i="9"/>
  <c r="I4295" i="9"/>
  <c r="K4295" i="9"/>
  <c r="J4247" i="9"/>
  <c r="I4247" i="9"/>
  <c r="K4247" i="9"/>
  <c r="J4199" i="9"/>
  <c r="I4199" i="9"/>
  <c r="K4199" i="9"/>
  <c r="H4155" i="9"/>
  <c r="G4155" i="9"/>
  <c r="F4155" i="9"/>
  <c r="I5676" i="9"/>
  <c r="K5676" i="9"/>
  <c r="J5676" i="9"/>
  <c r="I5628" i="9"/>
  <c r="J5628" i="9"/>
  <c r="K5628" i="9"/>
  <c r="I5580" i="9"/>
  <c r="K5580" i="9"/>
  <c r="J5580" i="9"/>
  <c r="K5436" i="9"/>
  <c r="J5436" i="9"/>
  <c r="I5436" i="9"/>
  <c r="J5388" i="9"/>
  <c r="K5388" i="9"/>
  <c r="I5388" i="9"/>
  <c r="I5340" i="9"/>
  <c r="K5340" i="9"/>
  <c r="J5340" i="9"/>
  <c r="K4812" i="9"/>
  <c r="J4812" i="9"/>
  <c r="I4812" i="9"/>
  <c r="K4764" i="9"/>
  <c r="J4764" i="9"/>
  <c r="I4764" i="9"/>
  <c r="J6465" i="9"/>
  <c r="K6465" i="9"/>
  <c r="I6465" i="9"/>
  <c r="K6429" i="9"/>
  <c r="J6429" i="9"/>
  <c r="I6429" i="9"/>
  <c r="K6393" i="9"/>
  <c r="J6393" i="9"/>
  <c r="I6393" i="9"/>
  <c r="J6339" i="9"/>
  <c r="I6339" i="9"/>
  <c r="K6339" i="9"/>
  <c r="I6303" i="9"/>
  <c r="K6303" i="9"/>
  <c r="J6303" i="9"/>
  <c r="K6267" i="9"/>
  <c r="J6267" i="9"/>
  <c r="I6267" i="9"/>
  <c r="K6249" i="9"/>
  <c r="J6249" i="9"/>
  <c r="I6249" i="9"/>
  <c r="K6231" i="9"/>
  <c r="J6231" i="9"/>
  <c r="I6231" i="9"/>
  <c r="K6213" i="9"/>
  <c r="J6213" i="9"/>
  <c r="I6213" i="9"/>
  <c r="K6195" i="9"/>
  <c r="J6195" i="9"/>
  <c r="I6195" i="9"/>
  <c r="K6177" i="9"/>
  <c r="J6177" i="9"/>
  <c r="I6177" i="9"/>
  <c r="K6159" i="9"/>
  <c r="J6159" i="9"/>
  <c r="I6159" i="9"/>
  <c r="H6141" i="9"/>
  <c r="G6141" i="9"/>
  <c r="F6141" i="9"/>
  <c r="K6123" i="9"/>
  <c r="J6123" i="9"/>
  <c r="I6123" i="9"/>
  <c r="K6105" i="9"/>
  <c r="J6105" i="9"/>
  <c r="I6105" i="9"/>
  <c r="K6087" i="9"/>
  <c r="J6087" i="9"/>
  <c r="I6087" i="9"/>
  <c r="K6069" i="9"/>
  <c r="J6069" i="9"/>
  <c r="I6069" i="9"/>
  <c r="K6051" i="9"/>
  <c r="J6051" i="9"/>
  <c r="I6051" i="9"/>
  <c r="K6033" i="9"/>
  <c r="J6033" i="9"/>
  <c r="I6033" i="9"/>
  <c r="I5979" i="9"/>
  <c r="K5979" i="9"/>
  <c r="J5979" i="9"/>
  <c r="I5943" i="9"/>
  <c r="K5943" i="9"/>
  <c r="J5943" i="9"/>
  <c r="I5907" i="9"/>
  <c r="K5907" i="9"/>
  <c r="J5907" i="9"/>
  <c r="I5871" i="9"/>
  <c r="K5871" i="9"/>
  <c r="J5871" i="9"/>
  <c r="I5835" i="9"/>
  <c r="K5835" i="9"/>
  <c r="J5835" i="9"/>
  <c r="I5799" i="9"/>
  <c r="K5799" i="9"/>
  <c r="J5799" i="9"/>
  <c r="F5763" i="9"/>
  <c r="H5763" i="9"/>
  <c r="G5763" i="9"/>
  <c r="J5745" i="9"/>
  <c r="I5745" i="9"/>
  <c r="K5745" i="9"/>
  <c r="F5727" i="9"/>
  <c r="H5727" i="9"/>
  <c r="G5727" i="9"/>
  <c r="J5709" i="9"/>
  <c r="I5709" i="9"/>
  <c r="K5709" i="9"/>
  <c r="I5686" i="9"/>
  <c r="K5686" i="9"/>
  <c r="J5686" i="9"/>
  <c r="K5665" i="9"/>
  <c r="J5665" i="9"/>
  <c r="I5665" i="9"/>
  <c r="K5638" i="9"/>
  <c r="J5638" i="9"/>
  <c r="I5638" i="9"/>
  <c r="I5617" i="9"/>
  <c r="L5617" i="9" s="1"/>
  <c r="M5617" i="9" s="1"/>
  <c r="K5617" i="9"/>
  <c r="J5617" i="9"/>
  <c r="K5590" i="9"/>
  <c r="J5590" i="9"/>
  <c r="I5590" i="9"/>
  <c r="K5569" i="9"/>
  <c r="J5569" i="9"/>
  <c r="I5569" i="9"/>
  <c r="K5521" i="9"/>
  <c r="J5521" i="9"/>
  <c r="I5521" i="9"/>
  <c r="I5494" i="9"/>
  <c r="K5494" i="9"/>
  <c r="J5494" i="9"/>
  <c r="K5473" i="9"/>
  <c r="J5473" i="9"/>
  <c r="I5473" i="9"/>
  <c r="J5446" i="9"/>
  <c r="I5446" i="9"/>
  <c r="K5446" i="9"/>
  <c r="K5425" i="9"/>
  <c r="J5425" i="9"/>
  <c r="I5425" i="9"/>
  <c r="I5398" i="9"/>
  <c r="K5398" i="9"/>
  <c r="J5398" i="9"/>
  <c r="K5377" i="9"/>
  <c r="I5377" i="9"/>
  <c r="J5377" i="9"/>
  <c r="K5350" i="9"/>
  <c r="I5350" i="9"/>
  <c r="J5350" i="9"/>
  <c r="K5329" i="9"/>
  <c r="J5329" i="9"/>
  <c r="I5329" i="9"/>
  <c r="I5302" i="9"/>
  <c r="K5302" i="9"/>
  <c r="J5302" i="9"/>
  <c r="J5254" i="9"/>
  <c r="I5254" i="9"/>
  <c r="K5254" i="9"/>
  <c r="K5206" i="9"/>
  <c r="I5206" i="9"/>
  <c r="J5206" i="9"/>
  <c r="J5675" i="9"/>
  <c r="K5675" i="9"/>
  <c r="I5675" i="9"/>
  <c r="J5627" i="9"/>
  <c r="I5627" i="9"/>
  <c r="K5627" i="9"/>
  <c r="J5579" i="9"/>
  <c r="I5579" i="9"/>
  <c r="K5579" i="9"/>
  <c r="H5531" i="9"/>
  <c r="G5531" i="9"/>
  <c r="F5531" i="9"/>
  <c r="H5483" i="9"/>
  <c r="G5483" i="9"/>
  <c r="F5483" i="9"/>
  <c r="I5435" i="9"/>
  <c r="K5435" i="9"/>
  <c r="J5435" i="9"/>
  <c r="K5387" i="9"/>
  <c r="J5387" i="9"/>
  <c r="I5387" i="9"/>
  <c r="J5339" i="9"/>
  <c r="I5339" i="9"/>
  <c r="K5339" i="9"/>
  <c r="H5291" i="9"/>
  <c r="G5291" i="9"/>
  <c r="F5291" i="9"/>
  <c r="G5243" i="9"/>
  <c r="F5243" i="9"/>
  <c r="H5243" i="9"/>
  <c r="H5195" i="9"/>
  <c r="G5195" i="9"/>
  <c r="F5195" i="9"/>
  <c r="H5147" i="9"/>
  <c r="G5147" i="9"/>
  <c r="F5147" i="9"/>
  <c r="J4427" i="9"/>
  <c r="K4427" i="9"/>
  <c r="I4427" i="9"/>
  <c r="J4379" i="9"/>
  <c r="I4379" i="9"/>
  <c r="K4379" i="9"/>
  <c r="J4331" i="9"/>
  <c r="I4331" i="9"/>
  <c r="K4331" i="9"/>
  <c r="J4283" i="9"/>
  <c r="I4283" i="9"/>
  <c r="K4283" i="9"/>
  <c r="J4235" i="9"/>
  <c r="I4235" i="9"/>
  <c r="K4235" i="9"/>
  <c r="J4173" i="9"/>
  <c r="I4173" i="9"/>
  <c r="K4173" i="9"/>
  <c r="J4101" i="9"/>
  <c r="I4101" i="9"/>
  <c r="K4101" i="9"/>
  <c r="J4029" i="9"/>
  <c r="I4029" i="9"/>
  <c r="K4029" i="9"/>
  <c r="J3957" i="9"/>
  <c r="I3957" i="9"/>
  <c r="K3957" i="9"/>
  <c r="J6602" i="9"/>
  <c r="I6602" i="9"/>
  <c r="K6602" i="9"/>
  <c r="J6566" i="9"/>
  <c r="I6566" i="9"/>
  <c r="K6566" i="9"/>
  <c r="I6530" i="9"/>
  <c r="K6530" i="9"/>
  <c r="J6530" i="9"/>
  <c r="J6494" i="9"/>
  <c r="I6494" i="9"/>
  <c r="K6494" i="9"/>
  <c r="K6386" i="9"/>
  <c r="J6386" i="9"/>
  <c r="I6386" i="9"/>
  <c r="I6350" i="9"/>
  <c r="K6350" i="9"/>
  <c r="J6350" i="9"/>
  <c r="J6302" i="9"/>
  <c r="I6302" i="9"/>
  <c r="K6302" i="9"/>
  <c r="K6230" i="9"/>
  <c r="J6230" i="9"/>
  <c r="I6230" i="9"/>
  <c r="K6194" i="9"/>
  <c r="J6194" i="9"/>
  <c r="I6194" i="9"/>
  <c r="K6158" i="9"/>
  <c r="J6158" i="9"/>
  <c r="I6158" i="9"/>
  <c r="K6104" i="9"/>
  <c r="J6104" i="9"/>
  <c r="I6104" i="9"/>
  <c r="K6068" i="9"/>
  <c r="J6068" i="9"/>
  <c r="I6068" i="9"/>
  <c r="K6032" i="9"/>
  <c r="J6032" i="9"/>
  <c r="I6032" i="9"/>
  <c r="J5978" i="9"/>
  <c r="I5978" i="9"/>
  <c r="K5978" i="9"/>
  <c r="J5942" i="9"/>
  <c r="I5942" i="9"/>
  <c r="K5942" i="9"/>
  <c r="J5906" i="9"/>
  <c r="I5906" i="9"/>
  <c r="K5906" i="9"/>
  <c r="J5870" i="9"/>
  <c r="I5870" i="9"/>
  <c r="K5870" i="9"/>
  <c r="F5852" i="9"/>
  <c r="H5852" i="9"/>
  <c r="G5852" i="9"/>
  <c r="J5834" i="9"/>
  <c r="I5834" i="9"/>
  <c r="K5834" i="9"/>
  <c r="F5816" i="9"/>
  <c r="H5816" i="9"/>
  <c r="G5816" i="9"/>
  <c r="J5798" i="9"/>
  <c r="I5798" i="9"/>
  <c r="K5798" i="9"/>
  <c r="F5780" i="9"/>
  <c r="H5780" i="9"/>
  <c r="G5780" i="9"/>
  <c r="K5762" i="9"/>
  <c r="J5762" i="9"/>
  <c r="I5762" i="9"/>
  <c r="K5744" i="9"/>
  <c r="J5744" i="9"/>
  <c r="I5744" i="9"/>
  <c r="K5726" i="9"/>
  <c r="J5726" i="9"/>
  <c r="I5726" i="9"/>
  <c r="K5708" i="9"/>
  <c r="J5708" i="9"/>
  <c r="I5708" i="9"/>
  <c r="K5632" i="9"/>
  <c r="J5632" i="9"/>
  <c r="I5632" i="9"/>
  <c r="K5584" i="9"/>
  <c r="J5584" i="9"/>
  <c r="I5584" i="9"/>
  <c r="K5344" i="9"/>
  <c r="I5344" i="9"/>
  <c r="J5344" i="9"/>
  <c r="K5200" i="9"/>
  <c r="J5200" i="9"/>
  <c r="I5200" i="9"/>
  <c r="K5152" i="9"/>
  <c r="J5152" i="9"/>
  <c r="I5152" i="9"/>
  <c r="I5104" i="9"/>
  <c r="K5104" i="9"/>
  <c r="J5104" i="9"/>
  <c r="I5056" i="9"/>
  <c r="K5056" i="9"/>
  <c r="J5056" i="9"/>
  <c r="I5008" i="9"/>
  <c r="K5008" i="9"/>
  <c r="J5008" i="9"/>
  <c r="I4960" i="9"/>
  <c r="K4960" i="9"/>
  <c r="J4960" i="9"/>
  <c r="I4912" i="9"/>
  <c r="K4912" i="9"/>
  <c r="J4912" i="9"/>
  <c r="I4864" i="9"/>
  <c r="K4864" i="9"/>
  <c r="J4864" i="9"/>
  <c r="K4816" i="9"/>
  <c r="J4816" i="9"/>
  <c r="I4816" i="9"/>
  <c r="K4768" i="9"/>
  <c r="J4768" i="9"/>
  <c r="I4768" i="9"/>
  <c r="K4720" i="9"/>
  <c r="J4720" i="9"/>
  <c r="I4720" i="9"/>
  <c r="J4672" i="9"/>
  <c r="I4672" i="9"/>
  <c r="K4672" i="9"/>
  <c r="J4624" i="9"/>
  <c r="I4624" i="9"/>
  <c r="K4624" i="9"/>
  <c r="J4576" i="9"/>
  <c r="I4576" i="9"/>
  <c r="K4576" i="9"/>
  <c r="J4528" i="9"/>
  <c r="I4528" i="9"/>
  <c r="K4528" i="9"/>
  <c r="J4480" i="9"/>
  <c r="I4480" i="9"/>
  <c r="K4480" i="9"/>
  <c r="J4432" i="9"/>
  <c r="I4432" i="9"/>
  <c r="K4432" i="9"/>
  <c r="K4384" i="9"/>
  <c r="J4384" i="9"/>
  <c r="I4384" i="9"/>
  <c r="K4336" i="9"/>
  <c r="J4336" i="9"/>
  <c r="I4336" i="9"/>
  <c r="K4288" i="9"/>
  <c r="J4288" i="9"/>
  <c r="I4288" i="9"/>
  <c r="K4240" i="9"/>
  <c r="J4240" i="9"/>
  <c r="I4240" i="9"/>
  <c r="K4192" i="9"/>
  <c r="J4192" i="9"/>
  <c r="I4192" i="9"/>
  <c r="K4163" i="9"/>
  <c r="J4163" i="9"/>
  <c r="I4163" i="9"/>
  <c r="K4091" i="9"/>
  <c r="J4091" i="9"/>
  <c r="I4091" i="9"/>
  <c r="K4019" i="9"/>
  <c r="J4019" i="9"/>
  <c r="I4019" i="9"/>
  <c r="K3947" i="9"/>
  <c r="J3947" i="9"/>
  <c r="I3947" i="9"/>
  <c r="H5073" i="9"/>
  <c r="G5073" i="9"/>
  <c r="F5073" i="9"/>
  <c r="H4929" i="9"/>
  <c r="G4929" i="9"/>
  <c r="F4929" i="9"/>
  <c r="K4673" i="9"/>
  <c r="I4673" i="9"/>
  <c r="J4673" i="9"/>
  <c r="J4562" i="9"/>
  <c r="I4562" i="9"/>
  <c r="K4562" i="9"/>
  <c r="K4481" i="9"/>
  <c r="I4481" i="9"/>
  <c r="J4481" i="9"/>
  <c r="K4370" i="9"/>
  <c r="I4370" i="9"/>
  <c r="J4370" i="9"/>
  <c r="H4289" i="9"/>
  <c r="F4289" i="9"/>
  <c r="G4289" i="9"/>
  <c r="K4184" i="9"/>
  <c r="J4184" i="9"/>
  <c r="I4184" i="9"/>
  <c r="K4021" i="9"/>
  <c r="J4021" i="9"/>
  <c r="I4021" i="9"/>
  <c r="I3958" i="9"/>
  <c r="K3958" i="9"/>
  <c r="J3958" i="9"/>
  <c r="K3932" i="9"/>
  <c r="J3932" i="9"/>
  <c r="I3932" i="9"/>
  <c r="I3830" i="9"/>
  <c r="K3830" i="9"/>
  <c r="J3830" i="9"/>
  <c r="J3805" i="9"/>
  <c r="I3805" i="9"/>
  <c r="K3805" i="9"/>
  <c r="K3623" i="9"/>
  <c r="J3623" i="9"/>
  <c r="I3623" i="9"/>
  <c r="K3599" i="9"/>
  <c r="J3599" i="9"/>
  <c r="I3599" i="9"/>
  <c r="K3575" i="9"/>
  <c r="J3575" i="9"/>
  <c r="I3575" i="9"/>
  <c r="K3551" i="9"/>
  <c r="J3551" i="9"/>
  <c r="I3551" i="9"/>
  <c r="K3527" i="9"/>
  <c r="J3527" i="9"/>
  <c r="I3527" i="9"/>
  <c r="K3503" i="9"/>
  <c r="J3503" i="9"/>
  <c r="I3503" i="9"/>
  <c r="K3479" i="9"/>
  <c r="J3479" i="9"/>
  <c r="I3479" i="9"/>
  <c r="K3455" i="9"/>
  <c r="J3455" i="9"/>
  <c r="I3455" i="9"/>
  <c r="K3431" i="9"/>
  <c r="J3431" i="9"/>
  <c r="I3431" i="9"/>
  <c r="K3407" i="9"/>
  <c r="J3407" i="9"/>
  <c r="I3407" i="9"/>
  <c r="K3383" i="9"/>
  <c r="J3383" i="9"/>
  <c r="I3383" i="9"/>
  <c r="K3359" i="9"/>
  <c r="J3359" i="9"/>
  <c r="I3359" i="9"/>
  <c r="K2783" i="9"/>
  <c r="J2783" i="9"/>
  <c r="I2783" i="9"/>
  <c r="K2759" i="9"/>
  <c r="I2759" i="9"/>
  <c r="J2759" i="9"/>
  <c r="K2735" i="9"/>
  <c r="J2735" i="9"/>
  <c r="I2735" i="9"/>
  <c r="K2711" i="9"/>
  <c r="I2711" i="9"/>
  <c r="J2711" i="9"/>
  <c r="K2687" i="9"/>
  <c r="J2687" i="9"/>
  <c r="I2687" i="9"/>
  <c r="K2663" i="9"/>
  <c r="I2663" i="9"/>
  <c r="J2663" i="9"/>
  <c r="K2639" i="9"/>
  <c r="J2639" i="9"/>
  <c r="I2639" i="9"/>
  <c r="K2615" i="9"/>
  <c r="I2615" i="9"/>
  <c r="J2615" i="9"/>
  <c r="K2591" i="9"/>
  <c r="J2591" i="9"/>
  <c r="I2591" i="9"/>
  <c r="K2567" i="9"/>
  <c r="I2567" i="9"/>
  <c r="J2567" i="9"/>
  <c r="G2543" i="9"/>
  <c r="F2543" i="9"/>
  <c r="H2543" i="9"/>
  <c r="G2519" i="9"/>
  <c r="F2519" i="9"/>
  <c r="H2519" i="9"/>
  <c r="F2495" i="9"/>
  <c r="H2495" i="9"/>
  <c r="G2495" i="9"/>
  <c r="H2471" i="9"/>
  <c r="G2471" i="9"/>
  <c r="F2471" i="9"/>
  <c r="I2008" i="9"/>
  <c r="K2008" i="9"/>
  <c r="J2008" i="9"/>
  <c r="K1934" i="9"/>
  <c r="J1934" i="9"/>
  <c r="I1934" i="9"/>
  <c r="J1899" i="9"/>
  <c r="I1899" i="9"/>
  <c r="K1899" i="9"/>
  <c r="I1864" i="9"/>
  <c r="K1864" i="9"/>
  <c r="J1864" i="9"/>
  <c r="K1790" i="9"/>
  <c r="J1790" i="9"/>
  <c r="I1790" i="9"/>
  <c r="J1324" i="9"/>
  <c r="I1324" i="9"/>
  <c r="K1324" i="9"/>
  <c r="J1312" i="9"/>
  <c r="I1312" i="9"/>
  <c r="L1312" i="9" s="1"/>
  <c r="M1312" i="9" s="1"/>
  <c r="K1312" i="9"/>
  <c r="K1292" i="9"/>
  <c r="I1292" i="9"/>
  <c r="J1292" i="9"/>
  <c r="K1244" i="9"/>
  <c r="I1244" i="9"/>
  <c r="J1244" i="9"/>
  <c r="K1220" i="9"/>
  <c r="J1220" i="9"/>
  <c r="I1220" i="9"/>
  <c r="K1184" i="9"/>
  <c r="J1184" i="9"/>
  <c r="I1184" i="9"/>
  <c r="K1148" i="9"/>
  <c r="I1148" i="9"/>
  <c r="J1148" i="9"/>
  <c r="J1132" i="9"/>
  <c r="I1132" i="9"/>
  <c r="K1132" i="9"/>
  <c r="J1108" i="9"/>
  <c r="I1108" i="9"/>
  <c r="K1108" i="9"/>
  <c r="J1096" i="9"/>
  <c r="I1096" i="9"/>
  <c r="K1096" i="9"/>
  <c r="K1064" i="9"/>
  <c r="J1064" i="9"/>
  <c r="I1064" i="9"/>
  <c r="J1036" i="9"/>
  <c r="I1036" i="9"/>
  <c r="K1036" i="9"/>
  <c r="I1016" i="9"/>
  <c r="K1016" i="9"/>
  <c r="J1016" i="9"/>
  <c r="J976" i="9"/>
  <c r="I976" i="9"/>
  <c r="K976" i="9"/>
  <c r="J892" i="9"/>
  <c r="I892" i="9"/>
  <c r="K892" i="9"/>
  <c r="J868" i="9"/>
  <c r="I868" i="9"/>
  <c r="K868" i="9"/>
  <c r="I832" i="9"/>
  <c r="K832" i="9"/>
  <c r="J832" i="9"/>
  <c r="I652" i="9"/>
  <c r="K652" i="9"/>
  <c r="J652" i="9"/>
  <c r="I628" i="9"/>
  <c r="K628" i="9"/>
  <c r="J628" i="9"/>
  <c r="I604" i="9"/>
  <c r="K604" i="9"/>
  <c r="J604" i="9"/>
  <c r="I580" i="9"/>
  <c r="K580" i="9"/>
  <c r="J580" i="9"/>
  <c r="K560" i="9"/>
  <c r="J560" i="9"/>
  <c r="I560" i="9"/>
  <c r="K512" i="9"/>
  <c r="I512" i="9"/>
  <c r="J512" i="9"/>
  <c r="I460" i="9"/>
  <c r="K460" i="9"/>
  <c r="J460" i="9"/>
  <c r="J416" i="9"/>
  <c r="I416" i="9"/>
  <c r="K416" i="9"/>
  <c r="K380" i="9"/>
  <c r="I380" i="9"/>
  <c r="J380" i="9"/>
  <c r="K356" i="9"/>
  <c r="I356" i="9"/>
  <c r="J356" i="9"/>
  <c r="K332" i="9"/>
  <c r="I332" i="9"/>
  <c r="J332" i="9"/>
  <c r="K316" i="9"/>
  <c r="J316" i="9"/>
  <c r="I316" i="9"/>
  <c r="K268" i="9"/>
  <c r="J268" i="9"/>
  <c r="I268" i="9"/>
  <c r="K184" i="9"/>
  <c r="J184" i="9"/>
  <c r="I184" i="9"/>
  <c r="K160" i="9"/>
  <c r="J160" i="9"/>
  <c r="I160" i="9"/>
  <c r="K140" i="9"/>
  <c r="I140" i="9"/>
  <c r="J140" i="9"/>
  <c r="J4684" i="9"/>
  <c r="I4684" i="9"/>
  <c r="K4684" i="9"/>
  <c r="J4614" i="9"/>
  <c r="I4614" i="9"/>
  <c r="K4614" i="9"/>
  <c r="J4492" i="9"/>
  <c r="I4492" i="9"/>
  <c r="K4492" i="9"/>
  <c r="K4300" i="9"/>
  <c r="J4300" i="9"/>
  <c r="I4300" i="9"/>
  <c r="K4068" i="9"/>
  <c r="J4068" i="9"/>
  <c r="I4068" i="9"/>
  <c r="H3963" i="9"/>
  <c r="G3963" i="9"/>
  <c r="F3963" i="9"/>
  <c r="H3895" i="9"/>
  <c r="F3895" i="9"/>
  <c r="G3895" i="9"/>
  <c r="J3795" i="9"/>
  <c r="I3795" i="9"/>
  <c r="K3795" i="9"/>
  <c r="H3775" i="9"/>
  <c r="F3775" i="9"/>
  <c r="G3775" i="9"/>
  <c r="J3747" i="9"/>
  <c r="I3747" i="9"/>
  <c r="K3747" i="9"/>
  <c r="K3690" i="9"/>
  <c r="J3690" i="9"/>
  <c r="I3690" i="9"/>
  <c r="K3330" i="9"/>
  <c r="J3330" i="9"/>
  <c r="I3330" i="9"/>
  <c r="K3258" i="9"/>
  <c r="J3258" i="9"/>
  <c r="I3258" i="9"/>
  <c r="K3186" i="9"/>
  <c r="J3186" i="9"/>
  <c r="I3186" i="9"/>
  <c r="K3114" i="9"/>
  <c r="J3114" i="9"/>
  <c r="I3114" i="9"/>
  <c r="K3042" i="9"/>
  <c r="J3042" i="9"/>
  <c r="I3042" i="9"/>
  <c r="J2970" i="9"/>
  <c r="K2970" i="9"/>
  <c r="I2970" i="9"/>
  <c r="J2898" i="9"/>
  <c r="K2898" i="9"/>
  <c r="I2898" i="9"/>
  <c r="J2826" i="9"/>
  <c r="K2826" i="9"/>
  <c r="I2826" i="9"/>
  <c r="I2466" i="9"/>
  <c r="K2466" i="9"/>
  <c r="J2466" i="9"/>
  <c r="K2394" i="9"/>
  <c r="J2394" i="9"/>
  <c r="I2394" i="9"/>
  <c r="I2322" i="9"/>
  <c r="J2322" i="9"/>
  <c r="K2322" i="9"/>
  <c r="I2250" i="9"/>
  <c r="K2250" i="9"/>
  <c r="J2250" i="9"/>
  <c r="I2178" i="9"/>
  <c r="J2178" i="9"/>
  <c r="K2178" i="9"/>
  <c r="I2106" i="9"/>
  <c r="K2106" i="9"/>
  <c r="J2106" i="9"/>
  <c r="I2034" i="9"/>
  <c r="K2034" i="9"/>
  <c r="J2034" i="9"/>
  <c r="J1999" i="9"/>
  <c r="I1999" i="9"/>
  <c r="K1999" i="9"/>
  <c r="K1964" i="9"/>
  <c r="J1964" i="9"/>
  <c r="I1964" i="9"/>
  <c r="H1925" i="9"/>
  <c r="G1925" i="9"/>
  <c r="F1925" i="9"/>
  <c r="I1890" i="9"/>
  <c r="K1890" i="9"/>
  <c r="J1890" i="9"/>
  <c r="J1855" i="9"/>
  <c r="I1855" i="9"/>
  <c r="K1855" i="9"/>
  <c r="K1820" i="9"/>
  <c r="J1820" i="9"/>
  <c r="I1820" i="9"/>
  <c r="K1781" i="9"/>
  <c r="J1781" i="9"/>
  <c r="I1781" i="9"/>
  <c r="J1746" i="9"/>
  <c r="I1746" i="9"/>
  <c r="K1746" i="9"/>
  <c r="I1711" i="9"/>
  <c r="K1711" i="9"/>
  <c r="J1711" i="9"/>
  <c r="J1676" i="9"/>
  <c r="I1676" i="9"/>
  <c r="K1676" i="9"/>
  <c r="K1637" i="9"/>
  <c r="J1637" i="9"/>
  <c r="I1637" i="9"/>
  <c r="J1602" i="9"/>
  <c r="I1602" i="9"/>
  <c r="K1602" i="9"/>
  <c r="I1567" i="9"/>
  <c r="K1567" i="9"/>
  <c r="J1567" i="9"/>
  <c r="J1532" i="9"/>
  <c r="I1532" i="9"/>
  <c r="K1532" i="9"/>
  <c r="J1520" i="9"/>
  <c r="I1520" i="9"/>
  <c r="K1520" i="9"/>
  <c r="J1508" i="9"/>
  <c r="I1508" i="9"/>
  <c r="K1508" i="9"/>
  <c r="J1496" i="9"/>
  <c r="I1496" i="9"/>
  <c r="K1496" i="9"/>
  <c r="J1484" i="9"/>
  <c r="I1484" i="9"/>
  <c r="K1484" i="9"/>
  <c r="J1472" i="9"/>
  <c r="I1472" i="9"/>
  <c r="K1472" i="9"/>
  <c r="J1460" i="9"/>
  <c r="I1460" i="9"/>
  <c r="K1460" i="9"/>
  <c r="J1448" i="9"/>
  <c r="I1448" i="9"/>
  <c r="K1448" i="9"/>
  <c r="J1436" i="9"/>
  <c r="I1436" i="9"/>
  <c r="K1436" i="9"/>
  <c r="J1424" i="9"/>
  <c r="I1424" i="9"/>
  <c r="K1424" i="9"/>
  <c r="J1412" i="9"/>
  <c r="I1412" i="9"/>
  <c r="K1412" i="9"/>
  <c r="J1400" i="9"/>
  <c r="I1400" i="9"/>
  <c r="K1400" i="9"/>
  <c r="J1388" i="9"/>
  <c r="I1388" i="9"/>
  <c r="K1388" i="9"/>
  <c r="J1376" i="9"/>
  <c r="I1376" i="9"/>
  <c r="K1376" i="9"/>
  <c r="J1364" i="9"/>
  <c r="I1364" i="9"/>
  <c r="K1364" i="9"/>
  <c r="J1348" i="9"/>
  <c r="I1348" i="9"/>
  <c r="K1348" i="9"/>
  <c r="J1336" i="9"/>
  <c r="I1336" i="9"/>
  <c r="K1336" i="9"/>
  <c r="K1268" i="9"/>
  <c r="J1268" i="9"/>
  <c r="I1268" i="9"/>
  <c r="J1228" i="9"/>
  <c r="I1228" i="9"/>
  <c r="K1228" i="9"/>
  <c r="K1196" i="9"/>
  <c r="I1196" i="9"/>
  <c r="J1196" i="9"/>
  <c r="J1156" i="9"/>
  <c r="I1156" i="9"/>
  <c r="K1156" i="9"/>
  <c r="J1120" i="9"/>
  <c r="I1120" i="9"/>
  <c r="K1120" i="9"/>
  <c r="J1084" i="9"/>
  <c r="I1084" i="9"/>
  <c r="K1084" i="9"/>
  <c r="K992" i="9"/>
  <c r="I992" i="9"/>
  <c r="J992" i="9"/>
  <c r="J964" i="9"/>
  <c r="I964" i="9"/>
  <c r="K964" i="9"/>
  <c r="I944" i="9"/>
  <c r="K944" i="9"/>
  <c r="J944" i="9"/>
  <c r="I908" i="9"/>
  <c r="K908" i="9"/>
  <c r="J908" i="9"/>
  <c r="J880" i="9"/>
  <c r="I880" i="9"/>
  <c r="K880" i="9"/>
  <c r="K848" i="9"/>
  <c r="I848" i="9"/>
  <c r="J848" i="9"/>
  <c r="K812" i="9"/>
  <c r="J812" i="9"/>
  <c r="I812" i="9"/>
  <c r="K788" i="9"/>
  <c r="J788" i="9"/>
  <c r="I788" i="9"/>
  <c r="K764" i="9"/>
  <c r="I764" i="9"/>
  <c r="J764" i="9"/>
  <c r="K740" i="9"/>
  <c r="J740" i="9"/>
  <c r="I740" i="9"/>
  <c r="K716" i="9"/>
  <c r="J716" i="9"/>
  <c r="I716" i="9"/>
  <c r="K692" i="9"/>
  <c r="I692" i="9"/>
  <c r="J692" i="9"/>
  <c r="I676" i="9"/>
  <c r="K676" i="9"/>
  <c r="J676" i="9"/>
  <c r="K644" i="9"/>
  <c r="J644" i="9"/>
  <c r="I644" i="9"/>
  <c r="I616" i="9"/>
  <c r="K616" i="9"/>
  <c r="J616" i="9"/>
  <c r="K596" i="9"/>
  <c r="J596" i="9"/>
  <c r="I596" i="9"/>
  <c r="K536" i="9"/>
  <c r="J536" i="9"/>
  <c r="I536" i="9"/>
  <c r="K500" i="9"/>
  <c r="J500" i="9"/>
  <c r="I500" i="9"/>
  <c r="K476" i="9"/>
  <c r="J476" i="9"/>
  <c r="I476" i="9"/>
  <c r="K452" i="9"/>
  <c r="J452" i="9"/>
  <c r="I452" i="9"/>
  <c r="K428" i="9"/>
  <c r="J428" i="9"/>
  <c r="I428" i="9"/>
  <c r="K292" i="9"/>
  <c r="J292" i="9"/>
  <c r="I292" i="9"/>
  <c r="K256" i="9"/>
  <c r="J256" i="9"/>
  <c r="I256" i="9"/>
  <c r="K244" i="9"/>
  <c r="J244" i="9"/>
  <c r="I244" i="9"/>
  <c r="K224" i="9"/>
  <c r="I224" i="9"/>
  <c r="J224" i="9"/>
  <c r="K196" i="9"/>
  <c r="J196" i="9"/>
  <c r="I196" i="9"/>
  <c r="K172" i="9"/>
  <c r="J172" i="9"/>
  <c r="I172" i="9"/>
  <c r="K116" i="9"/>
  <c r="I116" i="9"/>
  <c r="J116" i="9"/>
  <c r="K104" i="9"/>
  <c r="I104" i="9"/>
  <c r="J104" i="9"/>
  <c r="I4742" i="9"/>
  <c r="K4742" i="9"/>
  <c r="J4742" i="9"/>
  <c r="J4381" i="9"/>
  <c r="I4381" i="9"/>
  <c r="K4381" i="9"/>
  <c r="K4100" i="9"/>
  <c r="J4100" i="9"/>
  <c r="I4100" i="9"/>
  <c r="K4057" i="9"/>
  <c r="J4057" i="9"/>
  <c r="I4057" i="9"/>
  <c r="K3973" i="9"/>
  <c r="J3973" i="9"/>
  <c r="I3973" i="9"/>
  <c r="I3910" i="9"/>
  <c r="J3910" i="9"/>
  <c r="K3910" i="9"/>
  <c r="I3854" i="9"/>
  <c r="K3854" i="9"/>
  <c r="J3854" i="9"/>
  <c r="J3829" i="9"/>
  <c r="I3829" i="9"/>
  <c r="K3829" i="9"/>
  <c r="J3709" i="9"/>
  <c r="I3709" i="9"/>
  <c r="K3709" i="9"/>
  <c r="J3685" i="9"/>
  <c r="I3685" i="9"/>
  <c r="K3685" i="9"/>
  <c r="H3661" i="9"/>
  <c r="G3661" i="9"/>
  <c r="F3661" i="9"/>
  <c r="H3637" i="9"/>
  <c r="G3637" i="9"/>
  <c r="F3637" i="9"/>
  <c r="K3613" i="9"/>
  <c r="J3613" i="9"/>
  <c r="I3613" i="9"/>
  <c r="K3589" i="9"/>
  <c r="J3589" i="9"/>
  <c r="I3589" i="9"/>
  <c r="K3565" i="9"/>
  <c r="J3565" i="9"/>
  <c r="I3565" i="9"/>
  <c r="K3541" i="9"/>
  <c r="J3541" i="9"/>
  <c r="I3541" i="9"/>
  <c r="K3517" i="9"/>
  <c r="J3517" i="9"/>
  <c r="I3517" i="9"/>
  <c r="K3493" i="9"/>
  <c r="J3493" i="9"/>
  <c r="I3493" i="9"/>
  <c r="K3469" i="9"/>
  <c r="J3469" i="9"/>
  <c r="I3469" i="9"/>
  <c r="K3445" i="9"/>
  <c r="J3445" i="9"/>
  <c r="I3445" i="9"/>
  <c r="K3421" i="9"/>
  <c r="J3421" i="9"/>
  <c r="I3421" i="9"/>
  <c r="K3397" i="9"/>
  <c r="J3397" i="9"/>
  <c r="I3397" i="9"/>
  <c r="J3373" i="9"/>
  <c r="I3373" i="9"/>
  <c r="K3373" i="9"/>
  <c r="J3349" i="9"/>
  <c r="I3349" i="9"/>
  <c r="K3349" i="9"/>
  <c r="J3325" i="9"/>
  <c r="I3325" i="9"/>
  <c r="K3325" i="9"/>
  <c r="J3301" i="9"/>
  <c r="I3301" i="9"/>
  <c r="K3301" i="9"/>
  <c r="J3277" i="9"/>
  <c r="I3277" i="9"/>
  <c r="K3277" i="9"/>
  <c r="J3253" i="9"/>
  <c r="I3253" i="9"/>
  <c r="K3253" i="9"/>
  <c r="H3229" i="9"/>
  <c r="G3229" i="9"/>
  <c r="F3229" i="9"/>
  <c r="H3205" i="9"/>
  <c r="G3205" i="9"/>
  <c r="F3205" i="9"/>
  <c r="H3181" i="9"/>
  <c r="G3181" i="9"/>
  <c r="F3181" i="9"/>
  <c r="H3157" i="9"/>
  <c r="G3157" i="9"/>
  <c r="F3157" i="9"/>
  <c r="H3133" i="9"/>
  <c r="G3133" i="9"/>
  <c r="F3133" i="9"/>
  <c r="H3109" i="9"/>
  <c r="G3109" i="9"/>
  <c r="F3109" i="9"/>
  <c r="H3085" i="9"/>
  <c r="G3085" i="9"/>
  <c r="F3085" i="9"/>
  <c r="H3061" i="9"/>
  <c r="G3061" i="9"/>
  <c r="F3061" i="9"/>
  <c r="K2773" i="9"/>
  <c r="J2773" i="9"/>
  <c r="I2773" i="9"/>
  <c r="K2749" i="9"/>
  <c r="J2749" i="9"/>
  <c r="I2749" i="9"/>
  <c r="K2725" i="9"/>
  <c r="J2725" i="9"/>
  <c r="I2725" i="9"/>
  <c r="K2701" i="9"/>
  <c r="J2701" i="9"/>
  <c r="I2701" i="9"/>
  <c r="K2677" i="9"/>
  <c r="J2677" i="9"/>
  <c r="I2677" i="9"/>
  <c r="K2653" i="9"/>
  <c r="J2653" i="9"/>
  <c r="I2653" i="9"/>
  <c r="K2629" i="9"/>
  <c r="J2629" i="9"/>
  <c r="I2629" i="9"/>
  <c r="K2605" i="9"/>
  <c r="J2605" i="9"/>
  <c r="I2605" i="9"/>
  <c r="K2581" i="9"/>
  <c r="J2581" i="9"/>
  <c r="I2581" i="9"/>
  <c r="K2557" i="9"/>
  <c r="J2557" i="9"/>
  <c r="I2557" i="9"/>
  <c r="K2533" i="9"/>
  <c r="J2533" i="9"/>
  <c r="I2533" i="9"/>
  <c r="K2509" i="9"/>
  <c r="J2509" i="9"/>
  <c r="I2509" i="9"/>
  <c r="K2485" i="9"/>
  <c r="J2485" i="9"/>
  <c r="I2485" i="9"/>
  <c r="F2025" i="9"/>
  <c r="H2025" i="9"/>
  <c r="G2025" i="9"/>
  <c r="F1881" i="9"/>
  <c r="H1881" i="9"/>
  <c r="G1881" i="9"/>
  <c r="F1776" i="9"/>
  <c r="H1776" i="9"/>
  <c r="G1776" i="9"/>
  <c r="I1737" i="9"/>
  <c r="K1737" i="9"/>
  <c r="J1737" i="9"/>
  <c r="K1702" i="9"/>
  <c r="J1702" i="9"/>
  <c r="I1702" i="9"/>
  <c r="K1667" i="9"/>
  <c r="J1667" i="9"/>
  <c r="I1667" i="9"/>
  <c r="F1632" i="9"/>
  <c r="H1632" i="9"/>
  <c r="G1632" i="9"/>
  <c r="I1593" i="9"/>
  <c r="K1593" i="9"/>
  <c r="J1593" i="9"/>
  <c r="F1558" i="9"/>
  <c r="H1558" i="9"/>
  <c r="G1558" i="9"/>
  <c r="J4706" i="9"/>
  <c r="I4706" i="9"/>
  <c r="K4706" i="9"/>
  <c r="K4625" i="9"/>
  <c r="I4625" i="9"/>
  <c r="J4625" i="9"/>
  <c r="J4514" i="9"/>
  <c r="I4514" i="9"/>
  <c r="K4514" i="9"/>
  <c r="K4433" i="9"/>
  <c r="I4433" i="9"/>
  <c r="J4433" i="9"/>
  <c r="K4322" i="9"/>
  <c r="I4322" i="9"/>
  <c r="J4322" i="9"/>
  <c r="H4241" i="9"/>
  <c r="F4241" i="9"/>
  <c r="G4241" i="9"/>
  <c r="K4160" i="9"/>
  <c r="J4160" i="9"/>
  <c r="I4160" i="9"/>
  <c r="H3915" i="9"/>
  <c r="G3915" i="9"/>
  <c r="F3915" i="9"/>
  <c r="J3879" i="9"/>
  <c r="I3879" i="9"/>
  <c r="K3879" i="9"/>
  <c r="K3809" i="9"/>
  <c r="J3809" i="9"/>
  <c r="I3809" i="9"/>
  <c r="K3784" i="9"/>
  <c r="I3784" i="9"/>
  <c r="J3784" i="9"/>
  <c r="I3746" i="9"/>
  <c r="K3746" i="9"/>
  <c r="J3746" i="9"/>
  <c r="K3598" i="9"/>
  <c r="J3598" i="9"/>
  <c r="I3598" i="9"/>
  <c r="K3526" i="9"/>
  <c r="J3526" i="9"/>
  <c r="I3526" i="9"/>
  <c r="K3454" i="9"/>
  <c r="J3454" i="9"/>
  <c r="I3454" i="9"/>
  <c r="K3382" i="9"/>
  <c r="J3382" i="9"/>
  <c r="I3382" i="9"/>
  <c r="K2734" i="9"/>
  <c r="J2734" i="9"/>
  <c r="I2734" i="9"/>
  <c r="K2662" i="9"/>
  <c r="J2662" i="9"/>
  <c r="I2662" i="9"/>
  <c r="K2590" i="9"/>
  <c r="J2590" i="9"/>
  <c r="I2590" i="9"/>
  <c r="K2518" i="9"/>
  <c r="J2518" i="9"/>
  <c r="I2518" i="9"/>
  <c r="K1994" i="9"/>
  <c r="J1994" i="9"/>
  <c r="I1994" i="9"/>
  <c r="J1959" i="9"/>
  <c r="I1959" i="9"/>
  <c r="K1959" i="9"/>
  <c r="I1924" i="9"/>
  <c r="K1924" i="9"/>
  <c r="J1924" i="9"/>
  <c r="K1850" i="9"/>
  <c r="J1850" i="9"/>
  <c r="I1850" i="9"/>
  <c r="J1815" i="9"/>
  <c r="I1815" i="9"/>
  <c r="K1815" i="9"/>
  <c r="J523" i="9"/>
  <c r="I523" i="9"/>
  <c r="K523" i="9"/>
  <c r="K511" i="9"/>
  <c r="J511" i="9"/>
  <c r="I511" i="9"/>
  <c r="K487" i="9"/>
  <c r="J487" i="9"/>
  <c r="I487" i="9"/>
  <c r="J211" i="9"/>
  <c r="I211" i="9"/>
  <c r="K211" i="9"/>
  <c r="J187" i="9"/>
  <c r="I187" i="9"/>
  <c r="K187" i="9"/>
  <c r="J151" i="9"/>
  <c r="I151" i="9"/>
  <c r="K151" i="9"/>
  <c r="J127" i="9"/>
  <c r="I127" i="9"/>
  <c r="K127" i="9"/>
  <c r="H107" i="9"/>
  <c r="F107" i="9"/>
  <c r="G107" i="9"/>
  <c r="H83" i="9"/>
  <c r="F83" i="9"/>
  <c r="G83" i="9"/>
  <c r="J55" i="9"/>
  <c r="I55" i="9"/>
  <c r="K55" i="9"/>
  <c r="H35" i="9"/>
  <c r="F35" i="9"/>
  <c r="G35" i="9"/>
  <c r="F11" i="9"/>
  <c r="H11" i="9"/>
  <c r="G11" i="9"/>
  <c r="H4700" i="9"/>
  <c r="F4700" i="9"/>
  <c r="G4700" i="9"/>
  <c r="H4508" i="9"/>
  <c r="F4508" i="9"/>
  <c r="G4508" i="9"/>
  <c r="K4246" i="9"/>
  <c r="J4246" i="9"/>
  <c r="I4246" i="9"/>
  <c r="K4040" i="9"/>
  <c r="J4040" i="9"/>
  <c r="I4040" i="9"/>
  <c r="K3972" i="9"/>
  <c r="J3972" i="9"/>
  <c r="I3972" i="9"/>
  <c r="J3769" i="9"/>
  <c r="I3769" i="9"/>
  <c r="K3769" i="9"/>
  <c r="K3713" i="9"/>
  <c r="J3713" i="9"/>
  <c r="I3713" i="9"/>
  <c r="K3689" i="9"/>
  <c r="J3689" i="9"/>
  <c r="I3689" i="9"/>
  <c r="K3665" i="9"/>
  <c r="J3665" i="9"/>
  <c r="I3665" i="9"/>
  <c r="K3641" i="9"/>
  <c r="J3641" i="9"/>
  <c r="I3641" i="9"/>
  <c r="K3353" i="9"/>
  <c r="J3353" i="9"/>
  <c r="I3353" i="9"/>
  <c r="K3329" i="9"/>
  <c r="J3329" i="9"/>
  <c r="I3329" i="9"/>
  <c r="K3305" i="9"/>
  <c r="J3305" i="9"/>
  <c r="I3305" i="9"/>
  <c r="K3281" i="9"/>
  <c r="I3281" i="9"/>
  <c r="J3281" i="9"/>
  <c r="K3257" i="9"/>
  <c r="J3257" i="9"/>
  <c r="I3257" i="9"/>
  <c r="K3233" i="9"/>
  <c r="J3233" i="9"/>
  <c r="I3233" i="9"/>
  <c r="K3209" i="9"/>
  <c r="J3209" i="9"/>
  <c r="I3209" i="9"/>
  <c r="K3185" i="9"/>
  <c r="J3185" i="9"/>
  <c r="I3185" i="9"/>
  <c r="K3161" i="9"/>
  <c r="J3161" i="9"/>
  <c r="I3161" i="9"/>
  <c r="K3137" i="9"/>
  <c r="J3137" i="9"/>
  <c r="I3137" i="9"/>
  <c r="K3113" i="9"/>
  <c r="J3113" i="9"/>
  <c r="I3113" i="9"/>
  <c r="K3089" i="9"/>
  <c r="J3089" i="9"/>
  <c r="I3089" i="9"/>
  <c r="K3065" i="9"/>
  <c r="J3065" i="9"/>
  <c r="I3065" i="9"/>
  <c r="K3041" i="9"/>
  <c r="I3041" i="9"/>
  <c r="J3041" i="9"/>
  <c r="K3017" i="9"/>
  <c r="J3017" i="9"/>
  <c r="I3017" i="9"/>
  <c r="K2993" i="9"/>
  <c r="J2993" i="9"/>
  <c r="I2993" i="9"/>
  <c r="K2969" i="9"/>
  <c r="I2969" i="9"/>
  <c r="J2969" i="9"/>
  <c r="K2945" i="9"/>
  <c r="J2945" i="9"/>
  <c r="I2945" i="9"/>
  <c r="K2921" i="9"/>
  <c r="J2921" i="9"/>
  <c r="I2921" i="9"/>
  <c r="K2897" i="9"/>
  <c r="I2897" i="9"/>
  <c r="J2897" i="9"/>
  <c r="K2873" i="9"/>
  <c r="J2873" i="9"/>
  <c r="I2873" i="9"/>
  <c r="K2849" i="9"/>
  <c r="J2849" i="9"/>
  <c r="I2849" i="9"/>
  <c r="K2825" i="9"/>
  <c r="I2825" i="9"/>
  <c r="J2825" i="9"/>
  <c r="K2801" i="9"/>
  <c r="J2801" i="9"/>
  <c r="I2801" i="9"/>
  <c r="J2513" i="9"/>
  <c r="I2513" i="9"/>
  <c r="K2513" i="9"/>
  <c r="J2489" i="9"/>
  <c r="K2489" i="9"/>
  <c r="I2489" i="9"/>
  <c r="J2465" i="9"/>
  <c r="I2465" i="9"/>
  <c r="K2465" i="9"/>
  <c r="J2441" i="9"/>
  <c r="I2441" i="9"/>
  <c r="K2441" i="9"/>
  <c r="J2417" i="9"/>
  <c r="I2417" i="9"/>
  <c r="K2417" i="9"/>
  <c r="I2393" i="9"/>
  <c r="K2393" i="9"/>
  <c r="J2393" i="9"/>
  <c r="I2369" i="9"/>
  <c r="K2369" i="9"/>
  <c r="J2369" i="9"/>
  <c r="I2345" i="9"/>
  <c r="K2345" i="9"/>
  <c r="J2345" i="9"/>
  <c r="J2321" i="9"/>
  <c r="I2321" i="9"/>
  <c r="K2321" i="9"/>
  <c r="J2297" i="9"/>
  <c r="I2297" i="9"/>
  <c r="K2297" i="9"/>
  <c r="J2273" i="9"/>
  <c r="I2273" i="9"/>
  <c r="K2273" i="9"/>
  <c r="J2249" i="9"/>
  <c r="I2249" i="9"/>
  <c r="K2249" i="9"/>
  <c r="J2225" i="9"/>
  <c r="I2225" i="9"/>
  <c r="K2225" i="9"/>
  <c r="J2201" i="9"/>
  <c r="I2201" i="9"/>
  <c r="K2201" i="9"/>
  <c r="J2177" i="9"/>
  <c r="I2177" i="9"/>
  <c r="K2177" i="9"/>
  <c r="J2153" i="9"/>
  <c r="I2153" i="9"/>
  <c r="K2153" i="9"/>
  <c r="J2129" i="9"/>
  <c r="I2129" i="9"/>
  <c r="K2129" i="9"/>
  <c r="J2105" i="9"/>
  <c r="I2105" i="9"/>
  <c r="K2105" i="9"/>
  <c r="J2081" i="9"/>
  <c r="I2081" i="9"/>
  <c r="K2081" i="9"/>
  <c r="H2057" i="9"/>
  <c r="G2057" i="9"/>
  <c r="F2057" i="9"/>
  <c r="H2033" i="9"/>
  <c r="G2033" i="9"/>
  <c r="F2033" i="9"/>
  <c r="I1998" i="9"/>
  <c r="K1998" i="9"/>
  <c r="J1998" i="9"/>
  <c r="J1963" i="9"/>
  <c r="I1963" i="9"/>
  <c r="K1963" i="9"/>
  <c r="K1928" i="9"/>
  <c r="J1928" i="9"/>
  <c r="I1928" i="9"/>
  <c r="H1889" i="9"/>
  <c r="G1889" i="9"/>
  <c r="F1889" i="9"/>
  <c r="I1854" i="9"/>
  <c r="K1854" i="9"/>
  <c r="J1854" i="9"/>
  <c r="K1819" i="9"/>
  <c r="J1819" i="9"/>
  <c r="I1819" i="9"/>
  <c r="J1784" i="9"/>
  <c r="I1784" i="9"/>
  <c r="K1784" i="9"/>
  <c r="K1745" i="9"/>
  <c r="J1745" i="9"/>
  <c r="I1745" i="9"/>
  <c r="J1710" i="9"/>
  <c r="I1710" i="9"/>
  <c r="K1710" i="9"/>
  <c r="I1675" i="9"/>
  <c r="K1675" i="9"/>
  <c r="J1675" i="9"/>
  <c r="J1640" i="9"/>
  <c r="I1640" i="9"/>
  <c r="K1640" i="9"/>
  <c r="K1601" i="9"/>
  <c r="J1601" i="9"/>
  <c r="I1601" i="9"/>
  <c r="J1566" i="9"/>
  <c r="I1566" i="9"/>
  <c r="K1566" i="9"/>
  <c r="I1531" i="9"/>
  <c r="K1531" i="9"/>
  <c r="J1531" i="9"/>
  <c r="I1519" i="9"/>
  <c r="K1519" i="9"/>
  <c r="J1519" i="9"/>
  <c r="I1507" i="9"/>
  <c r="K1507" i="9"/>
  <c r="J1507" i="9"/>
  <c r="I1495" i="9"/>
  <c r="K1495" i="9"/>
  <c r="J1495" i="9"/>
  <c r="I1483" i="9"/>
  <c r="K1483" i="9"/>
  <c r="J1483" i="9"/>
  <c r="I1471" i="9"/>
  <c r="K1471" i="9"/>
  <c r="J1471" i="9"/>
  <c r="I1459" i="9"/>
  <c r="K1459" i="9"/>
  <c r="J1459" i="9"/>
  <c r="I1447" i="9"/>
  <c r="K1447" i="9"/>
  <c r="J1447" i="9"/>
  <c r="I1435" i="9"/>
  <c r="K1435" i="9"/>
  <c r="J1435" i="9"/>
  <c r="I1423" i="9"/>
  <c r="K1423" i="9"/>
  <c r="J1423" i="9"/>
  <c r="I1411" i="9"/>
  <c r="K1411" i="9"/>
  <c r="J1411" i="9"/>
  <c r="I1399" i="9"/>
  <c r="K1399" i="9"/>
  <c r="J1399" i="9"/>
  <c r="I1387" i="9"/>
  <c r="K1387" i="9"/>
  <c r="J1387" i="9"/>
  <c r="K1375" i="9"/>
  <c r="J1375" i="9"/>
  <c r="I1375" i="9"/>
  <c r="K1363" i="9"/>
  <c r="J1363" i="9"/>
  <c r="I1363" i="9"/>
  <c r="K1351" i="9"/>
  <c r="J1351" i="9"/>
  <c r="I1351" i="9"/>
  <c r="I1339" i="9"/>
  <c r="K1339" i="9"/>
  <c r="J1339" i="9"/>
  <c r="I1327" i="9"/>
  <c r="L1327" i="9" s="1"/>
  <c r="M1327" i="9" s="1"/>
  <c r="K1327" i="9"/>
  <c r="J1327" i="9"/>
  <c r="I1315" i="9"/>
  <c r="K1315" i="9"/>
  <c r="J1315" i="9"/>
  <c r="I1303" i="9"/>
  <c r="J1303" i="9"/>
  <c r="K1303" i="9"/>
  <c r="I1291" i="9"/>
  <c r="K1291" i="9"/>
  <c r="J1291" i="9"/>
  <c r="I1279" i="9"/>
  <c r="K1279" i="9"/>
  <c r="J1279" i="9"/>
  <c r="I1267" i="9"/>
  <c r="K1267" i="9"/>
  <c r="J1267" i="9"/>
  <c r="I1255" i="9"/>
  <c r="J1255" i="9"/>
  <c r="K1255" i="9"/>
  <c r="I1243" i="9"/>
  <c r="K1243" i="9"/>
  <c r="J1243" i="9"/>
  <c r="I1231" i="9"/>
  <c r="K1231" i="9"/>
  <c r="J1231" i="9"/>
  <c r="I1219" i="9"/>
  <c r="K1219" i="9"/>
  <c r="J1219" i="9"/>
  <c r="I1207" i="9"/>
  <c r="J1207" i="9"/>
  <c r="K1207" i="9"/>
  <c r="I1195" i="9"/>
  <c r="K1195" i="9"/>
  <c r="J1195" i="9"/>
  <c r="I1183" i="9"/>
  <c r="K1183" i="9"/>
  <c r="J1183" i="9"/>
  <c r="I1171" i="9"/>
  <c r="K1171" i="9"/>
  <c r="J1171" i="9"/>
  <c r="I1159" i="9"/>
  <c r="J1159" i="9"/>
  <c r="K1159" i="9"/>
  <c r="I1147" i="9"/>
  <c r="K1147" i="9"/>
  <c r="J1147" i="9"/>
  <c r="I1135" i="9"/>
  <c r="K1135" i="9"/>
  <c r="J1135" i="9"/>
  <c r="I1123" i="9"/>
  <c r="K1123" i="9"/>
  <c r="J1123" i="9"/>
  <c r="I1111" i="9"/>
  <c r="J1111" i="9"/>
  <c r="K1111" i="9"/>
  <c r="I1099" i="9"/>
  <c r="K1099" i="9"/>
  <c r="J1099" i="9"/>
  <c r="I1087" i="9"/>
  <c r="K1087" i="9"/>
  <c r="J1087" i="9"/>
  <c r="I1075" i="9"/>
  <c r="K1075" i="9"/>
  <c r="J1075" i="9"/>
  <c r="I1063" i="9"/>
  <c r="J1063" i="9"/>
  <c r="K1063" i="9"/>
  <c r="I1051" i="9"/>
  <c r="K1051" i="9"/>
  <c r="J1051" i="9"/>
  <c r="I1039" i="9"/>
  <c r="K1039" i="9"/>
  <c r="J1039" i="9"/>
  <c r="I1027" i="9"/>
  <c r="J1027" i="9"/>
  <c r="K1027" i="9"/>
  <c r="I1015" i="9"/>
  <c r="K1015" i="9"/>
  <c r="J1015" i="9"/>
  <c r="I1003" i="9"/>
  <c r="J1003" i="9"/>
  <c r="K1003" i="9"/>
  <c r="I991" i="9"/>
  <c r="J991" i="9"/>
  <c r="K991" i="9"/>
  <c r="I979" i="9"/>
  <c r="K979" i="9"/>
  <c r="J979" i="9"/>
  <c r="I967" i="9"/>
  <c r="K967" i="9"/>
  <c r="J967" i="9"/>
  <c r="I955" i="9"/>
  <c r="J955" i="9"/>
  <c r="K955" i="9"/>
  <c r="I943" i="9"/>
  <c r="K943" i="9"/>
  <c r="J943" i="9"/>
  <c r="I931" i="9"/>
  <c r="K931" i="9"/>
  <c r="J931" i="9"/>
  <c r="I919" i="9"/>
  <c r="J919" i="9"/>
  <c r="K919" i="9"/>
  <c r="I907" i="9"/>
  <c r="K907" i="9"/>
  <c r="J907" i="9"/>
  <c r="I895" i="9"/>
  <c r="K895" i="9"/>
  <c r="J895" i="9"/>
  <c r="I883" i="9"/>
  <c r="J883" i="9"/>
  <c r="K883" i="9"/>
  <c r="I871" i="9"/>
  <c r="K871" i="9"/>
  <c r="J871" i="9"/>
  <c r="I859" i="9"/>
  <c r="J859" i="9"/>
  <c r="K859" i="9"/>
  <c r="I847" i="9"/>
  <c r="J847" i="9"/>
  <c r="K847" i="9"/>
  <c r="J835" i="9"/>
  <c r="I835" i="9"/>
  <c r="K835" i="9"/>
  <c r="K823" i="9"/>
  <c r="J823" i="9"/>
  <c r="I823" i="9"/>
  <c r="K811" i="9"/>
  <c r="J811" i="9"/>
  <c r="I811" i="9"/>
  <c r="K799" i="9"/>
  <c r="J799" i="9"/>
  <c r="I799" i="9"/>
  <c r="J787" i="9"/>
  <c r="I787" i="9"/>
  <c r="K787" i="9"/>
  <c r="K775" i="9"/>
  <c r="J775" i="9"/>
  <c r="I775" i="9"/>
  <c r="K763" i="9"/>
  <c r="J763" i="9"/>
  <c r="I763" i="9"/>
  <c r="K751" i="9"/>
  <c r="J751" i="9"/>
  <c r="I751" i="9"/>
  <c r="J739" i="9"/>
  <c r="I739" i="9"/>
  <c r="K739" i="9"/>
  <c r="K727" i="9"/>
  <c r="J727" i="9"/>
  <c r="I727" i="9"/>
  <c r="K715" i="9"/>
  <c r="J715" i="9"/>
  <c r="I715" i="9"/>
  <c r="J703" i="9"/>
  <c r="I703" i="9"/>
  <c r="K703" i="9"/>
  <c r="K691" i="9"/>
  <c r="J691" i="9"/>
  <c r="I691" i="9"/>
  <c r="K679" i="9"/>
  <c r="J679" i="9"/>
  <c r="I679" i="9"/>
  <c r="J667" i="9"/>
  <c r="I667" i="9"/>
  <c r="K667" i="9"/>
  <c r="K655" i="9"/>
  <c r="J655" i="9"/>
  <c r="I655" i="9"/>
  <c r="K643" i="9"/>
  <c r="J643" i="9"/>
  <c r="I643" i="9"/>
  <c r="J631" i="9"/>
  <c r="I631" i="9"/>
  <c r="K631" i="9"/>
  <c r="K619" i="9"/>
  <c r="J619" i="9"/>
  <c r="I619" i="9"/>
  <c r="K607" i="9"/>
  <c r="J607" i="9"/>
  <c r="I607" i="9"/>
  <c r="J595" i="9"/>
  <c r="I595" i="9"/>
  <c r="K595" i="9"/>
  <c r="K583" i="9"/>
  <c r="J583" i="9"/>
  <c r="I583" i="9"/>
  <c r="K571" i="9"/>
  <c r="J571" i="9"/>
  <c r="I571" i="9"/>
  <c r="J559" i="9"/>
  <c r="I559" i="9"/>
  <c r="K559" i="9"/>
  <c r="K547" i="9"/>
  <c r="J547" i="9"/>
  <c r="I547" i="9"/>
  <c r="K535" i="9"/>
  <c r="J535" i="9"/>
  <c r="I535" i="9"/>
  <c r="J507" i="9"/>
  <c r="I507" i="9"/>
  <c r="K507" i="9"/>
  <c r="K415" i="9"/>
  <c r="J415" i="9"/>
  <c r="I415" i="9"/>
  <c r="K403" i="9"/>
  <c r="J403" i="9"/>
  <c r="I403" i="9"/>
  <c r="K391" i="9"/>
  <c r="J391" i="9"/>
  <c r="I391" i="9"/>
  <c r="J379" i="9"/>
  <c r="I379" i="9"/>
  <c r="K379" i="9"/>
  <c r="J367" i="9"/>
  <c r="I367" i="9"/>
  <c r="K367" i="9"/>
  <c r="J355" i="9"/>
  <c r="I355" i="9"/>
  <c r="K355" i="9"/>
  <c r="J343" i="9"/>
  <c r="I343" i="9"/>
  <c r="K343" i="9"/>
  <c r="J331" i="9"/>
  <c r="I331" i="9"/>
  <c r="K331" i="9"/>
  <c r="J319" i="9"/>
  <c r="I319" i="9"/>
  <c r="K319" i="9"/>
  <c r="J307" i="9"/>
  <c r="I307" i="9"/>
  <c r="K307" i="9"/>
  <c r="J295" i="9"/>
  <c r="I295" i="9"/>
  <c r="K295" i="9"/>
  <c r="H275" i="9"/>
  <c r="F275" i="9"/>
  <c r="G275" i="9"/>
  <c r="J259" i="9"/>
  <c r="I259" i="9"/>
  <c r="K259" i="9"/>
  <c r="J235" i="9"/>
  <c r="I235" i="9"/>
  <c r="K235" i="9"/>
  <c r="H179" i="9"/>
  <c r="F179" i="9"/>
  <c r="G179" i="9"/>
  <c r="H95" i="9"/>
  <c r="F95" i="9"/>
  <c r="G95" i="9"/>
  <c r="H71" i="9"/>
  <c r="F71" i="9"/>
  <c r="G71" i="9"/>
  <c r="J19" i="9"/>
  <c r="I19" i="9"/>
  <c r="K19" i="9"/>
  <c r="K4717" i="9"/>
  <c r="J4717" i="9"/>
  <c r="I4717" i="9"/>
  <c r="J4333" i="9"/>
  <c r="I4333" i="9"/>
  <c r="K4333" i="9"/>
  <c r="K4165" i="9"/>
  <c r="J4165" i="9"/>
  <c r="I4165" i="9"/>
  <c r="H3883" i="9"/>
  <c r="F3883" i="9"/>
  <c r="G3883" i="9"/>
  <c r="I3818" i="9"/>
  <c r="K3818" i="9"/>
  <c r="J3818" i="9"/>
  <c r="K3798" i="9"/>
  <c r="J3798" i="9"/>
  <c r="I3798" i="9"/>
  <c r="I3698" i="9"/>
  <c r="K3698" i="9"/>
  <c r="J3698" i="9"/>
  <c r="H3554" i="9"/>
  <c r="G3554" i="9"/>
  <c r="F3554" i="9"/>
  <c r="H3482" i="9"/>
  <c r="G3482" i="9"/>
  <c r="F3482" i="9"/>
  <c r="H3410" i="9"/>
  <c r="G3410" i="9"/>
  <c r="F3410" i="9"/>
  <c r="I3338" i="9"/>
  <c r="K3338" i="9"/>
  <c r="J3338" i="9"/>
  <c r="I3266" i="9"/>
  <c r="K3266" i="9"/>
  <c r="J3266" i="9"/>
  <c r="H2762" i="9"/>
  <c r="G2762" i="9"/>
  <c r="F2762" i="9"/>
  <c r="H2690" i="9"/>
  <c r="G2690" i="9"/>
  <c r="F2690" i="9"/>
  <c r="H2618" i="9"/>
  <c r="G2618" i="9"/>
  <c r="F2618" i="9"/>
  <c r="H2546" i="9"/>
  <c r="G2546" i="9"/>
  <c r="F2546" i="9"/>
  <c r="J2474" i="9"/>
  <c r="I2474" i="9"/>
  <c r="K2474" i="9"/>
  <c r="K2402" i="9"/>
  <c r="J2402" i="9"/>
  <c r="I2402" i="9"/>
  <c r="K2330" i="9"/>
  <c r="J2330" i="9"/>
  <c r="I2330" i="9"/>
  <c r="K2258" i="9"/>
  <c r="J2258" i="9"/>
  <c r="I2258" i="9"/>
  <c r="K2186" i="9"/>
  <c r="J2186" i="9"/>
  <c r="I2186" i="9"/>
  <c r="K2114" i="9"/>
  <c r="J2114" i="9"/>
  <c r="I2114" i="9"/>
  <c r="K2042" i="9"/>
  <c r="J2042" i="9"/>
  <c r="I2042" i="9"/>
  <c r="F1893" i="9"/>
  <c r="H1893" i="9"/>
  <c r="G1893" i="9"/>
  <c r="F1788" i="9"/>
  <c r="H1788" i="9"/>
  <c r="G1788" i="9"/>
  <c r="I1749" i="9"/>
  <c r="K1749" i="9"/>
  <c r="J1749" i="9"/>
  <c r="K1714" i="9"/>
  <c r="J1714" i="9"/>
  <c r="I1714" i="9"/>
  <c r="K1679" i="9"/>
  <c r="J1679" i="9"/>
  <c r="I1679" i="9"/>
  <c r="F1644" i="9"/>
  <c r="H1644" i="9"/>
  <c r="G1644" i="9"/>
  <c r="I1605" i="9"/>
  <c r="K1605" i="9"/>
  <c r="J1605" i="9"/>
  <c r="K1570" i="9"/>
  <c r="J1570" i="9"/>
  <c r="I1570" i="9"/>
  <c r="K1535" i="9"/>
  <c r="J1535" i="9"/>
  <c r="I1535" i="9"/>
  <c r="K5094" i="9"/>
  <c r="J5094" i="9"/>
  <c r="I5094" i="9"/>
  <c r="K4950" i="9"/>
  <c r="J4950" i="9"/>
  <c r="I4950" i="9"/>
  <c r="K4806" i="9"/>
  <c r="J4806" i="9"/>
  <c r="I4806" i="9"/>
  <c r="J4658" i="9"/>
  <c r="I4658" i="9"/>
  <c r="K4658" i="9"/>
  <c r="K4577" i="9"/>
  <c r="I4577" i="9"/>
  <c r="J4577" i="9"/>
  <c r="J4466" i="9"/>
  <c r="I4466" i="9"/>
  <c r="K4466" i="9"/>
  <c r="H4385" i="9"/>
  <c r="F4385" i="9"/>
  <c r="G4385" i="9"/>
  <c r="K4274" i="9"/>
  <c r="I4274" i="9"/>
  <c r="J4274" i="9"/>
  <c r="H4193" i="9"/>
  <c r="G4193" i="9"/>
  <c r="F4193" i="9"/>
  <c r="H4131" i="9"/>
  <c r="G4131" i="9"/>
  <c r="F4131" i="9"/>
  <c r="K4034" i="9"/>
  <c r="J4034" i="9"/>
  <c r="I4034" i="9"/>
  <c r="J3945" i="9"/>
  <c r="I3945" i="9"/>
  <c r="K3945" i="9"/>
  <c r="J3793" i="9"/>
  <c r="I3793" i="9"/>
  <c r="K3793" i="9"/>
  <c r="H3763" i="9"/>
  <c r="F3763" i="9"/>
  <c r="C3763" i="9" s="1"/>
  <c r="G3763" i="9"/>
  <c r="K3611" i="9"/>
  <c r="J3611" i="9"/>
  <c r="I3611" i="9"/>
  <c r="K3587" i="9"/>
  <c r="J3587" i="9"/>
  <c r="I3587" i="9"/>
  <c r="K3563" i="9"/>
  <c r="J3563" i="9"/>
  <c r="I3563" i="9"/>
  <c r="K3539" i="9"/>
  <c r="J3539" i="9"/>
  <c r="I3539" i="9"/>
  <c r="K3515" i="9"/>
  <c r="J3515" i="9"/>
  <c r="I3515" i="9"/>
  <c r="K3491" i="9"/>
  <c r="J3491" i="9"/>
  <c r="I3491" i="9"/>
  <c r="K3467" i="9"/>
  <c r="J3467" i="9"/>
  <c r="I3467" i="9"/>
  <c r="K3443" i="9"/>
  <c r="J3443" i="9"/>
  <c r="I3443" i="9"/>
  <c r="K3419" i="9"/>
  <c r="J3419" i="9"/>
  <c r="I3419" i="9"/>
  <c r="K3395" i="9"/>
  <c r="J3395" i="9"/>
  <c r="I3395" i="9"/>
  <c r="K3371" i="9"/>
  <c r="J3371" i="9"/>
  <c r="I3371" i="9"/>
  <c r="K2771" i="9"/>
  <c r="J2771" i="9"/>
  <c r="I2771" i="9"/>
  <c r="K2747" i="9"/>
  <c r="J2747" i="9"/>
  <c r="I2747" i="9"/>
  <c r="K2723" i="9"/>
  <c r="J2723" i="9"/>
  <c r="I2723" i="9"/>
  <c r="K2699" i="9"/>
  <c r="J2699" i="9"/>
  <c r="I2699" i="9"/>
  <c r="K2675" i="9"/>
  <c r="J2675" i="9"/>
  <c r="I2675" i="9"/>
  <c r="K2651" i="9"/>
  <c r="J2651" i="9"/>
  <c r="I2651" i="9"/>
  <c r="K2627" i="9"/>
  <c r="J2627" i="9"/>
  <c r="I2627" i="9"/>
  <c r="K2603" i="9"/>
  <c r="J2603" i="9"/>
  <c r="I2603" i="9"/>
  <c r="K2579" i="9"/>
  <c r="J2579" i="9"/>
  <c r="I2579" i="9"/>
  <c r="G2555" i="9"/>
  <c r="F2555" i="9"/>
  <c r="H2555" i="9"/>
  <c r="G2531" i="9"/>
  <c r="F2531" i="9"/>
  <c r="H2531" i="9"/>
  <c r="G2507" i="9"/>
  <c r="H2507" i="9"/>
  <c r="F2507" i="9"/>
  <c r="H2483" i="9"/>
  <c r="F2483" i="9"/>
  <c r="G2483" i="9"/>
  <c r="J2019" i="9"/>
  <c r="I2019" i="9"/>
  <c r="K2019" i="9"/>
  <c r="I1984" i="9"/>
  <c r="K1984" i="9"/>
  <c r="J1984" i="9"/>
  <c r="K1910" i="9"/>
  <c r="J1910" i="9"/>
  <c r="I1910" i="9"/>
  <c r="J1875" i="9"/>
  <c r="I1875" i="9"/>
  <c r="K1875" i="9"/>
  <c r="I1840" i="9"/>
  <c r="K1840" i="9"/>
  <c r="J1840" i="9"/>
  <c r="I258" i="9"/>
  <c r="K258" i="9"/>
  <c r="J258" i="9"/>
  <c r="I234" i="9"/>
  <c r="K234" i="9"/>
  <c r="J234" i="9"/>
  <c r="I210" i="9"/>
  <c r="K210" i="9"/>
  <c r="J210" i="9"/>
  <c r="I186" i="9"/>
  <c r="K186" i="9"/>
  <c r="J186" i="9"/>
  <c r="K82" i="9"/>
  <c r="J82" i="9"/>
  <c r="I82" i="9"/>
  <c r="J4710" i="9"/>
  <c r="K4710" i="9"/>
  <c r="I4710" i="9"/>
  <c r="J4588" i="9"/>
  <c r="I4588" i="9"/>
  <c r="K4588" i="9"/>
  <c r="J4518" i="9"/>
  <c r="I4518" i="9"/>
  <c r="K4518" i="9"/>
  <c r="K4396" i="9"/>
  <c r="J4396" i="9"/>
  <c r="I4396" i="9"/>
  <c r="K4204" i="9"/>
  <c r="J4204" i="9"/>
  <c r="I4204" i="9"/>
  <c r="K3950" i="9"/>
  <c r="J3950" i="9"/>
  <c r="I3950" i="9"/>
  <c r="K3913" i="9"/>
  <c r="J3913" i="9"/>
  <c r="I3913" i="9"/>
  <c r="J3867" i="9"/>
  <c r="I3867" i="9"/>
  <c r="K3867" i="9"/>
  <c r="H3847" i="9"/>
  <c r="F3847" i="9"/>
  <c r="G3847" i="9"/>
  <c r="I3758" i="9"/>
  <c r="K3758" i="9"/>
  <c r="J3758" i="9"/>
  <c r="K3702" i="9"/>
  <c r="J3702" i="9"/>
  <c r="I3702" i="9"/>
  <c r="H3630" i="9"/>
  <c r="G3630" i="9"/>
  <c r="F3630" i="9"/>
  <c r="K3342" i="9"/>
  <c r="J3342" i="9"/>
  <c r="I3342" i="9"/>
  <c r="K3270" i="9"/>
  <c r="J3270" i="9"/>
  <c r="I3270" i="9"/>
  <c r="K3198" i="9"/>
  <c r="J3198" i="9"/>
  <c r="I3198" i="9"/>
  <c r="K3126" i="9"/>
  <c r="J3126" i="9"/>
  <c r="I3126" i="9"/>
  <c r="K3054" i="9"/>
  <c r="J3054" i="9"/>
  <c r="I3054" i="9"/>
  <c r="J2982" i="9"/>
  <c r="K2982" i="9"/>
  <c r="I2982" i="9"/>
  <c r="J2910" i="9"/>
  <c r="K2910" i="9"/>
  <c r="I2910" i="9"/>
  <c r="J2838" i="9"/>
  <c r="K2838" i="9"/>
  <c r="I2838" i="9"/>
  <c r="I2478" i="9"/>
  <c r="K2478" i="9"/>
  <c r="J2478" i="9"/>
  <c r="J2406" i="9"/>
  <c r="I2406" i="9"/>
  <c r="K2406" i="9"/>
  <c r="K2334" i="9"/>
  <c r="J2334" i="9"/>
  <c r="I2334" i="9"/>
  <c r="I2262" i="9"/>
  <c r="K2262" i="9"/>
  <c r="J2262" i="9"/>
  <c r="I2190" i="9"/>
  <c r="K2190" i="9"/>
  <c r="J2190" i="9"/>
  <c r="I2118" i="9"/>
  <c r="K2118" i="9"/>
  <c r="J2118" i="9"/>
  <c r="I2046" i="9"/>
  <c r="K2046" i="9"/>
  <c r="J2046" i="9"/>
  <c r="H1997" i="9"/>
  <c r="G1997" i="9"/>
  <c r="F1997" i="9"/>
  <c r="I1962" i="9"/>
  <c r="K1962" i="9"/>
  <c r="J1962" i="9"/>
  <c r="J1927" i="9"/>
  <c r="I1927" i="9"/>
  <c r="K1927" i="9"/>
  <c r="K1892" i="9"/>
  <c r="J1892" i="9"/>
  <c r="I1892" i="9"/>
  <c r="H1853" i="9"/>
  <c r="G1853" i="9"/>
  <c r="F1853" i="9"/>
  <c r="K1818" i="9"/>
  <c r="J1818" i="9"/>
  <c r="I1818" i="9"/>
  <c r="I1783" i="9"/>
  <c r="K1783" i="9"/>
  <c r="J1783" i="9"/>
  <c r="J1748" i="9"/>
  <c r="I1748" i="9"/>
  <c r="K1748" i="9"/>
  <c r="K1709" i="9"/>
  <c r="J1709" i="9"/>
  <c r="I1709" i="9"/>
  <c r="J1674" i="9"/>
  <c r="I1674" i="9"/>
  <c r="K1674" i="9"/>
  <c r="I1639" i="9"/>
  <c r="K1639" i="9"/>
  <c r="J1639" i="9"/>
  <c r="J1604" i="9"/>
  <c r="I1604" i="9"/>
  <c r="K1604" i="9"/>
  <c r="K1565" i="9"/>
  <c r="J1565" i="9"/>
  <c r="I1565" i="9"/>
  <c r="J1530" i="9"/>
  <c r="K1530" i="9"/>
  <c r="I1530" i="9"/>
  <c r="J1518" i="9"/>
  <c r="K1518" i="9"/>
  <c r="I1518" i="9"/>
  <c r="J1506" i="9"/>
  <c r="K1506" i="9"/>
  <c r="I1506" i="9"/>
  <c r="J1494" i="9"/>
  <c r="K1494" i="9"/>
  <c r="I1494" i="9"/>
  <c r="J1482" i="9"/>
  <c r="K1482" i="9"/>
  <c r="I1482" i="9"/>
  <c r="J1470" i="9"/>
  <c r="K1470" i="9"/>
  <c r="I1470" i="9"/>
  <c r="J1458" i="9"/>
  <c r="K1458" i="9"/>
  <c r="I1458" i="9"/>
  <c r="J1446" i="9"/>
  <c r="K1446" i="9"/>
  <c r="I1446" i="9"/>
  <c r="J1434" i="9"/>
  <c r="K1434" i="9"/>
  <c r="I1434" i="9"/>
  <c r="J1422" i="9"/>
  <c r="K1422" i="9"/>
  <c r="I1422" i="9"/>
  <c r="J1410" i="9"/>
  <c r="K1410" i="9"/>
  <c r="I1410" i="9"/>
  <c r="J1398" i="9"/>
  <c r="K1398" i="9"/>
  <c r="I1398" i="9"/>
  <c r="J1386" i="9"/>
  <c r="K1386" i="9"/>
  <c r="I1386" i="9"/>
  <c r="K1374" i="9"/>
  <c r="J1374" i="9"/>
  <c r="I1374" i="9"/>
  <c r="K1362" i="9"/>
  <c r="J1362" i="9"/>
  <c r="I1362" i="9"/>
  <c r="K1350" i="9"/>
  <c r="J1350" i="9"/>
  <c r="I1350" i="9"/>
  <c r="J1338" i="9"/>
  <c r="K1338" i="9"/>
  <c r="I1338" i="9"/>
  <c r="J1326" i="9"/>
  <c r="K1326" i="9"/>
  <c r="I1326" i="9"/>
  <c r="J1314" i="9"/>
  <c r="K1314" i="9"/>
  <c r="I1314" i="9"/>
  <c r="J1302" i="9"/>
  <c r="K1302" i="9"/>
  <c r="I1302" i="9"/>
  <c r="J1290" i="9"/>
  <c r="K1290" i="9"/>
  <c r="I1290" i="9"/>
  <c r="J1278" i="9"/>
  <c r="I1278" i="9"/>
  <c r="K1278" i="9"/>
  <c r="J1266" i="9"/>
  <c r="K1266" i="9"/>
  <c r="I1266" i="9"/>
  <c r="J1254" i="9"/>
  <c r="K1254" i="9"/>
  <c r="I1254" i="9"/>
  <c r="J1242" i="9"/>
  <c r="K1242" i="9"/>
  <c r="I1242" i="9"/>
  <c r="J1230" i="9"/>
  <c r="K1230" i="9"/>
  <c r="I1230" i="9"/>
  <c r="J1218" i="9"/>
  <c r="K1218" i="9"/>
  <c r="I1218" i="9"/>
  <c r="J1206" i="9"/>
  <c r="K1206" i="9"/>
  <c r="I1206" i="9"/>
  <c r="J1194" i="9"/>
  <c r="K1194" i="9"/>
  <c r="I1194" i="9"/>
  <c r="J1182" i="9"/>
  <c r="K1182" i="9"/>
  <c r="I1182" i="9"/>
  <c r="J1170" i="9"/>
  <c r="K1170" i="9"/>
  <c r="I1170" i="9"/>
  <c r="J1158" i="9"/>
  <c r="K1158" i="9"/>
  <c r="I1158" i="9"/>
  <c r="J1146" i="9"/>
  <c r="K1146" i="9"/>
  <c r="I1146" i="9"/>
  <c r="J1134" i="9"/>
  <c r="K1134" i="9"/>
  <c r="I1134" i="9"/>
  <c r="J1122" i="9"/>
  <c r="K1122" i="9"/>
  <c r="I1122" i="9"/>
  <c r="J1110" i="9"/>
  <c r="K1110" i="9"/>
  <c r="I1110" i="9"/>
  <c r="J1098" i="9"/>
  <c r="K1098" i="9"/>
  <c r="I1098" i="9"/>
  <c r="J1086" i="9"/>
  <c r="I1086" i="9"/>
  <c r="K1086" i="9"/>
  <c r="J1074" i="9"/>
  <c r="K1074" i="9"/>
  <c r="I1074" i="9"/>
  <c r="J1062" i="9"/>
  <c r="K1062" i="9"/>
  <c r="I1062" i="9"/>
  <c r="J1050" i="9"/>
  <c r="K1050" i="9"/>
  <c r="I1050" i="9"/>
  <c r="J1038" i="9"/>
  <c r="K1038" i="9"/>
  <c r="I1038" i="9"/>
  <c r="J1026" i="9"/>
  <c r="K1026" i="9"/>
  <c r="I1026" i="9"/>
  <c r="J1014" i="9"/>
  <c r="K1014" i="9"/>
  <c r="I1014" i="9"/>
  <c r="J1002" i="9"/>
  <c r="K1002" i="9"/>
  <c r="I1002" i="9"/>
  <c r="J990" i="9"/>
  <c r="K990" i="9"/>
  <c r="I990" i="9"/>
  <c r="J978" i="9"/>
  <c r="K978" i="9"/>
  <c r="I978" i="9"/>
  <c r="J966" i="9"/>
  <c r="K966" i="9"/>
  <c r="I966" i="9"/>
  <c r="J954" i="9"/>
  <c r="K954" i="9"/>
  <c r="I954" i="9"/>
  <c r="J942" i="9"/>
  <c r="K942" i="9"/>
  <c r="I942" i="9"/>
  <c r="J930" i="9"/>
  <c r="K930" i="9"/>
  <c r="I930" i="9"/>
  <c r="J918" i="9"/>
  <c r="K918" i="9"/>
  <c r="I918" i="9"/>
  <c r="J906" i="9"/>
  <c r="K906" i="9"/>
  <c r="I906" i="9"/>
  <c r="J894" i="9"/>
  <c r="K894" i="9"/>
  <c r="I894" i="9"/>
  <c r="J882" i="9"/>
  <c r="K882" i="9"/>
  <c r="I882" i="9"/>
  <c r="J870" i="9"/>
  <c r="K870" i="9"/>
  <c r="I870" i="9"/>
  <c r="J858" i="9"/>
  <c r="K858" i="9"/>
  <c r="I858" i="9"/>
  <c r="J846" i="9"/>
  <c r="K846" i="9"/>
  <c r="I846" i="9"/>
  <c r="I834" i="9"/>
  <c r="K834" i="9"/>
  <c r="J834" i="9"/>
  <c r="I822" i="9"/>
  <c r="K822" i="9"/>
  <c r="J822" i="9"/>
  <c r="I810" i="9"/>
  <c r="K810" i="9"/>
  <c r="J810" i="9"/>
  <c r="I798" i="9"/>
  <c r="K798" i="9"/>
  <c r="J798" i="9"/>
  <c r="I786" i="9"/>
  <c r="K786" i="9"/>
  <c r="J786" i="9"/>
  <c r="I774" i="9"/>
  <c r="K774" i="9"/>
  <c r="J774" i="9"/>
  <c r="I762" i="9"/>
  <c r="K762" i="9"/>
  <c r="J762" i="9"/>
  <c r="I750" i="9"/>
  <c r="K750" i="9"/>
  <c r="J750" i="9"/>
  <c r="I738" i="9"/>
  <c r="K738" i="9"/>
  <c r="J738" i="9"/>
  <c r="I726" i="9"/>
  <c r="K726" i="9"/>
  <c r="J726" i="9"/>
  <c r="I714" i="9"/>
  <c r="K714" i="9"/>
  <c r="J714" i="9"/>
  <c r="I702" i="9"/>
  <c r="K702" i="9"/>
  <c r="J702" i="9"/>
  <c r="I690" i="9"/>
  <c r="K690" i="9"/>
  <c r="J690" i="9"/>
  <c r="I678" i="9"/>
  <c r="K678" i="9"/>
  <c r="J678" i="9"/>
  <c r="I666" i="9"/>
  <c r="K666" i="9"/>
  <c r="J666" i="9"/>
  <c r="I654" i="9"/>
  <c r="K654" i="9"/>
  <c r="J654" i="9"/>
  <c r="I642" i="9"/>
  <c r="K642" i="9"/>
  <c r="J642" i="9"/>
  <c r="I630" i="9"/>
  <c r="K630" i="9"/>
  <c r="J630" i="9"/>
  <c r="I618" i="9"/>
  <c r="K618" i="9"/>
  <c r="J618" i="9"/>
  <c r="I606" i="9"/>
  <c r="K606" i="9"/>
  <c r="J606" i="9"/>
  <c r="I594" i="9"/>
  <c r="K594" i="9"/>
  <c r="J594" i="9"/>
  <c r="I582" i="9"/>
  <c r="K582" i="9"/>
  <c r="J582" i="9"/>
  <c r="I570" i="9"/>
  <c r="K570" i="9"/>
  <c r="J570" i="9"/>
  <c r="I558" i="9"/>
  <c r="K558" i="9"/>
  <c r="J558" i="9"/>
  <c r="I546" i="9"/>
  <c r="K546" i="9"/>
  <c r="J546" i="9"/>
  <c r="I534" i="9"/>
  <c r="K534" i="9"/>
  <c r="J534" i="9"/>
  <c r="I522" i="9"/>
  <c r="K522" i="9"/>
  <c r="J522" i="9"/>
  <c r="I510" i="9"/>
  <c r="K510" i="9"/>
  <c r="J510" i="9"/>
  <c r="I498" i="9"/>
  <c r="K498" i="9"/>
  <c r="J498" i="9"/>
  <c r="I486" i="9"/>
  <c r="K486" i="9"/>
  <c r="J486" i="9"/>
  <c r="I474" i="9"/>
  <c r="K474" i="9"/>
  <c r="J474" i="9"/>
  <c r="I462" i="9"/>
  <c r="K462" i="9"/>
  <c r="J462" i="9"/>
  <c r="I450" i="9"/>
  <c r="K450" i="9"/>
  <c r="J450" i="9"/>
  <c r="I438" i="9"/>
  <c r="K438" i="9"/>
  <c r="J438" i="9"/>
  <c r="I426" i="9"/>
  <c r="K426" i="9"/>
  <c r="J426" i="9"/>
  <c r="I414" i="9"/>
  <c r="K414" i="9"/>
  <c r="J414" i="9"/>
  <c r="I402" i="9"/>
  <c r="K402" i="9"/>
  <c r="J402" i="9"/>
  <c r="I378" i="9"/>
  <c r="K378" i="9"/>
  <c r="J378" i="9"/>
  <c r="I366" i="9"/>
  <c r="K366" i="9"/>
  <c r="J366" i="9"/>
  <c r="I354" i="9"/>
  <c r="K354" i="9"/>
  <c r="J354" i="9"/>
  <c r="K298" i="9"/>
  <c r="J298" i="9"/>
  <c r="I298" i="9"/>
  <c r="K274" i="9"/>
  <c r="J274" i="9"/>
  <c r="I274" i="9"/>
  <c r="K250" i="9"/>
  <c r="J250" i="9"/>
  <c r="I250" i="9"/>
  <c r="I222" i="9"/>
  <c r="K222" i="9"/>
  <c r="J222" i="9"/>
  <c r="I198" i="9"/>
  <c r="K198" i="9"/>
  <c r="J198" i="9"/>
  <c r="K178" i="9"/>
  <c r="J178" i="9"/>
  <c r="I178" i="9"/>
  <c r="K154" i="9"/>
  <c r="J154" i="9"/>
  <c r="I154" i="9"/>
  <c r="K130" i="9"/>
  <c r="J130" i="9"/>
  <c r="I130" i="9"/>
  <c r="K106" i="9"/>
  <c r="J106" i="9"/>
  <c r="I106" i="9"/>
  <c r="K58" i="9"/>
  <c r="J58" i="9"/>
  <c r="I58" i="9"/>
  <c r="K34" i="9"/>
  <c r="J34" i="9"/>
  <c r="I34" i="9"/>
  <c r="K10" i="9"/>
  <c r="J10" i="9"/>
  <c r="I10" i="9"/>
  <c r="I5105" i="9"/>
  <c r="K5105" i="9"/>
  <c r="J5105" i="9"/>
  <c r="K4961" i="9"/>
  <c r="J4961" i="9"/>
  <c r="I4961" i="9"/>
  <c r="K4092" i="9"/>
  <c r="J4092" i="9"/>
  <c r="I4092" i="9"/>
  <c r="H3939" i="9"/>
  <c r="G3939" i="9"/>
  <c r="F3939" i="9"/>
  <c r="J3807" i="9"/>
  <c r="I3807" i="9"/>
  <c r="K3807" i="9"/>
  <c r="J3735" i="9"/>
  <c r="I3735" i="9"/>
  <c r="K3735" i="9"/>
  <c r="J3711" i="9"/>
  <c r="K3711" i="9"/>
  <c r="I3711" i="9"/>
  <c r="J3687" i="9"/>
  <c r="K3687" i="9"/>
  <c r="I3687" i="9"/>
  <c r="K3663" i="9"/>
  <c r="J3663" i="9"/>
  <c r="I3663" i="9"/>
  <c r="K3639" i="9"/>
  <c r="J3639" i="9"/>
  <c r="I3639" i="9"/>
  <c r="J3351" i="9"/>
  <c r="K3351" i="9"/>
  <c r="I3351" i="9"/>
  <c r="J3327" i="9"/>
  <c r="K3327" i="9"/>
  <c r="I3327" i="9"/>
  <c r="J3303" i="9"/>
  <c r="K3303" i="9"/>
  <c r="I3303" i="9"/>
  <c r="J3279" i="9"/>
  <c r="K3279" i="9"/>
  <c r="I3279" i="9"/>
  <c r="J3255" i="9"/>
  <c r="K3255" i="9"/>
  <c r="I3255" i="9"/>
  <c r="J3231" i="9"/>
  <c r="I3231" i="9"/>
  <c r="K3231" i="9"/>
  <c r="K3207" i="9"/>
  <c r="J3207" i="9"/>
  <c r="I3207" i="9"/>
  <c r="K3183" i="9"/>
  <c r="J3183" i="9"/>
  <c r="I3183" i="9"/>
  <c r="K3159" i="9"/>
  <c r="J3159" i="9"/>
  <c r="I3159" i="9"/>
  <c r="K3135" i="9"/>
  <c r="J3135" i="9"/>
  <c r="I3135" i="9"/>
  <c r="K3111" i="9"/>
  <c r="J3111" i="9"/>
  <c r="I3111" i="9"/>
  <c r="K3087" i="9"/>
  <c r="J3087" i="9"/>
  <c r="I3087" i="9"/>
  <c r="K3063" i="9"/>
  <c r="J3063" i="9"/>
  <c r="I3063" i="9"/>
  <c r="K3039" i="9"/>
  <c r="J3039" i="9"/>
  <c r="I3039" i="9"/>
  <c r="K3015" i="9"/>
  <c r="J3015" i="9"/>
  <c r="I3015" i="9"/>
  <c r="K2991" i="9"/>
  <c r="J2991" i="9"/>
  <c r="I2991" i="9"/>
  <c r="K2967" i="9"/>
  <c r="J2967" i="9"/>
  <c r="I2967" i="9"/>
  <c r="K2943" i="9"/>
  <c r="J2943" i="9"/>
  <c r="I2943" i="9"/>
  <c r="K2919" i="9"/>
  <c r="J2919" i="9"/>
  <c r="I2919" i="9"/>
  <c r="K2895" i="9"/>
  <c r="J2895" i="9"/>
  <c r="I2895" i="9"/>
  <c r="K2871" i="9"/>
  <c r="J2871" i="9"/>
  <c r="I2871" i="9"/>
  <c r="K2847" i="9"/>
  <c r="J2847" i="9"/>
  <c r="I2847" i="9"/>
  <c r="K2823" i="9"/>
  <c r="J2823" i="9"/>
  <c r="I2823" i="9"/>
  <c r="K2799" i="9"/>
  <c r="J2799" i="9"/>
  <c r="I2799" i="9"/>
  <c r="J2463" i="9"/>
  <c r="I2463" i="9"/>
  <c r="K2463" i="9"/>
  <c r="J2439" i="9"/>
  <c r="I2439" i="9"/>
  <c r="K2439" i="9"/>
  <c r="J2415" i="9"/>
  <c r="I2415" i="9"/>
  <c r="K2415" i="9"/>
  <c r="J2391" i="9"/>
  <c r="I2391" i="9"/>
  <c r="K2391" i="9"/>
  <c r="J2367" i="9"/>
  <c r="I2367" i="9"/>
  <c r="K2367" i="9"/>
  <c r="J2343" i="9"/>
  <c r="I2343" i="9"/>
  <c r="K2343" i="9"/>
  <c r="J2319" i="9"/>
  <c r="I2319" i="9"/>
  <c r="K2319" i="9"/>
  <c r="J2295" i="9"/>
  <c r="I2295" i="9"/>
  <c r="K2295" i="9"/>
  <c r="J2271" i="9"/>
  <c r="I2271" i="9"/>
  <c r="K2271" i="9"/>
  <c r="J2247" i="9"/>
  <c r="I2247" i="9"/>
  <c r="K2247" i="9"/>
  <c r="J2223" i="9"/>
  <c r="I2223" i="9"/>
  <c r="K2223" i="9"/>
  <c r="J2199" i="9"/>
  <c r="I2199" i="9"/>
  <c r="K2199" i="9"/>
  <c r="J2175" i="9"/>
  <c r="I2175" i="9"/>
  <c r="K2175" i="9"/>
  <c r="J2151" i="9"/>
  <c r="I2151" i="9"/>
  <c r="K2151" i="9"/>
  <c r="J2127" i="9"/>
  <c r="I2127" i="9"/>
  <c r="K2127" i="9"/>
  <c r="J2103" i="9"/>
  <c r="I2103" i="9"/>
  <c r="K2103" i="9"/>
  <c r="J2079" i="9"/>
  <c r="I2079" i="9"/>
  <c r="K2079" i="9"/>
  <c r="J2055" i="9"/>
  <c r="I2055" i="9"/>
  <c r="K2055" i="9"/>
  <c r="F1953" i="9"/>
  <c r="H1953" i="9"/>
  <c r="G1953" i="9"/>
  <c r="G1809" i="9"/>
  <c r="F1809" i="9"/>
  <c r="H1809" i="9"/>
  <c r="K1774" i="9"/>
  <c r="I1774" i="9"/>
  <c r="J1774" i="9"/>
  <c r="K1739" i="9"/>
  <c r="J1739" i="9"/>
  <c r="I1739" i="9"/>
  <c r="F1704" i="9"/>
  <c r="H1704" i="9"/>
  <c r="G1704" i="9"/>
  <c r="I1665" i="9"/>
  <c r="K1665" i="9"/>
  <c r="J1665" i="9"/>
  <c r="K1630" i="9"/>
  <c r="J1630" i="9"/>
  <c r="I1630" i="9"/>
  <c r="K1595" i="9"/>
  <c r="J1595" i="9"/>
  <c r="I1595" i="9"/>
  <c r="F1560" i="9"/>
  <c r="H1560" i="9"/>
  <c r="G1560" i="9"/>
  <c r="G4721" i="9"/>
  <c r="F4721" i="9"/>
  <c r="H4721" i="9"/>
  <c r="J4610" i="9"/>
  <c r="I4610" i="9"/>
  <c r="K4610" i="9"/>
  <c r="K4529" i="9"/>
  <c r="I4529" i="9"/>
  <c r="J4529" i="9"/>
  <c r="K4418" i="9"/>
  <c r="I4418" i="9"/>
  <c r="J4418" i="9"/>
  <c r="H4337" i="9"/>
  <c r="F4337" i="9"/>
  <c r="G4337" i="9"/>
  <c r="K4226" i="9"/>
  <c r="I4226" i="9"/>
  <c r="J4226" i="9"/>
  <c r="K4070" i="9"/>
  <c r="J4070" i="9"/>
  <c r="I4070" i="9"/>
  <c r="I3902" i="9"/>
  <c r="K3902" i="9"/>
  <c r="J3902" i="9"/>
  <c r="I3866" i="9"/>
  <c r="K3866" i="9"/>
  <c r="J3866" i="9"/>
  <c r="K3846" i="9"/>
  <c r="J3846" i="9"/>
  <c r="I3846" i="9"/>
  <c r="H3739" i="9"/>
  <c r="F3739" i="9"/>
  <c r="G3739" i="9"/>
  <c r="K3610" i="9"/>
  <c r="J3610" i="9"/>
  <c r="I3610" i="9"/>
  <c r="K3538" i="9"/>
  <c r="J3538" i="9"/>
  <c r="I3538" i="9"/>
  <c r="K3466" i="9"/>
  <c r="J3466" i="9"/>
  <c r="I3466" i="9"/>
  <c r="K3394" i="9"/>
  <c r="J3394" i="9"/>
  <c r="I3394" i="9"/>
  <c r="K2746" i="9"/>
  <c r="J2746" i="9"/>
  <c r="I2746" i="9"/>
  <c r="J2674" i="9"/>
  <c r="I2674" i="9"/>
  <c r="K2674" i="9"/>
  <c r="K2602" i="9"/>
  <c r="J2602" i="9"/>
  <c r="I2602" i="9"/>
  <c r="K2530" i="9"/>
  <c r="J2530" i="9"/>
  <c r="I2530" i="9"/>
  <c r="J2031" i="9"/>
  <c r="I2031" i="9"/>
  <c r="K2031" i="9"/>
  <c r="I1996" i="9"/>
  <c r="K1996" i="9"/>
  <c r="J1996" i="9"/>
  <c r="K1922" i="9"/>
  <c r="J1922" i="9"/>
  <c r="I1922" i="9"/>
  <c r="J1887" i="9"/>
  <c r="I1887" i="9"/>
  <c r="K1887" i="9"/>
  <c r="I1852" i="9"/>
  <c r="K1852" i="9"/>
  <c r="J1852" i="9"/>
  <c r="I953" i="9"/>
  <c r="K953" i="9"/>
  <c r="J953" i="9"/>
  <c r="K933" i="9"/>
  <c r="J933" i="9"/>
  <c r="I933" i="9"/>
  <c r="K921" i="9"/>
  <c r="J921" i="9"/>
  <c r="I921" i="9"/>
  <c r="K909" i="9"/>
  <c r="J909" i="9"/>
  <c r="I909" i="9"/>
  <c r="K897" i="9"/>
  <c r="J897" i="9"/>
  <c r="I897" i="9"/>
  <c r="I869" i="9"/>
  <c r="K869" i="9"/>
  <c r="J869" i="9"/>
  <c r="I845" i="9"/>
  <c r="K845" i="9"/>
  <c r="J845" i="9"/>
  <c r="J809" i="9"/>
  <c r="I809" i="9"/>
  <c r="K809" i="9"/>
  <c r="F789" i="9"/>
  <c r="H789" i="9"/>
  <c r="G789" i="9"/>
  <c r="H725" i="9"/>
  <c r="G725" i="9"/>
  <c r="F725" i="9"/>
  <c r="H653" i="9"/>
  <c r="G653" i="9"/>
  <c r="F653" i="9"/>
  <c r="F633" i="9"/>
  <c r="H633" i="9"/>
  <c r="G633" i="9"/>
  <c r="F609" i="9"/>
  <c r="H609" i="9"/>
  <c r="G609" i="9"/>
  <c r="F585" i="9"/>
  <c r="H585" i="9"/>
  <c r="G585" i="9"/>
  <c r="H569" i="9"/>
  <c r="G569" i="9"/>
  <c r="F569" i="9"/>
  <c r="F513" i="9"/>
  <c r="H513" i="9"/>
  <c r="G513" i="9"/>
  <c r="H497" i="9"/>
  <c r="G497" i="9"/>
  <c r="F497" i="9"/>
  <c r="F453" i="9"/>
  <c r="H453" i="9"/>
  <c r="G453" i="9"/>
  <c r="F441" i="9"/>
  <c r="H441" i="9"/>
  <c r="G441" i="9"/>
  <c r="F429" i="9"/>
  <c r="H429" i="9"/>
  <c r="G429" i="9"/>
  <c r="F417" i="9"/>
  <c r="H417" i="9"/>
  <c r="G417" i="9"/>
  <c r="F405" i="9"/>
  <c r="H405" i="9"/>
  <c r="G405" i="9"/>
  <c r="F393" i="9"/>
  <c r="H393" i="9"/>
  <c r="G393" i="9"/>
  <c r="K369" i="9"/>
  <c r="J369" i="9"/>
  <c r="I369" i="9"/>
  <c r="J341" i="9"/>
  <c r="I341" i="9"/>
  <c r="K341" i="9"/>
  <c r="J269" i="9"/>
  <c r="I269" i="9"/>
  <c r="K269" i="9"/>
  <c r="K249" i="9"/>
  <c r="J249" i="9"/>
  <c r="I249" i="9"/>
  <c r="J209" i="9"/>
  <c r="I209" i="9"/>
  <c r="K209" i="9"/>
  <c r="J185" i="9"/>
  <c r="I185" i="9"/>
  <c r="K185" i="9"/>
  <c r="J161" i="9"/>
  <c r="I161" i="9"/>
  <c r="K161" i="9"/>
  <c r="J137" i="9"/>
  <c r="I137" i="9"/>
  <c r="K137" i="9"/>
  <c r="K93" i="9"/>
  <c r="J93" i="9"/>
  <c r="I93" i="9"/>
  <c r="J77" i="9"/>
  <c r="I77" i="9"/>
  <c r="K77" i="9"/>
  <c r="K57" i="9"/>
  <c r="J57" i="9"/>
  <c r="I57" i="9"/>
  <c r="J17" i="9"/>
  <c r="I17" i="9"/>
  <c r="K17" i="9"/>
  <c r="J4662" i="9"/>
  <c r="I4662" i="9"/>
  <c r="K4662" i="9"/>
  <c r="J4540" i="9"/>
  <c r="I4540" i="9"/>
  <c r="K4540" i="9"/>
  <c r="J4470" i="9"/>
  <c r="I4470" i="9"/>
  <c r="K4470" i="9"/>
  <c r="K4348" i="9"/>
  <c r="J4348" i="9"/>
  <c r="I4348" i="9"/>
  <c r="K4140" i="9"/>
  <c r="J4140" i="9"/>
  <c r="I4140" i="9"/>
  <c r="I3806" i="9"/>
  <c r="K3806" i="9"/>
  <c r="J3806" i="9"/>
  <c r="J3781" i="9"/>
  <c r="I3781" i="9"/>
  <c r="K3781" i="9"/>
  <c r="K3748" i="9"/>
  <c r="I3748" i="9"/>
  <c r="J3748" i="9"/>
  <c r="K3720" i="9"/>
  <c r="J3720" i="9"/>
  <c r="I3720" i="9"/>
  <c r="K3696" i="9"/>
  <c r="J3696" i="9"/>
  <c r="I3696" i="9"/>
  <c r="K3672" i="9"/>
  <c r="J3672" i="9"/>
  <c r="I3672" i="9"/>
  <c r="K3648" i="9"/>
  <c r="J3648" i="9"/>
  <c r="I3648" i="9"/>
  <c r="J3624" i="9"/>
  <c r="K3624" i="9"/>
  <c r="I3624" i="9"/>
  <c r="K3600" i="9"/>
  <c r="J3600" i="9"/>
  <c r="I3600" i="9"/>
  <c r="K3576" i="9"/>
  <c r="J3576" i="9"/>
  <c r="I3576" i="9"/>
  <c r="K3552" i="9"/>
  <c r="J3552" i="9"/>
  <c r="I3552" i="9"/>
  <c r="K3528" i="9"/>
  <c r="J3528" i="9"/>
  <c r="I3528" i="9"/>
  <c r="K3504" i="9"/>
  <c r="J3504" i="9"/>
  <c r="I3504" i="9"/>
  <c r="K3480" i="9"/>
  <c r="J3480" i="9"/>
  <c r="I3480" i="9"/>
  <c r="K3456" i="9"/>
  <c r="J3456" i="9"/>
  <c r="I3456" i="9"/>
  <c r="K3432" i="9"/>
  <c r="J3432" i="9"/>
  <c r="I3432" i="9"/>
  <c r="K3408" i="9"/>
  <c r="J3408" i="9"/>
  <c r="I3408" i="9"/>
  <c r="K3384" i="9"/>
  <c r="J3384" i="9"/>
  <c r="I3384" i="9"/>
  <c r="H3360" i="9"/>
  <c r="G3360" i="9"/>
  <c r="F3360" i="9"/>
  <c r="K3336" i="9"/>
  <c r="J3336" i="9"/>
  <c r="I3336" i="9"/>
  <c r="K3312" i="9"/>
  <c r="J3312" i="9"/>
  <c r="I3312" i="9"/>
  <c r="K3288" i="9"/>
  <c r="J3288" i="9"/>
  <c r="I3288" i="9"/>
  <c r="K3264" i="9"/>
  <c r="J3264" i="9"/>
  <c r="I3264" i="9"/>
  <c r="K3240" i="9"/>
  <c r="J3240" i="9"/>
  <c r="I3240" i="9"/>
  <c r="K3216" i="9"/>
  <c r="J3216" i="9"/>
  <c r="I3216" i="9"/>
  <c r="K3192" i="9"/>
  <c r="J3192" i="9"/>
  <c r="I3192" i="9"/>
  <c r="K3168" i="9"/>
  <c r="J3168" i="9"/>
  <c r="I3168" i="9"/>
  <c r="K3144" i="9"/>
  <c r="J3144" i="9"/>
  <c r="I3144" i="9"/>
  <c r="K3120" i="9"/>
  <c r="J3120" i="9"/>
  <c r="I3120" i="9"/>
  <c r="K3096" i="9"/>
  <c r="J3096" i="9"/>
  <c r="I3096" i="9"/>
  <c r="K3072" i="9"/>
  <c r="J3072" i="9"/>
  <c r="I3072" i="9"/>
  <c r="K3048" i="9"/>
  <c r="J3048" i="9"/>
  <c r="I3048" i="9"/>
  <c r="H3024" i="9"/>
  <c r="G3024" i="9"/>
  <c r="F3024" i="9"/>
  <c r="H3000" i="9"/>
  <c r="G3000" i="9"/>
  <c r="F3000" i="9"/>
  <c r="H2976" i="9"/>
  <c r="G2976" i="9"/>
  <c r="F2976" i="9"/>
  <c r="H2952" i="9"/>
  <c r="G2952" i="9"/>
  <c r="F2952" i="9"/>
  <c r="H2928" i="9"/>
  <c r="G2928" i="9"/>
  <c r="F2928" i="9"/>
  <c r="H2904" i="9"/>
  <c r="G2904" i="9"/>
  <c r="F2904" i="9"/>
  <c r="H2880" i="9"/>
  <c r="G2880" i="9"/>
  <c r="F2880" i="9"/>
  <c r="H2856" i="9"/>
  <c r="G2856" i="9"/>
  <c r="F2856" i="9"/>
  <c r="H2832" i="9"/>
  <c r="G2832" i="9"/>
  <c r="F2832" i="9"/>
  <c r="H2808" i="9"/>
  <c r="G2808" i="9"/>
  <c r="F2808" i="9"/>
  <c r="K2784" i="9"/>
  <c r="J2784" i="9"/>
  <c r="I2784" i="9"/>
  <c r="K2760" i="9"/>
  <c r="J2760" i="9"/>
  <c r="I2760" i="9"/>
  <c r="K2736" i="9"/>
  <c r="J2736" i="9"/>
  <c r="I2736" i="9"/>
  <c r="K2712" i="9"/>
  <c r="J2712" i="9"/>
  <c r="I2712" i="9"/>
  <c r="K2688" i="9"/>
  <c r="J2688" i="9"/>
  <c r="I2688" i="9"/>
  <c r="K2664" i="9"/>
  <c r="J2664" i="9"/>
  <c r="I2664" i="9"/>
  <c r="K2640" i="9"/>
  <c r="J2640" i="9"/>
  <c r="I2640" i="9"/>
  <c r="K2616" i="9"/>
  <c r="J2616" i="9"/>
  <c r="I2616" i="9"/>
  <c r="K2592" i="9"/>
  <c r="J2592" i="9"/>
  <c r="I2592" i="9"/>
  <c r="K2568" i="9"/>
  <c r="J2568" i="9"/>
  <c r="I2568" i="9"/>
  <c r="K2544" i="9"/>
  <c r="J2544" i="9"/>
  <c r="I2544" i="9"/>
  <c r="K2520" i="9"/>
  <c r="J2520" i="9"/>
  <c r="I2520" i="9"/>
  <c r="H2009" i="9"/>
  <c r="G2009" i="9"/>
  <c r="F2009" i="9"/>
  <c r="I1974" i="9"/>
  <c r="K1974" i="9"/>
  <c r="J1974" i="9"/>
  <c r="K1939" i="9"/>
  <c r="J1939" i="9"/>
  <c r="I1939" i="9"/>
  <c r="K1904" i="9"/>
  <c r="J1904" i="9"/>
  <c r="I1904" i="9"/>
  <c r="H1865" i="9"/>
  <c r="G1865" i="9"/>
  <c r="F1865" i="9"/>
  <c r="K1830" i="9"/>
  <c r="J1830" i="9"/>
  <c r="I1830" i="9"/>
  <c r="J1795" i="9"/>
  <c r="I1795" i="9"/>
  <c r="K1795" i="9"/>
  <c r="J1760" i="9"/>
  <c r="I1760" i="9"/>
  <c r="K1760" i="9"/>
  <c r="K1721" i="9"/>
  <c r="J1721" i="9"/>
  <c r="I1721" i="9"/>
  <c r="J1686" i="9"/>
  <c r="I1686" i="9"/>
  <c r="K1686" i="9"/>
  <c r="I1651" i="9"/>
  <c r="K1651" i="9"/>
  <c r="J1651" i="9"/>
  <c r="J1616" i="9"/>
  <c r="I1616" i="9"/>
  <c r="K1616" i="9"/>
  <c r="K1577" i="9"/>
  <c r="J1577" i="9"/>
  <c r="I1577" i="9"/>
  <c r="J1542" i="9"/>
  <c r="K1542" i="9"/>
  <c r="I1542" i="9"/>
  <c r="I1521" i="9"/>
  <c r="J1521" i="9"/>
  <c r="K1521" i="9"/>
  <c r="I1509" i="9"/>
  <c r="K1509" i="9"/>
  <c r="J1509" i="9"/>
  <c r="I1497" i="9"/>
  <c r="K1497" i="9"/>
  <c r="J1497" i="9"/>
  <c r="I1485" i="9"/>
  <c r="K1485" i="9"/>
  <c r="J1485" i="9"/>
  <c r="I1473" i="9"/>
  <c r="J1473" i="9"/>
  <c r="K1473" i="9"/>
  <c r="I1461" i="9"/>
  <c r="K1461" i="9"/>
  <c r="J1461" i="9"/>
  <c r="I1449" i="9"/>
  <c r="K1449" i="9"/>
  <c r="J1449" i="9"/>
  <c r="I1437" i="9"/>
  <c r="J1437" i="9"/>
  <c r="K1437" i="9"/>
  <c r="I1425" i="9"/>
  <c r="J1425" i="9"/>
  <c r="K1425" i="9"/>
  <c r="I1413" i="9"/>
  <c r="K1413" i="9"/>
  <c r="J1413" i="9"/>
  <c r="I1401" i="9"/>
  <c r="K1401" i="9"/>
  <c r="J1401" i="9"/>
  <c r="I1389" i="9"/>
  <c r="K1389" i="9"/>
  <c r="J1389" i="9"/>
  <c r="I1377" i="9"/>
  <c r="K1377" i="9"/>
  <c r="J1377" i="9"/>
  <c r="I1365" i="9"/>
  <c r="K1365" i="9"/>
  <c r="J1365" i="9"/>
  <c r="I1353" i="9"/>
  <c r="K1353" i="9"/>
  <c r="J1353" i="9"/>
  <c r="K1341" i="9"/>
  <c r="J1341" i="9"/>
  <c r="I1341" i="9"/>
  <c r="K1329" i="9"/>
  <c r="J1329" i="9"/>
  <c r="I1329" i="9"/>
  <c r="K1317" i="9"/>
  <c r="J1317" i="9"/>
  <c r="I1317" i="9"/>
  <c r="K1305" i="9"/>
  <c r="J1305" i="9"/>
  <c r="I1305" i="9"/>
  <c r="K1293" i="9"/>
  <c r="J1293" i="9"/>
  <c r="I1293" i="9"/>
  <c r="K1281" i="9"/>
  <c r="J1281" i="9"/>
  <c r="I1281" i="9"/>
  <c r="K1269" i="9"/>
  <c r="J1269" i="9"/>
  <c r="I1269" i="9"/>
  <c r="K1257" i="9"/>
  <c r="J1257" i="9"/>
  <c r="I1257" i="9"/>
  <c r="K1245" i="9"/>
  <c r="J1245" i="9"/>
  <c r="I1245" i="9"/>
  <c r="K1233" i="9"/>
  <c r="J1233" i="9"/>
  <c r="I1233" i="9"/>
  <c r="K1221" i="9"/>
  <c r="J1221" i="9"/>
  <c r="I1221" i="9"/>
  <c r="K1209" i="9"/>
  <c r="J1209" i="9"/>
  <c r="I1209" i="9"/>
  <c r="K1197" i="9"/>
  <c r="J1197" i="9"/>
  <c r="I1197" i="9"/>
  <c r="K1185" i="9"/>
  <c r="J1185" i="9"/>
  <c r="I1185" i="9"/>
  <c r="K1173" i="9"/>
  <c r="J1173" i="9"/>
  <c r="I1173" i="9"/>
  <c r="K1161" i="9"/>
  <c r="J1161" i="9"/>
  <c r="I1161" i="9"/>
  <c r="K1149" i="9"/>
  <c r="J1149" i="9"/>
  <c r="I1149" i="9"/>
  <c r="K1137" i="9"/>
  <c r="J1137" i="9"/>
  <c r="I1137" i="9"/>
  <c r="K1125" i="9"/>
  <c r="J1125" i="9"/>
  <c r="I1125" i="9"/>
  <c r="K1113" i="9"/>
  <c r="J1113" i="9"/>
  <c r="I1113" i="9"/>
  <c r="K1101" i="9"/>
  <c r="J1101" i="9"/>
  <c r="I1101" i="9"/>
  <c r="K1089" i="9"/>
  <c r="J1089" i="9"/>
  <c r="I1089" i="9"/>
  <c r="K1077" i="9"/>
  <c r="J1077" i="9"/>
  <c r="I1077" i="9"/>
  <c r="K1065" i="9"/>
  <c r="J1065" i="9"/>
  <c r="I1065" i="9"/>
  <c r="K1053" i="9"/>
  <c r="J1053" i="9"/>
  <c r="I1053" i="9"/>
  <c r="K1041" i="9"/>
  <c r="J1041" i="9"/>
  <c r="I1041" i="9"/>
  <c r="K1029" i="9"/>
  <c r="J1029" i="9"/>
  <c r="I1029" i="9"/>
  <c r="K1017" i="9"/>
  <c r="J1017" i="9"/>
  <c r="I1017" i="9"/>
  <c r="K1005" i="9"/>
  <c r="J1005" i="9"/>
  <c r="I1005" i="9"/>
  <c r="K993" i="9"/>
  <c r="J993" i="9"/>
  <c r="I993" i="9"/>
  <c r="K981" i="9"/>
  <c r="J981" i="9"/>
  <c r="I981" i="9"/>
  <c r="K969" i="9"/>
  <c r="J969" i="9"/>
  <c r="I969" i="9"/>
  <c r="K957" i="9"/>
  <c r="J957" i="9"/>
  <c r="I957" i="9"/>
  <c r="I893" i="9"/>
  <c r="K893" i="9"/>
  <c r="J893" i="9"/>
  <c r="K873" i="9"/>
  <c r="J873" i="9"/>
  <c r="I873" i="9"/>
  <c r="K849" i="9"/>
  <c r="J849" i="9"/>
  <c r="I849" i="9"/>
  <c r="F825" i="9"/>
  <c r="H825" i="9"/>
  <c r="G825" i="9"/>
  <c r="F813" i="9"/>
  <c r="H813" i="9"/>
  <c r="G813" i="9"/>
  <c r="F777" i="9"/>
  <c r="H777" i="9"/>
  <c r="G777" i="9"/>
  <c r="F729" i="9"/>
  <c r="H729" i="9"/>
  <c r="G729" i="9"/>
  <c r="H629" i="9"/>
  <c r="G629" i="9"/>
  <c r="F629" i="9"/>
  <c r="F573" i="9"/>
  <c r="H573" i="9"/>
  <c r="G573" i="9"/>
  <c r="H533" i="9"/>
  <c r="G533" i="9"/>
  <c r="F533" i="9"/>
  <c r="H485" i="9"/>
  <c r="G485" i="9"/>
  <c r="F485" i="9"/>
  <c r="H473" i="9"/>
  <c r="G473" i="9"/>
  <c r="F473" i="9"/>
  <c r="J365" i="9"/>
  <c r="I365" i="9"/>
  <c r="K365" i="9"/>
  <c r="K345" i="9"/>
  <c r="J345" i="9"/>
  <c r="I345" i="9"/>
  <c r="K321" i="9"/>
  <c r="J321" i="9"/>
  <c r="I321" i="9"/>
  <c r="K297" i="9"/>
  <c r="J297" i="9"/>
  <c r="I297" i="9"/>
  <c r="K273" i="9"/>
  <c r="J273" i="9"/>
  <c r="I273" i="9"/>
  <c r="J245" i="9"/>
  <c r="I245" i="9"/>
  <c r="K245" i="9"/>
  <c r="K213" i="9"/>
  <c r="J213" i="9"/>
  <c r="I213" i="9"/>
  <c r="K141" i="9"/>
  <c r="J141" i="9"/>
  <c r="I141" i="9"/>
  <c r="J53" i="9"/>
  <c r="I53" i="9"/>
  <c r="K53" i="9"/>
  <c r="K21" i="9"/>
  <c r="J21" i="9"/>
  <c r="I21" i="9"/>
  <c r="K4112" i="9"/>
  <c r="J4112" i="9"/>
  <c r="I4112" i="9"/>
  <c r="K4016" i="9"/>
  <c r="J4016" i="9"/>
  <c r="I4016" i="9"/>
  <c r="K3948" i="9"/>
  <c r="J3948" i="9"/>
  <c r="I3948" i="9"/>
  <c r="J3891" i="9"/>
  <c r="I3891" i="9"/>
  <c r="K3891" i="9"/>
  <c r="J3771" i="9"/>
  <c r="I3771" i="9"/>
  <c r="K3771" i="9"/>
  <c r="I3686" i="9"/>
  <c r="K3686" i="9"/>
  <c r="J3686" i="9"/>
  <c r="H3614" i="9"/>
  <c r="G3614" i="9"/>
  <c r="F3614" i="9"/>
  <c r="H3542" i="9"/>
  <c r="G3542" i="9"/>
  <c r="F3542" i="9"/>
  <c r="H3470" i="9"/>
  <c r="G3470" i="9"/>
  <c r="F3470" i="9"/>
  <c r="H3398" i="9"/>
  <c r="G3398" i="9"/>
  <c r="F3398" i="9"/>
  <c r="I3326" i="9"/>
  <c r="K3326" i="9"/>
  <c r="J3326" i="9"/>
  <c r="I3254" i="9"/>
  <c r="K3254" i="9"/>
  <c r="J3254" i="9"/>
  <c r="H2750" i="9"/>
  <c r="G2750" i="9"/>
  <c r="F2750" i="9"/>
  <c r="H2678" i="9"/>
  <c r="F2678" i="9"/>
  <c r="G2678" i="9"/>
  <c r="H2606" i="9"/>
  <c r="G2606" i="9"/>
  <c r="F2606" i="9"/>
  <c r="H2534" i="9"/>
  <c r="F2534" i="9"/>
  <c r="G2534" i="9"/>
  <c r="K2462" i="9"/>
  <c r="J2462" i="9"/>
  <c r="I2462" i="9"/>
  <c r="K2390" i="9"/>
  <c r="J2390" i="9"/>
  <c r="I2390" i="9"/>
  <c r="K2318" i="9"/>
  <c r="J2318" i="9"/>
  <c r="I2318" i="9"/>
  <c r="K2246" i="9"/>
  <c r="J2246" i="9"/>
  <c r="I2246" i="9"/>
  <c r="K2174" i="9"/>
  <c r="J2174" i="9"/>
  <c r="I2174" i="9"/>
  <c r="K2102" i="9"/>
  <c r="J2102" i="9"/>
  <c r="I2102" i="9"/>
  <c r="F1917" i="9"/>
  <c r="H1917" i="9"/>
  <c r="G1917" i="9"/>
  <c r="I1773" i="9"/>
  <c r="K1773" i="9"/>
  <c r="J1773" i="9"/>
  <c r="K1738" i="9"/>
  <c r="J1738" i="9"/>
  <c r="I1738" i="9"/>
  <c r="K1703" i="9"/>
  <c r="J1703" i="9"/>
  <c r="I1703" i="9"/>
  <c r="F1668" i="9"/>
  <c r="H1668" i="9"/>
  <c r="G1668" i="9"/>
  <c r="I1629" i="9"/>
  <c r="K1629" i="9"/>
  <c r="J1629" i="9"/>
  <c r="K1594" i="9"/>
  <c r="J1594" i="9"/>
  <c r="I1594" i="9"/>
  <c r="K1559" i="9"/>
  <c r="J1559" i="9"/>
  <c r="I1559" i="9"/>
  <c r="K5974" i="9"/>
  <c r="J5974" i="9"/>
  <c r="I5974" i="9"/>
  <c r="H5938" i="9"/>
  <c r="G5938" i="9"/>
  <c r="F5938" i="9"/>
  <c r="K5884" i="9"/>
  <c r="J5884" i="9"/>
  <c r="I5884" i="9"/>
  <c r="K5866" i="9"/>
  <c r="J5866" i="9"/>
  <c r="I5866" i="9"/>
  <c r="K5830" i="9"/>
  <c r="J5830" i="9"/>
  <c r="I5830" i="9"/>
  <c r="K5794" i="9"/>
  <c r="J5794" i="9"/>
  <c r="I5794" i="9"/>
  <c r="H5740" i="9"/>
  <c r="G5740" i="9"/>
  <c r="F5740" i="9"/>
  <c r="H5704" i="9"/>
  <c r="G5704" i="9"/>
  <c r="F5704" i="9"/>
  <c r="H5623" i="9"/>
  <c r="G5623" i="9"/>
  <c r="F5623" i="9"/>
  <c r="H5575" i="9"/>
  <c r="G5575" i="9"/>
  <c r="F5575" i="9"/>
  <c r="H5383" i="9"/>
  <c r="G5383" i="9"/>
  <c r="F5383" i="9"/>
  <c r="K4807" i="9"/>
  <c r="J4807" i="9"/>
  <c r="I4807" i="9"/>
  <c r="K4759" i="9"/>
  <c r="J4759" i="9"/>
  <c r="I4759" i="9"/>
  <c r="K4423" i="9"/>
  <c r="J4423" i="9"/>
  <c r="I4423" i="9"/>
  <c r="K4375" i="9"/>
  <c r="J4375" i="9"/>
  <c r="I4375" i="9"/>
  <c r="K4327" i="9"/>
  <c r="J4327" i="9"/>
  <c r="I4327" i="9"/>
  <c r="K4279" i="9"/>
  <c r="J4279" i="9"/>
  <c r="I4279" i="9"/>
  <c r="K4231" i="9"/>
  <c r="J4231" i="9"/>
  <c r="I4231" i="9"/>
  <c r="K4179" i="9"/>
  <c r="J4179" i="9"/>
  <c r="I4179" i="9"/>
  <c r="H4796" i="9"/>
  <c r="G4796" i="9"/>
  <c r="F4796" i="9"/>
  <c r="H4748" i="9"/>
  <c r="G4748" i="9"/>
  <c r="F4748" i="9"/>
  <c r="F6597" i="9"/>
  <c r="H6597" i="9"/>
  <c r="G6597" i="9"/>
  <c r="H6561" i="9"/>
  <c r="G6561" i="9"/>
  <c r="F6561" i="9"/>
  <c r="H6333" i="9"/>
  <c r="G6333" i="9"/>
  <c r="F6333" i="9"/>
  <c r="H6297" i="9"/>
  <c r="F6297" i="9"/>
  <c r="G6297" i="9"/>
  <c r="K6153" i="9"/>
  <c r="J6153" i="9"/>
  <c r="I6153" i="9"/>
  <c r="H5973" i="9"/>
  <c r="G5973" i="9"/>
  <c r="F5973" i="9"/>
  <c r="H5937" i="9"/>
  <c r="G5937" i="9"/>
  <c r="F5937" i="9"/>
  <c r="H5901" i="9"/>
  <c r="G5901" i="9"/>
  <c r="F5901" i="9"/>
  <c r="H5865" i="9"/>
  <c r="G5865" i="9"/>
  <c r="F5865" i="9"/>
  <c r="H5829" i="9"/>
  <c r="G5829" i="9"/>
  <c r="F5829" i="9"/>
  <c r="H5793" i="9"/>
  <c r="G5793" i="9"/>
  <c r="F5793" i="9"/>
  <c r="K5739" i="9"/>
  <c r="J5739" i="9"/>
  <c r="I5739" i="9"/>
  <c r="K5703" i="9"/>
  <c r="J5703" i="9"/>
  <c r="I5703" i="9"/>
  <c r="K5633" i="9"/>
  <c r="J5633" i="9"/>
  <c r="I5633" i="9"/>
  <c r="K5585" i="9"/>
  <c r="J5585" i="9"/>
  <c r="I5585" i="9"/>
  <c r="H5441" i="9"/>
  <c r="G5441" i="9"/>
  <c r="F5441" i="9"/>
  <c r="K5414" i="9"/>
  <c r="J5414" i="9"/>
  <c r="I5414" i="9"/>
  <c r="K5366" i="9"/>
  <c r="J5366" i="9"/>
  <c r="I5366" i="9"/>
  <c r="K5345" i="9"/>
  <c r="J5345" i="9"/>
  <c r="I5345" i="9"/>
  <c r="H5249" i="9"/>
  <c r="G5249" i="9"/>
  <c r="F5249" i="9"/>
  <c r="K5563" i="9"/>
  <c r="J5563" i="9"/>
  <c r="I5563" i="9"/>
  <c r="H5467" i="9"/>
  <c r="F5467" i="9"/>
  <c r="G5467" i="9"/>
  <c r="K4795" i="9"/>
  <c r="J4795" i="9"/>
  <c r="I4795" i="9"/>
  <c r="K4747" i="9"/>
  <c r="J4747" i="9"/>
  <c r="I4747" i="9"/>
  <c r="K4411" i="9"/>
  <c r="J4411" i="9"/>
  <c r="I4411" i="9"/>
  <c r="K4363" i="9"/>
  <c r="J4363" i="9"/>
  <c r="I4363" i="9"/>
  <c r="K4315" i="9"/>
  <c r="J4315" i="9"/>
  <c r="I4315" i="9"/>
  <c r="K4267" i="9"/>
  <c r="J4267" i="9"/>
  <c r="I4267" i="9"/>
  <c r="K4219" i="9"/>
  <c r="I4219" i="9"/>
  <c r="J4219" i="9"/>
  <c r="H4168" i="9"/>
  <c r="G4168" i="9"/>
  <c r="F4168" i="9"/>
  <c r="H4096" i="9"/>
  <c r="G4096" i="9"/>
  <c r="F4096" i="9"/>
  <c r="H4024" i="9"/>
  <c r="G4024" i="9"/>
  <c r="F4024" i="9"/>
  <c r="H3952" i="9"/>
  <c r="G3952" i="9"/>
  <c r="F3952" i="9"/>
  <c r="G3909" i="9"/>
  <c r="H3909" i="9"/>
  <c r="F3909" i="9"/>
  <c r="K6296" i="9"/>
  <c r="J6296" i="9"/>
  <c r="I6296" i="9"/>
  <c r="K5972" i="9"/>
  <c r="J5972" i="9"/>
  <c r="I5972" i="9"/>
  <c r="K5936" i="9"/>
  <c r="J5936" i="9"/>
  <c r="I5936" i="9"/>
  <c r="K5900" i="9"/>
  <c r="J5900" i="9"/>
  <c r="I5900" i="9"/>
  <c r="K5864" i="9"/>
  <c r="J5864" i="9"/>
  <c r="I5864" i="9"/>
  <c r="K5828" i="9"/>
  <c r="J5828" i="9"/>
  <c r="I5828" i="9"/>
  <c r="K5792" i="9"/>
  <c r="J5792" i="9"/>
  <c r="I5792" i="9"/>
  <c r="G5520" i="9"/>
  <c r="F5520" i="9"/>
  <c r="H5520" i="9"/>
  <c r="G5472" i="9"/>
  <c r="F5472" i="9"/>
  <c r="H5472" i="9"/>
  <c r="G5280" i="9"/>
  <c r="F5280" i="9"/>
  <c r="H5280" i="9"/>
  <c r="F5232" i="9"/>
  <c r="H5232" i="9"/>
  <c r="G5232" i="9"/>
  <c r="G5184" i="9"/>
  <c r="F5184" i="9"/>
  <c r="H5184" i="9"/>
  <c r="G5136" i="9"/>
  <c r="F5136" i="9"/>
  <c r="H5136" i="9"/>
  <c r="I4224" i="9"/>
  <c r="K4224" i="9"/>
  <c r="J4224" i="9"/>
  <c r="K5025" i="9"/>
  <c r="J5025" i="9"/>
  <c r="I5025" i="9"/>
  <c r="K4881" i="9"/>
  <c r="J4881" i="9"/>
  <c r="I4881" i="9"/>
  <c r="G4545" i="9"/>
  <c r="H4545" i="9"/>
  <c r="F4545" i="9"/>
  <c r="H4242" i="9"/>
  <c r="G4242" i="9"/>
  <c r="F4242" i="9"/>
  <c r="H3916" i="9"/>
  <c r="G3916" i="9"/>
  <c r="F3916" i="9"/>
  <c r="K3825" i="9"/>
  <c r="J3825" i="9"/>
  <c r="I3825" i="9"/>
  <c r="H3800" i="9"/>
  <c r="G3800" i="9"/>
  <c r="F3800" i="9"/>
  <c r="K3729" i="9"/>
  <c r="J3729" i="9"/>
  <c r="I3729" i="9"/>
  <c r="H3225" i="9"/>
  <c r="G3225" i="9"/>
  <c r="F3225" i="9"/>
  <c r="H3201" i="9"/>
  <c r="G3201" i="9"/>
  <c r="F3201" i="9"/>
  <c r="H3177" i="9"/>
  <c r="G3177" i="9"/>
  <c r="F3177" i="9"/>
  <c r="H3153" i="9"/>
  <c r="G3153" i="9"/>
  <c r="F3153" i="9"/>
  <c r="H3129" i="9"/>
  <c r="G3129" i="9"/>
  <c r="F3129" i="9"/>
  <c r="H3105" i="9"/>
  <c r="G3105" i="9"/>
  <c r="F3105" i="9"/>
  <c r="H3081" i="9"/>
  <c r="G3081" i="9"/>
  <c r="F3081" i="9"/>
  <c r="H3057" i="9"/>
  <c r="G3057" i="9"/>
  <c r="F3057" i="9"/>
  <c r="G2985" i="9"/>
  <c r="H2985" i="9"/>
  <c r="F2985" i="9"/>
  <c r="G2913" i="9"/>
  <c r="H2913" i="9"/>
  <c r="F2913" i="9"/>
  <c r="G2841" i="9"/>
  <c r="H2841" i="9"/>
  <c r="F2841" i="9"/>
  <c r="K2457" i="9"/>
  <c r="J2457" i="9"/>
  <c r="I2457" i="9"/>
  <c r="K2433" i="9"/>
  <c r="J2433" i="9"/>
  <c r="I2433" i="9"/>
  <c r="K2409" i="9"/>
  <c r="J2409" i="9"/>
  <c r="I2409" i="9"/>
  <c r="K2385" i="9"/>
  <c r="J2385" i="9"/>
  <c r="I2385" i="9"/>
  <c r="K2361" i="9"/>
  <c r="J2361" i="9"/>
  <c r="I2361" i="9"/>
  <c r="K2337" i="9"/>
  <c r="J2337" i="9"/>
  <c r="I2337" i="9"/>
  <c r="K2313" i="9"/>
  <c r="J2313" i="9"/>
  <c r="I2313" i="9"/>
  <c r="K2289" i="9"/>
  <c r="J2289" i="9"/>
  <c r="I2289" i="9"/>
  <c r="K2265" i="9"/>
  <c r="J2265" i="9"/>
  <c r="I2265" i="9"/>
  <c r="K2241" i="9"/>
  <c r="J2241" i="9"/>
  <c r="I2241" i="9"/>
  <c r="K2217" i="9"/>
  <c r="J2217" i="9"/>
  <c r="I2217" i="9"/>
  <c r="K2193" i="9"/>
  <c r="J2193" i="9"/>
  <c r="I2193" i="9"/>
  <c r="K2169" i="9"/>
  <c r="J2169" i="9"/>
  <c r="I2169" i="9"/>
  <c r="K2145" i="9"/>
  <c r="J2145" i="9"/>
  <c r="I2145" i="9"/>
  <c r="K2121" i="9"/>
  <c r="J2121" i="9"/>
  <c r="I2121" i="9"/>
  <c r="K2097" i="9"/>
  <c r="J2097" i="9"/>
  <c r="I2097" i="9"/>
  <c r="K2073" i="9"/>
  <c r="J2073" i="9"/>
  <c r="I2073" i="9"/>
  <c r="K2049" i="9"/>
  <c r="J2049" i="9"/>
  <c r="I2049" i="9"/>
  <c r="G2030" i="9"/>
  <c r="F2030" i="9"/>
  <c r="H2030" i="9"/>
  <c r="G1886" i="9"/>
  <c r="F1886" i="9"/>
  <c r="H1886" i="9"/>
  <c r="H1777" i="9"/>
  <c r="G1777" i="9"/>
  <c r="F1777" i="9"/>
  <c r="K1742" i="9"/>
  <c r="J1742" i="9"/>
  <c r="I1742" i="9"/>
  <c r="H1707" i="9"/>
  <c r="G1707" i="9"/>
  <c r="F1707" i="9"/>
  <c r="H1633" i="9"/>
  <c r="G1633" i="9"/>
  <c r="F1633" i="9"/>
  <c r="K1598" i="9"/>
  <c r="J1598" i="9"/>
  <c r="I1598" i="9"/>
  <c r="H1563" i="9"/>
  <c r="G1563" i="9"/>
  <c r="F1563" i="9"/>
  <c r="K840" i="9"/>
  <c r="I840" i="9"/>
  <c r="J840" i="9"/>
  <c r="H828" i="9"/>
  <c r="G828" i="9"/>
  <c r="F828" i="9"/>
  <c r="H732" i="9"/>
  <c r="G732" i="9"/>
  <c r="F732" i="9"/>
  <c r="H684" i="9"/>
  <c r="G684" i="9"/>
  <c r="F684" i="9"/>
  <c r="H372" i="9"/>
  <c r="G372" i="9"/>
  <c r="F372" i="9"/>
  <c r="H348" i="9"/>
  <c r="G348" i="9"/>
  <c r="F348" i="9"/>
  <c r="H324" i="9"/>
  <c r="G324" i="9"/>
  <c r="F324" i="9"/>
  <c r="H312" i="9"/>
  <c r="G312" i="9"/>
  <c r="F312" i="9"/>
  <c r="H156" i="9"/>
  <c r="G156" i="9"/>
  <c r="F156" i="9"/>
  <c r="H132" i="9"/>
  <c r="G132" i="9"/>
  <c r="F132" i="9"/>
  <c r="K4678" i="9"/>
  <c r="J4678" i="9"/>
  <c r="I4678" i="9"/>
  <c r="K4556" i="9"/>
  <c r="J4556" i="9"/>
  <c r="I4556" i="9"/>
  <c r="K4486" i="9"/>
  <c r="J4486" i="9"/>
  <c r="I4486" i="9"/>
  <c r="H4364" i="9"/>
  <c r="G4364" i="9"/>
  <c r="F4364" i="9"/>
  <c r="H3790" i="9"/>
  <c r="G3790" i="9"/>
  <c r="F3790" i="9"/>
  <c r="J2021" i="9"/>
  <c r="I2021" i="9"/>
  <c r="K2021" i="9"/>
  <c r="G1986" i="9"/>
  <c r="F1986" i="9"/>
  <c r="H1986" i="9"/>
  <c r="J1877" i="9"/>
  <c r="I1877" i="9"/>
  <c r="K1877" i="9"/>
  <c r="G1842" i="9"/>
  <c r="F1842" i="9"/>
  <c r="H1842" i="9"/>
  <c r="H1492" i="9"/>
  <c r="G1492" i="9"/>
  <c r="F1492" i="9"/>
  <c r="H1444" i="9"/>
  <c r="G1444" i="9"/>
  <c r="F1444" i="9"/>
  <c r="H1408" i="9"/>
  <c r="G1408" i="9"/>
  <c r="F1408" i="9"/>
  <c r="H1396" i="9"/>
  <c r="G1396" i="9"/>
  <c r="F1396" i="9"/>
  <c r="H804" i="9"/>
  <c r="G804" i="9"/>
  <c r="F804" i="9"/>
  <c r="H780" i="9"/>
  <c r="G780" i="9"/>
  <c r="F780" i="9"/>
  <c r="H756" i="9"/>
  <c r="G756" i="9"/>
  <c r="F756" i="9"/>
  <c r="H708" i="9"/>
  <c r="G708" i="9"/>
  <c r="F708" i="9"/>
  <c r="H636" i="9"/>
  <c r="G636" i="9"/>
  <c r="F636" i="9"/>
  <c r="H588" i="9"/>
  <c r="G588" i="9"/>
  <c r="F588" i="9"/>
  <c r="H528" i="9"/>
  <c r="G528" i="9"/>
  <c r="F528" i="9"/>
  <c r="H492" i="9"/>
  <c r="G492" i="9"/>
  <c r="F492" i="9"/>
  <c r="H408" i="9"/>
  <c r="G408" i="9"/>
  <c r="F408" i="9"/>
  <c r="H252" i="9"/>
  <c r="G252" i="9"/>
  <c r="F252" i="9"/>
  <c r="H240" i="9"/>
  <c r="G240" i="9"/>
  <c r="F240" i="9"/>
  <c r="H4982" i="9"/>
  <c r="G4982" i="9"/>
  <c r="F4982" i="9"/>
  <c r="H4838" i="9"/>
  <c r="F4838" i="9"/>
  <c r="G4838" i="9"/>
  <c r="G4701" i="9"/>
  <c r="H4701" i="9"/>
  <c r="F4701" i="9"/>
  <c r="G4509" i="9"/>
  <c r="H4509" i="9"/>
  <c r="F4509" i="9"/>
  <c r="K3849" i="9"/>
  <c r="J3849" i="9"/>
  <c r="I3849" i="9"/>
  <c r="H3824" i="9"/>
  <c r="G3824" i="9"/>
  <c r="F3824" i="9"/>
  <c r="H3728" i="9"/>
  <c r="G3728" i="9"/>
  <c r="F3728" i="9"/>
  <c r="H3704" i="9"/>
  <c r="G3704" i="9"/>
  <c r="F3704" i="9"/>
  <c r="H3680" i="9"/>
  <c r="G3680" i="9"/>
  <c r="F3680" i="9"/>
  <c r="H3656" i="9"/>
  <c r="G3656" i="9"/>
  <c r="F3656" i="9"/>
  <c r="H3368" i="9"/>
  <c r="G3368" i="9"/>
  <c r="F3368" i="9"/>
  <c r="H3344" i="9"/>
  <c r="G3344" i="9"/>
  <c r="F3344" i="9"/>
  <c r="H3320" i="9"/>
  <c r="G3320" i="9"/>
  <c r="F3320" i="9"/>
  <c r="H3296" i="9"/>
  <c r="F3296" i="9"/>
  <c r="G3296" i="9"/>
  <c r="H3272" i="9"/>
  <c r="G3272" i="9"/>
  <c r="F3272" i="9"/>
  <c r="H3248" i="9"/>
  <c r="G3248" i="9"/>
  <c r="F3248" i="9"/>
  <c r="H3224" i="9"/>
  <c r="G3224" i="9"/>
  <c r="F3224" i="9"/>
  <c r="H3200" i="9"/>
  <c r="G3200" i="9"/>
  <c r="F3200" i="9"/>
  <c r="H3176" i="9"/>
  <c r="G3176" i="9"/>
  <c r="F3176" i="9"/>
  <c r="H3152" i="9"/>
  <c r="G3152" i="9"/>
  <c r="F3152" i="9"/>
  <c r="H3128" i="9"/>
  <c r="G3128" i="9"/>
  <c r="F3128" i="9"/>
  <c r="H3104" i="9"/>
  <c r="G3104" i="9"/>
  <c r="F3104" i="9"/>
  <c r="H3080" i="9"/>
  <c r="G3080" i="9"/>
  <c r="F3080" i="9"/>
  <c r="H3056" i="9"/>
  <c r="G3056" i="9"/>
  <c r="F3056" i="9"/>
  <c r="H3032" i="9"/>
  <c r="G3032" i="9"/>
  <c r="F3032" i="9"/>
  <c r="H3008" i="9"/>
  <c r="F3008" i="9"/>
  <c r="G3008" i="9"/>
  <c r="H2984" i="9"/>
  <c r="G2984" i="9"/>
  <c r="F2984" i="9"/>
  <c r="H2960" i="9"/>
  <c r="G2960" i="9"/>
  <c r="F2960" i="9"/>
  <c r="H2936" i="9"/>
  <c r="F2936" i="9"/>
  <c r="G2936" i="9"/>
  <c r="H2912" i="9"/>
  <c r="G2912" i="9"/>
  <c r="F2912" i="9"/>
  <c r="H2888" i="9"/>
  <c r="G2888" i="9"/>
  <c r="F2888" i="9"/>
  <c r="H2864" i="9"/>
  <c r="F2864" i="9"/>
  <c r="G2864" i="9"/>
  <c r="H2840" i="9"/>
  <c r="G2840" i="9"/>
  <c r="F2840" i="9"/>
  <c r="H2816" i="9"/>
  <c r="G2816" i="9"/>
  <c r="F2816" i="9"/>
  <c r="H2792" i="9"/>
  <c r="F2792" i="9"/>
  <c r="G2792" i="9"/>
  <c r="J2504" i="9"/>
  <c r="K2504" i="9"/>
  <c r="I2504" i="9"/>
  <c r="K2480" i="9"/>
  <c r="J2480" i="9"/>
  <c r="I2480" i="9"/>
  <c r="H2016" i="9"/>
  <c r="G2016" i="9"/>
  <c r="F2016" i="9"/>
  <c r="K1977" i="9"/>
  <c r="J1977" i="9"/>
  <c r="I1977" i="9"/>
  <c r="J1907" i="9"/>
  <c r="I1907" i="9"/>
  <c r="K1907" i="9"/>
  <c r="H1872" i="9"/>
  <c r="G1872" i="9"/>
  <c r="F1872" i="9"/>
  <c r="K1833" i="9"/>
  <c r="J1833" i="9"/>
  <c r="I1833" i="9"/>
  <c r="K1798" i="9"/>
  <c r="J1798" i="9"/>
  <c r="I1798" i="9"/>
  <c r="K1728" i="9"/>
  <c r="J1728" i="9"/>
  <c r="I1728" i="9"/>
  <c r="K1584" i="9"/>
  <c r="J1584" i="9"/>
  <c r="I1584" i="9"/>
  <c r="G4689" i="9"/>
  <c r="H4689" i="9"/>
  <c r="F4689" i="9"/>
  <c r="G4497" i="9"/>
  <c r="H4497" i="9"/>
  <c r="F4497" i="9"/>
  <c r="H4386" i="9"/>
  <c r="G4386" i="9"/>
  <c r="F4386" i="9"/>
  <c r="J4194" i="9"/>
  <c r="I4194" i="9"/>
  <c r="K4194" i="9"/>
  <c r="K3799" i="9"/>
  <c r="J3799" i="9"/>
  <c r="I3799" i="9"/>
  <c r="H3718" i="9"/>
  <c r="G3718" i="9"/>
  <c r="F3718" i="9"/>
  <c r="H3286" i="9"/>
  <c r="G3286" i="9"/>
  <c r="F3286" i="9"/>
  <c r="K3142" i="9"/>
  <c r="J3142" i="9"/>
  <c r="I3142" i="9"/>
  <c r="H2422" i="9"/>
  <c r="G2422" i="9"/>
  <c r="F2422" i="9"/>
  <c r="K2350" i="9"/>
  <c r="J2350" i="9"/>
  <c r="I2350" i="9"/>
  <c r="F2278" i="9"/>
  <c r="H2278" i="9"/>
  <c r="G2278" i="9"/>
  <c r="H2206" i="9"/>
  <c r="G2206" i="9"/>
  <c r="F2206" i="9"/>
  <c r="F2134" i="9"/>
  <c r="H2134" i="9"/>
  <c r="G2134" i="9"/>
  <c r="H1767" i="9"/>
  <c r="G1767" i="9"/>
  <c r="F1767" i="9"/>
  <c r="H1693" i="9"/>
  <c r="G1693" i="9"/>
  <c r="F1693" i="9"/>
  <c r="K1658" i="9"/>
  <c r="J1658" i="9"/>
  <c r="I1658" i="9"/>
  <c r="H1623" i="9"/>
  <c r="G1623" i="9"/>
  <c r="F1623" i="9"/>
  <c r="H1549" i="9"/>
  <c r="G1549" i="9"/>
  <c r="F1549" i="9"/>
  <c r="J503" i="9"/>
  <c r="I503" i="9"/>
  <c r="K503" i="9"/>
  <c r="J479" i="9"/>
  <c r="I479" i="9"/>
  <c r="K479" i="9"/>
  <c r="H459" i="9"/>
  <c r="F459" i="9"/>
  <c r="G459" i="9"/>
  <c r="J431" i="9"/>
  <c r="I431" i="9"/>
  <c r="K431" i="9"/>
  <c r="K227" i="9"/>
  <c r="J227" i="9"/>
  <c r="I227" i="9"/>
  <c r="K203" i="9"/>
  <c r="J203" i="9"/>
  <c r="I203" i="9"/>
  <c r="K143" i="9"/>
  <c r="J143" i="9"/>
  <c r="I143" i="9"/>
  <c r="K119" i="9"/>
  <c r="J119" i="9"/>
  <c r="I119" i="9"/>
  <c r="K47" i="9"/>
  <c r="J47" i="9"/>
  <c r="I47" i="9"/>
  <c r="K5089" i="9"/>
  <c r="J5089" i="9"/>
  <c r="I5089" i="9"/>
  <c r="K4945" i="9"/>
  <c r="J4945" i="9"/>
  <c r="I4945" i="9"/>
  <c r="K4035" i="9"/>
  <c r="J4035" i="9"/>
  <c r="I4035" i="9"/>
  <c r="H3764" i="9"/>
  <c r="G3764" i="9"/>
  <c r="F3764" i="9"/>
  <c r="K3036" i="9"/>
  <c r="J3036" i="9"/>
  <c r="I3036" i="9"/>
  <c r="F2556" i="9"/>
  <c r="H2556" i="9"/>
  <c r="G2556" i="9"/>
  <c r="F2532" i="9"/>
  <c r="H2532" i="9"/>
  <c r="G2532" i="9"/>
  <c r="F2508" i="9"/>
  <c r="H2508" i="9"/>
  <c r="G2508" i="9"/>
  <c r="G2484" i="9"/>
  <c r="F2484" i="9"/>
  <c r="H2484" i="9"/>
  <c r="H2460" i="9"/>
  <c r="G2460" i="9"/>
  <c r="F2460" i="9"/>
  <c r="H2436" i="9"/>
  <c r="G2436" i="9"/>
  <c r="F2436" i="9"/>
  <c r="K2412" i="9"/>
  <c r="J2412" i="9"/>
  <c r="I2412" i="9"/>
  <c r="K2340" i="9"/>
  <c r="J2340" i="9"/>
  <c r="I2340" i="9"/>
  <c r="H2316" i="9"/>
  <c r="G2316" i="9"/>
  <c r="F2316" i="9"/>
  <c r="H2292" i="9"/>
  <c r="G2292" i="9"/>
  <c r="F2292" i="9"/>
  <c r="H2268" i="9"/>
  <c r="G2268" i="9"/>
  <c r="F2268" i="9"/>
  <c r="H2244" i="9"/>
  <c r="G2244" i="9"/>
  <c r="F2244" i="9"/>
  <c r="H2220" i="9"/>
  <c r="G2220" i="9"/>
  <c r="F2220" i="9"/>
  <c r="H2196" i="9"/>
  <c r="G2196" i="9"/>
  <c r="F2196" i="9"/>
  <c r="H2172" i="9"/>
  <c r="G2172" i="9"/>
  <c r="F2172" i="9"/>
  <c r="H2148" i="9"/>
  <c r="G2148" i="9"/>
  <c r="F2148" i="9"/>
  <c r="H2124" i="9"/>
  <c r="G2124" i="9"/>
  <c r="F2124" i="9"/>
  <c r="H2100" i="9"/>
  <c r="G2100" i="9"/>
  <c r="F2100" i="9"/>
  <c r="H2076" i="9"/>
  <c r="G2076" i="9"/>
  <c r="F2076" i="9"/>
  <c r="H2052" i="9"/>
  <c r="G2052" i="9"/>
  <c r="F2052" i="9"/>
  <c r="J1985" i="9"/>
  <c r="I1985" i="9"/>
  <c r="K1985" i="9"/>
  <c r="G1950" i="9"/>
  <c r="F1950" i="9"/>
  <c r="H1950" i="9"/>
  <c r="J1841" i="9"/>
  <c r="I1841" i="9"/>
  <c r="K1841" i="9"/>
  <c r="H1527" i="9"/>
  <c r="G1527" i="9"/>
  <c r="F1527" i="9"/>
  <c r="H1515" i="9"/>
  <c r="G1515" i="9"/>
  <c r="F1515" i="9"/>
  <c r="K1503" i="9"/>
  <c r="J1503" i="9"/>
  <c r="I1503" i="9"/>
  <c r="H1491" i="9"/>
  <c r="G1491" i="9"/>
  <c r="F1491" i="9"/>
  <c r="H1479" i="9"/>
  <c r="G1479" i="9"/>
  <c r="F1479" i="9"/>
  <c r="K1467" i="9"/>
  <c r="J1467" i="9"/>
  <c r="I1467" i="9"/>
  <c r="K1455" i="9"/>
  <c r="J1455" i="9"/>
  <c r="I1455" i="9"/>
  <c r="H1443" i="9"/>
  <c r="G1443" i="9"/>
  <c r="F1443" i="9"/>
  <c r="H1431" i="9"/>
  <c r="G1431" i="9"/>
  <c r="F1431" i="9"/>
  <c r="H1419" i="9"/>
  <c r="G1419" i="9"/>
  <c r="F1419" i="9"/>
  <c r="K1407" i="9"/>
  <c r="J1407" i="9"/>
  <c r="I1407" i="9"/>
  <c r="H1395" i="9"/>
  <c r="G1395" i="9"/>
  <c r="F1395" i="9"/>
  <c r="H1383" i="9"/>
  <c r="G1383" i="9"/>
  <c r="F1383" i="9"/>
  <c r="H1371" i="9"/>
  <c r="G1371" i="9"/>
  <c r="F1371" i="9"/>
  <c r="H1347" i="9"/>
  <c r="G1347" i="9"/>
  <c r="F1347" i="9"/>
  <c r="H411" i="9"/>
  <c r="F411" i="9"/>
  <c r="G411" i="9"/>
  <c r="J387" i="9"/>
  <c r="I387" i="9"/>
  <c r="K387" i="9"/>
  <c r="K287" i="9"/>
  <c r="J287" i="9"/>
  <c r="I287" i="9"/>
  <c r="K251" i="9"/>
  <c r="J251" i="9"/>
  <c r="I251" i="9"/>
  <c r="K167" i="9"/>
  <c r="J167" i="9"/>
  <c r="I167" i="9"/>
  <c r="G4653" i="9"/>
  <c r="H4653" i="9"/>
  <c r="F4653" i="9"/>
  <c r="G4461" i="9"/>
  <c r="H4461" i="9"/>
  <c r="F4461" i="9"/>
  <c r="H3778" i="9"/>
  <c r="G3778" i="9"/>
  <c r="F3778" i="9"/>
  <c r="K3602" i="9"/>
  <c r="J3602" i="9"/>
  <c r="I3602" i="9"/>
  <c r="K3530" i="9"/>
  <c r="J3530" i="9"/>
  <c r="I3530" i="9"/>
  <c r="K3458" i="9"/>
  <c r="J3458" i="9"/>
  <c r="I3458" i="9"/>
  <c r="K3386" i="9"/>
  <c r="J3386" i="9"/>
  <c r="I3386" i="9"/>
  <c r="I3242" i="9"/>
  <c r="K3242" i="9"/>
  <c r="J3242" i="9"/>
  <c r="H3170" i="9"/>
  <c r="G3170" i="9"/>
  <c r="F3170" i="9"/>
  <c r="H3098" i="9"/>
  <c r="G3098" i="9"/>
  <c r="F3098" i="9"/>
  <c r="K2738" i="9"/>
  <c r="J2738" i="9"/>
  <c r="I2738" i="9"/>
  <c r="K2666" i="9"/>
  <c r="J2666" i="9"/>
  <c r="I2666" i="9"/>
  <c r="K2594" i="9"/>
  <c r="J2594" i="9"/>
  <c r="I2594" i="9"/>
  <c r="J2522" i="9"/>
  <c r="I2522" i="9"/>
  <c r="K2522" i="9"/>
  <c r="H2028" i="9"/>
  <c r="G2028" i="9"/>
  <c r="F2028" i="9"/>
  <c r="K1989" i="9"/>
  <c r="J1989" i="9"/>
  <c r="I1989" i="9"/>
  <c r="J1919" i="9"/>
  <c r="I1919" i="9"/>
  <c r="K1919" i="9"/>
  <c r="H1884" i="9"/>
  <c r="G1884" i="9"/>
  <c r="F1884" i="9"/>
  <c r="K1845" i="9"/>
  <c r="J1845" i="9"/>
  <c r="I1845" i="9"/>
  <c r="K1810" i="9"/>
  <c r="J1810" i="9"/>
  <c r="I1810" i="9"/>
  <c r="K1740" i="9"/>
  <c r="J1740" i="9"/>
  <c r="I1740" i="9"/>
  <c r="K1596" i="9"/>
  <c r="J1596" i="9"/>
  <c r="I1596" i="9"/>
  <c r="G4641" i="9"/>
  <c r="H4641" i="9"/>
  <c r="F4641" i="9"/>
  <c r="G4449" i="9"/>
  <c r="H4449" i="9"/>
  <c r="F4449" i="9"/>
  <c r="H4338" i="9"/>
  <c r="G4338" i="9"/>
  <c r="F4338" i="9"/>
  <c r="H3788" i="9"/>
  <c r="G3788" i="9"/>
  <c r="F3788" i="9"/>
  <c r="H3754" i="9"/>
  <c r="G3754" i="9"/>
  <c r="F3754" i="9"/>
  <c r="H2517" i="9"/>
  <c r="F2517" i="9"/>
  <c r="G2517" i="9"/>
  <c r="F2493" i="9"/>
  <c r="H2493" i="9"/>
  <c r="G2493" i="9"/>
  <c r="K2469" i="9"/>
  <c r="J2469" i="9"/>
  <c r="I2469" i="9"/>
  <c r="K2445" i="9"/>
  <c r="J2445" i="9"/>
  <c r="I2445" i="9"/>
  <c r="K2421" i="9"/>
  <c r="J2421" i="9"/>
  <c r="I2421" i="9"/>
  <c r="K2397" i="9"/>
  <c r="J2397" i="9"/>
  <c r="I2397" i="9"/>
  <c r="K2373" i="9"/>
  <c r="J2373" i="9"/>
  <c r="I2373" i="9"/>
  <c r="K2349" i="9"/>
  <c r="J2349" i="9"/>
  <c r="I2349" i="9"/>
  <c r="K2325" i="9"/>
  <c r="J2325" i="9"/>
  <c r="I2325" i="9"/>
  <c r="K2301" i="9"/>
  <c r="J2301" i="9"/>
  <c r="I2301" i="9"/>
  <c r="K2277" i="9"/>
  <c r="J2277" i="9"/>
  <c r="I2277" i="9"/>
  <c r="K2253" i="9"/>
  <c r="J2253" i="9"/>
  <c r="I2253" i="9"/>
  <c r="K2229" i="9"/>
  <c r="J2229" i="9"/>
  <c r="I2229" i="9"/>
  <c r="K2205" i="9"/>
  <c r="J2205" i="9"/>
  <c r="I2205" i="9"/>
  <c r="K2181" i="9"/>
  <c r="J2181" i="9"/>
  <c r="I2181" i="9"/>
  <c r="K2157" i="9"/>
  <c r="J2157" i="9"/>
  <c r="I2157" i="9"/>
  <c r="K2133" i="9"/>
  <c r="J2133" i="9"/>
  <c r="I2133" i="9"/>
  <c r="K2109" i="9"/>
  <c r="J2109" i="9"/>
  <c r="I2109" i="9"/>
  <c r="K2085" i="9"/>
  <c r="J2085" i="9"/>
  <c r="I2085" i="9"/>
  <c r="K2061" i="9"/>
  <c r="J2061" i="9"/>
  <c r="I2061" i="9"/>
  <c r="K2037" i="9"/>
  <c r="J2037" i="9"/>
  <c r="I2037" i="9"/>
  <c r="K1897" i="9"/>
  <c r="J1897" i="9"/>
  <c r="I1897" i="9"/>
  <c r="H1753" i="9"/>
  <c r="G1753" i="9"/>
  <c r="F1753" i="9"/>
  <c r="K1718" i="9"/>
  <c r="J1718" i="9"/>
  <c r="I1718" i="9"/>
  <c r="H1683" i="9"/>
  <c r="G1683" i="9"/>
  <c r="F1683" i="9"/>
  <c r="H1609" i="9"/>
  <c r="G1609" i="9"/>
  <c r="F1609" i="9"/>
  <c r="K1574" i="9"/>
  <c r="J1574" i="9"/>
  <c r="I1574" i="9"/>
  <c r="H1539" i="9"/>
  <c r="G1539" i="9"/>
  <c r="F1539" i="9"/>
  <c r="K4652" i="9"/>
  <c r="J4652" i="9"/>
  <c r="I4652" i="9"/>
  <c r="K4582" i="9"/>
  <c r="J4582" i="9"/>
  <c r="I4582" i="9"/>
  <c r="K4460" i="9"/>
  <c r="J4460" i="9"/>
  <c r="I4460" i="9"/>
  <c r="H4268" i="9"/>
  <c r="G4268" i="9"/>
  <c r="F4268" i="9"/>
  <c r="H3908" i="9"/>
  <c r="G3908" i="9"/>
  <c r="F3908" i="9"/>
  <c r="H3862" i="9"/>
  <c r="G3862" i="9"/>
  <c r="F3862" i="9"/>
  <c r="J1949" i="9"/>
  <c r="I1949" i="9"/>
  <c r="K1949" i="9"/>
  <c r="G1914" i="9"/>
  <c r="F1914" i="9"/>
  <c r="H1914" i="9"/>
  <c r="I1805" i="9"/>
  <c r="K1805" i="9"/>
  <c r="J1805" i="9"/>
  <c r="K1526" i="9"/>
  <c r="J1526" i="9"/>
  <c r="I1526" i="9"/>
  <c r="K1514" i="9"/>
  <c r="J1514" i="9"/>
  <c r="I1514" i="9"/>
  <c r="K1502" i="9"/>
  <c r="J1502" i="9"/>
  <c r="I1502" i="9"/>
  <c r="K1490" i="9"/>
  <c r="J1490" i="9"/>
  <c r="I1490" i="9"/>
  <c r="K1478" i="9"/>
  <c r="J1478" i="9"/>
  <c r="I1478" i="9"/>
  <c r="K1466" i="9"/>
  <c r="J1466" i="9"/>
  <c r="I1466" i="9"/>
  <c r="K1454" i="9"/>
  <c r="J1454" i="9"/>
  <c r="I1454" i="9"/>
  <c r="K1442" i="9"/>
  <c r="J1442" i="9"/>
  <c r="I1442" i="9"/>
  <c r="K1430" i="9"/>
  <c r="J1430" i="9"/>
  <c r="I1430" i="9"/>
  <c r="K1418" i="9"/>
  <c r="J1418" i="9"/>
  <c r="I1418" i="9"/>
  <c r="K1406" i="9"/>
  <c r="J1406" i="9"/>
  <c r="I1406" i="9"/>
  <c r="K1394" i="9"/>
  <c r="J1394" i="9"/>
  <c r="I1394" i="9"/>
  <c r="K1382" i="9"/>
  <c r="J1382" i="9"/>
  <c r="I1382" i="9"/>
  <c r="K1370" i="9"/>
  <c r="J1370" i="9"/>
  <c r="I1370" i="9"/>
  <c r="K1358" i="9"/>
  <c r="J1358" i="9"/>
  <c r="I1358" i="9"/>
  <c r="K1346" i="9"/>
  <c r="J1346" i="9"/>
  <c r="I1346" i="9"/>
  <c r="H1322" i="9"/>
  <c r="G1322" i="9"/>
  <c r="F1322" i="9"/>
  <c r="H1274" i="9"/>
  <c r="G1274" i="9"/>
  <c r="F1274" i="9"/>
  <c r="H1226" i="9"/>
  <c r="G1226" i="9"/>
  <c r="F1226" i="9"/>
  <c r="H1178" i="9"/>
  <c r="G1178" i="9"/>
  <c r="F1178" i="9"/>
  <c r="H1130" i="9"/>
  <c r="G1130" i="9"/>
  <c r="F1130" i="9"/>
  <c r="H1082" i="9"/>
  <c r="G1082" i="9"/>
  <c r="F1082" i="9"/>
  <c r="H1058" i="9"/>
  <c r="G1058" i="9"/>
  <c r="F1058" i="9"/>
  <c r="H1022" i="9"/>
  <c r="G1022" i="9"/>
  <c r="F1022" i="9"/>
  <c r="H986" i="9"/>
  <c r="G986" i="9"/>
  <c r="F986" i="9"/>
  <c r="H950" i="9"/>
  <c r="G950" i="9"/>
  <c r="F950" i="9"/>
  <c r="H926" i="9"/>
  <c r="G926" i="9"/>
  <c r="F926" i="9"/>
  <c r="H914" i="9"/>
  <c r="G914" i="9"/>
  <c r="F914" i="9"/>
  <c r="H878" i="9"/>
  <c r="G878" i="9"/>
  <c r="F878" i="9"/>
  <c r="H842" i="9"/>
  <c r="G842" i="9"/>
  <c r="F842" i="9"/>
  <c r="H806" i="9"/>
  <c r="G806" i="9"/>
  <c r="F806" i="9"/>
  <c r="G770" i="9"/>
  <c r="F770" i="9"/>
  <c r="H770" i="9"/>
  <c r="G734" i="9"/>
  <c r="F734" i="9"/>
  <c r="H734" i="9"/>
  <c r="G698" i="9"/>
  <c r="F698" i="9"/>
  <c r="H698" i="9"/>
  <c r="G662" i="9"/>
  <c r="F662" i="9"/>
  <c r="H662" i="9"/>
  <c r="G626" i="9"/>
  <c r="F626" i="9"/>
  <c r="H626" i="9"/>
  <c r="G590" i="9"/>
  <c r="F590" i="9"/>
  <c r="H590" i="9"/>
  <c r="G554" i="9"/>
  <c r="F554" i="9"/>
  <c r="H554" i="9"/>
  <c r="G518" i="9"/>
  <c r="F518" i="9"/>
  <c r="H518" i="9"/>
  <c r="K470" i="9"/>
  <c r="J470" i="9"/>
  <c r="I470" i="9"/>
  <c r="K446" i="9"/>
  <c r="J446" i="9"/>
  <c r="I446" i="9"/>
  <c r="K422" i="9"/>
  <c r="J422" i="9"/>
  <c r="I422" i="9"/>
  <c r="H386" i="9"/>
  <c r="G386" i="9"/>
  <c r="F386" i="9"/>
  <c r="H374" i="9"/>
  <c r="G374" i="9"/>
  <c r="F374" i="9"/>
  <c r="H362" i="9"/>
  <c r="G362" i="9"/>
  <c r="F362" i="9"/>
  <c r="H350" i="9"/>
  <c r="G350" i="9"/>
  <c r="F350" i="9"/>
  <c r="H290" i="9"/>
  <c r="G290" i="9"/>
  <c r="F290" i="9"/>
  <c r="H170" i="9"/>
  <c r="G170" i="9"/>
  <c r="F170" i="9"/>
  <c r="H146" i="9"/>
  <c r="G146" i="9"/>
  <c r="F146" i="9"/>
  <c r="H122" i="9"/>
  <c r="G122" i="9"/>
  <c r="F122" i="9"/>
  <c r="H98" i="9"/>
  <c r="G98" i="9"/>
  <c r="F98" i="9"/>
  <c r="H74" i="9"/>
  <c r="G74" i="9"/>
  <c r="F74" i="9"/>
  <c r="H50" i="9"/>
  <c r="G50" i="9"/>
  <c r="F50" i="9"/>
  <c r="H26" i="9"/>
  <c r="G26" i="9"/>
  <c r="F26" i="9"/>
  <c r="G2" i="9"/>
  <c r="F2" i="9"/>
  <c r="H2" i="9"/>
  <c r="K4349" i="9"/>
  <c r="J4349" i="9"/>
  <c r="I4349" i="9"/>
  <c r="K3897" i="9"/>
  <c r="J3897" i="9"/>
  <c r="I3897" i="9"/>
  <c r="K3787" i="9"/>
  <c r="J3787" i="9"/>
  <c r="I3787" i="9"/>
  <c r="J3649" i="9"/>
  <c r="I3649" i="9"/>
  <c r="K3649" i="9"/>
  <c r="G3025" i="9"/>
  <c r="H3025" i="9"/>
  <c r="F3025" i="9"/>
  <c r="G2977" i="9"/>
  <c r="H2977" i="9"/>
  <c r="F2977" i="9"/>
  <c r="G2953" i="9"/>
  <c r="H2953" i="9"/>
  <c r="F2953" i="9"/>
  <c r="G2905" i="9"/>
  <c r="H2905" i="9"/>
  <c r="F2905" i="9"/>
  <c r="G2881" i="9"/>
  <c r="H2881" i="9"/>
  <c r="F2881" i="9"/>
  <c r="G2833" i="9"/>
  <c r="H2833" i="9"/>
  <c r="F2833" i="9"/>
  <c r="G2809" i="9"/>
  <c r="H2809" i="9"/>
  <c r="F2809" i="9"/>
  <c r="K2449" i="9"/>
  <c r="J2449" i="9"/>
  <c r="I2449" i="9"/>
  <c r="H2401" i="9"/>
  <c r="G2401" i="9"/>
  <c r="F2401" i="9"/>
  <c r="K2041" i="9"/>
  <c r="J2041" i="9"/>
  <c r="I2041" i="9"/>
  <c r="J1979" i="9"/>
  <c r="I1979" i="9"/>
  <c r="K1979" i="9"/>
  <c r="H1944" i="9"/>
  <c r="G1944" i="9"/>
  <c r="F1944" i="9"/>
  <c r="K1905" i="9"/>
  <c r="J1905" i="9"/>
  <c r="I1905" i="9"/>
  <c r="J1835" i="9"/>
  <c r="I1835" i="9"/>
  <c r="K1835" i="9"/>
  <c r="K1800" i="9"/>
  <c r="I1800" i="9"/>
  <c r="J1800" i="9"/>
  <c r="K1656" i="9"/>
  <c r="J1656" i="9"/>
  <c r="I1656" i="9"/>
  <c r="G1547" i="9"/>
  <c r="F1547" i="9"/>
  <c r="H1547" i="9"/>
  <c r="G4593" i="9"/>
  <c r="H4593" i="9"/>
  <c r="F4593" i="9"/>
  <c r="H4290" i="9"/>
  <c r="G4290" i="9"/>
  <c r="F4290" i="9"/>
  <c r="H3826" i="9"/>
  <c r="G3826" i="9"/>
  <c r="F3826" i="9"/>
  <c r="H3730" i="9"/>
  <c r="G3730" i="9"/>
  <c r="F3730" i="9"/>
  <c r="H3298" i="9"/>
  <c r="G3298" i="9"/>
  <c r="F3298" i="9"/>
  <c r="G2434" i="9"/>
  <c r="F2434" i="9"/>
  <c r="H2434" i="9"/>
  <c r="K2362" i="9"/>
  <c r="J2362" i="9"/>
  <c r="I2362" i="9"/>
  <c r="H2290" i="9"/>
  <c r="G2290" i="9"/>
  <c r="F2290" i="9"/>
  <c r="H2218" i="9"/>
  <c r="G2218" i="9"/>
  <c r="F2218" i="9"/>
  <c r="H2146" i="9"/>
  <c r="G2146" i="9"/>
  <c r="F2146" i="9"/>
  <c r="H2074" i="9"/>
  <c r="G2074" i="9"/>
  <c r="F2074" i="9"/>
  <c r="H1765" i="9"/>
  <c r="G1765" i="9"/>
  <c r="F1765" i="9"/>
  <c r="K1730" i="9"/>
  <c r="J1730" i="9"/>
  <c r="I1730" i="9"/>
  <c r="H1695" i="9"/>
  <c r="G1695" i="9"/>
  <c r="F1695" i="9"/>
  <c r="H1621" i="9"/>
  <c r="G1621" i="9"/>
  <c r="F1621" i="9"/>
  <c r="K1586" i="9"/>
  <c r="J1586" i="9"/>
  <c r="I1586" i="9"/>
  <c r="K1551" i="9"/>
  <c r="J1551" i="9"/>
  <c r="I1551" i="9"/>
  <c r="K889" i="9"/>
  <c r="J889" i="9"/>
  <c r="I889" i="9"/>
  <c r="H841" i="9"/>
  <c r="G841" i="9"/>
  <c r="F841" i="9"/>
  <c r="K801" i="9"/>
  <c r="J801" i="9"/>
  <c r="I801" i="9"/>
  <c r="J761" i="9"/>
  <c r="I761" i="9"/>
  <c r="K761" i="9"/>
  <c r="K741" i="9"/>
  <c r="J741" i="9"/>
  <c r="I741" i="9"/>
  <c r="J713" i="9"/>
  <c r="I713" i="9"/>
  <c r="K713" i="9"/>
  <c r="K693" i="9"/>
  <c r="J693" i="9"/>
  <c r="I693" i="9"/>
  <c r="J665" i="9"/>
  <c r="I665" i="9"/>
  <c r="K665" i="9"/>
  <c r="K645" i="9"/>
  <c r="J645" i="9"/>
  <c r="I645" i="9"/>
  <c r="K621" i="9"/>
  <c r="J621" i="9"/>
  <c r="I621" i="9"/>
  <c r="J605" i="9"/>
  <c r="I605" i="9"/>
  <c r="K605" i="9"/>
  <c r="J581" i="9"/>
  <c r="I581" i="9"/>
  <c r="K581" i="9"/>
  <c r="J557" i="9"/>
  <c r="I557" i="9"/>
  <c r="K557" i="9"/>
  <c r="K529" i="9"/>
  <c r="J529" i="9"/>
  <c r="I529" i="9"/>
  <c r="J509" i="9"/>
  <c r="I509" i="9"/>
  <c r="K509" i="9"/>
  <c r="J461" i="9"/>
  <c r="I461" i="9"/>
  <c r="K461" i="9"/>
  <c r="J437" i="9"/>
  <c r="I437" i="9"/>
  <c r="K437" i="9"/>
  <c r="J413" i="9"/>
  <c r="I413" i="9"/>
  <c r="K413" i="9"/>
  <c r="K361" i="9"/>
  <c r="J361" i="9"/>
  <c r="I361" i="9"/>
  <c r="K337" i="9"/>
  <c r="J337" i="9"/>
  <c r="I337" i="9"/>
  <c r="K241" i="9"/>
  <c r="J241" i="9"/>
  <c r="I241" i="9"/>
  <c r="K205" i="9"/>
  <c r="J205" i="9"/>
  <c r="I205" i="9"/>
  <c r="K73" i="9"/>
  <c r="J73" i="9"/>
  <c r="I73" i="9"/>
  <c r="K49" i="9"/>
  <c r="J49" i="9"/>
  <c r="I49" i="9"/>
  <c r="K13" i="9"/>
  <c r="J13" i="9"/>
  <c r="I13" i="9"/>
  <c r="G5014" i="9"/>
  <c r="F5014" i="9"/>
  <c r="H5014" i="9"/>
  <c r="G4870" i="9"/>
  <c r="F4870" i="9"/>
  <c r="H4870" i="9"/>
  <c r="K4604" i="9"/>
  <c r="J4604" i="9"/>
  <c r="I4604" i="9"/>
  <c r="K4534" i="9"/>
  <c r="J4534" i="9"/>
  <c r="I4534" i="9"/>
  <c r="H4412" i="9"/>
  <c r="G4412" i="9"/>
  <c r="F4412" i="9"/>
  <c r="H4220" i="9"/>
  <c r="G4220" i="9"/>
  <c r="F4220" i="9"/>
  <c r="K3801" i="9"/>
  <c r="J3801" i="9"/>
  <c r="I3801" i="9"/>
  <c r="H3776" i="9"/>
  <c r="G3776" i="9"/>
  <c r="F3776" i="9"/>
  <c r="K3715" i="9"/>
  <c r="J3715" i="9"/>
  <c r="I3715" i="9"/>
  <c r="K3691" i="9"/>
  <c r="J3691" i="9"/>
  <c r="I3691" i="9"/>
  <c r="K3667" i="9"/>
  <c r="J3667" i="9"/>
  <c r="I3667" i="9"/>
  <c r="J3643" i="9"/>
  <c r="I3643" i="9"/>
  <c r="K3643" i="9"/>
  <c r="K3379" i="9"/>
  <c r="J3379" i="9"/>
  <c r="I3379" i="9"/>
  <c r="K3355" i="9"/>
  <c r="J3355" i="9"/>
  <c r="I3355" i="9"/>
  <c r="K3331" i="9"/>
  <c r="J3331" i="9"/>
  <c r="I3331" i="9"/>
  <c r="K3307" i="9"/>
  <c r="J3307" i="9"/>
  <c r="I3307" i="9"/>
  <c r="K3283" i="9"/>
  <c r="J3283" i="9"/>
  <c r="I3283" i="9"/>
  <c r="K3259" i="9"/>
  <c r="J3259" i="9"/>
  <c r="I3259" i="9"/>
  <c r="J3211" i="9"/>
  <c r="I3211" i="9"/>
  <c r="K3211" i="9"/>
  <c r="J3187" i="9"/>
  <c r="I3187" i="9"/>
  <c r="K3187" i="9"/>
  <c r="J3163" i="9"/>
  <c r="I3163" i="9"/>
  <c r="K3163" i="9"/>
  <c r="J3139" i="9"/>
  <c r="I3139" i="9"/>
  <c r="K3139" i="9"/>
  <c r="J3115" i="9"/>
  <c r="I3115" i="9"/>
  <c r="K3115" i="9"/>
  <c r="J3091" i="9"/>
  <c r="I3091" i="9"/>
  <c r="K3091" i="9"/>
  <c r="J3067" i="9"/>
  <c r="I3067" i="9"/>
  <c r="K3067" i="9"/>
  <c r="I2995" i="9"/>
  <c r="K2995" i="9"/>
  <c r="J2995" i="9"/>
  <c r="I2971" i="9"/>
  <c r="K2971" i="9"/>
  <c r="J2971" i="9"/>
  <c r="I2923" i="9"/>
  <c r="K2923" i="9"/>
  <c r="J2923" i="9"/>
  <c r="I2899" i="9"/>
  <c r="K2899" i="9"/>
  <c r="J2899" i="9"/>
  <c r="I2851" i="9"/>
  <c r="K2851" i="9"/>
  <c r="J2851" i="9"/>
  <c r="I2827" i="9"/>
  <c r="K2827" i="9"/>
  <c r="J2827" i="9"/>
  <c r="G1926" i="9"/>
  <c r="F1926" i="9"/>
  <c r="H1926" i="9"/>
  <c r="I1817" i="9"/>
  <c r="K1817" i="9"/>
  <c r="J1817" i="9"/>
  <c r="H949" i="9"/>
  <c r="G949" i="9"/>
  <c r="F949" i="9"/>
  <c r="H865" i="9"/>
  <c r="G865" i="9"/>
  <c r="F865" i="9"/>
  <c r="K837" i="9"/>
  <c r="J837" i="9"/>
  <c r="I837" i="9"/>
  <c r="J773" i="9"/>
  <c r="I773" i="9"/>
  <c r="K773" i="9"/>
  <c r="J749" i="9"/>
  <c r="I749" i="9"/>
  <c r="K749" i="9"/>
  <c r="J701" i="9"/>
  <c r="I701" i="9"/>
  <c r="K701" i="9"/>
  <c r="J677" i="9"/>
  <c r="I677" i="9"/>
  <c r="K677" i="9"/>
  <c r="K597" i="9"/>
  <c r="J597" i="9"/>
  <c r="I597" i="9"/>
  <c r="K565" i="9"/>
  <c r="J565" i="9"/>
  <c r="I565" i="9"/>
  <c r="J545" i="9"/>
  <c r="I545" i="9"/>
  <c r="K545" i="9"/>
  <c r="K525" i="9"/>
  <c r="J525" i="9"/>
  <c r="I525" i="9"/>
  <c r="K493" i="9"/>
  <c r="J493" i="9"/>
  <c r="I493" i="9"/>
  <c r="K265" i="9"/>
  <c r="J265" i="9"/>
  <c r="I265" i="9"/>
  <c r="K181" i="9"/>
  <c r="J181" i="9"/>
  <c r="I181" i="9"/>
  <c r="K157" i="9"/>
  <c r="J157" i="9"/>
  <c r="I157" i="9"/>
  <c r="K133" i="9"/>
  <c r="J133" i="9"/>
  <c r="I133" i="9"/>
  <c r="K4301" i="9"/>
  <c r="J4301" i="9"/>
  <c r="I4301" i="9"/>
  <c r="K4107" i="9"/>
  <c r="J4107" i="9"/>
  <c r="I4107" i="9"/>
  <c r="K4011" i="9"/>
  <c r="J4011" i="9"/>
  <c r="I4011" i="9"/>
  <c r="H3766" i="9"/>
  <c r="G3766" i="9"/>
  <c r="F3766" i="9"/>
  <c r="K3590" i="9"/>
  <c r="J3590" i="9"/>
  <c r="I3590" i="9"/>
  <c r="K3518" i="9"/>
  <c r="J3518" i="9"/>
  <c r="I3518" i="9"/>
  <c r="K3446" i="9"/>
  <c r="J3446" i="9"/>
  <c r="I3446" i="9"/>
  <c r="K3374" i="9"/>
  <c r="I3374" i="9"/>
  <c r="J3374" i="9"/>
  <c r="H3230" i="9"/>
  <c r="G3230" i="9"/>
  <c r="F3230" i="9"/>
  <c r="K2726" i="9"/>
  <c r="J2726" i="9"/>
  <c r="I2726" i="9"/>
  <c r="K2654" i="9"/>
  <c r="J2654" i="9"/>
  <c r="I2654" i="9"/>
  <c r="K2582" i="9"/>
  <c r="J2582" i="9"/>
  <c r="I2582" i="9"/>
  <c r="H2438" i="9"/>
  <c r="G2438" i="9"/>
  <c r="F2438" i="9"/>
  <c r="K2013" i="9"/>
  <c r="J2013" i="9"/>
  <c r="I2013" i="9"/>
  <c r="J1943" i="9"/>
  <c r="I1943" i="9"/>
  <c r="K1943" i="9"/>
  <c r="H1908" i="9"/>
  <c r="G1908" i="9"/>
  <c r="F1908" i="9"/>
  <c r="K1869" i="9"/>
  <c r="J1869" i="9"/>
  <c r="I1869" i="9"/>
  <c r="H1799" i="9"/>
  <c r="G1799" i="9"/>
  <c r="F1799" i="9"/>
  <c r="K1764" i="9"/>
  <c r="J1764" i="9"/>
  <c r="I1764" i="9"/>
  <c r="K1620" i="9"/>
  <c r="J1620" i="9"/>
  <c r="I1620" i="9"/>
  <c r="K1546" i="9"/>
  <c r="J1546" i="9"/>
  <c r="I1546" i="9"/>
  <c r="K6563" i="9"/>
  <c r="J6563" i="9"/>
  <c r="I6563" i="9"/>
  <c r="K6467" i="9"/>
  <c r="J6467" i="9"/>
  <c r="I6467" i="9"/>
  <c r="F5269" i="9"/>
  <c r="H5269" i="9"/>
  <c r="G5269" i="9"/>
  <c r="H5125" i="9"/>
  <c r="F5125" i="9"/>
  <c r="G5125" i="9"/>
  <c r="H6601" i="9"/>
  <c r="G6601" i="9"/>
  <c r="F6601" i="9"/>
  <c r="K6331" i="9"/>
  <c r="J6331" i="9"/>
  <c r="I6331" i="9"/>
  <c r="K6151" i="9"/>
  <c r="J6151" i="9"/>
  <c r="I6151" i="9"/>
  <c r="K6025" i="9"/>
  <c r="J6025" i="9"/>
  <c r="I6025" i="9"/>
  <c r="F4847" i="9"/>
  <c r="H4847" i="9"/>
  <c r="G4847" i="9"/>
  <c r="H4085" i="9"/>
  <c r="G4085" i="9"/>
  <c r="F4085" i="9"/>
  <c r="H5844" i="9"/>
  <c r="G5844" i="9"/>
  <c r="F5844" i="9"/>
  <c r="K5417" i="9"/>
  <c r="J5417" i="9"/>
  <c r="I5417" i="9"/>
  <c r="H5294" i="9"/>
  <c r="G5294" i="9"/>
  <c r="F5294" i="9"/>
  <c r="H4478" i="9"/>
  <c r="G4478" i="9"/>
  <c r="F4478" i="9"/>
  <c r="F4931" i="9"/>
  <c r="H4931" i="9"/>
  <c r="G4931" i="9"/>
  <c r="K6245" i="9"/>
  <c r="J6245" i="9"/>
  <c r="I6245" i="9"/>
  <c r="K6137" i="9"/>
  <c r="J6137" i="9"/>
  <c r="I6137" i="9"/>
  <c r="H5975" i="9"/>
  <c r="G5975" i="9"/>
  <c r="F5975" i="9"/>
  <c r="K5795" i="9"/>
  <c r="J5795" i="9"/>
  <c r="I5795" i="9"/>
  <c r="K4808" i="9"/>
  <c r="J4808" i="9"/>
  <c r="I4808" i="9"/>
  <c r="H4002" i="9"/>
  <c r="G4002" i="9"/>
  <c r="F4002" i="9"/>
  <c r="H5442" i="9"/>
  <c r="G5442" i="9"/>
  <c r="F5442" i="9"/>
  <c r="H6586" i="9"/>
  <c r="G6586" i="9"/>
  <c r="F6586" i="9"/>
  <c r="H5986" i="9"/>
  <c r="G5986" i="9"/>
  <c r="F5986" i="9"/>
  <c r="K6549" i="9"/>
  <c r="J6549" i="9"/>
  <c r="I6549" i="9"/>
  <c r="H6273" i="9"/>
  <c r="F6273" i="9"/>
  <c r="G6273" i="9"/>
  <c r="H5622" i="9"/>
  <c r="G5622" i="9"/>
  <c r="F5622" i="9"/>
  <c r="K3976" i="9"/>
  <c r="J3976" i="9"/>
  <c r="I3976" i="9"/>
  <c r="K5648" i="9"/>
  <c r="J5648" i="9"/>
  <c r="I5648" i="9"/>
  <c r="H4182" i="9"/>
  <c r="G4182" i="9"/>
  <c r="F4182" i="9"/>
  <c r="H3556" i="9"/>
  <c r="G3556" i="9"/>
  <c r="F3556" i="9"/>
  <c r="C3556" i="9" s="1"/>
  <c r="G3364" i="9"/>
  <c r="F3364" i="9"/>
  <c r="H3364" i="9"/>
  <c r="H2740" i="9"/>
  <c r="G2740" i="9"/>
  <c r="F2740" i="9"/>
  <c r="K2476" i="9"/>
  <c r="J2476" i="9"/>
  <c r="I2476" i="9"/>
  <c r="K612" i="9"/>
  <c r="I612" i="9"/>
  <c r="J612" i="9"/>
  <c r="K168" i="9"/>
  <c r="J168" i="9"/>
  <c r="I168" i="9"/>
  <c r="K1464" i="9"/>
  <c r="J1464" i="9"/>
  <c r="I1464" i="9"/>
  <c r="F1368" i="9"/>
  <c r="G1368" i="9"/>
  <c r="H1368" i="9"/>
  <c r="K864" i="9"/>
  <c r="J864" i="9"/>
  <c r="I864" i="9"/>
  <c r="K504" i="9"/>
  <c r="I504" i="9"/>
  <c r="J504" i="9"/>
  <c r="K3459" i="9"/>
  <c r="J3459" i="9"/>
  <c r="I3459" i="9"/>
  <c r="H2787" i="9"/>
  <c r="G2787" i="9"/>
  <c r="F2787" i="9"/>
  <c r="K2571" i="9"/>
  <c r="J2571" i="9"/>
  <c r="I2571" i="9"/>
  <c r="K3262" i="9"/>
  <c r="J3262" i="9"/>
  <c r="I3262" i="9"/>
  <c r="H219" i="9"/>
  <c r="G219" i="9"/>
  <c r="F219" i="9"/>
  <c r="H3631" i="9"/>
  <c r="G3631" i="9"/>
  <c r="F3631" i="9"/>
  <c r="J3127" i="9"/>
  <c r="I3127" i="9"/>
  <c r="K3127" i="9"/>
  <c r="K1259" i="9"/>
  <c r="J1259" i="9"/>
  <c r="I1259" i="9"/>
  <c r="K1151" i="9"/>
  <c r="J1151" i="9"/>
  <c r="I1151" i="9"/>
  <c r="K1007" i="9"/>
  <c r="J1007" i="9"/>
  <c r="I1007" i="9"/>
  <c r="K863" i="9"/>
  <c r="J863" i="9"/>
  <c r="I863" i="9"/>
  <c r="I3218" i="9"/>
  <c r="K3218" i="9"/>
  <c r="J3218" i="9"/>
  <c r="H2210" i="9"/>
  <c r="G2210" i="9"/>
  <c r="F2210" i="9"/>
  <c r="H3520" i="9"/>
  <c r="G3520" i="9"/>
  <c r="F3520" i="9"/>
  <c r="J2872" i="9"/>
  <c r="I2872" i="9"/>
  <c r="K2872" i="9"/>
  <c r="H4454" i="9"/>
  <c r="G4454" i="9"/>
  <c r="F4454" i="9"/>
  <c r="H3438" i="9"/>
  <c r="G3438" i="9"/>
  <c r="F3438" i="9"/>
  <c r="K838" i="9"/>
  <c r="J838" i="9"/>
  <c r="I838" i="9"/>
  <c r="H730" i="9"/>
  <c r="G730" i="9"/>
  <c r="F730" i="9"/>
  <c r="H622" i="9"/>
  <c r="G622" i="9"/>
  <c r="F622" i="9"/>
  <c r="H502" i="9"/>
  <c r="G502" i="9"/>
  <c r="F502" i="9"/>
  <c r="K3356" i="9"/>
  <c r="J3356" i="9"/>
  <c r="I3356" i="9"/>
  <c r="H3116" i="9"/>
  <c r="G3116" i="9"/>
  <c r="F3116" i="9"/>
  <c r="H2852" i="9"/>
  <c r="G2852" i="9"/>
  <c r="F2852" i="9"/>
  <c r="K2266" i="9"/>
  <c r="J2266" i="9"/>
  <c r="I2266" i="9"/>
  <c r="G1826" i="9"/>
  <c r="F1826" i="9"/>
  <c r="H1826" i="9"/>
  <c r="H1612" i="9"/>
  <c r="G1612" i="9"/>
  <c r="F1612" i="9"/>
  <c r="H733" i="9"/>
  <c r="G733" i="9"/>
  <c r="F733" i="9"/>
  <c r="H577" i="9"/>
  <c r="G577" i="9"/>
  <c r="F577" i="9"/>
  <c r="H433" i="9"/>
  <c r="G433" i="9"/>
  <c r="F433" i="9"/>
  <c r="K4476" i="9"/>
  <c r="J4476" i="9"/>
  <c r="I4476" i="9"/>
  <c r="H3557" i="9"/>
  <c r="G3557" i="9"/>
  <c r="F3557" i="9"/>
  <c r="F2861" i="9"/>
  <c r="H2861" i="9"/>
  <c r="G2861" i="9"/>
  <c r="K1417" i="9"/>
  <c r="J1417" i="9"/>
  <c r="I1417" i="9"/>
  <c r="H1333" i="9"/>
  <c r="G1333" i="9"/>
  <c r="F1333" i="9"/>
  <c r="H1237" i="9"/>
  <c r="G1237" i="9"/>
  <c r="F1237" i="9"/>
  <c r="K1117" i="9"/>
  <c r="J1117" i="9"/>
  <c r="I1117" i="9"/>
  <c r="K985" i="9"/>
  <c r="J985" i="9"/>
  <c r="I985" i="9"/>
  <c r="H517" i="9"/>
  <c r="G517" i="9"/>
  <c r="F517" i="9"/>
  <c r="K6560" i="9"/>
  <c r="J6560" i="9"/>
  <c r="I6560" i="9"/>
  <c r="G5514" i="9"/>
  <c r="F5514" i="9"/>
  <c r="H5514" i="9"/>
  <c r="K5061" i="9"/>
  <c r="J5061" i="9"/>
  <c r="I5061" i="9"/>
  <c r="K4917" i="9"/>
  <c r="J4917" i="9"/>
  <c r="I4917" i="9"/>
  <c r="G4533" i="9"/>
  <c r="F4533" i="9"/>
  <c r="H4533" i="9"/>
  <c r="G4437" i="9"/>
  <c r="F4437" i="9"/>
  <c r="H4437" i="9"/>
  <c r="H4314" i="9"/>
  <c r="G4314" i="9"/>
  <c r="F4314" i="9"/>
  <c r="H4218" i="9"/>
  <c r="G4218" i="9"/>
  <c r="F4218" i="9"/>
  <c r="K6049" i="9"/>
  <c r="J6049" i="9"/>
  <c r="I6049" i="9"/>
  <c r="G5959" i="9"/>
  <c r="F5959" i="9"/>
  <c r="H5959" i="9"/>
  <c r="K5679" i="9"/>
  <c r="J5679" i="9"/>
  <c r="I5679" i="9"/>
  <c r="K5391" i="9"/>
  <c r="J5391" i="9"/>
  <c r="I5391" i="9"/>
  <c r="I4719" i="9"/>
  <c r="K4719" i="9"/>
  <c r="J4719" i="9"/>
  <c r="K3975" i="9"/>
  <c r="J3975" i="9"/>
  <c r="I3975" i="9"/>
  <c r="G5508" i="9"/>
  <c r="F5508" i="9"/>
  <c r="H5508" i="9"/>
  <c r="G5268" i="9"/>
  <c r="F5268" i="9"/>
  <c r="H5268" i="9"/>
  <c r="K4548" i="9"/>
  <c r="J4548" i="9"/>
  <c r="I4548" i="9"/>
  <c r="K6414" i="9"/>
  <c r="J6414" i="9"/>
  <c r="I6414" i="9"/>
  <c r="K6282" i="9"/>
  <c r="I6282" i="9"/>
  <c r="J6282" i="9"/>
  <c r="K6120" i="9"/>
  <c r="J6120" i="9"/>
  <c r="I6120" i="9"/>
  <c r="K5017" i="9"/>
  <c r="J5017" i="9"/>
  <c r="I5017" i="9"/>
  <c r="K4921" i="9"/>
  <c r="J4921" i="9"/>
  <c r="I4921" i="9"/>
  <c r="H4585" i="9"/>
  <c r="G4585" i="9"/>
  <c r="F4585" i="9"/>
  <c r="K5523" i="9"/>
  <c r="J5523" i="9"/>
  <c r="I5523" i="9"/>
  <c r="K5379" i="9"/>
  <c r="J5379" i="9"/>
  <c r="I5379" i="9"/>
  <c r="K5187" i="9"/>
  <c r="J5187" i="9"/>
  <c r="I5187" i="9"/>
  <c r="H4156" i="9"/>
  <c r="G4156" i="9"/>
  <c r="F4156" i="9"/>
  <c r="H6233" i="9"/>
  <c r="G6233" i="9"/>
  <c r="F6233" i="9"/>
  <c r="G5160" i="9"/>
  <c r="F5160" i="9"/>
  <c r="H5160" i="9"/>
  <c r="K6459" i="9"/>
  <c r="J6459" i="9"/>
  <c r="I6459" i="9"/>
  <c r="K6447" i="9"/>
  <c r="J6447" i="9"/>
  <c r="I6447" i="9"/>
  <c r="K6435" i="9"/>
  <c r="J6435" i="9"/>
  <c r="I6435" i="9"/>
  <c r="H6524" i="9"/>
  <c r="G6524" i="9"/>
  <c r="F6524" i="9"/>
  <c r="H6512" i="9"/>
  <c r="G6512" i="9"/>
  <c r="F6512" i="9"/>
  <c r="H6500" i="9"/>
  <c r="G6500" i="9"/>
  <c r="F6500" i="9"/>
  <c r="K6488" i="9"/>
  <c r="J6488" i="9"/>
  <c r="I6488" i="9"/>
  <c r="H6404" i="9"/>
  <c r="G6404" i="9"/>
  <c r="F6404" i="9"/>
  <c r="H6392" i="9"/>
  <c r="G6392" i="9"/>
  <c r="F6392" i="9"/>
  <c r="H6380" i="9"/>
  <c r="G6380" i="9"/>
  <c r="F6380" i="9"/>
  <c r="H6368" i="9"/>
  <c r="G6368" i="9"/>
  <c r="F6368" i="9"/>
  <c r="K6356" i="9"/>
  <c r="J6356" i="9"/>
  <c r="I6356" i="9"/>
  <c r="H6344" i="9"/>
  <c r="G6344" i="9"/>
  <c r="F6344" i="9"/>
  <c r="K5658" i="9"/>
  <c r="J5658" i="9"/>
  <c r="I5658" i="9"/>
  <c r="K5637" i="9"/>
  <c r="J5637" i="9"/>
  <c r="I5637" i="9"/>
  <c r="K5610" i="9"/>
  <c r="J5610" i="9"/>
  <c r="I5610" i="9"/>
  <c r="H5589" i="9"/>
  <c r="G5589" i="9"/>
  <c r="F5589" i="9"/>
  <c r="H5562" i="9"/>
  <c r="G5562" i="9"/>
  <c r="F5562" i="9"/>
  <c r="H5541" i="9"/>
  <c r="G5541" i="9"/>
  <c r="F5541" i="9"/>
  <c r="I5514" i="9"/>
  <c r="K5514" i="9"/>
  <c r="J5514" i="9"/>
  <c r="I5466" i="9"/>
  <c r="K5466" i="9"/>
  <c r="J5466" i="9"/>
  <c r="H5418" i="9"/>
  <c r="G5418" i="9"/>
  <c r="F5418" i="9"/>
  <c r="J5322" i="9"/>
  <c r="K5322" i="9"/>
  <c r="I5322" i="9"/>
  <c r="H4773" i="9"/>
  <c r="G4773" i="9"/>
  <c r="F4773" i="9"/>
  <c r="J4725" i="9"/>
  <c r="I4725" i="9"/>
  <c r="K4725" i="9"/>
  <c r="K4677" i="9"/>
  <c r="J4677" i="9"/>
  <c r="I4677" i="9"/>
  <c r="K4629" i="9"/>
  <c r="J4629" i="9"/>
  <c r="I4629" i="9"/>
  <c r="K4581" i="9"/>
  <c r="J4581" i="9"/>
  <c r="I4581" i="9"/>
  <c r="K4533" i="9"/>
  <c r="J4533" i="9"/>
  <c r="I4533" i="9"/>
  <c r="K4485" i="9"/>
  <c r="J4485" i="9"/>
  <c r="I4485" i="9"/>
  <c r="K4437" i="9"/>
  <c r="J4437" i="9"/>
  <c r="I4437" i="9"/>
  <c r="K4410" i="9"/>
  <c r="J4410" i="9"/>
  <c r="I4410" i="9"/>
  <c r="H4389" i="9"/>
  <c r="G4389" i="9"/>
  <c r="F4389" i="9"/>
  <c r="K4362" i="9"/>
  <c r="J4362" i="9"/>
  <c r="I4362" i="9"/>
  <c r="H4341" i="9"/>
  <c r="G4341" i="9"/>
  <c r="F4341" i="9"/>
  <c r="K4314" i="9"/>
  <c r="J4314" i="9"/>
  <c r="I4314" i="9"/>
  <c r="H4293" i="9"/>
  <c r="G4293" i="9"/>
  <c r="F4293" i="9"/>
  <c r="K4266" i="9"/>
  <c r="J4266" i="9"/>
  <c r="I4266" i="9"/>
  <c r="H4245" i="9"/>
  <c r="G4245" i="9"/>
  <c r="F4245" i="9"/>
  <c r="J4218" i="9"/>
  <c r="I4218" i="9"/>
  <c r="K4218" i="9"/>
  <c r="G4197" i="9"/>
  <c r="F4197" i="9"/>
  <c r="H4197" i="9"/>
  <c r="H6577" i="9"/>
  <c r="G6577" i="9"/>
  <c r="F6577" i="9"/>
  <c r="H6541" i="9"/>
  <c r="G6541" i="9"/>
  <c r="F6541" i="9"/>
  <c r="K6469" i="9"/>
  <c r="J6469" i="9"/>
  <c r="I6469" i="9"/>
  <c r="H6433" i="9"/>
  <c r="F6433" i="9"/>
  <c r="G6433" i="9"/>
  <c r="K6319" i="9"/>
  <c r="J6319" i="9"/>
  <c r="I6319" i="9"/>
  <c r="K6283" i="9"/>
  <c r="J6283" i="9"/>
  <c r="I6283" i="9"/>
  <c r="K6247" i="9"/>
  <c r="J6247" i="9"/>
  <c r="I6247" i="9"/>
  <c r="K6211" i="9"/>
  <c r="J6211" i="9"/>
  <c r="I6211" i="9"/>
  <c r="K6175" i="9"/>
  <c r="J6175" i="9"/>
  <c r="I6175" i="9"/>
  <c r="H6139" i="9"/>
  <c r="F6139" i="9"/>
  <c r="G6139" i="9"/>
  <c r="K6121" i="9"/>
  <c r="J6121" i="9"/>
  <c r="I6121" i="9"/>
  <c r="K6085" i="9"/>
  <c r="J6085" i="9"/>
  <c r="I6085" i="9"/>
  <c r="H6049" i="9"/>
  <c r="G6049" i="9"/>
  <c r="F6049" i="9"/>
  <c r="K6013" i="9"/>
  <c r="J6013" i="9"/>
  <c r="I6013" i="9"/>
  <c r="K5995" i="9"/>
  <c r="J5995" i="9"/>
  <c r="I5995" i="9"/>
  <c r="K5959" i="9"/>
  <c r="J5959" i="9"/>
  <c r="I5959" i="9"/>
  <c r="K5923" i="9"/>
  <c r="J5923" i="9"/>
  <c r="I5923" i="9"/>
  <c r="K5887" i="9"/>
  <c r="J5887" i="9"/>
  <c r="I5887" i="9"/>
  <c r="H5869" i="9"/>
  <c r="G5869" i="9"/>
  <c r="F5869" i="9"/>
  <c r="H5833" i="9"/>
  <c r="G5833" i="9"/>
  <c r="F5833" i="9"/>
  <c r="H5797" i="9"/>
  <c r="G5797" i="9"/>
  <c r="F5797" i="9"/>
  <c r="H5743" i="9"/>
  <c r="G5743" i="9"/>
  <c r="F5743" i="9"/>
  <c r="H5707" i="9"/>
  <c r="G5707" i="9"/>
  <c r="F5707" i="9"/>
  <c r="K5439" i="9"/>
  <c r="J5439" i="9"/>
  <c r="I5439" i="9"/>
  <c r="G5391" i="9"/>
  <c r="H5391" i="9"/>
  <c r="F5391" i="9"/>
  <c r="H5247" i="9"/>
  <c r="G5247" i="9"/>
  <c r="F5247" i="9"/>
  <c r="H5103" i="9"/>
  <c r="G5103" i="9"/>
  <c r="F5103" i="9"/>
  <c r="H5055" i="9"/>
  <c r="G5055" i="9"/>
  <c r="F5055" i="9"/>
  <c r="H5007" i="9"/>
  <c r="G5007" i="9"/>
  <c r="F5007" i="9"/>
  <c r="H4959" i="9"/>
  <c r="G4959" i="9"/>
  <c r="F4959" i="9"/>
  <c r="H4911" i="9"/>
  <c r="G4911" i="9"/>
  <c r="F4911" i="9"/>
  <c r="H4863" i="9"/>
  <c r="G4863" i="9"/>
  <c r="F4863" i="9"/>
  <c r="I5508" i="9"/>
  <c r="K5508" i="9"/>
  <c r="J5508" i="9"/>
  <c r="G5460" i="9"/>
  <c r="F5460" i="9"/>
  <c r="H5460" i="9"/>
  <c r="I5316" i="9"/>
  <c r="K5316" i="9"/>
  <c r="J5316" i="9"/>
  <c r="K5268" i="9"/>
  <c r="J5268" i="9"/>
  <c r="I5268" i="9"/>
  <c r="K5220" i="9"/>
  <c r="J5220" i="9"/>
  <c r="I5220" i="9"/>
  <c r="K5172" i="9"/>
  <c r="J5172" i="9"/>
  <c r="I5172" i="9"/>
  <c r="K5124" i="9"/>
  <c r="J5124" i="9"/>
  <c r="I5124" i="9"/>
  <c r="H5076" i="9"/>
  <c r="G5076" i="9"/>
  <c r="F5076" i="9"/>
  <c r="H5028" i="9"/>
  <c r="G5028" i="9"/>
  <c r="F5028" i="9"/>
  <c r="H4980" i="9"/>
  <c r="G4980" i="9"/>
  <c r="F4980" i="9"/>
  <c r="H4932" i="9"/>
  <c r="G4932" i="9"/>
  <c r="F4932" i="9"/>
  <c r="H4884" i="9"/>
  <c r="G4884" i="9"/>
  <c r="F4884" i="9"/>
  <c r="H4836" i="9"/>
  <c r="F4836" i="9"/>
  <c r="G4836" i="9"/>
  <c r="I4212" i="9"/>
  <c r="J4212" i="9"/>
  <c r="K4212" i="9"/>
  <c r="H4133" i="9"/>
  <c r="G4133" i="9"/>
  <c r="F4133" i="9"/>
  <c r="H4061" i="9"/>
  <c r="G4061" i="9"/>
  <c r="F4061" i="9"/>
  <c r="H3989" i="9"/>
  <c r="G3989" i="9"/>
  <c r="F3989" i="9"/>
  <c r="H3917" i="9"/>
  <c r="G3917" i="9"/>
  <c r="F3917" i="9"/>
  <c r="H6342" i="9"/>
  <c r="G6342" i="9"/>
  <c r="F6342" i="9"/>
  <c r="G6138" i="9"/>
  <c r="H6138" i="9"/>
  <c r="F6138" i="9"/>
  <c r="H6030" i="9"/>
  <c r="G6030" i="9"/>
  <c r="F6030" i="9"/>
  <c r="H5832" i="9"/>
  <c r="G5832" i="9"/>
  <c r="F5832" i="9"/>
  <c r="H5796" i="9"/>
  <c r="G5796" i="9"/>
  <c r="F5796" i="9"/>
  <c r="K5742" i="9"/>
  <c r="J5742" i="9"/>
  <c r="I5742" i="9"/>
  <c r="H5706" i="9"/>
  <c r="G5706" i="9"/>
  <c r="F5706" i="9"/>
  <c r="H5614" i="9"/>
  <c r="G5614" i="9"/>
  <c r="F5614" i="9"/>
  <c r="F5497" i="9"/>
  <c r="H5497" i="9"/>
  <c r="G5497" i="9"/>
  <c r="H5470" i="9"/>
  <c r="G5470" i="9"/>
  <c r="F5470" i="9"/>
  <c r="K5326" i="9"/>
  <c r="I5326" i="9"/>
  <c r="J5326" i="9"/>
  <c r="F5305" i="9"/>
  <c r="H5305" i="9"/>
  <c r="G5305" i="9"/>
  <c r="K5257" i="9"/>
  <c r="J5257" i="9"/>
  <c r="I5257" i="9"/>
  <c r="H5209" i="9"/>
  <c r="F5209" i="9"/>
  <c r="G5209" i="9"/>
  <c r="H5161" i="9"/>
  <c r="F5161" i="9"/>
  <c r="G5161" i="9"/>
  <c r="F5113" i="9"/>
  <c r="H5113" i="9"/>
  <c r="G5113" i="9"/>
  <c r="K5086" i="9"/>
  <c r="J5086" i="9"/>
  <c r="I5086" i="9"/>
  <c r="K5038" i="9"/>
  <c r="J5038" i="9"/>
  <c r="I5038" i="9"/>
  <c r="K4990" i="9"/>
  <c r="J4990" i="9"/>
  <c r="I4990" i="9"/>
  <c r="K4942" i="9"/>
  <c r="J4942" i="9"/>
  <c r="I4942" i="9"/>
  <c r="K4894" i="9"/>
  <c r="J4894" i="9"/>
  <c r="I4894" i="9"/>
  <c r="K4846" i="9"/>
  <c r="J4846" i="9"/>
  <c r="I4846" i="9"/>
  <c r="H4798" i="9"/>
  <c r="G4798" i="9"/>
  <c r="F4798" i="9"/>
  <c r="K4681" i="9"/>
  <c r="J4681" i="9"/>
  <c r="I4681" i="9"/>
  <c r="K4633" i="9"/>
  <c r="J4633" i="9"/>
  <c r="I4633" i="9"/>
  <c r="K4585" i="9"/>
  <c r="J4585" i="9"/>
  <c r="I4585" i="9"/>
  <c r="K4537" i="9"/>
  <c r="J4537" i="9"/>
  <c r="I4537" i="9"/>
  <c r="K4489" i="9"/>
  <c r="J4489" i="9"/>
  <c r="I4489" i="9"/>
  <c r="K4441" i="9"/>
  <c r="J4441" i="9"/>
  <c r="I4441" i="9"/>
  <c r="H4123" i="9"/>
  <c r="G4123" i="9"/>
  <c r="F4123" i="9"/>
  <c r="K5427" i="9"/>
  <c r="J5427" i="9"/>
  <c r="I5427" i="9"/>
  <c r="H5379" i="9"/>
  <c r="G5379" i="9"/>
  <c r="F5379" i="9"/>
  <c r="J5331" i="9"/>
  <c r="I5331" i="9"/>
  <c r="K5331" i="9"/>
  <c r="H5235" i="9"/>
  <c r="F5235" i="9"/>
  <c r="G5235" i="9"/>
  <c r="H5091" i="9"/>
  <c r="G5091" i="9"/>
  <c r="F5091" i="9"/>
  <c r="H5043" i="9"/>
  <c r="G5043" i="9"/>
  <c r="F5043" i="9"/>
  <c r="H4995" i="9"/>
  <c r="G4995" i="9"/>
  <c r="F4995" i="9"/>
  <c r="H4947" i="9"/>
  <c r="G4947" i="9"/>
  <c r="F4947" i="9"/>
  <c r="H4899" i="9"/>
  <c r="G4899" i="9"/>
  <c r="F4899" i="9"/>
  <c r="H4851" i="9"/>
  <c r="G4851" i="9"/>
  <c r="F4851" i="9"/>
  <c r="K4156" i="9"/>
  <c r="J4156" i="9"/>
  <c r="I4156" i="9"/>
  <c r="K4084" i="9"/>
  <c r="J4084" i="9"/>
  <c r="I4084" i="9"/>
  <c r="K6401" i="9"/>
  <c r="J6401" i="9"/>
  <c r="I6401" i="9"/>
  <c r="K6365" i="9"/>
  <c r="J6365" i="9"/>
  <c r="I6365" i="9"/>
  <c r="K6341" i="9"/>
  <c r="J6341" i="9"/>
  <c r="I6341" i="9"/>
  <c r="K6233" i="9"/>
  <c r="J6233" i="9"/>
  <c r="I6233" i="9"/>
  <c r="K6197" i="9"/>
  <c r="J6197" i="9"/>
  <c r="I6197" i="9"/>
  <c r="K6161" i="9"/>
  <c r="J6161" i="9"/>
  <c r="I6161" i="9"/>
  <c r="K6107" i="9"/>
  <c r="J6107" i="9"/>
  <c r="I6107" i="9"/>
  <c r="J6071" i="9"/>
  <c r="I6071" i="9"/>
  <c r="K6071" i="9"/>
  <c r="J6035" i="9"/>
  <c r="I6035" i="9"/>
  <c r="K6035" i="9"/>
  <c r="I6017" i="9"/>
  <c r="K6017" i="9"/>
  <c r="J6017" i="9"/>
  <c r="H5999" i="9"/>
  <c r="G5999" i="9"/>
  <c r="F5999" i="9"/>
  <c r="H5927" i="9"/>
  <c r="G5927" i="9"/>
  <c r="F5927" i="9"/>
  <c r="H5891" i="9"/>
  <c r="G5891" i="9"/>
  <c r="F5891" i="9"/>
  <c r="K5855" i="9"/>
  <c r="J5855" i="9"/>
  <c r="I5855" i="9"/>
  <c r="K5819" i="9"/>
  <c r="J5819" i="9"/>
  <c r="I5819" i="9"/>
  <c r="K5783" i="9"/>
  <c r="J5783" i="9"/>
  <c r="I5783" i="9"/>
  <c r="K5765" i="9"/>
  <c r="J5765" i="9"/>
  <c r="I5765" i="9"/>
  <c r="K5729" i="9"/>
  <c r="J5729" i="9"/>
  <c r="I5729" i="9"/>
  <c r="H5544" i="9"/>
  <c r="G5544" i="9"/>
  <c r="F5544" i="9"/>
  <c r="I5496" i="9"/>
  <c r="K5496" i="9"/>
  <c r="J5496" i="9"/>
  <c r="K5304" i="9"/>
  <c r="J5304" i="9"/>
  <c r="I5304" i="9"/>
  <c r="H5256" i="9"/>
  <c r="G5256" i="9"/>
  <c r="F5256" i="9"/>
  <c r="K5208" i="9"/>
  <c r="J5208" i="9"/>
  <c r="I5208" i="9"/>
  <c r="K5160" i="9"/>
  <c r="J5160" i="9"/>
  <c r="I5160" i="9"/>
  <c r="K5112" i="9"/>
  <c r="J5112" i="9"/>
  <c r="I5112" i="9"/>
  <c r="H5064" i="9"/>
  <c r="G5064" i="9"/>
  <c r="F5064" i="9"/>
  <c r="H5016" i="9"/>
  <c r="G5016" i="9"/>
  <c r="F5016" i="9"/>
  <c r="H4968" i="9"/>
  <c r="G4968" i="9"/>
  <c r="F4968" i="9"/>
  <c r="H4920" i="9"/>
  <c r="G4920" i="9"/>
  <c r="F4920" i="9"/>
  <c r="H4872" i="9"/>
  <c r="G4872" i="9"/>
  <c r="F4872" i="9"/>
  <c r="H4824" i="9"/>
  <c r="G4824" i="9"/>
  <c r="F4824" i="9"/>
  <c r="K4680" i="9"/>
  <c r="J4680" i="9"/>
  <c r="I4680" i="9"/>
  <c r="K4632" i="9"/>
  <c r="J4632" i="9"/>
  <c r="I4632" i="9"/>
  <c r="K4584" i="9"/>
  <c r="J4584" i="9"/>
  <c r="I4584" i="9"/>
  <c r="K4536" i="9"/>
  <c r="J4536" i="9"/>
  <c r="I4536" i="9"/>
  <c r="K4488" i="9"/>
  <c r="J4488" i="9"/>
  <c r="I4488" i="9"/>
  <c r="K4440" i="9"/>
  <c r="J4440" i="9"/>
  <c r="I4440" i="9"/>
  <c r="H4122" i="9"/>
  <c r="G4122" i="9"/>
  <c r="F4122" i="9"/>
  <c r="H4050" i="9"/>
  <c r="G4050" i="9"/>
  <c r="F4050" i="9"/>
  <c r="H3978" i="9"/>
  <c r="G3978" i="9"/>
  <c r="F3978" i="9"/>
  <c r="H3863" i="9"/>
  <c r="G3863" i="9"/>
  <c r="F3863" i="9"/>
  <c r="H3791" i="9"/>
  <c r="G3791" i="9"/>
  <c r="F3791" i="9"/>
  <c r="K5693" i="9"/>
  <c r="J5693" i="9"/>
  <c r="I5693" i="9"/>
  <c r="H5405" i="9"/>
  <c r="G5405" i="9"/>
  <c r="F5405" i="9"/>
  <c r="H5357" i="9"/>
  <c r="G5357" i="9"/>
  <c r="F5357" i="9"/>
  <c r="K5309" i="9"/>
  <c r="J5309" i="9"/>
  <c r="I5309" i="9"/>
  <c r="H5282" i="9"/>
  <c r="G5282" i="9"/>
  <c r="F5282" i="9"/>
  <c r="H5261" i="9"/>
  <c r="G5261" i="9"/>
  <c r="F5261" i="9"/>
  <c r="H5234" i="9"/>
  <c r="F5234" i="9"/>
  <c r="G5234" i="9"/>
  <c r="H5186" i="9"/>
  <c r="G5186" i="9"/>
  <c r="F5186" i="9"/>
  <c r="H5138" i="9"/>
  <c r="G5138" i="9"/>
  <c r="F5138" i="9"/>
  <c r="H5117" i="9"/>
  <c r="G5117" i="9"/>
  <c r="F5117" i="9"/>
  <c r="K5090" i="9"/>
  <c r="J5090" i="9"/>
  <c r="I5090" i="9"/>
  <c r="K5042" i="9"/>
  <c r="J5042" i="9"/>
  <c r="I5042" i="9"/>
  <c r="K4994" i="9"/>
  <c r="J4994" i="9"/>
  <c r="I4994" i="9"/>
  <c r="K4946" i="9"/>
  <c r="J4946" i="9"/>
  <c r="I4946" i="9"/>
  <c r="K4898" i="9"/>
  <c r="J4898" i="9"/>
  <c r="I4898" i="9"/>
  <c r="K4850" i="9"/>
  <c r="J4850" i="9"/>
  <c r="I4850" i="9"/>
  <c r="H6598" i="9"/>
  <c r="G6598" i="9"/>
  <c r="F6598" i="9"/>
  <c r="H6562" i="9"/>
  <c r="G6562" i="9"/>
  <c r="F6562" i="9"/>
  <c r="H6526" i="9"/>
  <c r="G6526" i="9"/>
  <c r="F6526" i="9"/>
  <c r="K6490" i="9"/>
  <c r="J6490" i="9"/>
  <c r="I6490" i="9"/>
  <c r="H6346" i="9"/>
  <c r="G6346" i="9"/>
  <c r="F6346" i="9"/>
  <c r="H6298" i="9"/>
  <c r="G6298" i="9"/>
  <c r="F6298" i="9"/>
  <c r="K6046" i="9"/>
  <c r="J6046" i="9"/>
  <c r="I6046" i="9"/>
  <c r="K6010" i="9"/>
  <c r="I6010" i="9"/>
  <c r="J6010" i="9"/>
  <c r="H5902" i="9"/>
  <c r="G5902" i="9"/>
  <c r="F5902" i="9"/>
  <c r="K5740" i="9"/>
  <c r="J5740" i="9"/>
  <c r="I5740" i="9"/>
  <c r="K5704" i="9"/>
  <c r="J5704" i="9"/>
  <c r="I5704" i="9"/>
  <c r="H5671" i="9"/>
  <c r="G5671" i="9"/>
  <c r="F5671" i="9"/>
  <c r="K5575" i="9"/>
  <c r="J5575" i="9"/>
  <c r="I5575" i="9"/>
  <c r="H5527" i="9"/>
  <c r="G5527" i="9"/>
  <c r="F5527" i="9"/>
  <c r="H5479" i="9"/>
  <c r="F5479" i="9"/>
  <c r="G5479" i="9"/>
  <c r="F5335" i="9"/>
  <c r="H5335" i="9"/>
  <c r="G5335" i="9"/>
  <c r="H5660" i="9"/>
  <c r="G5660" i="9"/>
  <c r="F5660" i="9"/>
  <c r="H5612" i="9"/>
  <c r="G5612" i="9"/>
  <c r="F5612" i="9"/>
  <c r="K5564" i="9"/>
  <c r="J5564" i="9"/>
  <c r="I5564" i="9"/>
  <c r="H5324" i="9"/>
  <c r="G5324" i="9"/>
  <c r="F5324" i="9"/>
  <c r="K4796" i="9"/>
  <c r="J4796" i="9"/>
  <c r="I4796" i="9"/>
  <c r="K4748" i="9"/>
  <c r="J4748" i="9"/>
  <c r="I4748" i="9"/>
  <c r="K6597" i="9"/>
  <c r="J6597" i="9"/>
  <c r="I6597" i="9"/>
  <c r="K6561" i="9"/>
  <c r="J6561" i="9"/>
  <c r="I6561" i="9"/>
  <c r="H6525" i="9"/>
  <c r="G6525" i="9"/>
  <c r="F6525" i="9"/>
  <c r="H6489" i="9"/>
  <c r="G6489" i="9"/>
  <c r="F6489" i="9"/>
  <c r="K6333" i="9"/>
  <c r="J6333" i="9"/>
  <c r="I6333" i="9"/>
  <c r="K6297" i="9"/>
  <c r="J6297" i="9"/>
  <c r="I6297" i="9"/>
  <c r="K5973" i="9"/>
  <c r="J5973" i="9"/>
  <c r="I5973" i="9"/>
  <c r="K5937" i="9"/>
  <c r="J5937" i="9"/>
  <c r="I5937" i="9"/>
  <c r="K5901" i="9"/>
  <c r="J5901" i="9"/>
  <c r="I5901" i="9"/>
  <c r="K5865" i="9"/>
  <c r="J5865" i="9"/>
  <c r="I5865" i="9"/>
  <c r="K5829" i="9"/>
  <c r="J5829" i="9"/>
  <c r="I5829" i="9"/>
  <c r="K5793" i="9"/>
  <c r="J5793" i="9"/>
  <c r="I5793" i="9"/>
  <c r="K5681" i="9"/>
  <c r="J5681" i="9"/>
  <c r="I5681" i="9"/>
  <c r="J5489" i="9"/>
  <c r="K5489" i="9"/>
  <c r="I5489" i="9"/>
  <c r="K5441" i="9"/>
  <c r="J5441" i="9"/>
  <c r="I5441" i="9"/>
  <c r="H5393" i="9"/>
  <c r="G5393" i="9"/>
  <c r="F5393" i="9"/>
  <c r="H5297" i="9"/>
  <c r="G5297" i="9"/>
  <c r="F5297" i="9"/>
  <c r="H5270" i="9"/>
  <c r="G5270" i="9"/>
  <c r="F5270" i="9"/>
  <c r="H5222" i="9"/>
  <c r="G5222" i="9"/>
  <c r="F5222" i="9"/>
  <c r="K5659" i="9"/>
  <c r="J5659" i="9"/>
  <c r="I5659" i="9"/>
  <c r="H5611" i="9"/>
  <c r="G5611" i="9"/>
  <c r="F5611" i="9"/>
  <c r="H5515" i="9"/>
  <c r="F5515" i="9"/>
  <c r="G5515" i="9"/>
  <c r="K5467" i="9"/>
  <c r="J5467" i="9"/>
  <c r="I5467" i="9"/>
  <c r="H5371" i="9"/>
  <c r="G5371" i="9"/>
  <c r="F5371" i="9"/>
  <c r="F5323" i="9"/>
  <c r="H5323" i="9"/>
  <c r="G5323" i="9"/>
  <c r="K4168" i="9"/>
  <c r="J4168" i="9"/>
  <c r="I4168" i="9"/>
  <c r="K4096" i="9"/>
  <c r="J4096" i="9"/>
  <c r="I4096" i="9"/>
  <c r="K4024" i="9"/>
  <c r="J4024" i="9"/>
  <c r="I4024" i="9"/>
  <c r="K3952" i="9"/>
  <c r="J3952" i="9"/>
  <c r="I3952" i="9"/>
  <c r="K3909" i="9"/>
  <c r="J3909" i="9"/>
  <c r="I3909" i="9"/>
  <c r="H6446" i="9"/>
  <c r="G6446" i="9"/>
  <c r="F6446" i="9"/>
  <c r="H6260" i="9"/>
  <c r="G6260" i="9"/>
  <c r="F6260" i="9"/>
  <c r="H6224" i="9"/>
  <c r="G6224" i="9"/>
  <c r="F6224" i="9"/>
  <c r="H6188" i="9"/>
  <c r="G6188" i="9"/>
  <c r="F6188" i="9"/>
  <c r="H6152" i="9"/>
  <c r="G6152" i="9"/>
  <c r="F6152" i="9"/>
  <c r="H6098" i="9"/>
  <c r="G6098" i="9"/>
  <c r="F6098" i="9"/>
  <c r="G6062" i="9"/>
  <c r="F6062" i="9"/>
  <c r="H6062" i="9"/>
  <c r="G6026" i="9"/>
  <c r="F6026" i="9"/>
  <c r="H6026" i="9"/>
  <c r="H5756" i="9"/>
  <c r="G5756" i="9"/>
  <c r="F5756" i="9"/>
  <c r="H5720" i="9"/>
  <c r="G5720" i="9"/>
  <c r="F5720" i="9"/>
  <c r="I5520" i="9"/>
  <c r="K5520" i="9"/>
  <c r="J5520" i="9"/>
  <c r="I5472" i="9"/>
  <c r="K5472" i="9"/>
  <c r="J5472" i="9"/>
  <c r="K5280" i="9"/>
  <c r="J5280" i="9"/>
  <c r="I5280" i="9"/>
  <c r="K5232" i="9"/>
  <c r="J5232" i="9"/>
  <c r="I5232" i="9"/>
  <c r="K5184" i="9"/>
  <c r="J5184" i="9"/>
  <c r="I5184" i="9"/>
  <c r="K5136" i="9"/>
  <c r="J5136" i="9"/>
  <c r="I5136" i="9"/>
  <c r="H5088" i="9"/>
  <c r="G5088" i="9"/>
  <c r="F5088" i="9"/>
  <c r="H5040" i="9"/>
  <c r="G5040" i="9"/>
  <c r="F5040" i="9"/>
  <c r="H4992" i="9"/>
  <c r="G4992" i="9"/>
  <c r="F4992" i="9"/>
  <c r="H4944" i="9"/>
  <c r="G4944" i="9"/>
  <c r="F4944" i="9"/>
  <c r="H4896" i="9"/>
  <c r="G4896" i="9"/>
  <c r="F4896" i="9"/>
  <c r="H4848" i="9"/>
  <c r="G4848" i="9"/>
  <c r="F4848" i="9"/>
  <c r="K4704" i="9"/>
  <c r="J4704" i="9"/>
  <c r="I4704" i="9"/>
  <c r="K4656" i="9"/>
  <c r="J4656" i="9"/>
  <c r="I4656" i="9"/>
  <c r="K4608" i="9"/>
  <c r="J4608" i="9"/>
  <c r="I4608" i="9"/>
  <c r="K4560" i="9"/>
  <c r="J4560" i="9"/>
  <c r="I4560" i="9"/>
  <c r="K4512" i="9"/>
  <c r="J4512" i="9"/>
  <c r="I4512" i="9"/>
  <c r="K4464" i="9"/>
  <c r="J4464" i="9"/>
  <c r="I4464" i="9"/>
  <c r="H4158" i="9"/>
  <c r="G4158" i="9"/>
  <c r="F4158" i="9"/>
  <c r="H4086" i="9"/>
  <c r="G4086" i="9"/>
  <c r="F4086" i="9"/>
  <c r="H4014" i="9"/>
  <c r="G4014" i="9"/>
  <c r="F4014" i="9"/>
  <c r="H3942" i="9"/>
  <c r="G3942" i="9"/>
  <c r="F3942" i="9"/>
  <c r="H3899" i="9"/>
  <c r="G3899" i="9"/>
  <c r="F3899" i="9"/>
  <c r="H4737" i="9"/>
  <c r="G4737" i="9"/>
  <c r="F4737" i="9"/>
  <c r="K4545" i="9"/>
  <c r="J4545" i="9"/>
  <c r="I4545" i="9"/>
  <c r="J4434" i="9"/>
  <c r="K4434" i="9"/>
  <c r="I4434" i="9"/>
  <c r="H4353" i="9"/>
  <c r="G4353" i="9"/>
  <c r="F4353" i="9"/>
  <c r="K4242" i="9"/>
  <c r="J4242" i="9"/>
  <c r="I4242" i="9"/>
  <c r="H4145" i="9"/>
  <c r="G4145" i="9"/>
  <c r="F4145" i="9"/>
  <c r="H3979" i="9"/>
  <c r="G3979" i="9"/>
  <c r="F3979" i="9"/>
  <c r="H3953" i="9"/>
  <c r="G3953" i="9"/>
  <c r="F3953" i="9"/>
  <c r="K3916" i="9"/>
  <c r="I3916" i="9"/>
  <c r="J3916" i="9"/>
  <c r="K3800" i="9"/>
  <c r="J3800" i="9"/>
  <c r="I3800" i="9"/>
  <c r="K3705" i="9"/>
  <c r="J3705" i="9"/>
  <c r="I3705" i="9"/>
  <c r="K3681" i="9"/>
  <c r="J3681" i="9"/>
  <c r="I3681" i="9"/>
  <c r="H3657" i="9"/>
  <c r="G3657" i="9"/>
  <c r="F3657" i="9"/>
  <c r="H3633" i="9"/>
  <c r="G3633" i="9"/>
  <c r="F3633" i="9"/>
  <c r="K3345" i="9"/>
  <c r="J3345" i="9"/>
  <c r="I3345" i="9"/>
  <c r="K3321" i="9"/>
  <c r="J3321" i="9"/>
  <c r="I3321" i="9"/>
  <c r="K3297" i="9"/>
  <c r="J3297" i="9"/>
  <c r="I3297" i="9"/>
  <c r="K3273" i="9"/>
  <c r="J3273" i="9"/>
  <c r="I3273" i="9"/>
  <c r="K3249" i="9"/>
  <c r="I3249" i="9"/>
  <c r="J3249" i="9"/>
  <c r="K3225" i="9"/>
  <c r="J3225" i="9"/>
  <c r="I3225" i="9"/>
  <c r="K3201" i="9"/>
  <c r="J3201" i="9"/>
  <c r="I3201" i="9"/>
  <c r="K3177" i="9"/>
  <c r="J3177" i="9"/>
  <c r="I3177" i="9"/>
  <c r="K3153" i="9"/>
  <c r="J3153" i="9"/>
  <c r="I3153" i="9"/>
  <c r="K3129" i="9"/>
  <c r="J3129" i="9"/>
  <c r="I3129" i="9"/>
  <c r="K3105" i="9"/>
  <c r="J3105" i="9"/>
  <c r="I3105" i="9"/>
  <c r="K3081" i="9"/>
  <c r="J3081" i="9"/>
  <c r="I3081" i="9"/>
  <c r="K3057" i="9"/>
  <c r="J3057" i="9"/>
  <c r="I3057" i="9"/>
  <c r="F2505" i="9"/>
  <c r="H2505" i="9"/>
  <c r="G2505" i="9"/>
  <c r="F2481" i="9"/>
  <c r="H2481" i="9"/>
  <c r="G2481" i="9"/>
  <c r="H1921" i="9"/>
  <c r="G1921" i="9"/>
  <c r="F1921" i="9"/>
  <c r="K1777" i="9"/>
  <c r="J1777" i="9"/>
  <c r="I1777" i="9"/>
  <c r="K1707" i="9"/>
  <c r="J1707" i="9"/>
  <c r="I1707" i="9"/>
  <c r="H1672" i="9"/>
  <c r="G1672" i="9"/>
  <c r="F1672" i="9"/>
  <c r="K1633" i="9"/>
  <c r="J1633" i="9"/>
  <c r="I1633" i="9"/>
  <c r="K1563" i="9"/>
  <c r="J1563" i="9"/>
  <c r="I1563" i="9"/>
  <c r="F1356" i="9"/>
  <c r="H1356" i="9"/>
  <c r="G1356" i="9"/>
  <c r="K1320" i="9"/>
  <c r="J1320" i="9"/>
  <c r="I1320" i="9"/>
  <c r="K1260" i="9"/>
  <c r="J1260" i="9"/>
  <c r="I1260" i="9"/>
  <c r="K1236" i="9"/>
  <c r="J1236" i="9"/>
  <c r="I1236" i="9"/>
  <c r="K1212" i="9"/>
  <c r="J1212" i="9"/>
  <c r="I1212" i="9"/>
  <c r="K1128" i="9"/>
  <c r="J1128" i="9"/>
  <c r="I1128" i="9"/>
  <c r="K1104" i="9"/>
  <c r="J1104" i="9"/>
  <c r="I1104" i="9"/>
  <c r="K1092" i="9"/>
  <c r="J1092" i="9"/>
  <c r="I1092" i="9"/>
  <c r="K1032" i="9"/>
  <c r="J1032" i="9"/>
  <c r="I1032" i="9"/>
  <c r="K828" i="9"/>
  <c r="J828" i="9"/>
  <c r="I828" i="9"/>
  <c r="K732" i="9"/>
  <c r="I732" i="9"/>
  <c r="J732" i="9"/>
  <c r="K684" i="9"/>
  <c r="I684" i="9"/>
  <c r="J684" i="9"/>
  <c r="H472" i="9"/>
  <c r="G472" i="9"/>
  <c r="F472" i="9"/>
  <c r="H448" i="9"/>
  <c r="G448" i="9"/>
  <c r="F448" i="9"/>
  <c r="H424" i="9"/>
  <c r="G424" i="9"/>
  <c r="F424" i="9"/>
  <c r="H412" i="9"/>
  <c r="G412" i="9"/>
  <c r="F412" i="9"/>
  <c r="K372" i="9"/>
  <c r="J372" i="9"/>
  <c r="I372" i="9"/>
  <c r="K348" i="9"/>
  <c r="J348" i="9"/>
  <c r="I348" i="9"/>
  <c r="K324" i="9"/>
  <c r="J324" i="9"/>
  <c r="I324" i="9"/>
  <c r="K312" i="9"/>
  <c r="J312" i="9"/>
  <c r="I312" i="9"/>
  <c r="K156" i="9"/>
  <c r="J156" i="9"/>
  <c r="I156" i="9"/>
  <c r="K132" i="9"/>
  <c r="J132" i="9"/>
  <c r="I132" i="9"/>
  <c r="H4063" i="9"/>
  <c r="G4063" i="9"/>
  <c r="F4063" i="9"/>
  <c r="J3921" i="9"/>
  <c r="I3921" i="9"/>
  <c r="K3921" i="9"/>
  <c r="H3594" i="9"/>
  <c r="G3594" i="9"/>
  <c r="F3594" i="9"/>
  <c r="H3522" i="9"/>
  <c r="G3522" i="9"/>
  <c r="F3522" i="9"/>
  <c r="H3450" i="9"/>
  <c r="G3450" i="9"/>
  <c r="F3450" i="9"/>
  <c r="H3378" i="9"/>
  <c r="G3378" i="9"/>
  <c r="F3378" i="9"/>
  <c r="H2730" i="9"/>
  <c r="G2730" i="9"/>
  <c r="F2730" i="9"/>
  <c r="H2658" i="9"/>
  <c r="G2658" i="9"/>
  <c r="F2658" i="9"/>
  <c r="H2586" i="9"/>
  <c r="G2586" i="9"/>
  <c r="F2586" i="9"/>
  <c r="H2514" i="9"/>
  <c r="F2514" i="9"/>
  <c r="G2514" i="9"/>
  <c r="H1528" i="9"/>
  <c r="G1528" i="9"/>
  <c r="F1528" i="9"/>
  <c r="H1516" i="9"/>
  <c r="G1516" i="9"/>
  <c r="F1516" i="9"/>
  <c r="H1504" i="9"/>
  <c r="G1504" i="9"/>
  <c r="F1504" i="9"/>
  <c r="H1480" i="9"/>
  <c r="G1480" i="9"/>
  <c r="F1480" i="9"/>
  <c r="H1468" i="9"/>
  <c r="G1468" i="9"/>
  <c r="F1468" i="9"/>
  <c r="H1456" i="9"/>
  <c r="G1456" i="9"/>
  <c r="F1456" i="9"/>
  <c r="H1432" i="9"/>
  <c r="G1432" i="9"/>
  <c r="F1432" i="9"/>
  <c r="H1420" i="9"/>
  <c r="G1420" i="9"/>
  <c r="F1420" i="9"/>
  <c r="H1384" i="9"/>
  <c r="G1384" i="9"/>
  <c r="F1384" i="9"/>
  <c r="H1372" i="9"/>
  <c r="G1372" i="9"/>
  <c r="F1372" i="9"/>
  <c r="H1360" i="9"/>
  <c r="G1360" i="9"/>
  <c r="F1360" i="9"/>
  <c r="F1344" i="9"/>
  <c r="H1344" i="9"/>
  <c r="G1344" i="9"/>
  <c r="K1284" i="9"/>
  <c r="J1284" i="9"/>
  <c r="I1284" i="9"/>
  <c r="K1176" i="9"/>
  <c r="J1176" i="9"/>
  <c r="I1176" i="9"/>
  <c r="K1140" i="9"/>
  <c r="J1140" i="9"/>
  <c r="I1140" i="9"/>
  <c r="K1080" i="9"/>
  <c r="J1080" i="9"/>
  <c r="I1080" i="9"/>
  <c r="K1008" i="9"/>
  <c r="J1008" i="9"/>
  <c r="I1008" i="9"/>
  <c r="K960" i="9"/>
  <c r="J960" i="9"/>
  <c r="I960" i="9"/>
  <c r="K936" i="9"/>
  <c r="J936" i="9"/>
  <c r="I936" i="9"/>
  <c r="K900" i="9"/>
  <c r="J900" i="9"/>
  <c r="I900" i="9"/>
  <c r="K804" i="9"/>
  <c r="J804" i="9"/>
  <c r="I804" i="9"/>
  <c r="K780" i="9"/>
  <c r="J780" i="9"/>
  <c r="I780" i="9"/>
  <c r="K756" i="9"/>
  <c r="I756" i="9"/>
  <c r="J756" i="9"/>
  <c r="K708" i="9"/>
  <c r="I708" i="9"/>
  <c r="J708" i="9"/>
  <c r="K636" i="9"/>
  <c r="I636" i="9"/>
  <c r="J636" i="9"/>
  <c r="K588" i="9"/>
  <c r="I588" i="9"/>
  <c r="J588" i="9"/>
  <c r="K528" i="9"/>
  <c r="I528" i="9"/>
  <c r="J528" i="9"/>
  <c r="K492" i="9"/>
  <c r="I492" i="9"/>
  <c r="J492" i="9"/>
  <c r="K408" i="9"/>
  <c r="I408" i="9"/>
  <c r="J408" i="9"/>
  <c r="K252" i="9"/>
  <c r="J252" i="9"/>
  <c r="I252" i="9"/>
  <c r="K240" i="9"/>
  <c r="J240" i="9"/>
  <c r="I240" i="9"/>
  <c r="H5126" i="9"/>
  <c r="G5126" i="9"/>
  <c r="F5126" i="9"/>
  <c r="K4982" i="9"/>
  <c r="J4982" i="9"/>
  <c r="I4982" i="9"/>
  <c r="K4838" i="9"/>
  <c r="J4838" i="9"/>
  <c r="I4838" i="9"/>
  <c r="K4701" i="9"/>
  <c r="J4701" i="9"/>
  <c r="I4701" i="9"/>
  <c r="K4509" i="9"/>
  <c r="J4509" i="9"/>
  <c r="I4509" i="9"/>
  <c r="H4317" i="9"/>
  <c r="G4317" i="9"/>
  <c r="F4317" i="9"/>
  <c r="H3931" i="9"/>
  <c r="G3931" i="9"/>
  <c r="F3931" i="9"/>
  <c r="K3824" i="9"/>
  <c r="J3824" i="9"/>
  <c r="I3824" i="9"/>
  <c r="K3728" i="9"/>
  <c r="J3728" i="9"/>
  <c r="I3728" i="9"/>
  <c r="K3704" i="9"/>
  <c r="J3704" i="9"/>
  <c r="I3704" i="9"/>
  <c r="K3680" i="9"/>
  <c r="J3680" i="9"/>
  <c r="I3680" i="9"/>
  <c r="I3656" i="9"/>
  <c r="K3656" i="9"/>
  <c r="J3656" i="9"/>
  <c r="H3632" i="9"/>
  <c r="G3632" i="9"/>
  <c r="F3632" i="9"/>
  <c r="K3344" i="9"/>
  <c r="J3344" i="9"/>
  <c r="I3344" i="9"/>
  <c r="K3320" i="9"/>
  <c r="J3320" i="9"/>
  <c r="I3320" i="9"/>
  <c r="K3296" i="9"/>
  <c r="J3296" i="9"/>
  <c r="I3296" i="9"/>
  <c r="K3272" i="9"/>
  <c r="J3272" i="9"/>
  <c r="I3272" i="9"/>
  <c r="J3248" i="9"/>
  <c r="I3248" i="9"/>
  <c r="K3248" i="9"/>
  <c r="I3224" i="9"/>
  <c r="K3224" i="9"/>
  <c r="J3224" i="9"/>
  <c r="I3200" i="9"/>
  <c r="K3200" i="9"/>
  <c r="J3200" i="9"/>
  <c r="I3176" i="9"/>
  <c r="K3176" i="9"/>
  <c r="J3176" i="9"/>
  <c r="I3152" i="9"/>
  <c r="K3152" i="9"/>
  <c r="J3152" i="9"/>
  <c r="I3128" i="9"/>
  <c r="K3128" i="9"/>
  <c r="J3128" i="9"/>
  <c r="I3104" i="9"/>
  <c r="K3104" i="9"/>
  <c r="J3104" i="9"/>
  <c r="I3080" i="9"/>
  <c r="K3080" i="9"/>
  <c r="J3080" i="9"/>
  <c r="I3056" i="9"/>
  <c r="K3056" i="9"/>
  <c r="J3056" i="9"/>
  <c r="K3032" i="9"/>
  <c r="J3032" i="9"/>
  <c r="I3032" i="9"/>
  <c r="K3008" i="9"/>
  <c r="J3008" i="9"/>
  <c r="I3008" i="9"/>
  <c r="K2984" i="9"/>
  <c r="J2984" i="9"/>
  <c r="I2984" i="9"/>
  <c r="K2960" i="9"/>
  <c r="J2960" i="9"/>
  <c r="I2960" i="9"/>
  <c r="K2936" i="9"/>
  <c r="J2936" i="9"/>
  <c r="I2936" i="9"/>
  <c r="K2912" i="9"/>
  <c r="J2912" i="9"/>
  <c r="I2912" i="9"/>
  <c r="K2888" i="9"/>
  <c r="J2888" i="9"/>
  <c r="I2888" i="9"/>
  <c r="K2864" i="9"/>
  <c r="J2864" i="9"/>
  <c r="I2864" i="9"/>
  <c r="K2840" i="9"/>
  <c r="J2840" i="9"/>
  <c r="I2840" i="9"/>
  <c r="K2816" i="9"/>
  <c r="J2816" i="9"/>
  <c r="I2816" i="9"/>
  <c r="K2792" i="9"/>
  <c r="J2792" i="9"/>
  <c r="I2792" i="9"/>
  <c r="K2016" i="9"/>
  <c r="I2016" i="9"/>
  <c r="J2016" i="9"/>
  <c r="H1942" i="9"/>
  <c r="G1942" i="9"/>
  <c r="F1942" i="9"/>
  <c r="K1872" i="9"/>
  <c r="I1872" i="9"/>
  <c r="J1872" i="9"/>
  <c r="K4689" i="9"/>
  <c r="J4689" i="9"/>
  <c r="I4689" i="9"/>
  <c r="K4497" i="9"/>
  <c r="J4497" i="9"/>
  <c r="I4497" i="9"/>
  <c r="K4386" i="9"/>
  <c r="J4386" i="9"/>
  <c r="I4386" i="9"/>
  <c r="H4305" i="9"/>
  <c r="G4305" i="9"/>
  <c r="F4305" i="9"/>
  <c r="H4194" i="9"/>
  <c r="G4194" i="9"/>
  <c r="F4194" i="9"/>
  <c r="H3779" i="9"/>
  <c r="G3779" i="9"/>
  <c r="F3779" i="9"/>
  <c r="G3646" i="9"/>
  <c r="F3646" i="9"/>
  <c r="H3646" i="9"/>
  <c r="H3358" i="9"/>
  <c r="G3358" i="9"/>
  <c r="F3358" i="9"/>
  <c r="K3286" i="9"/>
  <c r="J3286" i="9"/>
  <c r="I3286" i="9"/>
  <c r="G3214" i="9"/>
  <c r="F3214" i="9"/>
  <c r="H3214" i="9"/>
  <c r="G3070" i="9"/>
  <c r="F3070" i="9"/>
  <c r="H3070" i="9"/>
  <c r="F2998" i="9"/>
  <c r="H2998" i="9"/>
  <c r="G2998" i="9"/>
  <c r="F2926" i="9"/>
  <c r="H2926" i="9"/>
  <c r="G2926" i="9"/>
  <c r="F2854" i="9"/>
  <c r="H2854" i="9"/>
  <c r="G2854" i="9"/>
  <c r="G2494" i="9"/>
  <c r="F2494" i="9"/>
  <c r="H2494" i="9"/>
  <c r="K2422" i="9"/>
  <c r="J2422" i="9"/>
  <c r="I2422" i="9"/>
  <c r="H2350" i="9"/>
  <c r="G2350" i="9"/>
  <c r="F2350" i="9"/>
  <c r="K2278" i="9"/>
  <c r="J2278" i="9"/>
  <c r="I2278" i="9"/>
  <c r="K2206" i="9"/>
  <c r="J2206" i="9"/>
  <c r="I2206" i="9"/>
  <c r="K2134" i="9"/>
  <c r="J2134" i="9"/>
  <c r="I2134" i="9"/>
  <c r="H2062" i="9"/>
  <c r="G2062" i="9"/>
  <c r="F2062" i="9"/>
  <c r="H1981" i="9"/>
  <c r="G1981" i="9"/>
  <c r="F1981" i="9"/>
  <c r="G1946" i="9"/>
  <c r="F1946" i="9"/>
  <c r="H1946" i="9"/>
  <c r="H1837" i="9"/>
  <c r="G1837" i="9"/>
  <c r="F1837" i="9"/>
  <c r="G1802" i="9"/>
  <c r="F1802" i="9"/>
  <c r="H1802" i="9"/>
  <c r="K1767" i="9"/>
  <c r="J1767" i="9"/>
  <c r="I1767" i="9"/>
  <c r="H1732" i="9"/>
  <c r="G1732" i="9"/>
  <c r="F1732" i="9"/>
  <c r="K1693" i="9"/>
  <c r="J1693" i="9"/>
  <c r="I1693" i="9"/>
  <c r="K1623" i="9"/>
  <c r="J1623" i="9"/>
  <c r="I1623" i="9"/>
  <c r="H1588" i="9"/>
  <c r="G1588" i="9"/>
  <c r="F1588" i="9"/>
  <c r="K1549" i="9"/>
  <c r="J1549" i="9"/>
  <c r="I1549" i="9"/>
  <c r="J459" i="9"/>
  <c r="I459" i="9"/>
  <c r="K459" i="9"/>
  <c r="H183" i="9"/>
  <c r="G183" i="9"/>
  <c r="F183" i="9"/>
  <c r="H99" i="9"/>
  <c r="G99" i="9"/>
  <c r="F99" i="9"/>
  <c r="H75" i="9"/>
  <c r="G75" i="9"/>
  <c r="F75" i="9"/>
  <c r="H4694" i="9"/>
  <c r="G4694" i="9"/>
  <c r="F4694" i="9"/>
  <c r="K4572" i="9"/>
  <c r="J4572" i="9"/>
  <c r="I4572" i="9"/>
  <c r="H4502" i="9"/>
  <c r="G4502" i="9"/>
  <c r="F4502" i="9"/>
  <c r="H4188" i="9"/>
  <c r="G4188" i="9"/>
  <c r="F4188" i="9"/>
  <c r="H3967" i="9"/>
  <c r="G3967" i="9"/>
  <c r="F3967" i="9"/>
  <c r="K3764" i="9"/>
  <c r="J3764" i="9"/>
  <c r="I3764" i="9"/>
  <c r="L3764" i="9" s="1"/>
  <c r="M3764" i="9" s="1"/>
  <c r="K2988" i="9"/>
  <c r="J2988" i="9"/>
  <c r="I2988" i="9"/>
  <c r="K2964" i="9"/>
  <c r="J2964" i="9"/>
  <c r="I2964" i="9"/>
  <c r="K2916" i="9"/>
  <c r="J2916" i="9"/>
  <c r="I2916" i="9"/>
  <c r="K2892" i="9"/>
  <c r="J2892" i="9"/>
  <c r="I2892" i="9"/>
  <c r="K2844" i="9"/>
  <c r="J2844" i="9"/>
  <c r="I2844" i="9"/>
  <c r="K2820" i="9"/>
  <c r="J2820" i="9"/>
  <c r="I2820" i="9"/>
  <c r="K2508" i="9"/>
  <c r="J2508" i="9"/>
  <c r="I2508" i="9"/>
  <c r="K2484" i="9"/>
  <c r="J2484" i="9"/>
  <c r="I2484" i="9"/>
  <c r="K2460" i="9"/>
  <c r="J2460" i="9"/>
  <c r="I2460" i="9"/>
  <c r="K2436" i="9"/>
  <c r="J2436" i="9"/>
  <c r="I2436" i="9"/>
  <c r="H2388" i="9"/>
  <c r="G2388" i="9"/>
  <c r="F2388" i="9"/>
  <c r="H2364" i="9"/>
  <c r="G2364" i="9"/>
  <c r="F2364" i="9"/>
  <c r="K2316" i="9"/>
  <c r="J2316" i="9"/>
  <c r="I2316" i="9"/>
  <c r="K2292" i="9"/>
  <c r="J2292" i="9"/>
  <c r="I2292" i="9"/>
  <c r="K2268" i="9"/>
  <c r="J2268" i="9"/>
  <c r="I2268" i="9"/>
  <c r="K2244" i="9"/>
  <c r="J2244" i="9"/>
  <c r="I2244" i="9"/>
  <c r="K2220" i="9"/>
  <c r="J2220" i="9"/>
  <c r="I2220" i="9"/>
  <c r="K2196" i="9"/>
  <c r="J2196" i="9"/>
  <c r="I2196" i="9"/>
  <c r="K2172" i="9"/>
  <c r="J2172" i="9"/>
  <c r="I2172" i="9"/>
  <c r="K2148" i="9"/>
  <c r="J2148" i="9"/>
  <c r="I2148" i="9"/>
  <c r="K2124" i="9"/>
  <c r="J2124" i="9"/>
  <c r="I2124" i="9"/>
  <c r="K2100" i="9"/>
  <c r="J2100" i="9"/>
  <c r="I2100" i="9"/>
  <c r="K2076" i="9"/>
  <c r="J2076" i="9"/>
  <c r="I2076" i="9"/>
  <c r="K2052" i="9"/>
  <c r="I2052" i="9"/>
  <c r="J2052" i="9"/>
  <c r="G1806" i="9"/>
  <c r="F1806" i="9"/>
  <c r="H1806" i="9"/>
  <c r="K1527" i="9"/>
  <c r="J1527" i="9"/>
  <c r="I1527" i="9"/>
  <c r="K1515" i="9"/>
  <c r="J1515" i="9"/>
  <c r="I1515" i="9"/>
  <c r="K1491" i="9"/>
  <c r="J1491" i="9"/>
  <c r="I1491" i="9"/>
  <c r="K1479" i="9"/>
  <c r="J1479" i="9"/>
  <c r="I1479" i="9"/>
  <c r="H1467" i="9"/>
  <c r="G1467" i="9"/>
  <c r="F1467" i="9"/>
  <c r="K1443" i="9"/>
  <c r="J1443" i="9"/>
  <c r="I1443" i="9"/>
  <c r="K1431" i="9"/>
  <c r="J1431" i="9"/>
  <c r="I1431" i="9"/>
  <c r="K1419" i="9"/>
  <c r="J1419" i="9"/>
  <c r="I1419" i="9"/>
  <c r="K1395" i="9"/>
  <c r="J1395" i="9"/>
  <c r="I1395" i="9"/>
  <c r="K1383" i="9"/>
  <c r="J1383" i="9"/>
  <c r="I1383" i="9"/>
  <c r="K1371" i="9"/>
  <c r="J1371" i="9"/>
  <c r="I1371" i="9"/>
  <c r="H1359" i="9"/>
  <c r="G1359" i="9"/>
  <c r="F1359" i="9"/>
  <c r="K1347" i="9"/>
  <c r="J1347" i="9"/>
  <c r="I1347" i="9"/>
  <c r="H1059" i="9"/>
  <c r="G1059" i="9"/>
  <c r="F1059" i="9"/>
  <c r="H1035" i="9"/>
  <c r="G1035" i="9"/>
  <c r="F1035" i="9"/>
  <c r="H1023" i="9"/>
  <c r="G1023" i="9"/>
  <c r="F1023" i="9"/>
  <c r="H999" i="9"/>
  <c r="G999" i="9"/>
  <c r="F999" i="9"/>
  <c r="H987" i="9"/>
  <c r="G987" i="9"/>
  <c r="F987" i="9"/>
  <c r="H963" i="9"/>
  <c r="G963" i="9"/>
  <c r="F963" i="9"/>
  <c r="H951" i="9"/>
  <c r="G951" i="9"/>
  <c r="F951" i="9"/>
  <c r="H927" i="9"/>
  <c r="G927" i="9"/>
  <c r="F927" i="9"/>
  <c r="H915" i="9"/>
  <c r="G915" i="9"/>
  <c r="F915" i="9"/>
  <c r="H891" i="9"/>
  <c r="G891" i="9"/>
  <c r="F891" i="9"/>
  <c r="H879" i="9"/>
  <c r="G879" i="9"/>
  <c r="F879" i="9"/>
  <c r="H855" i="9"/>
  <c r="G855" i="9"/>
  <c r="F855" i="9"/>
  <c r="H843" i="9"/>
  <c r="G843" i="9"/>
  <c r="F843" i="9"/>
  <c r="H447" i="9"/>
  <c r="F447" i="9"/>
  <c r="G447" i="9"/>
  <c r="J411" i="9"/>
  <c r="I411" i="9"/>
  <c r="K411" i="9"/>
  <c r="H399" i="9"/>
  <c r="F399" i="9"/>
  <c r="G399" i="9"/>
  <c r="H375" i="9"/>
  <c r="G375" i="9"/>
  <c r="F375" i="9"/>
  <c r="H363" i="9"/>
  <c r="G363" i="9"/>
  <c r="F363" i="9"/>
  <c r="H351" i="9"/>
  <c r="G351" i="9"/>
  <c r="F351" i="9"/>
  <c r="H339" i="9"/>
  <c r="G339" i="9"/>
  <c r="F339" i="9"/>
  <c r="H327" i="9"/>
  <c r="G327" i="9"/>
  <c r="F327" i="9"/>
  <c r="H315" i="9"/>
  <c r="G315" i="9"/>
  <c r="F315" i="9"/>
  <c r="H303" i="9"/>
  <c r="G303" i="9"/>
  <c r="F303" i="9"/>
  <c r="H87" i="9"/>
  <c r="G87" i="9"/>
  <c r="F87" i="9"/>
  <c r="H39" i="9"/>
  <c r="G39" i="9"/>
  <c r="F39" i="9"/>
  <c r="H15" i="9"/>
  <c r="G15" i="9"/>
  <c r="F15" i="9"/>
  <c r="K4653" i="9"/>
  <c r="J4653" i="9"/>
  <c r="I4653" i="9"/>
  <c r="K4461" i="9"/>
  <c r="J4461" i="9"/>
  <c r="I4461" i="9"/>
  <c r="H4269" i="9"/>
  <c r="G4269" i="9"/>
  <c r="F4269" i="9"/>
  <c r="I3170" i="9"/>
  <c r="K3170" i="9"/>
  <c r="J3170" i="9"/>
  <c r="I3098" i="9"/>
  <c r="K3098" i="9"/>
  <c r="J3098" i="9"/>
  <c r="H2450" i="9"/>
  <c r="G2450" i="9"/>
  <c r="F2450" i="9"/>
  <c r="H2378" i="9"/>
  <c r="G2378" i="9"/>
  <c r="F2378" i="9"/>
  <c r="H2306" i="9"/>
  <c r="G2306" i="9"/>
  <c r="F2306" i="9"/>
  <c r="H2234" i="9"/>
  <c r="G2234" i="9"/>
  <c r="F2234" i="9"/>
  <c r="H2162" i="9"/>
  <c r="G2162" i="9"/>
  <c r="F2162" i="9"/>
  <c r="H2090" i="9"/>
  <c r="G2090" i="9"/>
  <c r="F2090" i="9"/>
  <c r="K2028" i="9"/>
  <c r="I2028" i="9"/>
  <c r="J2028" i="9"/>
  <c r="H1954" i="9"/>
  <c r="G1954" i="9"/>
  <c r="F1954" i="9"/>
  <c r="K1884" i="9"/>
  <c r="I1884" i="9"/>
  <c r="J1884" i="9"/>
  <c r="K4641" i="9"/>
  <c r="J4641" i="9"/>
  <c r="I4641" i="9"/>
  <c r="K4449" i="9"/>
  <c r="J4449" i="9"/>
  <c r="I4449" i="9"/>
  <c r="K4338" i="9"/>
  <c r="J4338" i="9"/>
  <c r="I4338" i="9"/>
  <c r="H4257" i="9"/>
  <c r="G4257" i="9"/>
  <c r="F4257" i="9"/>
  <c r="H4159" i="9"/>
  <c r="G4159" i="9"/>
  <c r="F4159" i="9"/>
  <c r="K3788" i="9"/>
  <c r="J3788" i="9"/>
  <c r="I3788" i="9"/>
  <c r="K3717" i="9"/>
  <c r="J3717" i="9"/>
  <c r="I3717" i="9"/>
  <c r="K3693" i="9"/>
  <c r="J3693" i="9"/>
  <c r="I3693" i="9"/>
  <c r="K3669" i="9"/>
  <c r="J3669" i="9"/>
  <c r="I3669" i="9"/>
  <c r="H3645" i="9"/>
  <c r="G3645" i="9"/>
  <c r="F3645" i="9"/>
  <c r="F3357" i="9"/>
  <c r="H3357" i="9"/>
  <c r="G3357" i="9"/>
  <c r="K3333" i="9"/>
  <c r="J3333" i="9"/>
  <c r="I3333" i="9"/>
  <c r="K3309" i="9"/>
  <c r="J3309" i="9"/>
  <c r="I3309" i="9"/>
  <c r="K3285" i="9"/>
  <c r="J3285" i="9"/>
  <c r="I3285" i="9"/>
  <c r="K3261" i="9"/>
  <c r="J3261" i="9"/>
  <c r="I3261" i="9"/>
  <c r="K3237" i="9"/>
  <c r="J3237" i="9"/>
  <c r="I3237" i="9"/>
  <c r="H3213" i="9"/>
  <c r="G3213" i="9"/>
  <c r="F3213" i="9"/>
  <c r="H3189" i="9"/>
  <c r="G3189" i="9"/>
  <c r="F3189" i="9"/>
  <c r="H3165" i="9"/>
  <c r="G3165" i="9"/>
  <c r="F3165" i="9"/>
  <c r="H3141" i="9"/>
  <c r="G3141" i="9"/>
  <c r="F3141" i="9"/>
  <c r="H3117" i="9"/>
  <c r="G3117" i="9"/>
  <c r="F3117" i="9"/>
  <c r="H3093" i="9"/>
  <c r="G3093" i="9"/>
  <c r="F3093" i="9"/>
  <c r="H3069" i="9"/>
  <c r="G3069" i="9"/>
  <c r="F3069" i="9"/>
  <c r="H3045" i="9"/>
  <c r="G3045" i="9"/>
  <c r="F3045" i="9"/>
  <c r="G3021" i="9"/>
  <c r="H3021" i="9"/>
  <c r="F3021" i="9"/>
  <c r="G2949" i="9"/>
  <c r="H2949" i="9"/>
  <c r="F2949" i="9"/>
  <c r="G2877" i="9"/>
  <c r="H2877" i="9"/>
  <c r="F2877" i="9"/>
  <c r="G2805" i="9"/>
  <c r="H2805" i="9"/>
  <c r="F2805" i="9"/>
  <c r="K2493" i="9"/>
  <c r="J2493" i="9"/>
  <c r="I2493" i="9"/>
  <c r="G2006" i="9"/>
  <c r="F2006" i="9"/>
  <c r="H2006" i="9"/>
  <c r="G1862" i="9"/>
  <c r="F1862" i="9"/>
  <c r="H1862" i="9"/>
  <c r="K1753" i="9"/>
  <c r="J1753" i="9"/>
  <c r="I1753" i="9"/>
  <c r="K1683" i="9"/>
  <c r="J1683" i="9"/>
  <c r="I1683" i="9"/>
  <c r="H1648" i="9"/>
  <c r="G1648" i="9"/>
  <c r="F1648" i="9"/>
  <c r="K1609" i="9"/>
  <c r="J1609" i="9"/>
  <c r="I1609" i="9"/>
  <c r="K1539" i="9"/>
  <c r="J1539" i="9"/>
  <c r="I1539" i="9"/>
  <c r="K3908" i="9"/>
  <c r="J3908" i="9"/>
  <c r="I3908" i="9"/>
  <c r="H3731" i="9"/>
  <c r="G3731" i="9"/>
  <c r="F3731" i="9"/>
  <c r="H3606" i="9"/>
  <c r="G3606" i="9"/>
  <c r="F3606" i="9"/>
  <c r="H3534" i="9"/>
  <c r="G3534" i="9"/>
  <c r="F3534" i="9"/>
  <c r="H3462" i="9"/>
  <c r="G3462" i="9"/>
  <c r="F3462" i="9"/>
  <c r="H3390" i="9"/>
  <c r="G3390" i="9"/>
  <c r="F3390" i="9"/>
  <c r="H2742" i="9"/>
  <c r="G2742" i="9"/>
  <c r="F2742" i="9"/>
  <c r="H2670" i="9"/>
  <c r="G2670" i="9"/>
  <c r="F2670" i="9"/>
  <c r="H2598" i="9"/>
  <c r="G2598" i="9"/>
  <c r="F2598" i="9"/>
  <c r="H2526" i="9"/>
  <c r="G2526" i="9"/>
  <c r="F2526" i="9"/>
  <c r="H1334" i="9"/>
  <c r="G1334" i="9"/>
  <c r="F1334" i="9"/>
  <c r="H1310" i="9"/>
  <c r="G1310" i="9"/>
  <c r="F1310" i="9"/>
  <c r="H1298" i="9"/>
  <c r="G1298" i="9"/>
  <c r="F1298" i="9"/>
  <c r="H1286" i="9"/>
  <c r="G1286" i="9"/>
  <c r="F1286" i="9"/>
  <c r="H1262" i="9"/>
  <c r="G1262" i="9"/>
  <c r="F1262" i="9"/>
  <c r="H1250" i="9"/>
  <c r="G1250" i="9"/>
  <c r="F1250" i="9"/>
  <c r="H1238" i="9"/>
  <c r="G1238" i="9"/>
  <c r="F1238" i="9"/>
  <c r="H1214" i="9"/>
  <c r="G1214" i="9"/>
  <c r="F1214" i="9"/>
  <c r="H1202" i="9"/>
  <c r="G1202" i="9"/>
  <c r="F1202" i="9"/>
  <c r="H1190" i="9"/>
  <c r="G1190" i="9"/>
  <c r="F1190" i="9"/>
  <c r="H1166" i="9"/>
  <c r="G1166" i="9"/>
  <c r="F1166" i="9"/>
  <c r="H1154" i="9"/>
  <c r="G1154" i="9"/>
  <c r="F1154" i="9"/>
  <c r="H1142" i="9"/>
  <c r="G1142" i="9"/>
  <c r="F1142" i="9"/>
  <c r="H1118" i="9"/>
  <c r="G1118" i="9"/>
  <c r="F1118" i="9"/>
  <c r="H1106" i="9"/>
  <c r="G1106" i="9"/>
  <c r="F1106" i="9"/>
  <c r="H1094" i="9"/>
  <c r="G1094" i="9"/>
  <c r="F1094" i="9"/>
  <c r="H1070" i="9"/>
  <c r="G1070" i="9"/>
  <c r="F1070" i="9"/>
  <c r="K1058" i="9"/>
  <c r="J1058" i="9"/>
  <c r="I1058" i="9"/>
  <c r="H1046" i="9"/>
  <c r="G1046" i="9"/>
  <c r="F1046" i="9"/>
  <c r="H1034" i="9"/>
  <c r="G1034" i="9"/>
  <c r="F1034" i="9"/>
  <c r="K1022" i="9"/>
  <c r="J1022" i="9"/>
  <c r="I1022" i="9"/>
  <c r="H1010" i="9"/>
  <c r="G1010" i="9"/>
  <c r="F1010" i="9"/>
  <c r="H998" i="9"/>
  <c r="G998" i="9"/>
  <c r="F998" i="9"/>
  <c r="K986" i="9"/>
  <c r="J986" i="9"/>
  <c r="I986" i="9"/>
  <c r="H974" i="9"/>
  <c r="G974" i="9"/>
  <c r="F974" i="9"/>
  <c r="H962" i="9"/>
  <c r="G962" i="9"/>
  <c r="F962" i="9"/>
  <c r="K950" i="9"/>
  <c r="J950" i="9"/>
  <c r="I950" i="9"/>
  <c r="H938" i="9"/>
  <c r="G938" i="9"/>
  <c r="F938" i="9"/>
  <c r="K914" i="9"/>
  <c r="J914" i="9"/>
  <c r="I914" i="9"/>
  <c r="H902" i="9"/>
  <c r="G902" i="9"/>
  <c r="F902" i="9"/>
  <c r="H890" i="9"/>
  <c r="G890" i="9"/>
  <c r="F890" i="9"/>
  <c r="K878" i="9"/>
  <c r="J878" i="9"/>
  <c r="I878" i="9"/>
  <c r="H866" i="9"/>
  <c r="G866" i="9"/>
  <c r="F866" i="9"/>
  <c r="H854" i="9"/>
  <c r="G854" i="9"/>
  <c r="F854" i="9"/>
  <c r="K842" i="9"/>
  <c r="J842" i="9"/>
  <c r="I842" i="9"/>
  <c r="H830" i="9"/>
  <c r="G830" i="9"/>
  <c r="F830" i="9"/>
  <c r="H818" i="9"/>
  <c r="G818" i="9"/>
  <c r="F818" i="9"/>
  <c r="H794" i="9"/>
  <c r="G794" i="9"/>
  <c r="F794" i="9"/>
  <c r="H782" i="9"/>
  <c r="G782" i="9"/>
  <c r="F782" i="9"/>
  <c r="G758" i="9"/>
  <c r="F758" i="9"/>
  <c r="H758" i="9"/>
  <c r="G746" i="9"/>
  <c r="F746" i="9"/>
  <c r="H746" i="9"/>
  <c r="G722" i="9"/>
  <c r="F722" i="9"/>
  <c r="H722" i="9"/>
  <c r="G710" i="9"/>
  <c r="F710" i="9"/>
  <c r="H710" i="9"/>
  <c r="G686" i="9"/>
  <c r="F686" i="9"/>
  <c r="H686" i="9"/>
  <c r="G674" i="9"/>
  <c r="F674" i="9"/>
  <c r="H674" i="9"/>
  <c r="G650" i="9"/>
  <c r="F650" i="9"/>
  <c r="H650" i="9"/>
  <c r="G638" i="9"/>
  <c r="F638" i="9"/>
  <c r="H638" i="9"/>
  <c r="G614" i="9"/>
  <c r="F614" i="9"/>
  <c r="H614" i="9"/>
  <c r="G602" i="9"/>
  <c r="F602" i="9"/>
  <c r="H602" i="9"/>
  <c r="G578" i="9"/>
  <c r="F578" i="9"/>
  <c r="H578" i="9"/>
  <c r="G566" i="9"/>
  <c r="F566" i="9"/>
  <c r="H566" i="9"/>
  <c r="G542" i="9"/>
  <c r="F542" i="9"/>
  <c r="H542" i="9"/>
  <c r="G530" i="9"/>
  <c r="F530" i="9"/>
  <c r="H530" i="9"/>
  <c r="G506" i="9"/>
  <c r="F506" i="9"/>
  <c r="H506" i="9"/>
  <c r="G494" i="9"/>
  <c r="F494" i="9"/>
  <c r="H494" i="9"/>
  <c r="G482" i="9"/>
  <c r="H482" i="9"/>
  <c r="F482" i="9"/>
  <c r="G458" i="9"/>
  <c r="H458" i="9"/>
  <c r="F458" i="9"/>
  <c r="G434" i="9"/>
  <c r="H434" i="9"/>
  <c r="F434" i="9"/>
  <c r="G410" i="9"/>
  <c r="H410" i="9"/>
  <c r="F410" i="9"/>
  <c r="K26" i="9"/>
  <c r="J26" i="9"/>
  <c r="I26" i="9"/>
  <c r="I3625" i="9"/>
  <c r="K3625" i="9"/>
  <c r="J3625" i="9"/>
  <c r="H3361" i="9"/>
  <c r="F3361" i="9"/>
  <c r="G3361" i="9"/>
  <c r="J3217" i="9"/>
  <c r="I3217" i="9"/>
  <c r="K3217" i="9"/>
  <c r="J3193" i="9"/>
  <c r="I3193" i="9"/>
  <c r="K3193" i="9"/>
  <c r="J3169" i="9"/>
  <c r="I3169" i="9"/>
  <c r="K3169" i="9"/>
  <c r="J3145" i="9"/>
  <c r="I3145" i="9"/>
  <c r="K3145" i="9"/>
  <c r="J3121" i="9"/>
  <c r="I3121" i="9"/>
  <c r="K3121" i="9"/>
  <c r="J3097" i="9"/>
  <c r="I3097" i="9"/>
  <c r="K3097" i="9"/>
  <c r="J3073" i="9"/>
  <c r="I3073" i="9"/>
  <c r="K3073" i="9"/>
  <c r="J3049" i="9"/>
  <c r="I3049" i="9"/>
  <c r="K3049" i="9"/>
  <c r="J3025" i="9"/>
  <c r="I3025" i="9"/>
  <c r="K3025" i="9"/>
  <c r="G3001" i="9"/>
  <c r="F3001" i="9"/>
  <c r="H3001" i="9"/>
  <c r="J2977" i="9"/>
  <c r="I2977" i="9"/>
  <c r="K2977" i="9"/>
  <c r="J2953" i="9"/>
  <c r="I2953" i="9"/>
  <c r="K2953" i="9"/>
  <c r="G2929" i="9"/>
  <c r="F2929" i="9"/>
  <c r="H2929" i="9"/>
  <c r="J2905" i="9"/>
  <c r="I2905" i="9"/>
  <c r="K2905" i="9"/>
  <c r="J2881" i="9"/>
  <c r="I2881" i="9"/>
  <c r="K2881" i="9"/>
  <c r="G2857" i="9"/>
  <c r="F2857" i="9"/>
  <c r="H2857" i="9"/>
  <c r="J2833" i="9"/>
  <c r="I2833" i="9"/>
  <c r="K2833" i="9"/>
  <c r="J2809" i="9"/>
  <c r="I2809" i="9"/>
  <c r="K2809" i="9"/>
  <c r="G2785" i="9"/>
  <c r="F2785" i="9"/>
  <c r="H2785" i="9"/>
  <c r="H2497" i="9"/>
  <c r="G2497" i="9"/>
  <c r="F2497" i="9"/>
  <c r="K2473" i="9"/>
  <c r="J2473" i="9"/>
  <c r="I2473" i="9"/>
  <c r="H2425" i="9"/>
  <c r="G2425" i="9"/>
  <c r="F2425" i="9"/>
  <c r="K2401" i="9"/>
  <c r="J2401" i="9"/>
  <c r="I2401" i="9"/>
  <c r="H2377" i="9"/>
  <c r="G2377" i="9"/>
  <c r="F2377" i="9"/>
  <c r="H2353" i="9"/>
  <c r="G2353" i="9"/>
  <c r="F2353" i="9"/>
  <c r="H2329" i="9"/>
  <c r="G2329" i="9"/>
  <c r="F2329" i="9"/>
  <c r="H2305" i="9"/>
  <c r="G2305" i="9"/>
  <c r="F2305" i="9"/>
  <c r="H2281" i="9"/>
  <c r="G2281" i="9"/>
  <c r="F2281" i="9"/>
  <c r="H2257" i="9"/>
  <c r="G2257" i="9"/>
  <c r="F2257" i="9"/>
  <c r="H2233" i="9"/>
  <c r="G2233" i="9"/>
  <c r="F2233" i="9"/>
  <c r="H2209" i="9"/>
  <c r="G2209" i="9"/>
  <c r="F2209" i="9"/>
  <c r="H2185" i="9"/>
  <c r="G2185" i="9"/>
  <c r="F2185" i="9"/>
  <c r="H2161" i="9"/>
  <c r="G2161" i="9"/>
  <c r="F2161" i="9"/>
  <c r="H2137" i="9"/>
  <c r="G2137" i="9"/>
  <c r="F2137" i="9"/>
  <c r="H2113" i="9"/>
  <c r="G2113" i="9"/>
  <c r="F2113" i="9"/>
  <c r="H2089" i="9"/>
  <c r="G2089" i="9"/>
  <c r="F2089" i="9"/>
  <c r="H2065" i="9"/>
  <c r="G2065" i="9"/>
  <c r="F2065" i="9"/>
  <c r="H2014" i="9"/>
  <c r="G2014" i="9"/>
  <c r="F2014" i="9"/>
  <c r="K1944" i="9"/>
  <c r="I1944" i="9"/>
  <c r="J1944" i="9"/>
  <c r="H1870" i="9"/>
  <c r="G1870" i="9"/>
  <c r="F1870" i="9"/>
  <c r="K4593" i="9"/>
  <c r="J4593" i="9"/>
  <c r="I4593" i="9"/>
  <c r="H4401" i="9"/>
  <c r="G4401" i="9"/>
  <c r="F4401" i="9"/>
  <c r="K4290" i="9"/>
  <c r="J4290" i="9"/>
  <c r="I4290" i="9"/>
  <c r="G4209" i="9"/>
  <c r="F4209" i="9"/>
  <c r="H4209" i="9"/>
  <c r="G3658" i="9"/>
  <c r="F3658" i="9"/>
  <c r="H3658" i="9"/>
  <c r="K3298" i="9"/>
  <c r="J3298" i="9"/>
  <c r="I3298" i="9"/>
  <c r="G3226" i="9"/>
  <c r="F3226" i="9"/>
  <c r="H3226" i="9"/>
  <c r="G3154" i="9"/>
  <c r="F3154" i="9"/>
  <c r="H3154" i="9"/>
  <c r="G3082" i="9"/>
  <c r="F3082" i="9"/>
  <c r="H3082" i="9"/>
  <c r="F3010" i="9"/>
  <c r="H3010" i="9"/>
  <c r="G3010" i="9"/>
  <c r="F2938" i="9"/>
  <c r="H2938" i="9"/>
  <c r="G2938" i="9"/>
  <c r="F2866" i="9"/>
  <c r="H2866" i="9"/>
  <c r="G2866" i="9"/>
  <c r="F2794" i="9"/>
  <c r="H2794" i="9"/>
  <c r="G2794" i="9"/>
  <c r="K2434" i="9"/>
  <c r="J2434" i="9"/>
  <c r="I2434" i="9"/>
  <c r="F2362" i="9"/>
  <c r="H2362" i="9"/>
  <c r="G2362" i="9"/>
  <c r="K2290" i="9"/>
  <c r="J2290" i="9"/>
  <c r="I2290" i="9"/>
  <c r="K2218" i="9"/>
  <c r="J2218" i="9"/>
  <c r="I2218" i="9"/>
  <c r="K2146" i="9"/>
  <c r="J2146" i="9"/>
  <c r="I2146" i="9"/>
  <c r="K2074" i="9"/>
  <c r="J2074" i="9"/>
  <c r="I2074" i="9"/>
  <c r="G2018" i="9"/>
  <c r="F2018" i="9"/>
  <c r="H2018" i="9"/>
  <c r="H1909" i="9"/>
  <c r="G1909" i="9"/>
  <c r="F1909" i="9"/>
  <c r="G1874" i="9"/>
  <c r="F1874" i="9"/>
  <c r="H1874" i="9"/>
  <c r="K1765" i="9"/>
  <c r="J1765" i="9"/>
  <c r="I1765" i="9"/>
  <c r="K1695" i="9"/>
  <c r="J1695" i="9"/>
  <c r="I1695" i="9"/>
  <c r="H1660" i="9"/>
  <c r="G1660" i="9"/>
  <c r="F1660" i="9"/>
  <c r="K1621" i="9"/>
  <c r="J1621" i="9"/>
  <c r="I1621" i="9"/>
  <c r="H889" i="9"/>
  <c r="G889" i="9"/>
  <c r="F889" i="9"/>
  <c r="K841" i="9"/>
  <c r="J841" i="9"/>
  <c r="I841" i="9"/>
  <c r="J449" i="9"/>
  <c r="I449" i="9"/>
  <c r="K449" i="9"/>
  <c r="J425" i="9"/>
  <c r="I425" i="9"/>
  <c r="K425" i="9"/>
  <c r="J401" i="9"/>
  <c r="I401" i="9"/>
  <c r="K401" i="9"/>
  <c r="K5014" i="9"/>
  <c r="J5014" i="9"/>
  <c r="I5014" i="9"/>
  <c r="K4870" i="9"/>
  <c r="J4870" i="9"/>
  <c r="I4870" i="9"/>
  <c r="H4726" i="9"/>
  <c r="G4726" i="9"/>
  <c r="F4726" i="9"/>
  <c r="K3776" i="9"/>
  <c r="J3776" i="9"/>
  <c r="I3776" i="9"/>
  <c r="J3235" i="9"/>
  <c r="I3235" i="9"/>
  <c r="K3235" i="9"/>
  <c r="J3043" i="9"/>
  <c r="I3043" i="9"/>
  <c r="K3043" i="9"/>
  <c r="I3019" i="9"/>
  <c r="K3019" i="9"/>
  <c r="J3019" i="9"/>
  <c r="I2947" i="9"/>
  <c r="K2947" i="9"/>
  <c r="J2947" i="9"/>
  <c r="I2875" i="9"/>
  <c r="K2875" i="9"/>
  <c r="J2875" i="9"/>
  <c r="I2803" i="9"/>
  <c r="K2803" i="9"/>
  <c r="J2803" i="9"/>
  <c r="J1961" i="9"/>
  <c r="I1961" i="9"/>
  <c r="K1961" i="9"/>
  <c r="K949" i="9"/>
  <c r="J949" i="9"/>
  <c r="I949" i="9"/>
  <c r="K865" i="9"/>
  <c r="J865" i="9"/>
  <c r="I865" i="9"/>
  <c r="H805" i="9"/>
  <c r="G805" i="9"/>
  <c r="F805" i="9"/>
  <c r="H721" i="9"/>
  <c r="G721" i="9"/>
  <c r="F721" i="9"/>
  <c r="H649" i="9"/>
  <c r="G649" i="9"/>
  <c r="F649" i="9"/>
  <c r="H625" i="9"/>
  <c r="G625" i="9"/>
  <c r="F625" i="9"/>
  <c r="H481" i="9"/>
  <c r="G481" i="9"/>
  <c r="F481" i="9"/>
  <c r="H469" i="9"/>
  <c r="G469" i="9"/>
  <c r="F469" i="9"/>
  <c r="H3943" i="9"/>
  <c r="G3943" i="9"/>
  <c r="F3943" i="9"/>
  <c r="I3662" i="9"/>
  <c r="K3662" i="9"/>
  <c r="J3662" i="9"/>
  <c r="I3230" i="9"/>
  <c r="K3230" i="9"/>
  <c r="J3230" i="9"/>
  <c r="H3158" i="9"/>
  <c r="G3158" i="9"/>
  <c r="F3158" i="9"/>
  <c r="H3086" i="9"/>
  <c r="G3086" i="9"/>
  <c r="F3086" i="9"/>
  <c r="H3014" i="9"/>
  <c r="F3014" i="9"/>
  <c r="G3014" i="9"/>
  <c r="H2942" i="9"/>
  <c r="F2942" i="9"/>
  <c r="G2942" i="9"/>
  <c r="H2870" i="9"/>
  <c r="F2870" i="9"/>
  <c r="G2870" i="9"/>
  <c r="H2798" i="9"/>
  <c r="F2798" i="9"/>
  <c r="G2798" i="9"/>
  <c r="J2510" i="9"/>
  <c r="I2510" i="9"/>
  <c r="K2510" i="9"/>
  <c r="H2366" i="9"/>
  <c r="G2366" i="9"/>
  <c r="F2366" i="9"/>
  <c r="H2294" i="9"/>
  <c r="G2294" i="9"/>
  <c r="F2294" i="9"/>
  <c r="H2222" i="9"/>
  <c r="G2222" i="9"/>
  <c r="F2222" i="9"/>
  <c r="H2150" i="9"/>
  <c r="G2150" i="9"/>
  <c r="F2150" i="9"/>
  <c r="H2078" i="9"/>
  <c r="G2078" i="9"/>
  <c r="F2078" i="9"/>
  <c r="H1978" i="9"/>
  <c r="G1978" i="9"/>
  <c r="F1978" i="9"/>
  <c r="K1908" i="9"/>
  <c r="I1908" i="9"/>
  <c r="J1908" i="9"/>
  <c r="H1834" i="9"/>
  <c r="G1834" i="9"/>
  <c r="F1834" i="9"/>
  <c r="J1799" i="9"/>
  <c r="I1799" i="9"/>
  <c r="K1799" i="9"/>
  <c r="K6611" i="9"/>
  <c r="J6611" i="9"/>
  <c r="I6611" i="9"/>
  <c r="H6539" i="9"/>
  <c r="G6539" i="9"/>
  <c r="F6539" i="9"/>
  <c r="K6455" i="9"/>
  <c r="J6455" i="9"/>
  <c r="I6455" i="9"/>
  <c r="K5050" i="9"/>
  <c r="J5050" i="9"/>
  <c r="I5050" i="9"/>
  <c r="K4906" i="9"/>
  <c r="J4906" i="9"/>
  <c r="I4906" i="9"/>
  <c r="K4549" i="9"/>
  <c r="J4549" i="9"/>
  <c r="I4549" i="9"/>
  <c r="K6187" i="9"/>
  <c r="J6187" i="9"/>
  <c r="I6187" i="9"/>
  <c r="H5719" i="9"/>
  <c r="G5719" i="9"/>
  <c r="F5719" i="9"/>
  <c r="F5087" i="9"/>
  <c r="H5087" i="9"/>
  <c r="G5087" i="9"/>
  <c r="H4751" i="9"/>
  <c r="G4751" i="9"/>
  <c r="F4751" i="9"/>
  <c r="H5880" i="9"/>
  <c r="G5880" i="9"/>
  <c r="F5880" i="9"/>
  <c r="K5772" i="9"/>
  <c r="J5772" i="9"/>
  <c r="I5772" i="9"/>
  <c r="K5657" i="9"/>
  <c r="J5657" i="9"/>
  <c r="I5657" i="9"/>
  <c r="H5198" i="9"/>
  <c r="G5198" i="9"/>
  <c r="F5198" i="9"/>
  <c r="K5054" i="9"/>
  <c r="J5054" i="9"/>
  <c r="I5054" i="9"/>
  <c r="K4958" i="9"/>
  <c r="J4958" i="9"/>
  <c r="I4958" i="9"/>
  <c r="F4835" i="9"/>
  <c r="H4835" i="9"/>
  <c r="G4835" i="9"/>
  <c r="H5576" i="9"/>
  <c r="G5576" i="9"/>
  <c r="F5576" i="9"/>
  <c r="I5490" i="9"/>
  <c r="K5490" i="9"/>
  <c r="J5490" i="9"/>
  <c r="H4722" i="9"/>
  <c r="G4722" i="9"/>
  <c r="F4722" i="9"/>
  <c r="H6310" i="9"/>
  <c r="G6310" i="9"/>
  <c r="F6310" i="9"/>
  <c r="K6058" i="9"/>
  <c r="J6058" i="9"/>
  <c r="I6058" i="9"/>
  <c r="H5914" i="9"/>
  <c r="G5914" i="9"/>
  <c r="F5914" i="9"/>
  <c r="K5116" i="9"/>
  <c r="J5116" i="9"/>
  <c r="I5116" i="9"/>
  <c r="K6585" i="9"/>
  <c r="J6585" i="9"/>
  <c r="I6585" i="9"/>
  <c r="K5769" i="9"/>
  <c r="J5769" i="9"/>
  <c r="I5769" i="9"/>
  <c r="K5574" i="9"/>
  <c r="J5574" i="9"/>
  <c r="I5574" i="9"/>
  <c r="H4827" i="9"/>
  <c r="G4827" i="9"/>
  <c r="F4827" i="9"/>
  <c r="H6164" i="9"/>
  <c r="G6164" i="9"/>
  <c r="F6164" i="9"/>
  <c r="H4110" i="9"/>
  <c r="G4110" i="9"/>
  <c r="F4110" i="9"/>
  <c r="K4833" i="9"/>
  <c r="I4833" i="9"/>
  <c r="J4833" i="9"/>
  <c r="H3508" i="9"/>
  <c r="G3508" i="9"/>
  <c r="F3508" i="9"/>
  <c r="J2836" i="9"/>
  <c r="I2836" i="9"/>
  <c r="K2836" i="9"/>
  <c r="H2668" i="9"/>
  <c r="G2668" i="9"/>
  <c r="F2668" i="9"/>
  <c r="H2500" i="9"/>
  <c r="G2500" i="9"/>
  <c r="F2500" i="9"/>
  <c r="K1332" i="9"/>
  <c r="J1332" i="9"/>
  <c r="I1332" i="9"/>
  <c r="K1152" i="9"/>
  <c r="J1152" i="9"/>
  <c r="I1152" i="9"/>
  <c r="I4428" i="9"/>
  <c r="K4428" i="9"/>
  <c r="J4428" i="9"/>
  <c r="H3570" i="9"/>
  <c r="G3570" i="9"/>
  <c r="F3570" i="9"/>
  <c r="H2562" i="9"/>
  <c r="G2562" i="9"/>
  <c r="F2562" i="9"/>
  <c r="K1476" i="9"/>
  <c r="J1476" i="9"/>
  <c r="I1476" i="9"/>
  <c r="K648" i="9"/>
  <c r="I648" i="9"/>
  <c r="J648" i="9"/>
  <c r="H400" i="9"/>
  <c r="G400" i="9"/>
  <c r="F400" i="9"/>
  <c r="H4073" i="9"/>
  <c r="G4073" i="9"/>
  <c r="F4073" i="9"/>
  <c r="K3411" i="9"/>
  <c r="J3411" i="9"/>
  <c r="I3411" i="9"/>
  <c r="K2667" i="9"/>
  <c r="J2667" i="9"/>
  <c r="I2667" i="9"/>
  <c r="G3046" i="9"/>
  <c r="F3046" i="9"/>
  <c r="H3046" i="9"/>
  <c r="K2326" i="9"/>
  <c r="J2326" i="9"/>
  <c r="I2326" i="9"/>
  <c r="H63" i="9"/>
  <c r="G63" i="9"/>
  <c r="F63" i="9"/>
  <c r="K4374" i="9"/>
  <c r="J4374" i="9"/>
  <c r="I4374" i="9"/>
  <c r="J3055" i="9"/>
  <c r="I3055" i="9"/>
  <c r="K3055" i="9"/>
  <c r="I2839" i="9"/>
  <c r="K2839" i="9"/>
  <c r="J2839" i="9"/>
  <c r="K1379" i="9"/>
  <c r="J1379" i="9"/>
  <c r="I1379" i="9"/>
  <c r="K1271" i="9"/>
  <c r="J1271" i="9"/>
  <c r="I1271" i="9"/>
  <c r="K1163" i="9"/>
  <c r="J1163" i="9"/>
  <c r="I1163" i="9"/>
  <c r="K1055" i="9"/>
  <c r="J1055" i="9"/>
  <c r="I1055" i="9"/>
  <c r="K923" i="9"/>
  <c r="J923" i="9"/>
  <c r="I923" i="9"/>
  <c r="H3616" i="9"/>
  <c r="G3616" i="9"/>
  <c r="F3616" i="9"/>
  <c r="H3400" i="9"/>
  <c r="G3400" i="9"/>
  <c r="F3400" i="9"/>
  <c r="K2992" i="9"/>
  <c r="J2992" i="9"/>
  <c r="I2992" i="9"/>
  <c r="K1779" i="9"/>
  <c r="J1779" i="9"/>
  <c r="I1779" i="9"/>
  <c r="H2574" i="9"/>
  <c r="G2574" i="9"/>
  <c r="F2574" i="9"/>
  <c r="K790" i="9"/>
  <c r="J790" i="9"/>
  <c r="I790" i="9"/>
  <c r="H658" i="9"/>
  <c r="G658" i="9"/>
  <c r="F658" i="9"/>
  <c r="G562" i="9"/>
  <c r="F562" i="9"/>
  <c r="H562" i="9"/>
  <c r="H454" i="9"/>
  <c r="G454" i="9"/>
  <c r="F454" i="9"/>
  <c r="K3668" i="9"/>
  <c r="J3668" i="9"/>
  <c r="I3668" i="9"/>
  <c r="K3332" i="9"/>
  <c r="J3332" i="9"/>
  <c r="I3332" i="9"/>
  <c r="H3164" i="9"/>
  <c r="F3164" i="9"/>
  <c r="G3164" i="9"/>
  <c r="K2948" i="9"/>
  <c r="J2948" i="9"/>
  <c r="I2948" i="9"/>
  <c r="I2492" i="9"/>
  <c r="K2492" i="9"/>
  <c r="J2492" i="9"/>
  <c r="K1896" i="9"/>
  <c r="I1896" i="9"/>
  <c r="J1896" i="9"/>
  <c r="H4097" i="9"/>
  <c r="G4097" i="9"/>
  <c r="F4097" i="9"/>
  <c r="K3346" i="9"/>
  <c r="J3346" i="9"/>
  <c r="I3346" i="9"/>
  <c r="G1970" i="9"/>
  <c r="F1970" i="9"/>
  <c r="H1970" i="9"/>
  <c r="H781" i="9"/>
  <c r="G781" i="9"/>
  <c r="F781" i="9"/>
  <c r="H3389" i="9"/>
  <c r="G3389" i="9"/>
  <c r="F3389" i="9"/>
  <c r="J2069" i="9"/>
  <c r="I2069" i="9"/>
  <c r="K2069" i="9"/>
  <c r="K1441" i="9"/>
  <c r="J1441" i="9"/>
  <c r="I1441" i="9"/>
  <c r="K1297" i="9"/>
  <c r="J1297" i="9"/>
  <c r="I1297" i="9"/>
  <c r="H1189" i="9"/>
  <c r="G1189" i="9"/>
  <c r="F1189" i="9"/>
  <c r="K1057" i="9"/>
  <c r="J1057" i="9"/>
  <c r="I1057" i="9"/>
  <c r="K877" i="9"/>
  <c r="J877" i="9"/>
  <c r="I877" i="9"/>
  <c r="H2126" i="9"/>
  <c r="G2126" i="9"/>
  <c r="F2126" i="9"/>
  <c r="K6608" i="9"/>
  <c r="J6608" i="9"/>
  <c r="I6608" i="9"/>
  <c r="K6584" i="9"/>
  <c r="J6584" i="9"/>
  <c r="I6584" i="9"/>
  <c r="K6548" i="9"/>
  <c r="J6548" i="9"/>
  <c r="I6548" i="9"/>
  <c r="H6356" i="9"/>
  <c r="G6356" i="9"/>
  <c r="F6356" i="9"/>
  <c r="F5610" i="9"/>
  <c r="H5610" i="9"/>
  <c r="G5610" i="9"/>
  <c r="G5466" i="9"/>
  <c r="H5466" i="9"/>
  <c r="F5466" i="9"/>
  <c r="G5322" i="9"/>
  <c r="H5322" i="9"/>
  <c r="F5322" i="9"/>
  <c r="K4965" i="9"/>
  <c r="J4965" i="9"/>
  <c r="I4965" i="9"/>
  <c r="H4725" i="9"/>
  <c r="G4725" i="9"/>
  <c r="F4725" i="9"/>
  <c r="G4677" i="9"/>
  <c r="F4677" i="9"/>
  <c r="H4677" i="9"/>
  <c r="G4629" i="9"/>
  <c r="F4629" i="9"/>
  <c r="H4629" i="9"/>
  <c r="H4362" i="9"/>
  <c r="G4362" i="9"/>
  <c r="F4362" i="9"/>
  <c r="H4266" i="9"/>
  <c r="G4266" i="9"/>
  <c r="F4266" i="9"/>
  <c r="H6247" i="9"/>
  <c r="G6247" i="9"/>
  <c r="F6247" i="9"/>
  <c r="H6211" i="9"/>
  <c r="G6211" i="9"/>
  <c r="F6211" i="9"/>
  <c r="H6175" i="9"/>
  <c r="G6175" i="9"/>
  <c r="F6175" i="9"/>
  <c r="H6121" i="9"/>
  <c r="G6121" i="9"/>
  <c r="F6121" i="9"/>
  <c r="H5995" i="9"/>
  <c r="G5995" i="9"/>
  <c r="F5995" i="9"/>
  <c r="J5487" i="9"/>
  <c r="I5487" i="9"/>
  <c r="K5487" i="9"/>
  <c r="K5295" i="9"/>
  <c r="J5295" i="9"/>
  <c r="I5295" i="9"/>
  <c r="K5199" i="9"/>
  <c r="J5199" i="9"/>
  <c r="I5199" i="9"/>
  <c r="G5172" i="9"/>
  <c r="F5172" i="9"/>
  <c r="H5172" i="9"/>
  <c r="K4644" i="9"/>
  <c r="J4644" i="9"/>
  <c r="I4644" i="9"/>
  <c r="K4500" i="9"/>
  <c r="J4500" i="9"/>
  <c r="I4500" i="9"/>
  <c r="K6246" i="9"/>
  <c r="J6246" i="9"/>
  <c r="I6246" i="9"/>
  <c r="K6174" i="9"/>
  <c r="J6174" i="9"/>
  <c r="I6174" i="9"/>
  <c r="K6084" i="9"/>
  <c r="J6084" i="9"/>
  <c r="I6084" i="9"/>
  <c r="H6066" i="9"/>
  <c r="G6066" i="9"/>
  <c r="F6066" i="9"/>
  <c r="K5994" i="9"/>
  <c r="J5994" i="9"/>
  <c r="I5994" i="9"/>
  <c r="K5922" i="9"/>
  <c r="J5922" i="9"/>
  <c r="I5922" i="9"/>
  <c r="K5886" i="9"/>
  <c r="J5886" i="9"/>
  <c r="I5886" i="9"/>
  <c r="G5086" i="9"/>
  <c r="F5086" i="9"/>
  <c r="H5086" i="9"/>
  <c r="K4969" i="9"/>
  <c r="J4969" i="9"/>
  <c r="I4969" i="9"/>
  <c r="K4873" i="9"/>
  <c r="J4873" i="9"/>
  <c r="I4873" i="9"/>
  <c r="H4750" i="9"/>
  <c r="G4750" i="9"/>
  <c r="F4750" i="9"/>
  <c r="K4654" i="9"/>
  <c r="J4654" i="9"/>
  <c r="I4654" i="9"/>
  <c r="H4537" i="9"/>
  <c r="G4537" i="9"/>
  <c r="F4537" i="9"/>
  <c r="K4462" i="9"/>
  <c r="J4462" i="9"/>
  <c r="I4462" i="9"/>
  <c r="K5667" i="9"/>
  <c r="J5667" i="9"/>
  <c r="I5667" i="9"/>
  <c r="J5475" i="9"/>
  <c r="I5475" i="9"/>
  <c r="K5475" i="9"/>
  <c r="K5283" i="9"/>
  <c r="J5283" i="9"/>
  <c r="I5283" i="9"/>
  <c r="K5139" i="9"/>
  <c r="J5139" i="9"/>
  <c r="I5139" i="9"/>
  <c r="F6365" i="9"/>
  <c r="H6365" i="9"/>
  <c r="G6365" i="9"/>
  <c r="H6197" i="9"/>
  <c r="G6197" i="9"/>
  <c r="F6197" i="9"/>
  <c r="H6161" i="9"/>
  <c r="G6161" i="9"/>
  <c r="F6161" i="9"/>
  <c r="H6107" i="9"/>
  <c r="G6107" i="9"/>
  <c r="F6107" i="9"/>
  <c r="I6053" i="9"/>
  <c r="K6053" i="9"/>
  <c r="J6053" i="9"/>
  <c r="H5963" i="9"/>
  <c r="G5963" i="9"/>
  <c r="F5963" i="9"/>
  <c r="H5783" i="9"/>
  <c r="G5783" i="9"/>
  <c r="F5783" i="9"/>
  <c r="G5208" i="9"/>
  <c r="F5208" i="9"/>
  <c r="H5208" i="9"/>
  <c r="I4200" i="9"/>
  <c r="K4200" i="9"/>
  <c r="J4200" i="9"/>
  <c r="K5378" i="9"/>
  <c r="J5378" i="9"/>
  <c r="I5378" i="9"/>
  <c r="H6603" i="9"/>
  <c r="G6603" i="9"/>
  <c r="F6603" i="9"/>
  <c r="H6591" i="9"/>
  <c r="G6591" i="9"/>
  <c r="F6591" i="9"/>
  <c r="H6579" i="9"/>
  <c r="G6579" i="9"/>
  <c r="F6579" i="9"/>
  <c r="H6567" i="9"/>
  <c r="G6567" i="9"/>
  <c r="F6567" i="9"/>
  <c r="H6555" i="9"/>
  <c r="G6555" i="9"/>
  <c r="F6555" i="9"/>
  <c r="H6543" i="9"/>
  <c r="G6543" i="9"/>
  <c r="F6543" i="9"/>
  <c r="G6531" i="9"/>
  <c r="F6531" i="9"/>
  <c r="H6531" i="9"/>
  <c r="G6519" i="9"/>
  <c r="F6519" i="9"/>
  <c r="H6519" i="9"/>
  <c r="G6507" i="9"/>
  <c r="F6507" i="9"/>
  <c r="H6507" i="9"/>
  <c r="G6495" i="9"/>
  <c r="F6495" i="9"/>
  <c r="H6495" i="9"/>
  <c r="G6483" i="9"/>
  <c r="F6483" i="9"/>
  <c r="H6483" i="9"/>
  <c r="F6423" i="9"/>
  <c r="G6423" i="9"/>
  <c r="H6423" i="9"/>
  <c r="G6411" i="9"/>
  <c r="F6411" i="9"/>
  <c r="H6411" i="9"/>
  <c r="G6399" i="9"/>
  <c r="F6399" i="9"/>
  <c r="H6399" i="9"/>
  <c r="G6387" i="9"/>
  <c r="F6387" i="9"/>
  <c r="H6387" i="9"/>
  <c r="G6375" i="9"/>
  <c r="F6375" i="9"/>
  <c r="H6375" i="9"/>
  <c r="H6363" i="9"/>
  <c r="G6363" i="9"/>
  <c r="F6363" i="9"/>
  <c r="K6524" i="9"/>
  <c r="J6524" i="9"/>
  <c r="I6524" i="9"/>
  <c r="K6512" i="9"/>
  <c r="J6512" i="9"/>
  <c r="I6512" i="9"/>
  <c r="K6500" i="9"/>
  <c r="J6500" i="9"/>
  <c r="I6500" i="9"/>
  <c r="F6476" i="9"/>
  <c r="H6476" i="9"/>
  <c r="G6476" i="9"/>
  <c r="F6464" i="9"/>
  <c r="H6464" i="9"/>
  <c r="G6464" i="9"/>
  <c r="F6452" i="9"/>
  <c r="H6452" i="9"/>
  <c r="G6452" i="9"/>
  <c r="F6440" i="9"/>
  <c r="H6440" i="9"/>
  <c r="G6440" i="9"/>
  <c r="F6428" i="9"/>
  <c r="H6428" i="9"/>
  <c r="G6428" i="9"/>
  <c r="F6416" i="9"/>
  <c r="H6416" i="9"/>
  <c r="G6416" i="9"/>
  <c r="K6404" i="9"/>
  <c r="J6404" i="9"/>
  <c r="I6404" i="9"/>
  <c r="K6392" i="9"/>
  <c r="J6392" i="9"/>
  <c r="I6392" i="9"/>
  <c r="K6380" i="9"/>
  <c r="J6380" i="9"/>
  <c r="I6380" i="9"/>
  <c r="K6368" i="9"/>
  <c r="J6368" i="9"/>
  <c r="I6368" i="9"/>
  <c r="K6344" i="9"/>
  <c r="J6344" i="9"/>
  <c r="I6344" i="9"/>
  <c r="H6332" i="9"/>
  <c r="G6332" i="9"/>
  <c r="F6332" i="9"/>
  <c r="H5685" i="9"/>
  <c r="G5685" i="9"/>
  <c r="F5685" i="9"/>
  <c r="H5637" i="9"/>
  <c r="G5637" i="9"/>
  <c r="F5637" i="9"/>
  <c r="K5589" i="9"/>
  <c r="J5589" i="9"/>
  <c r="I5589" i="9"/>
  <c r="K5541" i="9"/>
  <c r="J5541" i="9"/>
  <c r="I5541" i="9"/>
  <c r="H5445" i="9"/>
  <c r="G5445" i="9"/>
  <c r="F5445" i="9"/>
  <c r="K5418" i="9"/>
  <c r="J5418" i="9"/>
  <c r="I5418" i="9"/>
  <c r="H5397" i="9"/>
  <c r="G5397" i="9"/>
  <c r="F5397" i="9"/>
  <c r="H5370" i="9"/>
  <c r="G5370" i="9"/>
  <c r="F5370" i="9"/>
  <c r="H5349" i="9"/>
  <c r="G5349" i="9"/>
  <c r="F5349" i="9"/>
  <c r="F5301" i="9"/>
  <c r="H5301" i="9"/>
  <c r="G5301" i="9"/>
  <c r="H5274" i="9"/>
  <c r="G5274" i="9"/>
  <c r="F5274" i="9"/>
  <c r="F5253" i="9"/>
  <c r="H5253" i="9"/>
  <c r="G5253" i="9"/>
  <c r="H5226" i="9"/>
  <c r="G5226" i="9"/>
  <c r="F5226" i="9"/>
  <c r="F5205" i="9"/>
  <c r="H5205" i="9"/>
  <c r="G5205" i="9"/>
  <c r="H5178" i="9"/>
  <c r="G5178" i="9"/>
  <c r="F5178" i="9"/>
  <c r="F5157" i="9"/>
  <c r="H5157" i="9"/>
  <c r="G5157" i="9"/>
  <c r="H5130" i="9"/>
  <c r="G5130" i="9"/>
  <c r="F5130" i="9"/>
  <c r="F5109" i="9"/>
  <c r="H5109" i="9"/>
  <c r="G5109" i="9"/>
  <c r="G5082" i="9"/>
  <c r="F5082" i="9"/>
  <c r="H5082" i="9"/>
  <c r="G5034" i="9"/>
  <c r="F5034" i="9"/>
  <c r="H5034" i="9"/>
  <c r="G4986" i="9"/>
  <c r="F4986" i="9"/>
  <c r="H4986" i="9"/>
  <c r="G4938" i="9"/>
  <c r="F4938" i="9"/>
  <c r="H4938" i="9"/>
  <c r="G4890" i="9"/>
  <c r="F4890" i="9"/>
  <c r="H4890" i="9"/>
  <c r="G4842" i="9"/>
  <c r="F4842" i="9"/>
  <c r="H4842" i="9"/>
  <c r="H4794" i="9"/>
  <c r="G4794" i="9"/>
  <c r="F4794" i="9"/>
  <c r="K4773" i="9"/>
  <c r="J4773" i="9"/>
  <c r="I4773" i="9"/>
  <c r="H4746" i="9"/>
  <c r="G4746" i="9"/>
  <c r="F4746" i="9"/>
  <c r="F4698" i="9"/>
  <c r="H4698" i="9"/>
  <c r="G4698" i="9"/>
  <c r="F4650" i="9"/>
  <c r="H4650" i="9"/>
  <c r="G4650" i="9"/>
  <c r="F4602" i="9"/>
  <c r="H4602" i="9"/>
  <c r="G4602" i="9"/>
  <c r="F4554" i="9"/>
  <c r="H4554" i="9"/>
  <c r="G4554" i="9"/>
  <c r="F4506" i="9"/>
  <c r="H4506" i="9"/>
  <c r="G4506" i="9"/>
  <c r="F4458" i="9"/>
  <c r="H4458" i="9"/>
  <c r="G4458" i="9"/>
  <c r="K4389" i="9"/>
  <c r="J4389" i="9"/>
  <c r="I4389" i="9"/>
  <c r="K4341" i="9"/>
  <c r="J4341" i="9"/>
  <c r="I4341" i="9"/>
  <c r="K4293" i="9"/>
  <c r="J4293" i="9"/>
  <c r="I4293" i="9"/>
  <c r="K4245" i="9"/>
  <c r="J4245" i="9"/>
  <c r="I4245" i="9"/>
  <c r="K4197" i="9"/>
  <c r="J4197" i="9"/>
  <c r="I4197" i="9"/>
  <c r="F4153" i="9"/>
  <c r="H4153" i="9"/>
  <c r="G4153" i="9"/>
  <c r="H4124" i="9"/>
  <c r="G4124" i="9"/>
  <c r="F4124" i="9"/>
  <c r="H6505" i="9"/>
  <c r="G6505" i="9"/>
  <c r="F6505" i="9"/>
  <c r="K6433" i="9"/>
  <c r="I6433" i="9"/>
  <c r="J6433" i="9"/>
  <c r="G6397" i="9"/>
  <c r="F6397" i="9"/>
  <c r="H6397" i="9"/>
  <c r="G6361" i="9"/>
  <c r="F6361" i="9"/>
  <c r="H6361" i="9"/>
  <c r="H6337" i="9"/>
  <c r="G6337" i="9"/>
  <c r="F6337" i="9"/>
  <c r="H6301" i="9"/>
  <c r="G6301" i="9"/>
  <c r="F6301" i="9"/>
  <c r="H6265" i="9"/>
  <c r="G6265" i="9"/>
  <c r="F6265" i="9"/>
  <c r="G6229" i="9"/>
  <c r="F6229" i="9"/>
  <c r="H6229" i="9"/>
  <c r="G6193" i="9"/>
  <c r="F6193" i="9"/>
  <c r="H6193" i="9"/>
  <c r="G6157" i="9"/>
  <c r="F6157" i="9"/>
  <c r="H6157" i="9"/>
  <c r="K6139" i="9"/>
  <c r="J6139" i="9"/>
  <c r="I6139" i="9"/>
  <c r="G6103" i="9"/>
  <c r="F6103" i="9"/>
  <c r="H6103" i="9"/>
  <c r="G6067" i="9"/>
  <c r="F6067" i="9"/>
  <c r="H6067" i="9"/>
  <c r="G6031" i="9"/>
  <c r="F6031" i="9"/>
  <c r="H6031" i="9"/>
  <c r="H5977" i="9"/>
  <c r="G5977" i="9"/>
  <c r="F5977" i="9"/>
  <c r="H5941" i="9"/>
  <c r="G5941" i="9"/>
  <c r="F5941" i="9"/>
  <c r="H5905" i="9"/>
  <c r="G5905" i="9"/>
  <c r="F5905" i="9"/>
  <c r="G5851" i="9"/>
  <c r="F5851" i="9"/>
  <c r="H5851" i="9"/>
  <c r="G5815" i="9"/>
  <c r="F5815" i="9"/>
  <c r="H5815" i="9"/>
  <c r="G5779" i="9"/>
  <c r="F5779" i="9"/>
  <c r="H5779" i="9"/>
  <c r="F5761" i="9"/>
  <c r="H5761" i="9"/>
  <c r="G5761" i="9"/>
  <c r="K5743" i="9"/>
  <c r="J5743" i="9"/>
  <c r="I5743" i="9"/>
  <c r="F5725" i="9"/>
  <c r="H5725" i="9"/>
  <c r="G5725" i="9"/>
  <c r="K5707" i="9"/>
  <c r="J5707" i="9"/>
  <c r="I5707" i="9"/>
  <c r="F5631" i="9"/>
  <c r="H5631" i="9"/>
  <c r="G5631" i="9"/>
  <c r="F5583" i="9"/>
  <c r="G5583" i="9"/>
  <c r="H5583" i="9"/>
  <c r="H5295" i="9"/>
  <c r="G5295" i="9"/>
  <c r="F5295" i="9"/>
  <c r="K5247" i="9"/>
  <c r="J5247" i="9"/>
  <c r="I5247" i="9"/>
  <c r="H5199" i="9"/>
  <c r="G5199" i="9"/>
  <c r="F5199" i="9"/>
  <c r="H5151" i="9"/>
  <c r="G5151" i="9"/>
  <c r="F5151" i="9"/>
  <c r="H4815" i="9"/>
  <c r="G4815" i="9"/>
  <c r="F4815" i="9"/>
  <c r="H4767" i="9"/>
  <c r="G4767" i="9"/>
  <c r="F4767" i="9"/>
  <c r="H4671" i="9"/>
  <c r="G4671" i="9"/>
  <c r="F4671" i="9"/>
  <c r="H4623" i="9"/>
  <c r="G4623" i="9"/>
  <c r="F4623" i="9"/>
  <c r="H4575" i="9"/>
  <c r="G4575" i="9"/>
  <c r="F4575" i="9"/>
  <c r="H4527" i="9"/>
  <c r="G4527" i="9"/>
  <c r="F4527" i="9"/>
  <c r="H4479" i="9"/>
  <c r="G4479" i="9"/>
  <c r="F4479" i="9"/>
  <c r="G4431" i="9"/>
  <c r="F4431" i="9"/>
  <c r="H4431" i="9"/>
  <c r="F4383" i="9"/>
  <c r="H4383" i="9"/>
  <c r="G4383" i="9"/>
  <c r="F4335" i="9"/>
  <c r="H4335" i="9"/>
  <c r="G4335" i="9"/>
  <c r="F4287" i="9"/>
  <c r="H4287" i="9"/>
  <c r="G4287" i="9"/>
  <c r="F4239" i="9"/>
  <c r="H4239" i="9"/>
  <c r="G4239" i="9"/>
  <c r="F4191" i="9"/>
  <c r="H4191" i="9"/>
  <c r="G4191" i="9"/>
  <c r="H4162" i="9"/>
  <c r="G4162" i="9"/>
  <c r="F4162" i="9"/>
  <c r="H4090" i="9"/>
  <c r="G4090" i="9"/>
  <c r="F4090" i="9"/>
  <c r="H4018" i="9"/>
  <c r="G4018" i="9"/>
  <c r="F4018" i="9"/>
  <c r="H3946" i="9"/>
  <c r="G3946" i="9"/>
  <c r="F3946" i="9"/>
  <c r="H3903" i="9"/>
  <c r="G3903" i="9"/>
  <c r="F3903" i="9"/>
  <c r="G5652" i="9"/>
  <c r="F5652" i="9"/>
  <c r="H5652" i="9"/>
  <c r="H5604" i="9"/>
  <c r="G5604" i="9"/>
  <c r="F5604" i="9"/>
  <c r="H5556" i="9"/>
  <c r="G5556" i="9"/>
  <c r="F5556" i="9"/>
  <c r="I5460" i="9"/>
  <c r="K5460" i="9"/>
  <c r="J5460" i="9"/>
  <c r="F5412" i="9"/>
  <c r="H5412" i="9"/>
  <c r="G5412" i="9"/>
  <c r="F5364" i="9"/>
  <c r="G5364" i="9"/>
  <c r="H5364" i="9"/>
  <c r="K5076" i="9"/>
  <c r="J5076" i="9"/>
  <c r="I5076" i="9"/>
  <c r="K5028" i="9"/>
  <c r="J5028" i="9"/>
  <c r="I5028" i="9"/>
  <c r="K4980" i="9"/>
  <c r="J4980" i="9"/>
  <c r="I4980" i="9"/>
  <c r="K4932" i="9"/>
  <c r="J4932" i="9"/>
  <c r="I4932" i="9"/>
  <c r="K4884" i="9"/>
  <c r="J4884" i="9"/>
  <c r="I4884" i="9"/>
  <c r="K4836" i="9"/>
  <c r="J4836" i="9"/>
  <c r="I4836" i="9"/>
  <c r="H4788" i="9"/>
  <c r="G4788" i="9"/>
  <c r="F4788" i="9"/>
  <c r="G4740" i="9"/>
  <c r="F4740" i="9"/>
  <c r="H4740" i="9"/>
  <c r="H4692" i="9"/>
  <c r="G4692" i="9"/>
  <c r="F4692" i="9"/>
  <c r="H4644" i="9"/>
  <c r="G4644" i="9"/>
  <c r="F4644" i="9"/>
  <c r="H4596" i="9"/>
  <c r="G4596" i="9"/>
  <c r="F4596" i="9"/>
  <c r="H4548" i="9"/>
  <c r="G4548" i="9"/>
  <c r="F4548" i="9"/>
  <c r="H4500" i="9"/>
  <c r="G4500" i="9"/>
  <c r="F4500" i="9"/>
  <c r="H4452" i="9"/>
  <c r="G4452" i="9"/>
  <c r="F4452" i="9"/>
  <c r="H4404" i="9"/>
  <c r="G4404" i="9"/>
  <c r="F4404" i="9"/>
  <c r="H4356" i="9"/>
  <c r="G4356" i="9"/>
  <c r="F4356" i="9"/>
  <c r="H4308" i="9"/>
  <c r="G4308" i="9"/>
  <c r="F4308" i="9"/>
  <c r="H4260" i="9"/>
  <c r="G4260" i="9"/>
  <c r="F4260" i="9"/>
  <c r="G4176" i="9"/>
  <c r="F4176" i="9"/>
  <c r="H4176" i="9"/>
  <c r="K4133" i="9"/>
  <c r="J4133" i="9"/>
  <c r="I4133" i="9"/>
  <c r="G4104" i="9"/>
  <c r="F4104" i="9"/>
  <c r="H4104" i="9"/>
  <c r="K4061" i="9"/>
  <c r="J4061" i="9"/>
  <c r="I4061" i="9"/>
  <c r="G4032" i="9"/>
  <c r="F4032" i="9"/>
  <c r="H4032" i="9"/>
  <c r="K3989" i="9"/>
  <c r="J3989" i="9"/>
  <c r="I3989" i="9"/>
  <c r="G3960" i="9"/>
  <c r="F3960" i="9"/>
  <c r="H3960" i="9"/>
  <c r="K3917" i="9"/>
  <c r="J3917" i="9"/>
  <c r="I3917" i="9"/>
  <c r="H3888" i="9"/>
  <c r="G3888" i="9"/>
  <c r="F3888" i="9"/>
  <c r="F3845" i="9"/>
  <c r="H3845" i="9"/>
  <c r="G3845" i="9"/>
  <c r="H3816" i="9"/>
  <c r="G3816" i="9"/>
  <c r="F3816" i="9"/>
  <c r="F3773" i="9"/>
  <c r="H3773" i="9"/>
  <c r="G3773" i="9"/>
  <c r="G3750" i="9"/>
  <c r="F3750" i="9"/>
  <c r="H3750" i="9"/>
  <c r="F6594" i="9"/>
  <c r="H6594" i="9"/>
  <c r="G6594" i="9"/>
  <c r="F6558" i="9"/>
  <c r="H6558" i="9"/>
  <c r="G6558" i="9"/>
  <c r="H6450" i="9"/>
  <c r="G6450" i="9"/>
  <c r="F6450" i="9"/>
  <c r="H6414" i="9"/>
  <c r="G6414" i="9"/>
  <c r="F6414" i="9"/>
  <c r="G6378" i="9"/>
  <c r="F6378" i="9"/>
  <c r="H6378" i="9"/>
  <c r="K6342" i="9"/>
  <c r="J6342" i="9"/>
  <c r="I6342" i="9"/>
  <c r="H6264" i="9"/>
  <c r="G6264" i="9"/>
  <c r="F6264" i="9"/>
  <c r="H6246" i="9"/>
  <c r="G6246" i="9"/>
  <c r="F6246" i="9"/>
  <c r="H6228" i="9"/>
  <c r="G6228" i="9"/>
  <c r="F6228" i="9"/>
  <c r="H6210" i="9"/>
  <c r="G6210" i="9"/>
  <c r="F6210" i="9"/>
  <c r="H6192" i="9"/>
  <c r="G6192" i="9"/>
  <c r="F6192" i="9"/>
  <c r="H6174" i="9"/>
  <c r="G6174" i="9"/>
  <c r="F6174" i="9"/>
  <c r="H6156" i="9"/>
  <c r="G6156" i="9"/>
  <c r="F6156" i="9"/>
  <c r="K6138" i="9"/>
  <c r="J6138" i="9"/>
  <c r="I6138" i="9"/>
  <c r="H6120" i="9"/>
  <c r="G6120" i="9"/>
  <c r="F6120" i="9"/>
  <c r="H6102" i="9"/>
  <c r="G6102" i="9"/>
  <c r="F6102" i="9"/>
  <c r="H6084" i="9"/>
  <c r="G6084" i="9"/>
  <c r="F6084" i="9"/>
  <c r="H6048" i="9"/>
  <c r="G6048" i="9"/>
  <c r="F6048" i="9"/>
  <c r="H6012" i="9"/>
  <c r="G6012" i="9"/>
  <c r="F6012" i="9"/>
  <c r="H5976" i="9"/>
  <c r="G5976" i="9"/>
  <c r="F5976" i="9"/>
  <c r="H5940" i="9"/>
  <c r="G5940" i="9"/>
  <c r="F5940" i="9"/>
  <c r="H5904" i="9"/>
  <c r="G5904" i="9"/>
  <c r="F5904" i="9"/>
  <c r="H5868" i="9"/>
  <c r="G5868" i="9"/>
  <c r="F5868" i="9"/>
  <c r="F5850" i="9"/>
  <c r="H5850" i="9"/>
  <c r="G5850" i="9"/>
  <c r="K5832" i="9"/>
  <c r="J5832" i="9"/>
  <c r="I5832" i="9"/>
  <c r="F5814" i="9"/>
  <c r="H5814" i="9"/>
  <c r="G5814" i="9"/>
  <c r="K5796" i="9"/>
  <c r="J5796" i="9"/>
  <c r="I5796" i="9"/>
  <c r="F5778" i="9"/>
  <c r="H5778" i="9"/>
  <c r="G5778" i="9"/>
  <c r="G5760" i="9"/>
  <c r="F5760" i="9"/>
  <c r="H5760" i="9"/>
  <c r="G5724" i="9"/>
  <c r="F5724" i="9"/>
  <c r="H5724" i="9"/>
  <c r="F5689" i="9"/>
  <c r="H5689" i="9"/>
  <c r="G5689" i="9"/>
  <c r="H5662" i="9"/>
  <c r="G5662" i="9"/>
  <c r="F5662" i="9"/>
  <c r="H5641" i="9"/>
  <c r="G5641" i="9"/>
  <c r="F5641" i="9"/>
  <c r="H5593" i="9"/>
  <c r="G5593" i="9"/>
  <c r="F5593" i="9"/>
  <c r="H5566" i="9"/>
  <c r="G5566" i="9"/>
  <c r="F5566" i="9"/>
  <c r="H5545" i="9"/>
  <c r="G5545" i="9"/>
  <c r="F5545" i="9"/>
  <c r="H5518" i="9"/>
  <c r="G5518" i="9"/>
  <c r="F5518" i="9"/>
  <c r="F5449" i="9"/>
  <c r="H5449" i="9"/>
  <c r="G5449" i="9"/>
  <c r="H5422" i="9"/>
  <c r="G5422" i="9"/>
  <c r="F5422" i="9"/>
  <c r="F5401" i="9"/>
  <c r="H5401" i="9"/>
  <c r="G5401" i="9"/>
  <c r="H5374" i="9"/>
  <c r="G5374" i="9"/>
  <c r="F5374" i="9"/>
  <c r="H5353" i="9"/>
  <c r="F5353" i="9"/>
  <c r="G5353" i="9"/>
  <c r="K5305" i="9"/>
  <c r="J5305" i="9"/>
  <c r="I5305" i="9"/>
  <c r="H5278" i="9"/>
  <c r="G5278" i="9"/>
  <c r="F5278" i="9"/>
  <c r="F5257" i="9"/>
  <c r="H5257" i="9"/>
  <c r="G5257" i="9"/>
  <c r="H5230" i="9"/>
  <c r="G5230" i="9"/>
  <c r="F5230" i="9"/>
  <c r="K5209" i="9"/>
  <c r="J5209" i="9"/>
  <c r="I5209" i="9"/>
  <c r="H5182" i="9"/>
  <c r="G5182" i="9"/>
  <c r="F5182" i="9"/>
  <c r="K5161" i="9"/>
  <c r="J5161" i="9"/>
  <c r="I5161" i="9"/>
  <c r="H5134" i="9"/>
  <c r="G5134" i="9"/>
  <c r="F5134" i="9"/>
  <c r="K5113" i="9"/>
  <c r="J5113" i="9"/>
  <c r="I5113" i="9"/>
  <c r="H5065" i="9"/>
  <c r="G5065" i="9"/>
  <c r="F5065" i="9"/>
  <c r="H5017" i="9"/>
  <c r="G5017" i="9"/>
  <c r="F5017" i="9"/>
  <c r="H4969" i="9"/>
  <c r="G4969" i="9"/>
  <c r="F4969" i="9"/>
  <c r="H4921" i="9"/>
  <c r="G4921" i="9"/>
  <c r="F4921" i="9"/>
  <c r="H4873" i="9"/>
  <c r="G4873" i="9"/>
  <c r="F4873" i="9"/>
  <c r="G4825" i="9"/>
  <c r="H4825" i="9"/>
  <c r="F4825" i="9"/>
  <c r="K4798" i="9"/>
  <c r="J4798" i="9"/>
  <c r="I4798" i="9"/>
  <c r="H4777" i="9"/>
  <c r="G4777" i="9"/>
  <c r="F4777" i="9"/>
  <c r="K4750" i="9"/>
  <c r="J4750" i="9"/>
  <c r="I4750" i="9"/>
  <c r="H4729" i="9"/>
  <c r="F4729" i="9"/>
  <c r="G4729" i="9"/>
  <c r="H4702" i="9"/>
  <c r="F4702" i="9"/>
  <c r="G4702" i="9"/>
  <c r="F4654" i="9"/>
  <c r="H4654" i="9"/>
  <c r="G4654" i="9"/>
  <c r="F4606" i="9"/>
  <c r="H4606" i="9"/>
  <c r="G4606" i="9"/>
  <c r="F4558" i="9"/>
  <c r="H4558" i="9"/>
  <c r="G4558" i="9"/>
  <c r="F4510" i="9"/>
  <c r="H4510" i="9"/>
  <c r="G4510" i="9"/>
  <c r="F4462" i="9"/>
  <c r="H4462" i="9"/>
  <c r="G4462" i="9"/>
  <c r="H4414" i="9"/>
  <c r="G4414" i="9"/>
  <c r="F4414" i="9"/>
  <c r="H4393" i="9"/>
  <c r="G4393" i="9"/>
  <c r="F4393" i="9"/>
  <c r="H4366" i="9"/>
  <c r="G4366" i="9"/>
  <c r="F4366" i="9"/>
  <c r="H4345" i="9"/>
  <c r="G4345" i="9"/>
  <c r="F4345" i="9"/>
  <c r="H4318" i="9"/>
  <c r="G4318" i="9"/>
  <c r="F4318" i="9"/>
  <c r="H4297" i="9"/>
  <c r="G4297" i="9"/>
  <c r="F4297" i="9"/>
  <c r="H4270" i="9"/>
  <c r="G4270" i="9"/>
  <c r="F4270" i="9"/>
  <c r="H4249" i="9"/>
  <c r="G4249" i="9"/>
  <c r="F4249" i="9"/>
  <c r="H4222" i="9"/>
  <c r="F4222" i="9"/>
  <c r="G4222" i="9"/>
  <c r="H4166" i="9"/>
  <c r="G4166" i="9"/>
  <c r="F4166" i="9"/>
  <c r="K4123" i="9"/>
  <c r="J4123" i="9"/>
  <c r="I4123" i="9"/>
  <c r="H4094" i="9"/>
  <c r="G4094" i="9"/>
  <c r="F4094" i="9"/>
  <c r="F5619" i="9"/>
  <c r="G5619" i="9"/>
  <c r="H5619" i="9"/>
  <c r="F5571" i="9"/>
  <c r="H5571" i="9"/>
  <c r="G5571" i="9"/>
  <c r="H5283" i="9"/>
  <c r="G5283" i="9"/>
  <c r="F5283" i="9"/>
  <c r="K5235" i="9"/>
  <c r="J5235" i="9"/>
  <c r="I5235" i="9"/>
  <c r="H5187" i="9"/>
  <c r="G5187" i="9"/>
  <c r="F5187" i="9"/>
  <c r="H5139" i="9"/>
  <c r="G5139" i="9"/>
  <c r="F5139" i="9"/>
  <c r="H4803" i="9"/>
  <c r="G4803" i="9"/>
  <c r="F4803" i="9"/>
  <c r="H4755" i="9"/>
  <c r="G4755" i="9"/>
  <c r="F4755" i="9"/>
  <c r="H4707" i="9"/>
  <c r="G4707" i="9"/>
  <c r="F4707" i="9"/>
  <c r="H4659" i="9"/>
  <c r="G4659" i="9"/>
  <c r="F4659" i="9"/>
  <c r="H4611" i="9"/>
  <c r="G4611" i="9"/>
  <c r="F4611" i="9"/>
  <c r="H4563" i="9"/>
  <c r="G4563" i="9"/>
  <c r="F4563" i="9"/>
  <c r="H4515" i="9"/>
  <c r="G4515" i="9"/>
  <c r="F4515" i="9"/>
  <c r="H4467" i="9"/>
  <c r="G4467" i="9"/>
  <c r="F4467" i="9"/>
  <c r="F4419" i="9"/>
  <c r="H4419" i="9"/>
  <c r="G4419" i="9"/>
  <c r="F4371" i="9"/>
  <c r="H4371" i="9"/>
  <c r="G4371" i="9"/>
  <c r="F4323" i="9"/>
  <c r="H4323" i="9"/>
  <c r="G4323" i="9"/>
  <c r="F4275" i="9"/>
  <c r="H4275" i="9"/>
  <c r="G4275" i="9"/>
  <c r="F4227" i="9"/>
  <c r="H4227" i="9"/>
  <c r="G4227" i="9"/>
  <c r="H4185" i="9"/>
  <c r="G4185" i="9"/>
  <c r="F4185" i="9"/>
  <c r="H4113" i="9"/>
  <c r="G4113" i="9"/>
  <c r="F4113" i="9"/>
  <c r="H4041" i="9"/>
  <c r="G4041" i="9"/>
  <c r="F4041" i="9"/>
  <c r="G6581" i="9"/>
  <c r="F6581" i="9"/>
  <c r="H6581" i="9"/>
  <c r="G6545" i="9"/>
  <c r="F6545" i="9"/>
  <c r="H6545" i="9"/>
  <c r="H6509" i="9"/>
  <c r="G6509" i="9"/>
  <c r="F6509" i="9"/>
  <c r="H6473" i="9"/>
  <c r="G6473" i="9"/>
  <c r="F6473" i="9"/>
  <c r="H6437" i="9"/>
  <c r="G6437" i="9"/>
  <c r="F6437" i="9"/>
  <c r="H6323" i="9"/>
  <c r="G6323" i="9"/>
  <c r="F6323" i="9"/>
  <c r="G6305" i="9"/>
  <c r="F6305" i="9"/>
  <c r="H6305" i="9"/>
  <c r="F6269" i="9"/>
  <c r="H6269" i="9"/>
  <c r="G6269" i="9"/>
  <c r="H6251" i="9"/>
  <c r="G6251" i="9"/>
  <c r="F6251" i="9"/>
  <c r="H6215" i="9"/>
  <c r="G6215" i="9"/>
  <c r="F6215" i="9"/>
  <c r="H6179" i="9"/>
  <c r="G6179" i="9"/>
  <c r="F6179" i="9"/>
  <c r="H6143" i="9"/>
  <c r="G6143" i="9"/>
  <c r="F6143" i="9"/>
  <c r="H6125" i="9"/>
  <c r="G6125" i="9"/>
  <c r="F6125" i="9"/>
  <c r="H6089" i="9"/>
  <c r="G6089" i="9"/>
  <c r="F6089" i="9"/>
  <c r="G5981" i="9"/>
  <c r="F5981" i="9"/>
  <c r="H5981" i="9"/>
  <c r="G5945" i="9"/>
  <c r="F5945" i="9"/>
  <c r="H5945" i="9"/>
  <c r="G5909" i="9"/>
  <c r="F5909" i="9"/>
  <c r="H5909" i="9"/>
  <c r="G5873" i="9"/>
  <c r="F5873" i="9"/>
  <c r="H5873" i="9"/>
  <c r="G5837" i="9"/>
  <c r="F5837" i="9"/>
  <c r="H5837" i="9"/>
  <c r="G5801" i="9"/>
  <c r="F5801" i="9"/>
  <c r="H5801" i="9"/>
  <c r="H5765" i="9"/>
  <c r="G5765" i="9"/>
  <c r="F5765" i="9"/>
  <c r="H5747" i="9"/>
  <c r="G5747" i="9"/>
  <c r="F5747" i="9"/>
  <c r="H5729" i="9"/>
  <c r="G5729" i="9"/>
  <c r="F5729" i="9"/>
  <c r="H5711" i="9"/>
  <c r="G5711" i="9"/>
  <c r="F5711" i="9"/>
  <c r="G5688" i="9"/>
  <c r="F5688" i="9"/>
  <c r="H5688" i="9"/>
  <c r="H5640" i="9"/>
  <c r="G5640" i="9"/>
  <c r="F5640" i="9"/>
  <c r="H5592" i="9"/>
  <c r="G5592" i="9"/>
  <c r="F5592" i="9"/>
  <c r="G5448" i="9"/>
  <c r="F5448" i="9"/>
  <c r="H5448" i="9"/>
  <c r="F5400" i="9"/>
  <c r="G5400" i="9"/>
  <c r="H5400" i="9"/>
  <c r="G5352" i="9"/>
  <c r="F5352" i="9"/>
  <c r="H5352" i="9"/>
  <c r="K5064" i="9"/>
  <c r="J5064" i="9"/>
  <c r="I5064" i="9"/>
  <c r="K5016" i="9"/>
  <c r="J5016" i="9"/>
  <c r="I5016" i="9"/>
  <c r="K4968" i="9"/>
  <c r="J4968" i="9"/>
  <c r="I4968" i="9"/>
  <c r="K4920" i="9"/>
  <c r="J4920" i="9"/>
  <c r="I4920" i="9"/>
  <c r="K4872" i="9"/>
  <c r="J4872" i="9"/>
  <c r="I4872" i="9"/>
  <c r="K4824" i="9"/>
  <c r="J4824" i="9"/>
  <c r="I4824" i="9"/>
  <c r="H4776" i="9"/>
  <c r="G4776" i="9"/>
  <c r="F4776" i="9"/>
  <c r="G4728" i="9"/>
  <c r="F4728" i="9"/>
  <c r="H4728" i="9"/>
  <c r="H4680" i="9"/>
  <c r="G4680" i="9"/>
  <c r="F4680" i="9"/>
  <c r="H4632" i="9"/>
  <c r="G4632" i="9"/>
  <c r="F4632" i="9"/>
  <c r="H4584" i="9"/>
  <c r="G4584" i="9"/>
  <c r="F4584" i="9"/>
  <c r="H4536" i="9"/>
  <c r="G4536" i="9"/>
  <c r="F4536" i="9"/>
  <c r="H4488" i="9"/>
  <c r="G4488" i="9"/>
  <c r="F4488" i="9"/>
  <c r="H4440" i="9"/>
  <c r="G4440" i="9"/>
  <c r="F4440" i="9"/>
  <c r="H4392" i="9"/>
  <c r="G4392" i="9"/>
  <c r="F4392" i="9"/>
  <c r="H4344" i="9"/>
  <c r="G4344" i="9"/>
  <c r="F4344" i="9"/>
  <c r="H4296" i="9"/>
  <c r="G4296" i="9"/>
  <c r="F4296" i="9"/>
  <c r="H4248" i="9"/>
  <c r="G4248" i="9"/>
  <c r="F4248" i="9"/>
  <c r="H4151" i="9"/>
  <c r="G4151" i="9"/>
  <c r="F4151" i="9"/>
  <c r="K4122" i="9"/>
  <c r="J4122" i="9"/>
  <c r="I4122" i="9"/>
  <c r="H4079" i="9"/>
  <c r="G4079" i="9"/>
  <c r="F4079" i="9"/>
  <c r="K4050" i="9"/>
  <c r="J4050" i="9"/>
  <c r="I4050" i="9"/>
  <c r="H4007" i="9"/>
  <c r="G4007" i="9"/>
  <c r="F4007" i="9"/>
  <c r="K3978" i="9"/>
  <c r="J3978" i="9"/>
  <c r="I3978" i="9"/>
  <c r="H3935" i="9"/>
  <c r="G3935" i="9"/>
  <c r="F3935" i="9"/>
  <c r="G3906" i="9"/>
  <c r="F3906" i="9"/>
  <c r="H3906" i="9"/>
  <c r="K3863" i="9"/>
  <c r="J3863" i="9"/>
  <c r="I3863" i="9"/>
  <c r="G3834" i="9"/>
  <c r="F3834" i="9"/>
  <c r="H3834" i="9"/>
  <c r="K3791" i="9"/>
  <c r="J3791" i="9"/>
  <c r="I3791" i="9"/>
  <c r="G3762" i="9"/>
  <c r="F3762" i="9"/>
  <c r="H3762" i="9"/>
  <c r="H5693" i="9"/>
  <c r="G5693" i="9"/>
  <c r="F5693" i="9"/>
  <c r="G5666" i="9"/>
  <c r="H5666" i="9"/>
  <c r="F5666" i="9"/>
  <c r="G5618" i="9"/>
  <c r="F5618" i="9"/>
  <c r="H5618" i="9"/>
  <c r="G5570" i="9"/>
  <c r="F5570" i="9"/>
  <c r="H5570" i="9"/>
  <c r="G5522" i="9"/>
  <c r="H5522" i="9"/>
  <c r="F5522" i="9"/>
  <c r="G5474" i="9"/>
  <c r="H5474" i="9"/>
  <c r="F5474" i="9"/>
  <c r="J5453" i="9"/>
  <c r="I5453" i="9"/>
  <c r="K5453" i="9"/>
  <c r="K5405" i="9"/>
  <c r="J5405" i="9"/>
  <c r="I5405" i="9"/>
  <c r="J5357" i="9"/>
  <c r="I5357" i="9"/>
  <c r="K5357" i="9"/>
  <c r="G5330" i="9"/>
  <c r="H5330" i="9"/>
  <c r="F5330" i="9"/>
  <c r="K5282" i="9"/>
  <c r="J5282" i="9"/>
  <c r="I5282" i="9"/>
  <c r="K5234" i="9"/>
  <c r="J5234" i="9"/>
  <c r="I5234" i="9"/>
  <c r="H5213" i="9"/>
  <c r="G5213" i="9"/>
  <c r="F5213" i="9"/>
  <c r="K5186" i="9"/>
  <c r="J5186" i="9"/>
  <c r="I5186" i="9"/>
  <c r="H5165" i="9"/>
  <c r="G5165" i="9"/>
  <c r="F5165" i="9"/>
  <c r="K5138" i="9"/>
  <c r="J5138" i="9"/>
  <c r="I5138" i="9"/>
  <c r="H5069" i="9"/>
  <c r="G5069" i="9"/>
  <c r="F5069" i="9"/>
  <c r="H5021" i="9"/>
  <c r="G5021" i="9"/>
  <c r="F5021" i="9"/>
  <c r="H4973" i="9"/>
  <c r="G4973" i="9"/>
  <c r="F4973" i="9"/>
  <c r="H4925" i="9"/>
  <c r="G4925" i="9"/>
  <c r="F4925" i="9"/>
  <c r="H4877" i="9"/>
  <c r="G4877" i="9"/>
  <c r="F4877" i="9"/>
  <c r="H4802" i="9"/>
  <c r="G4802" i="9"/>
  <c r="F4802" i="9"/>
  <c r="F4781" i="9"/>
  <c r="H4781" i="9"/>
  <c r="G4781" i="9"/>
  <c r="H4754" i="9"/>
  <c r="G4754" i="9"/>
  <c r="F4754" i="9"/>
  <c r="F4733" i="9"/>
  <c r="G4733" i="9"/>
  <c r="H4733" i="9"/>
  <c r="K6598" i="9"/>
  <c r="J6598" i="9"/>
  <c r="I6598" i="9"/>
  <c r="K6562" i="9"/>
  <c r="J6562" i="9"/>
  <c r="I6562" i="9"/>
  <c r="K6526" i="9"/>
  <c r="J6526" i="9"/>
  <c r="I6526" i="9"/>
  <c r="H6382" i="9"/>
  <c r="G6382" i="9"/>
  <c r="F6382" i="9"/>
  <c r="F6316" i="9"/>
  <c r="H6316" i="9"/>
  <c r="G6316" i="9"/>
  <c r="K6298" i="9"/>
  <c r="J6298" i="9"/>
  <c r="I6298" i="9"/>
  <c r="F6280" i="9"/>
  <c r="G6280" i="9"/>
  <c r="H6280" i="9"/>
  <c r="H6262" i="9"/>
  <c r="G6262" i="9"/>
  <c r="F6262" i="9"/>
  <c r="H6226" i="9"/>
  <c r="G6226" i="9"/>
  <c r="F6226" i="9"/>
  <c r="H6190" i="9"/>
  <c r="G6190" i="9"/>
  <c r="F6190" i="9"/>
  <c r="H6100" i="9"/>
  <c r="G6100" i="9"/>
  <c r="F6100" i="9"/>
  <c r="H6064" i="9"/>
  <c r="G6064" i="9"/>
  <c r="F6064" i="9"/>
  <c r="H6028" i="9"/>
  <c r="G6028" i="9"/>
  <c r="F6028" i="9"/>
  <c r="F5992" i="9"/>
  <c r="H5992" i="9"/>
  <c r="G5992" i="9"/>
  <c r="H5974" i="9"/>
  <c r="G5974" i="9"/>
  <c r="F5974" i="9"/>
  <c r="F5956" i="9"/>
  <c r="H5956" i="9"/>
  <c r="G5956" i="9"/>
  <c r="K5938" i="9"/>
  <c r="J5938" i="9"/>
  <c r="I5938" i="9"/>
  <c r="F5920" i="9"/>
  <c r="H5920" i="9"/>
  <c r="G5920" i="9"/>
  <c r="K5902" i="9"/>
  <c r="J5902" i="9"/>
  <c r="I5902" i="9"/>
  <c r="H5866" i="9"/>
  <c r="G5866" i="9"/>
  <c r="F5866" i="9"/>
  <c r="H5848" i="9"/>
  <c r="G5848" i="9"/>
  <c r="F5848" i="9"/>
  <c r="H5830" i="9"/>
  <c r="G5830" i="9"/>
  <c r="F5830" i="9"/>
  <c r="H5812" i="9"/>
  <c r="G5812" i="9"/>
  <c r="F5812" i="9"/>
  <c r="H5794" i="9"/>
  <c r="F5794" i="9"/>
  <c r="G5794" i="9"/>
  <c r="H5776" i="9"/>
  <c r="G5776" i="9"/>
  <c r="F5776" i="9"/>
  <c r="H5758" i="9"/>
  <c r="G5758" i="9"/>
  <c r="F5758" i="9"/>
  <c r="H5722" i="9"/>
  <c r="G5722" i="9"/>
  <c r="F5722" i="9"/>
  <c r="K5671" i="9"/>
  <c r="J5671" i="9"/>
  <c r="I5671" i="9"/>
  <c r="K5623" i="9"/>
  <c r="J5623" i="9"/>
  <c r="I5623" i="9"/>
  <c r="K5527" i="9"/>
  <c r="J5527" i="9"/>
  <c r="I5527" i="9"/>
  <c r="K5479" i="9"/>
  <c r="J5479" i="9"/>
  <c r="I5479" i="9"/>
  <c r="H5431" i="9"/>
  <c r="G5431" i="9"/>
  <c r="F5431" i="9"/>
  <c r="K5335" i="9"/>
  <c r="J5335" i="9"/>
  <c r="I5335" i="9"/>
  <c r="H5287" i="9"/>
  <c r="G5287" i="9"/>
  <c r="F5287" i="9"/>
  <c r="H5239" i="9"/>
  <c r="G5239" i="9"/>
  <c r="F5239" i="9"/>
  <c r="H5191" i="9"/>
  <c r="G5191" i="9"/>
  <c r="F5191" i="9"/>
  <c r="H5143" i="9"/>
  <c r="G5143" i="9"/>
  <c r="F5143" i="9"/>
  <c r="F5095" i="9"/>
  <c r="H5095" i="9"/>
  <c r="G5095" i="9"/>
  <c r="F5047" i="9"/>
  <c r="H5047" i="9"/>
  <c r="G5047" i="9"/>
  <c r="F4999" i="9"/>
  <c r="H4999" i="9"/>
  <c r="G4999" i="9"/>
  <c r="F4951" i="9"/>
  <c r="H4951" i="9"/>
  <c r="G4951" i="9"/>
  <c r="F4903" i="9"/>
  <c r="H4903" i="9"/>
  <c r="G4903" i="9"/>
  <c r="F4855" i="9"/>
  <c r="H4855" i="9"/>
  <c r="G4855" i="9"/>
  <c r="G4711" i="9"/>
  <c r="F4711" i="9"/>
  <c r="H4711" i="9"/>
  <c r="G4663" i="9"/>
  <c r="F4663" i="9"/>
  <c r="H4663" i="9"/>
  <c r="G4615" i="9"/>
  <c r="F4615" i="9"/>
  <c r="H4615" i="9"/>
  <c r="G4567" i="9"/>
  <c r="F4567" i="9"/>
  <c r="H4567" i="9"/>
  <c r="G4519" i="9"/>
  <c r="F4519" i="9"/>
  <c r="H4519" i="9"/>
  <c r="G4471" i="9"/>
  <c r="F4471" i="9"/>
  <c r="H4471" i="9"/>
  <c r="H4423" i="9"/>
  <c r="G4423" i="9"/>
  <c r="F4423" i="9"/>
  <c r="H4375" i="9"/>
  <c r="G4375" i="9"/>
  <c r="F4375" i="9"/>
  <c r="H4327" i="9"/>
  <c r="G4327" i="9"/>
  <c r="F4327" i="9"/>
  <c r="H4279" i="9"/>
  <c r="G4279" i="9"/>
  <c r="F4279" i="9"/>
  <c r="H4231" i="9"/>
  <c r="G4231" i="9"/>
  <c r="F4231" i="9"/>
  <c r="H4150" i="9"/>
  <c r="G4150" i="9"/>
  <c r="F4150" i="9"/>
  <c r="K5612" i="9"/>
  <c r="J5612" i="9"/>
  <c r="I5612" i="9"/>
  <c r="H5564" i="9"/>
  <c r="G5564" i="9"/>
  <c r="F5564" i="9"/>
  <c r="G5516" i="9"/>
  <c r="H5516" i="9"/>
  <c r="F5516" i="9"/>
  <c r="G5468" i="9"/>
  <c r="H5468" i="9"/>
  <c r="F5468" i="9"/>
  <c r="H5420" i="9"/>
  <c r="G5420" i="9"/>
  <c r="F5420" i="9"/>
  <c r="H5372" i="9"/>
  <c r="G5372" i="9"/>
  <c r="F5372" i="9"/>
  <c r="G5276" i="9"/>
  <c r="F5276" i="9"/>
  <c r="H5276" i="9"/>
  <c r="G5228" i="9"/>
  <c r="F5228" i="9"/>
  <c r="H5228" i="9"/>
  <c r="G5180" i="9"/>
  <c r="F5180" i="9"/>
  <c r="H5180" i="9"/>
  <c r="G5132" i="9"/>
  <c r="F5132" i="9"/>
  <c r="H5132" i="9"/>
  <c r="H5084" i="9"/>
  <c r="G5084" i="9"/>
  <c r="F5084" i="9"/>
  <c r="H5036" i="9"/>
  <c r="G5036" i="9"/>
  <c r="F5036" i="9"/>
  <c r="H4988" i="9"/>
  <c r="G4988" i="9"/>
  <c r="F4988" i="9"/>
  <c r="H4940" i="9"/>
  <c r="G4940" i="9"/>
  <c r="F4940" i="9"/>
  <c r="H4892" i="9"/>
  <c r="G4892" i="9"/>
  <c r="F4892" i="9"/>
  <c r="H4844" i="9"/>
  <c r="G4844" i="9"/>
  <c r="F4844" i="9"/>
  <c r="K6525" i="9"/>
  <c r="J6525" i="9"/>
  <c r="I6525" i="9"/>
  <c r="K6489" i="9"/>
  <c r="J6489" i="9"/>
  <c r="I6489" i="9"/>
  <c r="G6453" i="9"/>
  <c r="F6453" i="9"/>
  <c r="H6453" i="9"/>
  <c r="H6417" i="9"/>
  <c r="G6417" i="9"/>
  <c r="F6417" i="9"/>
  <c r="H6381" i="9"/>
  <c r="G6381" i="9"/>
  <c r="F6381" i="9"/>
  <c r="H6351" i="9"/>
  <c r="G6351" i="9"/>
  <c r="F6351" i="9"/>
  <c r="G6315" i="9"/>
  <c r="F6315" i="9"/>
  <c r="H6315" i="9"/>
  <c r="G6279" i="9"/>
  <c r="F6279" i="9"/>
  <c r="H6279" i="9"/>
  <c r="H6261" i="9"/>
  <c r="G6261" i="9"/>
  <c r="F6261" i="9"/>
  <c r="G6243" i="9"/>
  <c r="F6243" i="9"/>
  <c r="H6243" i="9"/>
  <c r="H6225" i="9"/>
  <c r="G6225" i="9"/>
  <c r="F6225" i="9"/>
  <c r="G6207" i="9"/>
  <c r="F6207" i="9"/>
  <c r="H6207" i="9"/>
  <c r="H6189" i="9"/>
  <c r="G6189" i="9"/>
  <c r="F6189" i="9"/>
  <c r="G6171" i="9"/>
  <c r="F6171" i="9"/>
  <c r="H6171" i="9"/>
  <c r="F6135" i="9"/>
  <c r="H6135" i="9"/>
  <c r="G6135" i="9"/>
  <c r="G6117" i="9"/>
  <c r="F6117" i="9"/>
  <c r="H6117" i="9"/>
  <c r="H6099" i="9"/>
  <c r="G6099" i="9"/>
  <c r="F6099" i="9"/>
  <c r="G6081" i="9"/>
  <c r="F6081" i="9"/>
  <c r="H6081" i="9"/>
  <c r="H6063" i="9"/>
  <c r="F6063" i="9"/>
  <c r="G6063" i="9"/>
  <c r="G6045" i="9"/>
  <c r="F6045" i="9"/>
  <c r="H6045" i="9"/>
  <c r="H6027" i="9"/>
  <c r="F6027" i="9"/>
  <c r="G6027" i="9"/>
  <c r="G6009" i="9"/>
  <c r="F6009" i="9"/>
  <c r="H6009" i="9"/>
  <c r="G5991" i="9"/>
  <c r="F5991" i="9"/>
  <c r="H5991" i="9"/>
  <c r="G5955" i="9"/>
  <c r="F5955" i="9"/>
  <c r="H5955" i="9"/>
  <c r="G5919" i="9"/>
  <c r="F5919" i="9"/>
  <c r="H5919" i="9"/>
  <c r="H5883" i="9"/>
  <c r="G5883" i="9"/>
  <c r="F5883" i="9"/>
  <c r="H5847" i="9"/>
  <c r="G5847" i="9"/>
  <c r="F5847" i="9"/>
  <c r="H5811" i="9"/>
  <c r="G5811" i="9"/>
  <c r="F5811" i="9"/>
  <c r="H5775" i="9"/>
  <c r="G5775" i="9"/>
  <c r="F5775" i="9"/>
  <c r="H5757" i="9"/>
  <c r="G5757" i="9"/>
  <c r="F5757" i="9"/>
  <c r="H5721" i="9"/>
  <c r="G5721" i="9"/>
  <c r="F5721" i="9"/>
  <c r="H5681" i="9"/>
  <c r="G5681" i="9"/>
  <c r="F5681" i="9"/>
  <c r="G5654" i="9"/>
  <c r="H5654" i="9"/>
  <c r="F5654" i="9"/>
  <c r="G5606" i="9"/>
  <c r="F5606" i="9"/>
  <c r="H5606" i="9"/>
  <c r="G5558" i="9"/>
  <c r="F5558" i="9"/>
  <c r="H5558" i="9"/>
  <c r="J5537" i="9"/>
  <c r="I5537" i="9"/>
  <c r="K5537" i="9"/>
  <c r="G5510" i="9"/>
  <c r="F5510" i="9"/>
  <c r="H5510" i="9"/>
  <c r="G5462" i="9"/>
  <c r="F5462" i="9"/>
  <c r="H5462" i="9"/>
  <c r="K5393" i="9"/>
  <c r="J5393" i="9"/>
  <c r="I5393" i="9"/>
  <c r="G5318" i="9"/>
  <c r="H5318" i="9"/>
  <c r="F5318" i="9"/>
  <c r="K5270" i="9"/>
  <c r="J5270" i="9"/>
  <c r="I5270" i="9"/>
  <c r="K5222" i="9"/>
  <c r="J5222" i="9"/>
  <c r="I5222" i="9"/>
  <c r="H5201" i="9"/>
  <c r="G5201" i="9"/>
  <c r="F5201" i="9"/>
  <c r="H5659" i="9"/>
  <c r="G5659" i="9"/>
  <c r="F5659" i="9"/>
  <c r="K5611" i="9"/>
  <c r="J5611" i="9"/>
  <c r="I5611" i="9"/>
  <c r="H5563" i="9"/>
  <c r="G5563" i="9"/>
  <c r="F5563" i="9"/>
  <c r="K5515" i="9"/>
  <c r="J5515" i="9"/>
  <c r="I5515" i="9"/>
  <c r="H5419" i="9"/>
  <c r="G5419" i="9"/>
  <c r="F5419" i="9"/>
  <c r="K5323" i="9"/>
  <c r="I5323" i="9"/>
  <c r="J5323" i="9"/>
  <c r="H5275" i="9"/>
  <c r="G5275" i="9"/>
  <c r="F5275" i="9"/>
  <c r="H5227" i="9"/>
  <c r="G5227" i="9"/>
  <c r="F5227" i="9"/>
  <c r="H5179" i="9"/>
  <c r="G5179" i="9"/>
  <c r="F5179" i="9"/>
  <c r="H5131" i="9"/>
  <c r="G5131" i="9"/>
  <c r="F5131" i="9"/>
  <c r="F5083" i="9"/>
  <c r="H5083" i="9"/>
  <c r="G5083" i="9"/>
  <c r="F5035" i="9"/>
  <c r="H5035" i="9"/>
  <c r="G5035" i="9"/>
  <c r="F4987" i="9"/>
  <c r="H4987" i="9"/>
  <c r="G4987" i="9"/>
  <c r="F4939" i="9"/>
  <c r="H4939" i="9"/>
  <c r="G4939" i="9"/>
  <c r="F4891" i="9"/>
  <c r="H4891" i="9"/>
  <c r="G4891" i="9"/>
  <c r="F4843" i="9"/>
  <c r="H4843" i="9"/>
  <c r="G4843" i="9"/>
  <c r="G4699" i="9"/>
  <c r="F4699" i="9"/>
  <c r="H4699" i="9"/>
  <c r="G4651" i="9"/>
  <c r="F4651" i="9"/>
  <c r="H4651" i="9"/>
  <c r="G4603" i="9"/>
  <c r="F4603" i="9"/>
  <c r="H4603" i="9"/>
  <c r="G4555" i="9"/>
  <c r="F4555" i="9"/>
  <c r="H4555" i="9"/>
  <c r="G4507" i="9"/>
  <c r="F4507" i="9"/>
  <c r="H4507" i="9"/>
  <c r="G4459" i="9"/>
  <c r="F4459" i="9"/>
  <c r="H4459" i="9"/>
  <c r="H4411" i="9"/>
  <c r="G4411" i="9"/>
  <c r="F4411" i="9"/>
  <c r="H4363" i="9"/>
  <c r="G4363" i="9"/>
  <c r="F4363" i="9"/>
  <c r="H4315" i="9"/>
  <c r="G4315" i="9"/>
  <c r="F4315" i="9"/>
  <c r="H4267" i="9"/>
  <c r="G4267" i="9"/>
  <c r="F4267" i="9"/>
  <c r="H4219" i="9"/>
  <c r="G4219" i="9"/>
  <c r="F4219" i="9"/>
  <c r="H4125" i="9"/>
  <c r="G4125" i="9"/>
  <c r="F4125" i="9"/>
  <c r="H4053" i="9"/>
  <c r="G4053" i="9"/>
  <c r="F4053" i="9"/>
  <c r="H3981" i="9"/>
  <c r="G3981" i="9"/>
  <c r="F3981" i="9"/>
  <c r="G3880" i="9"/>
  <c r="F3880" i="9"/>
  <c r="H3880" i="9"/>
  <c r="H6590" i="9"/>
  <c r="G6590" i="9"/>
  <c r="F6590" i="9"/>
  <c r="H6554" i="9"/>
  <c r="G6554" i="9"/>
  <c r="F6554" i="9"/>
  <c r="H6518" i="9"/>
  <c r="G6518" i="9"/>
  <c r="F6518" i="9"/>
  <c r="H6482" i="9"/>
  <c r="G6482" i="9"/>
  <c r="F6482" i="9"/>
  <c r="K6446" i="9"/>
  <c r="J6446" i="9"/>
  <c r="I6446" i="9"/>
  <c r="F6410" i="9"/>
  <c r="H6410" i="9"/>
  <c r="G6410" i="9"/>
  <c r="F6374" i="9"/>
  <c r="H6374" i="9"/>
  <c r="G6374" i="9"/>
  <c r="H6338" i="9"/>
  <c r="G6338" i="9"/>
  <c r="F6338" i="9"/>
  <c r="H6314" i="9"/>
  <c r="G6314" i="9"/>
  <c r="F6314" i="9"/>
  <c r="G6296" i="9"/>
  <c r="H6296" i="9"/>
  <c r="F6296" i="9"/>
  <c r="H6278" i="9"/>
  <c r="G6278" i="9"/>
  <c r="F6278" i="9"/>
  <c r="K6260" i="9"/>
  <c r="J6260" i="9"/>
  <c r="I6260" i="9"/>
  <c r="F6242" i="9"/>
  <c r="H6242" i="9"/>
  <c r="G6242" i="9"/>
  <c r="K6224" i="9"/>
  <c r="J6224" i="9"/>
  <c r="I6224" i="9"/>
  <c r="F6206" i="9"/>
  <c r="H6206" i="9"/>
  <c r="G6206" i="9"/>
  <c r="K6188" i="9"/>
  <c r="J6188" i="9"/>
  <c r="I6188" i="9"/>
  <c r="F6170" i="9"/>
  <c r="H6170" i="9"/>
  <c r="G6170" i="9"/>
  <c r="K6152" i="9"/>
  <c r="J6152" i="9"/>
  <c r="I6152" i="9"/>
  <c r="F6134" i="9"/>
  <c r="H6134" i="9"/>
  <c r="G6134" i="9"/>
  <c r="F6116" i="9"/>
  <c r="H6116" i="9"/>
  <c r="G6116" i="9"/>
  <c r="K6098" i="9"/>
  <c r="J6098" i="9"/>
  <c r="I6098" i="9"/>
  <c r="F6080" i="9"/>
  <c r="H6080" i="9"/>
  <c r="G6080" i="9"/>
  <c r="K6062" i="9"/>
  <c r="J6062" i="9"/>
  <c r="I6062" i="9"/>
  <c r="F6044" i="9"/>
  <c r="H6044" i="9"/>
  <c r="G6044" i="9"/>
  <c r="K6026" i="9"/>
  <c r="J6026" i="9"/>
  <c r="I6026" i="9"/>
  <c r="F6008" i="9"/>
  <c r="H6008" i="9"/>
  <c r="G6008" i="9"/>
  <c r="H5990" i="9"/>
  <c r="G5990" i="9"/>
  <c r="F5990" i="9"/>
  <c r="H5972" i="9"/>
  <c r="G5972" i="9"/>
  <c r="F5972" i="9"/>
  <c r="H5954" i="9"/>
  <c r="G5954" i="9"/>
  <c r="F5954" i="9"/>
  <c r="H5936" i="9"/>
  <c r="G5936" i="9"/>
  <c r="F5936" i="9"/>
  <c r="H5918" i="9"/>
  <c r="G5918" i="9"/>
  <c r="F5918" i="9"/>
  <c r="H5900" i="9"/>
  <c r="F5900" i="9"/>
  <c r="G5900" i="9"/>
  <c r="H5882" i="9"/>
  <c r="G5882" i="9"/>
  <c r="F5882" i="9"/>
  <c r="H5846" i="9"/>
  <c r="G5846" i="9"/>
  <c r="F5846" i="9"/>
  <c r="H5810" i="9"/>
  <c r="G5810" i="9"/>
  <c r="F5810" i="9"/>
  <c r="H5774" i="9"/>
  <c r="G5774" i="9"/>
  <c r="F5774" i="9"/>
  <c r="G5738" i="9"/>
  <c r="H5738" i="9"/>
  <c r="F5738" i="9"/>
  <c r="G5702" i="9"/>
  <c r="H5702" i="9"/>
  <c r="F5702" i="9"/>
  <c r="G5664" i="9"/>
  <c r="F5664" i="9"/>
  <c r="H5664" i="9"/>
  <c r="H5616" i="9"/>
  <c r="G5616" i="9"/>
  <c r="F5616" i="9"/>
  <c r="H5568" i="9"/>
  <c r="G5568" i="9"/>
  <c r="F5568" i="9"/>
  <c r="F5424" i="9"/>
  <c r="H5424" i="9"/>
  <c r="G5424" i="9"/>
  <c r="F5376" i="9"/>
  <c r="G5376" i="9"/>
  <c r="H5376" i="9"/>
  <c r="G5328" i="9"/>
  <c r="F5328" i="9"/>
  <c r="H5328" i="9"/>
  <c r="K5088" i="9"/>
  <c r="J5088" i="9"/>
  <c r="I5088" i="9"/>
  <c r="K5040" i="9"/>
  <c r="J5040" i="9"/>
  <c r="I5040" i="9"/>
  <c r="K4992" i="9"/>
  <c r="J4992" i="9"/>
  <c r="I4992" i="9"/>
  <c r="K4944" i="9"/>
  <c r="J4944" i="9"/>
  <c r="I4944" i="9"/>
  <c r="K4896" i="9"/>
  <c r="J4896" i="9"/>
  <c r="I4896" i="9"/>
  <c r="K4848" i="9"/>
  <c r="J4848" i="9"/>
  <c r="I4848" i="9"/>
  <c r="H4800" i="9"/>
  <c r="G4800" i="9"/>
  <c r="F4800" i="9"/>
  <c r="H4752" i="9"/>
  <c r="G4752" i="9"/>
  <c r="F4752" i="9"/>
  <c r="H4704" i="9"/>
  <c r="G4704" i="9"/>
  <c r="F4704" i="9"/>
  <c r="H4656" i="9"/>
  <c r="G4656" i="9"/>
  <c r="F4656" i="9"/>
  <c r="H4608" i="9"/>
  <c r="G4608" i="9"/>
  <c r="F4608" i="9"/>
  <c r="H4560" i="9"/>
  <c r="G4560" i="9"/>
  <c r="F4560" i="9"/>
  <c r="H4512" i="9"/>
  <c r="G4512" i="9"/>
  <c r="F4512" i="9"/>
  <c r="H4464" i="9"/>
  <c r="G4464" i="9"/>
  <c r="F4464" i="9"/>
  <c r="H4416" i="9"/>
  <c r="G4416" i="9"/>
  <c r="F4416" i="9"/>
  <c r="H4368" i="9"/>
  <c r="G4368" i="9"/>
  <c r="F4368" i="9"/>
  <c r="H4320" i="9"/>
  <c r="G4320" i="9"/>
  <c r="F4320" i="9"/>
  <c r="H4272" i="9"/>
  <c r="G4272" i="9"/>
  <c r="F4272" i="9"/>
  <c r="H4187" i="9"/>
  <c r="G4187" i="9"/>
  <c r="F4187" i="9"/>
  <c r="K4158" i="9"/>
  <c r="J4158" i="9"/>
  <c r="I4158" i="9"/>
  <c r="H4115" i="9"/>
  <c r="G4115" i="9"/>
  <c r="F4115" i="9"/>
  <c r="K4086" i="9"/>
  <c r="J4086" i="9"/>
  <c r="I4086" i="9"/>
  <c r="H4043" i="9"/>
  <c r="G4043" i="9"/>
  <c r="F4043" i="9"/>
  <c r="K4014" i="9"/>
  <c r="J4014" i="9"/>
  <c r="I4014" i="9"/>
  <c r="H3971" i="9"/>
  <c r="G3971" i="9"/>
  <c r="F3971" i="9"/>
  <c r="K3942" i="9"/>
  <c r="J3942" i="9"/>
  <c r="I3942" i="9"/>
  <c r="K3899" i="9"/>
  <c r="J3899" i="9"/>
  <c r="I3899" i="9"/>
  <c r="F5169" i="9"/>
  <c r="H5169" i="9"/>
  <c r="G5169" i="9"/>
  <c r="J4737" i="9"/>
  <c r="I4737" i="9"/>
  <c r="K4737" i="9"/>
  <c r="F4626" i="9"/>
  <c r="H4626" i="9"/>
  <c r="G4626" i="9"/>
  <c r="K4353" i="9"/>
  <c r="J4353" i="9"/>
  <c r="I4353" i="9"/>
  <c r="K4145" i="9"/>
  <c r="J4145" i="9"/>
  <c r="I4145" i="9"/>
  <c r="K3979" i="9"/>
  <c r="J3979" i="9"/>
  <c r="I3979" i="9"/>
  <c r="K3953" i="9"/>
  <c r="J3953" i="9"/>
  <c r="I3953" i="9"/>
  <c r="H3855" i="9"/>
  <c r="G3855" i="9"/>
  <c r="F3855" i="9"/>
  <c r="H3825" i="9"/>
  <c r="G3825" i="9"/>
  <c r="F3825" i="9"/>
  <c r="H3729" i="9"/>
  <c r="G3729" i="9"/>
  <c r="F3729" i="9"/>
  <c r="H3705" i="9"/>
  <c r="G3705" i="9"/>
  <c r="F3705" i="9"/>
  <c r="H3681" i="9"/>
  <c r="G3681" i="9"/>
  <c r="F3681" i="9"/>
  <c r="K3657" i="9"/>
  <c r="J3657" i="9"/>
  <c r="I3657" i="9"/>
  <c r="K3633" i="9"/>
  <c r="J3633" i="9"/>
  <c r="I3633" i="9"/>
  <c r="H3609" i="9"/>
  <c r="G3609" i="9"/>
  <c r="F3609" i="9"/>
  <c r="H3585" i="9"/>
  <c r="G3585" i="9"/>
  <c r="F3585" i="9"/>
  <c r="H3561" i="9"/>
  <c r="G3561" i="9"/>
  <c r="F3561" i="9"/>
  <c r="H3537" i="9"/>
  <c r="G3537" i="9"/>
  <c r="F3537" i="9"/>
  <c r="H3513" i="9"/>
  <c r="G3513" i="9"/>
  <c r="F3513" i="9"/>
  <c r="H3489" i="9"/>
  <c r="G3489" i="9"/>
  <c r="F3489" i="9"/>
  <c r="H3465" i="9"/>
  <c r="G3465" i="9"/>
  <c r="F3465" i="9"/>
  <c r="H3441" i="9"/>
  <c r="G3441" i="9"/>
  <c r="F3441" i="9"/>
  <c r="H3417" i="9"/>
  <c r="G3417" i="9"/>
  <c r="F3417" i="9"/>
  <c r="H3393" i="9"/>
  <c r="G3393" i="9"/>
  <c r="F3393" i="9"/>
  <c r="H3369" i="9"/>
  <c r="G3369" i="9"/>
  <c r="F3369" i="9"/>
  <c r="H3345" i="9"/>
  <c r="G3345" i="9"/>
  <c r="F3345" i="9"/>
  <c r="H3321" i="9"/>
  <c r="G3321" i="9"/>
  <c r="F3321" i="9"/>
  <c r="H3297" i="9"/>
  <c r="G3297" i="9"/>
  <c r="F3297" i="9"/>
  <c r="H3273" i="9"/>
  <c r="G3273" i="9"/>
  <c r="F3273" i="9"/>
  <c r="H3249" i="9"/>
  <c r="G3249" i="9"/>
  <c r="F3249" i="9"/>
  <c r="G3033" i="9"/>
  <c r="H3033" i="9"/>
  <c r="F3033" i="9"/>
  <c r="G3009" i="9"/>
  <c r="H3009" i="9"/>
  <c r="F3009" i="9"/>
  <c r="K2985" i="9"/>
  <c r="J2985" i="9"/>
  <c r="I2985" i="9"/>
  <c r="G2961" i="9"/>
  <c r="H2961" i="9"/>
  <c r="F2961" i="9"/>
  <c r="G2937" i="9"/>
  <c r="H2937" i="9"/>
  <c r="F2937" i="9"/>
  <c r="K2913" i="9"/>
  <c r="J2913" i="9"/>
  <c r="I2913" i="9"/>
  <c r="G2889" i="9"/>
  <c r="H2889" i="9"/>
  <c r="F2889" i="9"/>
  <c r="G2865" i="9"/>
  <c r="H2865" i="9"/>
  <c r="F2865" i="9"/>
  <c r="K2841" i="9"/>
  <c r="J2841" i="9"/>
  <c r="I2841" i="9"/>
  <c r="G2817" i="9"/>
  <c r="H2817" i="9"/>
  <c r="F2817" i="9"/>
  <c r="G2793" i="9"/>
  <c r="H2793" i="9"/>
  <c r="F2793" i="9"/>
  <c r="H2769" i="9"/>
  <c r="G2769" i="9"/>
  <c r="F2769" i="9"/>
  <c r="H2745" i="9"/>
  <c r="G2745" i="9"/>
  <c r="F2745" i="9"/>
  <c r="H2721" i="9"/>
  <c r="G2721" i="9"/>
  <c r="F2721" i="9"/>
  <c r="H2697" i="9"/>
  <c r="G2697" i="9"/>
  <c r="F2697" i="9"/>
  <c r="H2673" i="9"/>
  <c r="G2673" i="9"/>
  <c r="F2673" i="9"/>
  <c r="H2649" i="9"/>
  <c r="G2649" i="9"/>
  <c r="F2649" i="9"/>
  <c r="H2625" i="9"/>
  <c r="G2625" i="9"/>
  <c r="F2625" i="9"/>
  <c r="H2601" i="9"/>
  <c r="G2601" i="9"/>
  <c r="F2601" i="9"/>
  <c r="H2577" i="9"/>
  <c r="G2577" i="9"/>
  <c r="F2577" i="9"/>
  <c r="H2553" i="9"/>
  <c r="F2553" i="9"/>
  <c r="G2553" i="9"/>
  <c r="H2529" i="9"/>
  <c r="F2529" i="9"/>
  <c r="G2529" i="9"/>
  <c r="J2481" i="9"/>
  <c r="I2481" i="9"/>
  <c r="K2481" i="9"/>
  <c r="H1995" i="9"/>
  <c r="F1995" i="9"/>
  <c r="G1995" i="9"/>
  <c r="H1960" i="9"/>
  <c r="G1960" i="9"/>
  <c r="F1960" i="9"/>
  <c r="K1921" i="9"/>
  <c r="J1921" i="9"/>
  <c r="I1921" i="9"/>
  <c r="H1851" i="9"/>
  <c r="F1851" i="9"/>
  <c r="G1851" i="9"/>
  <c r="H1816" i="9"/>
  <c r="G1816" i="9"/>
  <c r="F1816" i="9"/>
  <c r="H1742" i="9"/>
  <c r="G1742" i="9"/>
  <c r="F1742" i="9"/>
  <c r="K1672" i="9"/>
  <c r="J1672" i="9"/>
  <c r="I1672" i="9"/>
  <c r="H1598" i="9"/>
  <c r="G1598" i="9"/>
  <c r="F1598" i="9"/>
  <c r="K1356" i="9"/>
  <c r="J1356" i="9"/>
  <c r="I1356" i="9"/>
  <c r="H1320" i="9"/>
  <c r="G1320" i="9"/>
  <c r="F1320" i="9"/>
  <c r="F1304" i="9"/>
  <c r="H1304" i="9"/>
  <c r="G1304" i="9"/>
  <c r="H1288" i="9"/>
  <c r="G1288" i="9"/>
  <c r="F1288" i="9"/>
  <c r="H1260" i="9"/>
  <c r="G1260" i="9"/>
  <c r="F1260" i="9"/>
  <c r="H1236" i="9"/>
  <c r="G1236" i="9"/>
  <c r="F1236" i="9"/>
  <c r="H1212" i="9"/>
  <c r="G1212" i="9"/>
  <c r="F1212" i="9"/>
  <c r="H1192" i="9"/>
  <c r="G1192" i="9"/>
  <c r="F1192" i="9"/>
  <c r="H1180" i="9"/>
  <c r="G1180" i="9"/>
  <c r="F1180" i="9"/>
  <c r="F1160" i="9"/>
  <c r="H1160" i="9"/>
  <c r="G1160" i="9"/>
  <c r="H1144" i="9"/>
  <c r="G1144" i="9"/>
  <c r="F1144" i="9"/>
  <c r="H1128" i="9"/>
  <c r="G1128" i="9"/>
  <c r="F1128" i="9"/>
  <c r="H1104" i="9"/>
  <c r="G1104" i="9"/>
  <c r="F1104" i="9"/>
  <c r="H1092" i="9"/>
  <c r="G1092" i="9"/>
  <c r="F1092" i="9"/>
  <c r="F1052" i="9"/>
  <c r="H1052" i="9"/>
  <c r="G1052" i="9"/>
  <c r="H1032" i="9"/>
  <c r="G1032" i="9"/>
  <c r="F1032" i="9"/>
  <c r="H1012" i="9"/>
  <c r="G1012" i="9"/>
  <c r="F1012" i="9"/>
  <c r="H988" i="9"/>
  <c r="G988" i="9"/>
  <c r="F988" i="9"/>
  <c r="F968" i="9"/>
  <c r="H968" i="9"/>
  <c r="G968" i="9"/>
  <c r="H940" i="9"/>
  <c r="G940" i="9"/>
  <c r="F940" i="9"/>
  <c r="H904" i="9"/>
  <c r="G904" i="9"/>
  <c r="F904" i="9"/>
  <c r="F884" i="9"/>
  <c r="H884" i="9"/>
  <c r="G884" i="9"/>
  <c r="F860" i="9"/>
  <c r="H860" i="9"/>
  <c r="G860" i="9"/>
  <c r="H840" i="9"/>
  <c r="G840" i="9"/>
  <c r="F840" i="9"/>
  <c r="H808" i="9"/>
  <c r="G808" i="9"/>
  <c r="F808" i="9"/>
  <c r="H784" i="9"/>
  <c r="G784" i="9"/>
  <c r="F784" i="9"/>
  <c r="H760" i="9"/>
  <c r="G760" i="9"/>
  <c r="F760" i="9"/>
  <c r="H712" i="9"/>
  <c r="G712" i="9"/>
  <c r="F712" i="9"/>
  <c r="H640" i="9"/>
  <c r="G640" i="9"/>
  <c r="F640" i="9"/>
  <c r="G620" i="9"/>
  <c r="F620" i="9"/>
  <c r="H620" i="9"/>
  <c r="H592" i="9"/>
  <c r="G592" i="9"/>
  <c r="F592" i="9"/>
  <c r="G572" i="9"/>
  <c r="F572" i="9"/>
  <c r="H572" i="9"/>
  <c r="G548" i="9"/>
  <c r="F548" i="9"/>
  <c r="H548" i="9"/>
  <c r="H532" i="9"/>
  <c r="G532" i="9"/>
  <c r="F532" i="9"/>
  <c r="H496" i="9"/>
  <c r="G496" i="9"/>
  <c r="F496" i="9"/>
  <c r="G392" i="9"/>
  <c r="H392" i="9"/>
  <c r="F392" i="9"/>
  <c r="G296" i="9"/>
  <c r="F296" i="9"/>
  <c r="H296" i="9"/>
  <c r="G260" i="9"/>
  <c r="F260" i="9"/>
  <c r="H260" i="9"/>
  <c r="H220" i="9"/>
  <c r="G220" i="9"/>
  <c r="F220" i="9"/>
  <c r="G200" i="9"/>
  <c r="F200" i="9"/>
  <c r="H200" i="9"/>
  <c r="G176" i="9"/>
  <c r="F176" i="9"/>
  <c r="H176" i="9"/>
  <c r="G92" i="9"/>
  <c r="F92" i="9"/>
  <c r="H92" i="9"/>
  <c r="G80" i="9"/>
  <c r="F80" i="9"/>
  <c r="H80" i="9"/>
  <c r="G68" i="9"/>
  <c r="F68" i="9"/>
  <c r="H68" i="9"/>
  <c r="G56" i="9"/>
  <c r="F56" i="9"/>
  <c r="H56" i="9"/>
  <c r="G44" i="9"/>
  <c r="F44" i="9"/>
  <c r="H44" i="9"/>
  <c r="G32" i="9"/>
  <c r="F32" i="9"/>
  <c r="H32" i="9"/>
  <c r="G20" i="9"/>
  <c r="F20" i="9"/>
  <c r="H20" i="9"/>
  <c r="G8" i="9"/>
  <c r="F8" i="9"/>
  <c r="H8" i="9"/>
  <c r="F4678" i="9"/>
  <c r="H4678" i="9"/>
  <c r="G4678" i="9"/>
  <c r="F4486" i="9"/>
  <c r="H4486" i="9"/>
  <c r="G4486" i="9"/>
  <c r="K4364" i="9"/>
  <c r="J4364" i="9"/>
  <c r="I4364" i="9"/>
  <c r="H4294" i="9"/>
  <c r="G4294" i="9"/>
  <c r="F4294" i="9"/>
  <c r="F4117" i="9"/>
  <c r="H4117" i="9"/>
  <c r="G4117" i="9"/>
  <c r="K4063" i="9"/>
  <c r="J4063" i="9"/>
  <c r="I4063" i="9"/>
  <c r="H4010" i="9"/>
  <c r="G4010" i="9"/>
  <c r="F4010" i="9"/>
  <c r="H3890" i="9"/>
  <c r="G3890" i="9"/>
  <c r="F3890" i="9"/>
  <c r="K3790" i="9"/>
  <c r="J3790" i="9"/>
  <c r="I3790" i="9"/>
  <c r="H3770" i="9"/>
  <c r="G3770" i="9"/>
  <c r="F3770" i="9"/>
  <c r="H3733" i="9"/>
  <c r="G3733" i="9"/>
  <c r="F3733" i="9"/>
  <c r="H3666" i="9"/>
  <c r="G3666" i="9"/>
  <c r="F3666" i="9"/>
  <c r="K3594" i="9"/>
  <c r="J3594" i="9"/>
  <c r="I3594" i="9"/>
  <c r="K3522" i="9"/>
  <c r="J3522" i="9"/>
  <c r="I3522" i="9"/>
  <c r="K3450" i="9"/>
  <c r="J3450" i="9"/>
  <c r="I3450" i="9"/>
  <c r="K3378" i="9"/>
  <c r="J3378" i="9"/>
  <c r="I3378" i="9"/>
  <c r="G3306" i="9"/>
  <c r="H3306" i="9"/>
  <c r="F3306" i="9"/>
  <c r="G3234" i="9"/>
  <c r="H3234" i="9"/>
  <c r="F3234" i="9"/>
  <c r="F3162" i="9"/>
  <c r="H3162" i="9"/>
  <c r="G3162" i="9"/>
  <c r="F3090" i="9"/>
  <c r="H3090" i="9"/>
  <c r="G3090" i="9"/>
  <c r="H3018" i="9"/>
  <c r="F3018" i="9"/>
  <c r="G3018" i="9"/>
  <c r="H2946" i="9"/>
  <c r="F2946" i="9"/>
  <c r="G2946" i="9"/>
  <c r="H2874" i="9"/>
  <c r="F2874" i="9"/>
  <c r="G2874" i="9"/>
  <c r="H2802" i="9"/>
  <c r="F2802" i="9"/>
  <c r="G2802" i="9"/>
  <c r="K2730" i="9"/>
  <c r="J2730" i="9"/>
  <c r="I2730" i="9"/>
  <c r="K2658" i="9"/>
  <c r="J2658" i="9"/>
  <c r="I2658" i="9"/>
  <c r="K2586" i="9"/>
  <c r="J2586" i="9"/>
  <c r="I2586" i="9"/>
  <c r="I2514" i="9"/>
  <c r="K2514" i="9"/>
  <c r="J2514" i="9"/>
  <c r="G2442" i="9"/>
  <c r="F2442" i="9"/>
  <c r="H2442" i="9"/>
  <c r="G2370" i="9"/>
  <c r="F2370" i="9"/>
  <c r="H2370" i="9"/>
  <c r="G2298" i="9"/>
  <c r="F2298" i="9"/>
  <c r="H2298" i="9"/>
  <c r="G2226" i="9"/>
  <c r="F2226" i="9"/>
  <c r="H2226" i="9"/>
  <c r="G2154" i="9"/>
  <c r="F2154" i="9"/>
  <c r="H2154" i="9"/>
  <c r="G2082" i="9"/>
  <c r="F2082" i="9"/>
  <c r="H2082" i="9"/>
  <c r="F1951" i="9"/>
  <c r="H1951" i="9"/>
  <c r="G1951" i="9"/>
  <c r="G1916" i="9"/>
  <c r="F1916" i="9"/>
  <c r="H1916" i="9"/>
  <c r="F1807" i="9"/>
  <c r="G1807" i="9"/>
  <c r="H1807" i="9"/>
  <c r="H1772" i="9"/>
  <c r="G1772" i="9"/>
  <c r="F1772" i="9"/>
  <c r="H1733" i="9"/>
  <c r="G1733" i="9"/>
  <c r="F1733" i="9"/>
  <c r="H1698" i="9"/>
  <c r="G1698" i="9"/>
  <c r="F1698" i="9"/>
  <c r="H1663" i="9"/>
  <c r="G1663" i="9"/>
  <c r="F1663" i="9"/>
  <c r="H1628" i="9"/>
  <c r="G1628" i="9"/>
  <c r="F1628" i="9"/>
  <c r="H1589" i="9"/>
  <c r="G1589" i="9"/>
  <c r="F1589" i="9"/>
  <c r="H1554" i="9"/>
  <c r="G1554" i="9"/>
  <c r="F1554" i="9"/>
  <c r="J1528" i="9"/>
  <c r="I1528" i="9"/>
  <c r="K1528" i="9"/>
  <c r="J1516" i="9"/>
  <c r="I1516" i="9"/>
  <c r="K1516" i="9"/>
  <c r="J1504" i="9"/>
  <c r="I1504" i="9"/>
  <c r="K1504" i="9"/>
  <c r="J1492" i="9"/>
  <c r="I1492" i="9"/>
  <c r="K1492" i="9"/>
  <c r="J1480" i="9"/>
  <c r="I1480" i="9"/>
  <c r="K1480" i="9"/>
  <c r="J1468" i="9"/>
  <c r="I1468" i="9"/>
  <c r="K1468" i="9"/>
  <c r="J1456" i="9"/>
  <c r="I1456" i="9"/>
  <c r="K1456" i="9"/>
  <c r="J1444" i="9"/>
  <c r="I1444" i="9"/>
  <c r="K1444" i="9"/>
  <c r="J1432" i="9"/>
  <c r="I1432" i="9"/>
  <c r="K1432" i="9"/>
  <c r="J1420" i="9"/>
  <c r="I1420" i="9"/>
  <c r="K1420" i="9"/>
  <c r="J1408" i="9"/>
  <c r="I1408" i="9"/>
  <c r="K1408" i="9"/>
  <c r="J1396" i="9"/>
  <c r="I1396" i="9"/>
  <c r="K1396" i="9"/>
  <c r="J1384" i="9"/>
  <c r="I1384" i="9"/>
  <c r="K1384" i="9"/>
  <c r="K1344" i="9"/>
  <c r="J1344" i="9"/>
  <c r="I1344" i="9"/>
  <c r="F1328" i="9"/>
  <c r="H1328" i="9"/>
  <c r="G1328" i="9"/>
  <c r="H1284" i="9"/>
  <c r="G1284" i="9"/>
  <c r="F1284" i="9"/>
  <c r="H1264" i="9"/>
  <c r="G1264" i="9"/>
  <c r="F1264" i="9"/>
  <c r="H1240" i="9"/>
  <c r="G1240" i="9"/>
  <c r="F1240" i="9"/>
  <c r="H1216" i="9"/>
  <c r="G1216" i="9"/>
  <c r="F1216" i="9"/>
  <c r="H1176" i="9"/>
  <c r="G1176" i="9"/>
  <c r="F1176" i="9"/>
  <c r="H1140" i="9"/>
  <c r="G1140" i="9"/>
  <c r="F1140" i="9"/>
  <c r="F1112" i="9"/>
  <c r="H1112" i="9"/>
  <c r="G1112" i="9"/>
  <c r="H1080" i="9"/>
  <c r="G1080" i="9"/>
  <c r="F1080" i="9"/>
  <c r="H1060" i="9"/>
  <c r="G1060" i="9"/>
  <c r="F1060" i="9"/>
  <c r="F1040" i="9"/>
  <c r="H1040" i="9"/>
  <c r="G1040" i="9"/>
  <c r="H1008" i="9"/>
  <c r="G1008" i="9"/>
  <c r="F1008" i="9"/>
  <c r="F980" i="9"/>
  <c r="H980" i="9"/>
  <c r="G980" i="9"/>
  <c r="H960" i="9"/>
  <c r="G960" i="9"/>
  <c r="F960" i="9"/>
  <c r="H936" i="9"/>
  <c r="G936" i="9"/>
  <c r="F936" i="9"/>
  <c r="F920" i="9"/>
  <c r="H920" i="9"/>
  <c r="G920" i="9"/>
  <c r="H900" i="9"/>
  <c r="G900" i="9"/>
  <c r="F900" i="9"/>
  <c r="F872" i="9"/>
  <c r="H872" i="9"/>
  <c r="G872" i="9"/>
  <c r="H844" i="9"/>
  <c r="G844" i="9"/>
  <c r="F844" i="9"/>
  <c r="H736" i="9"/>
  <c r="G736" i="9"/>
  <c r="F736" i="9"/>
  <c r="H688" i="9"/>
  <c r="G688" i="9"/>
  <c r="F688" i="9"/>
  <c r="G668" i="9"/>
  <c r="F668" i="9"/>
  <c r="H668" i="9"/>
  <c r="G656" i="9"/>
  <c r="F656" i="9"/>
  <c r="H656" i="9"/>
  <c r="G608" i="9"/>
  <c r="F608" i="9"/>
  <c r="H608" i="9"/>
  <c r="H556" i="9"/>
  <c r="G556" i="9"/>
  <c r="F556" i="9"/>
  <c r="H508" i="9"/>
  <c r="G508" i="9"/>
  <c r="F508" i="9"/>
  <c r="G464" i="9"/>
  <c r="F464" i="9"/>
  <c r="H464" i="9"/>
  <c r="G440" i="9"/>
  <c r="F440" i="9"/>
  <c r="H440" i="9"/>
  <c r="H376" i="9"/>
  <c r="G376" i="9"/>
  <c r="F376" i="9"/>
  <c r="H352" i="9"/>
  <c r="G352" i="9"/>
  <c r="F352" i="9"/>
  <c r="H328" i="9"/>
  <c r="G328" i="9"/>
  <c r="F328" i="9"/>
  <c r="G284" i="9"/>
  <c r="F284" i="9"/>
  <c r="H284" i="9"/>
  <c r="G272" i="9"/>
  <c r="F272" i="9"/>
  <c r="H272" i="9"/>
  <c r="G212" i="9"/>
  <c r="F212" i="9"/>
  <c r="H212" i="9"/>
  <c r="G188" i="9"/>
  <c r="F188" i="9"/>
  <c r="H188" i="9"/>
  <c r="G164" i="9"/>
  <c r="F164" i="9"/>
  <c r="H164" i="9"/>
  <c r="H136" i="9"/>
  <c r="G136" i="9"/>
  <c r="F136" i="9"/>
  <c r="H112" i="9"/>
  <c r="G112" i="9"/>
  <c r="F112" i="9"/>
  <c r="H100" i="9"/>
  <c r="G100" i="9"/>
  <c r="F100" i="9"/>
  <c r="K5126" i="9"/>
  <c r="J5126" i="9"/>
  <c r="I5126" i="9"/>
  <c r="K4317" i="9"/>
  <c r="J4317" i="9"/>
  <c r="I4317" i="9"/>
  <c r="H4178" i="9"/>
  <c r="G4178" i="9"/>
  <c r="F4178" i="9"/>
  <c r="H4078" i="9"/>
  <c r="G4078" i="9"/>
  <c r="F4078" i="9"/>
  <c r="G4020" i="9"/>
  <c r="F4020" i="9"/>
  <c r="H4020" i="9"/>
  <c r="K3931" i="9"/>
  <c r="J3931" i="9"/>
  <c r="I3931" i="9"/>
  <c r="F3905" i="9"/>
  <c r="H3905" i="9"/>
  <c r="G3905" i="9"/>
  <c r="H3849" i="9"/>
  <c r="G3849" i="9"/>
  <c r="F3849" i="9"/>
  <c r="G3760" i="9"/>
  <c r="F3760" i="9"/>
  <c r="H3760" i="9"/>
  <c r="I3632" i="9"/>
  <c r="J3632" i="9"/>
  <c r="K3632" i="9"/>
  <c r="H3608" i="9"/>
  <c r="G3608" i="9"/>
  <c r="F3608" i="9"/>
  <c r="H3584" i="9"/>
  <c r="G3584" i="9"/>
  <c r="F3584" i="9"/>
  <c r="H3560" i="9"/>
  <c r="G3560" i="9"/>
  <c r="F3560" i="9"/>
  <c r="H3536" i="9"/>
  <c r="G3536" i="9"/>
  <c r="F3536" i="9"/>
  <c r="H3512" i="9"/>
  <c r="G3512" i="9"/>
  <c r="F3512" i="9"/>
  <c r="H3488" i="9"/>
  <c r="G3488" i="9"/>
  <c r="F3488" i="9"/>
  <c r="H3464" i="9"/>
  <c r="G3464" i="9"/>
  <c r="F3464" i="9"/>
  <c r="H3440" i="9"/>
  <c r="G3440" i="9"/>
  <c r="F3440" i="9"/>
  <c r="H3416" i="9"/>
  <c r="G3416" i="9"/>
  <c r="F3416" i="9"/>
  <c r="H3392" i="9"/>
  <c r="G3392" i="9"/>
  <c r="F3392" i="9"/>
  <c r="H2768" i="9"/>
  <c r="G2768" i="9"/>
  <c r="F2768" i="9"/>
  <c r="H2744" i="9"/>
  <c r="G2744" i="9"/>
  <c r="F2744" i="9"/>
  <c r="H2720" i="9"/>
  <c r="G2720" i="9"/>
  <c r="F2720" i="9"/>
  <c r="H2696" i="9"/>
  <c r="G2696" i="9"/>
  <c r="F2696" i="9"/>
  <c r="H2672" i="9"/>
  <c r="G2672" i="9"/>
  <c r="F2672" i="9"/>
  <c r="H2648" i="9"/>
  <c r="G2648" i="9"/>
  <c r="F2648" i="9"/>
  <c r="H2624" i="9"/>
  <c r="G2624" i="9"/>
  <c r="F2624" i="9"/>
  <c r="H2600" i="9"/>
  <c r="G2600" i="9"/>
  <c r="F2600" i="9"/>
  <c r="H2576" i="9"/>
  <c r="G2576" i="9"/>
  <c r="F2576" i="9"/>
  <c r="G2552" i="9"/>
  <c r="F2552" i="9"/>
  <c r="H2552" i="9"/>
  <c r="G2528" i="9"/>
  <c r="F2528" i="9"/>
  <c r="H2528" i="9"/>
  <c r="G2456" i="9"/>
  <c r="F2456" i="9"/>
  <c r="H2456" i="9"/>
  <c r="G2432" i="9"/>
  <c r="F2432" i="9"/>
  <c r="H2432" i="9"/>
  <c r="F2408" i="9"/>
  <c r="H2408" i="9"/>
  <c r="G2408" i="9"/>
  <c r="F2384" i="9"/>
  <c r="H2384" i="9"/>
  <c r="G2384" i="9"/>
  <c r="F2360" i="9"/>
  <c r="H2360" i="9"/>
  <c r="G2360" i="9"/>
  <c r="F2336" i="9"/>
  <c r="H2336" i="9"/>
  <c r="G2336" i="9"/>
  <c r="G2312" i="9"/>
  <c r="F2312" i="9"/>
  <c r="H2312" i="9"/>
  <c r="G2288" i="9"/>
  <c r="F2288" i="9"/>
  <c r="H2288" i="9"/>
  <c r="G2264" i="9"/>
  <c r="F2264" i="9"/>
  <c r="H2264" i="9"/>
  <c r="G2240" i="9"/>
  <c r="F2240" i="9"/>
  <c r="H2240" i="9"/>
  <c r="G2216" i="9"/>
  <c r="F2216" i="9"/>
  <c r="H2216" i="9"/>
  <c r="G2192" i="9"/>
  <c r="F2192" i="9"/>
  <c r="H2192" i="9"/>
  <c r="G2168" i="9"/>
  <c r="F2168" i="9"/>
  <c r="H2168" i="9"/>
  <c r="G2144" i="9"/>
  <c r="F2144" i="9"/>
  <c r="H2144" i="9"/>
  <c r="G2120" i="9"/>
  <c r="F2120" i="9"/>
  <c r="H2120" i="9"/>
  <c r="G2096" i="9"/>
  <c r="F2096" i="9"/>
  <c r="H2096" i="9"/>
  <c r="G2072" i="9"/>
  <c r="F2072" i="9"/>
  <c r="H2072" i="9"/>
  <c r="G2048" i="9"/>
  <c r="F2048" i="9"/>
  <c r="H2048" i="9"/>
  <c r="K1942" i="9"/>
  <c r="J1942" i="9"/>
  <c r="I1942" i="9"/>
  <c r="H1907" i="9"/>
  <c r="G1907" i="9"/>
  <c r="F1907" i="9"/>
  <c r="F1798" i="9"/>
  <c r="H1798" i="9"/>
  <c r="G1798" i="9"/>
  <c r="G1763" i="9"/>
  <c r="F1763" i="9"/>
  <c r="H1763" i="9"/>
  <c r="G1689" i="9"/>
  <c r="F1689" i="9"/>
  <c r="H1689" i="9"/>
  <c r="F1654" i="9"/>
  <c r="H1654" i="9"/>
  <c r="G1654" i="9"/>
  <c r="G1619" i="9"/>
  <c r="F1619" i="9"/>
  <c r="H1619" i="9"/>
  <c r="G1545" i="9"/>
  <c r="H1545" i="9"/>
  <c r="F1545" i="9"/>
  <c r="F4578" i="9"/>
  <c r="H4578" i="9"/>
  <c r="G4578" i="9"/>
  <c r="K4305" i="9"/>
  <c r="J4305" i="9"/>
  <c r="I4305" i="9"/>
  <c r="G4116" i="9"/>
  <c r="F4116" i="9"/>
  <c r="H4116" i="9"/>
  <c r="H4046" i="9"/>
  <c r="G4046" i="9"/>
  <c r="F4046" i="9"/>
  <c r="F4009" i="9"/>
  <c r="H4009" i="9"/>
  <c r="G4009" i="9"/>
  <c r="H3962" i="9"/>
  <c r="G3962" i="9"/>
  <c r="F3962" i="9"/>
  <c r="H3889" i="9"/>
  <c r="G3889" i="9"/>
  <c r="F3889" i="9"/>
  <c r="H3819" i="9"/>
  <c r="G3819" i="9"/>
  <c r="F3819" i="9"/>
  <c r="K3779" i="9"/>
  <c r="J3779" i="9"/>
  <c r="I3779" i="9"/>
  <c r="K3718" i="9"/>
  <c r="J3718" i="9"/>
  <c r="I3718" i="9"/>
  <c r="K3646" i="9"/>
  <c r="J3646" i="9"/>
  <c r="I3646" i="9"/>
  <c r="H3574" i="9"/>
  <c r="G3574" i="9"/>
  <c r="F3574" i="9"/>
  <c r="H3502" i="9"/>
  <c r="G3502" i="9"/>
  <c r="F3502" i="9"/>
  <c r="H3430" i="9"/>
  <c r="G3430" i="9"/>
  <c r="F3430" i="9"/>
  <c r="K3214" i="9"/>
  <c r="J3214" i="9"/>
  <c r="I3214" i="9"/>
  <c r="G3142" i="9"/>
  <c r="F3142" i="9"/>
  <c r="H3142" i="9"/>
  <c r="K3070" i="9"/>
  <c r="J3070" i="9"/>
  <c r="I3070" i="9"/>
  <c r="J2998" i="9"/>
  <c r="I2998" i="9"/>
  <c r="K2998" i="9"/>
  <c r="J2926" i="9"/>
  <c r="I2926" i="9"/>
  <c r="K2926" i="9"/>
  <c r="J2854" i="9"/>
  <c r="I2854" i="9"/>
  <c r="K2854" i="9"/>
  <c r="H2782" i="9"/>
  <c r="G2782" i="9"/>
  <c r="F2782" i="9"/>
  <c r="H2710" i="9"/>
  <c r="G2710" i="9"/>
  <c r="F2710" i="9"/>
  <c r="H2638" i="9"/>
  <c r="G2638" i="9"/>
  <c r="F2638" i="9"/>
  <c r="H2566" i="9"/>
  <c r="G2566" i="9"/>
  <c r="F2566" i="9"/>
  <c r="K2062" i="9"/>
  <c r="J2062" i="9"/>
  <c r="I2062" i="9"/>
  <c r="H2020" i="9"/>
  <c r="G2020" i="9"/>
  <c r="F2020" i="9"/>
  <c r="K1981" i="9"/>
  <c r="J1981" i="9"/>
  <c r="I1981" i="9"/>
  <c r="H1911" i="9"/>
  <c r="F1911" i="9"/>
  <c r="G1911" i="9"/>
  <c r="H1876" i="9"/>
  <c r="G1876" i="9"/>
  <c r="F1876" i="9"/>
  <c r="K1837" i="9"/>
  <c r="J1837" i="9"/>
  <c r="I1837" i="9"/>
  <c r="K1732" i="9"/>
  <c r="J1732" i="9"/>
  <c r="I1732" i="9"/>
  <c r="H1658" i="9"/>
  <c r="G1658" i="9"/>
  <c r="F1658" i="9"/>
  <c r="K1588" i="9"/>
  <c r="J1588" i="9"/>
  <c r="I1588" i="9"/>
  <c r="H519" i="9"/>
  <c r="F519" i="9"/>
  <c r="G519" i="9"/>
  <c r="H503" i="9"/>
  <c r="G503" i="9"/>
  <c r="F503" i="9"/>
  <c r="G479" i="9"/>
  <c r="F479" i="9"/>
  <c r="H479" i="9"/>
  <c r="G431" i="9"/>
  <c r="F431" i="9"/>
  <c r="H431" i="9"/>
  <c r="H283" i="9"/>
  <c r="G283" i="9"/>
  <c r="F283" i="9"/>
  <c r="H247" i="9"/>
  <c r="G247" i="9"/>
  <c r="F247" i="9"/>
  <c r="K183" i="9"/>
  <c r="J183" i="9"/>
  <c r="I183" i="9"/>
  <c r="H163" i="9"/>
  <c r="G163" i="9"/>
  <c r="F163" i="9"/>
  <c r="K99" i="9"/>
  <c r="J99" i="9"/>
  <c r="I99" i="9"/>
  <c r="K75" i="9"/>
  <c r="J75" i="9"/>
  <c r="I75" i="9"/>
  <c r="H31" i="9"/>
  <c r="G31" i="9"/>
  <c r="F31" i="9"/>
  <c r="G3" i="9"/>
  <c r="F3" i="9"/>
  <c r="H3" i="9"/>
  <c r="H5089" i="9"/>
  <c r="G5089" i="9"/>
  <c r="F5089" i="9"/>
  <c r="H4945" i="9"/>
  <c r="G4945" i="9"/>
  <c r="F4945" i="9"/>
  <c r="H4801" i="9"/>
  <c r="G4801" i="9"/>
  <c r="F4801" i="9"/>
  <c r="H4572" i="9"/>
  <c r="G4572" i="9"/>
  <c r="F4572" i="9"/>
  <c r="H4380" i="9"/>
  <c r="G4380" i="9"/>
  <c r="F4380" i="9"/>
  <c r="G4310" i="9"/>
  <c r="F4310" i="9"/>
  <c r="H4310" i="9"/>
  <c r="I4188" i="9"/>
  <c r="K4188" i="9"/>
  <c r="J4188" i="9"/>
  <c r="H4088" i="9"/>
  <c r="G4088" i="9"/>
  <c r="F4088" i="9"/>
  <c r="K3967" i="9"/>
  <c r="J3967" i="9"/>
  <c r="I3967" i="9"/>
  <c r="G3868" i="9"/>
  <c r="F3868" i="9"/>
  <c r="H3868" i="9"/>
  <c r="H3828" i="9"/>
  <c r="G3828" i="9"/>
  <c r="F3828" i="9"/>
  <c r="H3732" i="9"/>
  <c r="G3732" i="9"/>
  <c r="F3732" i="9"/>
  <c r="H3708" i="9"/>
  <c r="G3708" i="9"/>
  <c r="F3708" i="9"/>
  <c r="H3684" i="9"/>
  <c r="G3684" i="9"/>
  <c r="F3684" i="9"/>
  <c r="H3660" i="9"/>
  <c r="G3660" i="9"/>
  <c r="F3660" i="9"/>
  <c r="H3636" i="9"/>
  <c r="G3636" i="9"/>
  <c r="F3636" i="9"/>
  <c r="F3612" i="9"/>
  <c r="H3612" i="9"/>
  <c r="G3612" i="9"/>
  <c r="F3588" i="9"/>
  <c r="H3588" i="9"/>
  <c r="G3588" i="9"/>
  <c r="F3564" i="9"/>
  <c r="H3564" i="9"/>
  <c r="G3564" i="9"/>
  <c r="F3540" i="9"/>
  <c r="H3540" i="9"/>
  <c r="G3540" i="9"/>
  <c r="F3516" i="9"/>
  <c r="H3516" i="9"/>
  <c r="G3516" i="9"/>
  <c r="F3492" i="9"/>
  <c r="H3492" i="9"/>
  <c r="G3492" i="9"/>
  <c r="F3468" i="9"/>
  <c r="H3468" i="9"/>
  <c r="G3468" i="9"/>
  <c r="F3444" i="9"/>
  <c r="H3444" i="9"/>
  <c r="G3444" i="9"/>
  <c r="F3420" i="9"/>
  <c r="H3420" i="9"/>
  <c r="G3420" i="9"/>
  <c r="F3396" i="9"/>
  <c r="H3396" i="9"/>
  <c r="G3396" i="9"/>
  <c r="F3372" i="9"/>
  <c r="H3372" i="9"/>
  <c r="G3372" i="9"/>
  <c r="H3348" i="9"/>
  <c r="G3348" i="9"/>
  <c r="F3348" i="9"/>
  <c r="H3324" i="9"/>
  <c r="G3324" i="9"/>
  <c r="F3324" i="9"/>
  <c r="H3300" i="9"/>
  <c r="G3300" i="9"/>
  <c r="F3300" i="9"/>
  <c r="H3276" i="9"/>
  <c r="G3276" i="9"/>
  <c r="F3276" i="9"/>
  <c r="H3252" i="9"/>
  <c r="G3252" i="9"/>
  <c r="F3252" i="9"/>
  <c r="H3228" i="9"/>
  <c r="G3228" i="9"/>
  <c r="F3228" i="9"/>
  <c r="H3204" i="9"/>
  <c r="G3204" i="9"/>
  <c r="F3204" i="9"/>
  <c r="H3180" i="9"/>
  <c r="G3180" i="9"/>
  <c r="F3180" i="9"/>
  <c r="H3156" i="9"/>
  <c r="G3156" i="9"/>
  <c r="F3156" i="9"/>
  <c r="H3132" i="9"/>
  <c r="G3132" i="9"/>
  <c r="F3132" i="9"/>
  <c r="H3108" i="9"/>
  <c r="G3108" i="9"/>
  <c r="F3108" i="9"/>
  <c r="H3084" i="9"/>
  <c r="G3084" i="9"/>
  <c r="F3084" i="9"/>
  <c r="H3060" i="9"/>
  <c r="G3060" i="9"/>
  <c r="F3060" i="9"/>
  <c r="K3012" i="9"/>
  <c r="J3012" i="9"/>
  <c r="I3012" i="9"/>
  <c r="K2940" i="9"/>
  <c r="J2940" i="9"/>
  <c r="I2940" i="9"/>
  <c r="K2868" i="9"/>
  <c r="J2868" i="9"/>
  <c r="I2868" i="9"/>
  <c r="K2796" i="9"/>
  <c r="J2796" i="9"/>
  <c r="I2796" i="9"/>
  <c r="F2772" i="9"/>
  <c r="H2772" i="9"/>
  <c r="G2772" i="9"/>
  <c r="F2748" i="9"/>
  <c r="H2748" i="9"/>
  <c r="G2748" i="9"/>
  <c r="F2724" i="9"/>
  <c r="H2724" i="9"/>
  <c r="G2724" i="9"/>
  <c r="F2700" i="9"/>
  <c r="H2700" i="9"/>
  <c r="G2700" i="9"/>
  <c r="F2676" i="9"/>
  <c r="H2676" i="9"/>
  <c r="G2676" i="9"/>
  <c r="F2652" i="9"/>
  <c r="H2652" i="9"/>
  <c r="G2652" i="9"/>
  <c r="F2628" i="9"/>
  <c r="H2628" i="9"/>
  <c r="G2628" i="9"/>
  <c r="F2604" i="9"/>
  <c r="H2604" i="9"/>
  <c r="G2604" i="9"/>
  <c r="F2580" i="9"/>
  <c r="H2580" i="9"/>
  <c r="G2580" i="9"/>
  <c r="H2412" i="9"/>
  <c r="G2412" i="9"/>
  <c r="F2412" i="9"/>
  <c r="K2388" i="9"/>
  <c r="J2388" i="9"/>
  <c r="I2388" i="9"/>
  <c r="K2364" i="9"/>
  <c r="J2364" i="9"/>
  <c r="I2364" i="9"/>
  <c r="H2340" i="9"/>
  <c r="G2340" i="9"/>
  <c r="F2340" i="9"/>
  <c r="G2024" i="9"/>
  <c r="F2024" i="9"/>
  <c r="H2024" i="9"/>
  <c r="F1915" i="9"/>
  <c r="H1915" i="9"/>
  <c r="G1915" i="9"/>
  <c r="G1880" i="9"/>
  <c r="F1880" i="9"/>
  <c r="H1880" i="9"/>
  <c r="H1771" i="9"/>
  <c r="G1771" i="9"/>
  <c r="F1771" i="9"/>
  <c r="H1736" i="9"/>
  <c r="G1736" i="9"/>
  <c r="F1736" i="9"/>
  <c r="H1697" i="9"/>
  <c r="G1697" i="9"/>
  <c r="F1697" i="9"/>
  <c r="H1662" i="9"/>
  <c r="G1662" i="9"/>
  <c r="F1662" i="9"/>
  <c r="H1627" i="9"/>
  <c r="G1627" i="9"/>
  <c r="F1627" i="9"/>
  <c r="H1592" i="9"/>
  <c r="G1592" i="9"/>
  <c r="F1592" i="9"/>
  <c r="H1553" i="9"/>
  <c r="G1553" i="9"/>
  <c r="F1553" i="9"/>
  <c r="H1503" i="9"/>
  <c r="G1503" i="9"/>
  <c r="F1503" i="9"/>
  <c r="H1455" i="9"/>
  <c r="G1455" i="9"/>
  <c r="F1455" i="9"/>
  <c r="H1407" i="9"/>
  <c r="G1407" i="9"/>
  <c r="F1407" i="9"/>
  <c r="K1359" i="9"/>
  <c r="J1359" i="9"/>
  <c r="I1359" i="9"/>
  <c r="H1335" i="9"/>
  <c r="G1335" i="9"/>
  <c r="F1335" i="9"/>
  <c r="H1323" i="9"/>
  <c r="G1323" i="9"/>
  <c r="F1323" i="9"/>
  <c r="H1311" i="9"/>
  <c r="G1311" i="9"/>
  <c r="F1311" i="9"/>
  <c r="H1299" i="9"/>
  <c r="G1299" i="9"/>
  <c r="F1299" i="9"/>
  <c r="H1287" i="9"/>
  <c r="G1287" i="9"/>
  <c r="F1287" i="9"/>
  <c r="H1275" i="9"/>
  <c r="G1275" i="9"/>
  <c r="F1275" i="9"/>
  <c r="H1263" i="9"/>
  <c r="G1263" i="9"/>
  <c r="F1263" i="9"/>
  <c r="H1251" i="9"/>
  <c r="G1251" i="9"/>
  <c r="F1251" i="9"/>
  <c r="H1239" i="9"/>
  <c r="G1239" i="9"/>
  <c r="F1239" i="9"/>
  <c r="H1227" i="9"/>
  <c r="G1227" i="9"/>
  <c r="F1227" i="9"/>
  <c r="H1215" i="9"/>
  <c r="G1215" i="9"/>
  <c r="F1215" i="9"/>
  <c r="H1203" i="9"/>
  <c r="G1203" i="9"/>
  <c r="F1203" i="9"/>
  <c r="H1191" i="9"/>
  <c r="G1191" i="9"/>
  <c r="F1191" i="9"/>
  <c r="H1179" i="9"/>
  <c r="G1179" i="9"/>
  <c r="F1179" i="9"/>
  <c r="H1167" i="9"/>
  <c r="G1167" i="9"/>
  <c r="F1167" i="9"/>
  <c r="H1155" i="9"/>
  <c r="G1155" i="9"/>
  <c r="F1155" i="9"/>
  <c r="H1143" i="9"/>
  <c r="G1143" i="9"/>
  <c r="F1143" i="9"/>
  <c r="H1131" i="9"/>
  <c r="G1131" i="9"/>
  <c r="F1131" i="9"/>
  <c r="H1119" i="9"/>
  <c r="G1119" i="9"/>
  <c r="F1119" i="9"/>
  <c r="H1107" i="9"/>
  <c r="G1107" i="9"/>
  <c r="F1107" i="9"/>
  <c r="H1095" i="9"/>
  <c r="G1095" i="9"/>
  <c r="F1095" i="9"/>
  <c r="H1083" i="9"/>
  <c r="G1083" i="9"/>
  <c r="F1083" i="9"/>
  <c r="H1071" i="9"/>
  <c r="G1071" i="9"/>
  <c r="F1071" i="9"/>
  <c r="H1047" i="9"/>
  <c r="G1047" i="9"/>
  <c r="F1047" i="9"/>
  <c r="H1011" i="9"/>
  <c r="G1011" i="9"/>
  <c r="F1011" i="9"/>
  <c r="H975" i="9"/>
  <c r="G975" i="9"/>
  <c r="F975" i="9"/>
  <c r="H939" i="9"/>
  <c r="G939" i="9"/>
  <c r="F939" i="9"/>
  <c r="H903" i="9"/>
  <c r="G903" i="9"/>
  <c r="F903" i="9"/>
  <c r="H867" i="9"/>
  <c r="G867" i="9"/>
  <c r="F867" i="9"/>
  <c r="H831" i="9"/>
  <c r="G831" i="9"/>
  <c r="F831" i="9"/>
  <c r="H819" i="9"/>
  <c r="G819" i="9"/>
  <c r="F819" i="9"/>
  <c r="H807" i="9"/>
  <c r="G807" i="9"/>
  <c r="F807" i="9"/>
  <c r="H795" i="9"/>
  <c r="G795" i="9"/>
  <c r="F795" i="9"/>
  <c r="H783" i="9"/>
  <c r="G783" i="9"/>
  <c r="F783" i="9"/>
  <c r="H771" i="9"/>
  <c r="F771" i="9"/>
  <c r="G771" i="9"/>
  <c r="H759" i="9"/>
  <c r="F759" i="9"/>
  <c r="G759" i="9"/>
  <c r="H747" i="9"/>
  <c r="F747" i="9"/>
  <c r="G747" i="9"/>
  <c r="H735" i="9"/>
  <c r="F735" i="9"/>
  <c r="G735" i="9"/>
  <c r="H723" i="9"/>
  <c r="F723" i="9"/>
  <c r="G723" i="9"/>
  <c r="H711" i="9"/>
  <c r="F711" i="9"/>
  <c r="G711" i="9"/>
  <c r="H699" i="9"/>
  <c r="F699" i="9"/>
  <c r="G699" i="9"/>
  <c r="H687" i="9"/>
  <c r="F687" i="9"/>
  <c r="G687" i="9"/>
  <c r="H675" i="9"/>
  <c r="F675" i="9"/>
  <c r="G675" i="9"/>
  <c r="H663" i="9"/>
  <c r="F663" i="9"/>
  <c r="G663" i="9"/>
  <c r="H651" i="9"/>
  <c r="F651" i="9"/>
  <c r="G651" i="9"/>
  <c r="H639" i="9"/>
  <c r="F639" i="9"/>
  <c r="G639" i="9"/>
  <c r="H627" i="9"/>
  <c r="F627" i="9"/>
  <c r="G627" i="9"/>
  <c r="H615" i="9"/>
  <c r="F615" i="9"/>
  <c r="G615" i="9"/>
  <c r="H603" i="9"/>
  <c r="F603" i="9"/>
  <c r="G603" i="9"/>
  <c r="H591" i="9"/>
  <c r="F591" i="9"/>
  <c r="G591" i="9"/>
  <c r="H579" i="9"/>
  <c r="F579" i="9"/>
  <c r="G579" i="9"/>
  <c r="H567" i="9"/>
  <c r="F567" i="9"/>
  <c r="G567" i="9"/>
  <c r="H555" i="9"/>
  <c r="F555" i="9"/>
  <c r="G555" i="9"/>
  <c r="H543" i="9"/>
  <c r="F543" i="9"/>
  <c r="G543" i="9"/>
  <c r="H531" i="9"/>
  <c r="F531" i="9"/>
  <c r="G531" i="9"/>
  <c r="F499" i="9"/>
  <c r="H499" i="9"/>
  <c r="G499" i="9"/>
  <c r="F475" i="9"/>
  <c r="H475" i="9"/>
  <c r="G475" i="9"/>
  <c r="J447" i="9"/>
  <c r="I447" i="9"/>
  <c r="K447" i="9"/>
  <c r="F427" i="9"/>
  <c r="H427" i="9"/>
  <c r="G427" i="9"/>
  <c r="J399" i="9"/>
  <c r="I399" i="9"/>
  <c r="K399" i="9"/>
  <c r="H387" i="9"/>
  <c r="G387" i="9"/>
  <c r="F387" i="9"/>
  <c r="K375" i="9"/>
  <c r="J375" i="9"/>
  <c r="I375" i="9"/>
  <c r="K363" i="9"/>
  <c r="J363" i="9"/>
  <c r="I363" i="9"/>
  <c r="K351" i="9"/>
  <c r="J351" i="9"/>
  <c r="I351" i="9"/>
  <c r="K339" i="9"/>
  <c r="J339" i="9"/>
  <c r="I339" i="9"/>
  <c r="K327" i="9"/>
  <c r="J327" i="9"/>
  <c r="I327" i="9"/>
  <c r="K315" i="9"/>
  <c r="J315" i="9"/>
  <c r="I315" i="9"/>
  <c r="K303" i="9"/>
  <c r="J303" i="9"/>
  <c r="I303" i="9"/>
  <c r="H271" i="9"/>
  <c r="G271" i="9"/>
  <c r="F271" i="9"/>
  <c r="H223" i="9"/>
  <c r="G223" i="9"/>
  <c r="F223" i="9"/>
  <c r="H199" i="9"/>
  <c r="G199" i="9"/>
  <c r="F199" i="9"/>
  <c r="H139" i="9"/>
  <c r="G139" i="9"/>
  <c r="F139" i="9"/>
  <c r="H115" i="9"/>
  <c r="G115" i="9"/>
  <c r="F115" i="9"/>
  <c r="K87" i="9"/>
  <c r="J87" i="9"/>
  <c r="I87" i="9"/>
  <c r="H67" i="9"/>
  <c r="G67" i="9"/>
  <c r="F67" i="9"/>
  <c r="K39" i="9"/>
  <c r="J39" i="9"/>
  <c r="I39" i="9"/>
  <c r="K15" i="9"/>
  <c r="J15" i="9"/>
  <c r="I15" i="9"/>
  <c r="K4269" i="9"/>
  <c r="J4269" i="9"/>
  <c r="I4269" i="9"/>
  <c r="H4154" i="9"/>
  <c r="G4154" i="9"/>
  <c r="F4154" i="9"/>
  <c r="H3998" i="9"/>
  <c r="G3998" i="9"/>
  <c r="F3998" i="9"/>
  <c r="F3961" i="9"/>
  <c r="H3961" i="9"/>
  <c r="G3961" i="9"/>
  <c r="H3914" i="9"/>
  <c r="F3914" i="9"/>
  <c r="G3914" i="9"/>
  <c r="H3878" i="9"/>
  <c r="G3878" i="9"/>
  <c r="F3878" i="9"/>
  <c r="F3833" i="9"/>
  <c r="H3833" i="9"/>
  <c r="G3833" i="9"/>
  <c r="G3808" i="9"/>
  <c r="F3808" i="9"/>
  <c r="H3808" i="9"/>
  <c r="K3778" i="9"/>
  <c r="J3778" i="9"/>
  <c r="I3778" i="9"/>
  <c r="H3674" i="9"/>
  <c r="G3674" i="9"/>
  <c r="F3674" i="9"/>
  <c r="H3314" i="9"/>
  <c r="G3314" i="9"/>
  <c r="F3314" i="9"/>
  <c r="H3026" i="9"/>
  <c r="F3026" i="9"/>
  <c r="G3026" i="9"/>
  <c r="H2954" i="9"/>
  <c r="F2954" i="9"/>
  <c r="G2954" i="9"/>
  <c r="H2882" i="9"/>
  <c r="F2882" i="9"/>
  <c r="G2882" i="9"/>
  <c r="H2810" i="9"/>
  <c r="F2810" i="9"/>
  <c r="G2810" i="9"/>
  <c r="K1954" i="9"/>
  <c r="J1954" i="9"/>
  <c r="I1954" i="9"/>
  <c r="H1919" i="9"/>
  <c r="F1919" i="9"/>
  <c r="G1919" i="9"/>
  <c r="H1810" i="9"/>
  <c r="G1810" i="9"/>
  <c r="F1810" i="9"/>
  <c r="G1775" i="9"/>
  <c r="F1775" i="9"/>
  <c r="H1775" i="9"/>
  <c r="G1701" i="9"/>
  <c r="F1701" i="9"/>
  <c r="H1701" i="9"/>
  <c r="F1666" i="9"/>
  <c r="H1666" i="9"/>
  <c r="G1666" i="9"/>
  <c r="G1631" i="9"/>
  <c r="F1631" i="9"/>
  <c r="H1631" i="9"/>
  <c r="G1557" i="9"/>
  <c r="H1557" i="9"/>
  <c r="F1557" i="9"/>
  <c r="H5190" i="9"/>
  <c r="G5190" i="9"/>
  <c r="F5190" i="9"/>
  <c r="G5046" i="9"/>
  <c r="F5046" i="9"/>
  <c r="H5046" i="9"/>
  <c r="G4902" i="9"/>
  <c r="F4902" i="9"/>
  <c r="H4902" i="9"/>
  <c r="G4758" i="9"/>
  <c r="F4758" i="9"/>
  <c r="H4758" i="9"/>
  <c r="F4530" i="9"/>
  <c r="H4530" i="9"/>
  <c r="G4530" i="9"/>
  <c r="K4257" i="9"/>
  <c r="J4257" i="9"/>
  <c r="I4257" i="9"/>
  <c r="K4159" i="9"/>
  <c r="J4159" i="9"/>
  <c r="I4159" i="9"/>
  <c r="F4093" i="9"/>
  <c r="H4093" i="9"/>
  <c r="G4093" i="9"/>
  <c r="H3992" i="9"/>
  <c r="G3992" i="9"/>
  <c r="F3992" i="9"/>
  <c r="G3924" i="9"/>
  <c r="F3924" i="9"/>
  <c r="H3924" i="9"/>
  <c r="H3852" i="9"/>
  <c r="G3852" i="9"/>
  <c r="F3852" i="9"/>
  <c r="K3754" i="9"/>
  <c r="J3754" i="9"/>
  <c r="I3754" i="9"/>
  <c r="H3717" i="9"/>
  <c r="G3717" i="9"/>
  <c r="F3717" i="9"/>
  <c r="H3693" i="9"/>
  <c r="G3693" i="9"/>
  <c r="F3693" i="9"/>
  <c r="H3669" i="9"/>
  <c r="G3669" i="9"/>
  <c r="F3669" i="9"/>
  <c r="K3645" i="9"/>
  <c r="J3645" i="9"/>
  <c r="I3645" i="9"/>
  <c r="H3621" i="9"/>
  <c r="G3621" i="9"/>
  <c r="F3621" i="9"/>
  <c r="H3597" i="9"/>
  <c r="G3597" i="9"/>
  <c r="F3597" i="9"/>
  <c r="H3573" i="9"/>
  <c r="G3573" i="9"/>
  <c r="F3573" i="9"/>
  <c r="H3549" i="9"/>
  <c r="G3549" i="9"/>
  <c r="F3549" i="9"/>
  <c r="H3525" i="9"/>
  <c r="G3525" i="9"/>
  <c r="F3525" i="9"/>
  <c r="H3501" i="9"/>
  <c r="G3501" i="9"/>
  <c r="F3501" i="9"/>
  <c r="H3477" i="9"/>
  <c r="G3477" i="9"/>
  <c r="F3477" i="9"/>
  <c r="H3453" i="9"/>
  <c r="G3453" i="9"/>
  <c r="F3453" i="9"/>
  <c r="H3429" i="9"/>
  <c r="G3429" i="9"/>
  <c r="F3429" i="9"/>
  <c r="H3405" i="9"/>
  <c r="G3405" i="9"/>
  <c r="F3405" i="9"/>
  <c r="H3381" i="9"/>
  <c r="G3381" i="9"/>
  <c r="F3381" i="9"/>
  <c r="K3357" i="9"/>
  <c r="J3357" i="9"/>
  <c r="I3357" i="9"/>
  <c r="H3333" i="9"/>
  <c r="G3333" i="9"/>
  <c r="F3333" i="9"/>
  <c r="H3309" i="9"/>
  <c r="G3309" i="9"/>
  <c r="F3309" i="9"/>
  <c r="H3285" i="9"/>
  <c r="G3285" i="9"/>
  <c r="F3285" i="9"/>
  <c r="H3261" i="9"/>
  <c r="G3261" i="9"/>
  <c r="F3261" i="9"/>
  <c r="H3237" i="9"/>
  <c r="G3237" i="9"/>
  <c r="F3237" i="9"/>
  <c r="K3213" i="9"/>
  <c r="J3213" i="9"/>
  <c r="I3213" i="9"/>
  <c r="K3189" i="9"/>
  <c r="J3189" i="9"/>
  <c r="I3189" i="9"/>
  <c r="K3165" i="9"/>
  <c r="J3165" i="9"/>
  <c r="I3165" i="9"/>
  <c r="K3141" i="9"/>
  <c r="J3141" i="9"/>
  <c r="I3141" i="9"/>
  <c r="K3117" i="9"/>
  <c r="J3117" i="9"/>
  <c r="I3117" i="9"/>
  <c r="K3093" i="9"/>
  <c r="J3093" i="9"/>
  <c r="I3093" i="9"/>
  <c r="K3069" i="9"/>
  <c r="J3069" i="9"/>
  <c r="I3069" i="9"/>
  <c r="K3045" i="9"/>
  <c r="J3045" i="9"/>
  <c r="I3045" i="9"/>
  <c r="K3021" i="9"/>
  <c r="J3021" i="9"/>
  <c r="I3021" i="9"/>
  <c r="G2997" i="9"/>
  <c r="H2997" i="9"/>
  <c r="F2997" i="9"/>
  <c r="G2973" i="9"/>
  <c r="H2973" i="9"/>
  <c r="F2973" i="9"/>
  <c r="K2949" i="9"/>
  <c r="J2949" i="9"/>
  <c r="I2949" i="9"/>
  <c r="G2925" i="9"/>
  <c r="F2925" i="9"/>
  <c r="H2925" i="9"/>
  <c r="G2901" i="9"/>
  <c r="H2901" i="9"/>
  <c r="F2901" i="9"/>
  <c r="K2877" i="9"/>
  <c r="J2877" i="9"/>
  <c r="I2877" i="9"/>
  <c r="G2853" i="9"/>
  <c r="H2853" i="9"/>
  <c r="F2853" i="9"/>
  <c r="G2829" i="9"/>
  <c r="H2829" i="9"/>
  <c r="F2829" i="9"/>
  <c r="K2805" i="9"/>
  <c r="J2805" i="9"/>
  <c r="I2805" i="9"/>
  <c r="H2781" i="9"/>
  <c r="G2781" i="9"/>
  <c r="F2781" i="9"/>
  <c r="H2757" i="9"/>
  <c r="G2757" i="9"/>
  <c r="F2757" i="9"/>
  <c r="H2733" i="9"/>
  <c r="G2733" i="9"/>
  <c r="F2733" i="9"/>
  <c r="H2709" i="9"/>
  <c r="G2709" i="9"/>
  <c r="F2709" i="9"/>
  <c r="H2685" i="9"/>
  <c r="G2685" i="9"/>
  <c r="F2685" i="9"/>
  <c r="H2661" i="9"/>
  <c r="G2661" i="9"/>
  <c r="F2661" i="9"/>
  <c r="H2637" i="9"/>
  <c r="G2637" i="9"/>
  <c r="F2637" i="9"/>
  <c r="H2613" i="9"/>
  <c r="G2613" i="9"/>
  <c r="F2613" i="9"/>
  <c r="H2589" i="9"/>
  <c r="G2589" i="9"/>
  <c r="F2589" i="9"/>
  <c r="H2565" i="9"/>
  <c r="G2565" i="9"/>
  <c r="F2565" i="9"/>
  <c r="H2541" i="9"/>
  <c r="F2541" i="9"/>
  <c r="G2541" i="9"/>
  <c r="H1971" i="9"/>
  <c r="F1971" i="9"/>
  <c r="G1971" i="9"/>
  <c r="H1936" i="9"/>
  <c r="G1936" i="9"/>
  <c r="F1936" i="9"/>
  <c r="H1897" i="9"/>
  <c r="G1897" i="9"/>
  <c r="F1897" i="9"/>
  <c r="H1827" i="9"/>
  <c r="F1827" i="9"/>
  <c r="G1827" i="9"/>
  <c r="H1792" i="9"/>
  <c r="G1792" i="9"/>
  <c r="F1792" i="9"/>
  <c r="H1718" i="9"/>
  <c r="G1718" i="9"/>
  <c r="F1718" i="9"/>
  <c r="K1648" i="9"/>
  <c r="J1648" i="9"/>
  <c r="I1648" i="9"/>
  <c r="H1574" i="9"/>
  <c r="G1574" i="9"/>
  <c r="F1574" i="9"/>
  <c r="H294" i="9"/>
  <c r="G294" i="9"/>
  <c r="F294" i="9"/>
  <c r="H270" i="9"/>
  <c r="G270" i="9"/>
  <c r="F270" i="9"/>
  <c r="H246" i="9"/>
  <c r="G246" i="9"/>
  <c r="F246" i="9"/>
  <c r="G226" i="9"/>
  <c r="F226" i="9"/>
  <c r="H226" i="9"/>
  <c r="G202" i="9"/>
  <c r="F202" i="9"/>
  <c r="H202" i="9"/>
  <c r="H174" i="9"/>
  <c r="G174" i="9"/>
  <c r="F174" i="9"/>
  <c r="H150" i="9"/>
  <c r="G150" i="9"/>
  <c r="F150" i="9"/>
  <c r="H126" i="9"/>
  <c r="G126" i="9"/>
  <c r="F126" i="9"/>
  <c r="H102" i="9"/>
  <c r="G102" i="9"/>
  <c r="F102" i="9"/>
  <c r="H78" i="9"/>
  <c r="G78" i="9"/>
  <c r="F78" i="9"/>
  <c r="H54" i="9"/>
  <c r="G54" i="9"/>
  <c r="F54" i="9"/>
  <c r="H30" i="9"/>
  <c r="G30" i="9"/>
  <c r="F30" i="9"/>
  <c r="H6" i="9"/>
  <c r="G6" i="9"/>
  <c r="F6" i="9"/>
  <c r="F4582" i="9"/>
  <c r="H4582" i="9"/>
  <c r="G4582" i="9"/>
  <c r="H4390" i="9"/>
  <c r="G4390" i="9"/>
  <c r="F4390" i="9"/>
  <c r="K4268" i="9"/>
  <c r="J4268" i="9"/>
  <c r="I4268" i="9"/>
  <c r="H4198" i="9"/>
  <c r="F4198" i="9"/>
  <c r="G4198" i="9"/>
  <c r="H4076" i="9"/>
  <c r="G4076" i="9"/>
  <c r="F4076" i="9"/>
  <c r="F3997" i="9"/>
  <c r="H3997" i="9"/>
  <c r="G3997" i="9"/>
  <c r="H3934" i="9"/>
  <c r="G3934" i="9"/>
  <c r="F3934" i="9"/>
  <c r="K3862" i="9"/>
  <c r="J3862" i="9"/>
  <c r="I3862" i="9"/>
  <c r="H3842" i="9"/>
  <c r="G3842" i="9"/>
  <c r="F3842" i="9"/>
  <c r="G3822" i="9"/>
  <c r="F3822" i="9"/>
  <c r="H3822" i="9"/>
  <c r="K3731" i="9"/>
  <c r="J3731" i="9"/>
  <c r="I3731" i="9"/>
  <c r="G3678" i="9"/>
  <c r="H3678" i="9"/>
  <c r="F3678" i="9"/>
  <c r="K3606" i="9"/>
  <c r="J3606" i="9"/>
  <c r="I3606" i="9"/>
  <c r="K3534" i="9"/>
  <c r="J3534" i="9"/>
  <c r="I3534" i="9"/>
  <c r="K3462" i="9"/>
  <c r="J3462" i="9"/>
  <c r="I3462" i="9"/>
  <c r="K3390" i="9"/>
  <c r="J3390" i="9"/>
  <c r="I3390" i="9"/>
  <c r="G3318" i="9"/>
  <c r="H3318" i="9"/>
  <c r="F3318" i="9"/>
  <c r="G3246" i="9"/>
  <c r="H3246" i="9"/>
  <c r="F3246" i="9"/>
  <c r="H3174" i="9"/>
  <c r="G3174" i="9"/>
  <c r="F3174" i="9"/>
  <c r="H3102" i="9"/>
  <c r="G3102" i="9"/>
  <c r="F3102" i="9"/>
  <c r="H3030" i="9"/>
  <c r="G3030" i="9"/>
  <c r="F3030" i="9"/>
  <c r="H2958" i="9"/>
  <c r="G2958" i="9"/>
  <c r="F2958" i="9"/>
  <c r="H2886" i="9"/>
  <c r="G2886" i="9"/>
  <c r="F2886" i="9"/>
  <c r="H2814" i="9"/>
  <c r="G2814" i="9"/>
  <c r="F2814" i="9"/>
  <c r="K2742" i="9"/>
  <c r="J2742" i="9"/>
  <c r="I2742" i="9"/>
  <c r="K2670" i="9"/>
  <c r="J2670" i="9"/>
  <c r="I2670" i="9"/>
  <c r="K2598" i="9"/>
  <c r="J2598" i="9"/>
  <c r="I2598" i="9"/>
  <c r="K2526" i="9"/>
  <c r="I2526" i="9"/>
  <c r="J2526" i="9"/>
  <c r="G2454" i="9"/>
  <c r="F2454" i="9"/>
  <c r="H2454" i="9"/>
  <c r="G2382" i="9"/>
  <c r="F2382" i="9"/>
  <c r="H2382" i="9"/>
  <c r="G2310" i="9"/>
  <c r="F2310" i="9"/>
  <c r="H2310" i="9"/>
  <c r="G2238" i="9"/>
  <c r="F2238" i="9"/>
  <c r="H2238" i="9"/>
  <c r="G2166" i="9"/>
  <c r="F2166" i="9"/>
  <c r="H2166" i="9"/>
  <c r="G2094" i="9"/>
  <c r="F2094" i="9"/>
  <c r="H2094" i="9"/>
  <c r="F2023" i="9"/>
  <c r="H2023" i="9"/>
  <c r="G2023" i="9"/>
  <c r="G1988" i="9"/>
  <c r="F1988" i="9"/>
  <c r="H1988" i="9"/>
  <c r="F1879" i="9"/>
  <c r="H1879" i="9"/>
  <c r="G1879" i="9"/>
  <c r="G1844" i="9"/>
  <c r="F1844" i="9"/>
  <c r="H1844" i="9"/>
  <c r="H1770" i="9"/>
  <c r="G1770" i="9"/>
  <c r="F1770" i="9"/>
  <c r="H1735" i="9"/>
  <c r="G1735" i="9"/>
  <c r="F1735" i="9"/>
  <c r="H1700" i="9"/>
  <c r="G1700" i="9"/>
  <c r="F1700" i="9"/>
  <c r="H1661" i="9"/>
  <c r="G1661" i="9"/>
  <c r="F1661" i="9"/>
  <c r="H1626" i="9"/>
  <c r="G1626" i="9"/>
  <c r="F1626" i="9"/>
  <c r="H1591" i="9"/>
  <c r="G1591" i="9"/>
  <c r="F1591" i="9"/>
  <c r="H1556" i="9"/>
  <c r="F1556" i="9"/>
  <c r="G1556" i="9"/>
  <c r="H1526" i="9"/>
  <c r="G1526" i="9"/>
  <c r="F1526" i="9"/>
  <c r="H1514" i="9"/>
  <c r="G1514" i="9"/>
  <c r="F1514" i="9"/>
  <c r="H1502" i="9"/>
  <c r="G1502" i="9"/>
  <c r="F1502" i="9"/>
  <c r="H1490" i="9"/>
  <c r="G1490" i="9"/>
  <c r="F1490" i="9"/>
  <c r="H1478" i="9"/>
  <c r="G1478" i="9"/>
  <c r="F1478" i="9"/>
  <c r="H1466" i="9"/>
  <c r="G1466" i="9"/>
  <c r="F1466" i="9"/>
  <c r="H1454" i="9"/>
  <c r="G1454" i="9"/>
  <c r="F1454" i="9"/>
  <c r="H1442" i="9"/>
  <c r="G1442" i="9"/>
  <c r="F1442" i="9"/>
  <c r="H1430" i="9"/>
  <c r="G1430" i="9"/>
  <c r="F1430" i="9"/>
  <c r="H1418" i="9"/>
  <c r="G1418" i="9"/>
  <c r="F1418" i="9"/>
  <c r="H1406" i="9"/>
  <c r="G1406" i="9"/>
  <c r="F1406" i="9"/>
  <c r="H1394" i="9"/>
  <c r="G1394" i="9"/>
  <c r="F1394" i="9"/>
  <c r="H1382" i="9"/>
  <c r="G1382" i="9"/>
  <c r="F1382" i="9"/>
  <c r="H1370" i="9"/>
  <c r="G1370" i="9"/>
  <c r="F1370" i="9"/>
  <c r="H1358" i="9"/>
  <c r="G1358" i="9"/>
  <c r="F1358" i="9"/>
  <c r="H1346" i="9"/>
  <c r="G1346" i="9"/>
  <c r="F1346" i="9"/>
  <c r="K1334" i="9"/>
  <c r="J1334" i="9"/>
  <c r="I1334" i="9"/>
  <c r="K1322" i="9"/>
  <c r="J1322" i="9"/>
  <c r="I1322" i="9"/>
  <c r="L1322" i="9" s="1"/>
  <c r="M1322" i="9" s="1"/>
  <c r="K1310" i="9"/>
  <c r="J1310" i="9"/>
  <c r="I1310" i="9"/>
  <c r="K1298" i="9"/>
  <c r="J1298" i="9"/>
  <c r="I1298" i="9"/>
  <c r="K1286" i="9"/>
  <c r="J1286" i="9"/>
  <c r="I1286" i="9"/>
  <c r="K1274" i="9"/>
  <c r="J1274" i="9"/>
  <c r="I1274" i="9"/>
  <c r="K1262" i="9"/>
  <c r="J1262" i="9"/>
  <c r="I1262" i="9"/>
  <c r="K1250" i="9"/>
  <c r="J1250" i="9"/>
  <c r="I1250" i="9"/>
  <c r="K1238" i="9"/>
  <c r="J1238" i="9"/>
  <c r="I1238" i="9"/>
  <c r="K1226" i="9"/>
  <c r="J1226" i="9"/>
  <c r="I1226" i="9"/>
  <c r="K1214" i="9"/>
  <c r="J1214" i="9"/>
  <c r="I1214" i="9"/>
  <c r="K1202" i="9"/>
  <c r="J1202" i="9"/>
  <c r="I1202" i="9"/>
  <c r="K1190" i="9"/>
  <c r="J1190" i="9"/>
  <c r="I1190" i="9"/>
  <c r="K1178" i="9"/>
  <c r="J1178" i="9"/>
  <c r="I1178" i="9"/>
  <c r="K1166" i="9"/>
  <c r="J1166" i="9"/>
  <c r="I1166" i="9"/>
  <c r="K1154" i="9"/>
  <c r="J1154" i="9"/>
  <c r="I1154" i="9"/>
  <c r="K1142" i="9"/>
  <c r="J1142" i="9"/>
  <c r="I1142" i="9"/>
  <c r="K1130" i="9"/>
  <c r="J1130" i="9"/>
  <c r="I1130" i="9"/>
  <c r="K1118" i="9"/>
  <c r="J1118" i="9"/>
  <c r="I1118" i="9"/>
  <c r="K1106" i="9"/>
  <c r="J1106" i="9"/>
  <c r="I1106" i="9"/>
  <c r="K1094" i="9"/>
  <c r="J1094" i="9"/>
  <c r="I1094" i="9"/>
  <c r="K1082" i="9"/>
  <c r="J1082" i="9"/>
  <c r="I1082" i="9"/>
  <c r="K1070" i="9"/>
  <c r="J1070" i="9"/>
  <c r="I1070" i="9"/>
  <c r="K1046" i="9"/>
  <c r="J1046" i="9"/>
  <c r="I1046" i="9"/>
  <c r="K1034" i="9"/>
  <c r="J1034" i="9"/>
  <c r="I1034" i="9"/>
  <c r="K1010" i="9"/>
  <c r="J1010" i="9"/>
  <c r="I1010" i="9"/>
  <c r="K998" i="9"/>
  <c r="J998" i="9"/>
  <c r="I998" i="9"/>
  <c r="K974" i="9"/>
  <c r="J974" i="9"/>
  <c r="I974" i="9"/>
  <c r="K962" i="9"/>
  <c r="J962" i="9"/>
  <c r="I962" i="9"/>
  <c r="K938" i="9"/>
  <c r="J938" i="9"/>
  <c r="I938" i="9"/>
  <c r="K926" i="9"/>
  <c r="J926" i="9"/>
  <c r="I926" i="9"/>
  <c r="K902" i="9"/>
  <c r="J902" i="9"/>
  <c r="I902" i="9"/>
  <c r="K890" i="9"/>
  <c r="J890" i="9"/>
  <c r="I890" i="9"/>
  <c r="K866" i="9"/>
  <c r="J866" i="9"/>
  <c r="I866" i="9"/>
  <c r="K854" i="9"/>
  <c r="J854" i="9"/>
  <c r="I854" i="9"/>
  <c r="K482" i="9"/>
  <c r="J482" i="9"/>
  <c r="I482" i="9"/>
  <c r="G470" i="9"/>
  <c r="F470" i="9"/>
  <c r="H470" i="9"/>
  <c r="K458" i="9"/>
  <c r="J458" i="9"/>
  <c r="I458" i="9"/>
  <c r="G446" i="9"/>
  <c r="F446" i="9"/>
  <c r="H446" i="9"/>
  <c r="K434" i="9"/>
  <c r="J434" i="9"/>
  <c r="I434" i="9"/>
  <c r="G422" i="9"/>
  <c r="F422" i="9"/>
  <c r="H422" i="9"/>
  <c r="K410" i="9"/>
  <c r="J410" i="9"/>
  <c r="I410" i="9"/>
  <c r="G398" i="9"/>
  <c r="H398" i="9"/>
  <c r="F398" i="9"/>
  <c r="J386" i="9"/>
  <c r="K386" i="9"/>
  <c r="I386" i="9"/>
  <c r="K374" i="9"/>
  <c r="J374" i="9"/>
  <c r="I374" i="9"/>
  <c r="K362" i="9"/>
  <c r="J362" i="9"/>
  <c r="I362" i="9"/>
  <c r="K350" i="9"/>
  <c r="J350" i="9"/>
  <c r="I350" i="9"/>
  <c r="G334" i="9"/>
  <c r="F334" i="9"/>
  <c r="H334" i="9"/>
  <c r="G322" i="9"/>
  <c r="F322" i="9"/>
  <c r="H322" i="9"/>
  <c r="G310" i="9"/>
  <c r="F310" i="9"/>
  <c r="H310" i="9"/>
  <c r="K290" i="9"/>
  <c r="J290" i="9"/>
  <c r="I290" i="9"/>
  <c r="G262" i="9"/>
  <c r="F262" i="9"/>
  <c r="H262" i="9"/>
  <c r="G238" i="9"/>
  <c r="F238" i="9"/>
  <c r="H238" i="9"/>
  <c r="G214" i="9"/>
  <c r="F214" i="9"/>
  <c r="H214" i="9"/>
  <c r="G190" i="9"/>
  <c r="F190" i="9"/>
  <c r="H190" i="9"/>
  <c r="K170" i="9"/>
  <c r="J170" i="9"/>
  <c r="I170" i="9"/>
  <c r="K146" i="9"/>
  <c r="J146" i="9"/>
  <c r="I146" i="9"/>
  <c r="K122" i="9"/>
  <c r="J122" i="9"/>
  <c r="I122" i="9"/>
  <c r="K98" i="9"/>
  <c r="J98" i="9"/>
  <c r="I98" i="9"/>
  <c r="K74" i="9"/>
  <c r="J74" i="9"/>
  <c r="I74" i="9"/>
  <c r="K50" i="9"/>
  <c r="J50" i="9"/>
  <c r="I50" i="9"/>
  <c r="H5057" i="9"/>
  <c r="G5057" i="9"/>
  <c r="F5057" i="9"/>
  <c r="H4913" i="9"/>
  <c r="G4913" i="9"/>
  <c r="F4913" i="9"/>
  <c r="F4769" i="9"/>
  <c r="H4769" i="9"/>
  <c r="G4769" i="9"/>
  <c r="G4541" i="9"/>
  <c r="F4541" i="9"/>
  <c r="H4541" i="9"/>
  <c r="F4141" i="9"/>
  <c r="H4141" i="9"/>
  <c r="G4141" i="9"/>
  <c r="F4081" i="9"/>
  <c r="H4081" i="9"/>
  <c r="G4081" i="9"/>
  <c r="F4033" i="9"/>
  <c r="H4033" i="9"/>
  <c r="G4033" i="9"/>
  <c r="H3986" i="9"/>
  <c r="G3986" i="9"/>
  <c r="F3986" i="9"/>
  <c r="H3897" i="9"/>
  <c r="G3897" i="9"/>
  <c r="F3897" i="9"/>
  <c r="H3817" i="9"/>
  <c r="G3817" i="9"/>
  <c r="F3817" i="9"/>
  <c r="G3772" i="9"/>
  <c r="F3772" i="9"/>
  <c r="H3772" i="9"/>
  <c r="H3721" i="9"/>
  <c r="G3721" i="9"/>
  <c r="F3721" i="9"/>
  <c r="H3697" i="9"/>
  <c r="G3697" i="9"/>
  <c r="F3697" i="9"/>
  <c r="H3673" i="9"/>
  <c r="G3673" i="9"/>
  <c r="F3673" i="9"/>
  <c r="H3601" i="9"/>
  <c r="G3601" i="9"/>
  <c r="F3601" i="9"/>
  <c r="H3577" i="9"/>
  <c r="G3577" i="9"/>
  <c r="F3577" i="9"/>
  <c r="H3553" i="9"/>
  <c r="G3553" i="9"/>
  <c r="F3553" i="9"/>
  <c r="H3529" i="9"/>
  <c r="G3529" i="9"/>
  <c r="F3529" i="9"/>
  <c r="H3505" i="9"/>
  <c r="G3505" i="9"/>
  <c r="F3505" i="9"/>
  <c r="H3481" i="9"/>
  <c r="G3481" i="9"/>
  <c r="F3481" i="9"/>
  <c r="H3457" i="9"/>
  <c r="G3457" i="9"/>
  <c r="F3457" i="9"/>
  <c r="H3433" i="9"/>
  <c r="G3433" i="9"/>
  <c r="F3433" i="9"/>
  <c r="H3409" i="9"/>
  <c r="G3409" i="9"/>
  <c r="F3409" i="9"/>
  <c r="H3385" i="9"/>
  <c r="G3385" i="9"/>
  <c r="F3385" i="9"/>
  <c r="I3361" i="9"/>
  <c r="J3361" i="9"/>
  <c r="K3361" i="9"/>
  <c r="H3337" i="9"/>
  <c r="G3337" i="9"/>
  <c r="F3337" i="9"/>
  <c r="H3313" i="9"/>
  <c r="G3313" i="9"/>
  <c r="F3313" i="9"/>
  <c r="H3289" i="9"/>
  <c r="G3289" i="9"/>
  <c r="F3289" i="9"/>
  <c r="H3265" i="9"/>
  <c r="G3265" i="9"/>
  <c r="F3265" i="9"/>
  <c r="H3241" i="9"/>
  <c r="G3241" i="9"/>
  <c r="F3241" i="9"/>
  <c r="J3001" i="9"/>
  <c r="I3001" i="9"/>
  <c r="K3001" i="9"/>
  <c r="J2929" i="9"/>
  <c r="I2929" i="9"/>
  <c r="K2929" i="9"/>
  <c r="J2857" i="9"/>
  <c r="I2857" i="9"/>
  <c r="K2857" i="9"/>
  <c r="J2785" i="9"/>
  <c r="I2785" i="9"/>
  <c r="K2785" i="9"/>
  <c r="H2761" i="9"/>
  <c r="G2761" i="9"/>
  <c r="F2761" i="9"/>
  <c r="G2737" i="9"/>
  <c r="F2737" i="9"/>
  <c r="H2737" i="9"/>
  <c r="H2713" i="9"/>
  <c r="G2713" i="9"/>
  <c r="F2713" i="9"/>
  <c r="G2689" i="9"/>
  <c r="F2689" i="9"/>
  <c r="H2689" i="9"/>
  <c r="H2665" i="9"/>
  <c r="G2665" i="9"/>
  <c r="F2665" i="9"/>
  <c r="G2641" i="9"/>
  <c r="F2641" i="9"/>
  <c r="H2641" i="9"/>
  <c r="H2617" i="9"/>
  <c r="G2617" i="9"/>
  <c r="F2617" i="9"/>
  <c r="G2593" i="9"/>
  <c r="F2593" i="9"/>
  <c r="H2593" i="9"/>
  <c r="H2569" i="9"/>
  <c r="G2569" i="9"/>
  <c r="F2569" i="9"/>
  <c r="G2545" i="9"/>
  <c r="F2545" i="9"/>
  <c r="H2545" i="9"/>
  <c r="G2521" i="9"/>
  <c r="F2521" i="9"/>
  <c r="H2521" i="9"/>
  <c r="K2497" i="9"/>
  <c r="J2497" i="9"/>
  <c r="I2497" i="9"/>
  <c r="H2449" i="9"/>
  <c r="G2449" i="9"/>
  <c r="F2449" i="9"/>
  <c r="K2425" i="9"/>
  <c r="J2425" i="9"/>
  <c r="I2425" i="9"/>
  <c r="K2377" i="9"/>
  <c r="J2377" i="9"/>
  <c r="I2377" i="9"/>
  <c r="K2353" i="9"/>
  <c r="J2353" i="9"/>
  <c r="I2353" i="9"/>
  <c r="K2329" i="9"/>
  <c r="J2329" i="9"/>
  <c r="I2329" i="9"/>
  <c r="K2305" i="9"/>
  <c r="J2305" i="9"/>
  <c r="I2305" i="9"/>
  <c r="K2281" i="9"/>
  <c r="J2281" i="9"/>
  <c r="I2281" i="9"/>
  <c r="K2257" i="9"/>
  <c r="J2257" i="9"/>
  <c r="I2257" i="9"/>
  <c r="K2233" i="9"/>
  <c r="J2233" i="9"/>
  <c r="I2233" i="9"/>
  <c r="K2209" i="9"/>
  <c r="J2209" i="9"/>
  <c r="I2209" i="9"/>
  <c r="K2185" i="9"/>
  <c r="J2185" i="9"/>
  <c r="I2185" i="9"/>
  <c r="K2161" i="9"/>
  <c r="J2161" i="9"/>
  <c r="I2161" i="9"/>
  <c r="K2137" i="9"/>
  <c r="J2137" i="9"/>
  <c r="I2137" i="9"/>
  <c r="K2113" i="9"/>
  <c r="J2113" i="9"/>
  <c r="I2113" i="9"/>
  <c r="K2089" i="9"/>
  <c r="J2089" i="9"/>
  <c r="I2089" i="9"/>
  <c r="K2065" i="9"/>
  <c r="J2065" i="9"/>
  <c r="I2065" i="9"/>
  <c r="H2041" i="9"/>
  <c r="G2041" i="9"/>
  <c r="F2041" i="9"/>
  <c r="K2014" i="9"/>
  <c r="J2014" i="9"/>
  <c r="I2014" i="9"/>
  <c r="H1979" i="9"/>
  <c r="G1979" i="9"/>
  <c r="F1979" i="9"/>
  <c r="K1870" i="9"/>
  <c r="J1870" i="9"/>
  <c r="I1870" i="9"/>
  <c r="H1835" i="9"/>
  <c r="G1835" i="9"/>
  <c r="F1835" i="9"/>
  <c r="H1800" i="9"/>
  <c r="G1800" i="9"/>
  <c r="F1800" i="9"/>
  <c r="G1761" i="9"/>
  <c r="F1761" i="9"/>
  <c r="H1761" i="9"/>
  <c r="F1726" i="9"/>
  <c r="H1726" i="9"/>
  <c r="G1726" i="9"/>
  <c r="G1691" i="9"/>
  <c r="F1691" i="9"/>
  <c r="H1691" i="9"/>
  <c r="G1617" i="9"/>
  <c r="F1617" i="9"/>
  <c r="H1617" i="9"/>
  <c r="F1582" i="9"/>
  <c r="H1582" i="9"/>
  <c r="G1582" i="9"/>
  <c r="F4674" i="9"/>
  <c r="H4674" i="9"/>
  <c r="G4674" i="9"/>
  <c r="F4482" i="9"/>
  <c r="H4482" i="9"/>
  <c r="G4482" i="9"/>
  <c r="K4401" i="9"/>
  <c r="J4401" i="9"/>
  <c r="I4401" i="9"/>
  <c r="K4209" i="9"/>
  <c r="J4209" i="9"/>
  <c r="I4209" i="9"/>
  <c r="H4102" i="9"/>
  <c r="G4102" i="9"/>
  <c r="F4102" i="9"/>
  <c r="H4017" i="9"/>
  <c r="G4017" i="9"/>
  <c r="F4017" i="9"/>
  <c r="F3949" i="9"/>
  <c r="H3949" i="9"/>
  <c r="G3949" i="9"/>
  <c r="H3876" i="9"/>
  <c r="G3876" i="9"/>
  <c r="F3876" i="9"/>
  <c r="G3856" i="9"/>
  <c r="F3856" i="9"/>
  <c r="H3856" i="9"/>
  <c r="K3826" i="9"/>
  <c r="J3826" i="9"/>
  <c r="I3826" i="9"/>
  <c r="K3730" i="9"/>
  <c r="J3730" i="9"/>
  <c r="I3730" i="9"/>
  <c r="K3658" i="9"/>
  <c r="J3658" i="9"/>
  <c r="I3658" i="9"/>
  <c r="H3586" i="9"/>
  <c r="G3586" i="9"/>
  <c r="F3586" i="9"/>
  <c r="H3514" i="9"/>
  <c r="G3514" i="9"/>
  <c r="F3514" i="9"/>
  <c r="H3442" i="9"/>
  <c r="G3442" i="9"/>
  <c r="F3442" i="9"/>
  <c r="H3370" i="9"/>
  <c r="G3370" i="9"/>
  <c r="F3370" i="9"/>
  <c r="K3226" i="9"/>
  <c r="J3226" i="9"/>
  <c r="I3226" i="9"/>
  <c r="K3154" i="9"/>
  <c r="J3154" i="9"/>
  <c r="I3154" i="9"/>
  <c r="K3082" i="9"/>
  <c r="J3082" i="9"/>
  <c r="I3082" i="9"/>
  <c r="J3010" i="9"/>
  <c r="K3010" i="9"/>
  <c r="I3010" i="9"/>
  <c r="J2938" i="9"/>
  <c r="K2938" i="9"/>
  <c r="I2938" i="9"/>
  <c r="J2866" i="9"/>
  <c r="K2866" i="9"/>
  <c r="I2866" i="9"/>
  <c r="J2794" i="9"/>
  <c r="K2794" i="9"/>
  <c r="I2794" i="9"/>
  <c r="H2722" i="9"/>
  <c r="G2722" i="9"/>
  <c r="F2722" i="9"/>
  <c r="H2650" i="9"/>
  <c r="G2650" i="9"/>
  <c r="F2650" i="9"/>
  <c r="H2578" i="9"/>
  <c r="G2578" i="9"/>
  <c r="F2578" i="9"/>
  <c r="H2506" i="9"/>
  <c r="F2506" i="9"/>
  <c r="G2506" i="9"/>
  <c r="H1983" i="9"/>
  <c r="F1983" i="9"/>
  <c r="G1983" i="9"/>
  <c r="H1948" i="9"/>
  <c r="G1948" i="9"/>
  <c r="F1948" i="9"/>
  <c r="K1909" i="9"/>
  <c r="J1909" i="9"/>
  <c r="I1909" i="9"/>
  <c r="H1839" i="9"/>
  <c r="F1839" i="9"/>
  <c r="G1839" i="9"/>
  <c r="H1804" i="9"/>
  <c r="G1804" i="9"/>
  <c r="F1804" i="9"/>
  <c r="H1730" i="9"/>
  <c r="G1730" i="9"/>
  <c r="F1730" i="9"/>
  <c r="K1660" i="9"/>
  <c r="J1660" i="9"/>
  <c r="I1660" i="9"/>
  <c r="H1586" i="9"/>
  <c r="G1586" i="9"/>
  <c r="F1586" i="9"/>
  <c r="H1551" i="9"/>
  <c r="G1551" i="9"/>
  <c r="F1551" i="9"/>
  <c r="G945" i="9"/>
  <c r="H945" i="9"/>
  <c r="F945" i="9"/>
  <c r="H929" i="9"/>
  <c r="G929" i="9"/>
  <c r="F929" i="9"/>
  <c r="H917" i="9"/>
  <c r="G917" i="9"/>
  <c r="F917" i="9"/>
  <c r="H905" i="9"/>
  <c r="G905" i="9"/>
  <c r="F905" i="9"/>
  <c r="G861" i="9"/>
  <c r="H861" i="9"/>
  <c r="F861" i="9"/>
  <c r="H785" i="9"/>
  <c r="G785" i="9"/>
  <c r="F785" i="9"/>
  <c r="H529" i="9"/>
  <c r="G529" i="9"/>
  <c r="F529" i="9"/>
  <c r="J389" i="9"/>
  <c r="K389" i="9"/>
  <c r="I389" i="9"/>
  <c r="H361" i="9"/>
  <c r="G361" i="9"/>
  <c r="F361" i="9"/>
  <c r="H337" i="9"/>
  <c r="G337" i="9"/>
  <c r="F337" i="9"/>
  <c r="H305" i="9"/>
  <c r="G305" i="9"/>
  <c r="F305" i="9"/>
  <c r="F285" i="9"/>
  <c r="H285" i="9"/>
  <c r="G285" i="9"/>
  <c r="F261" i="9"/>
  <c r="H261" i="9"/>
  <c r="G261" i="9"/>
  <c r="H241" i="9"/>
  <c r="G241" i="9"/>
  <c r="F241" i="9"/>
  <c r="H221" i="9"/>
  <c r="G221" i="9"/>
  <c r="F221" i="9"/>
  <c r="H205" i="9"/>
  <c r="G205" i="9"/>
  <c r="F205" i="9"/>
  <c r="F177" i="9"/>
  <c r="H177" i="9"/>
  <c r="G177" i="9"/>
  <c r="H149" i="9"/>
  <c r="G149" i="9"/>
  <c r="F149" i="9"/>
  <c r="H125" i="9"/>
  <c r="G125" i="9"/>
  <c r="F125" i="9"/>
  <c r="H101" i="9"/>
  <c r="G101" i="9"/>
  <c r="F101" i="9"/>
  <c r="H89" i="9"/>
  <c r="G89" i="9"/>
  <c r="F89" i="9"/>
  <c r="H73" i="9"/>
  <c r="G73" i="9"/>
  <c r="F73" i="9"/>
  <c r="H49" i="9"/>
  <c r="G49" i="9"/>
  <c r="F49" i="9"/>
  <c r="H29" i="9"/>
  <c r="G29" i="9"/>
  <c r="F29" i="9"/>
  <c r="H13" i="9"/>
  <c r="G13" i="9"/>
  <c r="F13" i="9"/>
  <c r="H5158" i="9"/>
  <c r="G5158" i="9"/>
  <c r="F5158" i="9"/>
  <c r="F4534" i="9"/>
  <c r="H4534" i="9"/>
  <c r="G4534" i="9"/>
  <c r="K4412" i="9"/>
  <c r="J4412" i="9"/>
  <c r="I4412" i="9"/>
  <c r="H4342" i="9"/>
  <c r="G4342" i="9"/>
  <c r="F4342" i="9"/>
  <c r="K4220" i="9"/>
  <c r="J4220" i="9"/>
  <c r="I4220" i="9"/>
  <c r="H4064" i="9"/>
  <c r="G4064" i="9"/>
  <c r="F4064" i="9"/>
  <c r="H4022" i="9"/>
  <c r="G4022" i="9"/>
  <c r="F4022" i="9"/>
  <c r="F3985" i="9"/>
  <c r="H3985" i="9"/>
  <c r="G3985" i="9"/>
  <c r="H3938" i="9"/>
  <c r="G3938" i="9"/>
  <c r="F3938" i="9"/>
  <c r="F3881" i="9"/>
  <c r="H3881" i="9"/>
  <c r="G3881" i="9"/>
  <c r="H3831" i="9"/>
  <c r="G3831" i="9"/>
  <c r="F3831" i="9"/>
  <c r="H3801" i="9"/>
  <c r="G3801" i="9"/>
  <c r="F3801" i="9"/>
  <c r="H3734" i="9"/>
  <c r="G3734" i="9"/>
  <c r="F3734" i="9"/>
  <c r="H3619" i="9"/>
  <c r="G3619" i="9"/>
  <c r="F3619" i="9"/>
  <c r="H3595" i="9"/>
  <c r="G3595" i="9"/>
  <c r="F3595" i="9"/>
  <c r="H3571" i="9"/>
  <c r="G3571" i="9"/>
  <c r="F3571" i="9"/>
  <c r="H3547" i="9"/>
  <c r="G3547" i="9"/>
  <c r="F3547" i="9"/>
  <c r="H3523" i="9"/>
  <c r="G3523" i="9"/>
  <c r="F3523" i="9"/>
  <c r="H3499" i="9"/>
  <c r="G3499" i="9"/>
  <c r="F3499" i="9"/>
  <c r="H3475" i="9"/>
  <c r="G3475" i="9"/>
  <c r="F3475" i="9"/>
  <c r="H3451" i="9"/>
  <c r="G3451" i="9"/>
  <c r="F3451" i="9"/>
  <c r="H3427" i="9"/>
  <c r="G3427" i="9"/>
  <c r="F3427" i="9"/>
  <c r="H3403" i="9"/>
  <c r="G3403" i="9"/>
  <c r="F3403" i="9"/>
  <c r="H2779" i="9"/>
  <c r="G2779" i="9"/>
  <c r="F2779" i="9"/>
  <c r="H2755" i="9"/>
  <c r="G2755" i="9"/>
  <c r="F2755" i="9"/>
  <c r="H2731" i="9"/>
  <c r="G2731" i="9"/>
  <c r="F2731" i="9"/>
  <c r="H2707" i="9"/>
  <c r="G2707" i="9"/>
  <c r="F2707" i="9"/>
  <c r="H2683" i="9"/>
  <c r="G2683" i="9"/>
  <c r="F2683" i="9"/>
  <c r="H2659" i="9"/>
  <c r="G2659" i="9"/>
  <c r="F2659" i="9"/>
  <c r="H2635" i="9"/>
  <c r="G2635" i="9"/>
  <c r="F2635" i="9"/>
  <c r="H2611" i="9"/>
  <c r="G2611" i="9"/>
  <c r="F2611" i="9"/>
  <c r="H2587" i="9"/>
  <c r="G2587" i="9"/>
  <c r="F2587" i="9"/>
  <c r="H2563" i="9"/>
  <c r="G2563" i="9"/>
  <c r="F2563" i="9"/>
  <c r="H2539" i="9"/>
  <c r="G2539" i="9"/>
  <c r="F2539" i="9"/>
  <c r="H2515" i="9"/>
  <c r="G2515" i="9"/>
  <c r="F2515" i="9"/>
  <c r="H2491" i="9"/>
  <c r="G2491" i="9"/>
  <c r="F2491" i="9"/>
  <c r="F2467" i="9"/>
  <c r="H2467" i="9"/>
  <c r="G2467" i="9"/>
  <c r="F2443" i="9"/>
  <c r="H2443" i="9"/>
  <c r="G2443" i="9"/>
  <c r="F2419" i="9"/>
  <c r="H2419" i="9"/>
  <c r="G2419" i="9"/>
  <c r="F2395" i="9"/>
  <c r="G2395" i="9"/>
  <c r="H2395" i="9"/>
  <c r="F2371" i="9"/>
  <c r="G2371" i="9"/>
  <c r="H2371" i="9"/>
  <c r="F2347" i="9"/>
  <c r="G2347" i="9"/>
  <c r="H2347" i="9"/>
  <c r="F2323" i="9"/>
  <c r="H2323" i="9"/>
  <c r="G2323" i="9"/>
  <c r="F2299" i="9"/>
  <c r="H2299" i="9"/>
  <c r="G2299" i="9"/>
  <c r="F2275" i="9"/>
  <c r="H2275" i="9"/>
  <c r="G2275" i="9"/>
  <c r="F2251" i="9"/>
  <c r="H2251" i="9"/>
  <c r="G2251" i="9"/>
  <c r="F2227" i="9"/>
  <c r="H2227" i="9"/>
  <c r="G2227" i="9"/>
  <c r="F2203" i="9"/>
  <c r="H2203" i="9"/>
  <c r="G2203" i="9"/>
  <c r="F2179" i="9"/>
  <c r="H2179" i="9"/>
  <c r="G2179" i="9"/>
  <c r="F2155" i="9"/>
  <c r="H2155" i="9"/>
  <c r="G2155" i="9"/>
  <c r="F2131" i="9"/>
  <c r="H2131" i="9"/>
  <c r="G2131" i="9"/>
  <c r="F2107" i="9"/>
  <c r="H2107" i="9"/>
  <c r="G2107" i="9"/>
  <c r="F2083" i="9"/>
  <c r="H2083" i="9"/>
  <c r="G2083" i="9"/>
  <c r="F2059" i="9"/>
  <c r="H2059" i="9"/>
  <c r="G2059" i="9"/>
  <c r="F2035" i="9"/>
  <c r="H2035" i="9"/>
  <c r="G2035" i="9"/>
  <c r="G2000" i="9"/>
  <c r="F2000" i="9"/>
  <c r="H2000" i="9"/>
  <c r="F1891" i="9"/>
  <c r="H1891" i="9"/>
  <c r="G1891" i="9"/>
  <c r="G1856" i="9"/>
  <c r="F1856" i="9"/>
  <c r="H1856" i="9"/>
  <c r="H1782" i="9"/>
  <c r="G1782" i="9"/>
  <c r="F1782" i="9"/>
  <c r="H1747" i="9"/>
  <c r="G1747" i="9"/>
  <c r="F1747" i="9"/>
  <c r="H1712" i="9"/>
  <c r="G1712" i="9"/>
  <c r="F1712" i="9"/>
  <c r="H1673" i="9"/>
  <c r="G1673" i="9"/>
  <c r="F1673" i="9"/>
  <c r="H1638" i="9"/>
  <c r="G1638" i="9"/>
  <c r="F1638" i="9"/>
  <c r="H1603" i="9"/>
  <c r="G1603" i="9"/>
  <c r="F1603" i="9"/>
  <c r="H1568" i="9"/>
  <c r="G1568" i="9"/>
  <c r="F1568" i="9"/>
  <c r="H1529" i="9"/>
  <c r="G1529" i="9"/>
  <c r="F1529" i="9"/>
  <c r="H1517" i="9"/>
  <c r="G1517" i="9"/>
  <c r="F1517" i="9"/>
  <c r="H1505" i="9"/>
  <c r="G1505" i="9"/>
  <c r="F1505" i="9"/>
  <c r="H1493" i="9"/>
  <c r="G1493" i="9"/>
  <c r="F1493" i="9"/>
  <c r="H1481" i="9"/>
  <c r="G1481" i="9"/>
  <c r="F1481" i="9"/>
  <c r="H1469" i="9"/>
  <c r="G1469" i="9"/>
  <c r="F1469" i="9"/>
  <c r="H1457" i="9"/>
  <c r="G1457" i="9"/>
  <c r="F1457" i="9"/>
  <c r="H1445" i="9"/>
  <c r="G1445" i="9"/>
  <c r="F1445" i="9"/>
  <c r="H1433" i="9"/>
  <c r="G1433" i="9"/>
  <c r="F1433" i="9"/>
  <c r="H1421" i="9"/>
  <c r="G1421" i="9"/>
  <c r="F1421" i="9"/>
  <c r="H1409" i="9"/>
  <c r="G1409" i="9"/>
  <c r="F1409" i="9"/>
  <c r="H1397" i="9"/>
  <c r="G1397" i="9"/>
  <c r="F1397" i="9"/>
  <c r="H1385" i="9"/>
  <c r="G1385" i="9"/>
  <c r="F1385" i="9"/>
  <c r="H1373" i="9"/>
  <c r="G1373" i="9"/>
  <c r="F1373" i="9"/>
  <c r="H1361" i="9"/>
  <c r="G1361" i="9"/>
  <c r="F1361" i="9"/>
  <c r="H1349" i="9"/>
  <c r="G1349" i="9"/>
  <c r="F1349" i="9"/>
  <c r="H1337" i="9"/>
  <c r="G1337" i="9"/>
  <c r="F1337" i="9"/>
  <c r="H1325" i="9"/>
  <c r="G1325" i="9"/>
  <c r="F1325" i="9"/>
  <c r="H1313" i="9"/>
  <c r="G1313" i="9"/>
  <c r="F1313" i="9"/>
  <c r="H1301" i="9"/>
  <c r="G1301" i="9"/>
  <c r="F1301" i="9"/>
  <c r="H1289" i="9"/>
  <c r="G1289" i="9"/>
  <c r="F1289" i="9"/>
  <c r="H1277" i="9"/>
  <c r="G1277" i="9"/>
  <c r="F1277" i="9"/>
  <c r="H1265" i="9"/>
  <c r="G1265" i="9"/>
  <c r="F1265" i="9"/>
  <c r="H1253" i="9"/>
  <c r="G1253" i="9"/>
  <c r="F1253" i="9"/>
  <c r="H1241" i="9"/>
  <c r="G1241" i="9"/>
  <c r="F1241" i="9"/>
  <c r="H1229" i="9"/>
  <c r="G1229" i="9"/>
  <c r="F1229" i="9"/>
  <c r="H1217" i="9"/>
  <c r="G1217" i="9"/>
  <c r="F1217" i="9"/>
  <c r="H1205" i="9"/>
  <c r="G1205" i="9"/>
  <c r="F1205" i="9"/>
  <c r="H1193" i="9"/>
  <c r="G1193" i="9"/>
  <c r="F1193" i="9"/>
  <c r="H1181" i="9"/>
  <c r="G1181" i="9"/>
  <c r="F1181" i="9"/>
  <c r="H1169" i="9"/>
  <c r="G1169" i="9"/>
  <c r="F1169" i="9"/>
  <c r="H1157" i="9"/>
  <c r="G1157" i="9"/>
  <c r="F1157" i="9"/>
  <c r="H1145" i="9"/>
  <c r="G1145" i="9"/>
  <c r="F1145" i="9"/>
  <c r="H1133" i="9"/>
  <c r="G1133" i="9"/>
  <c r="F1133" i="9"/>
  <c r="H1121" i="9"/>
  <c r="G1121" i="9"/>
  <c r="F1121" i="9"/>
  <c r="H1109" i="9"/>
  <c r="G1109" i="9"/>
  <c r="F1109" i="9"/>
  <c r="H1097" i="9"/>
  <c r="G1097" i="9"/>
  <c r="F1097" i="9"/>
  <c r="H1085" i="9"/>
  <c r="G1085" i="9"/>
  <c r="F1085" i="9"/>
  <c r="H1073" i="9"/>
  <c r="G1073" i="9"/>
  <c r="F1073" i="9"/>
  <c r="H1061" i="9"/>
  <c r="G1061" i="9"/>
  <c r="F1061" i="9"/>
  <c r="H1049" i="9"/>
  <c r="G1049" i="9"/>
  <c r="F1049" i="9"/>
  <c r="H1037" i="9"/>
  <c r="G1037" i="9"/>
  <c r="F1037" i="9"/>
  <c r="H1025" i="9"/>
  <c r="G1025" i="9"/>
  <c r="F1025" i="9"/>
  <c r="H1013" i="9"/>
  <c r="G1013" i="9"/>
  <c r="F1013" i="9"/>
  <c r="H1001" i="9"/>
  <c r="G1001" i="9"/>
  <c r="F1001" i="9"/>
  <c r="H989" i="9"/>
  <c r="G989" i="9"/>
  <c r="F989" i="9"/>
  <c r="H977" i="9"/>
  <c r="G977" i="9"/>
  <c r="F977" i="9"/>
  <c r="H965" i="9"/>
  <c r="G965" i="9"/>
  <c r="F965" i="9"/>
  <c r="G885" i="9"/>
  <c r="H885" i="9"/>
  <c r="F885" i="9"/>
  <c r="H821" i="9"/>
  <c r="G821" i="9"/>
  <c r="F821" i="9"/>
  <c r="K805" i="9"/>
  <c r="J805" i="9"/>
  <c r="I805" i="9"/>
  <c r="K721" i="9"/>
  <c r="J721" i="9"/>
  <c r="I721" i="9"/>
  <c r="K649" i="9"/>
  <c r="J649" i="9"/>
  <c r="I649" i="9"/>
  <c r="K625" i="9"/>
  <c r="J625" i="9"/>
  <c r="I625" i="9"/>
  <c r="H565" i="9"/>
  <c r="G565" i="9"/>
  <c r="F565" i="9"/>
  <c r="H493" i="9"/>
  <c r="G493" i="9"/>
  <c r="F493" i="9"/>
  <c r="K481" i="9"/>
  <c r="J481" i="9"/>
  <c r="I481" i="9"/>
  <c r="K469" i="9"/>
  <c r="J469" i="9"/>
  <c r="I469" i="9"/>
  <c r="F381" i="9"/>
  <c r="H381" i="9"/>
  <c r="G381" i="9"/>
  <c r="F357" i="9"/>
  <c r="H357" i="9"/>
  <c r="G357" i="9"/>
  <c r="F333" i="9"/>
  <c r="H333" i="9"/>
  <c r="G333" i="9"/>
  <c r="H317" i="9"/>
  <c r="G317" i="9"/>
  <c r="F317" i="9"/>
  <c r="H293" i="9"/>
  <c r="G293" i="9"/>
  <c r="F293" i="9"/>
  <c r="H265" i="9"/>
  <c r="G265" i="9"/>
  <c r="F265" i="9"/>
  <c r="H233" i="9"/>
  <c r="G233" i="9"/>
  <c r="F233" i="9"/>
  <c r="F201" i="9"/>
  <c r="H201" i="9"/>
  <c r="G201" i="9"/>
  <c r="H181" i="9"/>
  <c r="G181" i="9"/>
  <c r="F181" i="9"/>
  <c r="H157" i="9"/>
  <c r="G157" i="9"/>
  <c r="F157" i="9"/>
  <c r="H133" i="9"/>
  <c r="G133" i="9"/>
  <c r="F133" i="9"/>
  <c r="H113" i="9"/>
  <c r="G113" i="9"/>
  <c r="F113" i="9"/>
  <c r="H65" i="9"/>
  <c r="G65" i="9"/>
  <c r="F65" i="9"/>
  <c r="H41" i="9"/>
  <c r="G41" i="9"/>
  <c r="F41" i="9"/>
  <c r="G4685" i="9"/>
  <c r="F4685" i="9"/>
  <c r="H4685" i="9"/>
  <c r="G4493" i="9"/>
  <c r="F4493" i="9"/>
  <c r="H4493" i="9"/>
  <c r="K3943" i="9"/>
  <c r="J3943" i="9"/>
  <c r="I3943" i="9"/>
  <c r="G3870" i="9"/>
  <c r="F3870" i="9"/>
  <c r="H3870" i="9"/>
  <c r="K3766" i="9"/>
  <c r="J3766" i="9"/>
  <c r="I3766" i="9"/>
  <c r="G3738" i="9"/>
  <c r="F3738" i="9"/>
  <c r="H3738" i="9"/>
  <c r="H3302" i="9"/>
  <c r="G3302" i="9"/>
  <c r="F3302" i="9"/>
  <c r="I3158" i="9"/>
  <c r="J3158" i="9"/>
  <c r="K3158" i="9"/>
  <c r="I3086" i="9"/>
  <c r="J3086" i="9"/>
  <c r="K3086" i="9"/>
  <c r="I3014" i="9"/>
  <c r="K3014" i="9"/>
  <c r="J3014" i="9"/>
  <c r="I2942" i="9"/>
  <c r="K2942" i="9"/>
  <c r="J2942" i="9"/>
  <c r="I2870" i="9"/>
  <c r="K2870" i="9"/>
  <c r="J2870" i="9"/>
  <c r="I2798" i="9"/>
  <c r="K2798" i="9"/>
  <c r="J2798" i="9"/>
  <c r="K1978" i="9"/>
  <c r="J1978" i="9"/>
  <c r="I1978" i="9"/>
  <c r="H1943" i="9"/>
  <c r="G1943" i="9"/>
  <c r="F1943" i="9"/>
  <c r="K1834" i="9"/>
  <c r="J1834" i="9"/>
  <c r="I1834" i="9"/>
  <c r="G1725" i="9"/>
  <c r="F1725" i="9"/>
  <c r="H1725" i="9"/>
  <c r="F1690" i="9"/>
  <c r="H1690" i="9"/>
  <c r="G1690" i="9"/>
  <c r="G1655" i="9"/>
  <c r="F1655" i="9"/>
  <c r="H1655" i="9"/>
  <c r="G1581" i="9"/>
  <c r="F1581" i="9"/>
  <c r="H1581" i="9"/>
  <c r="H6491" i="9"/>
  <c r="G6491" i="9"/>
  <c r="F6491" i="9"/>
  <c r="H5221" i="9"/>
  <c r="F5221" i="9"/>
  <c r="G5221" i="9"/>
  <c r="H4810" i="9"/>
  <c r="G4810" i="9"/>
  <c r="F4810" i="9"/>
  <c r="K4597" i="9"/>
  <c r="J4597" i="9"/>
  <c r="I4597" i="9"/>
  <c r="K6223" i="9"/>
  <c r="J6223" i="9"/>
  <c r="I6223" i="9"/>
  <c r="K6061" i="9"/>
  <c r="J6061" i="9"/>
  <c r="I6061" i="9"/>
  <c r="K5899" i="9"/>
  <c r="J5899" i="9"/>
  <c r="I5899" i="9"/>
  <c r="G5540" i="9"/>
  <c r="F5540" i="9"/>
  <c r="H5540" i="9"/>
  <c r="H3941" i="9"/>
  <c r="G3941" i="9"/>
  <c r="F3941" i="9"/>
  <c r="H4622" i="9"/>
  <c r="G4622" i="9"/>
  <c r="F4622" i="9"/>
  <c r="H4075" i="9"/>
  <c r="G4075" i="9"/>
  <c r="F4075" i="9"/>
  <c r="K6173" i="9"/>
  <c r="J6173" i="9"/>
  <c r="I6173" i="9"/>
  <c r="J6011" i="9"/>
  <c r="K6011" i="9"/>
  <c r="I6011" i="9"/>
  <c r="K5867" i="9"/>
  <c r="J5867" i="9"/>
  <c r="I5867" i="9"/>
  <c r="K5705" i="9"/>
  <c r="J5705" i="9"/>
  <c r="I5705" i="9"/>
  <c r="K5682" i="9"/>
  <c r="J5682" i="9"/>
  <c r="I5682" i="9"/>
  <c r="J5469" i="9"/>
  <c r="I5469" i="9"/>
  <c r="K5469" i="9"/>
  <c r="K5346" i="9"/>
  <c r="J5346" i="9"/>
  <c r="I5346" i="9"/>
  <c r="H4797" i="9"/>
  <c r="G4797" i="9"/>
  <c r="F4797" i="9"/>
  <c r="H4983" i="9"/>
  <c r="G4983" i="9"/>
  <c r="F4983" i="9"/>
  <c r="H6513" i="9"/>
  <c r="G6513" i="9"/>
  <c r="F6513" i="9"/>
  <c r="K5877" i="9"/>
  <c r="J5877" i="9"/>
  <c r="I5877" i="9"/>
  <c r="I5478" i="9"/>
  <c r="K5478" i="9"/>
  <c r="J5478" i="9"/>
  <c r="H4971" i="9"/>
  <c r="G4971" i="9"/>
  <c r="F4971" i="9"/>
  <c r="K4120" i="9"/>
  <c r="J4120" i="9"/>
  <c r="I4120" i="9"/>
  <c r="H6236" i="9"/>
  <c r="G6236" i="9"/>
  <c r="F6236" i="9"/>
  <c r="H5732" i="9"/>
  <c r="G5732" i="9"/>
  <c r="F5732" i="9"/>
  <c r="K4784" i="9"/>
  <c r="J4784" i="9"/>
  <c r="I4784" i="9"/>
  <c r="H4208" i="9"/>
  <c r="G4208" i="9"/>
  <c r="F4208" i="9"/>
  <c r="H3604" i="9"/>
  <c r="G3604" i="9"/>
  <c r="F3604" i="9"/>
  <c r="H2596" i="9"/>
  <c r="G2596" i="9"/>
  <c r="F2596" i="9"/>
  <c r="H1873" i="9"/>
  <c r="G1873" i="9"/>
  <c r="F1873" i="9"/>
  <c r="K984" i="9"/>
  <c r="J984" i="9"/>
  <c r="I984" i="9"/>
  <c r="H4550" i="9"/>
  <c r="G4550" i="9"/>
  <c r="F4550" i="9"/>
  <c r="H2778" i="9"/>
  <c r="G2778" i="9"/>
  <c r="F2778" i="9"/>
  <c r="K1524" i="9"/>
  <c r="J1524" i="9"/>
  <c r="I1524" i="9"/>
  <c r="K1428" i="9"/>
  <c r="J1428" i="9"/>
  <c r="I1428" i="9"/>
  <c r="K576" i="9"/>
  <c r="I576" i="9"/>
  <c r="J576" i="9"/>
  <c r="K5078" i="9"/>
  <c r="J5078" i="9"/>
  <c r="I5078" i="9"/>
  <c r="K3531" i="9"/>
  <c r="J3531" i="9"/>
  <c r="I3531" i="9"/>
  <c r="H3003" i="9"/>
  <c r="G3003" i="9"/>
  <c r="F3003" i="9"/>
  <c r="K2739" i="9"/>
  <c r="J2739" i="9"/>
  <c r="I2739" i="9"/>
  <c r="H2499" i="9"/>
  <c r="G2499" i="9"/>
  <c r="F2499" i="9"/>
  <c r="H1824" i="9"/>
  <c r="G1824" i="9"/>
  <c r="F1824" i="9"/>
  <c r="K3334" i="9"/>
  <c r="J3334" i="9"/>
  <c r="I3334" i="9"/>
  <c r="K1645" i="9"/>
  <c r="J1645" i="9"/>
  <c r="I1645" i="9"/>
  <c r="H111" i="9"/>
  <c r="G111" i="9"/>
  <c r="F111" i="9"/>
  <c r="K1235" i="9"/>
  <c r="J1235" i="9"/>
  <c r="I1235" i="9"/>
  <c r="K1115" i="9"/>
  <c r="J1115" i="9"/>
  <c r="I1115" i="9"/>
  <c r="K1019" i="9"/>
  <c r="J1019" i="9"/>
  <c r="I1019" i="9"/>
  <c r="K911" i="9"/>
  <c r="J911" i="9"/>
  <c r="I911" i="9"/>
  <c r="H3803" i="9"/>
  <c r="G3803" i="9"/>
  <c r="F3803" i="9"/>
  <c r="I3146" i="9"/>
  <c r="K3146" i="9"/>
  <c r="J3146" i="9"/>
  <c r="J2498" i="9"/>
  <c r="I2498" i="9"/>
  <c r="K2498" i="9"/>
  <c r="K4513" i="9"/>
  <c r="J4513" i="9"/>
  <c r="I4513" i="9"/>
  <c r="H3496" i="9"/>
  <c r="G3496" i="9"/>
  <c r="F3496" i="9"/>
  <c r="H2512" i="9"/>
  <c r="G2512" i="9"/>
  <c r="F2512" i="9"/>
  <c r="K1635" i="9"/>
  <c r="J1635" i="9"/>
  <c r="I1635" i="9"/>
  <c r="H3582" i="9"/>
  <c r="G3582" i="9"/>
  <c r="F3582" i="9"/>
  <c r="H766" i="9"/>
  <c r="G766" i="9"/>
  <c r="F766" i="9"/>
  <c r="H646" i="9"/>
  <c r="G646" i="9"/>
  <c r="F646" i="9"/>
  <c r="G526" i="9"/>
  <c r="F526" i="9"/>
  <c r="H526" i="9"/>
  <c r="I3644" i="9"/>
  <c r="K3644" i="9"/>
  <c r="J3644" i="9"/>
  <c r="H3188" i="9"/>
  <c r="G3188" i="9"/>
  <c r="F3188" i="9"/>
  <c r="K2972" i="9"/>
  <c r="J2972" i="9"/>
  <c r="I2972" i="9"/>
  <c r="H3851" i="9"/>
  <c r="G3851" i="9"/>
  <c r="F3851" i="9"/>
  <c r="K3274" i="9"/>
  <c r="J3274" i="9"/>
  <c r="I3274" i="9"/>
  <c r="H2050" i="9"/>
  <c r="G2050" i="9"/>
  <c r="F2050" i="9"/>
  <c r="H1756" i="9"/>
  <c r="G1756" i="9"/>
  <c r="F1756" i="9"/>
  <c r="K901" i="9"/>
  <c r="J901" i="9"/>
  <c r="I901" i="9"/>
  <c r="H421" i="9"/>
  <c r="G421" i="9"/>
  <c r="F421" i="9"/>
  <c r="H3485" i="9"/>
  <c r="G3485" i="9"/>
  <c r="F3485" i="9"/>
  <c r="F2933" i="9"/>
  <c r="H2933" i="9"/>
  <c r="G2933" i="9"/>
  <c r="H2669" i="9"/>
  <c r="G2669" i="9"/>
  <c r="F2669" i="9"/>
  <c r="K1525" i="9"/>
  <c r="J1525" i="9"/>
  <c r="I1525" i="9"/>
  <c r="K1405" i="9"/>
  <c r="J1405" i="9"/>
  <c r="I1405" i="9"/>
  <c r="H1285" i="9"/>
  <c r="G1285" i="9"/>
  <c r="F1285" i="9"/>
  <c r="H1141" i="9"/>
  <c r="G1141" i="9"/>
  <c r="F1141" i="9"/>
  <c r="K1009" i="9"/>
  <c r="J1009" i="9"/>
  <c r="I1009" i="9"/>
  <c r="H589" i="9"/>
  <c r="G589" i="9"/>
  <c r="F589" i="9"/>
  <c r="I4429" i="9"/>
  <c r="K4429" i="9"/>
  <c r="J4429" i="9"/>
  <c r="I3638" i="9"/>
  <c r="K3638" i="9"/>
  <c r="J3638" i="9"/>
  <c r="K6471" i="9"/>
  <c r="J6471" i="9"/>
  <c r="I6471" i="9"/>
  <c r="K6572" i="9"/>
  <c r="J6572" i="9"/>
  <c r="I6572" i="9"/>
  <c r="K6332" i="9"/>
  <c r="J6332" i="9"/>
  <c r="I6332" i="9"/>
  <c r="J5493" i="9"/>
  <c r="I5493" i="9"/>
  <c r="K5493" i="9"/>
  <c r="K5370" i="9"/>
  <c r="J5370" i="9"/>
  <c r="I5370" i="9"/>
  <c r="G4485" i="9"/>
  <c r="F4485" i="9"/>
  <c r="H4485" i="9"/>
  <c r="H5887" i="9"/>
  <c r="G5887" i="9"/>
  <c r="F5887" i="9"/>
  <c r="H5439" i="9"/>
  <c r="G5439" i="9"/>
  <c r="F5439" i="9"/>
  <c r="K5151" i="9"/>
  <c r="J5151" i="9"/>
  <c r="I5151" i="9"/>
  <c r="K4119" i="9"/>
  <c r="J4119" i="9"/>
  <c r="I4119" i="9"/>
  <c r="G5220" i="9"/>
  <c r="F5220" i="9"/>
  <c r="H5220" i="9"/>
  <c r="K4692" i="9"/>
  <c r="J4692" i="9"/>
  <c r="I4692" i="9"/>
  <c r="K6522" i="9"/>
  <c r="J6522" i="9"/>
  <c r="I6522" i="9"/>
  <c r="K6318" i="9"/>
  <c r="J6318" i="9"/>
  <c r="I6318" i="9"/>
  <c r="K6210" i="9"/>
  <c r="J6210" i="9"/>
  <c r="I6210" i="9"/>
  <c r="K6012" i="9"/>
  <c r="I6012" i="9"/>
  <c r="J6012" i="9"/>
  <c r="K5868" i="9"/>
  <c r="J5868" i="9"/>
  <c r="I5868" i="9"/>
  <c r="K5706" i="9"/>
  <c r="J5706" i="9"/>
  <c r="I5706" i="9"/>
  <c r="G5038" i="9"/>
  <c r="F5038" i="9"/>
  <c r="H5038" i="9"/>
  <c r="G4942" i="9"/>
  <c r="F4942" i="9"/>
  <c r="H4942" i="9"/>
  <c r="K4825" i="9"/>
  <c r="J4825" i="9"/>
  <c r="I4825" i="9"/>
  <c r="K4702" i="9"/>
  <c r="J4702" i="9"/>
  <c r="I4702" i="9"/>
  <c r="K4606" i="9"/>
  <c r="J4606" i="9"/>
  <c r="I4606" i="9"/>
  <c r="H4489" i="9"/>
  <c r="G4489" i="9"/>
  <c r="F4489" i="9"/>
  <c r="H4201" i="9"/>
  <c r="G4201" i="9"/>
  <c r="F4201" i="9"/>
  <c r="H6401" i="9"/>
  <c r="G6401" i="9"/>
  <c r="F6401" i="9"/>
  <c r="H6071" i="9"/>
  <c r="F6071" i="9"/>
  <c r="G6071" i="9"/>
  <c r="H5855" i="9"/>
  <c r="G5855" i="9"/>
  <c r="F5855" i="9"/>
  <c r="G5304" i="9"/>
  <c r="F5304" i="9"/>
  <c r="H5304" i="9"/>
  <c r="G5112" i="9"/>
  <c r="F5112" i="9"/>
  <c r="H5112" i="9"/>
  <c r="K5645" i="9"/>
  <c r="J5645" i="9"/>
  <c r="I5645" i="9"/>
  <c r="K5597" i="9"/>
  <c r="J5597" i="9"/>
  <c r="I5597" i="9"/>
  <c r="J5549" i="9"/>
  <c r="K5549" i="9"/>
  <c r="I5549" i="9"/>
  <c r="J5501" i="9"/>
  <c r="K5501" i="9"/>
  <c r="I5501" i="9"/>
  <c r="K5426" i="9"/>
  <c r="J5426" i="9"/>
  <c r="I5426" i="9"/>
  <c r="H5090" i="9"/>
  <c r="G5090" i="9"/>
  <c r="F5090" i="9"/>
  <c r="H5042" i="9"/>
  <c r="G5042" i="9"/>
  <c r="F5042" i="9"/>
  <c r="H4994" i="9"/>
  <c r="G4994" i="9"/>
  <c r="F4994" i="9"/>
  <c r="H4946" i="9"/>
  <c r="G4946" i="9"/>
  <c r="F4946" i="9"/>
  <c r="H4898" i="9"/>
  <c r="G4898" i="9"/>
  <c r="F4898" i="9"/>
  <c r="H4850" i="9"/>
  <c r="G4850" i="9"/>
  <c r="F4850" i="9"/>
  <c r="H4829" i="9"/>
  <c r="G4829" i="9"/>
  <c r="F4829" i="9"/>
  <c r="H6490" i="9"/>
  <c r="G6490" i="9"/>
  <c r="F6490" i="9"/>
  <c r="K6454" i="9"/>
  <c r="I6454" i="9"/>
  <c r="J6454" i="9"/>
  <c r="K6418" i="9"/>
  <c r="J6418" i="9"/>
  <c r="I6418" i="9"/>
  <c r="K6244" i="9"/>
  <c r="J6244" i="9"/>
  <c r="I6244" i="9"/>
  <c r="K6208" i="9"/>
  <c r="J6208" i="9"/>
  <c r="I6208" i="9"/>
  <c r="K6172" i="9"/>
  <c r="J6172" i="9"/>
  <c r="I6172" i="9"/>
  <c r="H6154" i="9"/>
  <c r="G6154" i="9"/>
  <c r="F6154" i="9"/>
  <c r="K6136" i="9"/>
  <c r="I6136" i="9"/>
  <c r="J6136" i="9"/>
  <c r="K6118" i="9"/>
  <c r="J6118" i="9"/>
  <c r="I6118" i="9"/>
  <c r="K6082" i="9"/>
  <c r="J6082" i="9"/>
  <c r="I6082" i="9"/>
  <c r="I6603" i="9"/>
  <c r="K6603" i="9"/>
  <c r="J6603" i="9"/>
  <c r="I6591" i="9"/>
  <c r="K6591" i="9"/>
  <c r="J6591" i="9"/>
  <c r="I6579" i="9"/>
  <c r="K6579" i="9"/>
  <c r="J6579" i="9"/>
  <c r="I6567" i="9"/>
  <c r="J6567" i="9"/>
  <c r="K6567" i="9"/>
  <c r="I6555" i="9"/>
  <c r="K6555" i="9"/>
  <c r="J6555" i="9"/>
  <c r="I6543" i="9"/>
  <c r="J6543" i="9"/>
  <c r="K6543" i="9"/>
  <c r="K6531" i="9"/>
  <c r="J6531" i="9"/>
  <c r="I6531" i="9"/>
  <c r="K6519" i="9"/>
  <c r="J6519" i="9"/>
  <c r="I6519" i="9"/>
  <c r="K6507" i="9"/>
  <c r="J6507" i="9"/>
  <c r="I6507" i="9"/>
  <c r="K6495" i="9"/>
  <c r="J6495" i="9"/>
  <c r="I6495" i="9"/>
  <c r="J6483" i="9"/>
  <c r="I6483" i="9"/>
  <c r="K6483" i="9"/>
  <c r="H6471" i="9"/>
  <c r="G6471" i="9"/>
  <c r="F6471" i="9"/>
  <c r="H6459" i="9"/>
  <c r="G6459" i="9"/>
  <c r="F6459" i="9"/>
  <c r="H6447" i="9"/>
  <c r="G6447" i="9"/>
  <c r="F6447" i="9"/>
  <c r="H6435" i="9"/>
  <c r="G6435" i="9"/>
  <c r="F6435" i="9"/>
  <c r="K6423" i="9"/>
  <c r="J6423" i="9"/>
  <c r="I6423" i="9"/>
  <c r="K6411" i="9"/>
  <c r="J6411" i="9"/>
  <c r="I6411" i="9"/>
  <c r="K6399" i="9"/>
  <c r="J6399" i="9"/>
  <c r="I6399" i="9"/>
  <c r="K6387" i="9"/>
  <c r="J6387" i="9"/>
  <c r="I6387" i="9"/>
  <c r="I6375" i="9"/>
  <c r="K6375" i="9"/>
  <c r="J6375" i="9"/>
  <c r="J6363" i="9"/>
  <c r="I6363" i="9"/>
  <c r="K6363" i="9"/>
  <c r="G6608" i="9"/>
  <c r="H6608" i="9"/>
  <c r="F6608" i="9"/>
  <c r="G6596" i="9"/>
  <c r="H6596" i="9"/>
  <c r="F6596" i="9"/>
  <c r="G6584" i="9"/>
  <c r="F6584" i="9"/>
  <c r="H6584" i="9"/>
  <c r="G6572" i="9"/>
  <c r="H6572" i="9"/>
  <c r="F6572" i="9"/>
  <c r="H6560" i="9"/>
  <c r="G6560" i="9"/>
  <c r="F6560" i="9"/>
  <c r="H6548" i="9"/>
  <c r="G6548" i="9"/>
  <c r="F6548" i="9"/>
  <c r="H6536" i="9"/>
  <c r="G6536" i="9"/>
  <c r="F6536" i="9"/>
  <c r="K6476" i="9"/>
  <c r="J6476" i="9"/>
  <c r="I6476" i="9"/>
  <c r="K6464" i="9"/>
  <c r="I6464" i="9"/>
  <c r="J6464" i="9"/>
  <c r="K6452" i="9"/>
  <c r="J6452" i="9"/>
  <c r="I6452" i="9"/>
  <c r="K6440" i="9"/>
  <c r="J6440" i="9"/>
  <c r="I6440" i="9"/>
  <c r="K6428" i="9"/>
  <c r="J6428" i="9"/>
  <c r="I6428" i="9"/>
  <c r="I6416" i="9"/>
  <c r="K6416" i="9"/>
  <c r="J6416" i="9"/>
  <c r="J5685" i="9"/>
  <c r="I5685" i="9"/>
  <c r="K5685" i="9"/>
  <c r="F5493" i="9"/>
  <c r="H5493" i="9"/>
  <c r="G5493" i="9"/>
  <c r="I5445" i="9"/>
  <c r="K5445" i="9"/>
  <c r="J5445" i="9"/>
  <c r="I5397" i="9"/>
  <c r="J5397" i="9"/>
  <c r="K5397" i="9"/>
  <c r="J5301" i="9"/>
  <c r="I5301" i="9"/>
  <c r="K5301" i="9"/>
  <c r="I5274" i="9"/>
  <c r="K5274" i="9"/>
  <c r="J5274" i="9"/>
  <c r="K5253" i="9"/>
  <c r="J5253" i="9"/>
  <c r="I5253" i="9"/>
  <c r="I5226" i="9"/>
  <c r="K5226" i="9"/>
  <c r="J5226" i="9"/>
  <c r="J5205" i="9"/>
  <c r="I5205" i="9"/>
  <c r="K5205" i="9"/>
  <c r="I5178" i="9"/>
  <c r="K5178" i="9"/>
  <c r="J5178" i="9"/>
  <c r="J5157" i="9"/>
  <c r="I5157" i="9"/>
  <c r="K5157" i="9"/>
  <c r="I5130" i="9"/>
  <c r="K5130" i="9"/>
  <c r="J5130" i="9"/>
  <c r="J5109" i="9"/>
  <c r="I5109" i="9"/>
  <c r="K5109" i="9"/>
  <c r="K5082" i="9"/>
  <c r="J5082" i="9"/>
  <c r="I5082" i="9"/>
  <c r="H5061" i="9"/>
  <c r="G5061" i="9"/>
  <c r="F5061" i="9"/>
  <c r="K5034" i="9"/>
  <c r="J5034" i="9"/>
  <c r="I5034" i="9"/>
  <c r="H5013" i="9"/>
  <c r="G5013" i="9"/>
  <c r="F5013" i="9"/>
  <c r="K4986" i="9"/>
  <c r="J4986" i="9"/>
  <c r="I4986" i="9"/>
  <c r="H4965" i="9"/>
  <c r="G4965" i="9"/>
  <c r="F4965" i="9"/>
  <c r="K4938" i="9"/>
  <c r="J4938" i="9"/>
  <c r="I4938" i="9"/>
  <c r="H4917" i="9"/>
  <c r="G4917" i="9"/>
  <c r="F4917" i="9"/>
  <c r="K4890" i="9"/>
  <c r="J4890" i="9"/>
  <c r="I4890" i="9"/>
  <c r="H4869" i="9"/>
  <c r="G4869" i="9"/>
  <c r="F4869" i="9"/>
  <c r="K4842" i="9"/>
  <c r="J4842" i="9"/>
  <c r="I4842" i="9"/>
  <c r="H4821" i="9"/>
  <c r="G4821" i="9"/>
  <c r="F4821" i="9"/>
  <c r="K4794" i="9"/>
  <c r="J4794" i="9"/>
  <c r="I4794" i="9"/>
  <c r="K4746" i="9"/>
  <c r="J4746" i="9"/>
  <c r="I4746" i="9"/>
  <c r="J4698" i="9"/>
  <c r="K4698" i="9"/>
  <c r="I4698" i="9"/>
  <c r="J4650" i="9"/>
  <c r="K4650" i="9"/>
  <c r="I4650" i="9"/>
  <c r="J4602" i="9"/>
  <c r="K4602" i="9"/>
  <c r="I4602" i="9"/>
  <c r="J4554" i="9"/>
  <c r="K4554" i="9"/>
  <c r="I4554" i="9"/>
  <c r="J4506" i="9"/>
  <c r="K4506" i="9"/>
  <c r="I4506" i="9"/>
  <c r="J4458" i="9"/>
  <c r="K4458" i="9"/>
  <c r="I4458" i="9"/>
  <c r="K4153" i="9"/>
  <c r="J4153" i="9"/>
  <c r="I4153" i="9"/>
  <c r="K4124" i="9"/>
  <c r="J4124" i="9"/>
  <c r="I4124" i="9"/>
  <c r="K6577" i="9"/>
  <c r="J6577" i="9"/>
  <c r="I6577" i="9"/>
  <c r="K6541" i="9"/>
  <c r="J6541" i="9"/>
  <c r="I6541" i="9"/>
  <c r="I6505" i="9"/>
  <c r="K6505" i="9"/>
  <c r="J6505" i="9"/>
  <c r="I6397" i="9"/>
  <c r="K6397" i="9"/>
  <c r="J6397" i="9"/>
  <c r="J6361" i="9"/>
  <c r="I6361" i="9"/>
  <c r="K6361" i="9"/>
  <c r="I6337" i="9"/>
  <c r="K6337" i="9"/>
  <c r="J6337" i="9"/>
  <c r="I6301" i="9"/>
  <c r="K6301" i="9"/>
  <c r="J6301" i="9"/>
  <c r="I6265" i="9"/>
  <c r="J6265" i="9"/>
  <c r="K6265" i="9"/>
  <c r="I6229" i="9"/>
  <c r="K6229" i="9"/>
  <c r="J6229" i="9"/>
  <c r="I6193" i="9"/>
  <c r="K6193" i="9"/>
  <c r="J6193" i="9"/>
  <c r="I6157" i="9"/>
  <c r="J6157" i="9"/>
  <c r="K6157" i="9"/>
  <c r="I6103" i="9"/>
  <c r="K6103" i="9"/>
  <c r="J6103" i="9"/>
  <c r="I6067" i="9"/>
  <c r="J6067" i="9"/>
  <c r="K6067" i="9"/>
  <c r="I6031" i="9"/>
  <c r="K6031" i="9"/>
  <c r="J6031" i="9"/>
  <c r="I5977" i="9"/>
  <c r="K5977" i="9"/>
  <c r="J5977" i="9"/>
  <c r="I5941" i="9"/>
  <c r="K5941" i="9"/>
  <c r="J5941" i="9"/>
  <c r="I5905" i="9"/>
  <c r="K5905" i="9"/>
  <c r="J5905" i="9"/>
  <c r="K5869" i="9"/>
  <c r="J5869" i="9"/>
  <c r="I5869" i="9"/>
  <c r="K5851" i="9"/>
  <c r="J5851" i="9"/>
  <c r="I5851" i="9"/>
  <c r="K5833" i="9"/>
  <c r="J5833" i="9"/>
  <c r="I5833" i="9"/>
  <c r="K5815" i="9"/>
  <c r="J5815" i="9"/>
  <c r="I5815" i="9"/>
  <c r="K5797" i="9"/>
  <c r="J5797" i="9"/>
  <c r="I5797" i="9"/>
  <c r="K5779" i="9"/>
  <c r="I5779" i="9"/>
  <c r="J5779" i="9"/>
  <c r="K5761" i="9"/>
  <c r="J5761" i="9"/>
  <c r="I5761" i="9"/>
  <c r="J5725" i="9"/>
  <c r="K5725" i="9"/>
  <c r="I5725" i="9"/>
  <c r="F5679" i="9"/>
  <c r="H5679" i="9"/>
  <c r="G5679" i="9"/>
  <c r="J5631" i="9"/>
  <c r="I5631" i="9"/>
  <c r="K5631" i="9"/>
  <c r="J5583" i="9"/>
  <c r="I5583" i="9"/>
  <c r="K5583" i="9"/>
  <c r="F5535" i="9"/>
  <c r="G5535" i="9"/>
  <c r="H5535" i="9"/>
  <c r="F5487" i="9"/>
  <c r="H5487" i="9"/>
  <c r="G5487" i="9"/>
  <c r="F5343" i="9"/>
  <c r="H5343" i="9"/>
  <c r="G5343" i="9"/>
  <c r="J5103" i="9"/>
  <c r="I5103" i="9"/>
  <c r="K5103" i="9"/>
  <c r="J5055" i="9"/>
  <c r="I5055" i="9"/>
  <c r="K5055" i="9"/>
  <c r="J5007" i="9"/>
  <c r="I5007" i="9"/>
  <c r="K5007" i="9"/>
  <c r="J4959" i="9"/>
  <c r="I4959" i="9"/>
  <c r="K4959" i="9"/>
  <c r="J4911" i="9"/>
  <c r="I4911" i="9"/>
  <c r="K4911" i="9"/>
  <c r="J4863" i="9"/>
  <c r="I4863" i="9"/>
  <c r="K4863" i="9"/>
  <c r="K4815" i="9"/>
  <c r="J4815" i="9"/>
  <c r="I4815" i="9"/>
  <c r="K4767" i="9"/>
  <c r="J4767" i="9"/>
  <c r="I4767" i="9"/>
  <c r="F4719" i="9"/>
  <c r="H4719" i="9"/>
  <c r="G4719" i="9"/>
  <c r="I4671" i="9"/>
  <c r="K4671" i="9"/>
  <c r="J4671" i="9"/>
  <c r="I4623" i="9"/>
  <c r="K4623" i="9"/>
  <c r="J4623" i="9"/>
  <c r="I4575" i="9"/>
  <c r="K4575" i="9"/>
  <c r="J4575" i="9"/>
  <c r="I4527" i="9"/>
  <c r="K4527" i="9"/>
  <c r="J4527" i="9"/>
  <c r="I4479" i="9"/>
  <c r="K4479" i="9"/>
  <c r="J4479" i="9"/>
  <c r="I4431" i="9"/>
  <c r="K4431" i="9"/>
  <c r="J4431" i="9"/>
  <c r="K4383" i="9"/>
  <c r="J4383" i="9"/>
  <c r="I4383" i="9"/>
  <c r="K4335" i="9"/>
  <c r="J4335" i="9"/>
  <c r="I4335" i="9"/>
  <c r="K4287" i="9"/>
  <c r="J4287" i="9"/>
  <c r="I4287" i="9"/>
  <c r="K4239" i="9"/>
  <c r="J4239" i="9"/>
  <c r="I4239" i="9"/>
  <c r="K4191" i="9"/>
  <c r="J4191" i="9"/>
  <c r="I4191" i="9"/>
  <c r="I4162" i="9"/>
  <c r="K4162" i="9"/>
  <c r="J4162" i="9"/>
  <c r="H4119" i="9"/>
  <c r="G4119" i="9"/>
  <c r="F4119" i="9"/>
  <c r="I4090" i="9"/>
  <c r="K4090" i="9"/>
  <c r="J4090" i="9"/>
  <c r="H4047" i="9"/>
  <c r="G4047" i="9"/>
  <c r="F4047" i="9"/>
  <c r="I4018" i="9"/>
  <c r="K4018" i="9"/>
  <c r="J4018" i="9"/>
  <c r="H3975" i="9"/>
  <c r="G3975" i="9"/>
  <c r="F3975" i="9"/>
  <c r="I3946" i="9"/>
  <c r="K3946" i="9"/>
  <c r="J3946" i="9"/>
  <c r="J3903" i="9"/>
  <c r="I3903" i="9"/>
  <c r="K3903" i="9"/>
  <c r="I5652" i="9"/>
  <c r="K5652" i="9"/>
  <c r="J5652" i="9"/>
  <c r="I5604" i="9"/>
  <c r="K5604" i="9"/>
  <c r="J5604" i="9"/>
  <c r="I5556" i="9"/>
  <c r="J5556" i="9"/>
  <c r="K5556" i="9"/>
  <c r="K5412" i="9"/>
  <c r="J5412" i="9"/>
  <c r="I5412" i="9"/>
  <c r="J5364" i="9"/>
  <c r="I5364" i="9"/>
  <c r="K5364" i="9"/>
  <c r="G5316" i="9"/>
  <c r="F5316" i="9"/>
  <c r="H5316" i="9"/>
  <c r="K4788" i="9"/>
  <c r="J4788" i="9"/>
  <c r="I4788" i="9"/>
  <c r="K4740" i="9"/>
  <c r="J4740" i="9"/>
  <c r="I4740" i="9"/>
  <c r="I4404" i="9"/>
  <c r="K4404" i="9"/>
  <c r="J4404" i="9"/>
  <c r="I4356" i="9"/>
  <c r="K4356" i="9"/>
  <c r="J4356" i="9"/>
  <c r="I4308" i="9"/>
  <c r="K4308" i="9"/>
  <c r="J4308" i="9"/>
  <c r="I4260" i="9"/>
  <c r="K4260" i="9"/>
  <c r="J4260" i="9"/>
  <c r="H4212" i="9"/>
  <c r="G4212" i="9"/>
  <c r="F4212" i="9"/>
  <c r="K4176" i="9"/>
  <c r="J4176" i="9"/>
  <c r="I4176" i="9"/>
  <c r="K4104" i="9"/>
  <c r="J4104" i="9"/>
  <c r="I4104" i="9"/>
  <c r="K4032" i="9"/>
  <c r="J4032" i="9"/>
  <c r="I4032" i="9"/>
  <c r="K3960" i="9"/>
  <c r="J3960" i="9"/>
  <c r="I3960" i="9"/>
  <c r="K3888" i="9"/>
  <c r="J3888" i="9"/>
  <c r="I3888" i="9"/>
  <c r="K3845" i="9"/>
  <c r="J3845" i="9"/>
  <c r="I3845" i="9"/>
  <c r="K3816" i="9"/>
  <c r="J3816" i="9"/>
  <c r="I3816" i="9"/>
  <c r="K3773" i="9"/>
  <c r="J3773" i="9"/>
  <c r="I3773" i="9"/>
  <c r="K3750" i="9"/>
  <c r="J3750" i="9"/>
  <c r="I3750" i="9"/>
  <c r="I6594" i="9"/>
  <c r="K6594" i="9"/>
  <c r="J6594" i="9"/>
  <c r="I6558" i="9"/>
  <c r="K6558" i="9"/>
  <c r="J6558" i="9"/>
  <c r="H6522" i="9"/>
  <c r="G6522" i="9"/>
  <c r="F6522" i="9"/>
  <c r="H6486" i="9"/>
  <c r="G6486" i="9"/>
  <c r="F6486" i="9"/>
  <c r="J6450" i="9"/>
  <c r="I6450" i="9"/>
  <c r="K6450" i="9"/>
  <c r="F6318" i="9"/>
  <c r="H6318" i="9"/>
  <c r="G6318" i="9"/>
  <c r="J6300" i="9"/>
  <c r="I6300" i="9"/>
  <c r="K6300" i="9"/>
  <c r="G6282" i="9"/>
  <c r="F6282" i="9"/>
  <c r="H6282" i="9"/>
  <c r="J6264" i="9"/>
  <c r="I6264" i="9"/>
  <c r="K6264" i="9"/>
  <c r="J6228" i="9"/>
  <c r="I6228" i="9"/>
  <c r="K6228" i="9"/>
  <c r="J6192" i="9"/>
  <c r="I6192" i="9"/>
  <c r="K6192" i="9"/>
  <c r="J6156" i="9"/>
  <c r="I6156" i="9"/>
  <c r="K6156" i="9"/>
  <c r="J6102" i="9"/>
  <c r="I6102" i="9"/>
  <c r="K6102" i="9"/>
  <c r="J6066" i="9"/>
  <c r="I6066" i="9"/>
  <c r="K6066" i="9"/>
  <c r="J6030" i="9"/>
  <c r="I6030" i="9"/>
  <c r="K6030" i="9"/>
  <c r="F5994" i="9"/>
  <c r="H5994" i="9"/>
  <c r="G5994" i="9"/>
  <c r="J5976" i="9"/>
  <c r="I5976" i="9"/>
  <c r="K5976" i="9"/>
  <c r="F5958" i="9"/>
  <c r="H5958" i="9"/>
  <c r="G5958" i="9"/>
  <c r="J5940" i="9"/>
  <c r="I5940" i="9"/>
  <c r="K5940" i="9"/>
  <c r="F5922" i="9"/>
  <c r="H5922" i="9"/>
  <c r="G5922" i="9"/>
  <c r="J5904" i="9"/>
  <c r="I5904" i="9"/>
  <c r="K5904" i="9"/>
  <c r="F5886" i="9"/>
  <c r="H5886" i="9"/>
  <c r="G5886" i="9"/>
  <c r="K5850" i="9"/>
  <c r="J5850" i="9"/>
  <c r="I5850" i="9"/>
  <c r="K5814" i="9"/>
  <c r="J5814" i="9"/>
  <c r="I5814" i="9"/>
  <c r="K5778" i="9"/>
  <c r="J5778" i="9"/>
  <c r="I5778" i="9"/>
  <c r="I5760" i="9"/>
  <c r="K5760" i="9"/>
  <c r="J5760" i="9"/>
  <c r="I5724" i="9"/>
  <c r="K5724" i="9"/>
  <c r="J5724" i="9"/>
  <c r="K5689" i="9"/>
  <c r="I5689" i="9"/>
  <c r="J5689" i="9"/>
  <c r="I5662" i="9"/>
  <c r="K5662" i="9"/>
  <c r="J5662" i="9"/>
  <c r="I5641" i="9"/>
  <c r="K5641" i="9"/>
  <c r="J5641" i="9"/>
  <c r="K5614" i="9"/>
  <c r="J5614" i="9"/>
  <c r="I5614" i="9"/>
  <c r="K5593" i="9"/>
  <c r="J5593" i="9"/>
  <c r="I5593" i="9"/>
  <c r="K5566" i="9"/>
  <c r="J5566" i="9"/>
  <c r="I5566" i="9"/>
  <c r="I5545" i="9"/>
  <c r="K5545" i="9"/>
  <c r="J5545" i="9"/>
  <c r="I5518" i="9"/>
  <c r="K5518" i="9"/>
  <c r="J5518" i="9"/>
  <c r="K5497" i="9"/>
  <c r="J5497" i="9"/>
  <c r="I5497" i="9"/>
  <c r="I5470" i="9"/>
  <c r="K5470" i="9"/>
  <c r="J5470" i="9"/>
  <c r="I5449" i="9"/>
  <c r="K5449" i="9"/>
  <c r="J5449" i="9"/>
  <c r="J5422" i="9"/>
  <c r="I5422" i="9"/>
  <c r="K5422" i="9"/>
  <c r="K5401" i="9"/>
  <c r="J5401" i="9"/>
  <c r="I5401" i="9"/>
  <c r="I5374" i="9"/>
  <c r="J5374" i="9"/>
  <c r="K5374" i="9"/>
  <c r="K5353" i="9"/>
  <c r="J5353" i="9"/>
  <c r="I5353" i="9"/>
  <c r="I5278" i="9"/>
  <c r="K5278" i="9"/>
  <c r="J5278" i="9"/>
  <c r="J5230" i="9"/>
  <c r="I5230" i="9"/>
  <c r="K5230" i="9"/>
  <c r="K5182" i="9"/>
  <c r="I5182" i="9"/>
  <c r="J5182" i="9"/>
  <c r="K5134" i="9"/>
  <c r="I5134" i="9"/>
  <c r="J5134" i="9"/>
  <c r="J4777" i="9"/>
  <c r="I4777" i="9"/>
  <c r="K4777" i="9"/>
  <c r="J4729" i="9"/>
  <c r="I4729" i="9"/>
  <c r="K4729" i="9"/>
  <c r="K4414" i="9"/>
  <c r="J4414" i="9"/>
  <c r="I4414" i="9"/>
  <c r="J4393" i="9"/>
  <c r="I4393" i="9"/>
  <c r="K4393" i="9"/>
  <c r="K4366" i="9"/>
  <c r="J4366" i="9"/>
  <c r="I4366" i="9"/>
  <c r="J4345" i="9"/>
  <c r="I4345" i="9"/>
  <c r="K4345" i="9"/>
  <c r="K4318" i="9"/>
  <c r="J4318" i="9"/>
  <c r="I4318" i="9"/>
  <c r="J4297" i="9"/>
  <c r="I4297" i="9"/>
  <c r="K4297" i="9"/>
  <c r="K4270" i="9"/>
  <c r="J4270" i="9"/>
  <c r="I4270" i="9"/>
  <c r="J4249" i="9"/>
  <c r="I4249" i="9"/>
  <c r="K4249" i="9"/>
  <c r="K4222" i="9"/>
  <c r="J4222" i="9"/>
  <c r="I4222" i="9"/>
  <c r="I4201" i="9"/>
  <c r="K4201" i="9"/>
  <c r="J4201" i="9"/>
  <c r="K4166" i="9"/>
  <c r="J4166" i="9"/>
  <c r="I4166" i="9"/>
  <c r="K4094" i="9"/>
  <c r="J4094" i="9"/>
  <c r="I4094" i="9"/>
  <c r="F5667" i="9"/>
  <c r="H5667" i="9"/>
  <c r="G5667" i="9"/>
  <c r="I5619" i="9"/>
  <c r="K5619" i="9"/>
  <c r="J5619" i="9"/>
  <c r="K5571" i="9"/>
  <c r="J5571" i="9"/>
  <c r="I5571" i="9"/>
  <c r="F5523" i="9"/>
  <c r="H5523" i="9"/>
  <c r="G5523" i="9"/>
  <c r="F5475" i="9"/>
  <c r="H5475" i="9"/>
  <c r="G5475" i="9"/>
  <c r="F5331" i="9"/>
  <c r="G5331" i="9"/>
  <c r="H5331" i="9"/>
  <c r="J5091" i="9"/>
  <c r="I5091" i="9"/>
  <c r="K5091" i="9"/>
  <c r="J5043" i="9"/>
  <c r="I5043" i="9"/>
  <c r="K5043" i="9"/>
  <c r="J4995" i="9"/>
  <c r="I4995" i="9"/>
  <c r="K4995" i="9"/>
  <c r="J4947" i="9"/>
  <c r="I4947" i="9"/>
  <c r="K4947" i="9"/>
  <c r="J4899" i="9"/>
  <c r="I4899" i="9"/>
  <c r="K4899" i="9"/>
  <c r="J4851" i="9"/>
  <c r="I4851" i="9"/>
  <c r="K4851" i="9"/>
  <c r="K4803" i="9"/>
  <c r="J4803" i="9"/>
  <c r="I4803" i="9"/>
  <c r="J4755" i="9"/>
  <c r="K4755" i="9"/>
  <c r="I4755" i="9"/>
  <c r="I4707" i="9"/>
  <c r="K4707" i="9"/>
  <c r="J4707" i="9"/>
  <c r="I4659" i="9"/>
  <c r="K4659" i="9"/>
  <c r="J4659" i="9"/>
  <c r="I4611" i="9"/>
  <c r="K4611" i="9"/>
  <c r="J4611" i="9"/>
  <c r="I4563" i="9"/>
  <c r="K4563" i="9"/>
  <c r="J4563" i="9"/>
  <c r="I4515" i="9"/>
  <c r="K4515" i="9"/>
  <c r="J4515" i="9"/>
  <c r="I4467" i="9"/>
  <c r="K4467" i="9"/>
  <c r="J4467" i="9"/>
  <c r="K4419" i="9"/>
  <c r="J4419" i="9"/>
  <c r="I4419" i="9"/>
  <c r="K4371" i="9"/>
  <c r="J4371" i="9"/>
  <c r="I4371" i="9"/>
  <c r="K4323" i="9"/>
  <c r="J4323" i="9"/>
  <c r="I4323" i="9"/>
  <c r="K4275" i="9"/>
  <c r="J4275" i="9"/>
  <c r="I4275" i="9"/>
  <c r="K4227" i="9"/>
  <c r="J4227" i="9"/>
  <c r="I4227" i="9"/>
  <c r="J4185" i="9"/>
  <c r="I4185" i="9"/>
  <c r="K4185" i="9"/>
  <c r="J4113" i="9"/>
  <c r="I4113" i="9"/>
  <c r="K4113" i="9"/>
  <c r="J4041" i="9"/>
  <c r="I4041" i="9"/>
  <c r="K4041" i="9"/>
  <c r="J6581" i="9"/>
  <c r="I6581" i="9"/>
  <c r="K6581" i="9"/>
  <c r="K6545" i="9"/>
  <c r="J6545" i="9"/>
  <c r="I6545" i="9"/>
  <c r="K6509" i="9"/>
  <c r="J6509" i="9"/>
  <c r="I6509" i="9"/>
  <c r="I6473" i="9"/>
  <c r="K6473" i="9"/>
  <c r="J6473" i="9"/>
  <c r="I6437" i="9"/>
  <c r="K6437" i="9"/>
  <c r="J6437" i="9"/>
  <c r="K6323" i="9"/>
  <c r="J6323" i="9"/>
  <c r="I6323" i="9"/>
  <c r="K6305" i="9"/>
  <c r="J6305" i="9"/>
  <c r="I6305" i="9"/>
  <c r="H6287" i="9"/>
  <c r="G6287" i="9"/>
  <c r="F6287" i="9"/>
  <c r="J6269" i="9"/>
  <c r="K6269" i="9"/>
  <c r="I6269" i="9"/>
  <c r="I6251" i="9"/>
  <c r="K6251" i="9"/>
  <c r="J6251" i="9"/>
  <c r="I6215" i="9"/>
  <c r="K6215" i="9"/>
  <c r="J6215" i="9"/>
  <c r="I6179" i="9"/>
  <c r="K6179" i="9"/>
  <c r="J6179" i="9"/>
  <c r="I6143" i="9"/>
  <c r="K6143" i="9"/>
  <c r="J6143" i="9"/>
  <c r="I6125" i="9"/>
  <c r="K6125" i="9"/>
  <c r="J6125" i="9"/>
  <c r="I6089" i="9"/>
  <c r="K6089" i="9"/>
  <c r="J6089" i="9"/>
  <c r="H6053" i="9"/>
  <c r="G6053" i="9"/>
  <c r="F6053" i="9"/>
  <c r="H6017" i="9"/>
  <c r="G6017" i="9"/>
  <c r="F6017" i="9"/>
  <c r="K5999" i="9"/>
  <c r="J5999" i="9"/>
  <c r="I5999" i="9"/>
  <c r="K5981" i="9"/>
  <c r="I5981" i="9"/>
  <c r="J5981" i="9"/>
  <c r="K5963" i="9"/>
  <c r="J5963" i="9"/>
  <c r="I5963" i="9"/>
  <c r="K5945" i="9"/>
  <c r="J5945" i="9"/>
  <c r="I5945" i="9"/>
  <c r="K5927" i="9"/>
  <c r="J5927" i="9"/>
  <c r="I5927" i="9"/>
  <c r="K5909" i="9"/>
  <c r="J5909" i="9"/>
  <c r="I5909" i="9"/>
  <c r="K5891" i="9"/>
  <c r="J5891" i="9"/>
  <c r="I5891" i="9"/>
  <c r="I5873" i="9"/>
  <c r="K5873" i="9"/>
  <c r="J5873" i="9"/>
  <c r="I5837" i="9"/>
  <c r="K5837" i="9"/>
  <c r="J5837" i="9"/>
  <c r="I5801" i="9"/>
  <c r="K5801" i="9"/>
  <c r="J5801" i="9"/>
  <c r="J5747" i="9"/>
  <c r="K5747" i="9"/>
  <c r="I5747" i="9"/>
  <c r="J5711" i="9"/>
  <c r="K5711" i="9"/>
  <c r="I5711" i="9"/>
  <c r="I5688" i="9"/>
  <c r="K5688" i="9"/>
  <c r="J5688" i="9"/>
  <c r="I5640" i="9"/>
  <c r="K5640" i="9"/>
  <c r="J5640" i="9"/>
  <c r="I5592" i="9"/>
  <c r="K5592" i="9"/>
  <c r="J5592" i="9"/>
  <c r="I5544" i="9"/>
  <c r="K5544" i="9"/>
  <c r="J5544" i="9"/>
  <c r="J5448" i="9"/>
  <c r="I5448" i="9"/>
  <c r="K5448" i="9"/>
  <c r="J5400" i="9"/>
  <c r="I5400" i="9"/>
  <c r="K5400" i="9"/>
  <c r="I5352" i="9"/>
  <c r="K5352" i="9"/>
  <c r="J5352" i="9"/>
  <c r="K4776" i="9"/>
  <c r="J4776" i="9"/>
  <c r="I4776" i="9"/>
  <c r="K4728" i="9"/>
  <c r="J4728" i="9"/>
  <c r="I4728" i="9"/>
  <c r="I4392" i="9"/>
  <c r="K4392" i="9"/>
  <c r="J4392" i="9"/>
  <c r="I4344" i="9"/>
  <c r="K4344" i="9"/>
  <c r="J4344" i="9"/>
  <c r="I4296" i="9"/>
  <c r="K4296" i="9"/>
  <c r="J4296" i="9"/>
  <c r="I4248" i="9"/>
  <c r="K4248" i="9"/>
  <c r="J4248" i="9"/>
  <c r="H4200" i="9"/>
  <c r="G4200" i="9"/>
  <c r="F4200" i="9"/>
  <c r="K4151" i="9"/>
  <c r="J4151" i="9"/>
  <c r="I4151" i="9"/>
  <c r="K4079" i="9"/>
  <c r="J4079" i="9"/>
  <c r="I4079" i="9"/>
  <c r="K4007" i="9"/>
  <c r="J4007" i="9"/>
  <c r="I4007" i="9"/>
  <c r="K3935" i="9"/>
  <c r="J3935" i="9"/>
  <c r="I3935" i="9"/>
  <c r="K3906" i="9"/>
  <c r="J3906" i="9"/>
  <c r="I3906" i="9"/>
  <c r="K3834" i="9"/>
  <c r="J3834" i="9"/>
  <c r="I3834" i="9"/>
  <c r="K3762" i="9"/>
  <c r="J3762" i="9"/>
  <c r="I3762" i="9"/>
  <c r="K5666" i="9"/>
  <c r="J5666" i="9"/>
  <c r="I5666" i="9"/>
  <c r="H5645" i="9"/>
  <c r="G5645" i="9"/>
  <c r="F5645" i="9"/>
  <c r="K5618" i="9"/>
  <c r="I5618" i="9"/>
  <c r="J5618" i="9"/>
  <c r="G5597" i="9"/>
  <c r="H5597" i="9"/>
  <c r="F5597" i="9"/>
  <c r="C5597" i="9" s="1"/>
  <c r="I5570" i="9"/>
  <c r="K5570" i="9"/>
  <c r="J5570" i="9"/>
  <c r="G5549" i="9"/>
  <c r="H5549" i="9"/>
  <c r="F5549" i="9"/>
  <c r="K5522" i="9"/>
  <c r="J5522" i="9"/>
  <c r="I5522" i="9"/>
  <c r="H5501" i="9"/>
  <c r="G5501" i="9"/>
  <c r="F5501" i="9"/>
  <c r="K5474" i="9"/>
  <c r="J5474" i="9"/>
  <c r="I5474" i="9"/>
  <c r="G5453" i="9"/>
  <c r="F5453" i="9"/>
  <c r="H5453" i="9"/>
  <c r="F5426" i="9"/>
  <c r="H5426" i="9"/>
  <c r="G5426" i="9"/>
  <c r="H5378" i="9"/>
  <c r="G5378" i="9"/>
  <c r="F5378" i="9"/>
  <c r="K5330" i="9"/>
  <c r="J5330" i="9"/>
  <c r="I5330" i="9"/>
  <c r="F5309" i="9"/>
  <c r="H5309" i="9"/>
  <c r="G5309" i="9"/>
  <c r="J5261" i="9"/>
  <c r="I5261" i="9"/>
  <c r="K5261" i="9"/>
  <c r="J5213" i="9"/>
  <c r="I5213" i="9"/>
  <c r="K5213" i="9"/>
  <c r="J5165" i="9"/>
  <c r="I5165" i="9"/>
  <c r="K5165" i="9"/>
  <c r="J5117" i="9"/>
  <c r="I5117" i="9"/>
  <c r="K5117" i="9"/>
  <c r="K5069" i="9"/>
  <c r="J5069" i="9"/>
  <c r="I5069" i="9"/>
  <c r="K5021" i="9"/>
  <c r="J5021" i="9"/>
  <c r="I5021" i="9"/>
  <c r="K4973" i="9"/>
  <c r="J4973" i="9"/>
  <c r="I4973" i="9"/>
  <c r="K4925" i="9"/>
  <c r="J4925" i="9"/>
  <c r="I4925" i="9"/>
  <c r="K4877" i="9"/>
  <c r="J4877" i="9"/>
  <c r="I4877" i="9"/>
  <c r="K4829" i="9"/>
  <c r="J4829" i="9"/>
  <c r="I4829" i="9"/>
  <c r="I4802" i="9"/>
  <c r="K4802" i="9"/>
  <c r="J4802" i="9"/>
  <c r="K4781" i="9"/>
  <c r="J4781" i="9"/>
  <c r="I4781" i="9"/>
  <c r="I4754" i="9"/>
  <c r="K4754" i="9"/>
  <c r="J4754" i="9"/>
  <c r="K4733" i="9"/>
  <c r="J4733" i="9"/>
  <c r="I4733" i="9"/>
  <c r="F6454" i="9"/>
  <c r="H6454" i="9"/>
  <c r="G6454" i="9"/>
  <c r="H6418" i="9"/>
  <c r="G6418" i="9"/>
  <c r="F6418" i="9"/>
  <c r="J6382" i="9"/>
  <c r="I6382" i="9"/>
  <c r="K6382" i="9"/>
  <c r="J6346" i="9"/>
  <c r="I6346" i="9"/>
  <c r="K6346" i="9"/>
  <c r="K6316" i="9"/>
  <c r="J6316" i="9"/>
  <c r="I6316" i="9"/>
  <c r="K6280" i="9"/>
  <c r="I6280" i="9"/>
  <c r="J6280" i="9"/>
  <c r="J6262" i="9"/>
  <c r="I6262" i="9"/>
  <c r="K6262" i="9"/>
  <c r="F6244" i="9"/>
  <c r="H6244" i="9"/>
  <c r="G6244" i="9"/>
  <c r="J6226" i="9"/>
  <c r="I6226" i="9"/>
  <c r="K6226" i="9"/>
  <c r="F6208" i="9"/>
  <c r="H6208" i="9"/>
  <c r="G6208" i="9"/>
  <c r="J6190" i="9"/>
  <c r="I6190" i="9"/>
  <c r="K6190" i="9"/>
  <c r="F6172" i="9"/>
  <c r="H6172" i="9"/>
  <c r="G6172" i="9"/>
  <c r="J6154" i="9"/>
  <c r="I6154" i="9"/>
  <c r="K6154" i="9"/>
  <c r="H6136" i="9"/>
  <c r="G6136" i="9"/>
  <c r="F6136" i="9"/>
  <c r="F6118" i="9"/>
  <c r="H6118" i="9"/>
  <c r="G6118" i="9"/>
  <c r="J6100" i="9"/>
  <c r="I6100" i="9"/>
  <c r="K6100" i="9"/>
  <c r="F6082" i="9"/>
  <c r="H6082" i="9"/>
  <c r="G6082" i="9"/>
  <c r="J6064" i="9"/>
  <c r="I6064" i="9"/>
  <c r="K6064" i="9"/>
  <c r="F6046" i="9"/>
  <c r="H6046" i="9"/>
  <c r="G6046" i="9"/>
  <c r="J6028" i="9"/>
  <c r="I6028" i="9"/>
  <c r="K6028" i="9"/>
  <c r="F6010" i="9"/>
  <c r="H6010" i="9"/>
  <c r="G6010" i="9"/>
  <c r="J5992" i="9"/>
  <c r="I5992" i="9"/>
  <c r="K5992" i="9"/>
  <c r="K5956" i="9"/>
  <c r="J5956" i="9"/>
  <c r="I5956" i="9"/>
  <c r="K5920" i="9"/>
  <c r="J5920" i="9"/>
  <c r="I5920" i="9"/>
  <c r="F5884" i="9"/>
  <c r="H5884" i="9"/>
  <c r="G5884" i="9"/>
  <c r="J5848" i="9"/>
  <c r="I5848" i="9"/>
  <c r="K5848" i="9"/>
  <c r="J5812" i="9"/>
  <c r="I5812" i="9"/>
  <c r="K5812" i="9"/>
  <c r="J5776" i="9"/>
  <c r="I5776" i="9"/>
  <c r="K5776" i="9"/>
  <c r="I5758" i="9"/>
  <c r="K5758" i="9"/>
  <c r="J5758" i="9"/>
  <c r="I5722" i="9"/>
  <c r="K5722" i="9"/>
  <c r="J5722" i="9"/>
  <c r="K5431" i="9"/>
  <c r="J5431" i="9"/>
  <c r="I5431" i="9"/>
  <c r="K5383" i="9"/>
  <c r="J5383" i="9"/>
  <c r="I5383" i="9"/>
  <c r="K5287" i="9"/>
  <c r="J5287" i="9"/>
  <c r="I5287" i="9"/>
  <c r="K5239" i="9"/>
  <c r="J5239" i="9"/>
  <c r="I5239" i="9"/>
  <c r="K5191" i="9"/>
  <c r="J5191" i="9"/>
  <c r="I5191" i="9"/>
  <c r="K5143" i="9"/>
  <c r="J5143" i="9"/>
  <c r="I5143" i="9"/>
  <c r="J5095" i="9"/>
  <c r="I5095" i="9"/>
  <c r="K5095" i="9"/>
  <c r="J5047" i="9"/>
  <c r="I5047" i="9"/>
  <c r="K5047" i="9"/>
  <c r="J4999" i="9"/>
  <c r="I4999" i="9"/>
  <c r="K4999" i="9"/>
  <c r="J4951" i="9"/>
  <c r="I4951" i="9"/>
  <c r="K4951" i="9"/>
  <c r="J4903" i="9"/>
  <c r="I4903" i="9"/>
  <c r="K4903" i="9"/>
  <c r="J4855" i="9"/>
  <c r="I4855" i="9"/>
  <c r="K4855" i="9"/>
  <c r="H4807" i="9"/>
  <c r="G4807" i="9"/>
  <c r="F4807" i="9"/>
  <c r="H4759" i="9"/>
  <c r="F4759" i="9"/>
  <c r="G4759" i="9"/>
  <c r="K4711" i="9"/>
  <c r="I4711" i="9"/>
  <c r="J4711" i="9"/>
  <c r="I4663" i="9"/>
  <c r="K4663" i="9"/>
  <c r="J4663" i="9"/>
  <c r="I4615" i="9"/>
  <c r="K4615" i="9"/>
  <c r="J4615" i="9"/>
  <c r="I4567" i="9"/>
  <c r="K4567" i="9"/>
  <c r="J4567" i="9"/>
  <c r="I4519" i="9"/>
  <c r="K4519" i="9"/>
  <c r="J4519" i="9"/>
  <c r="I4471" i="9"/>
  <c r="K4471" i="9"/>
  <c r="J4471" i="9"/>
  <c r="H4179" i="9"/>
  <c r="G4179" i="9"/>
  <c r="F4179" i="9"/>
  <c r="I4150" i="9"/>
  <c r="K4150" i="9"/>
  <c r="J4150" i="9"/>
  <c r="K5660" i="9"/>
  <c r="J5660" i="9"/>
  <c r="I5660" i="9"/>
  <c r="K5516" i="9"/>
  <c r="J5516" i="9"/>
  <c r="I5516" i="9"/>
  <c r="K5468" i="9"/>
  <c r="J5468" i="9"/>
  <c r="I5468" i="9"/>
  <c r="J5420" i="9"/>
  <c r="I5420" i="9"/>
  <c r="K5420" i="9"/>
  <c r="J5372" i="9"/>
  <c r="I5372" i="9"/>
  <c r="K5372" i="9"/>
  <c r="K5324" i="9"/>
  <c r="J5324" i="9"/>
  <c r="I5324" i="9"/>
  <c r="K5276" i="9"/>
  <c r="J5276" i="9"/>
  <c r="I5276" i="9"/>
  <c r="K5228" i="9"/>
  <c r="J5228" i="9"/>
  <c r="I5228" i="9"/>
  <c r="K5180" i="9"/>
  <c r="J5180" i="9"/>
  <c r="I5180" i="9"/>
  <c r="K5132" i="9"/>
  <c r="J5132" i="9"/>
  <c r="I5132" i="9"/>
  <c r="I5084" i="9"/>
  <c r="K5084" i="9"/>
  <c r="J5084" i="9"/>
  <c r="I5036" i="9"/>
  <c r="K5036" i="9"/>
  <c r="J5036" i="9"/>
  <c r="I4988" i="9"/>
  <c r="K4988" i="9"/>
  <c r="J4988" i="9"/>
  <c r="I4940" i="9"/>
  <c r="K4940" i="9"/>
  <c r="J4940" i="9"/>
  <c r="I4892" i="9"/>
  <c r="K4892" i="9"/>
  <c r="J4892" i="9"/>
  <c r="I4844" i="9"/>
  <c r="K4844" i="9"/>
  <c r="J4844" i="9"/>
  <c r="J6453" i="9"/>
  <c r="K6453" i="9"/>
  <c r="I6453" i="9"/>
  <c r="K6417" i="9"/>
  <c r="J6417" i="9"/>
  <c r="I6417" i="9"/>
  <c r="K6381" i="9"/>
  <c r="J6381" i="9"/>
  <c r="I6381" i="9"/>
  <c r="K6351" i="9"/>
  <c r="J6351" i="9"/>
  <c r="I6351" i="9"/>
  <c r="I6315" i="9"/>
  <c r="K6315" i="9"/>
  <c r="J6315" i="9"/>
  <c r="K6279" i="9"/>
  <c r="J6279" i="9"/>
  <c r="I6279" i="9"/>
  <c r="K6261" i="9"/>
  <c r="J6261" i="9"/>
  <c r="I6261" i="9"/>
  <c r="K6243" i="9"/>
  <c r="J6243" i="9"/>
  <c r="I6243" i="9"/>
  <c r="K6225" i="9"/>
  <c r="J6225" i="9"/>
  <c r="I6225" i="9"/>
  <c r="K6207" i="9"/>
  <c r="J6207" i="9"/>
  <c r="I6207" i="9"/>
  <c r="K6189" i="9"/>
  <c r="J6189" i="9"/>
  <c r="I6189" i="9"/>
  <c r="K6171" i="9"/>
  <c r="J6171" i="9"/>
  <c r="I6171" i="9"/>
  <c r="H6153" i="9"/>
  <c r="G6153" i="9"/>
  <c r="F6153" i="9"/>
  <c r="J6135" i="9"/>
  <c r="K6135" i="9"/>
  <c r="I6135" i="9"/>
  <c r="K6117" i="9"/>
  <c r="J6117" i="9"/>
  <c r="I6117" i="9"/>
  <c r="K6099" i="9"/>
  <c r="J6099" i="9"/>
  <c r="I6099" i="9"/>
  <c r="K6081" i="9"/>
  <c r="J6081" i="9"/>
  <c r="I6081" i="9"/>
  <c r="K6063" i="9"/>
  <c r="J6063" i="9"/>
  <c r="I6063" i="9"/>
  <c r="K6045" i="9"/>
  <c r="J6045" i="9"/>
  <c r="I6045" i="9"/>
  <c r="K6027" i="9"/>
  <c r="J6027" i="9"/>
  <c r="I6027" i="9"/>
  <c r="K6009" i="9"/>
  <c r="J6009" i="9"/>
  <c r="I6009" i="9"/>
  <c r="I5991" i="9"/>
  <c r="K5991" i="9"/>
  <c r="J5991" i="9"/>
  <c r="I5955" i="9"/>
  <c r="K5955" i="9"/>
  <c r="J5955" i="9"/>
  <c r="I5919" i="9"/>
  <c r="K5919" i="9"/>
  <c r="J5919" i="9"/>
  <c r="J5883" i="9"/>
  <c r="I5883" i="9"/>
  <c r="K5883" i="9"/>
  <c r="I5847" i="9"/>
  <c r="K5847" i="9"/>
  <c r="J5847" i="9"/>
  <c r="I5811" i="9"/>
  <c r="K5811" i="9"/>
  <c r="J5811" i="9"/>
  <c r="I5775" i="9"/>
  <c r="K5775" i="9"/>
  <c r="J5775" i="9"/>
  <c r="J5757" i="9"/>
  <c r="I5757" i="9"/>
  <c r="K5757" i="9"/>
  <c r="F5739" i="9"/>
  <c r="G5739" i="9"/>
  <c r="H5739" i="9"/>
  <c r="J5721" i="9"/>
  <c r="I5721" i="9"/>
  <c r="K5721" i="9"/>
  <c r="F5703" i="9"/>
  <c r="H5703" i="9"/>
  <c r="G5703" i="9"/>
  <c r="K5654" i="9"/>
  <c r="J5654" i="9"/>
  <c r="I5654" i="9"/>
  <c r="H5633" i="9"/>
  <c r="G5633" i="9"/>
  <c r="F5633" i="9"/>
  <c r="K5606" i="9"/>
  <c r="J5606" i="9"/>
  <c r="I5606" i="9"/>
  <c r="F5585" i="9"/>
  <c r="H5585" i="9"/>
  <c r="G5585" i="9"/>
  <c r="J5558" i="9"/>
  <c r="I5558" i="9"/>
  <c r="K5558" i="9"/>
  <c r="H5537" i="9"/>
  <c r="G5537" i="9"/>
  <c r="F5537" i="9"/>
  <c r="K5510" i="9"/>
  <c r="J5510" i="9"/>
  <c r="I5510" i="9"/>
  <c r="H5489" i="9"/>
  <c r="G5489" i="9"/>
  <c r="F5489" i="9"/>
  <c r="K5462" i="9"/>
  <c r="I5462" i="9"/>
  <c r="J5462" i="9"/>
  <c r="F5414" i="9"/>
  <c r="H5414" i="9"/>
  <c r="G5414" i="9"/>
  <c r="H5366" i="9"/>
  <c r="F5366" i="9"/>
  <c r="G5366" i="9"/>
  <c r="H5345" i="9"/>
  <c r="G5345" i="9"/>
  <c r="F5345" i="9"/>
  <c r="K5318" i="9"/>
  <c r="I5318" i="9"/>
  <c r="J5318" i="9"/>
  <c r="J5297" i="9"/>
  <c r="I5297" i="9"/>
  <c r="K5297" i="9"/>
  <c r="J5249" i="9"/>
  <c r="I5249" i="9"/>
  <c r="K5249" i="9"/>
  <c r="J5201" i="9"/>
  <c r="I5201" i="9"/>
  <c r="K5201" i="9"/>
  <c r="K5419" i="9"/>
  <c r="J5419" i="9"/>
  <c r="I5419" i="9"/>
  <c r="K5371" i="9"/>
  <c r="J5371" i="9"/>
  <c r="I5371" i="9"/>
  <c r="K5275" i="9"/>
  <c r="J5275" i="9"/>
  <c r="I5275" i="9"/>
  <c r="K5227" i="9"/>
  <c r="J5227" i="9"/>
  <c r="I5227" i="9"/>
  <c r="K5179" i="9"/>
  <c r="J5179" i="9"/>
  <c r="I5179" i="9"/>
  <c r="K5131" i="9"/>
  <c r="J5131" i="9"/>
  <c r="I5131" i="9"/>
  <c r="J5083" i="9"/>
  <c r="I5083" i="9"/>
  <c r="K5083" i="9"/>
  <c r="J5035" i="9"/>
  <c r="I5035" i="9"/>
  <c r="K5035" i="9"/>
  <c r="J4987" i="9"/>
  <c r="I4987" i="9"/>
  <c r="K4987" i="9"/>
  <c r="J4939" i="9"/>
  <c r="I4939" i="9"/>
  <c r="K4939" i="9"/>
  <c r="J4891" i="9"/>
  <c r="I4891" i="9"/>
  <c r="K4891" i="9"/>
  <c r="J4843" i="9"/>
  <c r="I4843" i="9"/>
  <c r="K4843" i="9"/>
  <c r="H4795" i="9"/>
  <c r="G4795" i="9"/>
  <c r="F4795" i="9"/>
  <c r="H4747" i="9"/>
  <c r="G4747" i="9"/>
  <c r="F4747" i="9"/>
  <c r="K4699" i="9"/>
  <c r="I4699" i="9"/>
  <c r="J4699" i="9"/>
  <c r="I4651" i="9"/>
  <c r="K4651" i="9"/>
  <c r="J4651" i="9"/>
  <c r="I4603" i="9"/>
  <c r="K4603" i="9"/>
  <c r="J4603" i="9"/>
  <c r="I4555" i="9"/>
  <c r="K4555" i="9"/>
  <c r="J4555" i="9"/>
  <c r="I4507" i="9"/>
  <c r="K4507" i="9"/>
  <c r="J4507" i="9"/>
  <c r="I4459" i="9"/>
  <c r="K4459" i="9"/>
  <c r="J4459" i="9"/>
  <c r="J4125" i="9"/>
  <c r="I4125" i="9"/>
  <c r="K4125" i="9"/>
  <c r="J4053" i="9"/>
  <c r="I4053" i="9"/>
  <c r="K4053" i="9"/>
  <c r="J3981" i="9"/>
  <c r="I3981" i="9"/>
  <c r="K3981" i="9"/>
  <c r="K3880" i="9"/>
  <c r="I3880" i="9"/>
  <c r="J3880" i="9"/>
  <c r="J6590" i="9"/>
  <c r="I6590" i="9"/>
  <c r="K6590" i="9"/>
  <c r="J6554" i="9"/>
  <c r="I6554" i="9"/>
  <c r="K6554" i="9"/>
  <c r="K6518" i="9"/>
  <c r="J6518" i="9"/>
  <c r="I6518" i="9"/>
  <c r="K6482" i="9"/>
  <c r="J6482" i="9"/>
  <c r="I6482" i="9"/>
  <c r="K6410" i="9"/>
  <c r="J6410" i="9"/>
  <c r="I6410" i="9"/>
  <c r="K6374" i="9"/>
  <c r="J6374" i="9"/>
  <c r="I6374" i="9"/>
  <c r="J6338" i="9"/>
  <c r="I6338" i="9"/>
  <c r="K6338" i="9"/>
  <c r="J6314" i="9"/>
  <c r="I6314" i="9"/>
  <c r="K6314" i="9"/>
  <c r="I6278" i="9"/>
  <c r="K6278" i="9"/>
  <c r="J6278" i="9"/>
  <c r="K6242" i="9"/>
  <c r="J6242" i="9"/>
  <c r="I6242" i="9"/>
  <c r="K6206" i="9"/>
  <c r="J6206" i="9"/>
  <c r="I6206" i="9"/>
  <c r="K6170" i="9"/>
  <c r="J6170" i="9"/>
  <c r="I6170" i="9"/>
  <c r="K6134" i="9"/>
  <c r="J6134" i="9"/>
  <c r="I6134" i="9"/>
  <c r="K6116" i="9"/>
  <c r="J6116" i="9"/>
  <c r="I6116" i="9"/>
  <c r="K6080" i="9"/>
  <c r="I6080" i="9"/>
  <c r="J6080" i="9"/>
  <c r="K6044" i="9"/>
  <c r="J6044" i="9"/>
  <c r="I6044" i="9"/>
  <c r="I6008" i="9"/>
  <c r="K6008" i="9"/>
  <c r="J6008" i="9"/>
  <c r="J5990" i="9"/>
  <c r="I5990" i="9"/>
  <c r="K5990" i="9"/>
  <c r="J5954" i="9"/>
  <c r="I5954" i="9"/>
  <c r="K5954" i="9"/>
  <c r="J5918" i="9"/>
  <c r="I5918" i="9"/>
  <c r="K5918" i="9"/>
  <c r="J5882" i="9"/>
  <c r="I5882" i="9"/>
  <c r="K5882" i="9"/>
  <c r="F5864" i="9"/>
  <c r="H5864" i="9"/>
  <c r="G5864" i="9"/>
  <c r="J5846" i="9"/>
  <c r="I5846" i="9"/>
  <c r="K5846" i="9"/>
  <c r="F5828" i="9"/>
  <c r="H5828" i="9"/>
  <c r="G5828" i="9"/>
  <c r="J5810" i="9"/>
  <c r="I5810" i="9"/>
  <c r="K5810" i="9"/>
  <c r="F5792" i="9"/>
  <c r="H5792" i="9"/>
  <c r="G5792" i="9"/>
  <c r="J5774" i="9"/>
  <c r="I5774" i="9"/>
  <c r="K5774" i="9"/>
  <c r="K5756" i="9"/>
  <c r="J5756" i="9"/>
  <c r="I5756" i="9"/>
  <c r="K5738" i="9"/>
  <c r="J5738" i="9"/>
  <c r="I5738" i="9"/>
  <c r="K5720" i="9"/>
  <c r="J5720" i="9"/>
  <c r="I5720" i="9"/>
  <c r="K5702" i="9"/>
  <c r="J5702" i="9"/>
  <c r="I5702" i="9"/>
  <c r="I5664" i="9"/>
  <c r="K5664" i="9"/>
  <c r="J5664" i="9"/>
  <c r="I5616" i="9"/>
  <c r="K5616" i="9"/>
  <c r="J5616" i="9"/>
  <c r="I5568" i="9"/>
  <c r="K5568" i="9"/>
  <c r="J5568" i="9"/>
  <c r="K5424" i="9"/>
  <c r="J5424" i="9"/>
  <c r="I5424" i="9"/>
  <c r="K5376" i="9"/>
  <c r="J5376" i="9"/>
  <c r="I5376" i="9"/>
  <c r="I5328" i="9"/>
  <c r="K5328" i="9"/>
  <c r="J5328" i="9"/>
  <c r="K4800" i="9"/>
  <c r="J4800" i="9"/>
  <c r="I4800" i="9"/>
  <c r="K4752" i="9"/>
  <c r="J4752" i="9"/>
  <c r="I4752" i="9"/>
  <c r="I4416" i="9"/>
  <c r="K4416" i="9"/>
  <c r="J4416" i="9"/>
  <c r="I4368" i="9"/>
  <c r="K4368" i="9"/>
  <c r="J4368" i="9"/>
  <c r="I4320" i="9"/>
  <c r="K4320" i="9"/>
  <c r="J4320" i="9"/>
  <c r="I4272" i="9"/>
  <c r="K4272" i="9"/>
  <c r="J4272" i="9"/>
  <c r="H4224" i="9"/>
  <c r="G4224" i="9"/>
  <c r="F4224" i="9"/>
  <c r="J4187" i="9"/>
  <c r="I4187" i="9"/>
  <c r="K4187" i="9"/>
  <c r="K4115" i="9"/>
  <c r="J4115" i="9"/>
  <c r="I4115" i="9"/>
  <c r="K4043" i="9"/>
  <c r="J4043" i="9"/>
  <c r="I4043" i="9"/>
  <c r="K3971" i="9"/>
  <c r="J3971" i="9"/>
  <c r="I3971" i="9"/>
  <c r="J5169" i="9"/>
  <c r="I5169" i="9"/>
  <c r="K5169" i="9"/>
  <c r="H5025" i="9"/>
  <c r="G5025" i="9"/>
  <c r="F5025" i="9"/>
  <c r="H4881" i="9"/>
  <c r="G4881" i="9"/>
  <c r="F4881" i="9"/>
  <c r="J4626" i="9"/>
  <c r="K4626" i="9"/>
  <c r="I4626" i="9"/>
  <c r="F4434" i="9"/>
  <c r="H4434" i="9"/>
  <c r="G4434" i="9"/>
  <c r="J3855" i="9"/>
  <c r="I3855" i="9"/>
  <c r="K3855" i="9"/>
  <c r="I3609" i="9"/>
  <c r="K3609" i="9"/>
  <c r="J3609" i="9"/>
  <c r="I3585" i="9"/>
  <c r="K3585" i="9"/>
  <c r="J3585" i="9"/>
  <c r="I3561" i="9"/>
  <c r="K3561" i="9"/>
  <c r="J3561" i="9"/>
  <c r="I3537" i="9"/>
  <c r="K3537" i="9"/>
  <c r="J3537" i="9"/>
  <c r="I3513" i="9"/>
  <c r="K3513" i="9"/>
  <c r="J3513" i="9"/>
  <c r="I3489" i="9"/>
  <c r="K3489" i="9"/>
  <c r="J3489" i="9"/>
  <c r="I3465" i="9"/>
  <c r="K3465" i="9"/>
  <c r="J3465" i="9"/>
  <c r="I3441" i="9"/>
  <c r="K3441" i="9"/>
  <c r="J3441" i="9"/>
  <c r="I3417" i="9"/>
  <c r="K3417" i="9"/>
  <c r="J3417" i="9"/>
  <c r="I3393" i="9"/>
  <c r="K3393" i="9"/>
  <c r="J3393" i="9"/>
  <c r="I3369" i="9"/>
  <c r="K3369" i="9"/>
  <c r="J3369" i="9"/>
  <c r="K3033" i="9"/>
  <c r="J3033" i="9"/>
  <c r="I3033" i="9"/>
  <c r="K3009" i="9"/>
  <c r="J3009" i="9"/>
  <c r="I3009" i="9"/>
  <c r="K2961" i="9"/>
  <c r="J2961" i="9"/>
  <c r="I2961" i="9"/>
  <c r="K2937" i="9"/>
  <c r="J2937" i="9"/>
  <c r="I2937" i="9"/>
  <c r="K2889" i="9"/>
  <c r="J2889" i="9"/>
  <c r="I2889" i="9"/>
  <c r="K2865" i="9"/>
  <c r="J2865" i="9"/>
  <c r="I2865" i="9"/>
  <c r="K2817" i="9"/>
  <c r="J2817" i="9"/>
  <c r="I2817" i="9"/>
  <c r="K2793" i="9"/>
  <c r="J2793" i="9"/>
  <c r="I2793" i="9"/>
  <c r="I2769" i="9"/>
  <c r="K2769" i="9"/>
  <c r="J2769" i="9"/>
  <c r="I2745" i="9"/>
  <c r="J2745" i="9"/>
  <c r="K2745" i="9"/>
  <c r="I2721" i="9"/>
  <c r="K2721" i="9"/>
  <c r="J2721" i="9"/>
  <c r="I2697" i="9"/>
  <c r="K2697" i="9"/>
  <c r="J2697" i="9"/>
  <c r="I2673" i="9"/>
  <c r="K2673" i="9"/>
  <c r="J2673" i="9"/>
  <c r="I2649" i="9"/>
  <c r="K2649" i="9"/>
  <c r="J2649" i="9"/>
  <c r="I2625" i="9"/>
  <c r="K2625" i="9"/>
  <c r="J2625" i="9"/>
  <c r="I2601" i="9"/>
  <c r="K2601" i="9"/>
  <c r="J2601" i="9"/>
  <c r="I2577" i="9"/>
  <c r="K2577" i="9"/>
  <c r="J2577" i="9"/>
  <c r="I2553" i="9"/>
  <c r="K2553" i="9"/>
  <c r="J2553" i="9"/>
  <c r="I2529" i="9"/>
  <c r="K2529" i="9"/>
  <c r="J2529" i="9"/>
  <c r="I2505" i="9"/>
  <c r="J2505" i="9"/>
  <c r="K2505" i="9"/>
  <c r="F2457" i="9"/>
  <c r="H2457" i="9"/>
  <c r="G2457" i="9"/>
  <c r="F2433" i="9"/>
  <c r="H2433" i="9"/>
  <c r="G2433" i="9"/>
  <c r="G2409" i="9"/>
  <c r="F2409" i="9"/>
  <c r="H2409" i="9"/>
  <c r="H2385" i="9"/>
  <c r="G2385" i="9"/>
  <c r="F2385" i="9"/>
  <c r="H2361" i="9"/>
  <c r="G2361" i="9"/>
  <c r="F2361" i="9"/>
  <c r="G2337" i="9"/>
  <c r="F2337" i="9"/>
  <c r="H2337" i="9"/>
  <c r="F2313" i="9"/>
  <c r="H2313" i="9"/>
  <c r="G2313" i="9"/>
  <c r="F2289" i="9"/>
  <c r="G2289" i="9"/>
  <c r="H2289" i="9"/>
  <c r="F2265" i="9"/>
  <c r="H2265" i="9"/>
  <c r="G2265" i="9"/>
  <c r="F2241" i="9"/>
  <c r="G2241" i="9"/>
  <c r="H2241" i="9"/>
  <c r="F2217" i="9"/>
  <c r="H2217" i="9"/>
  <c r="G2217" i="9"/>
  <c r="F2193" i="9"/>
  <c r="G2193" i="9"/>
  <c r="H2193" i="9"/>
  <c r="F2169" i="9"/>
  <c r="H2169" i="9"/>
  <c r="G2169" i="9"/>
  <c r="F2145" i="9"/>
  <c r="G2145" i="9"/>
  <c r="H2145" i="9"/>
  <c r="F2121" i="9"/>
  <c r="H2121" i="9"/>
  <c r="G2121" i="9"/>
  <c r="F2097" i="9"/>
  <c r="G2097" i="9"/>
  <c r="H2097" i="9"/>
  <c r="F2073" i="9"/>
  <c r="H2073" i="9"/>
  <c r="G2073" i="9"/>
  <c r="F2049" i="9"/>
  <c r="H2049" i="9"/>
  <c r="G2049" i="9"/>
  <c r="K2030" i="9"/>
  <c r="J2030" i="9"/>
  <c r="I2030" i="9"/>
  <c r="J1995" i="9"/>
  <c r="I1995" i="9"/>
  <c r="K1995" i="9"/>
  <c r="I1960" i="9"/>
  <c r="K1960" i="9"/>
  <c r="J1960" i="9"/>
  <c r="K1886" i="9"/>
  <c r="J1886" i="9"/>
  <c r="I1886" i="9"/>
  <c r="J1851" i="9"/>
  <c r="I1851" i="9"/>
  <c r="K1851" i="9"/>
  <c r="I1816" i="9"/>
  <c r="J1816" i="9"/>
  <c r="K1816" i="9"/>
  <c r="K1304" i="9"/>
  <c r="J1304" i="9"/>
  <c r="I1304" i="9"/>
  <c r="J1288" i="9"/>
  <c r="I1288" i="9"/>
  <c r="K1288" i="9"/>
  <c r="J1192" i="9"/>
  <c r="I1192" i="9"/>
  <c r="K1192" i="9"/>
  <c r="J1180" i="9"/>
  <c r="I1180" i="9"/>
  <c r="K1180" i="9"/>
  <c r="K1160" i="9"/>
  <c r="J1160" i="9"/>
  <c r="I1160" i="9"/>
  <c r="J1144" i="9"/>
  <c r="I1144" i="9"/>
  <c r="K1144" i="9"/>
  <c r="I1052" i="9"/>
  <c r="K1052" i="9"/>
  <c r="J1052" i="9"/>
  <c r="J1012" i="9"/>
  <c r="I1012" i="9"/>
  <c r="K1012" i="9"/>
  <c r="J988" i="9"/>
  <c r="I988" i="9"/>
  <c r="K988" i="9"/>
  <c r="K968" i="9"/>
  <c r="J968" i="9"/>
  <c r="I968" i="9"/>
  <c r="J940" i="9"/>
  <c r="I940" i="9"/>
  <c r="K940" i="9"/>
  <c r="J904" i="9"/>
  <c r="I904" i="9"/>
  <c r="K904" i="9"/>
  <c r="K884" i="9"/>
  <c r="J884" i="9"/>
  <c r="I884" i="9"/>
  <c r="K860" i="9"/>
  <c r="J860" i="9"/>
  <c r="I860" i="9"/>
  <c r="I808" i="9"/>
  <c r="K808" i="9"/>
  <c r="J808" i="9"/>
  <c r="I784" i="9"/>
  <c r="K784" i="9"/>
  <c r="J784" i="9"/>
  <c r="I760" i="9"/>
  <c r="K760" i="9"/>
  <c r="J760" i="9"/>
  <c r="I712" i="9"/>
  <c r="K712" i="9"/>
  <c r="J712" i="9"/>
  <c r="I640" i="9"/>
  <c r="K640" i="9"/>
  <c r="J640" i="9"/>
  <c r="K620" i="9"/>
  <c r="I620" i="9"/>
  <c r="J620" i="9"/>
  <c r="I592" i="9"/>
  <c r="K592" i="9"/>
  <c r="J592" i="9"/>
  <c r="K572" i="9"/>
  <c r="J572" i="9"/>
  <c r="I572" i="9"/>
  <c r="K548" i="9"/>
  <c r="I548" i="9"/>
  <c r="J548" i="9"/>
  <c r="I532" i="9"/>
  <c r="K532" i="9"/>
  <c r="J532" i="9"/>
  <c r="I496" i="9"/>
  <c r="K496" i="9"/>
  <c r="J496" i="9"/>
  <c r="I472" i="9"/>
  <c r="K472" i="9"/>
  <c r="J472" i="9"/>
  <c r="I448" i="9"/>
  <c r="K448" i="9"/>
  <c r="J448" i="9"/>
  <c r="I424" i="9"/>
  <c r="K424" i="9"/>
  <c r="J424" i="9"/>
  <c r="I412" i="9"/>
  <c r="K412" i="9"/>
  <c r="J412" i="9"/>
  <c r="J392" i="9"/>
  <c r="I392" i="9"/>
  <c r="K392" i="9"/>
  <c r="K296" i="9"/>
  <c r="I296" i="9"/>
  <c r="J296" i="9"/>
  <c r="K260" i="9"/>
  <c r="I260" i="9"/>
  <c r="J260" i="9"/>
  <c r="K220" i="9"/>
  <c r="J220" i="9"/>
  <c r="I220" i="9"/>
  <c r="K200" i="9"/>
  <c r="I200" i="9"/>
  <c r="J200" i="9"/>
  <c r="K176" i="9"/>
  <c r="I176" i="9"/>
  <c r="J176" i="9"/>
  <c r="K92" i="9"/>
  <c r="I92" i="9"/>
  <c r="J92" i="9"/>
  <c r="K80" i="9"/>
  <c r="I80" i="9"/>
  <c r="J80" i="9"/>
  <c r="K68" i="9"/>
  <c r="I68" i="9"/>
  <c r="J68" i="9"/>
  <c r="K56" i="9"/>
  <c r="I56" i="9"/>
  <c r="J56" i="9"/>
  <c r="K44" i="9"/>
  <c r="I44" i="9"/>
  <c r="J44" i="9"/>
  <c r="I32" i="9"/>
  <c r="K32" i="9"/>
  <c r="J32" i="9"/>
  <c r="I20" i="9"/>
  <c r="K20" i="9"/>
  <c r="J20" i="9"/>
  <c r="I8" i="9"/>
  <c r="K8" i="9"/>
  <c r="J8" i="9"/>
  <c r="H4556" i="9"/>
  <c r="F4556" i="9"/>
  <c r="G4556" i="9"/>
  <c r="K4294" i="9"/>
  <c r="J4294" i="9"/>
  <c r="I4294" i="9"/>
  <c r="K4117" i="9"/>
  <c r="J4117" i="9"/>
  <c r="I4117" i="9"/>
  <c r="K4010" i="9"/>
  <c r="J4010" i="9"/>
  <c r="I4010" i="9"/>
  <c r="H3921" i="9"/>
  <c r="G3921" i="9"/>
  <c r="F3921" i="9"/>
  <c r="I3890" i="9"/>
  <c r="K3890" i="9"/>
  <c r="J3890" i="9"/>
  <c r="I3770" i="9"/>
  <c r="K3770" i="9"/>
  <c r="J3770" i="9"/>
  <c r="J3733" i="9"/>
  <c r="I3733" i="9"/>
  <c r="K3733" i="9"/>
  <c r="K3666" i="9"/>
  <c r="J3666" i="9"/>
  <c r="I3666" i="9"/>
  <c r="K3306" i="9"/>
  <c r="J3306" i="9"/>
  <c r="I3306" i="9"/>
  <c r="K3234" i="9"/>
  <c r="J3234" i="9"/>
  <c r="I3234" i="9"/>
  <c r="K3162" i="9"/>
  <c r="J3162" i="9"/>
  <c r="I3162" i="9"/>
  <c r="K3090" i="9"/>
  <c r="J3090" i="9"/>
  <c r="I3090" i="9"/>
  <c r="J3018" i="9"/>
  <c r="K3018" i="9"/>
  <c r="I3018" i="9"/>
  <c r="J2946" i="9"/>
  <c r="K2946" i="9"/>
  <c r="I2946" i="9"/>
  <c r="J2874" i="9"/>
  <c r="K2874" i="9"/>
  <c r="I2874" i="9"/>
  <c r="J2802" i="9"/>
  <c r="K2802" i="9"/>
  <c r="I2802" i="9"/>
  <c r="I2442" i="9"/>
  <c r="K2442" i="9"/>
  <c r="J2442" i="9"/>
  <c r="J2370" i="9"/>
  <c r="I2370" i="9"/>
  <c r="K2370" i="9"/>
  <c r="I2298" i="9"/>
  <c r="K2298" i="9"/>
  <c r="J2298" i="9"/>
  <c r="I2226" i="9"/>
  <c r="J2226" i="9"/>
  <c r="K2226" i="9"/>
  <c r="I2154" i="9"/>
  <c r="K2154" i="9"/>
  <c r="J2154" i="9"/>
  <c r="I2082" i="9"/>
  <c r="J2082" i="9"/>
  <c r="K2082" i="9"/>
  <c r="H2021" i="9"/>
  <c r="G2021" i="9"/>
  <c r="F2021" i="9"/>
  <c r="I1986" i="9"/>
  <c r="K1986" i="9"/>
  <c r="J1986" i="9"/>
  <c r="K1951" i="9"/>
  <c r="J1951" i="9"/>
  <c r="I1951" i="9"/>
  <c r="K1916" i="9"/>
  <c r="I1916" i="9"/>
  <c r="J1916" i="9"/>
  <c r="H1877" i="9"/>
  <c r="G1877" i="9"/>
  <c r="F1877" i="9"/>
  <c r="I1842" i="9"/>
  <c r="K1842" i="9"/>
  <c r="J1842" i="9"/>
  <c r="K1807" i="9"/>
  <c r="J1807" i="9"/>
  <c r="I1807" i="9"/>
  <c r="J1772" i="9"/>
  <c r="I1772" i="9"/>
  <c r="K1772" i="9"/>
  <c r="K1733" i="9"/>
  <c r="J1733" i="9"/>
  <c r="I1733" i="9"/>
  <c r="J1698" i="9"/>
  <c r="I1698" i="9"/>
  <c r="K1698" i="9"/>
  <c r="I1663" i="9"/>
  <c r="K1663" i="9"/>
  <c r="J1663" i="9"/>
  <c r="J1628" i="9"/>
  <c r="I1628" i="9"/>
  <c r="K1628" i="9"/>
  <c r="K1589" i="9"/>
  <c r="J1589" i="9"/>
  <c r="I1589" i="9"/>
  <c r="J1554" i="9"/>
  <c r="K1554" i="9"/>
  <c r="I1554" i="9"/>
  <c r="J1372" i="9"/>
  <c r="I1372" i="9"/>
  <c r="K1372" i="9"/>
  <c r="J1360" i="9"/>
  <c r="I1360" i="9"/>
  <c r="K1360" i="9"/>
  <c r="K1328" i="9"/>
  <c r="J1328" i="9"/>
  <c r="I1328" i="9"/>
  <c r="J1264" i="9"/>
  <c r="I1264" i="9"/>
  <c r="K1264" i="9"/>
  <c r="J1240" i="9"/>
  <c r="I1240" i="9"/>
  <c r="K1240" i="9"/>
  <c r="J1216" i="9"/>
  <c r="I1216" i="9"/>
  <c r="K1216" i="9"/>
  <c r="K1112" i="9"/>
  <c r="J1112" i="9"/>
  <c r="I1112" i="9"/>
  <c r="J1060" i="9"/>
  <c r="I1060" i="9"/>
  <c r="K1060" i="9"/>
  <c r="K1040" i="9"/>
  <c r="J1040" i="9"/>
  <c r="I1040" i="9"/>
  <c r="I980" i="9"/>
  <c r="K980" i="9"/>
  <c r="J980" i="9"/>
  <c r="K920" i="9"/>
  <c r="J920" i="9"/>
  <c r="I920" i="9"/>
  <c r="I872" i="9"/>
  <c r="K872" i="9"/>
  <c r="J872" i="9"/>
  <c r="J844" i="9"/>
  <c r="I844" i="9"/>
  <c r="K844" i="9"/>
  <c r="I736" i="9"/>
  <c r="K736" i="9"/>
  <c r="J736" i="9"/>
  <c r="I688" i="9"/>
  <c r="K688" i="9"/>
  <c r="J688" i="9"/>
  <c r="K668" i="9"/>
  <c r="J668" i="9"/>
  <c r="I668" i="9"/>
  <c r="K656" i="9"/>
  <c r="I656" i="9"/>
  <c r="J656" i="9"/>
  <c r="K608" i="9"/>
  <c r="J608" i="9"/>
  <c r="I608" i="9"/>
  <c r="I556" i="9"/>
  <c r="K556" i="9"/>
  <c r="J556" i="9"/>
  <c r="I508" i="9"/>
  <c r="K508" i="9"/>
  <c r="J508" i="9"/>
  <c r="J464" i="9"/>
  <c r="I464" i="9"/>
  <c r="K464" i="9"/>
  <c r="J440" i="9"/>
  <c r="I440" i="9"/>
  <c r="K440" i="9"/>
  <c r="K376" i="9"/>
  <c r="J376" i="9"/>
  <c r="I376" i="9"/>
  <c r="K352" i="9"/>
  <c r="J352" i="9"/>
  <c r="I352" i="9"/>
  <c r="K328" i="9"/>
  <c r="J328" i="9"/>
  <c r="I328" i="9"/>
  <c r="K284" i="9"/>
  <c r="I284" i="9"/>
  <c r="J284" i="9"/>
  <c r="K272" i="9"/>
  <c r="I272" i="9"/>
  <c r="J272" i="9"/>
  <c r="K212" i="9"/>
  <c r="I212" i="9"/>
  <c r="J212" i="9"/>
  <c r="K188" i="9"/>
  <c r="I188" i="9"/>
  <c r="J188" i="9"/>
  <c r="K164" i="9"/>
  <c r="I164" i="9"/>
  <c r="J164" i="9"/>
  <c r="K136" i="9"/>
  <c r="J136" i="9"/>
  <c r="I136" i="9"/>
  <c r="K112" i="9"/>
  <c r="J112" i="9"/>
  <c r="I112" i="9"/>
  <c r="K100" i="9"/>
  <c r="J100" i="9"/>
  <c r="I100" i="9"/>
  <c r="K4178" i="9"/>
  <c r="J4178" i="9"/>
  <c r="I4178" i="9"/>
  <c r="I4078" i="9"/>
  <c r="K4078" i="9"/>
  <c r="J4078" i="9"/>
  <c r="K4020" i="9"/>
  <c r="J4020" i="9"/>
  <c r="I4020" i="9"/>
  <c r="K3905" i="9"/>
  <c r="J3905" i="9"/>
  <c r="I3905" i="9"/>
  <c r="K3760" i="9"/>
  <c r="I3760" i="9"/>
  <c r="J3760" i="9"/>
  <c r="J3608" i="9"/>
  <c r="I3608" i="9"/>
  <c r="K3608" i="9"/>
  <c r="J3584" i="9"/>
  <c r="I3584" i="9"/>
  <c r="K3584" i="9"/>
  <c r="J3560" i="9"/>
  <c r="I3560" i="9"/>
  <c r="K3560" i="9"/>
  <c r="J3536" i="9"/>
  <c r="I3536" i="9"/>
  <c r="K3536" i="9"/>
  <c r="J3512" i="9"/>
  <c r="I3512" i="9"/>
  <c r="K3512" i="9"/>
  <c r="J3488" i="9"/>
  <c r="I3488" i="9"/>
  <c r="K3488" i="9"/>
  <c r="J3464" i="9"/>
  <c r="I3464" i="9"/>
  <c r="K3464" i="9"/>
  <c r="J3440" i="9"/>
  <c r="I3440" i="9"/>
  <c r="K3440" i="9"/>
  <c r="J3416" i="9"/>
  <c r="I3416" i="9"/>
  <c r="K3416" i="9"/>
  <c r="J3392" i="9"/>
  <c r="I3392" i="9"/>
  <c r="K3392" i="9"/>
  <c r="J3368" i="9"/>
  <c r="I3368" i="9"/>
  <c r="K3368" i="9"/>
  <c r="J2768" i="9"/>
  <c r="I2768" i="9"/>
  <c r="K2768" i="9"/>
  <c r="J2744" i="9"/>
  <c r="I2744" i="9"/>
  <c r="K2744" i="9"/>
  <c r="J2720" i="9"/>
  <c r="I2720" i="9"/>
  <c r="K2720" i="9"/>
  <c r="J2696" i="9"/>
  <c r="I2696" i="9"/>
  <c r="K2696" i="9"/>
  <c r="J2672" i="9"/>
  <c r="I2672" i="9"/>
  <c r="K2672" i="9"/>
  <c r="J2648" i="9"/>
  <c r="I2648" i="9"/>
  <c r="K2648" i="9"/>
  <c r="J2624" i="9"/>
  <c r="I2624" i="9"/>
  <c r="K2624" i="9"/>
  <c r="J2600" i="9"/>
  <c r="I2600" i="9"/>
  <c r="K2600" i="9"/>
  <c r="J2576" i="9"/>
  <c r="I2576" i="9"/>
  <c r="K2576" i="9"/>
  <c r="J2552" i="9"/>
  <c r="I2552" i="9"/>
  <c r="K2552" i="9"/>
  <c r="J2528" i="9"/>
  <c r="I2528" i="9"/>
  <c r="K2528" i="9"/>
  <c r="G2504" i="9"/>
  <c r="F2504" i="9"/>
  <c r="H2504" i="9"/>
  <c r="G2480" i="9"/>
  <c r="F2480" i="9"/>
  <c r="H2480" i="9"/>
  <c r="K2456" i="9"/>
  <c r="I2456" i="9"/>
  <c r="J2456" i="9"/>
  <c r="K2432" i="9"/>
  <c r="J2432" i="9"/>
  <c r="I2432" i="9"/>
  <c r="K2408" i="9"/>
  <c r="J2408" i="9"/>
  <c r="I2408" i="9"/>
  <c r="K2384" i="9"/>
  <c r="J2384" i="9"/>
  <c r="I2384" i="9"/>
  <c r="K2360" i="9"/>
  <c r="J2360" i="9"/>
  <c r="I2360" i="9"/>
  <c r="K2336" i="9"/>
  <c r="J2336" i="9"/>
  <c r="I2336" i="9"/>
  <c r="K2312" i="9"/>
  <c r="J2312" i="9"/>
  <c r="I2312" i="9"/>
  <c r="K2288" i="9"/>
  <c r="J2288" i="9"/>
  <c r="I2288" i="9"/>
  <c r="K2264" i="9"/>
  <c r="J2264" i="9"/>
  <c r="I2264" i="9"/>
  <c r="K2240" i="9"/>
  <c r="J2240" i="9"/>
  <c r="I2240" i="9"/>
  <c r="K2216" i="9"/>
  <c r="J2216" i="9"/>
  <c r="I2216" i="9"/>
  <c r="K2192" i="9"/>
  <c r="J2192" i="9"/>
  <c r="I2192" i="9"/>
  <c r="K2168" i="9"/>
  <c r="J2168" i="9"/>
  <c r="I2168" i="9"/>
  <c r="K2144" i="9"/>
  <c r="J2144" i="9"/>
  <c r="I2144" i="9"/>
  <c r="K2120" i="9"/>
  <c r="J2120" i="9"/>
  <c r="I2120" i="9"/>
  <c r="K2096" i="9"/>
  <c r="J2096" i="9"/>
  <c r="I2096" i="9"/>
  <c r="K2072" i="9"/>
  <c r="J2072" i="9"/>
  <c r="I2072" i="9"/>
  <c r="K2048" i="9"/>
  <c r="J2048" i="9"/>
  <c r="I2048" i="9"/>
  <c r="F1977" i="9"/>
  <c r="H1977" i="9"/>
  <c r="G1977" i="9"/>
  <c r="F1833" i="9"/>
  <c r="H1833" i="9"/>
  <c r="G1833" i="9"/>
  <c r="K1763" i="9"/>
  <c r="J1763" i="9"/>
  <c r="I1763" i="9"/>
  <c r="F1728" i="9"/>
  <c r="H1728" i="9"/>
  <c r="G1728" i="9"/>
  <c r="I1689" i="9"/>
  <c r="K1689" i="9"/>
  <c r="J1689" i="9"/>
  <c r="K1654" i="9"/>
  <c r="J1654" i="9"/>
  <c r="I1654" i="9"/>
  <c r="K1619" i="9"/>
  <c r="J1619" i="9"/>
  <c r="I1619" i="9"/>
  <c r="F1584" i="9"/>
  <c r="H1584" i="9"/>
  <c r="G1584" i="9"/>
  <c r="I1545" i="9"/>
  <c r="K1545" i="9"/>
  <c r="J1545" i="9"/>
  <c r="J4578" i="9"/>
  <c r="K4578" i="9"/>
  <c r="I4578" i="9"/>
  <c r="K4116" i="9"/>
  <c r="J4116" i="9"/>
  <c r="I4116" i="9"/>
  <c r="K4046" i="9"/>
  <c r="J4046" i="9"/>
  <c r="I4046" i="9"/>
  <c r="K4009" i="9"/>
  <c r="J4009" i="9"/>
  <c r="I4009" i="9"/>
  <c r="K3962" i="9"/>
  <c r="J3962" i="9"/>
  <c r="I3962" i="9"/>
  <c r="J3889" i="9"/>
  <c r="I3889" i="9"/>
  <c r="K3889" i="9"/>
  <c r="J3819" i="9"/>
  <c r="I3819" i="9"/>
  <c r="K3819" i="9"/>
  <c r="H3799" i="9"/>
  <c r="F3799" i="9"/>
  <c r="G3799" i="9"/>
  <c r="K3574" i="9"/>
  <c r="J3574" i="9"/>
  <c r="I3574" i="9"/>
  <c r="K3502" i="9"/>
  <c r="J3502" i="9"/>
  <c r="I3502" i="9"/>
  <c r="K3430" i="9"/>
  <c r="J3430" i="9"/>
  <c r="I3430" i="9"/>
  <c r="K3358" i="9"/>
  <c r="J3358" i="9"/>
  <c r="I3358" i="9"/>
  <c r="K2782" i="9"/>
  <c r="J2782" i="9"/>
  <c r="I2782" i="9"/>
  <c r="K2710" i="9"/>
  <c r="J2710" i="9"/>
  <c r="I2710" i="9"/>
  <c r="K2638" i="9"/>
  <c r="J2638" i="9"/>
  <c r="I2638" i="9"/>
  <c r="K2566" i="9"/>
  <c r="J2566" i="9"/>
  <c r="I2566" i="9"/>
  <c r="K2494" i="9"/>
  <c r="J2494" i="9"/>
  <c r="I2494" i="9"/>
  <c r="I2020" i="9"/>
  <c r="K2020" i="9"/>
  <c r="J2020" i="9"/>
  <c r="K1946" i="9"/>
  <c r="J1946" i="9"/>
  <c r="I1946" i="9"/>
  <c r="J1911" i="9"/>
  <c r="I1911" i="9"/>
  <c r="K1911" i="9"/>
  <c r="I1876" i="9"/>
  <c r="K1876" i="9"/>
  <c r="J1876" i="9"/>
  <c r="K1802" i="9"/>
  <c r="J1802" i="9"/>
  <c r="I1802" i="9"/>
  <c r="J519" i="9"/>
  <c r="I519" i="9"/>
  <c r="K519" i="9"/>
  <c r="J283" i="9"/>
  <c r="I283" i="9"/>
  <c r="K283" i="9"/>
  <c r="J247" i="9"/>
  <c r="I247" i="9"/>
  <c r="K247" i="9"/>
  <c r="H227" i="9"/>
  <c r="F227" i="9"/>
  <c r="G227" i="9"/>
  <c r="H203" i="9"/>
  <c r="F203" i="9"/>
  <c r="G203" i="9"/>
  <c r="J163" i="9"/>
  <c r="I163" i="9"/>
  <c r="K163" i="9"/>
  <c r="H143" i="9"/>
  <c r="F143" i="9"/>
  <c r="G143" i="9"/>
  <c r="H119" i="9"/>
  <c r="F119" i="9"/>
  <c r="G119" i="9"/>
  <c r="H47" i="9"/>
  <c r="F47" i="9"/>
  <c r="G47" i="9"/>
  <c r="J31" i="9"/>
  <c r="I31" i="9"/>
  <c r="K31" i="9"/>
  <c r="K3" i="9"/>
  <c r="J3" i="9"/>
  <c r="I3" i="9"/>
  <c r="J4801" i="9"/>
  <c r="I4801" i="9"/>
  <c r="K4801" i="9"/>
  <c r="J4694" i="9"/>
  <c r="I4694" i="9"/>
  <c r="K4694" i="9"/>
  <c r="J4502" i="9"/>
  <c r="I4502" i="9"/>
  <c r="K4502" i="9"/>
  <c r="I4380" i="9"/>
  <c r="K4380" i="9"/>
  <c r="J4380" i="9"/>
  <c r="K4310" i="9"/>
  <c r="I4310" i="9"/>
  <c r="J4310" i="9"/>
  <c r="K4088" i="9"/>
  <c r="J4088" i="9"/>
  <c r="I4088" i="9"/>
  <c r="H4035" i="9"/>
  <c r="G4035" i="9"/>
  <c r="F4035" i="9"/>
  <c r="K3868" i="9"/>
  <c r="I3868" i="9"/>
  <c r="J3868" i="9"/>
  <c r="K3828" i="9"/>
  <c r="J3828" i="9"/>
  <c r="I3828" i="9"/>
  <c r="K3732" i="9"/>
  <c r="J3732" i="9"/>
  <c r="I3732" i="9"/>
  <c r="K3708" i="9"/>
  <c r="J3708" i="9"/>
  <c r="I3708" i="9"/>
  <c r="K3684" i="9"/>
  <c r="J3684" i="9"/>
  <c r="I3684" i="9"/>
  <c r="K3660" i="9"/>
  <c r="J3660" i="9"/>
  <c r="I3660" i="9"/>
  <c r="K3636" i="9"/>
  <c r="J3636" i="9"/>
  <c r="I3636" i="9"/>
  <c r="K3612" i="9"/>
  <c r="J3612" i="9"/>
  <c r="I3612" i="9"/>
  <c r="K3588" i="9"/>
  <c r="J3588" i="9"/>
  <c r="I3588" i="9"/>
  <c r="K3564" i="9"/>
  <c r="J3564" i="9"/>
  <c r="I3564" i="9"/>
  <c r="K3540" i="9"/>
  <c r="J3540" i="9"/>
  <c r="I3540" i="9"/>
  <c r="K3516" i="9"/>
  <c r="J3516" i="9"/>
  <c r="I3516" i="9"/>
  <c r="K3492" i="9"/>
  <c r="J3492" i="9"/>
  <c r="I3492" i="9"/>
  <c r="K3468" i="9"/>
  <c r="J3468" i="9"/>
  <c r="I3468" i="9"/>
  <c r="K3444" i="9"/>
  <c r="J3444" i="9"/>
  <c r="I3444" i="9"/>
  <c r="K3420" i="9"/>
  <c r="J3420" i="9"/>
  <c r="I3420" i="9"/>
  <c r="K3396" i="9"/>
  <c r="J3396" i="9"/>
  <c r="I3396" i="9"/>
  <c r="K3372" i="9"/>
  <c r="J3372" i="9"/>
  <c r="I3372" i="9"/>
  <c r="K3348" i="9"/>
  <c r="J3348" i="9"/>
  <c r="I3348" i="9"/>
  <c r="K3324" i="9"/>
  <c r="J3324" i="9"/>
  <c r="I3324" i="9"/>
  <c r="K3300" i="9"/>
  <c r="J3300" i="9"/>
  <c r="I3300" i="9"/>
  <c r="K3276" i="9"/>
  <c r="J3276" i="9"/>
  <c r="I3276" i="9"/>
  <c r="K3252" i="9"/>
  <c r="J3252" i="9"/>
  <c r="I3252" i="9"/>
  <c r="K3228" i="9"/>
  <c r="J3228" i="9"/>
  <c r="I3228" i="9"/>
  <c r="K3204" i="9"/>
  <c r="J3204" i="9"/>
  <c r="I3204" i="9"/>
  <c r="K3180" i="9"/>
  <c r="J3180" i="9"/>
  <c r="I3180" i="9"/>
  <c r="K3156" i="9"/>
  <c r="J3156" i="9"/>
  <c r="I3156" i="9"/>
  <c r="K3132" i="9"/>
  <c r="J3132" i="9"/>
  <c r="I3132" i="9"/>
  <c r="K3108" i="9"/>
  <c r="J3108" i="9"/>
  <c r="I3108" i="9"/>
  <c r="K3084" i="9"/>
  <c r="J3084" i="9"/>
  <c r="I3084" i="9"/>
  <c r="K3060" i="9"/>
  <c r="J3060" i="9"/>
  <c r="I3060" i="9"/>
  <c r="H3036" i="9"/>
  <c r="G3036" i="9"/>
  <c r="F3036" i="9"/>
  <c r="H3012" i="9"/>
  <c r="G3012" i="9"/>
  <c r="F3012" i="9"/>
  <c r="H2988" i="9"/>
  <c r="G2988" i="9"/>
  <c r="F2988" i="9"/>
  <c r="H2964" i="9"/>
  <c r="G2964" i="9"/>
  <c r="F2964" i="9"/>
  <c r="H2940" i="9"/>
  <c r="G2940" i="9"/>
  <c r="F2940" i="9"/>
  <c r="H2916" i="9"/>
  <c r="G2916" i="9"/>
  <c r="F2916" i="9"/>
  <c r="H2892" i="9"/>
  <c r="G2892" i="9"/>
  <c r="F2892" i="9"/>
  <c r="H2868" i="9"/>
  <c r="G2868" i="9"/>
  <c r="F2868" i="9"/>
  <c r="H2844" i="9"/>
  <c r="G2844" i="9"/>
  <c r="F2844" i="9"/>
  <c r="H2820" i="9"/>
  <c r="G2820" i="9"/>
  <c r="F2820" i="9"/>
  <c r="H2796" i="9"/>
  <c r="G2796" i="9"/>
  <c r="F2796" i="9"/>
  <c r="K2772" i="9"/>
  <c r="J2772" i="9"/>
  <c r="I2772" i="9"/>
  <c r="K2748" i="9"/>
  <c r="J2748" i="9"/>
  <c r="I2748" i="9"/>
  <c r="K2724" i="9"/>
  <c r="J2724" i="9"/>
  <c r="I2724" i="9"/>
  <c r="K2700" i="9"/>
  <c r="J2700" i="9"/>
  <c r="I2700" i="9"/>
  <c r="K2676" i="9"/>
  <c r="J2676" i="9"/>
  <c r="I2676" i="9"/>
  <c r="K2652" i="9"/>
  <c r="J2652" i="9"/>
  <c r="I2652" i="9"/>
  <c r="K2628" i="9"/>
  <c r="J2628" i="9"/>
  <c r="I2628" i="9"/>
  <c r="K2604" i="9"/>
  <c r="J2604" i="9"/>
  <c r="I2604" i="9"/>
  <c r="K2580" i="9"/>
  <c r="J2580" i="9"/>
  <c r="I2580" i="9"/>
  <c r="K2556" i="9"/>
  <c r="J2556" i="9"/>
  <c r="I2556" i="9"/>
  <c r="K2532" i="9"/>
  <c r="J2532" i="9"/>
  <c r="I2532" i="9"/>
  <c r="K2024" i="9"/>
  <c r="I2024" i="9"/>
  <c r="J2024" i="9"/>
  <c r="H1985" i="9"/>
  <c r="G1985" i="9"/>
  <c r="F1985" i="9"/>
  <c r="I1950" i="9"/>
  <c r="K1950" i="9"/>
  <c r="J1950" i="9"/>
  <c r="K1915" i="9"/>
  <c r="J1915" i="9"/>
  <c r="I1915" i="9"/>
  <c r="K1880" i="9"/>
  <c r="I1880" i="9"/>
  <c r="J1880" i="9"/>
  <c r="H1841" i="9"/>
  <c r="G1841" i="9"/>
  <c r="F1841" i="9"/>
  <c r="K1806" i="9"/>
  <c r="J1806" i="9"/>
  <c r="I1806" i="9"/>
  <c r="I1771" i="9"/>
  <c r="K1771" i="9"/>
  <c r="J1771" i="9"/>
  <c r="J1736" i="9"/>
  <c r="I1736" i="9"/>
  <c r="K1736" i="9"/>
  <c r="K1697" i="9"/>
  <c r="J1697" i="9"/>
  <c r="I1697" i="9"/>
  <c r="J1662" i="9"/>
  <c r="I1662" i="9"/>
  <c r="K1662" i="9"/>
  <c r="I1627" i="9"/>
  <c r="K1627" i="9"/>
  <c r="J1627" i="9"/>
  <c r="J1592" i="9"/>
  <c r="I1592" i="9"/>
  <c r="K1592" i="9"/>
  <c r="K1553" i="9"/>
  <c r="I1553" i="9"/>
  <c r="J1553" i="9"/>
  <c r="K1335" i="9"/>
  <c r="J1335" i="9"/>
  <c r="I1335" i="9"/>
  <c r="K1323" i="9"/>
  <c r="J1323" i="9"/>
  <c r="I1323" i="9"/>
  <c r="K1311" i="9"/>
  <c r="J1311" i="9"/>
  <c r="I1311" i="9"/>
  <c r="K1299" i="9"/>
  <c r="J1299" i="9"/>
  <c r="I1299" i="9"/>
  <c r="K1287" i="9"/>
  <c r="J1287" i="9"/>
  <c r="I1287" i="9"/>
  <c r="K1275" i="9"/>
  <c r="J1275" i="9"/>
  <c r="I1275" i="9"/>
  <c r="K1263" i="9"/>
  <c r="J1263" i="9"/>
  <c r="I1263" i="9"/>
  <c r="K1251" i="9"/>
  <c r="J1251" i="9"/>
  <c r="I1251" i="9"/>
  <c r="K1239" i="9"/>
  <c r="J1239" i="9"/>
  <c r="I1239" i="9"/>
  <c r="K1227" i="9"/>
  <c r="J1227" i="9"/>
  <c r="I1227" i="9"/>
  <c r="K1215" i="9"/>
  <c r="J1215" i="9"/>
  <c r="I1215" i="9"/>
  <c r="K1203" i="9"/>
  <c r="J1203" i="9"/>
  <c r="I1203" i="9"/>
  <c r="K1191" i="9"/>
  <c r="J1191" i="9"/>
  <c r="I1191" i="9"/>
  <c r="K1179" i="9"/>
  <c r="J1179" i="9"/>
  <c r="I1179" i="9"/>
  <c r="K1167" i="9"/>
  <c r="J1167" i="9"/>
  <c r="I1167" i="9"/>
  <c r="K1155" i="9"/>
  <c r="J1155" i="9"/>
  <c r="I1155" i="9"/>
  <c r="K1143" i="9"/>
  <c r="J1143" i="9"/>
  <c r="I1143" i="9"/>
  <c r="K1131" i="9"/>
  <c r="J1131" i="9"/>
  <c r="I1131" i="9"/>
  <c r="K1119" i="9"/>
  <c r="J1119" i="9"/>
  <c r="I1119" i="9"/>
  <c r="K1107" i="9"/>
  <c r="J1107" i="9"/>
  <c r="I1107" i="9"/>
  <c r="K1095" i="9"/>
  <c r="J1095" i="9"/>
  <c r="I1095" i="9"/>
  <c r="K1083" i="9"/>
  <c r="J1083" i="9"/>
  <c r="I1083" i="9"/>
  <c r="K1071" i="9"/>
  <c r="J1071" i="9"/>
  <c r="I1071" i="9"/>
  <c r="K1059" i="9"/>
  <c r="J1059" i="9"/>
  <c r="I1059" i="9"/>
  <c r="K1047" i="9"/>
  <c r="J1047" i="9"/>
  <c r="I1047" i="9"/>
  <c r="K1035" i="9"/>
  <c r="J1035" i="9"/>
  <c r="I1035" i="9"/>
  <c r="K1023" i="9"/>
  <c r="J1023" i="9"/>
  <c r="I1023" i="9"/>
  <c r="K1011" i="9"/>
  <c r="J1011" i="9"/>
  <c r="I1011" i="9"/>
  <c r="K999" i="9"/>
  <c r="J999" i="9"/>
  <c r="I999" i="9"/>
  <c r="K987" i="9"/>
  <c r="J987" i="9"/>
  <c r="I987" i="9"/>
  <c r="K975" i="9"/>
  <c r="J975" i="9"/>
  <c r="I975" i="9"/>
  <c r="K963" i="9"/>
  <c r="J963" i="9"/>
  <c r="I963" i="9"/>
  <c r="K951" i="9"/>
  <c r="J951" i="9"/>
  <c r="I951" i="9"/>
  <c r="K939" i="9"/>
  <c r="J939" i="9"/>
  <c r="I939" i="9"/>
  <c r="K927" i="9"/>
  <c r="J927" i="9"/>
  <c r="I927" i="9"/>
  <c r="K915" i="9"/>
  <c r="J915" i="9"/>
  <c r="I915" i="9"/>
  <c r="K903" i="9"/>
  <c r="J903" i="9"/>
  <c r="I903" i="9"/>
  <c r="K891" i="9"/>
  <c r="J891" i="9"/>
  <c r="I891" i="9"/>
  <c r="K879" i="9"/>
  <c r="J879" i="9"/>
  <c r="I879" i="9"/>
  <c r="K867" i="9"/>
  <c r="J867" i="9"/>
  <c r="I867" i="9"/>
  <c r="K855" i="9"/>
  <c r="J855" i="9"/>
  <c r="I855" i="9"/>
  <c r="K843" i="9"/>
  <c r="J843" i="9"/>
  <c r="I843" i="9"/>
  <c r="J831" i="9"/>
  <c r="I831" i="9"/>
  <c r="K831" i="9"/>
  <c r="J819" i="9"/>
  <c r="I819" i="9"/>
  <c r="K819" i="9"/>
  <c r="J807" i="9"/>
  <c r="I807" i="9"/>
  <c r="K807" i="9"/>
  <c r="J795" i="9"/>
  <c r="I795" i="9"/>
  <c r="K795" i="9"/>
  <c r="J783" i="9"/>
  <c r="I783" i="9"/>
  <c r="K783" i="9"/>
  <c r="J771" i="9"/>
  <c r="I771" i="9"/>
  <c r="K771" i="9"/>
  <c r="J759" i="9"/>
  <c r="I759" i="9"/>
  <c r="K759" i="9"/>
  <c r="J747" i="9"/>
  <c r="I747" i="9"/>
  <c r="K747" i="9"/>
  <c r="J735" i="9"/>
  <c r="I735" i="9"/>
  <c r="K735" i="9"/>
  <c r="J723" i="9"/>
  <c r="I723" i="9"/>
  <c r="K723" i="9"/>
  <c r="J711" i="9"/>
  <c r="I711" i="9"/>
  <c r="K711" i="9"/>
  <c r="J699" i="9"/>
  <c r="I699" i="9"/>
  <c r="K699" i="9"/>
  <c r="J687" i="9"/>
  <c r="I687" i="9"/>
  <c r="K687" i="9"/>
  <c r="J675" i="9"/>
  <c r="I675" i="9"/>
  <c r="K675" i="9"/>
  <c r="J663" i="9"/>
  <c r="I663" i="9"/>
  <c r="K663" i="9"/>
  <c r="J651" i="9"/>
  <c r="I651" i="9"/>
  <c r="K651" i="9"/>
  <c r="J639" i="9"/>
  <c r="I639" i="9"/>
  <c r="K639" i="9"/>
  <c r="J627" i="9"/>
  <c r="I627" i="9"/>
  <c r="K627" i="9"/>
  <c r="J615" i="9"/>
  <c r="I615" i="9"/>
  <c r="K615" i="9"/>
  <c r="J603" i="9"/>
  <c r="I603" i="9"/>
  <c r="K603" i="9"/>
  <c r="J591" i="9"/>
  <c r="I591" i="9"/>
  <c r="K591" i="9"/>
  <c r="J579" i="9"/>
  <c r="I579" i="9"/>
  <c r="K579" i="9"/>
  <c r="J567" i="9"/>
  <c r="I567" i="9"/>
  <c r="K567" i="9"/>
  <c r="J555" i="9"/>
  <c r="I555" i="9"/>
  <c r="K555" i="9"/>
  <c r="J543" i="9"/>
  <c r="I543" i="9"/>
  <c r="K543" i="9"/>
  <c r="J531" i="9"/>
  <c r="I531" i="9"/>
  <c r="K531" i="9"/>
  <c r="K499" i="9"/>
  <c r="J499" i="9"/>
  <c r="I499" i="9"/>
  <c r="K475" i="9"/>
  <c r="J475" i="9"/>
  <c r="I475" i="9"/>
  <c r="K427" i="9"/>
  <c r="J427" i="9"/>
  <c r="I427" i="9"/>
  <c r="H287" i="9"/>
  <c r="F287" i="9"/>
  <c r="G287" i="9"/>
  <c r="J271" i="9"/>
  <c r="I271" i="9"/>
  <c r="K271" i="9"/>
  <c r="H251" i="9"/>
  <c r="F251" i="9"/>
  <c r="G251" i="9"/>
  <c r="J223" i="9"/>
  <c r="I223" i="9"/>
  <c r="K223" i="9"/>
  <c r="J199" i="9"/>
  <c r="I199" i="9"/>
  <c r="K199" i="9"/>
  <c r="H167" i="9"/>
  <c r="F167" i="9"/>
  <c r="G167" i="9"/>
  <c r="J139" i="9"/>
  <c r="I139" i="9"/>
  <c r="K139" i="9"/>
  <c r="J115" i="9"/>
  <c r="I115" i="9"/>
  <c r="K115" i="9"/>
  <c r="J67" i="9"/>
  <c r="I67" i="9"/>
  <c r="K67" i="9"/>
  <c r="K4154" i="9"/>
  <c r="J4154" i="9"/>
  <c r="I4154" i="9"/>
  <c r="K3998" i="9"/>
  <c r="J3998" i="9"/>
  <c r="I3998" i="9"/>
  <c r="K3961" i="9"/>
  <c r="J3961" i="9"/>
  <c r="I3961" i="9"/>
  <c r="K3914" i="9"/>
  <c r="J3914" i="9"/>
  <c r="I3914" i="9"/>
  <c r="I3878" i="9"/>
  <c r="K3878" i="9"/>
  <c r="J3878" i="9"/>
  <c r="K3833" i="9"/>
  <c r="J3833" i="9"/>
  <c r="I3833" i="9"/>
  <c r="K3808" i="9"/>
  <c r="I3808" i="9"/>
  <c r="J3808" i="9"/>
  <c r="I3674" i="9"/>
  <c r="K3674" i="9"/>
  <c r="J3674" i="9"/>
  <c r="H3602" i="9"/>
  <c r="G3602" i="9"/>
  <c r="F3602" i="9"/>
  <c r="H3530" i="9"/>
  <c r="G3530" i="9"/>
  <c r="F3530" i="9"/>
  <c r="H3458" i="9"/>
  <c r="G3458" i="9"/>
  <c r="F3458" i="9"/>
  <c r="H3386" i="9"/>
  <c r="G3386" i="9"/>
  <c r="F3386" i="9"/>
  <c r="I3314" i="9"/>
  <c r="K3314" i="9"/>
  <c r="J3314" i="9"/>
  <c r="H3242" i="9"/>
  <c r="G3242" i="9"/>
  <c r="F3242" i="9"/>
  <c r="I3026" i="9"/>
  <c r="K3026" i="9"/>
  <c r="J3026" i="9"/>
  <c r="I2954" i="9"/>
  <c r="K2954" i="9"/>
  <c r="J2954" i="9"/>
  <c r="I2882" i="9"/>
  <c r="K2882" i="9"/>
  <c r="J2882" i="9"/>
  <c r="I2810" i="9"/>
  <c r="K2810" i="9"/>
  <c r="J2810" i="9"/>
  <c r="H2738" i="9"/>
  <c r="G2738" i="9"/>
  <c r="F2738" i="9"/>
  <c r="H2666" i="9"/>
  <c r="G2666" i="9"/>
  <c r="F2666" i="9"/>
  <c r="H2594" i="9"/>
  <c r="G2594" i="9"/>
  <c r="F2594" i="9"/>
  <c r="H2522" i="9"/>
  <c r="G2522" i="9"/>
  <c r="F2522" i="9"/>
  <c r="K2450" i="9"/>
  <c r="J2450" i="9"/>
  <c r="I2450" i="9"/>
  <c r="K2378" i="9"/>
  <c r="J2378" i="9"/>
  <c r="I2378" i="9"/>
  <c r="K2306" i="9"/>
  <c r="J2306" i="9"/>
  <c r="I2306" i="9"/>
  <c r="K2234" i="9"/>
  <c r="J2234" i="9"/>
  <c r="I2234" i="9"/>
  <c r="K2162" i="9"/>
  <c r="J2162" i="9"/>
  <c r="I2162" i="9"/>
  <c r="K2090" i="9"/>
  <c r="J2090" i="9"/>
  <c r="I2090" i="9"/>
  <c r="F1989" i="9"/>
  <c r="H1989" i="9"/>
  <c r="G1989" i="9"/>
  <c r="F1845" i="9"/>
  <c r="H1845" i="9"/>
  <c r="G1845" i="9"/>
  <c r="K1775" i="9"/>
  <c r="J1775" i="9"/>
  <c r="I1775" i="9"/>
  <c r="F1740" i="9"/>
  <c r="H1740" i="9"/>
  <c r="G1740" i="9"/>
  <c r="I1701" i="9"/>
  <c r="K1701" i="9"/>
  <c r="J1701" i="9"/>
  <c r="K1666" i="9"/>
  <c r="J1666" i="9"/>
  <c r="I1666" i="9"/>
  <c r="K1631" i="9"/>
  <c r="J1631" i="9"/>
  <c r="I1631" i="9"/>
  <c r="F1596" i="9"/>
  <c r="H1596" i="9"/>
  <c r="G1596" i="9"/>
  <c r="I1557" i="9"/>
  <c r="K1557" i="9"/>
  <c r="J1557" i="9"/>
  <c r="I5190" i="9"/>
  <c r="K5190" i="9"/>
  <c r="J5190" i="9"/>
  <c r="K5046" i="9"/>
  <c r="J5046" i="9"/>
  <c r="I5046" i="9"/>
  <c r="K4902" i="9"/>
  <c r="J4902" i="9"/>
  <c r="I4902" i="9"/>
  <c r="K4758" i="9"/>
  <c r="J4758" i="9"/>
  <c r="I4758" i="9"/>
  <c r="J4530" i="9"/>
  <c r="K4530" i="9"/>
  <c r="I4530" i="9"/>
  <c r="K4093" i="9"/>
  <c r="J4093" i="9"/>
  <c r="I4093" i="9"/>
  <c r="K3992" i="9"/>
  <c r="J3992" i="9"/>
  <c r="I3992" i="9"/>
  <c r="K3924" i="9"/>
  <c r="J3924" i="9"/>
  <c r="I3924" i="9"/>
  <c r="K3852" i="9"/>
  <c r="J3852" i="9"/>
  <c r="I3852" i="9"/>
  <c r="I3621" i="9"/>
  <c r="K3621" i="9"/>
  <c r="J3621" i="9"/>
  <c r="I3597" i="9"/>
  <c r="K3597" i="9"/>
  <c r="J3597" i="9"/>
  <c r="I3573" i="9"/>
  <c r="K3573" i="9"/>
  <c r="J3573" i="9"/>
  <c r="I3549" i="9"/>
  <c r="K3549" i="9"/>
  <c r="J3549" i="9"/>
  <c r="I3525" i="9"/>
  <c r="K3525" i="9"/>
  <c r="J3525" i="9"/>
  <c r="I3501" i="9"/>
  <c r="K3501" i="9"/>
  <c r="J3501" i="9"/>
  <c r="I3477" i="9"/>
  <c r="K3477" i="9"/>
  <c r="J3477" i="9"/>
  <c r="I3453" i="9"/>
  <c r="K3453" i="9"/>
  <c r="J3453" i="9"/>
  <c r="I3429" i="9"/>
  <c r="K3429" i="9"/>
  <c r="J3429" i="9"/>
  <c r="I3405" i="9"/>
  <c r="K3405" i="9"/>
  <c r="J3405" i="9"/>
  <c r="I3381" i="9"/>
  <c r="K3381" i="9"/>
  <c r="J3381" i="9"/>
  <c r="K2997" i="9"/>
  <c r="J2997" i="9"/>
  <c r="I2997" i="9"/>
  <c r="K2973" i="9"/>
  <c r="J2973" i="9"/>
  <c r="I2973" i="9"/>
  <c r="K2925" i="9"/>
  <c r="J2925" i="9"/>
  <c r="I2925" i="9"/>
  <c r="K2901" i="9"/>
  <c r="J2901" i="9"/>
  <c r="I2901" i="9"/>
  <c r="K2853" i="9"/>
  <c r="J2853" i="9"/>
  <c r="I2853" i="9"/>
  <c r="K2829" i="9"/>
  <c r="J2829" i="9"/>
  <c r="I2829" i="9"/>
  <c r="I2781" i="9"/>
  <c r="K2781" i="9"/>
  <c r="J2781" i="9"/>
  <c r="I2757" i="9"/>
  <c r="K2757" i="9"/>
  <c r="J2757" i="9"/>
  <c r="I2733" i="9"/>
  <c r="K2733" i="9"/>
  <c r="J2733" i="9"/>
  <c r="I2709" i="9"/>
  <c r="K2709" i="9"/>
  <c r="J2709" i="9"/>
  <c r="I2685" i="9"/>
  <c r="K2685" i="9"/>
  <c r="J2685" i="9"/>
  <c r="I2661" i="9"/>
  <c r="K2661" i="9"/>
  <c r="J2661" i="9"/>
  <c r="I2637" i="9"/>
  <c r="K2637" i="9"/>
  <c r="J2637" i="9"/>
  <c r="I2613" i="9"/>
  <c r="K2613" i="9"/>
  <c r="J2613" i="9"/>
  <c r="I2589" i="9"/>
  <c r="K2589" i="9"/>
  <c r="J2589" i="9"/>
  <c r="I2565" i="9"/>
  <c r="K2565" i="9"/>
  <c r="J2565" i="9"/>
  <c r="I2541" i="9"/>
  <c r="K2541" i="9"/>
  <c r="J2541" i="9"/>
  <c r="I2517" i="9"/>
  <c r="K2517" i="9"/>
  <c r="J2517" i="9"/>
  <c r="F2469" i="9"/>
  <c r="H2469" i="9"/>
  <c r="G2469" i="9"/>
  <c r="F2445" i="9"/>
  <c r="H2445" i="9"/>
  <c r="G2445" i="9"/>
  <c r="F2421" i="9"/>
  <c r="H2421" i="9"/>
  <c r="G2421" i="9"/>
  <c r="H2397" i="9"/>
  <c r="G2397" i="9"/>
  <c r="F2397" i="9"/>
  <c r="G2373" i="9"/>
  <c r="F2373" i="9"/>
  <c r="H2373" i="9"/>
  <c r="H2349" i="9"/>
  <c r="G2349" i="9"/>
  <c r="F2349" i="9"/>
  <c r="F2325" i="9"/>
  <c r="H2325" i="9"/>
  <c r="G2325" i="9"/>
  <c r="F2301" i="9"/>
  <c r="H2301" i="9"/>
  <c r="G2301" i="9"/>
  <c r="F2277" i="9"/>
  <c r="H2277" i="9"/>
  <c r="G2277" i="9"/>
  <c r="F2253" i="9"/>
  <c r="H2253" i="9"/>
  <c r="G2253" i="9"/>
  <c r="F2229" i="9"/>
  <c r="H2229" i="9"/>
  <c r="G2229" i="9"/>
  <c r="F2205" i="9"/>
  <c r="H2205" i="9"/>
  <c r="G2205" i="9"/>
  <c r="F2181" i="9"/>
  <c r="H2181" i="9"/>
  <c r="G2181" i="9"/>
  <c r="F2157" i="9"/>
  <c r="H2157" i="9"/>
  <c r="G2157" i="9"/>
  <c r="F2133" i="9"/>
  <c r="H2133" i="9"/>
  <c r="G2133" i="9"/>
  <c r="F2109" i="9"/>
  <c r="H2109" i="9"/>
  <c r="G2109" i="9"/>
  <c r="F2085" i="9"/>
  <c r="H2085" i="9"/>
  <c r="G2085" i="9"/>
  <c r="F2061" i="9"/>
  <c r="H2061" i="9"/>
  <c r="G2061" i="9"/>
  <c r="F2037" i="9"/>
  <c r="H2037" i="9"/>
  <c r="G2037" i="9"/>
  <c r="K2006" i="9"/>
  <c r="J2006" i="9"/>
  <c r="I2006" i="9"/>
  <c r="J1971" i="9"/>
  <c r="I1971" i="9"/>
  <c r="K1971" i="9"/>
  <c r="I1936" i="9"/>
  <c r="K1936" i="9"/>
  <c r="J1936" i="9"/>
  <c r="K1862" i="9"/>
  <c r="J1862" i="9"/>
  <c r="I1862" i="9"/>
  <c r="J1827" i="9"/>
  <c r="I1827" i="9"/>
  <c r="K1827" i="9"/>
  <c r="I1792" i="9"/>
  <c r="J1792" i="9"/>
  <c r="K1792" i="9"/>
  <c r="I294" i="9"/>
  <c r="K294" i="9"/>
  <c r="J294" i="9"/>
  <c r="I270" i="9"/>
  <c r="K270" i="9"/>
  <c r="J270" i="9"/>
  <c r="I246" i="9"/>
  <c r="K246" i="9"/>
  <c r="J246" i="9"/>
  <c r="K226" i="9"/>
  <c r="J226" i="9"/>
  <c r="I226" i="9"/>
  <c r="K202" i="9"/>
  <c r="J202" i="9"/>
  <c r="I202" i="9"/>
  <c r="I174" i="9"/>
  <c r="K174" i="9"/>
  <c r="J174" i="9"/>
  <c r="I150" i="9"/>
  <c r="K150" i="9"/>
  <c r="J150" i="9"/>
  <c r="I126" i="9"/>
  <c r="K126" i="9"/>
  <c r="J126" i="9"/>
  <c r="I102" i="9"/>
  <c r="K102" i="9"/>
  <c r="J102" i="9"/>
  <c r="I78" i="9"/>
  <c r="K78" i="9"/>
  <c r="J78" i="9"/>
  <c r="I54" i="9"/>
  <c r="K54" i="9"/>
  <c r="J54" i="9"/>
  <c r="I30" i="9"/>
  <c r="K30" i="9"/>
  <c r="J30" i="9"/>
  <c r="K6" i="9"/>
  <c r="J6" i="9"/>
  <c r="I6" i="9"/>
  <c r="H4652" i="9"/>
  <c r="F4652" i="9"/>
  <c r="G4652" i="9"/>
  <c r="H4460" i="9"/>
  <c r="F4460" i="9"/>
  <c r="G4460" i="9"/>
  <c r="K4390" i="9"/>
  <c r="J4390" i="9"/>
  <c r="I4390" i="9"/>
  <c r="K4198" i="9"/>
  <c r="J4198" i="9"/>
  <c r="I4198" i="9"/>
  <c r="K4076" i="9"/>
  <c r="J4076" i="9"/>
  <c r="I4076" i="9"/>
  <c r="K3997" i="9"/>
  <c r="J3997" i="9"/>
  <c r="I3997" i="9"/>
  <c r="I3934" i="9"/>
  <c r="K3934" i="9"/>
  <c r="J3934" i="9"/>
  <c r="I3842" i="9"/>
  <c r="K3842" i="9"/>
  <c r="J3842" i="9"/>
  <c r="K3822" i="9"/>
  <c r="J3822" i="9"/>
  <c r="I3822" i="9"/>
  <c r="K3678" i="9"/>
  <c r="J3678" i="9"/>
  <c r="I3678" i="9"/>
  <c r="K3318" i="9"/>
  <c r="J3318" i="9"/>
  <c r="I3318" i="9"/>
  <c r="K3246" i="9"/>
  <c r="J3246" i="9"/>
  <c r="I3246" i="9"/>
  <c r="K3174" i="9"/>
  <c r="J3174" i="9"/>
  <c r="I3174" i="9"/>
  <c r="K3102" i="9"/>
  <c r="J3102" i="9"/>
  <c r="I3102" i="9"/>
  <c r="J3030" i="9"/>
  <c r="K3030" i="9"/>
  <c r="I3030" i="9"/>
  <c r="J2958" i="9"/>
  <c r="K2958" i="9"/>
  <c r="I2958" i="9"/>
  <c r="J2886" i="9"/>
  <c r="K2886" i="9"/>
  <c r="I2886" i="9"/>
  <c r="J2814" i="9"/>
  <c r="I2814" i="9"/>
  <c r="K2814" i="9"/>
  <c r="I2454" i="9"/>
  <c r="K2454" i="9"/>
  <c r="J2454" i="9"/>
  <c r="K2382" i="9"/>
  <c r="J2382" i="9"/>
  <c r="I2382" i="9"/>
  <c r="I2310" i="9"/>
  <c r="K2310" i="9"/>
  <c r="J2310" i="9"/>
  <c r="I2238" i="9"/>
  <c r="K2238" i="9"/>
  <c r="J2238" i="9"/>
  <c r="I2166" i="9"/>
  <c r="K2166" i="9"/>
  <c r="J2166" i="9"/>
  <c r="I2094" i="9"/>
  <c r="K2094" i="9"/>
  <c r="J2094" i="9"/>
  <c r="K2023" i="9"/>
  <c r="J2023" i="9"/>
  <c r="I2023" i="9"/>
  <c r="K1988" i="9"/>
  <c r="I1988" i="9"/>
  <c r="J1988" i="9"/>
  <c r="H1949" i="9"/>
  <c r="G1949" i="9"/>
  <c r="F1949" i="9"/>
  <c r="I1914" i="9"/>
  <c r="K1914" i="9"/>
  <c r="J1914" i="9"/>
  <c r="K1879" i="9"/>
  <c r="J1879" i="9"/>
  <c r="I1879" i="9"/>
  <c r="K1844" i="9"/>
  <c r="I1844" i="9"/>
  <c r="J1844" i="9"/>
  <c r="H1805" i="9"/>
  <c r="G1805" i="9"/>
  <c r="F1805" i="9"/>
  <c r="J1770" i="9"/>
  <c r="I1770" i="9"/>
  <c r="K1770" i="9"/>
  <c r="I1735" i="9"/>
  <c r="K1735" i="9"/>
  <c r="J1735" i="9"/>
  <c r="J1700" i="9"/>
  <c r="I1700" i="9"/>
  <c r="K1700" i="9"/>
  <c r="K1661" i="9"/>
  <c r="J1661" i="9"/>
  <c r="I1661" i="9"/>
  <c r="J1626" i="9"/>
  <c r="I1626" i="9"/>
  <c r="K1626" i="9"/>
  <c r="I1591" i="9"/>
  <c r="K1591" i="9"/>
  <c r="J1591" i="9"/>
  <c r="J1556" i="9"/>
  <c r="I1556" i="9"/>
  <c r="K1556" i="9"/>
  <c r="K830" i="9"/>
  <c r="J830" i="9"/>
  <c r="I830" i="9"/>
  <c r="K818" i="9"/>
  <c r="J818" i="9"/>
  <c r="I818" i="9"/>
  <c r="K806" i="9"/>
  <c r="J806" i="9"/>
  <c r="I806" i="9"/>
  <c r="K794" i="9"/>
  <c r="J794" i="9"/>
  <c r="I794" i="9"/>
  <c r="K782" i="9"/>
  <c r="J782" i="9"/>
  <c r="I782" i="9"/>
  <c r="K770" i="9"/>
  <c r="J770" i="9"/>
  <c r="I770" i="9"/>
  <c r="K758" i="9"/>
  <c r="J758" i="9"/>
  <c r="I758" i="9"/>
  <c r="K746" i="9"/>
  <c r="J746" i="9"/>
  <c r="I746" i="9"/>
  <c r="K734" i="9"/>
  <c r="J734" i="9"/>
  <c r="I734" i="9"/>
  <c r="K722" i="9"/>
  <c r="J722" i="9"/>
  <c r="I722" i="9"/>
  <c r="K710" i="9"/>
  <c r="J710" i="9"/>
  <c r="I710" i="9"/>
  <c r="K698" i="9"/>
  <c r="J698" i="9"/>
  <c r="I698" i="9"/>
  <c r="K686" i="9"/>
  <c r="J686" i="9"/>
  <c r="I686" i="9"/>
  <c r="K674" i="9"/>
  <c r="J674" i="9"/>
  <c r="I674" i="9"/>
  <c r="K662" i="9"/>
  <c r="J662" i="9"/>
  <c r="I662" i="9"/>
  <c r="K650" i="9"/>
  <c r="J650" i="9"/>
  <c r="I650" i="9"/>
  <c r="K638" i="9"/>
  <c r="J638" i="9"/>
  <c r="I638" i="9"/>
  <c r="K626" i="9"/>
  <c r="J626" i="9"/>
  <c r="I626" i="9"/>
  <c r="K614" i="9"/>
  <c r="J614" i="9"/>
  <c r="I614" i="9"/>
  <c r="K602" i="9"/>
  <c r="J602" i="9"/>
  <c r="I602" i="9"/>
  <c r="K590" i="9"/>
  <c r="J590" i="9"/>
  <c r="I590" i="9"/>
  <c r="K578" i="9"/>
  <c r="J578" i="9"/>
  <c r="I578" i="9"/>
  <c r="K566" i="9"/>
  <c r="J566" i="9"/>
  <c r="I566" i="9"/>
  <c r="K554" i="9"/>
  <c r="J554" i="9"/>
  <c r="I554" i="9"/>
  <c r="K542" i="9"/>
  <c r="J542" i="9"/>
  <c r="I542" i="9"/>
  <c r="K530" i="9"/>
  <c r="J530" i="9"/>
  <c r="I530" i="9"/>
  <c r="K518" i="9"/>
  <c r="J518" i="9"/>
  <c r="I518" i="9"/>
  <c r="K506" i="9"/>
  <c r="J506" i="9"/>
  <c r="I506" i="9"/>
  <c r="K494" i="9"/>
  <c r="J494" i="9"/>
  <c r="I494" i="9"/>
  <c r="K398" i="9"/>
  <c r="J398" i="9"/>
  <c r="I398" i="9"/>
  <c r="K334" i="9"/>
  <c r="J334" i="9"/>
  <c r="I334" i="9"/>
  <c r="K322" i="9"/>
  <c r="J322" i="9"/>
  <c r="I322" i="9"/>
  <c r="K310" i="9"/>
  <c r="J310" i="9"/>
  <c r="I310" i="9"/>
  <c r="K262" i="9"/>
  <c r="J262" i="9"/>
  <c r="I262" i="9"/>
  <c r="K238" i="9"/>
  <c r="J238" i="9"/>
  <c r="I238" i="9"/>
  <c r="K214" i="9"/>
  <c r="J214" i="9"/>
  <c r="I214" i="9"/>
  <c r="K190" i="9"/>
  <c r="J190" i="9"/>
  <c r="I190" i="9"/>
  <c r="I2" i="9"/>
  <c r="K2" i="9"/>
  <c r="J2" i="9"/>
  <c r="K5057" i="9"/>
  <c r="J5057" i="9"/>
  <c r="I5057" i="9"/>
  <c r="K4913" i="9"/>
  <c r="J4913" i="9"/>
  <c r="I4913" i="9"/>
  <c r="K4769" i="9"/>
  <c r="J4769" i="9"/>
  <c r="I4769" i="9"/>
  <c r="K4541" i="9"/>
  <c r="I4541" i="9"/>
  <c r="J4541" i="9"/>
  <c r="H4349" i="9"/>
  <c r="F4349" i="9"/>
  <c r="G4349" i="9"/>
  <c r="K4141" i="9"/>
  <c r="J4141" i="9"/>
  <c r="I4141" i="9"/>
  <c r="K4081" i="9"/>
  <c r="J4081" i="9"/>
  <c r="I4081" i="9"/>
  <c r="K4033" i="9"/>
  <c r="J4033" i="9"/>
  <c r="I4033" i="9"/>
  <c r="K3986" i="9"/>
  <c r="J3986" i="9"/>
  <c r="I3986" i="9"/>
  <c r="J3817" i="9"/>
  <c r="I3817" i="9"/>
  <c r="K3817" i="9"/>
  <c r="H3787" i="9"/>
  <c r="F3787" i="9"/>
  <c r="G3787" i="9"/>
  <c r="K3772" i="9"/>
  <c r="I3772" i="9"/>
  <c r="J3772" i="9"/>
  <c r="J3721" i="9"/>
  <c r="I3721" i="9"/>
  <c r="K3721" i="9"/>
  <c r="J3697" i="9"/>
  <c r="I3697" i="9"/>
  <c r="K3697" i="9"/>
  <c r="J3673" i="9"/>
  <c r="I3673" i="9"/>
  <c r="K3673" i="9"/>
  <c r="H3649" i="9"/>
  <c r="G3649" i="9"/>
  <c r="F3649" i="9"/>
  <c r="G3625" i="9"/>
  <c r="H3625" i="9"/>
  <c r="F3625" i="9"/>
  <c r="K3601" i="9"/>
  <c r="J3601" i="9"/>
  <c r="I3601" i="9"/>
  <c r="K3577" i="9"/>
  <c r="J3577" i="9"/>
  <c r="I3577" i="9"/>
  <c r="K3553" i="9"/>
  <c r="J3553" i="9"/>
  <c r="I3553" i="9"/>
  <c r="K3529" i="9"/>
  <c r="J3529" i="9"/>
  <c r="I3529" i="9"/>
  <c r="K3505" i="9"/>
  <c r="J3505" i="9"/>
  <c r="I3505" i="9"/>
  <c r="K3481" i="9"/>
  <c r="J3481" i="9"/>
  <c r="I3481" i="9"/>
  <c r="K3457" i="9"/>
  <c r="J3457" i="9"/>
  <c r="I3457" i="9"/>
  <c r="K3433" i="9"/>
  <c r="J3433" i="9"/>
  <c r="I3433" i="9"/>
  <c r="K3409" i="9"/>
  <c r="J3409" i="9"/>
  <c r="I3409" i="9"/>
  <c r="J3385" i="9"/>
  <c r="I3385" i="9"/>
  <c r="K3385" i="9"/>
  <c r="J3337" i="9"/>
  <c r="I3337" i="9"/>
  <c r="K3337" i="9"/>
  <c r="J3313" i="9"/>
  <c r="I3313" i="9"/>
  <c r="K3313" i="9"/>
  <c r="J3289" i="9"/>
  <c r="I3289" i="9"/>
  <c r="K3289" i="9"/>
  <c r="J3265" i="9"/>
  <c r="I3265" i="9"/>
  <c r="K3265" i="9"/>
  <c r="J3241" i="9"/>
  <c r="I3241" i="9"/>
  <c r="K3241" i="9"/>
  <c r="H3217" i="9"/>
  <c r="G3217" i="9"/>
  <c r="F3217" i="9"/>
  <c r="H3193" i="9"/>
  <c r="G3193" i="9"/>
  <c r="F3193" i="9"/>
  <c r="H3169" i="9"/>
  <c r="G3169" i="9"/>
  <c r="F3169" i="9"/>
  <c r="H3145" i="9"/>
  <c r="G3145" i="9"/>
  <c r="F3145" i="9"/>
  <c r="H3121" i="9"/>
  <c r="G3121" i="9"/>
  <c r="F3121" i="9"/>
  <c r="H3097" i="9"/>
  <c r="G3097" i="9"/>
  <c r="F3097" i="9"/>
  <c r="H3073" i="9"/>
  <c r="G3073" i="9"/>
  <c r="F3073" i="9"/>
  <c r="H3049" i="9"/>
  <c r="G3049" i="9"/>
  <c r="F3049" i="9"/>
  <c r="K2761" i="9"/>
  <c r="J2761" i="9"/>
  <c r="I2761" i="9"/>
  <c r="K2737" i="9"/>
  <c r="J2737" i="9"/>
  <c r="I2737" i="9"/>
  <c r="K2713" i="9"/>
  <c r="J2713" i="9"/>
  <c r="I2713" i="9"/>
  <c r="K2689" i="9"/>
  <c r="J2689" i="9"/>
  <c r="I2689" i="9"/>
  <c r="K2665" i="9"/>
  <c r="J2665" i="9"/>
  <c r="I2665" i="9"/>
  <c r="K2641" i="9"/>
  <c r="J2641" i="9"/>
  <c r="I2641" i="9"/>
  <c r="K2617" i="9"/>
  <c r="J2617" i="9"/>
  <c r="I2617" i="9"/>
  <c r="K2593" i="9"/>
  <c r="J2593" i="9"/>
  <c r="I2593" i="9"/>
  <c r="K2569" i="9"/>
  <c r="J2569" i="9"/>
  <c r="I2569" i="9"/>
  <c r="K2545" i="9"/>
  <c r="J2545" i="9"/>
  <c r="I2545" i="9"/>
  <c r="K2521" i="9"/>
  <c r="J2521" i="9"/>
  <c r="I2521" i="9"/>
  <c r="F2473" i="9"/>
  <c r="H2473" i="9"/>
  <c r="G2473" i="9"/>
  <c r="F1905" i="9"/>
  <c r="H1905" i="9"/>
  <c r="G1905" i="9"/>
  <c r="I1761" i="9"/>
  <c r="K1761" i="9"/>
  <c r="J1761" i="9"/>
  <c r="K1726" i="9"/>
  <c r="J1726" i="9"/>
  <c r="I1726" i="9"/>
  <c r="K1691" i="9"/>
  <c r="J1691" i="9"/>
  <c r="I1691" i="9"/>
  <c r="F1656" i="9"/>
  <c r="H1656" i="9"/>
  <c r="G1656" i="9"/>
  <c r="I1617" i="9"/>
  <c r="K1617" i="9"/>
  <c r="J1617" i="9"/>
  <c r="K1582" i="9"/>
  <c r="J1582" i="9"/>
  <c r="I1582" i="9"/>
  <c r="K1547" i="9"/>
  <c r="J1547" i="9"/>
  <c r="I1547" i="9"/>
  <c r="J4674" i="9"/>
  <c r="K4674" i="9"/>
  <c r="I4674" i="9"/>
  <c r="J4482" i="9"/>
  <c r="K4482" i="9"/>
  <c r="I4482" i="9"/>
  <c r="I4102" i="9"/>
  <c r="K4102" i="9"/>
  <c r="J4102" i="9"/>
  <c r="J4017" i="9"/>
  <c r="I4017" i="9"/>
  <c r="K4017" i="9"/>
  <c r="K3949" i="9"/>
  <c r="J3949" i="9"/>
  <c r="I3949" i="9"/>
  <c r="K3876" i="9"/>
  <c r="J3876" i="9"/>
  <c r="I3876" i="9"/>
  <c r="K3856" i="9"/>
  <c r="I3856" i="9"/>
  <c r="J3856" i="9"/>
  <c r="K3586" i="9"/>
  <c r="J3586" i="9"/>
  <c r="I3586" i="9"/>
  <c r="K3514" i="9"/>
  <c r="J3514" i="9"/>
  <c r="I3514" i="9"/>
  <c r="K3442" i="9"/>
  <c r="J3442" i="9"/>
  <c r="I3442" i="9"/>
  <c r="K3370" i="9"/>
  <c r="J3370" i="9"/>
  <c r="I3370" i="9"/>
  <c r="J2722" i="9"/>
  <c r="I2722" i="9"/>
  <c r="K2722" i="9"/>
  <c r="K2650" i="9"/>
  <c r="J2650" i="9"/>
  <c r="I2650" i="9"/>
  <c r="J2578" i="9"/>
  <c r="I2578" i="9"/>
  <c r="K2578" i="9"/>
  <c r="K2506" i="9"/>
  <c r="J2506" i="9"/>
  <c r="I2506" i="9"/>
  <c r="K2018" i="9"/>
  <c r="J2018" i="9"/>
  <c r="I2018" i="9"/>
  <c r="J1983" i="9"/>
  <c r="I1983" i="9"/>
  <c r="K1983" i="9"/>
  <c r="I1948" i="9"/>
  <c r="K1948" i="9"/>
  <c r="J1948" i="9"/>
  <c r="K1874" i="9"/>
  <c r="J1874" i="9"/>
  <c r="I1874" i="9"/>
  <c r="J1839" i="9"/>
  <c r="I1839" i="9"/>
  <c r="K1839" i="9"/>
  <c r="I1804" i="9"/>
  <c r="J1804" i="9"/>
  <c r="K1804" i="9"/>
  <c r="K945" i="9"/>
  <c r="J945" i="9"/>
  <c r="I945" i="9"/>
  <c r="I929" i="9"/>
  <c r="K929" i="9"/>
  <c r="J929" i="9"/>
  <c r="I917" i="9"/>
  <c r="K917" i="9"/>
  <c r="J917" i="9"/>
  <c r="I905" i="9"/>
  <c r="K905" i="9"/>
  <c r="J905" i="9"/>
  <c r="K861" i="9"/>
  <c r="J861" i="9"/>
  <c r="I861" i="9"/>
  <c r="F801" i="9"/>
  <c r="H801" i="9"/>
  <c r="G801" i="9"/>
  <c r="J785" i="9"/>
  <c r="I785" i="9"/>
  <c r="K785" i="9"/>
  <c r="H761" i="9"/>
  <c r="G761" i="9"/>
  <c r="F761" i="9"/>
  <c r="F741" i="9"/>
  <c r="H741" i="9"/>
  <c r="G741" i="9"/>
  <c r="H713" i="9"/>
  <c r="G713" i="9"/>
  <c r="F713" i="9"/>
  <c r="F693" i="9"/>
  <c r="H693" i="9"/>
  <c r="G693" i="9"/>
  <c r="H665" i="9"/>
  <c r="G665" i="9"/>
  <c r="F665" i="9"/>
  <c r="F645" i="9"/>
  <c r="H645" i="9"/>
  <c r="G645" i="9"/>
  <c r="F621" i="9"/>
  <c r="H621" i="9"/>
  <c r="G621" i="9"/>
  <c r="H605" i="9"/>
  <c r="G605" i="9"/>
  <c r="F605" i="9"/>
  <c r="H581" i="9"/>
  <c r="G581" i="9"/>
  <c r="F581" i="9"/>
  <c r="H557" i="9"/>
  <c r="G557" i="9"/>
  <c r="F557" i="9"/>
  <c r="H509" i="9"/>
  <c r="G509" i="9"/>
  <c r="F509" i="9"/>
  <c r="H461" i="9"/>
  <c r="G461" i="9"/>
  <c r="F461" i="9"/>
  <c r="H449" i="9"/>
  <c r="G449" i="9"/>
  <c r="F449" i="9"/>
  <c r="H437" i="9"/>
  <c r="G437" i="9"/>
  <c r="F437" i="9"/>
  <c r="H425" i="9"/>
  <c r="G425" i="9"/>
  <c r="F425" i="9"/>
  <c r="H413" i="9"/>
  <c r="G413" i="9"/>
  <c r="F413" i="9"/>
  <c r="H401" i="9"/>
  <c r="G401" i="9"/>
  <c r="F401" i="9"/>
  <c r="H389" i="9"/>
  <c r="G389" i="9"/>
  <c r="F389" i="9"/>
  <c r="J305" i="9"/>
  <c r="I305" i="9"/>
  <c r="K305" i="9"/>
  <c r="K285" i="9"/>
  <c r="J285" i="9"/>
  <c r="I285" i="9"/>
  <c r="K261" i="9"/>
  <c r="J261" i="9"/>
  <c r="I261" i="9"/>
  <c r="J221" i="9"/>
  <c r="I221" i="9"/>
  <c r="K221" i="9"/>
  <c r="K177" i="9"/>
  <c r="J177" i="9"/>
  <c r="I177" i="9"/>
  <c r="J149" i="9"/>
  <c r="I149" i="9"/>
  <c r="K149" i="9"/>
  <c r="J125" i="9"/>
  <c r="I125" i="9"/>
  <c r="K125" i="9"/>
  <c r="J101" i="9"/>
  <c r="I101" i="9"/>
  <c r="K101" i="9"/>
  <c r="J89" i="9"/>
  <c r="I89" i="9"/>
  <c r="K89" i="9"/>
  <c r="J29" i="9"/>
  <c r="I29" i="9"/>
  <c r="K29" i="9"/>
  <c r="K5158" i="9"/>
  <c r="I5158" i="9"/>
  <c r="J5158" i="9"/>
  <c r="K4726" i="9"/>
  <c r="I4726" i="9"/>
  <c r="J4726" i="9"/>
  <c r="H4604" i="9"/>
  <c r="F4604" i="9"/>
  <c r="G4604" i="9"/>
  <c r="K4342" i="9"/>
  <c r="J4342" i="9"/>
  <c r="I4342" i="9"/>
  <c r="K4064" i="9"/>
  <c r="J4064" i="9"/>
  <c r="I4064" i="9"/>
  <c r="K4022" i="9"/>
  <c r="J4022" i="9"/>
  <c r="I4022" i="9"/>
  <c r="K3985" i="9"/>
  <c r="J3985" i="9"/>
  <c r="I3985" i="9"/>
  <c r="K3938" i="9"/>
  <c r="J3938" i="9"/>
  <c r="I3938" i="9"/>
  <c r="K3881" i="9"/>
  <c r="J3881" i="9"/>
  <c r="I3881" i="9"/>
  <c r="J3831" i="9"/>
  <c r="I3831" i="9"/>
  <c r="K3831" i="9"/>
  <c r="I3734" i="9"/>
  <c r="K3734" i="9"/>
  <c r="J3734" i="9"/>
  <c r="H3715" i="9"/>
  <c r="F3715" i="9"/>
  <c r="G3715" i="9"/>
  <c r="H3691" i="9"/>
  <c r="F3691" i="9"/>
  <c r="G3691" i="9"/>
  <c r="H3667" i="9"/>
  <c r="F3667" i="9"/>
  <c r="G3667" i="9"/>
  <c r="H3643" i="9"/>
  <c r="G3643" i="9"/>
  <c r="F3643" i="9"/>
  <c r="K3619" i="9"/>
  <c r="J3619" i="9"/>
  <c r="I3619" i="9"/>
  <c r="K3595" i="9"/>
  <c r="J3595" i="9"/>
  <c r="I3595" i="9"/>
  <c r="K3571" i="9"/>
  <c r="J3571" i="9"/>
  <c r="I3571" i="9"/>
  <c r="K3547" i="9"/>
  <c r="J3547" i="9"/>
  <c r="I3547" i="9"/>
  <c r="K3523" i="9"/>
  <c r="J3523" i="9"/>
  <c r="I3523" i="9"/>
  <c r="K3499" i="9"/>
  <c r="J3499" i="9"/>
  <c r="I3499" i="9"/>
  <c r="K3475" i="9"/>
  <c r="J3475" i="9"/>
  <c r="I3475" i="9"/>
  <c r="K3451" i="9"/>
  <c r="J3451" i="9"/>
  <c r="I3451" i="9"/>
  <c r="K3427" i="9"/>
  <c r="J3427" i="9"/>
  <c r="I3427" i="9"/>
  <c r="K3403" i="9"/>
  <c r="J3403" i="9"/>
  <c r="I3403" i="9"/>
  <c r="H3379" i="9"/>
  <c r="G3379" i="9"/>
  <c r="F3379" i="9"/>
  <c r="F3355" i="9"/>
  <c r="G3355" i="9"/>
  <c r="H3355" i="9"/>
  <c r="F3331" i="9"/>
  <c r="H3331" i="9"/>
  <c r="G3331" i="9"/>
  <c r="F3307" i="9"/>
  <c r="H3307" i="9"/>
  <c r="G3307" i="9"/>
  <c r="F3283" i="9"/>
  <c r="H3283" i="9"/>
  <c r="G3283" i="9"/>
  <c r="F3259" i="9"/>
  <c r="H3259" i="9"/>
  <c r="G3259" i="9"/>
  <c r="F3235" i="9"/>
  <c r="H3235" i="9"/>
  <c r="G3235" i="9"/>
  <c r="H3211" i="9"/>
  <c r="G3211" i="9"/>
  <c r="F3211" i="9"/>
  <c r="H3187" i="9"/>
  <c r="G3187" i="9"/>
  <c r="F3187" i="9"/>
  <c r="H3163" i="9"/>
  <c r="G3163" i="9"/>
  <c r="F3163" i="9"/>
  <c r="H3139" i="9"/>
  <c r="G3139" i="9"/>
  <c r="F3139" i="9"/>
  <c r="H3115" i="9"/>
  <c r="G3115" i="9"/>
  <c r="F3115" i="9"/>
  <c r="H3091" i="9"/>
  <c r="G3091" i="9"/>
  <c r="F3091" i="9"/>
  <c r="H3067" i="9"/>
  <c r="G3067" i="9"/>
  <c r="F3067" i="9"/>
  <c r="H3043" i="9"/>
  <c r="G3043" i="9"/>
  <c r="F3043" i="9"/>
  <c r="G3019" i="9"/>
  <c r="F3019" i="9"/>
  <c r="H3019" i="9"/>
  <c r="H2995" i="9"/>
  <c r="G2995" i="9"/>
  <c r="F2995" i="9"/>
  <c r="H2971" i="9"/>
  <c r="G2971" i="9"/>
  <c r="F2971" i="9"/>
  <c r="G2947" i="9"/>
  <c r="F2947" i="9"/>
  <c r="H2947" i="9"/>
  <c r="H2923" i="9"/>
  <c r="G2923" i="9"/>
  <c r="F2923" i="9"/>
  <c r="H2899" i="9"/>
  <c r="G2899" i="9"/>
  <c r="F2899" i="9"/>
  <c r="G2875" i="9"/>
  <c r="F2875" i="9"/>
  <c r="H2875" i="9"/>
  <c r="H2851" i="9"/>
  <c r="G2851" i="9"/>
  <c r="F2851" i="9"/>
  <c r="H2827" i="9"/>
  <c r="G2827" i="9"/>
  <c r="F2827" i="9"/>
  <c r="G2803" i="9"/>
  <c r="F2803" i="9"/>
  <c r="H2803" i="9"/>
  <c r="K2779" i="9"/>
  <c r="J2779" i="9"/>
  <c r="I2779" i="9"/>
  <c r="K2755" i="9"/>
  <c r="J2755" i="9"/>
  <c r="I2755" i="9"/>
  <c r="K2731" i="9"/>
  <c r="J2731" i="9"/>
  <c r="I2731" i="9"/>
  <c r="K2707" i="9"/>
  <c r="J2707" i="9"/>
  <c r="I2707" i="9"/>
  <c r="K2683" i="9"/>
  <c r="J2683" i="9"/>
  <c r="I2683" i="9"/>
  <c r="K2659" i="9"/>
  <c r="J2659" i="9"/>
  <c r="I2659" i="9"/>
  <c r="K2635" i="9"/>
  <c r="J2635" i="9"/>
  <c r="I2635" i="9"/>
  <c r="K2611" i="9"/>
  <c r="J2611" i="9"/>
  <c r="I2611" i="9"/>
  <c r="K2587" i="9"/>
  <c r="J2587" i="9"/>
  <c r="I2587" i="9"/>
  <c r="K2563" i="9"/>
  <c r="J2563" i="9"/>
  <c r="I2563" i="9"/>
  <c r="K2539" i="9"/>
  <c r="J2539" i="9"/>
  <c r="I2539" i="9"/>
  <c r="K2515" i="9"/>
  <c r="J2515" i="9"/>
  <c r="I2515" i="9"/>
  <c r="K2491" i="9"/>
  <c r="J2491" i="9"/>
  <c r="I2491" i="9"/>
  <c r="J2467" i="9"/>
  <c r="I2467" i="9"/>
  <c r="K2467" i="9"/>
  <c r="K2443" i="9"/>
  <c r="J2443" i="9"/>
  <c r="I2443" i="9"/>
  <c r="J2419" i="9"/>
  <c r="I2419" i="9"/>
  <c r="K2419" i="9"/>
  <c r="I2395" i="9"/>
  <c r="K2395" i="9"/>
  <c r="J2395" i="9"/>
  <c r="K2371" i="9"/>
  <c r="J2371" i="9"/>
  <c r="I2371" i="9"/>
  <c r="K2347" i="9"/>
  <c r="J2347" i="9"/>
  <c r="I2347" i="9"/>
  <c r="K2323" i="9"/>
  <c r="J2323" i="9"/>
  <c r="I2323" i="9"/>
  <c r="K2299" i="9"/>
  <c r="J2299" i="9"/>
  <c r="I2299" i="9"/>
  <c r="K2275" i="9"/>
  <c r="J2275" i="9"/>
  <c r="I2275" i="9"/>
  <c r="K2251" i="9"/>
  <c r="J2251" i="9"/>
  <c r="I2251" i="9"/>
  <c r="K2227" i="9"/>
  <c r="J2227" i="9"/>
  <c r="I2227" i="9"/>
  <c r="K2203" i="9"/>
  <c r="J2203" i="9"/>
  <c r="I2203" i="9"/>
  <c r="K2179" i="9"/>
  <c r="J2179" i="9"/>
  <c r="I2179" i="9"/>
  <c r="K2155" i="9"/>
  <c r="J2155" i="9"/>
  <c r="I2155" i="9"/>
  <c r="K2131" i="9"/>
  <c r="J2131" i="9"/>
  <c r="I2131" i="9"/>
  <c r="K2107" i="9"/>
  <c r="J2107" i="9"/>
  <c r="I2107" i="9"/>
  <c r="K2083" i="9"/>
  <c r="J2083" i="9"/>
  <c r="I2083" i="9"/>
  <c r="K2059" i="9"/>
  <c r="J2059" i="9"/>
  <c r="I2059" i="9"/>
  <c r="J2035" i="9"/>
  <c r="I2035" i="9"/>
  <c r="K2035" i="9"/>
  <c r="K2000" i="9"/>
  <c r="J2000" i="9"/>
  <c r="I2000" i="9"/>
  <c r="H1961" i="9"/>
  <c r="G1961" i="9"/>
  <c r="F1961" i="9"/>
  <c r="I1926" i="9"/>
  <c r="K1926" i="9"/>
  <c r="J1926" i="9"/>
  <c r="J1891" i="9"/>
  <c r="I1891" i="9"/>
  <c r="K1891" i="9"/>
  <c r="K1856" i="9"/>
  <c r="J1856" i="9"/>
  <c r="I1856" i="9"/>
  <c r="H1817" i="9"/>
  <c r="G1817" i="9"/>
  <c r="F1817" i="9"/>
  <c r="J1782" i="9"/>
  <c r="I1782" i="9"/>
  <c r="K1782" i="9"/>
  <c r="I1747" i="9"/>
  <c r="K1747" i="9"/>
  <c r="J1747" i="9"/>
  <c r="J1712" i="9"/>
  <c r="I1712" i="9"/>
  <c r="K1712" i="9"/>
  <c r="K1673" i="9"/>
  <c r="J1673" i="9"/>
  <c r="I1673" i="9"/>
  <c r="J1638" i="9"/>
  <c r="I1638" i="9"/>
  <c r="K1638" i="9"/>
  <c r="I1603" i="9"/>
  <c r="K1603" i="9"/>
  <c r="J1603" i="9"/>
  <c r="J1568" i="9"/>
  <c r="I1568" i="9"/>
  <c r="K1568" i="9"/>
  <c r="K1529" i="9"/>
  <c r="I1529" i="9"/>
  <c r="J1529" i="9"/>
  <c r="K1517" i="9"/>
  <c r="I1517" i="9"/>
  <c r="J1517" i="9"/>
  <c r="K1505" i="9"/>
  <c r="I1505" i="9"/>
  <c r="J1505" i="9"/>
  <c r="K1493" i="9"/>
  <c r="I1493" i="9"/>
  <c r="J1493" i="9"/>
  <c r="K1481" i="9"/>
  <c r="I1481" i="9"/>
  <c r="J1481" i="9"/>
  <c r="K1469" i="9"/>
  <c r="I1469" i="9"/>
  <c r="J1469" i="9"/>
  <c r="K1457" i="9"/>
  <c r="I1457" i="9"/>
  <c r="J1457" i="9"/>
  <c r="K1445" i="9"/>
  <c r="I1445" i="9"/>
  <c r="J1445" i="9"/>
  <c r="K1433" i="9"/>
  <c r="I1433" i="9"/>
  <c r="J1433" i="9"/>
  <c r="K1421" i="9"/>
  <c r="I1421" i="9"/>
  <c r="J1421" i="9"/>
  <c r="K1409" i="9"/>
  <c r="I1409" i="9"/>
  <c r="J1409" i="9"/>
  <c r="K1397" i="9"/>
  <c r="I1397" i="9"/>
  <c r="J1397" i="9"/>
  <c r="K1385" i="9"/>
  <c r="I1385" i="9"/>
  <c r="J1385" i="9"/>
  <c r="I1373" i="9"/>
  <c r="K1373" i="9"/>
  <c r="J1373" i="9"/>
  <c r="I1361" i="9"/>
  <c r="K1361" i="9"/>
  <c r="J1361" i="9"/>
  <c r="I1349" i="9"/>
  <c r="K1349" i="9"/>
  <c r="J1349" i="9"/>
  <c r="I1337" i="9"/>
  <c r="K1337" i="9"/>
  <c r="J1337" i="9"/>
  <c r="I1325" i="9"/>
  <c r="K1325" i="9"/>
  <c r="J1325" i="9"/>
  <c r="I1313" i="9"/>
  <c r="K1313" i="9"/>
  <c r="J1313" i="9"/>
  <c r="I1301" i="9"/>
  <c r="K1301" i="9"/>
  <c r="J1301" i="9"/>
  <c r="I1289" i="9"/>
  <c r="K1289" i="9"/>
  <c r="J1289" i="9"/>
  <c r="I1277" i="9"/>
  <c r="K1277" i="9"/>
  <c r="J1277" i="9"/>
  <c r="I1265" i="9"/>
  <c r="K1265" i="9"/>
  <c r="J1265" i="9"/>
  <c r="I1253" i="9"/>
  <c r="K1253" i="9"/>
  <c r="J1253" i="9"/>
  <c r="I1241" i="9"/>
  <c r="K1241" i="9"/>
  <c r="J1241" i="9"/>
  <c r="I1229" i="9"/>
  <c r="K1229" i="9"/>
  <c r="J1229" i="9"/>
  <c r="I1217" i="9"/>
  <c r="K1217" i="9"/>
  <c r="J1217" i="9"/>
  <c r="I1205" i="9"/>
  <c r="K1205" i="9"/>
  <c r="J1205" i="9"/>
  <c r="I1193" i="9"/>
  <c r="K1193" i="9"/>
  <c r="J1193" i="9"/>
  <c r="I1181" i="9"/>
  <c r="K1181" i="9"/>
  <c r="J1181" i="9"/>
  <c r="I1169" i="9"/>
  <c r="K1169" i="9"/>
  <c r="J1169" i="9"/>
  <c r="I1157" i="9"/>
  <c r="K1157" i="9"/>
  <c r="J1157" i="9"/>
  <c r="I1145" i="9"/>
  <c r="K1145" i="9"/>
  <c r="J1145" i="9"/>
  <c r="I1133" i="9"/>
  <c r="K1133" i="9"/>
  <c r="J1133" i="9"/>
  <c r="I1121" i="9"/>
  <c r="K1121" i="9"/>
  <c r="J1121" i="9"/>
  <c r="I1109" i="9"/>
  <c r="K1109" i="9"/>
  <c r="J1109" i="9"/>
  <c r="I1097" i="9"/>
  <c r="K1097" i="9"/>
  <c r="J1097" i="9"/>
  <c r="I1085" i="9"/>
  <c r="K1085" i="9"/>
  <c r="J1085" i="9"/>
  <c r="I1073" i="9"/>
  <c r="K1073" i="9"/>
  <c r="J1073" i="9"/>
  <c r="I1061" i="9"/>
  <c r="K1061" i="9"/>
  <c r="J1061" i="9"/>
  <c r="I1049" i="9"/>
  <c r="K1049" i="9"/>
  <c r="J1049" i="9"/>
  <c r="I1037" i="9"/>
  <c r="K1037" i="9"/>
  <c r="J1037" i="9"/>
  <c r="I1025" i="9"/>
  <c r="K1025" i="9"/>
  <c r="J1025" i="9"/>
  <c r="I1013" i="9"/>
  <c r="K1013" i="9"/>
  <c r="J1013" i="9"/>
  <c r="I1001" i="9"/>
  <c r="K1001" i="9"/>
  <c r="J1001" i="9"/>
  <c r="I989" i="9"/>
  <c r="K989" i="9"/>
  <c r="J989" i="9"/>
  <c r="I977" i="9"/>
  <c r="K977" i="9"/>
  <c r="J977" i="9"/>
  <c r="I965" i="9"/>
  <c r="K965" i="9"/>
  <c r="J965" i="9"/>
  <c r="K885" i="9"/>
  <c r="J885" i="9"/>
  <c r="I885" i="9"/>
  <c r="F837" i="9"/>
  <c r="H837" i="9"/>
  <c r="G837" i="9"/>
  <c r="J821" i="9"/>
  <c r="I821" i="9"/>
  <c r="K821" i="9"/>
  <c r="H773" i="9"/>
  <c r="G773" i="9"/>
  <c r="F773" i="9"/>
  <c r="H749" i="9"/>
  <c r="G749" i="9"/>
  <c r="F749" i="9"/>
  <c r="H701" i="9"/>
  <c r="G701" i="9"/>
  <c r="F701" i="9"/>
  <c r="H677" i="9"/>
  <c r="G677" i="9"/>
  <c r="F677" i="9"/>
  <c r="F597" i="9"/>
  <c r="H597" i="9"/>
  <c r="G597" i="9"/>
  <c r="H545" i="9"/>
  <c r="G545" i="9"/>
  <c r="F545" i="9"/>
  <c r="F525" i="9"/>
  <c r="H525" i="9"/>
  <c r="G525" i="9"/>
  <c r="K381" i="9"/>
  <c r="J381" i="9"/>
  <c r="I381" i="9"/>
  <c r="K357" i="9"/>
  <c r="J357" i="9"/>
  <c r="I357" i="9"/>
  <c r="K333" i="9"/>
  <c r="J333" i="9"/>
  <c r="I333" i="9"/>
  <c r="J317" i="9"/>
  <c r="I317" i="9"/>
  <c r="K317" i="9"/>
  <c r="J293" i="9"/>
  <c r="I293" i="9"/>
  <c r="K293" i="9"/>
  <c r="J233" i="9"/>
  <c r="I233" i="9"/>
  <c r="K233" i="9"/>
  <c r="K201" i="9"/>
  <c r="J201" i="9"/>
  <c r="I201" i="9"/>
  <c r="J113" i="9"/>
  <c r="I113" i="9"/>
  <c r="K113" i="9"/>
  <c r="J65" i="9"/>
  <c r="I65" i="9"/>
  <c r="K65" i="9"/>
  <c r="J41" i="9"/>
  <c r="I41" i="9"/>
  <c r="K41" i="9"/>
  <c r="K4685" i="9"/>
  <c r="I4685" i="9"/>
  <c r="J4685" i="9"/>
  <c r="K4493" i="9"/>
  <c r="I4493" i="9"/>
  <c r="J4493" i="9"/>
  <c r="H4301" i="9"/>
  <c r="F4301" i="9"/>
  <c r="G4301" i="9"/>
  <c r="H4107" i="9"/>
  <c r="G4107" i="9"/>
  <c r="F4107" i="9"/>
  <c r="H4011" i="9"/>
  <c r="G4011" i="9"/>
  <c r="F4011" i="9"/>
  <c r="K3870" i="9"/>
  <c r="J3870" i="9"/>
  <c r="I3870" i="9"/>
  <c r="K3738" i="9"/>
  <c r="J3738" i="9"/>
  <c r="I3738" i="9"/>
  <c r="H3662" i="9"/>
  <c r="G3662" i="9"/>
  <c r="F3662" i="9"/>
  <c r="H3590" i="9"/>
  <c r="G3590" i="9"/>
  <c r="F3590" i="9"/>
  <c r="H3518" i="9"/>
  <c r="G3518" i="9"/>
  <c r="F3518" i="9"/>
  <c r="H3446" i="9"/>
  <c r="G3446" i="9"/>
  <c r="F3446" i="9"/>
  <c r="H3374" i="9"/>
  <c r="G3374" i="9"/>
  <c r="F3374" i="9"/>
  <c r="I3302" i="9"/>
  <c r="K3302" i="9"/>
  <c r="J3302" i="9"/>
  <c r="H2726" i="9"/>
  <c r="F2726" i="9"/>
  <c r="G2726" i="9"/>
  <c r="H2654" i="9"/>
  <c r="G2654" i="9"/>
  <c r="F2654" i="9"/>
  <c r="H2582" i="9"/>
  <c r="F2582" i="9"/>
  <c r="G2582" i="9"/>
  <c r="H2510" i="9"/>
  <c r="G2510" i="9"/>
  <c r="F2510" i="9"/>
  <c r="K2438" i="9"/>
  <c r="J2438" i="9"/>
  <c r="I2438" i="9"/>
  <c r="K2366" i="9"/>
  <c r="J2366" i="9"/>
  <c r="I2366" i="9"/>
  <c r="K2294" i="9"/>
  <c r="J2294" i="9"/>
  <c r="I2294" i="9"/>
  <c r="K2222" i="9"/>
  <c r="J2222" i="9"/>
  <c r="I2222" i="9"/>
  <c r="K2150" i="9"/>
  <c r="J2150" i="9"/>
  <c r="I2150" i="9"/>
  <c r="K2078" i="9"/>
  <c r="J2078" i="9"/>
  <c r="I2078" i="9"/>
  <c r="F2013" i="9"/>
  <c r="H2013" i="9"/>
  <c r="G2013" i="9"/>
  <c r="F1869" i="9"/>
  <c r="H1869" i="9"/>
  <c r="G1869" i="9"/>
  <c r="F1764" i="9"/>
  <c r="H1764" i="9"/>
  <c r="G1764" i="9"/>
  <c r="I1725" i="9"/>
  <c r="K1725" i="9"/>
  <c r="J1725" i="9"/>
  <c r="K1690" i="9"/>
  <c r="J1690" i="9"/>
  <c r="I1690" i="9"/>
  <c r="K1655" i="9"/>
  <c r="J1655" i="9"/>
  <c r="I1655" i="9"/>
  <c r="F1620" i="9"/>
  <c r="H1620" i="9"/>
  <c r="G1620" i="9"/>
  <c r="I1581" i="9"/>
  <c r="K1581" i="9"/>
  <c r="J1581" i="9"/>
  <c r="F1546" i="9"/>
  <c r="H1546" i="9"/>
  <c r="G1546" i="9"/>
  <c r="H6527" i="9"/>
  <c r="G6527" i="9"/>
  <c r="F6527" i="9"/>
  <c r="K6431" i="9"/>
  <c r="J6431" i="9"/>
  <c r="I6431" i="9"/>
  <c r="H6436" i="9"/>
  <c r="G6436" i="9"/>
  <c r="F6436" i="9"/>
  <c r="H5578" i="9"/>
  <c r="G5578" i="9"/>
  <c r="F5578" i="9"/>
  <c r="H5173" i="9"/>
  <c r="F5173" i="9"/>
  <c r="G5173" i="9"/>
  <c r="K5002" i="9"/>
  <c r="J5002" i="9"/>
  <c r="I5002" i="9"/>
  <c r="K4693" i="9"/>
  <c r="J4693" i="9"/>
  <c r="I4693" i="9"/>
  <c r="K6097" i="9"/>
  <c r="J6097" i="9"/>
  <c r="I6097" i="9"/>
  <c r="K5971" i="9"/>
  <c r="J5971" i="9"/>
  <c r="I5971" i="9"/>
  <c r="H5845" i="9"/>
  <c r="G5845" i="9"/>
  <c r="F5845" i="9"/>
  <c r="F4991" i="9"/>
  <c r="H4991" i="9"/>
  <c r="G4991" i="9"/>
  <c r="H4157" i="9"/>
  <c r="G4157" i="9"/>
  <c r="F4157" i="9"/>
  <c r="K5718" i="9"/>
  <c r="J5718" i="9"/>
  <c r="I5718" i="9"/>
  <c r="H5273" i="9"/>
  <c r="G5273" i="9"/>
  <c r="F5273" i="9"/>
  <c r="H5150" i="9"/>
  <c r="G5150" i="9"/>
  <c r="F5150" i="9"/>
  <c r="K5006" i="9"/>
  <c r="J5006" i="9"/>
  <c r="I5006" i="9"/>
  <c r="K4910" i="9"/>
  <c r="J4910" i="9"/>
  <c r="I4910" i="9"/>
  <c r="F4979" i="9"/>
  <c r="H4979" i="9"/>
  <c r="G4979" i="9"/>
  <c r="H4739" i="9"/>
  <c r="G4739" i="9"/>
  <c r="F4739" i="9"/>
  <c r="K6389" i="9"/>
  <c r="J6389" i="9"/>
  <c r="I6389" i="9"/>
  <c r="K6209" i="9"/>
  <c r="J6209" i="9"/>
  <c r="I6209" i="9"/>
  <c r="K5624" i="9"/>
  <c r="J5624" i="9"/>
  <c r="I5624" i="9"/>
  <c r="H4146" i="9"/>
  <c r="G4146" i="9"/>
  <c r="F4146" i="9"/>
  <c r="H5613" i="9"/>
  <c r="G5613" i="9"/>
  <c r="F5613" i="9"/>
  <c r="H6334" i="9"/>
  <c r="G6334" i="9"/>
  <c r="F6334" i="9"/>
  <c r="K6022" i="9"/>
  <c r="I6022" i="9"/>
  <c r="J6022" i="9"/>
  <c r="H4935" i="9"/>
  <c r="G4935" i="9"/>
  <c r="F4935" i="9"/>
  <c r="H6369" i="9"/>
  <c r="G6369" i="9"/>
  <c r="F6369" i="9"/>
  <c r="K5949" i="9"/>
  <c r="J5949" i="9"/>
  <c r="I5949" i="9"/>
  <c r="K5553" i="9"/>
  <c r="J5553" i="9"/>
  <c r="I5553" i="9"/>
  <c r="K5334" i="9"/>
  <c r="J5334" i="9"/>
  <c r="I5334" i="9"/>
  <c r="H5019" i="9"/>
  <c r="G5019" i="9"/>
  <c r="F5019" i="9"/>
  <c r="H6470" i="9"/>
  <c r="G6470" i="9"/>
  <c r="F6470" i="9"/>
  <c r="H6110" i="9"/>
  <c r="G6110" i="9"/>
  <c r="F6110" i="9"/>
  <c r="H4736" i="9"/>
  <c r="G4736" i="9"/>
  <c r="F4736" i="9"/>
  <c r="H3436" i="9"/>
  <c r="G3436" i="9"/>
  <c r="F3436" i="9"/>
  <c r="K3028" i="9"/>
  <c r="J3028" i="9"/>
  <c r="I3028" i="9"/>
  <c r="K2812" i="9"/>
  <c r="J2812" i="9"/>
  <c r="I2812" i="9"/>
  <c r="H2620" i="9"/>
  <c r="G2620" i="9"/>
  <c r="F2620" i="9"/>
  <c r="H1768" i="9"/>
  <c r="G1768" i="9"/>
  <c r="F1768" i="9"/>
  <c r="K672" i="9"/>
  <c r="I672" i="9"/>
  <c r="J672" i="9"/>
  <c r="K444" i="9"/>
  <c r="I444" i="9"/>
  <c r="J444" i="9"/>
  <c r="K1500" i="9"/>
  <c r="J1500" i="9"/>
  <c r="I1500" i="9"/>
  <c r="H436" i="9"/>
  <c r="G436" i="9"/>
  <c r="F436" i="9"/>
  <c r="K96" i="9"/>
  <c r="J96" i="9"/>
  <c r="I96" i="9"/>
  <c r="H4015" i="9"/>
  <c r="G4015" i="9"/>
  <c r="F4015" i="9"/>
  <c r="K3579" i="9"/>
  <c r="J3579" i="9"/>
  <c r="I3579" i="9"/>
  <c r="K2643" i="9"/>
  <c r="J2643" i="9"/>
  <c r="I2643" i="9"/>
  <c r="K4561" i="9"/>
  <c r="J4561" i="9"/>
  <c r="I4561" i="9"/>
  <c r="K3884" i="9"/>
  <c r="J3884" i="9"/>
  <c r="I3884" i="9"/>
  <c r="K2182" i="9"/>
  <c r="J2182" i="9"/>
  <c r="I2182" i="9"/>
  <c r="H471" i="9"/>
  <c r="F471" i="9"/>
  <c r="G471" i="9"/>
  <c r="H3755" i="9"/>
  <c r="G3755" i="9"/>
  <c r="F3755" i="9"/>
  <c r="J3151" i="9"/>
  <c r="I3151" i="9"/>
  <c r="K3151" i="9"/>
  <c r="K1295" i="9"/>
  <c r="J1295" i="9"/>
  <c r="I1295" i="9"/>
  <c r="K1211" i="9"/>
  <c r="J1211" i="9"/>
  <c r="I1211" i="9"/>
  <c r="K1103" i="9"/>
  <c r="J1103" i="9"/>
  <c r="I1103" i="9"/>
  <c r="K983" i="9"/>
  <c r="J983" i="9"/>
  <c r="I983" i="9"/>
  <c r="K1548" i="9"/>
  <c r="J1548" i="9"/>
  <c r="I1548" i="9"/>
  <c r="H3472" i="9"/>
  <c r="G3472" i="9"/>
  <c r="F3472" i="9"/>
  <c r="J3016" i="9"/>
  <c r="I3016" i="9"/>
  <c r="K3016" i="9"/>
  <c r="J2800" i="9"/>
  <c r="I2800" i="9"/>
  <c r="K2800" i="9"/>
  <c r="H2632" i="9"/>
  <c r="G2632" i="9"/>
  <c r="F2632" i="9"/>
  <c r="G1814" i="9"/>
  <c r="F1814" i="9"/>
  <c r="H1814" i="9"/>
  <c r="K814" i="9"/>
  <c r="J814" i="9"/>
  <c r="I814" i="9"/>
  <c r="G706" i="9"/>
  <c r="F706" i="9"/>
  <c r="H706" i="9"/>
  <c r="H586" i="9"/>
  <c r="G586" i="9"/>
  <c r="F586" i="9"/>
  <c r="H490" i="9"/>
  <c r="G490" i="9"/>
  <c r="F490" i="9"/>
  <c r="K4669" i="9"/>
  <c r="J4669" i="9"/>
  <c r="I4669" i="9"/>
  <c r="I3236" i="9"/>
  <c r="K3236" i="9"/>
  <c r="J3236" i="9"/>
  <c r="H3068" i="9"/>
  <c r="F3068" i="9"/>
  <c r="G3068" i="9"/>
  <c r="K2876" i="9"/>
  <c r="J2876" i="9"/>
  <c r="I2876" i="9"/>
  <c r="K2194" i="9"/>
  <c r="J2194" i="9"/>
  <c r="I2194" i="9"/>
  <c r="K913" i="9"/>
  <c r="J913" i="9"/>
  <c r="I913" i="9"/>
  <c r="H457" i="9"/>
  <c r="G457" i="9"/>
  <c r="F457" i="9"/>
  <c r="H3437" i="9"/>
  <c r="G3437" i="9"/>
  <c r="F3437" i="9"/>
  <c r="H2573" i="9"/>
  <c r="G2573" i="9"/>
  <c r="F2573" i="9"/>
  <c r="K1513" i="9"/>
  <c r="J1513" i="9"/>
  <c r="I1513" i="9"/>
  <c r="K1393" i="9"/>
  <c r="J1393" i="9"/>
  <c r="I1393" i="9"/>
  <c r="K1273" i="9"/>
  <c r="J1273" i="9"/>
  <c r="I1273" i="9"/>
  <c r="K1153" i="9"/>
  <c r="J1153" i="9"/>
  <c r="I1153" i="9"/>
  <c r="H1033" i="9"/>
  <c r="G1033" i="9"/>
  <c r="F1033" i="9"/>
  <c r="H2198" i="9"/>
  <c r="G2198" i="9"/>
  <c r="F2198" i="9"/>
  <c r="K6596" i="9"/>
  <c r="J6596" i="9"/>
  <c r="I6596" i="9"/>
  <c r="K6536" i="9"/>
  <c r="J6536" i="9"/>
  <c r="I6536" i="9"/>
  <c r="H6488" i="9"/>
  <c r="G6488" i="9"/>
  <c r="F6488" i="9"/>
  <c r="H5658" i="9"/>
  <c r="G5658" i="9"/>
  <c r="F5658" i="9"/>
  <c r="K5562" i="9"/>
  <c r="J5562" i="9"/>
  <c r="I5562" i="9"/>
  <c r="J5349" i="9"/>
  <c r="I5349" i="9"/>
  <c r="K5349" i="9"/>
  <c r="K5013" i="9"/>
  <c r="J5013" i="9"/>
  <c r="I5013" i="9"/>
  <c r="K4869" i="9"/>
  <c r="J4869" i="9"/>
  <c r="I4869" i="9"/>
  <c r="K4821" i="9"/>
  <c r="J4821" i="9"/>
  <c r="I4821" i="9"/>
  <c r="G4581" i="9"/>
  <c r="F4581" i="9"/>
  <c r="H4581" i="9"/>
  <c r="H4410" i="9"/>
  <c r="G4410" i="9"/>
  <c r="F4410" i="9"/>
  <c r="H6469" i="9"/>
  <c r="F6469" i="9"/>
  <c r="G6469" i="9"/>
  <c r="H6319" i="9"/>
  <c r="G6319" i="9"/>
  <c r="F6319" i="9"/>
  <c r="H6283" i="9"/>
  <c r="G6283" i="9"/>
  <c r="F6283" i="9"/>
  <c r="H6085" i="9"/>
  <c r="G6085" i="9"/>
  <c r="F6085" i="9"/>
  <c r="H6013" i="9"/>
  <c r="G6013" i="9"/>
  <c r="F6013" i="9"/>
  <c r="H5923" i="9"/>
  <c r="F5923" i="9"/>
  <c r="G5923" i="9"/>
  <c r="K5535" i="9"/>
  <c r="J5535" i="9"/>
  <c r="I5535" i="9"/>
  <c r="J5343" i="9"/>
  <c r="I5343" i="9"/>
  <c r="K5343" i="9"/>
  <c r="K4047" i="9"/>
  <c r="J4047" i="9"/>
  <c r="I4047" i="9"/>
  <c r="G5124" i="9"/>
  <c r="F5124" i="9"/>
  <c r="H5124" i="9"/>
  <c r="K4596" i="9"/>
  <c r="J4596" i="9"/>
  <c r="I4596" i="9"/>
  <c r="K4452" i="9"/>
  <c r="J4452" i="9"/>
  <c r="I4452" i="9"/>
  <c r="K6486" i="9"/>
  <c r="J6486" i="9"/>
  <c r="I6486" i="9"/>
  <c r="K6378" i="9"/>
  <c r="J6378" i="9"/>
  <c r="I6378" i="9"/>
  <c r="H6300" i="9"/>
  <c r="G6300" i="9"/>
  <c r="F6300" i="9"/>
  <c r="K6048" i="9"/>
  <c r="I6048" i="9"/>
  <c r="J6048" i="9"/>
  <c r="K5958" i="9"/>
  <c r="J5958" i="9"/>
  <c r="I5958" i="9"/>
  <c r="H5742" i="9"/>
  <c r="G5742" i="9"/>
  <c r="F5742" i="9"/>
  <c r="H5326" i="9"/>
  <c r="G5326" i="9"/>
  <c r="F5326" i="9"/>
  <c r="K5065" i="9"/>
  <c r="J5065" i="9"/>
  <c r="I5065" i="9"/>
  <c r="G4990" i="9"/>
  <c r="F4990" i="9"/>
  <c r="H4990" i="9"/>
  <c r="G4894" i="9"/>
  <c r="F4894" i="9"/>
  <c r="H4894" i="9"/>
  <c r="G4846" i="9"/>
  <c r="F4846" i="9"/>
  <c r="H4846" i="9"/>
  <c r="H4681" i="9"/>
  <c r="G4681" i="9"/>
  <c r="F4681" i="9"/>
  <c r="H4633" i="9"/>
  <c r="G4633" i="9"/>
  <c r="F4633" i="9"/>
  <c r="K4558" i="9"/>
  <c r="J4558" i="9"/>
  <c r="I4558" i="9"/>
  <c r="K4510" i="9"/>
  <c r="J4510" i="9"/>
  <c r="I4510" i="9"/>
  <c r="H4441" i="9"/>
  <c r="G4441" i="9"/>
  <c r="F4441" i="9"/>
  <c r="H5427" i="9"/>
  <c r="G5427" i="9"/>
  <c r="F5427" i="9"/>
  <c r="H4084" i="9"/>
  <c r="G4084" i="9"/>
  <c r="F4084" i="9"/>
  <c r="F6341" i="9"/>
  <c r="H6341" i="9"/>
  <c r="G6341" i="9"/>
  <c r="K6287" i="9"/>
  <c r="J6287" i="9"/>
  <c r="I6287" i="9"/>
  <c r="H6035" i="9"/>
  <c r="G6035" i="9"/>
  <c r="F6035" i="9"/>
  <c r="H5819" i="9"/>
  <c r="G5819" i="9"/>
  <c r="F5819" i="9"/>
  <c r="G5496" i="9"/>
  <c r="F5496" i="9"/>
  <c r="H5496" i="9"/>
  <c r="K5256" i="9"/>
  <c r="J5256" i="9"/>
  <c r="I5256" i="9"/>
  <c r="K6587" i="9"/>
  <c r="J6587" i="9"/>
  <c r="I6587" i="9"/>
  <c r="H6563" i="9"/>
  <c r="G6563" i="9"/>
  <c r="F6563" i="9"/>
  <c r="H6479" i="9"/>
  <c r="G6479" i="9"/>
  <c r="F6479" i="9"/>
  <c r="H6467" i="9"/>
  <c r="G6467" i="9"/>
  <c r="F6467" i="9"/>
  <c r="H6455" i="9"/>
  <c r="G6455" i="9"/>
  <c r="F6455" i="9"/>
  <c r="K6443" i="9"/>
  <c r="J6443" i="9"/>
  <c r="I6443" i="9"/>
  <c r="H6431" i="9"/>
  <c r="G6431" i="9"/>
  <c r="F6431" i="9"/>
  <c r="H6472" i="9"/>
  <c r="G6472" i="9"/>
  <c r="F6472" i="9"/>
  <c r="H6460" i="9"/>
  <c r="G6460" i="9"/>
  <c r="F6460" i="9"/>
  <c r="H6448" i="9"/>
  <c r="G6448" i="9"/>
  <c r="F6448" i="9"/>
  <c r="K6412" i="9"/>
  <c r="J6412" i="9"/>
  <c r="I6412" i="9"/>
  <c r="K6400" i="9"/>
  <c r="J6400" i="9"/>
  <c r="I6400" i="9"/>
  <c r="K6388" i="9"/>
  <c r="J6388" i="9"/>
  <c r="I6388" i="9"/>
  <c r="K6376" i="9"/>
  <c r="I6376" i="9"/>
  <c r="J6376" i="9"/>
  <c r="K6364" i="9"/>
  <c r="J6364" i="9"/>
  <c r="I6364" i="9"/>
  <c r="K6352" i="9"/>
  <c r="I6352" i="9"/>
  <c r="J6352" i="9"/>
  <c r="K6340" i="9"/>
  <c r="J6340" i="9"/>
  <c r="I6340" i="9"/>
  <c r="H5626" i="9"/>
  <c r="G5626" i="9"/>
  <c r="F5626" i="9"/>
  <c r="H5317" i="9"/>
  <c r="F5317" i="9"/>
  <c r="G5317" i="9"/>
  <c r="G5098" i="9"/>
  <c r="F5098" i="9"/>
  <c r="H5098" i="9"/>
  <c r="K5077" i="9"/>
  <c r="J5077" i="9"/>
  <c r="I5077" i="9"/>
  <c r="G5050" i="9"/>
  <c r="F5050" i="9"/>
  <c r="H5050" i="9"/>
  <c r="K5029" i="9"/>
  <c r="J5029" i="9"/>
  <c r="I5029" i="9"/>
  <c r="G5002" i="9"/>
  <c r="F5002" i="9"/>
  <c r="H5002" i="9"/>
  <c r="K4981" i="9"/>
  <c r="J4981" i="9"/>
  <c r="I4981" i="9"/>
  <c r="G4954" i="9"/>
  <c r="F4954" i="9"/>
  <c r="H4954" i="9"/>
  <c r="K4933" i="9"/>
  <c r="J4933" i="9"/>
  <c r="I4933" i="9"/>
  <c r="G4906" i="9"/>
  <c r="F4906" i="9"/>
  <c r="H4906" i="9"/>
  <c r="K4885" i="9"/>
  <c r="J4885" i="9"/>
  <c r="I4885" i="9"/>
  <c r="G4858" i="9"/>
  <c r="F4858" i="9"/>
  <c r="H4858" i="9"/>
  <c r="K4837" i="9"/>
  <c r="J4837" i="9"/>
  <c r="I4837" i="9"/>
  <c r="H4762" i="9"/>
  <c r="G4762" i="9"/>
  <c r="F4762" i="9"/>
  <c r="K4714" i="9"/>
  <c r="J4714" i="9"/>
  <c r="I4714" i="9"/>
  <c r="H4693" i="9"/>
  <c r="G4693" i="9"/>
  <c r="F4693" i="9"/>
  <c r="K4666" i="9"/>
  <c r="J4666" i="9"/>
  <c r="I4666" i="9"/>
  <c r="H4645" i="9"/>
  <c r="G4645" i="9"/>
  <c r="F4645" i="9"/>
  <c r="K4618" i="9"/>
  <c r="J4618" i="9"/>
  <c r="I4618" i="9"/>
  <c r="H4597" i="9"/>
  <c r="G4597" i="9"/>
  <c r="F4597" i="9"/>
  <c r="K4570" i="9"/>
  <c r="J4570" i="9"/>
  <c r="I4570" i="9"/>
  <c r="H4549" i="9"/>
  <c r="G4549" i="9"/>
  <c r="F4549" i="9"/>
  <c r="K4522" i="9"/>
  <c r="J4522" i="9"/>
  <c r="I4522" i="9"/>
  <c r="H4501" i="9"/>
  <c r="G4501" i="9"/>
  <c r="F4501" i="9"/>
  <c r="K4474" i="9"/>
  <c r="J4474" i="9"/>
  <c r="I4474" i="9"/>
  <c r="H4453" i="9"/>
  <c r="G4453" i="9"/>
  <c r="F4453" i="9"/>
  <c r="H4213" i="9"/>
  <c r="G4213" i="9"/>
  <c r="F4213" i="9"/>
  <c r="H6565" i="9"/>
  <c r="G6565" i="9"/>
  <c r="F6565" i="9"/>
  <c r="K6457" i="9"/>
  <c r="J6457" i="9"/>
  <c r="I6457" i="9"/>
  <c r="H6331" i="9"/>
  <c r="G6331" i="9"/>
  <c r="F6331" i="9"/>
  <c r="H6295" i="9"/>
  <c r="G6295" i="9"/>
  <c r="F6295" i="9"/>
  <c r="H6259" i="9"/>
  <c r="G6259" i="9"/>
  <c r="F6259" i="9"/>
  <c r="H6223" i="9"/>
  <c r="G6223" i="9"/>
  <c r="F6223" i="9"/>
  <c r="H6187" i="9"/>
  <c r="G6187" i="9"/>
  <c r="F6187" i="9"/>
  <c r="H6151" i="9"/>
  <c r="F6151" i="9"/>
  <c r="G6151" i="9"/>
  <c r="K6133" i="9"/>
  <c r="J6133" i="9"/>
  <c r="I6133" i="9"/>
  <c r="H6097" i="9"/>
  <c r="G6097" i="9"/>
  <c r="F6097" i="9"/>
  <c r="H6061" i="9"/>
  <c r="G6061" i="9"/>
  <c r="F6061" i="9"/>
  <c r="H6025" i="9"/>
  <c r="G6025" i="9"/>
  <c r="F6025" i="9"/>
  <c r="H5971" i="9"/>
  <c r="G5971" i="9"/>
  <c r="F5971" i="9"/>
  <c r="H5935" i="9"/>
  <c r="G5935" i="9"/>
  <c r="F5935" i="9"/>
  <c r="H5899" i="9"/>
  <c r="G5899" i="9"/>
  <c r="F5899" i="9"/>
  <c r="H5809" i="9"/>
  <c r="G5809" i="9"/>
  <c r="F5809" i="9"/>
  <c r="J5519" i="9"/>
  <c r="K5519" i="9"/>
  <c r="I5519" i="9"/>
  <c r="K5279" i="9"/>
  <c r="J5279" i="9"/>
  <c r="I5279" i="9"/>
  <c r="K5231" i="9"/>
  <c r="J5231" i="9"/>
  <c r="I5231" i="9"/>
  <c r="K5183" i="9"/>
  <c r="J5183" i="9"/>
  <c r="I5183" i="9"/>
  <c r="K5135" i="9"/>
  <c r="J5135" i="9"/>
  <c r="I5135" i="9"/>
  <c r="H4703" i="9"/>
  <c r="G4703" i="9"/>
  <c r="F4703" i="9"/>
  <c r="H4655" i="9"/>
  <c r="G4655" i="9"/>
  <c r="F4655" i="9"/>
  <c r="H4607" i="9"/>
  <c r="G4607" i="9"/>
  <c r="F4607" i="9"/>
  <c r="H4559" i="9"/>
  <c r="G4559" i="9"/>
  <c r="F4559" i="9"/>
  <c r="H4511" i="9"/>
  <c r="G4511" i="9"/>
  <c r="F4511" i="9"/>
  <c r="H4463" i="9"/>
  <c r="G4463" i="9"/>
  <c r="F4463" i="9"/>
  <c r="K4143" i="9"/>
  <c r="J4143" i="9"/>
  <c r="I4143" i="9"/>
  <c r="K4071" i="9"/>
  <c r="J4071" i="9"/>
  <c r="I4071" i="9"/>
  <c r="K3999" i="9"/>
  <c r="J3999" i="9"/>
  <c r="I3999" i="9"/>
  <c r="J3927" i="9"/>
  <c r="I3927" i="9"/>
  <c r="K3927" i="9"/>
  <c r="K5636" i="9"/>
  <c r="J5636" i="9"/>
  <c r="I5636" i="9"/>
  <c r="K5588" i="9"/>
  <c r="J5588" i="9"/>
  <c r="I5588" i="9"/>
  <c r="H4772" i="9"/>
  <c r="G4772" i="9"/>
  <c r="F4772" i="9"/>
  <c r="K4676" i="9"/>
  <c r="J4676" i="9"/>
  <c r="I4676" i="9"/>
  <c r="K4628" i="9"/>
  <c r="J4628" i="9"/>
  <c r="I4628" i="9"/>
  <c r="K4580" i="9"/>
  <c r="J4580" i="9"/>
  <c r="I4580" i="9"/>
  <c r="K4532" i="9"/>
  <c r="J4532" i="9"/>
  <c r="I4532" i="9"/>
  <c r="K4484" i="9"/>
  <c r="J4484" i="9"/>
  <c r="I4484" i="9"/>
  <c r="H4388" i="9"/>
  <c r="G4388" i="9"/>
  <c r="F4388" i="9"/>
  <c r="H4340" i="9"/>
  <c r="G4340" i="9"/>
  <c r="F4340" i="9"/>
  <c r="H4292" i="9"/>
  <c r="G4292" i="9"/>
  <c r="F4292" i="9"/>
  <c r="H4244" i="9"/>
  <c r="G4244" i="9"/>
  <c r="F4244" i="9"/>
  <c r="K6510" i="9"/>
  <c r="J6510" i="9"/>
  <c r="I6510" i="9"/>
  <c r="K6402" i="9"/>
  <c r="J6402" i="9"/>
  <c r="I6402" i="9"/>
  <c r="H6366" i="9"/>
  <c r="G6366" i="9"/>
  <c r="F6366" i="9"/>
  <c r="K6330" i="9"/>
  <c r="J6330" i="9"/>
  <c r="I6330" i="9"/>
  <c r="K6294" i="9"/>
  <c r="I6294" i="9"/>
  <c r="J6294" i="9"/>
  <c r="H6276" i="9"/>
  <c r="G6276" i="9"/>
  <c r="F6276" i="9"/>
  <c r="K6258" i="9"/>
  <c r="J6258" i="9"/>
  <c r="I6258" i="9"/>
  <c r="K6222" i="9"/>
  <c r="J6222" i="9"/>
  <c r="I6222" i="9"/>
  <c r="K6186" i="9"/>
  <c r="J6186" i="9"/>
  <c r="I6186" i="9"/>
  <c r="K6150" i="9"/>
  <c r="J6150" i="9"/>
  <c r="I6150" i="9"/>
  <c r="K6132" i="9"/>
  <c r="J6132" i="9"/>
  <c r="I6132" i="9"/>
  <c r="K6096" i="9"/>
  <c r="J6096" i="9"/>
  <c r="I6096" i="9"/>
  <c r="K6060" i="9"/>
  <c r="I6060" i="9"/>
  <c r="J6060" i="9"/>
  <c r="H6042" i="9"/>
  <c r="G6042" i="9"/>
  <c r="F6042" i="9"/>
  <c r="K6024" i="9"/>
  <c r="I6024" i="9"/>
  <c r="J6024" i="9"/>
  <c r="K5970" i="9"/>
  <c r="J5970" i="9"/>
  <c r="I5970" i="9"/>
  <c r="K5934" i="9"/>
  <c r="J5934" i="9"/>
  <c r="I5934" i="9"/>
  <c r="K5898" i="9"/>
  <c r="J5898" i="9"/>
  <c r="I5898" i="9"/>
  <c r="H5754" i="9"/>
  <c r="G5754" i="9"/>
  <c r="F5754" i="9"/>
  <c r="H5718" i="9"/>
  <c r="G5718" i="9"/>
  <c r="F5718" i="9"/>
  <c r="K5609" i="9"/>
  <c r="J5609" i="9"/>
  <c r="I5609" i="9"/>
  <c r="K5561" i="9"/>
  <c r="J5561" i="9"/>
  <c r="I5561" i="9"/>
  <c r="K5438" i="9"/>
  <c r="J5438" i="9"/>
  <c r="I5438" i="9"/>
  <c r="H5417" i="9"/>
  <c r="G5417" i="9"/>
  <c r="F5417" i="9"/>
  <c r="K5390" i="9"/>
  <c r="J5390" i="9"/>
  <c r="I5390" i="9"/>
  <c r="H5369" i="9"/>
  <c r="G5369" i="9"/>
  <c r="F5369" i="9"/>
  <c r="H5102" i="9"/>
  <c r="G5102" i="9"/>
  <c r="F5102" i="9"/>
  <c r="H5054" i="9"/>
  <c r="G5054" i="9"/>
  <c r="F5054" i="9"/>
  <c r="H5006" i="9"/>
  <c r="G5006" i="9"/>
  <c r="F5006" i="9"/>
  <c r="H4958" i="9"/>
  <c r="G4958" i="9"/>
  <c r="F4958" i="9"/>
  <c r="H4910" i="9"/>
  <c r="G4910" i="9"/>
  <c r="F4910" i="9"/>
  <c r="H4862" i="9"/>
  <c r="G4862" i="9"/>
  <c r="F4862" i="9"/>
  <c r="K4409" i="9"/>
  <c r="J4409" i="9"/>
  <c r="I4409" i="9"/>
  <c r="K4361" i="9"/>
  <c r="J4361" i="9"/>
  <c r="I4361" i="9"/>
  <c r="K4313" i="9"/>
  <c r="J4313" i="9"/>
  <c r="I4313" i="9"/>
  <c r="K4265" i="9"/>
  <c r="J4265" i="9"/>
  <c r="I4265" i="9"/>
  <c r="K4217" i="9"/>
  <c r="J4217" i="9"/>
  <c r="I4217" i="9"/>
  <c r="J5459" i="9"/>
  <c r="K5459" i="9"/>
  <c r="I5459" i="9"/>
  <c r="K5267" i="9"/>
  <c r="J5267" i="9"/>
  <c r="I5267" i="9"/>
  <c r="K5219" i="9"/>
  <c r="J5219" i="9"/>
  <c r="I5219" i="9"/>
  <c r="K5171" i="9"/>
  <c r="J5171" i="9"/>
  <c r="I5171" i="9"/>
  <c r="K5123" i="9"/>
  <c r="J5123" i="9"/>
  <c r="I5123" i="9"/>
  <c r="H4691" i="9"/>
  <c r="G4691" i="9"/>
  <c r="F4691" i="9"/>
  <c r="H4643" i="9"/>
  <c r="G4643" i="9"/>
  <c r="F4643" i="9"/>
  <c r="H4595" i="9"/>
  <c r="G4595" i="9"/>
  <c r="F4595" i="9"/>
  <c r="H4547" i="9"/>
  <c r="G4547" i="9"/>
  <c r="F4547" i="9"/>
  <c r="H4499" i="9"/>
  <c r="G4499" i="9"/>
  <c r="F4499" i="9"/>
  <c r="H4451" i="9"/>
  <c r="G4451" i="9"/>
  <c r="F4451" i="9"/>
  <c r="H4180" i="9"/>
  <c r="G4180" i="9"/>
  <c r="F4180" i="9"/>
  <c r="H4108" i="9"/>
  <c r="G4108" i="9"/>
  <c r="F4108" i="9"/>
  <c r="H6389" i="9"/>
  <c r="G6389" i="9"/>
  <c r="F6389" i="9"/>
  <c r="H6353" i="9"/>
  <c r="G6353" i="9"/>
  <c r="F6353" i="9"/>
  <c r="H6245" i="9"/>
  <c r="G6245" i="9"/>
  <c r="F6245" i="9"/>
  <c r="H6209" i="9"/>
  <c r="G6209" i="9"/>
  <c r="F6209" i="9"/>
  <c r="H6173" i="9"/>
  <c r="G6173" i="9"/>
  <c r="F6173" i="9"/>
  <c r="H6137" i="9"/>
  <c r="F6137" i="9"/>
  <c r="G6137" i="9"/>
  <c r="H6119" i="9"/>
  <c r="G6119" i="9"/>
  <c r="F6119" i="9"/>
  <c r="H6083" i="9"/>
  <c r="G6083" i="9"/>
  <c r="F6083" i="9"/>
  <c r="I6065" i="9"/>
  <c r="K6065" i="9"/>
  <c r="J6065" i="9"/>
  <c r="H6047" i="9"/>
  <c r="G6047" i="9"/>
  <c r="F6047" i="9"/>
  <c r="I6029" i="9"/>
  <c r="K6029" i="9"/>
  <c r="J6029" i="9"/>
  <c r="H6011" i="9"/>
  <c r="G6011" i="9"/>
  <c r="F6011" i="9"/>
  <c r="H5867" i="9"/>
  <c r="G5867" i="9"/>
  <c r="F5867" i="9"/>
  <c r="H5831" i="9"/>
  <c r="G5831" i="9"/>
  <c r="F5831" i="9"/>
  <c r="H5795" i="9"/>
  <c r="G5795" i="9"/>
  <c r="F5795" i="9"/>
  <c r="H5624" i="9"/>
  <c r="G5624" i="9"/>
  <c r="F5624" i="9"/>
  <c r="H4808" i="9"/>
  <c r="G4808" i="9"/>
  <c r="F4808" i="9"/>
  <c r="H4760" i="9"/>
  <c r="G4760" i="9"/>
  <c r="F4760" i="9"/>
  <c r="K4712" i="9"/>
  <c r="J4712" i="9"/>
  <c r="I4712" i="9"/>
  <c r="K4664" i="9"/>
  <c r="J4664" i="9"/>
  <c r="I4664" i="9"/>
  <c r="K4616" i="9"/>
  <c r="J4616" i="9"/>
  <c r="I4616" i="9"/>
  <c r="K4568" i="9"/>
  <c r="J4568" i="9"/>
  <c r="I4568" i="9"/>
  <c r="K4520" i="9"/>
  <c r="J4520" i="9"/>
  <c r="I4520" i="9"/>
  <c r="K4472" i="9"/>
  <c r="J4472" i="9"/>
  <c r="I4472" i="9"/>
  <c r="H4424" i="9"/>
  <c r="G4424" i="9"/>
  <c r="F4424" i="9"/>
  <c r="H4376" i="9"/>
  <c r="G4376" i="9"/>
  <c r="F4376" i="9"/>
  <c r="H4328" i="9"/>
  <c r="G4328" i="9"/>
  <c r="F4328" i="9"/>
  <c r="H4280" i="9"/>
  <c r="G4280" i="9"/>
  <c r="F4280" i="9"/>
  <c r="H4232" i="9"/>
  <c r="G4232" i="9"/>
  <c r="F4232" i="9"/>
  <c r="H5682" i="9"/>
  <c r="G5682" i="9"/>
  <c r="F5682" i="9"/>
  <c r="K5634" i="9"/>
  <c r="J5634" i="9"/>
  <c r="I5634" i="9"/>
  <c r="K5586" i="9"/>
  <c r="J5586" i="9"/>
  <c r="I5586" i="9"/>
  <c r="K5565" i="9"/>
  <c r="J5565" i="9"/>
  <c r="I5565" i="9"/>
  <c r="H5538" i="9"/>
  <c r="G5538" i="9"/>
  <c r="F5538" i="9"/>
  <c r="J5517" i="9"/>
  <c r="I5517" i="9"/>
  <c r="K5517" i="9"/>
  <c r="G5490" i="9"/>
  <c r="F5490" i="9"/>
  <c r="H5490" i="9"/>
  <c r="K5394" i="9"/>
  <c r="J5394" i="9"/>
  <c r="I5394" i="9"/>
  <c r="G5346" i="9"/>
  <c r="F5346" i="9"/>
  <c r="H5346" i="9"/>
  <c r="K5085" i="9"/>
  <c r="J5085" i="9"/>
  <c r="I5085" i="9"/>
  <c r="K5037" i="9"/>
  <c r="J5037" i="9"/>
  <c r="I5037" i="9"/>
  <c r="K4989" i="9"/>
  <c r="J4989" i="9"/>
  <c r="I4989" i="9"/>
  <c r="K4941" i="9"/>
  <c r="J4941" i="9"/>
  <c r="I4941" i="9"/>
  <c r="K4893" i="9"/>
  <c r="J4893" i="9"/>
  <c r="I4893" i="9"/>
  <c r="K4845" i="9"/>
  <c r="J4845" i="9"/>
  <c r="I4845" i="9"/>
  <c r="K4722" i="9"/>
  <c r="J4722" i="9"/>
  <c r="I4722" i="9"/>
  <c r="K6550" i="9"/>
  <c r="J6550" i="9"/>
  <c r="I6550" i="9"/>
  <c r="K6478" i="9"/>
  <c r="J6478" i="9"/>
  <c r="I6478" i="9"/>
  <c r="K6442" i="9"/>
  <c r="I6442" i="9"/>
  <c r="J6442" i="9"/>
  <c r="K6256" i="9"/>
  <c r="J6256" i="9"/>
  <c r="I6256" i="9"/>
  <c r="K6220" i="9"/>
  <c r="J6220" i="9"/>
  <c r="I6220" i="9"/>
  <c r="K6184" i="9"/>
  <c r="J6184" i="9"/>
  <c r="I6184" i="9"/>
  <c r="K6148" i="9"/>
  <c r="I6148" i="9"/>
  <c r="J6148" i="9"/>
  <c r="K6130" i="9"/>
  <c r="J6130" i="9"/>
  <c r="I6130" i="9"/>
  <c r="K6094" i="9"/>
  <c r="J6094" i="9"/>
  <c r="I6094" i="9"/>
  <c r="K5878" i="9"/>
  <c r="J5878" i="9"/>
  <c r="I5878" i="9"/>
  <c r="K5842" i="9"/>
  <c r="J5842" i="9"/>
  <c r="I5842" i="9"/>
  <c r="K5806" i="9"/>
  <c r="J5806" i="9"/>
  <c r="I5806" i="9"/>
  <c r="K5770" i="9"/>
  <c r="J5770" i="9"/>
  <c r="I5770" i="9"/>
  <c r="H5752" i="9"/>
  <c r="G5752" i="9"/>
  <c r="F5752" i="9"/>
  <c r="H5716" i="9"/>
  <c r="G5716" i="9"/>
  <c r="F5716" i="9"/>
  <c r="K5655" i="9"/>
  <c r="J5655" i="9"/>
  <c r="I5655" i="9"/>
  <c r="J5511" i="9"/>
  <c r="I5511" i="9"/>
  <c r="K5511" i="9"/>
  <c r="J5463" i="9"/>
  <c r="K5463" i="9"/>
  <c r="I5463" i="9"/>
  <c r="H5415" i="9"/>
  <c r="G5415" i="9"/>
  <c r="F5415" i="9"/>
  <c r="K5367" i="9"/>
  <c r="J5367" i="9"/>
  <c r="I5367" i="9"/>
  <c r="J5319" i="9"/>
  <c r="K5319" i="9"/>
  <c r="I5319" i="9"/>
  <c r="K5271" i="9"/>
  <c r="J5271" i="9"/>
  <c r="I5271" i="9"/>
  <c r="K5223" i="9"/>
  <c r="J5223" i="9"/>
  <c r="I5223" i="9"/>
  <c r="K5175" i="9"/>
  <c r="J5175" i="9"/>
  <c r="I5175" i="9"/>
  <c r="K5127" i="9"/>
  <c r="J5127" i="9"/>
  <c r="I5127" i="9"/>
  <c r="H4839" i="9"/>
  <c r="G4839" i="9"/>
  <c r="F4839" i="9"/>
  <c r="I4743" i="9"/>
  <c r="K4743" i="9"/>
  <c r="J4743" i="9"/>
  <c r="G5692" i="9"/>
  <c r="H5692" i="9"/>
  <c r="F5692" i="9"/>
  <c r="H5500" i="9"/>
  <c r="G5500" i="9"/>
  <c r="F5500" i="9"/>
  <c r="F5452" i="9"/>
  <c r="H5452" i="9"/>
  <c r="G5452" i="9"/>
  <c r="H5404" i="9"/>
  <c r="G5404" i="9"/>
  <c r="F5404" i="9"/>
  <c r="J5356" i="9"/>
  <c r="I5356" i="9"/>
  <c r="K5356" i="9"/>
  <c r="H5308" i="9"/>
  <c r="G5308" i="9"/>
  <c r="F5308" i="9"/>
  <c r="H5260" i="9"/>
  <c r="G5260" i="9"/>
  <c r="F5260" i="9"/>
  <c r="H5212" i="9"/>
  <c r="G5212" i="9"/>
  <c r="F5212" i="9"/>
  <c r="H5164" i="9"/>
  <c r="G5164" i="9"/>
  <c r="F5164" i="9"/>
  <c r="H5116" i="9"/>
  <c r="G5116" i="9"/>
  <c r="F5116" i="9"/>
  <c r="G4732" i="9"/>
  <c r="F4732" i="9"/>
  <c r="H4732" i="9"/>
  <c r="F6585" i="9"/>
  <c r="H6585" i="9"/>
  <c r="G6585" i="9"/>
  <c r="H6549" i="9"/>
  <c r="G6549" i="9"/>
  <c r="F6549" i="9"/>
  <c r="K6345" i="9"/>
  <c r="J6345" i="9"/>
  <c r="I6345" i="9"/>
  <c r="H6309" i="9"/>
  <c r="G6309" i="9"/>
  <c r="F6309" i="9"/>
  <c r="H5985" i="9"/>
  <c r="G5985" i="9"/>
  <c r="F5985" i="9"/>
  <c r="H5949" i="9"/>
  <c r="G5949" i="9"/>
  <c r="F5949" i="9"/>
  <c r="H5913" i="9"/>
  <c r="G5913" i="9"/>
  <c r="F5913" i="9"/>
  <c r="H5877" i="9"/>
  <c r="G5877" i="9"/>
  <c r="F5877" i="9"/>
  <c r="H5841" i="9"/>
  <c r="G5841" i="9"/>
  <c r="F5841" i="9"/>
  <c r="G5805" i="9"/>
  <c r="H5805" i="9"/>
  <c r="F5805" i="9"/>
  <c r="H5769" i="9"/>
  <c r="G5769" i="9"/>
  <c r="F5769" i="9"/>
  <c r="K5751" i="9"/>
  <c r="J5751" i="9"/>
  <c r="I5751" i="9"/>
  <c r="K5715" i="9"/>
  <c r="J5715" i="9"/>
  <c r="I5715" i="9"/>
  <c r="H5670" i="9"/>
  <c r="G5670" i="9"/>
  <c r="F5670" i="9"/>
  <c r="K5622" i="9"/>
  <c r="J5622" i="9"/>
  <c r="I5622" i="9"/>
  <c r="H5574" i="9"/>
  <c r="G5574" i="9"/>
  <c r="F5574" i="9"/>
  <c r="H5553" i="9"/>
  <c r="G5553" i="9"/>
  <c r="F5553" i="9"/>
  <c r="H5526" i="9"/>
  <c r="G5526" i="9"/>
  <c r="F5526" i="9"/>
  <c r="J5505" i="9"/>
  <c r="I5505" i="9"/>
  <c r="K5505" i="9"/>
  <c r="G5478" i="9"/>
  <c r="F5478" i="9"/>
  <c r="H5478" i="9"/>
  <c r="G5334" i="9"/>
  <c r="F5334" i="9"/>
  <c r="H5334" i="9"/>
  <c r="G5313" i="9"/>
  <c r="H5313" i="9"/>
  <c r="F5313" i="9"/>
  <c r="K5691" i="9"/>
  <c r="J5691" i="9"/>
  <c r="I5691" i="9"/>
  <c r="J5499" i="9"/>
  <c r="I5499" i="9"/>
  <c r="K5499" i="9"/>
  <c r="K5451" i="9"/>
  <c r="J5451" i="9"/>
  <c r="I5451" i="9"/>
  <c r="K5403" i="9"/>
  <c r="J5403" i="9"/>
  <c r="I5403" i="9"/>
  <c r="J5355" i="9"/>
  <c r="K5355" i="9"/>
  <c r="I5355" i="9"/>
  <c r="K5259" i="9"/>
  <c r="J5259" i="9"/>
  <c r="I5259" i="9"/>
  <c r="K5211" i="9"/>
  <c r="J5211" i="9"/>
  <c r="I5211" i="9"/>
  <c r="K5163" i="9"/>
  <c r="J5163" i="9"/>
  <c r="I5163" i="9"/>
  <c r="K5115" i="9"/>
  <c r="J5115" i="9"/>
  <c r="I5115" i="9"/>
  <c r="K4731" i="9"/>
  <c r="J4731" i="9"/>
  <c r="I4731" i="9"/>
  <c r="H4120" i="9"/>
  <c r="G4120" i="9"/>
  <c r="F4120" i="9"/>
  <c r="H4048" i="9"/>
  <c r="G4048" i="9"/>
  <c r="F4048" i="9"/>
  <c r="H3976" i="9"/>
  <c r="G3976" i="9"/>
  <c r="F3976" i="9"/>
  <c r="K3861" i="9"/>
  <c r="J3861" i="9"/>
  <c r="I3861" i="9"/>
  <c r="H6434" i="9"/>
  <c r="G6434" i="9"/>
  <c r="F6434" i="9"/>
  <c r="K6308" i="9"/>
  <c r="J6308" i="9"/>
  <c r="I6308" i="9"/>
  <c r="G6038" i="9"/>
  <c r="F6038" i="9"/>
  <c r="H6038" i="9"/>
  <c r="K5984" i="9"/>
  <c r="J5984" i="9"/>
  <c r="I5984" i="9"/>
  <c r="K5948" i="9"/>
  <c r="J5948" i="9"/>
  <c r="I5948" i="9"/>
  <c r="K5912" i="9"/>
  <c r="J5912" i="9"/>
  <c r="I5912" i="9"/>
  <c r="K5876" i="9"/>
  <c r="J5876" i="9"/>
  <c r="I5876" i="9"/>
  <c r="K5840" i="9"/>
  <c r="J5840" i="9"/>
  <c r="I5840" i="9"/>
  <c r="K5804" i="9"/>
  <c r="J5804" i="9"/>
  <c r="I5804" i="9"/>
  <c r="K5768" i="9"/>
  <c r="J5768" i="9"/>
  <c r="I5768" i="9"/>
  <c r="F5648" i="9"/>
  <c r="H5648" i="9"/>
  <c r="G5648" i="9"/>
  <c r="K5552" i="9"/>
  <c r="J5552" i="9"/>
  <c r="I5552" i="9"/>
  <c r="K5456" i="9"/>
  <c r="J5456" i="9"/>
  <c r="I5456" i="9"/>
  <c r="H4784" i="9"/>
  <c r="G4784" i="9"/>
  <c r="F4784" i="9"/>
  <c r="K4736" i="9"/>
  <c r="J4736" i="9"/>
  <c r="I4736" i="9"/>
  <c r="K4688" i="9"/>
  <c r="J4688" i="9"/>
  <c r="I4688" i="9"/>
  <c r="K4640" i="9"/>
  <c r="J4640" i="9"/>
  <c r="I4640" i="9"/>
  <c r="K4592" i="9"/>
  <c r="J4592" i="9"/>
  <c r="I4592" i="9"/>
  <c r="K4544" i="9"/>
  <c r="J4544" i="9"/>
  <c r="I4544" i="9"/>
  <c r="K4496" i="9"/>
  <c r="J4496" i="9"/>
  <c r="I4496" i="9"/>
  <c r="K4448" i="9"/>
  <c r="J4448" i="9"/>
  <c r="I4448" i="9"/>
  <c r="H4400" i="9"/>
  <c r="G4400" i="9"/>
  <c r="F4400" i="9"/>
  <c r="H4352" i="9"/>
  <c r="G4352" i="9"/>
  <c r="F4352" i="9"/>
  <c r="H4304" i="9"/>
  <c r="G4304" i="9"/>
  <c r="F4304" i="9"/>
  <c r="H4256" i="9"/>
  <c r="G4256" i="9"/>
  <c r="F4256" i="9"/>
  <c r="K4977" i="9"/>
  <c r="J4977" i="9"/>
  <c r="I4977" i="9"/>
  <c r="K4690" i="9"/>
  <c r="J4690" i="9"/>
  <c r="I4690" i="9"/>
  <c r="H4609" i="9"/>
  <c r="G4609" i="9"/>
  <c r="F4609" i="9"/>
  <c r="K4498" i="9"/>
  <c r="J4498" i="9"/>
  <c r="I4498" i="9"/>
  <c r="H4225" i="9"/>
  <c r="G4225" i="9"/>
  <c r="F4225" i="9"/>
  <c r="K3835" i="9"/>
  <c r="J3835" i="9"/>
  <c r="I3835" i="9"/>
  <c r="K3004" i="9"/>
  <c r="J3004" i="9"/>
  <c r="I3004" i="9"/>
  <c r="K2932" i="9"/>
  <c r="J2932" i="9"/>
  <c r="I2932" i="9"/>
  <c r="K2860" i="9"/>
  <c r="J2860" i="9"/>
  <c r="I2860" i="9"/>
  <c r="K2788" i="9"/>
  <c r="J2788" i="9"/>
  <c r="I2788" i="9"/>
  <c r="H2716" i="9"/>
  <c r="G2716" i="9"/>
  <c r="F2716" i="9"/>
  <c r="K2548" i="9"/>
  <c r="J2548" i="9"/>
  <c r="I2548" i="9"/>
  <c r="H2476" i="9"/>
  <c r="G2476" i="9"/>
  <c r="F2476" i="9"/>
  <c r="H1729" i="9"/>
  <c r="G1729" i="9"/>
  <c r="F1729" i="9"/>
  <c r="K1694" i="9"/>
  <c r="J1694" i="9"/>
  <c r="I1694" i="9"/>
  <c r="H1659" i="9"/>
  <c r="G1659" i="9"/>
  <c r="F1659" i="9"/>
  <c r="H1585" i="9"/>
  <c r="G1585" i="9"/>
  <c r="F1585" i="9"/>
  <c r="K1550" i="9"/>
  <c r="J1550" i="9"/>
  <c r="I1550" i="9"/>
  <c r="K1116" i="9"/>
  <c r="J1116" i="9"/>
  <c r="I1116" i="9"/>
  <c r="H672" i="9"/>
  <c r="G672" i="9"/>
  <c r="F672" i="9"/>
  <c r="H612" i="9"/>
  <c r="G612" i="9"/>
  <c r="F612" i="9"/>
  <c r="F468" i="9"/>
  <c r="H468" i="9"/>
  <c r="G468" i="9"/>
  <c r="F444" i="9"/>
  <c r="H444" i="9"/>
  <c r="G444" i="9"/>
  <c r="F420" i="9"/>
  <c r="H420" i="9"/>
  <c r="G420" i="9"/>
  <c r="H288" i="9"/>
  <c r="G288" i="9"/>
  <c r="F288" i="9"/>
  <c r="H216" i="9"/>
  <c r="G216" i="9"/>
  <c r="F216" i="9"/>
  <c r="H192" i="9"/>
  <c r="G192" i="9"/>
  <c r="F192" i="9"/>
  <c r="H168" i="9"/>
  <c r="G168" i="9"/>
  <c r="F168" i="9"/>
  <c r="H4" i="9"/>
  <c r="G4" i="9"/>
  <c r="F4" i="9"/>
  <c r="H3874" i="9"/>
  <c r="G3874" i="9"/>
  <c r="F3874" i="9"/>
  <c r="G2058" i="9"/>
  <c r="F2058" i="9"/>
  <c r="H2058" i="9"/>
  <c r="J1973" i="9"/>
  <c r="I1973" i="9"/>
  <c r="K1973" i="9"/>
  <c r="I1829" i="9"/>
  <c r="K1829" i="9"/>
  <c r="J1829" i="9"/>
  <c r="G1794" i="9"/>
  <c r="F1794" i="9"/>
  <c r="H1794" i="9"/>
  <c r="K1308" i="9"/>
  <c r="J1308" i="9"/>
  <c r="I1308" i="9"/>
  <c r="H648" i="9"/>
  <c r="G648" i="9"/>
  <c r="F648" i="9"/>
  <c r="H624" i="9"/>
  <c r="G624" i="9"/>
  <c r="F624" i="9"/>
  <c r="H600" i="9"/>
  <c r="G600" i="9"/>
  <c r="F600" i="9"/>
  <c r="H576" i="9"/>
  <c r="G576" i="9"/>
  <c r="F576" i="9"/>
  <c r="H552" i="9"/>
  <c r="G552" i="9"/>
  <c r="F552" i="9"/>
  <c r="H504" i="9"/>
  <c r="G504" i="9"/>
  <c r="F504" i="9"/>
  <c r="H456" i="9"/>
  <c r="G456" i="9"/>
  <c r="F456" i="9"/>
  <c r="H264" i="9"/>
  <c r="G264" i="9"/>
  <c r="F264" i="9"/>
  <c r="H180" i="9"/>
  <c r="G180" i="9"/>
  <c r="F180" i="9"/>
  <c r="H108" i="9"/>
  <c r="G108" i="9"/>
  <c r="F108" i="9"/>
  <c r="H96" i="9"/>
  <c r="G96" i="9"/>
  <c r="F96" i="9"/>
  <c r="H5078" i="9"/>
  <c r="G5078" i="9"/>
  <c r="F5078" i="9"/>
  <c r="H4934" i="9"/>
  <c r="G4934" i="9"/>
  <c r="F4934" i="9"/>
  <c r="K4253" i="9"/>
  <c r="J4253" i="9"/>
  <c r="I4253" i="9"/>
  <c r="K3859" i="9"/>
  <c r="J3859" i="9"/>
  <c r="I3859" i="9"/>
  <c r="K3751" i="9"/>
  <c r="J3751" i="9"/>
  <c r="I3751" i="9"/>
  <c r="H3651" i="9"/>
  <c r="G3651" i="9"/>
  <c r="F3651" i="9"/>
  <c r="G3627" i="9"/>
  <c r="H3627" i="9"/>
  <c r="F3627" i="9"/>
  <c r="H3603" i="9"/>
  <c r="G3603" i="9"/>
  <c r="F3603" i="9"/>
  <c r="H3579" i="9"/>
  <c r="G3579" i="9"/>
  <c r="F3579" i="9"/>
  <c r="H3555" i="9"/>
  <c r="G3555" i="9"/>
  <c r="F3555" i="9"/>
  <c r="H3531" i="9"/>
  <c r="G3531" i="9"/>
  <c r="F3531" i="9"/>
  <c r="H3507" i="9"/>
  <c r="G3507" i="9"/>
  <c r="F3507" i="9"/>
  <c r="H3483" i="9"/>
  <c r="G3483" i="9"/>
  <c r="F3483" i="9"/>
  <c r="H3459" i="9"/>
  <c r="G3459" i="9"/>
  <c r="F3459" i="9"/>
  <c r="H3435" i="9"/>
  <c r="G3435" i="9"/>
  <c r="F3435" i="9"/>
  <c r="H3411" i="9"/>
  <c r="G3411" i="9"/>
  <c r="F3411" i="9"/>
  <c r="H3387" i="9"/>
  <c r="G3387" i="9"/>
  <c r="F3387" i="9"/>
  <c r="H3363" i="9"/>
  <c r="G3363" i="9"/>
  <c r="F3363" i="9"/>
  <c r="H3243" i="9"/>
  <c r="G3243" i="9"/>
  <c r="F3243" i="9"/>
  <c r="H2763" i="9"/>
  <c r="G2763" i="9"/>
  <c r="F2763" i="9"/>
  <c r="H2739" i="9"/>
  <c r="G2739" i="9"/>
  <c r="F2739" i="9"/>
  <c r="H2715" i="9"/>
  <c r="G2715" i="9"/>
  <c r="F2715" i="9"/>
  <c r="H2691" i="9"/>
  <c r="G2691" i="9"/>
  <c r="F2691" i="9"/>
  <c r="H2667" i="9"/>
  <c r="G2667" i="9"/>
  <c r="F2667" i="9"/>
  <c r="H2643" i="9"/>
  <c r="G2643" i="9"/>
  <c r="F2643" i="9"/>
  <c r="H2619" i="9"/>
  <c r="G2619" i="9"/>
  <c r="F2619" i="9"/>
  <c r="H2595" i="9"/>
  <c r="G2595" i="9"/>
  <c r="F2595" i="9"/>
  <c r="H2571" i="9"/>
  <c r="G2571" i="9"/>
  <c r="F2571" i="9"/>
  <c r="H2547" i="9"/>
  <c r="G2547" i="9"/>
  <c r="F2547" i="9"/>
  <c r="H2523" i="9"/>
  <c r="G2523" i="9"/>
  <c r="F2523" i="9"/>
  <c r="J2003" i="9"/>
  <c r="I2003" i="9"/>
  <c r="K2003" i="9"/>
  <c r="H1968" i="9"/>
  <c r="G1968" i="9"/>
  <c r="F1968" i="9"/>
  <c r="K1929" i="9"/>
  <c r="J1929" i="9"/>
  <c r="I1929" i="9"/>
  <c r="J1859" i="9"/>
  <c r="I1859" i="9"/>
  <c r="K1859" i="9"/>
  <c r="K1680" i="9"/>
  <c r="J1680" i="9"/>
  <c r="I1680" i="9"/>
  <c r="K4642" i="9"/>
  <c r="J4642" i="9"/>
  <c r="I4642" i="9"/>
  <c r="H4561" i="9"/>
  <c r="G4561" i="9"/>
  <c r="F4561" i="9"/>
  <c r="K4450" i="9"/>
  <c r="J4450" i="9"/>
  <c r="I4450" i="9"/>
  <c r="H3884" i="9"/>
  <c r="G3884" i="9"/>
  <c r="F3884" i="9"/>
  <c r="H3814" i="9"/>
  <c r="G3814" i="9"/>
  <c r="F3814" i="9"/>
  <c r="H3694" i="9"/>
  <c r="G3694" i="9"/>
  <c r="F3694" i="9"/>
  <c r="H3334" i="9"/>
  <c r="G3334" i="9"/>
  <c r="F3334" i="9"/>
  <c r="H3262" i="9"/>
  <c r="G3262" i="9"/>
  <c r="F3262" i="9"/>
  <c r="K2398" i="9"/>
  <c r="J2398" i="9"/>
  <c r="I2398" i="9"/>
  <c r="F2326" i="9"/>
  <c r="H2326" i="9"/>
  <c r="G2326" i="9"/>
  <c r="H2254" i="9"/>
  <c r="G2254" i="9"/>
  <c r="F2254" i="9"/>
  <c r="F2182" i="9"/>
  <c r="H2182" i="9"/>
  <c r="G2182" i="9"/>
  <c r="H2110" i="9"/>
  <c r="G2110" i="9"/>
  <c r="F2110" i="9"/>
  <c r="K1933" i="9"/>
  <c r="J1933" i="9"/>
  <c r="I1933" i="9"/>
  <c r="K1789" i="9"/>
  <c r="I1789" i="9"/>
  <c r="J1789" i="9"/>
  <c r="K1754" i="9"/>
  <c r="J1754" i="9"/>
  <c r="I1754" i="9"/>
  <c r="H1719" i="9"/>
  <c r="G1719" i="9"/>
  <c r="F1719" i="9"/>
  <c r="H1645" i="9"/>
  <c r="G1645" i="9"/>
  <c r="F1645" i="9"/>
  <c r="K1610" i="9"/>
  <c r="J1610" i="9"/>
  <c r="I1610" i="9"/>
  <c r="K1575" i="9"/>
  <c r="J1575" i="9"/>
  <c r="I1575" i="9"/>
  <c r="H1540" i="9"/>
  <c r="G1540" i="9"/>
  <c r="F1540" i="9"/>
  <c r="J515" i="9"/>
  <c r="I515" i="9"/>
  <c r="K515" i="9"/>
  <c r="J419" i="9"/>
  <c r="K419" i="9"/>
  <c r="I419" i="9"/>
  <c r="K263" i="9"/>
  <c r="J263" i="9"/>
  <c r="I263" i="9"/>
  <c r="K239" i="9"/>
  <c r="J239" i="9"/>
  <c r="I239" i="9"/>
  <c r="K23" i="9"/>
  <c r="J23" i="9"/>
  <c r="I23" i="9"/>
  <c r="K5041" i="9"/>
  <c r="J5041" i="9"/>
  <c r="I5041" i="9"/>
  <c r="K4897" i="9"/>
  <c r="J4897" i="9"/>
  <c r="I4897" i="9"/>
  <c r="H4374" i="9"/>
  <c r="G4374" i="9"/>
  <c r="F4374" i="9"/>
  <c r="K4083" i="9"/>
  <c r="J4083" i="9"/>
  <c r="I4083" i="9"/>
  <c r="K3789" i="9"/>
  <c r="J3789" i="9"/>
  <c r="I3789" i="9"/>
  <c r="K3727" i="9"/>
  <c r="J3727" i="9"/>
  <c r="I3727" i="9"/>
  <c r="K3703" i="9"/>
  <c r="J3703" i="9"/>
  <c r="I3703" i="9"/>
  <c r="K3679" i="9"/>
  <c r="J3679" i="9"/>
  <c r="I3679" i="9"/>
  <c r="K3367" i="9"/>
  <c r="J3367" i="9"/>
  <c r="I3367" i="9"/>
  <c r="K3343" i="9"/>
  <c r="J3343" i="9"/>
  <c r="I3343" i="9"/>
  <c r="K3319" i="9"/>
  <c r="J3319" i="9"/>
  <c r="I3319" i="9"/>
  <c r="K3295" i="9"/>
  <c r="J3295" i="9"/>
  <c r="I3295" i="9"/>
  <c r="K3271" i="9"/>
  <c r="J3271" i="9"/>
  <c r="I3271" i="9"/>
  <c r="K3247" i="9"/>
  <c r="J3247" i="9"/>
  <c r="I3247" i="9"/>
  <c r="I3031" i="9"/>
  <c r="K3031" i="9"/>
  <c r="J3031" i="9"/>
  <c r="I3007" i="9"/>
  <c r="K3007" i="9"/>
  <c r="J3007" i="9"/>
  <c r="I2959" i="9"/>
  <c r="K2959" i="9"/>
  <c r="J2959" i="9"/>
  <c r="I2935" i="9"/>
  <c r="K2935" i="9"/>
  <c r="J2935" i="9"/>
  <c r="I2887" i="9"/>
  <c r="K2887" i="9"/>
  <c r="J2887" i="9"/>
  <c r="I2863" i="9"/>
  <c r="K2863" i="9"/>
  <c r="J2863" i="9"/>
  <c r="I2815" i="9"/>
  <c r="K2815" i="9"/>
  <c r="J2815" i="9"/>
  <c r="I2791" i="9"/>
  <c r="K2791" i="9"/>
  <c r="J2791" i="9"/>
  <c r="J1937" i="9"/>
  <c r="I1937" i="9"/>
  <c r="K1937" i="9"/>
  <c r="G1523" i="9"/>
  <c r="F1523" i="9"/>
  <c r="C1523" i="9" s="1"/>
  <c r="H1523" i="9"/>
  <c r="G1511" i="9"/>
  <c r="F1511" i="9"/>
  <c r="H1511" i="9"/>
  <c r="G1499" i="9"/>
  <c r="F1499" i="9"/>
  <c r="H1499" i="9"/>
  <c r="G1487" i="9"/>
  <c r="F1487" i="9"/>
  <c r="H1487" i="9"/>
  <c r="G1475" i="9"/>
  <c r="F1475" i="9"/>
  <c r="H1475" i="9"/>
  <c r="G1463" i="9"/>
  <c r="F1463" i="9"/>
  <c r="H1463" i="9"/>
  <c r="G1451" i="9"/>
  <c r="F1451" i="9"/>
  <c r="H1451" i="9"/>
  <c r="G1439" i="9"/>
  <c r="F1439" i="9"/>
  <c r="H1439" i="9"/>
  <c r="G1427" i="9"/>
  <c r="F1427" i="9"/>
  <c r="H1427" i="9"/>
  <c r="G1415" i="9"/>
  <c r="F1415" i="9"/>
  <c r="H1415" i="9"/>
  <c r="G1403" i="9"/>
  <c r="F1403" i="9"/>
  <c r="H1403" i="9"/>
  <c r="G1391" i="9"/>
  <c r="F1391" i="9"/>
  <c r="H1391" i="9"/>
  <c r="G1379" i="9"/>
  <c r="F1379" i="9"/>
  <c r="H1379" i="9"/>
  <c r="G1367" i="9"/>
  <c r="F1367" i="9"/>
  <c r="H1367" i="9"/>
  <c r="G1355" i="9"/>
  <c r="F1355" i="9"/>
  <c r="H1355" i="9"/>
  <c r="K1343" i="9"/>
  <c r="J1343" i="9"/>
  <c r="I1343" i="9"/>
  <c r="H1331" i="9"/>
  <c r="G1331" i="9"/>
  <c r="F1331" i="9"/>
  <c r="H1319" i="9"/>
  <c r="G1319" i="9"/>
  <c r="F1319" i="9"/>
  <c r="H1307" i="9"/>
  <c r="F1307" i="9"/>
  <c r="G1307" i="9"/>
  <c r="H1295" i="9"/>
  <c r="G1295" i="9"/>
  <c r="F1295" i="9"/>
  <c r="H1283" i="9"/>
  <c r="G1283" i="9"/>
  <c r="F1283" i="9"/>
  <c r="H1271" i="9"/>
  <c r="G1271" i="9"/>
  <c r="F1271" i="9"/>
  <c r="H1259" i="9"/>
  <c r="F1259" i="9"/>
  <c r="G1259" i="9"/>
  <c r="H1247" i="9"/>
  <c r="G1247" i="9"/>
  <c r="F1247" i="9"/>
  <c r="H1235" i="9"/>
  <c r="G1235" i="9"/>
  <c r="F1235" i="9"/>
  <c r="H1223" i="9"/>
  <c r="G1223" i="9"/>
  <c r="F1223" i="9"/>
  <c r="H1211" i="9"/>
  <c r="F1211" i="9"/>
  <c r="G1211" i="9"/>
  <c r="H1199" i="9"/>
  <c r="G1199" i="9"/>
  <c r="F1199" i="9"/>
  <c r="H1187" i="9"/>
  <c r="G1187" i="9"/>
  <c r="F1187" i="9"/>
  <c r="H1175" i="9"/>
  <c r="G1175" i="9"/>
  <c r="F1175" i="9"/>
  <c r="H1163" i="9"/>
  <c r="F1163" i="9"/>
  <c r="G1163" i="9"/>
  <c r="H1151" i="9"/>
  <c r="G1151" i="9"/>
  <c r="F1151" i="9"/>
  <c r="H1139" i="9"/>
  <c r="G1139" i="9"/>
  <c r="F1139" i="9"/>
  <c r="H1127" i="9"/>
  <c r="G1127" i="9"/>
  <c r="F1127" i="9"/>
  <c r="H1115" i="9"/>
  <c r="F1115" i="9"/>
  <c r="G1115" i="9"/>
  <c r="H1103" i="9"/>
  <c r="G1103" i="9"/>
  <c r="F1103" i="9"/>
  <c r="H1091" i="9"/>
  <c r="G1091" i="9"/>
  <c r="F1091" i="9"/>
  <c r="H1079" i="9"/>
  <c r="G1079" i="9"/>
  <c r="F1079" i="9"/>
  <c r="H1067" i="9"/>
  <c r="F1067" i="9"/>
  <c r="G1067" i="9"/>
  <c r="F1055" i="9"/>
  <c r="H1055" i="9"/>
  <c r="G1055" i="9"/>
  <c r="H1043" i="9"/>
  <c r="G1043" i="9"/>
  <c r="F1043" i="9"/>
  <c r="H1031" i="9"/>
  <c r="G1031" i="9"/>
  <c r="F1031" i="9"/>
  <c r="F1019" i="9"/>
  <c r="H1019" i="9"/>
  <c r="G1019" i="9"/>
  <c r="H1007" i="9"/>
  <c r="G1007" i="9"/>
  <c r="F1007" i="9"/>
  <c r="H995" i="9"/>
  <c r="G995" i="9"/>
  <c r="F995" i="9"/>
  <c r="F983" i="9"/>
  <c r="H983" i="9"/>
  <c r="G983" i="9"/>
  <c r="H971" i="9"/>
  <c r="G971" i="9"/>
  <c r="F971" i="9"/>
  <c r="H959" i="9"/>
  <c r="F959" i="9"/>
  <c r="G959" i="9"/>
  <c r="F947" i="9"/>
  <c r="H947" i="9"/>
  <c r="G947" i="9"/>
  <c r="H935" i="9"/>
  <c r="G935" i="9"/>
  <c r="F935" i="9"/>
  <c r="H923" i="9"/>
  <c r="G923" i="9"/>
  <c r="F923" i="9"/>
  <c r="F911" i="9"/>
  <c r="H911" i="9"/>
  <c r="G911" i="9"/>
  <c r="H899" i="9"/>
  <c r="G899" i="9"/>
  <c r="F899" i="9"/>
  <c r="H887" i="9"/>
  <c r="G887" i="9"/>
  <c r="F887" i="9"/>
  <c r="F875" i="9"/>
  <c r="H875" i="9"/>
  <c r="G875" i="9"/>
  <c r="H863" i="9"/>
  <c r="G863" i="9"/>
  <c r="F863" i="9"/>
  <c r="H851" i="9"/>
  <c r="G851" i="9"/>
  <c r="F851" i="9"/>
  <c r="I839" i="9"/>
  <c r="K839" i="9"/>
  <c r="J839" i="9"/>
  <c r="K827" i="9"/>
  <c r="J827" i="9"/>
  <c r="I827" i="9"/>
  <c r="K815" i="9"/>
  <c r="J815" i="9"/>
  <c r="I815" i="9"/>
  <c r="K803" i="9"/>
  <c r="J803" i="9"/>
  <c r="I803" i="9"/>
  <c r="K791" i="9"/>
  <c r="J791" i="9"/>
  <c r="I791" i="9"/>
  <c r="K779" i="9"/>
  <c r="J779" i="9"/>
  <c r="I779" i="9"/>
  <c r="J767" i="9"/>
  <c r="I767" i="9"/>
  <c r="K767" i="9"/>
  <c r="J755" i="9"/>
  <c r="I755" i="9"/>
  <c r="K755" i="9"/>
  <c r="J743" i="9"/>
  <c r="I743" i="9"/>
  <c r="K743" i="9"/>
  <c r="J731" i="9"/>
  <c r="I731" i="9"/>
  <c r="K731" i="9"/>
  <c r="J719" i="9"/>
  <c r="I719" i="9"/>
  <c r="K719" i="9"/>
  <c r="J707" i="9"/>
  <c r="I707" i="9"/>
  <c r="K707" i="9"/>
  <c r="J695" i="9"/>
  <c r="I695" i="9"/>
  <c r="K695" i="9"/>
  <c r="J683" i="9"/>
  <c r="I683" i="9"/>
  <c r="K683" i="9"/>
  <c r="J671" i="9"/>
  <c r="I671" i="9"/>
  <c r="K671" i="9"/>
  <c r="J659" i="9"/>
  <c r="I659" i="9"/>
  <c r="K659" i="9"/>
  <c r="J647" i="9"/>
  <c r="I647" i="9"/>
  <c r="K647" i="9"/>
  <c r="J635" i="9"/>
  <c r="I635" i="9"/>
  <c r="K635" i="9"/>
  <c r="J623" i="9"/>
  <c r="I623" i="9"/>
  <c r="K623" i="9"/>
  <c r="J611" i="9"/>
  <c r="I611" i="9"/>
  <c r="K611" i="9"/>
  <c r="J599" i="9"/>
  <c r="I599" i="9"/>
  <c r="K599" i="9"/>
  <c r="J587" i="9"/>
  <c r="I587" i="9"/>
  <c r="K587" i="9"/>
  <c r="J575" i="9"/>
  <c r="I575" i="9"/>
  <c r="K575" i="9"/>
  <c r="J563" i="9"/>
  <c r="I563" i="9"/>
  <c r="K563" i="9"/>
  <c r="J551" i="9"/>
  <c r="I551" i="9"/>
  <c r="K551" i="9"/>
  <c r="J539" i="9"/>
  <c r="I539" i="9"/>
  <c r="K539" i="9"/>
  <c r="J527" i="9"/>
  <c r="I527" i="9"/>
  <c r="K527" i="9"/>
  <c r="J491" i="9"/>
  <c r="K491" i="9"/>
  <c r="I491" i="9"/>
  <c r="J407" i="9"/>
  <c r="I407" i="9"/>
  <c r="K407" i="9"/>
  <c r="K383" i="9"/>
  <c r="J383" i="9"/>
  <c r="I383" i="9"/>
  <c r="K371" i="9"/>
  <c r="J371" i="9"/>
  <c r="I371" i="9"/>
  <c r="K359" i="9"/>
  <c r="J359" i="9"/>
  <c r="I359" i="9"/>
  <c r="K347" i="9"/>
  <c r="J347" i="9"/>
  <c r="I347" i="9"/>
  <c r="K335" i="9"/>
  <c r="J335" i="9"/>
  <c r="I335" i="9"/>
  <c r="K323" i="9"/>
  <c r="J323" i="9"/>
  <c r="I323" i="9"/>
  <c r="K311" i="9"/>
  <c r="J311" i="9"/>
  <c r="I311" i="9"/>
  <c r="K299" i="9"/>
  <c r="J299" i="9"/>
  <c r="I299" i="9"/>
  <c r="K215" i="9"/>
  <c r="J215" i="9"/>
  <c r="I215" i="9"/>
  <c r="K191" i="9"/>
  <c r="J191" i="9"/>
  <c r="I191" i="9"/>
  <c r="K155" i="9"/>
  <c r="J155" i="9"/>
  <c r="I155" i="9"/>
  <c r="K131" i="9"/>
  <c r="J131" i="9"/>
  <c r="I131" i="9"/>
  <c r="K59" i="9"/>
  <c r="J59" i="9"/>
  <c r="I59" i="9"/>
  <c r="K4397" i="9"/>
  <c r="J4397" i="9"/>
  <c r="I4397" i="9"/>
  <c r="K4205" i="9"/>
  <c r="J4205" i="9"/>
  <c r="I4205" i="9"/>
  <c r="H3898" i="9"/>
  <c r="G3898" i="9"/>
  <c r="F3898" i="9"/>
  <c r="K3823" i="9"/>
  <c r="J3823" i="9"/>
  <c r="I3823" i="9"/>
  <c r="H3650" i="9"/>
  <c r="G3650" i="9"/>
  <c r="F3650" i="9"/>
  <c r="K3578" i="9"/>
  <c r="J3578" i="9"/>
  <c r="I3578" i="9"/>
  <c r="K3506" i="9"/>
  <c r="J3506" i="9"/>
  <c r="I3506" i="9"/>
  <c r="K3434" i="9"/>
  <c r="J3434" i="9"/>
  <c r="I3434" i="9"/>
  <c r="H3218" i="9"/>
  <c r="G3218" i="9"/>
  <c r="F3218" i="9"/>
  <c r="H3146" i="9"/>
  <c r="G3146" i="9"/>
  <c r="F3146" i="9"/>
  <c r="H3074" i="9"/>
  <c r="G3074" i="9"/>
  <c r="F3074" i="9"/>
  <c r="K2714" i="9"/>
  <c r="J2714" i="9"/>
  <c r="I2714" i="9"/>
  <c r="K2642" i="9"/>
  <c r="J2642" i="9"/>
  <c r="I2642" i="9"/>
  <c r="K2570" i="9"/>
  <c r="J2570" i="9"/>
  <c r="I2570" i="9"/>
  <c r="H2498" i="9"/>
  <c r="G2498" i="9"/>
  <c r="F2498" i="9"/>
  <c r="G2066" i="9"/>
  <c r="F2066" i="9"/>
  <c r="H2066" i="9"/>
  <c r="J2015" i="9"/>
  <c r="I2015" i="9"/>
  <c r="K2015" i="9"/>
  <c r="H1980" i="9"/>
  <c r="G1980" i="9"/>
  <c r="F1980" i="9"/>
  <c r="K1941" i="9"/>
  <c r="J1941" i="9"/>
  <c r="I1941" i="9"/>
  <c r="J1871" i="9"/>
  <c r="I1871" i="9"/>
  <c r="K1871" i="9"/>
  <c r="H1836" i="9"/>
  <c r="G1836" i="9"/>
  <c r="F1836" i="9"/>
  <c r="K1797" i="9"/>
  <c r="J1797" i="9"/>
  <c r="I1797" i="9"/>
  <c r="K1692" i="9"/>
  <c r="J1692" i="9"/>
  <c r="I1692" i="9"/>
  <c r="H4705" i="9"/>
  <c r="G4705" i="9"/>
  <c r="F4705" i="9"/>
  <c r="K4594" i="9"/>
  <c r="J4594" i="9"/>
  <c r="I4594" i="9"/>
  <c r="H4513" i="9"/>
  <c r="G4513" i="9"/>
  <c r="F4513" i="9"/>
  <c r="K3987" i="9"/>
  <c r="J3987" i="9"/>
  <c r="I3987" i="9"/>
  <c r="K3813" i="9"/>
  <c r="J3813" i="9"/>
  <c r="I3813" i="9"/>
  <c r="K3040" i="9"/>
  <c r="J3040" i="9"/>
  <c r="I3040" i="9"/>
  <c r="K2968" i="9"/>
  <c r="J2968" i="9"/>
  <c r="I2968" i="9"/>
  <c r="K2896" i="9"/>
  <c r="J2896" i="9"/>
  <c r="I2896" i="9"/>
  <c r="K2824" i="9"/>
  <c r="J2824" i="9"/>
  <c r="I2824" i="9"/>
  <c r="K2752" i="9"/>
  <c r="J2752" i="9"/>
  <c r="I2752" i="9"/>
  <c r="K2704" i="9"/>
  <c r="J2704" i="9"/>
  <c r="I2704" i="9"/>
  <c r="K2656" i="9"/>
  <c r="J2656" i="9"/>
  <c r="I2656" i="9"/>
  <c r="K2608" i="9"/>
  <c r="J2608" i="9"/>
  <c r="I2608" i="9"/>
  <c r="K2560" i="9"/>
  <c r="J2560" i="9"/>
  <c r="I2560" i="9"/>
  <c r="G1958" i="9"/>
  <c r="F1958" i="9"/>
  <c r="H1958" i="9"/>
  <c r="H1779" i="9"/>
  <c r="G1779" i="9"/>
  <c r="F1779" i="9"/>
  <c r="H1705" i="9"/>
  <c r="G1705" i="9"/>
  <c r="F1705" i="9"/>
  <c r="K1670" i="9"/>
  <c r="J1670" i="9"/>
  <c r="I1670" i="9"/>
  <c r="H1635" i="9"/>
  <c r="G1635" i="9"/>
  <c r="F1635" i="9"/>
  <c r="H1561" i="9"/>
  <c r="G1561" i="9"/>
  <c r="F1561" i="9"/>
  <c r="H266" i="9"/>
  <c r="G266" i="9"/>
  <c r="F266" i="9"/>
  <c r="H242" i="9"/>
  <c r="G242" i="9"/>
  <c r="F242" i="9"/>
  <c r="H218" i="9"/>
  <c r="G218" i="9"/>
  <c r="F218" i="9"/>
  <c r="H194" i="9"/>
  <c r="G194" i="9"/>
  <c r="F194" i="9"/>
  <c r="G4716" i="9"/>
  <c r="F4716" i="9"/>
  <c r="H4716" i="9"/>
  <c r="H3929" i="9"/>
  <c r="G3929" i="9"/>
  <c r="F3929" i="9"/>
  <c r="H3802" i="9"/>
  <c r="G3802" i="9"/>
  <c r="F3802" i="9"/>
  <c r="G2070" i="9"/>
  <c r="F2070" i="9"/>
  <c r="H2070" i="9"/>
  <c r="J1901" i="9"/>
  <c r="I1901" i="9"/>
  <c r="K1901" i="9"/>
  <c r="K1522" i="9"/>
  <c r="J1522" i="9"/>
  <c r="I1522" i="9"/>
  <c r="K1510" i="9"/>
  <c r="I1510" i="9"/>
  <c r="J1510" i="9"/>
  <c r="K1498" i="9"/>
  <c r="J1498" i="9"/>
  <c r="I1498" i="9"/>
  <c r="K1486" i="9"/>
  <c r="J1486" i="9"/>
  <c r="I1486" i="9"/>
  <c r="K1474" i="9"/>
  <c r="J1474" i="9"/>
  <c r="I1474" i="9"/>
  <c r="K1462" i="9"/>
  <c r="I1462" i="9"/>
  <c r="J1462" i="9"/>
  <c r="K1450" i="9"/>
  <c r="J1450" i="9"/>
  <c r="I1450" i="9"/>
  <c r="K1438" i="9"/>
  <c r="J1438" i="9"/>
  <c r="I1438" i="9"/>
  <c r="K1426" i="9"/>
  <c r="J1426" i="9"/>
  <c r="I1426" i="9"/>
  <c r="K1414" i="9"/>
  <c r="I1414" i="9"/>
  <c r="J1414" i="9"/>
  <c r="K1402" i="9"/>
  <c r="J1402" i="9"/>
  <c r="I1402" i="9"/>
  <c r="K1390" i="9"/>
  <c r="J1390" i="9"/>
  <c r="I1390" i="9"/>
  <c r="K1378" i="9"/>
  <c r="J1378" i="9"/>
  <c r="I1378" i="9"/>
  <c r="K1366" i="9"/>
  <c r="J1366" i="9"/>
  <c r="I1366" i="9"/>
  <c r="K1354" i="9"/>
  <c r="J1354" i="9"/>
  <c r="I1354" i="9"/>
  <c r="K1342" i="9"/>
  <c r="J1342" i="9"/>
  <c r="I1342" i="9"/>
  <c r="K1330" i="9"/>
  <c r="J1330" i="9"/>
  <c r="I1330" i="9"/>
  <c r="K1318" i="9"/>
  <c r="J1318" i="9"/>
  <c r="I1318" i="9"/>
  <c r="K1306" i="9"/>
  <c r="J1306" i="9"/>
  <c r="I1306" i="9"/>
  <c r="K1294" i="9"/>
  <c r="J1294" i="9"/>
  <c r="I1294" i="9"/>
  <c r="K1282" i="9"/>
  <c r="J1282" i="9"/>
  <c r="I1282" i="9"/>
  <c r="K1270" i="9"/>
  <c r="J1270" i="9"/>
  <c r="I1270" i="9"/>
  <c r="K1258" i="9"/>
  <c r="J1258" i="9"/>
  <c r="I1258" i="9"/>
  <c r="K1246" i="9"/>
  <c r="J1246" i="9"/>
  <c r="I1246" i="9"/>
  <c r="K1234" i="9"/>
  <c r="J1234" i="9"/>
  <c r="I1234" i="9"/>
  <c r="K1222" i="9"/>
  <c r="J1222" i="9"/>
  <c r="I1222" i="9"/>
  <c r="K1210" i="9"/>
  <c r="J1210" i="9"/>
  <c r="I1210" i="9"/>
  <c r="K1198" i="9"/>
  <c r="J1198" i="9"/>
  <c r="I1198" i="9"/>
  <c r="K1186" i="9"/>
  <c r="J1186" i="9"/>
  <c r="I1186" i="9"/>
  <c r="K1174" i="9"/>
  <c r="J1174" i="9"/>
  <c r="I1174" i="9"/>
  <c r="K1162" i="9"/>
  <c r="J1162" i="9"/>
  <c r="I1162" i="9"/>
  <c r="K1150" i="9"/>
  <c r="J1150" i="9"/>
  <c r="I1150" i="9"/>
  <c r="K1138" i="9"/>
  <c r="J1138" i="9"/>
  <c r="I1138" i="9"/>
  <c r="K1126" i="9"/>
  <c r="J1126" i="9"/>
  <c r="I1126" i="9"/>
  <c r="K1114" i="9"/>
  <c r="J1114" i="9"/>
  <c r="I1114" i="9"/>
  <c r="K1102" i="9"/>
  <c r="J1102" i="9"/>
  <c r="I1102" i="9"/>
  <c r="K1090" i="9"/>
  <c r="J1090" i="9"/>
  <c r="I1090" i="9"/>
  <c r="K1078" i="9"/>
  <c r="J1078" i="9"/>
  <c r="I1078" i="9"/>
  <c r="K1066" i="9"/>
  <c r="J1066" i="9"/>
  <c r="I1066" i="9"/>
  <c r="K1054" i="9"/>
  <c r="J1054" i="9"/>
  <c r="I1054" i="9"/>
  <c r="K1042" i="9"/>
  <c r="J1042" i="9"/>
  <c r="I1042" i="9"/>
  <c r="K1030" i="9"/>
  <c r="J1030" i="9"/>
  <c r="I1030" i="9"/>
  <c r="K1018" i="9"/>
  <c r="J1018" i="9"/>
  <c r="I1018" i="9"/>
  <c r="K1006" i="9"/>
  <c r="J1006" i="9"/>
  <c r="I1006" i="9"/>
  <c r="K994" i="9"/>
  <c r="J994" i="9"/>
  <c r="I994" i="9"/>
  <c r="K982" i="9"/>
  <c r="J982" i="9"/>
  <c r="I982" i="9"/>
  <c r="K970" i="9"/>
  <c r="J970" i="9"/>
  <c r="I970" i="9"/>
  <c r="K958" i="9"/>
  <c r="J958" i="9"/>
  <c r="I958" i="9"/>
  <c r="K946" i="9"/>
  <c r="J946" i="9"/>
  <c r="I946" i="9"/>
  <c r="K934" i="9"/>
  <c r="J934" i="9"/>
  <c r="I934" i="9"/>
  <c r="K922" i="9"/>
  <c r="J922" i="9"/>
  <c r="I922" i="9"/>
  <c r="K910" i="9"/>
  <c r="J910" i="9"/>
  <c r="I910" i="9"/>
  <c r="K898" i="9"/>
  <c r="J898" i="9"/>
  <c r="I898" i="9"/>
  <c r="K886" i="9"/>
  <c r="J886" i="9"/>
  <c r="I886" i="9"/>
  <c r="K874" i="9"/>
  <c r="J874" i="9"/>
  <c r="I874" i="9"/>
  <c r="K862" i="9"/>
  <c r="J862" i="9"/>
  <c r="I862" i="9"/>
  <c r="K850" i="9"/>
  <c r="J850" i="9"/>
  <c r="I850" i="9"/>
  <c r="H838" i="9"/>
  <c r="G838" i="9"/>
  <c r="F838" i="9"/>
  <c r="H826" i="9"/>
  <c r="G826" i="9"/>
  <c r="F826" i="9"/>
  <c r="H814" i="9"/>
  <c r="G814" i="9"/>
  <c r="F814" i="9"/>
  <c r="G802" i="9"/>
  <c r="F802" i="9"/>
  <c r="H802" i="9"/>
  <c r="H790" i="9"/>
  <c r="G790" i="9"/>
  <c r="F790" i="9"/>
  <c r="H778" i="9"/>
  <c r="G778" i="9"/>
  <c r="F778" i="9"/>
  <c r="H394" i="9"/>
  <c r="G394" i="9"/>
  <c r="F394" i="9"/>
  <c r="H254" i="9"/>
  <c r="G254" i="9"/>
  <c r="F254" i="9"/>
  <c r="H230" i="9"/>
  <c r="G230" i="9"/>
  <c r="F230" i="9"/>
  <c r="H206" i="9"/>
  <c r="G206" i="9"/>
  <c r="F206" i="9"/>
  <c r="H182" i="9"/>
  <c r="G182" i="9"/>
  <c r="F182" i="9"/>
  <c r="H4669" i="9"/>
  <c r="G4669" i="9"/>
  <c r="F4669" i="9"/>
  <c r="H4477" i="9"/>
  <c r="G4477" i="9"/>
  <c r="F4477" i="9"/>
  <c r="H3812" i="9"/>
  <c r="G3812" i="9"/>
  <c r="F3812" i="9"/>
  <c r="K3753" i="9"/>
  <c r="J3753" i="9"/>
  <c r="I3753" i="9"/>
  <c r="H3716" i="9"/>
  <c r="G3716" i="9"/>
  <c r="F3716" i="9"/>
  <c r="H3692" i="9"/>
  <c r="G3692" i="9"/>
  <c r="F3692" i="9"/>
  <c r="H3668" i="9"/>
  <c r="G3668" i="9"/>
  <c r="F3668" i="9"/>
  <c r="H3644" i="9"/>
  <c r="G3644" i="9"/>
  <c r="F3644" i="9"/>
  <c r="G3356" i="9"/>
  <c r="H3356" i="9"/>
  <c r="F3356" i="9"/>
  <c r="H3332" i="9"/>
  <c r="G3332" i="9"/>
  <c r="F3332" i="9"/>
  <c r="H3308" i="9"/>
  <c r="G3308" i="9"/>
  <c r="F3308" i="9"/>
  <c r="H3284" i="9"/>
  <c r="G3284" i="9"/>
  <c r="F3284" i="9"/>
  <c r="H3260" i="9"/>
  <c r="G3260" i="9"/>
  <c r="F3260" i="9"/>
  <c r="H3236" i="9"/>
  <c r="G3236" i="9"/>
  <c r="F3236" i="9"/>
  <c r="I3212" i="9"/>
  <c r="K3212" i="9"/>
  <c r="J3212" i="9"/>
  <c r="I3188" i="9"/>
  <c r="K3188" i="9"/>
  <c r="J3188" i="9"/>
  <c r="I3164" i="9"/>
  <c r="K3164" i="9"/>
  <c r="J3164" i="9"/>
  <c r="I3140" i="9"/>
  <c r="K3140" i="9"/>
  <c r="J3140" i="9"/>
  <c r="I3116" i="9"/>
  <c r="K3116" i="9"/>
  <c r="J3116" i="9"/>
  <c r="I3092" i="9"/>
  <c r="K3092" i="9"/>
  <c r="J3092" i="9"/>
  <c r="I3068" i="9"/>
  <c r="K3068" i="9"/>
  <c r="J3068" i="9"/>
  <c r="H3044" i="9"/>
  <c r="G3044" i="9"/>
  <c r="F3044" i="9"/>
  <c r="H3020" i="9"/>
  <c r="G3020" i="9"/>
  <c r="F3020" i="9"/>
  <c r="K2996" i="9"/>
  <c r="J2996" i="9"/>
  <c r="I2996" i="9"/>
  <c r="H2972" i="9"/>
  <c r="F2972" i="9"/>
  <c r="G2972" i="9"/>
  <c r="H2948" i="9"/>
  <c r="G2948" i="9"/>
  <c r="F2948" i="9"/>
  <c r="K2924" i="9"/>
  <c r="J2924" i="9"/>
  <c r="I2924" i="9"/>
  <c r="H2900" i="9"/>
  <c r="F2900" i="9"/>
  <c r="G2900" i="9"/>
  <c r="H2876" i="9"/>
  <c r="G2876" i="9"/>
  <c r="F2876" i="9"/>
  <c r="K2852" i="9"/>
  <c r="J2852" i="9"/>
  <c r="I2852" i="9"/>
  <c r="H2828" i="9"/>
  <c r="F2828" i="9"/>
  <c r="G2828" i="9"/>
  <c r="H2804" i="9"/>
  <c r="G2804" i="9"/>
  <c r="F2804" i="9"/>
  <c r="K2001" i="9"/>
  <c r="J2001" i="9"/>
  <c r="I2001" i="9"/>
  <c r="J1931" i="9"/>
  <c r="I1931" i="9"/>
  <c r="K1931" i="9"/>
  <c r="H1896" i="9"/>
  <c r="G1896" i="9"/>
  <c r="F1896" i="9"/>
  <c r="K1857" i="9"/>
  <c r="J1857" i="9"/>
  <c r="I1857" i="9"/>
  <c r="K1752" i="9"/>
  <c r="J1752" i="9"/>
  <c r="I1752" i="9"/>
  <c r="K1608" i="9"/>
  <c r="J1608" i="9"/>
  <c r="I1608" i="9"/>
  <c r="K1534" i="9"/>
  <c r="J1534" i="9"/>
  <c r="I1534" i="9"/>
  <c r="H4657" i="9"/>
  <c r="G4657" i="9"/>
  <c r="F4657" i="9"/>
  <c r="K4546" i="9"/>
  <c r="J4546" i="9"/>
  <c r="I4546" i="9"/>
  <c r="H4465" i="9"/>
  <c r="G4465" i="9"/>
  <c r="F4465" i="9"/>
  <c r="K3907" i="9"/>
  <c r="J3907" i="9"/>
  <c r="I3907" i="9"/>
  <c r="K3871" i="9"/>
  <c r="J3871" i="9"/>
  <c r="I3871" i="9"/>
  <c r="H3706" i="9"/>
  <c r="G3706" i="9"/>
  <c r="F3706" i="9"/>
  <c r="H3346" i="9"/>
  <c r="G3346" i="9"/>
  <c r="F3346" i="9"/>
  <c r="H3274" i="9"/>
  <c r="G3274" i="9"/>
  <c r="F3274" i="9"/>
  <c r="J2986" i="9"/>
  <c r="K2986" i="9"/>
  <c r="I2986" i="9"/>
  <c r="J2914" i="9"/>
  <c r="K2914" i="9"/>
  <c r="I2914" i="9"/>
  <c r="J2842" i="9"/>
  <c r="K2842" i="9"/>
  <c r="I2842" i="9"/>
  <c r="K2410" i="9"/>
  <c r="J2410" i="9"/>
  <c r="I2410" i="9"/>
  <c r="K2338" i="9"/>
  <c r="J2338" i="9"/>
  <c r="I2338" i="9"/>
  <c r="H2266" i="9"/>
  <c r="G2266" i="9"/>
  <c r="F2266" i="9"/>
  <c r="H2194" i="9"/>
  <c r="G2194" i="9"/>
  <c r="F2194" i="9"/>
  <c r="H2122" i="9"/>
  <c r="G2122" i="9"/>
  <c r="F2122" i="9"/>
  <c r="K2005" i="9"/>
  <c r="J2005" i="9"/>
  <c r="I2005" i="9"/>
  <c r="K1861" i="9"/>
  <c r="J1861" i="9"/>
  <c r="I1861" i="9"/>
  <c r="H1717" i="9"/>
  <c r="G1717" i="9"/>
  <c r="F1717" i="9"/>
  <c r="K1682" i="9"/>
  <c r="J1682" i="9"/>
  <c r="I1682" i="9"/>
  <c r="H1647" i="9"/>
  <c r="G1647" i="9"/>
  <c r="F1647" i="9"/>
  <c r="H1573" i="9"/>
  <c r="G1573" i="9"/>
  <c r="F1573" i="9"/>
  <c r="K1538" i="9"/>
  <c r="J1538" i="9"/>
  <c r="I1538" i="9"/>
  <c r="K937" i="9"/>
  <c r="J937" i="9"/>
  <c r="I937" i="9"/>
  <c r="K925" i="9"/>
  <c r="J925" i="9"/>
  <c r="I925" i="9"/>
  <c r="H913" i="9"/>
  <c r="G913" i="9"/>
  <c r="F913" i="9"/>
  <c r="H901" i="9"/>
  <c r="G901" i="9"/>
  <c r="F901" i="9"/>
  <c r="K853" i="9"/>
  <c r="J853" i="9"/>
  <c r="I853" i="9"/>
  <c r="K753" i="9"/>
  <c r="J753" i="9"/>
  <c r="I753" i="9"/>
  <c r="K705" i="9"/>
  <c r="J705" i="9"/>
  <c r="I705" i="9"/>
  <c r="K681" i="9"/>
  <c r="J681" i="9"/>
  <c r="I681" i="9"/>
  <c r="K657" i="9"/>
  <c r="J657" i="9"/>
  <c r="I657" i="9"/>
  <c r="K637" i="9"/>
  <c r="J637" i="9"/>
  <c r="I637" i="9"/>
  <c r="J617" i="9"/>
  <c r="I617" i="9"/>
  <c r="K617" i="9"/>
  <c r="J593" i="9"/>
  <c r="I593" i="9"/>
  <c r="K593" i="9"/>
  <c r="K549" i="9"/>
  <c r="J549" i="9"/>
  <c r="I549" i="9"/>
  <c r="J521" i="9"/>
  <c r="I521" i="9"/>
  <c r="K521" i="9"/>
  <c r="K501" i="9"/>
  <c r="J501" i="9"/>
  <c r="I501" i="9"/>
  <c r="H397" i="9"/>
  <c r="G397" i="9"/>
  <c r="F397" i="9"/>
  <c r="K349" i="9"/>
  <c r="J349" i="9"/>
  <c r="I349" i="9"/>
  <c r="K325" i="9"/>
  <c r="J325" i="9"/>
  <c r="I325" i="9"/>
  <c r="K301" i="9"/>
  <c r="J301" i="9"/>
  <c r="I301" i="9"/>
  <c r="K277" i="9"/>
  <c r="J277" i="9"/>
  <c r="I277" i="9"/>
  <c r="K253" i="9"/>
  <c r="J253" i="9"/>
  <c r="I253" i="9"/>
  <c r="K217" i="9"/>
  <c r="J217" i="9"/>
  <c r="I217" i="9"/>
  <c r="K145" i="9"/>
  <c r="J145" i="9"/>
  <c r="I145" i="9"/>
  <c r="K97" i="9"/>
  <c r="J97" i="9"/>
  <c r="I97" i="9"/>
  <c r="K25" i="9"/>
  <c r="J25" i="9"/>
  <c r="I25" i="9"/>
  <c r="G4966" i="9"/>
  <c r="F4966" i="9"/>
  <c r="H4966" i="9"/>
  <c r="G4822" i="9"/>
  <c r="F4822" i="9"/>
  <c r="H4822" i="9"/>
  <c r="K4059" i="9"/>
  <c r="J4059" i="9"/>
  <c r="I4059" i="9"/>
  <c r="H3896" i="9"/>
  <c r="G3896" i="9"/>
  <c r="F3896" i="9"/>
  <c r="K3811" i="9"/>
  <c r="J3811" i="9"/>
  <c r="I3811" i="9"/>
  <c r="H3629" i="9"/>
  <c r="G3629" i="9"/>
  <c r="F3629" i="9"/>
  <c r="F3029" i="9"/>
  <c r="G3029" i="9"/>
  <c r="H3029" i="9"/>
  <c r="F2981" i="9"/>
  <c r="H2981" i="9"/>
  <c r="G2981" i="9"/>
  <c r="F2957" i="9"/>
  <c r="G2957" i="9"/>
  <c r="H2957" i="9"/>
  <c r="F2909" i="9"/>
  <c r="H2909" i="9"/>
  <c r="G2909" i="9"/>
  <c r="F2885" i="9"/>
  <c r="G2885" i="9"/>
  <c r="H2885" i="9"/>
  <c r="F2837" i="9"/>
  <c r="H2837" i="9"/>
  <c r="G2837" i="9"/>
  <c r="F2813" i="9"/>
  <c r="G2813" i="9"/>
  <c r="H2813" i="9"/>
  <c r="H2741" i="9"/>
  <c r="G2741" i="9"/>
  <c r="F2741" i="9"/>
  <c r="H2693" i="9"/>
  <c r="G2693" i="9"/>
  <c r="F2693" i="9"/>
  <c r="H2645" i="9"/>
  <c r="G2645" i="9"/>
  <c r="F2645" i="9"/>
  <c r="H2597" i="9"/>
  <c r="G2597" i="9"/>
  <c r="F2597" i="9"/>
  <c r="J2045" i="9"/>
  <c r="I2045" i="9"/>
  <c r="K2045" i="9"/>
  <c r="G2022" i="9"/>
  <c r="F2022" i="9"/>
  <c r="H2022" i="9"/>
  <c r="J1913" i="9"/>
  <c r="I1913" i="9"/>
  <c r="K1913" i="9"/>
  <c r="G1878" i="9"/>
  <c r="F1878" i="9"/>
  <c r="H1878" i="9"/>
  <c r="H1525" i="9"/>
  <c r="F1525" i="9"/>
  <c r="G1525" i="9"/>
  <c r="H1513" i="9"/>
  <c r="G1513" i="9"/>
  <c r="F1513" i="9"/>
  <c r="H1501" i="9"/>
  <c r="G1501" i="9"/>
  <c r="F1501" i="9"/>
  <c r="H1489" i="9"/>
  <c r="G1489" i="9"/>
  <c r="F1489" i="9"/>
  <c r="H1477" i="9"/>
  <c r="F1477" i="9"/>
  <c r="G1477" i="9"/>
  <c r="H1465" i="9"/>
  <c r="G1465" i="9"/>
  <c r="F1465" i="9"/>
  <c r="H1453" i="9"/>
  <c r="G1453" i="9"/>
  <c r="F1453" i="9"/>
  <c r="H1441" i="9"/>
  <c r="G1441" i="9"/>
  <c r="F1441" i="9"/>
  <c r="H1429" i="9"/>
  <c r="F1429" i="9"/>
  <c r="G1429" i="9"/>
  <c r="H1417" i="9"/>
  <c r="G1417" i="9"/>
  <c r="F1417" i="9"/>
  <c r="H1405" i="9"/>
  <c r="G1405" i="9"/>
  <c r="F1405" i="9"/>
  <c r="H1393" i="9"/>
  <c r="F1393" i="9"/>
  <c r="G1393" i="9"/>
  <c r="K1333" i="9"/>
  <c r="J1333" i="9"/>
  <c r="I1333" i="9"/>
  <c r="H1321" i="9"/>
  <c r="G1321" i="9"/>
  <c r="F1321" i="9"/>
  <c r="H1309" i="9"/>
  <c r="G1309" i="9"/>
  <c r="F1309" i="9"/>
  <c r="H1297" i="9"/>
  <c r="G1297" i="9"/>
  <c r="F1297" i="9"/>
  <c r="K1285" i="9"/>
  <c r="J1285" i="9"/>
  <c r="I1285" i="9"/>
  <c r="H1273" i="9"/>
  <c r="G1273" i="9"/>
  <c r="F1273" i="9"/>
  <c r="H1261" i="9"/>
  <c r="G1261" i="9"/>
  <c r="F1261" i="9"/>
  <c r="H1249" i="9"/>
  <c r="G1249" i="9"/>
  <c r="F1249" i="9"/>
  <c r="K1237" i="9"/>
  <c r="J1237" i="9"/>
  <c r="I1237" i="9"/>
  <c r="H1225" i="9"/>
  <c r="G1225" i="9"/>
  <c r="F1225" i="9"/>
  <c r="H1213" i="9"/>
  <c r="G1213" i="9"/>
  <c r="F1213" i="9"/>
  <c r="H1201" i="9"/>
  <c r="G1201" i="9"/>
  <c r="F1201" i="9"/>
  <c r="K1189" i="9"/>
  <c r="J1189" i="9"/>
  <c r="I1189" i="9"/>
  <c r="H1177" i="9"/>
  <c r="G1177" i="9"/>
  <c r="F1177" i="9"/>
  <c r="H1165" i="9"/>
  <c r="G1165" i="9"/>
  <c r="F1165" i="9"/>
  <c r="H1153" i="9"/>
  <c r="G1153" i="9"/>
  <c r="F1153" i="9"/>
  <c r="K1141" i="9"/>
  <c r="J1141" i="9"/>
  <c r="I1141" i="9"/>
  <c r="H1129" i="9"/>
  <c r="G1129" i="9"/>
  <c r="F1129" i="9"/>
  <c r="H1117" i="9"/>
  <c r="G1117" i="9"/>
  <c r="F1117" i="9"/>
  <c r="H1105" i="9"/>
  <c r="G1105" i="9"/>
  <c r="F1105" i="9"/>
  <c r="K1093" i="9"/>
  <c r="J1093" i="9"/>
  <c r="I1093" i="9"/>
  <c r="H1081" i="9"/>
  <c r="G1081" i="9"/>
  <c r="F1081" i="9"/>
  <c r="H1069" i="9"/>
  <c r="G1069" i="9"/>
  <c r="F1069" i="9"/>
  <c r="H1057" i="9"/>
  <c r="G1057" i="9"/>
  <c r="F1057" i="9"/>
  <c r="H1045" i="9"/>
  <c r="G1045" i="9"/>
  <c r="F1045" i="9"/>
  <c r="K1033" i="9"/>
  <c r="J1033" i="9"/>
  <c r="I1033" i="9"/>
  <c r="H1021" i="9"/>
  <c r="G1021" i="9"/>
  <c r="F1021" i="9"/>
  <c r="H1009" i="9"/>
  <c r="G1009" i="9"/>
  <c r="F1009" i="9"/>
  <c r="K997" i="9"/>
  <c r="J997" i="9"/>
  <c r="I997" i="9"/>
  <c r="H985" i="9"/>
  <c r="G985" i="9"/>
  <c r="F985" i="9"/>
  <c r="H973" i="9"/>
  <c r="G973" i="9"/>
  <c r="F973" i="9"/>
  <c r="K961" i="9"/>
  <c r="J961" i="9"/>
  <c r="I961" i="9"/>
  <c r="H877" i="9"/>
  <c r="G877" i="9"/>
  <c r="F877" i="9"/>
  <c r="K817" i="9"/>
  <c r="J817" i="9"/>
  <c r="I817" i="9"/>
  <c r="K765" i="9"/>
  <c r="J765" i="9"/>
  <c r="I765" i="9"/>
  <c r="J737" i="9"/>
  <c r="I737" i="9"/>
  <c r="K737" i="9"/>
  <c r="K717" i="9"/>
  <c r="J717" i="9"/>
  <c r="I717" i="9"/>
  <c r="J689" i="9"/>
  <c r="I689" i="9"/>
  <c r="K689" i="9"/>
  <c r="K669" i="9"/>
  <c r="J669" i="9"/>
  <c r="I669" i="9"/>
  <c r="J641" i="9"/>
  <c r="I641" i="9"/>
  <c r="K641" i="9"/>
  <c r="K561" i="9"/>
  <c r="J561" i="9"/>
  <c r="I561" i="9"/>
  <c r="K537" i="9"/>
  <c r="J537" i="9"/>
  <c r="I537" i="9"/>
  <c r="J489" i="9"/>
  <c r="K489" i="9"/>
  <c r="I489" i="9"/>
  <c r="I477" i="9"/>
  <c r="K477" i="9"/>
  <c r="J477" i="9"/>
  <c r="K465" i="9"/>
  <c r="J465" i="9"/>
  <c r="I465" i="9"/>
  <c r="K373" i="9"/>
  <c r="J373" i="9"/>
  <c r="I373" i="9"/>
  <c r="K61" i="9"/>
  <c r="J61" i="9"/>
  <c r="I61" i="9"/>
  <c r="H4621" i="9"/>
  <c r="G4621" i="9"/>
  <c r="F4621" i="9"/>
  <c r="H4429" i="9"/>
  <c r="F4429" i="9"/>
  <c r="G4429" i="9"/>
  <c r="H3850" i="9"/>
  <c r="G3850" i="9"/>
  <c r="F3850" i="9"/>
  <c r="H3638" i="9"/>
  <c r="G3638" i="9"/>
  <c r="F3638" i="9"/>
  <c r="K3566" i="9"/>
  <c r="J3566" i="9"/>
  <c r="I3566" i="9"/>
  <c r="K3494" i="9"/>
  <c r="J3494" i="9"/>
  <c r="I3494" i="9"/>
  <c r="K3422" i="9"/>
  <c r="J3422" i="9"/>
  <c r="I3422" i="9"/>
  <c r="K2774" i="9"/>
  <c r="J2774" i="9"/>
  <c r="I2774" i="9"/>
  <c r="K2702" i="9"/>
  <c r="J2702" i="9"/>
  <c r="I2702" i="9"/>
  <c r="K2630" i="9"/>
  <c r="J2630" i="9"/>
  <c r="I2630" i="9"/>
  <c r="K2558" i="9"/>
  <c r="J2558" i="9"/>
  <c r="I2558" i="9"/>
  <c r="H2004" i="9"/>
  <c r="G2004" i="9"/>
  <c r="F2004" i="9"/>
  <c r="K1965" i="9"/>
  <c r="J1965" i="9"/>
  <c r="I1965" i="9"/>
  <c r="J1895" i="9"/>
  <c r="I1895" i="9"/>
  <c r="K1895" i="9"/>
  <c r="H1860" i="9"/>
  <c r="G1860" i="9"/>
  <c r="F1860" i="9"/>
  <c r="K1821" i="9"/>
  <c r="J1821" i="9"/>
  <c r="I1821" i="9"/>
  <c r="K1716" i="9"/>
  <c r="J1716" i="9"/>
  <c r="I1716" i="9"/>
  <c r="K1572" i="9"/>
  <c r="J1572" i="9"/>
  <c r="I1572" i="9"/>
  <c r="L5389" i="9" l="1"/>
  <c r="M5389" i="9" s="1"/>
  <c r="C5198" i="9"/>
  <c r="L3378" i="9"/>
  <c r="M3378" i="9" s="1"/>
  <c r="C3389" i="9"/>
  <c r="L878" i="9"/>
  <c r="M878" i="9" s="1"/>
  <c r="C5379" i="9"/>
  <c r="L1096" i="9"/>
  <c r="M1096" i="9" s="1"/>
  <c r="L909" i="9"/>
  <c r="M909" i="9" s="1"/>
  <c r="C913" i="9"/>
  <c r="L898" i="9"/>
  <c r="M898" i="9" s="1"/>
  <c r="L1138" i="9"/>
  <c r="M1138" i="9" s="1"/>
  <c r="L3319" i="9"/>
  <c r="M3319" i="9" s="1"/>
  <c r="L5219" i="9"/>
  <c r="M5219" i="9" s="1"/>
  <c r="C2787" i="9"/>
  <c r="L925" i="9"/>
  <c r="M925" i="9" s="1"/>
  <c r="C1139" i="9"/>
  <c r="C3379" i="9"/>
  <c r="L879" i="9"/>
  <c r="M879" i="9" s="1"/>
  <c r="L927" i="9"/>
  <c r="M927" i="9" s="1"/>
  <c r="L5227" i="9"/>
  <c r="M5227" i="9" s="1"/>
  <c r="C5439" i="9"/>
  <c r="C5199" i="9"/>
  <c r="L3168" i="9"/>
  <c r="M3168" i="9" s="1"/>
  <c r="L1134" i="9"/>
  <c r="M1134" i="9" s="1"/>
  <c r="L3383" i="9"/>
  <c r="M3383" i="9" s="1"/>
  <c r="L5437" i="9"/>
  <c r="M5437" i="9" s="1"/>
  <c r="L3179" i="9"/>
  <c r="M3179" i="9" s="1"/>
  <c r="L3138" i="9"/>
  <c r="M3138" i="9" s="1"/>
  <c r="L5168" i="9"/>
  <c r="M5168" i="9" s="1"/>
  <c r="L5192" i="9"/>
  <c r="M5192" i="9" s="1"/>
  <c r="L5413" i="9"/>
  <c r="M5413" i="9" s="1"/>
  <c r="L3174" i="9"/>
  <c r="M3174" i="9" s="1"/>
  <c r="L5424" i="9"/>
  <c r="M5424" i="9" s="1"/>
  <c r="L649" i="9"/>
  <c r="M649" i="9" s="1"/>
  <c r="C917" i="9"/>
  <c r="C3385" i="9"/>
  <c r="C3348" i="9"/>
  <c r="L2586" i="9"/>
  <c r="M2586" i="9" s="1"/>
  <c r="C1128" i="9"/>
  <c r="L2985" i="9"/>
  <c r="M2985" i="9" s="1"/>
  <c r="C3369" i="9"/>
  <c r="L5222" i="9"/>
  <c r="M5222" i="9" s="1"/>
  <c r="L5209" i="9"/>
  <c r="M5209" i="9" s="1"/>
  <c r="C5422" i="9"/>
  <c r="L5378" i="9"/>
  <c r="M5378" i="9" s="1"/>
  <c r="C658" i="9"/>
  <c r="C915" i="9"/>
  <c r="C1059" i="9"/>
  <c r="C3358" i="9"/>
  <c r="L3177" i="9"/>
  <c r="M3177" i="9" s="1"/>
  <c r="L5427" i="9"/>
  <c r="M5427" i="9" s="1"/>
  <c r="C5418" i="9"/>
  <c r="L889" i="9"/>
  <c r="M889" i="9" s="1"/>
  <c r="C3129" i="9"/>
  <c r="L1125" i="9"/>
  <c r="M1125" i="9" s="1"/>
  <c r="L3384" i="9"/>
  <c r="M3384" i="9" s="1"/>
  <c r="L3159" i="9"/>
  <c r="M3159" i="9" s="1"/>
  <c r="L858" i="9"/>
  <c r="M858" i="9" s="1"/>
  <c r="L1098" i="9"/>
  <c r="M1098" i="9" s="1"/>
  <c r="L3329" i="9"/>
  <c r="M3329" i="9" s="1"/>
  <c r="L3186" i="9"/>
  <c r="M3186" i="9" s="1"/>
  <c r="L5188" i="9"/>
  <c r="M5188" i="9" s="1"/>
  <c r="L5215" i="9"/>
  <c r="M5215" i="9" s="1"/>
  <c r="L1129" i="9"/>
  <c r="M1129" i="9" s="1"/>
  <c r="C478" i="9"/>
  <c r="C849" i="9"/>
  <c r="L86" i="9"/>
  <c r="M86" i="9" s="1"/>
  <c r="C1122" i="9"/>
  <c r="L278" i="9"/>
  <c r="M278" i="9" s="1"/>
  <c r="L2729" i="9"/>
  <c r="M2729" i="9" s="1"/>
  <c r="L3377" i="9"/>
  <c r="M3377" i="9" s="1"/>
  <c r="L2389" i="9"/>
  <c r="M2389" i="9" s="1"/>
  <c r="C924" i="9"/>
  <c r="C912" i="9"/>
  <c r="C1108" i="9"/>
  <c r="C3359" i="9"/>
  <c r="L5149" i="9"/>
  <c r="M5149" i="9" s="1"/>
  <c r="L899" i="9"/>
  <c r="M899" i="9" s="1"/>
  <c r="L888" i="9"/>
  <c r="M888" i="9" s="1"/>
  <c r="L3375" i="9"/>
  <c r="M3375" i="9" s="1"/>
  <c r="L5148" i="9"/>
  <c r="M5148" i="9" s="1"/>
  <c r="L3173" i="9"/>
  <c r="M3173" i="9" s="1"/>
  <c r="L5009" i="9"/>
  <c r="M5009" i="9" s="1"/>
  <c r="L3184" i="9"/>
  <c r="M3184" i="9" s="1"/>
  <c r="L2758" i="9"/>
  <c r="M2758" i="9" s="1"/>
  <c r="L5216" i="9"/>
  <c r="M5216" i="9" s="1"/>
  <c r="C718" i="9"/>
  <c r="L3387" i="9"/>
  <c r="M3387" i="9" s="1"/>
  <c r="C3339" i="9"/>
  <c r="L3388" i="9"/>
  <c r="M3388" i="9" s="1"/>
  <c r="C5223" i="9"/>
  <c r="L5369" i="9"/>
  <c r="M5369" i="9" s="1"/>
  <c r="C923" i="9"/>
  <c r="L3118" i="9"/>
  <c r="M3118" i="9" s="1"/>
  <c r="L3368" i="9"/>
  <c r="M3368" i="9" s="1"/>
  <c r="L5217" i="9"/>
  <c r="M5217" i="9" s="1"/>
  <c r="L3128" i="9"/>
  <c r="M3128" i="9" s="1"/>
  <c r="C5228" i="9"/>
  <c r="C5208" i="9"/>
  <c r="L5358" i="9"/>
  <c r="M5358" i="9" s="1"/>
  <c r="C3376" i="9"/>
  <c r="L3338" i="9"/>
  <c r="M3338" i="9" s="1"/>
  <c r="L895" i="9"/>
  <c r="M895" i="9" s="1"/>
  <c r="L1135" i="9"/>
  <c r="M1135" i="9" s="1"/>
  <c r="L5433" i="9"/>
  <c r="M5433" i="9" s="1"/>
  <c r="L3349" i="9"/>
  <c r="M3349" i="9" s="1"/>
  <c r="L868" i="9"/>
  <c r="M868" i="9" s="1"/>
  <c r="L1132" i="9"/>
  <c r="M1132" i="9" s="1"/>
  <c r="L5178" i="9"/>
  <c r="M5178" i="9" s="1"/>
  <c r="L3176" i="9"/>
  <c r="M3176" i="9" s="1"/>
  <c r="L859" i="9"/>
  <c r="M859" i="9" s="1"/>
  <c r="L1099" i="9"/>
  <c r="M1099" i="9" s="1"/>
  <c r="L3187" i="9"/>
  <c r="M3187" i="9" s="1"/>
  <c r="L3373" i="9"/>
  <c r="M3373" i="9" s="1"/>
  <c r="L5218" i="9"/>
  <c r="M5218" i="9" s="1"/>
  <c r="L5189" i="9"/>
  <c r="M5189" i="9" s="1"/>
  <c r="C919" i="9"/>
  <c r="C5435" i="9"/>
  <c r="C5425" i="9"/>
  <c r="L928" i="9"/>
  <c r="M928" i="9" s="1"/>
  <c r="L5408" i="9"/>
  <c r="M5408" i="9" s="1"/>
  <c r="L5432" i="9"/>
  <c r="M5432" i="9" s="1"/>
  <c r="L5225" i="9"/>
  <c r="M5225" i="9" s="1"/>
  <c r="L5434" i="9"/>
  <c r="M5434" i="9" s="1"/>
  <c r="C3328" i="9"/>
  <c r="C5229" i="9"/>
  <c r="L1133" i="9"/>
  <c r="M1133" i="9" s="1"/>
  <c r="C5426" i="9"/>
  <c r="C5169" i="9"/>
  <c r="L869" i="9"/>
  <c r="M869" i="9" s="1"/>
  <c r="L919" i="9"/>
  <c r="M919" i="9" s="1"/>
  <c r="L908" i="9"/>
  <c r="M908" i="9" s="1"/>
  <c r="L3182" i="9"/>
  <c r="M3182" i="9" s="1"/>
  <c r="C3185" i="9"/>
  <c r="C5388" i="9"/>
  <c r="C1078" i="9"/>
  <c r="C1126" i="9"/>
  <c r="C3319" i="9"/>
  <c r="L5423" i="9"/>
  <c r="M5423" i="9" s="1"/>
  <c r="C3173" i="9"/>
  <c r="C3388" i="9"/>
  <c r="L5438" i="9"/>
  <c r="M5438" i="9" s="1"/>
  <c r="C3139" i="9"/>
  <c r="L3358" i="9"/>
  <c r="M3358" i="9" s="1"/>
  <c r="C3188" i="9"/>
  <c r="C1109" i="9"/>
  <c r="C5158" i="9"/>
  <c r="C929" i="9"/>
  <c r="C3318" i="9"/>
  <c r="C5213" i="9"/>
  <c r="C5178" i="9"/>
  <c r="L1058" i="9"/>
  <c r="M1058" i="9" s="1"/>
  <c r="C1118" i="9"/>
  <c r="C927" i="9"/>
  <c r="L1128" i="9"/>
  <c r="M1128" i="9" s="1"/>
  <c r="L5439" i="9"/>
  <c r="M5439" i="9" s="1"/>
  <c r="C878" i="9"/>
  <c r="C3128" i="9"/>
  <c r="L1089" i="9"/>
  <c r="M1089" i="9" s="1"/>
  <c r="L1137" i="9"/>
  <c r="M1137" i="9" s="1"/>
  <c r="L3183" i="9"/>
  <c r="M3183" i="9" s="1"/>
  <c r="L918" i="9"/>
  <c r="M918" i="9" s="1"/>
  <c r="L3382" i="9"/>
  <c r="M3382" i="9" s="1"/>
  <c r="L5388" i="9"/>
  <c r="M5388" i="9" s="1"/>
  <c r="C5159" i="9"/>
  <c r="C925" i="9"/>
  <c r="C1125" i="9"/>
  <c r="C869" i="9"/>
  <c r="C1134" i="9"/>
  <c r="C3382" i="9"/>
  <c r="C3349" i="9"/>
  <c r="C1132" i="9"/>
  <c r="C5214" i="9"/>
  <c r="C5433" i="9"/>
  <c r="C5215" i="9"/>
  <c r="C5189" i="9"/>
  <c r="C3159" i="9"/>
  <c r="C5224" i="9"/>
  <c r="C5359" i="9"/>
  <c r="L5429" i="9"/>
  <c r="M5429" i="9" s="1"/>
  <c r="L5159" i="9"/>
  <c r="M5159" i="9" s="1"/>
  <c r="C5368" i="9"/>
  <c r="C5429" i="9"/>
  <c r="L1088" i="9"/>
  <c r="M1088" i="9" s="1"/>
  <c r="L1136" i="9"/>
  <c r="M1136" i="9" s="1"/>
  <c r="L5212" i="9"/>
  <c r="M5212" i="9" s="1"/>
  <c r="L3389" i="9"/>
  <c r="M3389" i="9" s="1"/>
  <c r="C916" i="9"/>
  <c r="L5158" i="9"/>
  <c r="M5158" i="9" s="1"/>
  <c r="L3337" i="9"/>
  <c r="M3337" i="9" s="1"/>
  <c r="C5209" i="9"/>
  <c r="C1123" i="9"/>
  <c r="C3383" i="9"/>
  <c r="C5399" i="9"/>
  <c r="C3377" i="9"/>
  <c r="L3175" i="9"/>
  <c r="M3175" i="9" s="1"/>
  <c r="C3118" i="9"/>
  <c r="L913" i="9"/>
  <c r="M913" i="9" s="1"/>
  <c r="C888" i="9"/>
  <c r="L3188" i="9"/>
  <c r="M3188" i="9" s="1"/>
  <c r="L917" i="9"/>
  <c r="M917" i="9" s="1"/>
  <c r="L5226" i="9"/>
  <c r="M5226" i="9" s="1"/>
  <c r="L3158" i="9"/>
  <c r="M3158" i="9" s="1"/>
  <c r="C3372" i="9"/>
  <c r="L1123" i="9"/>
  <c r="M1123" i="9" s="1"/>
  <c r="L5435" i="9"/>
  <c r="M5435" i="9" s="1"/>
  <c r="L5398" i="9"/>
  <c r="M5398" i="9" s="1"/>
  <c r="L5214" i="9"/>
  <c r="M5214" i="9" s="1"/>
  <c r="C848" i="9"/>
  <c r="C5436" i="9"/>
  <c r="C5389" i="9"/>
  <c r="C3179" i="9"/>
  <c r="C898" i="9"/>
  <c r="C1138" i="9"/>
  <c r="C5438" i="9"/>
  <c r="C1088" i="9"/>
  <c r="C3138" i="9"/>
  <c r="C1136" i="9"/>
  <c r="C5217" i="9"/>
  <c r="L5426" i="9"/>
  <c r="M5426" i="9" s="1"/>
  <c r="C1069" i="9"/>
  <c r="L922" i="9"/>
  <c r="M922" i="9" s="1"/>
  <c r="C1079" i="9"/>
  <c r="C1127" i="9"/>
  <c r="C5212" i="9"/>
  <c r="L5223" i="9"/>
  <c r="M5223" i="9" s="1"/>
  <c r="C5369" i="9"/>
  <c r="C3374" i="9"/>
  <c r="C3169" i="9"/>
  <c r="L3318" i="9"/>
  <c r="M3318" i="9" s="1"/>
  <c r="C3386" i="9"/>
  <c r="L915" i="9"/>
  <c r="M915" i="9" s="1"/>
  <c r="L1059" i="9"/>
  <c r="M1059" i="9" s="1"/>
  <c r="L3348" i="9"/>
  <c r="M3348" i="9" s="1"/>
  <c r="L5179" i="9"/>
  <c r="M5179" i="9" s="1"/>
  <c r="L5419" i="9"/>
  <c r="M5419" i="9" s="1"/>
  <c r="L926" i="9"/>
  <c r="M926" i="9" s="1"/>
  <c r="L1118" i="9"/>
  <c r="M1118" i="9" s="1"/>
  <c r="L3189" i="9"/>
  <c r="M3189" i="9" s="1"/>
  <c r="C1119" i="9"/>
  <c r="C5179" i="9"/>
  <c r="C5419" i="9"/>
  <c r="L5418" i="9"/>
  <c r="M5418" i="9" s="1"/>
  <c r="C889" i="9"/>
  <c r="L914" i="9"/>
  <c r="M914" i="9" s="1"/>
  <c r="C879" i="9"/>
  <c r="L3129" i="9"/>
  <c r="M3129" i="9" s="1"/>
  <c r="C5222" i="9"/>
  <c r="L5208" i="9"/>
  <c r="M5208" i="9" s="1"/>
  <c r="L5379" i="9"/>
  <c r="M5379" i="9" s="1"/>
  <c r="C914" i="9"/>
  <c r="C3177" i="9"/>
  <c r="L1122" i="9"/>
  <c r="M1122" i="9" s="1"/>
  <c r="L3185" i="9"/>
  <c r="M3185" i="9" s="1"/>
  <c r="L3359" i="9"/>
  <c r="M3359" i="9" s="1"/>
  <c r="L5425" i="9"/>
  <c r="M5425" i="9" s="1"/>
  <c r="L5436" i="9"/>
  <c r="M5436" i="9" s="1"/>
  <c r="L5399" i="9"/>
  <c r="M5399" i="9" s="1"/>
  <c r="L5224" i="9"/>
  <c r="M5224" i="9" s="1"/>
  <c r="L5359" i="9"/>
  <c r="M5359" i="9" s="1"/>
  <c r="L1079" i="9"/>
  <c r="M1079" i="9" s="1"/>
  <c r="C1089" i="9"/>
  <c r="C1137" i="9"/>
  <c r="C3168" i="9"/>
  <c r="L3178" i="9"/>
  <c r="M3178" i="9" s="1"/>
  <c r="C858" i="9"/>
  <c r="C1098" i="9"/>
  <c r="C3373" i="9"/>
  <c r="C1068" i="9"/>
  <c r="C868" i="9"/>
  <c r="L3119" i="9"/>
  <c r="M3119" i="9" s="1"/>
  <c r="C3183" i="9"/>
  <c r="L1068" i="9"/>
  <c r="M1068" i="9" s="1"/>
  <c r="L5428" i="9"/>
  <c r="M5428" i="9" s="1"/>
  <c r="C3175" i="9"/>
  <c r="L1124" i="9"/>
  <c r="M1124" i="9" s="1"/>
  <c r="L3148" i="9"/>
  <c r="M3148" i="9" s="1"/>
  <c r="L5229" i="9"/>
  <c r="M5229" i="9" s="1"/>
  <c r="C5219" i="9"/>
  <c r="L3376" i="9"/>
  <c r="M3376" i="9" s="1"/>
  <c r="C928" i="9"/>
  <c r="C5432" i="9"/>
  <c r="L5198" i="9"/>
  <c r="M5198" i="9" s="1"/>
  <c r="L3169" i="9"/>
  <c r="M3169" i="9" s="1"/>
  <c r="L3139" i="9"/>
  <c r="M3139" i="9" s="1"/>
  <c r="L848" i="9"/>
  <c r="M848" i="9" s="1"/>
  <c r="L1108" i="9"/>
  <c r="M1108" i="9" s="1"/>
  <c r="C1135" i="9"/>
  <c r="C3178" i="9"/>
  <c r="C5149" i="9"/>
  <c r="C3184" i="9"/>
  <c r="C3148" i="9"/>
  <c r="C5168" i="9"/>
  <c r="C5423" i="9"/>
  <c r="L5169" i="9"/>
  <c r="M5169" i="9" s="1"/>
  <c r="L1109" i="9"/>
  <c r="M1109" i="9" s="1"/>
  <c r="L929" i="9"/>
  <c r="M929" i="9" s="1"/>
  <c r="L3369" i="9"/>
  <c r="M3369" i="9" s="1"/>
  <c r="C5424" i="9"/>
  <c r="C3384" i="9"/>
  <c r="C3329" i="9"/>
  <c r="C3186" i="9"/>
  <c r="C3119" i="9"/>
  <c r="L3328" i="9"/>
  <c r="M3328" i="9" s="1"/>
  <c r="L5409" i="9"/>
  <c r="M5409" i="9" s="1"/>
  <c r="C1124" i="9"/>
  <c r="C3182" i="9"/>
  <c r="L912" i="9"/>
  <c r="M912" i="9" s="1"/>
  <c r="L5422" i="9"/>
  <c r="M5422" i="9" s="1"/>
  <c r="C3346" i="9"/>
  <c r="L1078" i="9"/>
  <c r="M1078" i="9" s="1"/>
  <c r="C899" i="9"/>
  <c r="C3387" i="9"/>
  <c r="L1116" i="9"/>
  <c r="M1116" i="9" s="1"/>
  <c r="C5427" i="9"/>
  <c r="C3187" i="9"/>
  <c r="L1119" i="9"/>
  <c r="M1119" i="9" s="1"/>
  <c r="L3372" i="9"/>
  <c r="M3372" i="9" s="1"/>
  <c r="L5228" i="9"/>
  <c r="M5228" i="9" s="1"/>
  <c r="C5378" i="9"/>
  <c r="L5412" i="9"/>
  <c r="M5412" i="9" s="1"/>
  <c r="C1133" i="9"/>
  <c r="C3174" i="9"/>
  <c r="C5227" i="9"/>
  <c r="C5226" i="9"/>
  <c r="L5199" i="9"/>
  <c r="M5199" i="9" s="1"/>
  <c r="L923" i="9"/>
  <c r="M923" i="9" s="1"/>
  <c r="C3158" i="9"/>
  <c r="C3189" i="9"/>
  <c r="C3378" i="9"/>
  <c r="L3379" i="9"/>
  <c r="M3379" i="9" s="1"/>
  <c r="C926" i="9"/>
  <c r="C1058" i="9"/>
  <c r="L3386" i="9"/>
  <c r="M3386" i="9" s="1"/>
  <c r="C3176" i="9"/>
  <c r="C3368" i="9"/>
  <c r="L849" i="9"/>
  <c r="M849" i="9" s="1"/>
  <c r="C909" i="9"/>
  <c r="C918" i="9"/>
  <c r="C3338" i="9"/>
  <c r="C5398" i="9"/>
  <c r="C5218" i="9"/>
  <c r="C5428" i="9"/>
  <c r="L924" i="9"/>
  <c r="M924" i="9" s="1"/>
  <c r="L5368" i="9"/>
  <c r="M5368" i="9" s="1"/>
  <c r="C5358" i="9"/>
  <c r="C3375" i="9"/>
  <c r="C5188" i="9"/>
  <c r="L3339" i="9"/>
  <c r="M3339" i="9" s="1"/>
  <c r="L3172" i="9"/>
  <c r="M3172" i="9" s="1"/>
  <c r="L1069" i="9"/>
  <c r="M1069" i="9" s="1"/>
  <c r="L1139" i="9"/>
  <c r="M1139" i="9" s="1"/>
  <c r="C5408" i="9"/>
  <c r="C5409" i="9"/>
  <c r="C5225" i="9"/>
  <c r="C5434" i="9"/>
  <c r="L1127" i="9"/>
  <c r="M1127" i="9" s="1"/>
  <c r="L3385" i="9"/>
  <c r="M3385" i="9" s="1"/>
  <c r="C1129" i="9"/>
  <c r="L1126" i="9"/>
  <c r="M1126" i="9" s="1"/>
  <c r="L5213" i="9"/>
  <c r="M5213" i="9" s="1"/>
  <c r="L3374" i="9"/>
  <c r="M3374" i="9" s="1"/>
  <c r="C859" i="9"/>
  <c r="C1099" i="9"/>
  <c r="C5437" i="9"/>
  <c r="C5148" i="9"/>
  <c r="L3149" i="9"/>
  <c r="M3149" i="9" s="1"/>
  <c r="L916" i="9"/>
  <c r="M916" i="9" s="1"/>
  <c r="C3172" i="9"/>
  <c r="C5216" i="9"/>
  <c r="C908" i="9"/>
  <c r="C922" i="9"/>
  <c r="L3352" i="9"/>
  <c r="M3352" i="9" s="1"/>
  <c r="C3149" i="9"/>
  <c r="C479" i="9"/>
  <c r="C2786" i="9"/>
  <c r="L2989" i="9"/>
  <c r="M2989" i="9" s="1"/>
  <c r="L4589" i="9"/>
  <c r="M4589" i="9" s="1"/>
  <c r="L2939" i="9"/>
  <c r="M2939" i="9" s="1"/>
  <c r="L2538" i="9"/>
  <c r="M2538" i="9" s="1"/>
  <c r="L5016" i="9"/>
  <c r="M5016" i="9" s="1"/>
  <c r="L458" i="9"/>
  <c r="M458" i="9" s="1"/>
  <c r="L4949" i="9"/>
  <c r="M4949" i="9" s="1"/>
  <c r="C279" i="9"/>
  <c r="L4788" i="9"/>
  <c r="M4788" i="9" s="1"/>
  <c r="L2949" i="9"/>
  <c r="M2949" i="9" s="1"/>
  <c r="L48" i="9"/>
  <c r="M48" i="9" s="1"/>
  <c r="L2358" i="9"/>
  <c r="M2358" i="9" s="1"/>
  <c r="L2785" i="9"/>
  <c r="M2785" i="9" s="1"/>
  <c r="L4518" i="9"/>
  <c r="M4518" i="9" s="1"/>
  <c r="L4528" i="9"/>
  <c r="M4528" i="9" s="1"/>
  <c r="C2718" i="9"/>
  <c r="C2728" i="9"/>
  <c r="L689" i="9"/>
  <c r="M689" i="9" s="1"/>
  <c r="L639" i="9"/>
  <c r="M639" i="9" s="1"/>
  <c r="L4959" i="9"/>
  <c r="M4959" i="9" s="1"/>
  <c r="L507" i="9"/>
  <c r="M507" i="9" s="1"/>
  <c r="C49" i="9"/>
  <c r="C4799" i="9"/>
  <c r="L2338" i="9"/>
  <c r="M2338" i="9" s="1"/>
  <c r="L2986" i="9"/>
  <c r="M2986" i="9" s="1"/>
  <c r="C288" i="9"/>
  <c r="C4808" i="9"/>
  <c r="C2349" i="9"/>
  <c r="L4758" i="9"/>
  <c r="M4758" i="9" s="1"/>
  <c r="L499" i="9"/>
  <c r="M499" i="9" s="1"/>
  <c r="L2748" i="9"/>
  <c r="M2748" i="9" s="1"/>
  <c r="L4938" i="9"/>
  <c r="M4938" i="9" s="1"/>
  <c r="L2329" i="9"/>
  <c r="M2329" i="9" s="1"/>
  <c r="L4748" i="9"/>
  <c r="M4748" i="9" s="1"/>
  <c r="L505" i="9"/>
  <c r="M505" i="9" s="1"/>
  <c r="C2549" i="9"/>
  <c r="L9" i="9"/>
  <c r="M9" i="9" s="1"/>
  <c r="L2978" i="9"/>
  <c r="M2978" i="9" s="1"/>
  <c r="C5017" i="9"/>
  <c r="C4548" i="9"/>
  <c r="C709" i="9"/>
  <c r="C289" i="9"/>
  <c r="L38" i="9"/>
  <c r="M38" i="9" s="1"/>
  <c r="L2777" i="9"/>
  <c r="M2777" i="9" s="1"/>
  <c r="L4809" i="9"/>
  <c r="M4809" i="9" s="1"/>
  <c r="L228" i="9"/>
  <c r="M228" i="9" s="1"/>
  <c r="L4779" i="9"/>
  <c r="M4779" i="9" s="1"/>
  <c r="L2977" i="9"/>
  <c r="M2977" i="9" s="1"/>
  <c r="C2519" i="9"/>
  <c r="C429" i="9"/>
  <c r="L2918" i="9"/>
  <c r="M2918" i="9" s="1"/>
  <c r="L18" i="9"/>
  <c r="M18" i="9" s="1"/>
  <c r="L2368" i="9"/>
  <c r="M2368" i="9" s="1"/>
  <c r="L2328" i="9"/>
  <c r="M2328" i="9" s="1"/>
  <c r="L2339" i="9"/>
  <c r="M2339" i="9" s="1"/>
  <c r="L5018" i="9"/>
  <c r="M5018" i="9" s="1"/>
  <c r="L69" i="9"/>
  <c r="M69" i="9" s="1"/>
  <c r="L439" i="9"/>
  <c r="M439" i="9" s="1"/>
  <c r="C4787" i="9"/>
  <c r="C4759" i="9"/>
  <c r="L708" i="9"/>
  <c r="M708" i="9" s="1"/>
  <c r="L717" i="9"/>
  <c r="M717" i="9" s="1"/>
  <c r="L705" i="9"/>
  <c r="M705" i="9" s="1"/>
  <c r="L4594" i="9"/>
  <c r="M4594" i="9" s="1"/>
  <c r="L239" i="9"/>
  <c r="M239" i="9" s="1"/>
  <c r="L2788" i="9"/>
  <c r="M2788" i="9" s="1"/>
  <c r="L4568" i="9"/>
  <c r="M4568" i="9" s="1"/>
  <c r="C4549" i="9"/>
  <c r="L5013" i="9"/>
  <c r="M5013" i="9" s="1"/>
  <c r="L2539" i="9"/>
  <c r="M2539" i="9" s="1"/>
  <c r="C449" i="9"/>
  <c r="L2569" i="9"/>
  <c r="M2569" i="9" s="1"/>
  <c r="L238" i="9"/>
  <c r="M238" i="9" s="1"/>
  <c r="L2782" i="9"/>
  <c r="M2782" i="9" s="1"/>
  <c r="L4578" i="9"/>
  <c r="M4578" i="9" s="1"/>
  <c r="C4807" i="9"/>
  <c r="L4803" i="9"/>
  <c r="M4803" i="9" s="1"/>
  <c r="C2958" i="9"/>
  <c r="C688" i="9"/>
  <c r="L4958" i="9"/>
  <c r="M4958" i="9" s="1"/>
  <c r="C2378" i="9"/>
  <c r="C39" i="9"/>
  <c r="C2388" i="9"/>
  <c r="C4798" i="9"/>
  <c r="L287" i="9"/>
  <c r="M287" i="9" s="1"/>
  <c r="L679" i="9"/>
  <c r="M679" i="9" s="1"/>
  <c r="L2976" i="9"/>
  <c r="M2976" i="9" s="1"/>
  <c r="C77" i="9"/>
  <c r="C2319" i="9"/>
  <c r="C4588" i="9"/>
  <c r="C268" i="9"/>
  <c r="L5004" i="9"/>
  <c r="M5004" i="9" s="1"/>
  <c r="C5005" i="9"/>
  <c r="C2318" i="9"/>
  <c r="C2987" i="9"/>
  <c r="L4569" i="9"/>
  <c r="M4569" i="9" s="1"/>
  <c r="L229" i="9"/>
  <c r="M229" i="9" s="1"/>
  <c r="C2559" i="9"/>
  <c r="C2387" i="9"/>
  <c r="L28" i="9"/>
  <c r="M28" i="9" s="1"/>
  <c r="C4989" i="9"/>
  <c r="C4598" i="9"/>
  <c r="L2776" i="9"/>
  <c r="M2776" i="9" s="1"/>
  <c r="C707" i="9"/>
  <c r="C2719" i="9"/>
  <c r="L2778" i="9"/>
  <c r="M2778" i="9" s="1"/>
  <c r="L4797" i="9"/>
  <c r="M4797" i="9" s="1"/>
  <c r="L4739" i="9"/>
  <c r="M4739" i="9" s="1"/>
  <c r="L4559" i="9"/>
  <c r="M4559" i="9" s="1"/>
  <c r="C4789" i="9"/>
  <c r="L4968" i="9"/>
  <c r="M4968" i="9" s="1"/>
  <c r="C2928" i="9"/>
  <c r="C497" i="9"/>
  <c r="L88" i="9"/>
  <c r="M88" i="9" s="1"/>
  <c r="L704" i="9"/>
  <c r="M704" i="9" s="1"/>
  <c r="L4749" i="9"/>
  <c r="M4749" i="9" s="1"/>
  <c r="L29" i="9"/>
  <c r="M29" i="9" s="1"/>
  <c r="L656" i="9"/>
  <c r="M656" i="9" s="1"/>
  <c r="L4939" i="9"/>
  <c r="M4939" i="9" s="1"/>
  <c r="L4729" i="9"/>
  <c r="M4729" i="9" s="1"/>
  <c r="L19" i="9"/>
  <c r="M19" i="9" s="1"/>
  <c r="L4738" i="9"/>
  <c r="M4738" i="9" s="1"/>
  <c r="L2769" i="9"/>
  <c r="M2769" i="9" s="1"/>
  <c r="L489" i="9"/>
  <c r="M489" i="9" s="1"/>
  <c r="L669" i="9"/>
  <c r="M669" i="9" s="1"/>
  <c r="L4796" i="9"/>
  <c r="M4796" i="9" s="1"/>
  <c r="L2959" i="9"/>
  <c r="M2959" i="9" s="1"/>
  <c r="L2589" i="9"/>
  <c r="M2589" i="9" s="1"/>
  <c r="L508" i="9"/>
  <c r="M508" i="9" s="1"/>
  <c r="L4988" i="9"/>
  <c r="M4988" i="9" s="1"/>
  <c r="L4519" i="9"/>
  <c r="M4519" i="9" s="1"/>
  <c r="L428" i="9"/>
  <c r="M428" i="9" s="1"/>
  <c r="L4768" i="9"/>
  <c r="M4768" i="9" s="1"/>
  <c r="L4786" i="9"/>
  <c r="M4786" i="9" s="1"/>
  <c r="L4978" i="9"/>
  <c r="M4978" i="9" s="1"/>
  <c r="L2578" i="9"/>
  <c r="M2578" i="9" s="1"/>
  <c r="L4579" i="9"/>
  <c r="M4579" i="9" s="1"/>
  <c r="C5008" i="9"/>
  <c r="L2787" i="9"/>
  <c r="M2787" i="9" s="1"/>
  <c r="L219" i="9"/>
  <c r="M219" i="9" s="1"/>
  <c r="C2758" i="9"/>
  <c r="C2379" i="9"/>
  <c r="L719" i="9"/>
  <c r="M719" i="9" s="1"/>
  <c r="C706" i="9"/>
  <c r="L699" i="9"/>
  <c r="M699" i="9" s="1"/>
  <c r="L2768" i="9"/>
  <c r="M2768" i="9" s="1"/>
  <c r="L68" i="9"/>
  <c r="M68" i="9" s="1"/>
  <c r="L4999" i="9"/>
  <c r="M4999" i="9" s="1"/>
  <c r="L5007" i="9"/>
  <c r="M5007" i="9" s="1"/>
  <c r="L2929" i="9"/>
  <c r="M2929" i="9" s="1"/>
  <c r="C238" i="9"/>
  <c r="C699" i="9"/>
  <c r="C68" i="9"/>
  <c r="C4728" i="9"/>
  <c r="L449" i="9"/>
  <c r="M449" i="9" s="1"/>
  <c r="C2929" i="9"/>
  <c r="C638" i="9"/>
  <c r="L459" i="9"/>
  <c r="M459" i="9" s="1"/>
  <c r="C698" i="9"/>
  <c r="C459" i="9"/>
  <c r="L269" i="9"/>
  <c r="M269" i="9" s="1"/>
  <c r="L2759" i="9"/>
  <c r="M2759" i="9" s="1"/>
  <c r="C4529" i="9"/>
  <c r="C716" i="9"/>
  <c r="C678" i="9"/>
  <c r="C438" i="9"/>
  <c r="L2789" i="9"/>
  <c r="M2789" i="9" s="1"/>
  <c r="L2588" i="9"/>
  <c r="M2588" i="9" s="1"/>
  <c r="C59" i="9"/>
  <c r="L2379" i="9"/>
  <c r="M2379" i="9" s="1"/>
  <c r="L2979" i="9"/>
  <c r="M2979" i="9" s="1"/>
  <c r="C4568" i="9"/>
  <c r="C4998" i="9"/>
  <c r="C659" i="9"/>
  <c r="C488" i="9"/>
  <c r="L468" i="9"/>
  <c r="M468" i="9" s="1"/>
  <c r="L78" i="9"/>
  <c r="M78" i="9" s="1"/>
  <c r="C4578" i="9"/>
  <c r="C2969" i="9"/>
  <c r="L59" i="9"/>
  <c r="M59" i="9" s="1"/>
  <c r="L4989" i="9"/>
  <c r="M4989" i="9" s="1"/>
  <c r="L2958" i="9"/>
  <c r="M2958" i="9" s="1"/>
  <c r="C2578" i="9"/>
  <c r="C2569" i="9"/>
  <c r="C78" i="9"/>
  <c r="C2589" i="9"/>
  <c r="L39" i="9"/>
  <c r="M39" i="9" s="1"/>
  <c r="L2388" i="9"/>
  <c r="M2388" i="9" s="1"/>
  <c r="C2768" i="9"/>
  <c r="C496" i="9"/>
  <c r="C4988" i="9"/>
  <c r="L4798" i="9"/>
  <c r="M4798" i="9" s="1"/>
  <c r="C4969" i="9"/>
  <c r="C448" i="9"/>
  <c r="C4968" i="9"/>
  <c r="C219" i="9"/>
  <c r="L49" i="9"/>
  <c r="M49" i="9" s="1"/>
  <c r="C2977" i="9"/>
  <c r="C708" i="9"/>
  <c r="C4748" i="9"/>
  <c r="L4759" i="9"/>
  <c r="M4759" i="9" s="1"/>
  <c r="L2318" i="9"/>
  <c r="M2318" i="9" s="1"/>
  <c r="L58" i="9"/>
  <c r="M58" i="9" s="1"/>
  <c r="L2518" i="9"/>
  <c r="M2518" i="9" s="1"/>
  <c r="L2749" i="9"/>
  <c r="M2749" i="9" s="1"/>
  <c r="L716" i="9"/>
  <c r="M716" i="9" s="1"/>
  <c r="L268" i="9"/>
  <c r="M268" i="9" s="1"/>
  <c r="C269" i="9"/>
  <c r="C19" i="9"/>
  <c r="C4948" i="9"/>
  <c r="L2928" i="9"/>
  <c r="M2928" i="9" s="1"/>
  <c r="C2777" i="9"/>
  <c r="C4809" i="9"/>
  <c r="L289" i="9"/>
  <c r="M289" i="9" s="1"/>
  <c r="C228" i="9"/>
  <c r="L2519" i="9"/>
  <c r="M2519" i="9" s="1"/>
  <c r="C2558" i="9"/>
  <c r="C2959" i="9"/>
  <c r="C18" i="9"/>
  <c r="L218" i="9"/>
  <c r="M218" i="9" s="1"/>
  <c r="C719" i="9"/>
  <c r="C28" i="9"/>
  <c r="C4539" i="9"/>
  <c r="C4779" i="9"/>
  <c r="L4979" i="9"/>
  <c r="M4979" i="9" s="1"/>
  <c r="L4799" i="9"/>
  <c r="M4799" i="9" s="1"/>
  <c r="C468" i="9"/>
  <c r="C2789" i="9"/>
  <c r="C4758" i="9"/>
  <c r="C2529" i="9"/>
  <c r="C4519" i="9"/>
  <c r="C506" i="9"/>
  <c r="L479" i="9"/>
  <c r="M479" i="9" s="1"/>
  <c r="L2969" i="9"/>
  <c r="M2969" i="9" s="1"/>
  <c r="L4538" i="9"/>
  <c r="M4538" i="9" s="1"/>
  <c r="C298" i="9"/>
  <c r="C2978" i="9"/>
  <c r="L497" i="9"/>
  <c r="M497" i="9" s="1"/>
  <c r="C4978" i="9"/>
  <c r="L79" i="9"/>
  <c r="M79" i="9" s="1"/>
  <c r="C2918" i="9"/>
  <c r="L2549" i="9"/>
  <c r="M2549" i="9" s="1"/>
  <c r="C248" i="9"/>
  <c r="L496" i="9"/>
  <c r="M496" i="9" s="1"/>
  <c r="C4769" i="9"/>
  <c r="C499" i="9"/>
  <c r="C4939" i="9"/>
  <c r="C4999" i="9"/>
  <c r="L438" i="9"/>
  <c r="M438" i="9" s="1"/>
  <c r="L678" i="9"/>
  <c r="M678" i="9" s="1"/>
  <c r="L258" i="9"/>
  <c r="M258" i="9" s="1"/>
  <c r="C489" i="9"/>
  <c r="C669" i="9"/>
  <c r="L4539" i="9"/>
  <c r="M4539" i="9" s="1"/>
  <c r="C69" i="9"/>
  <c r="C2986" i="9"/>
  <c r="C2359" i="9"/>
  <c r="C2568" i="9"/>
  <c r="C249" i="9"/>
  <c r="L299" i="9"/>
  <c r="M299" i="9" s="1"/>
  <c r="C648" i="9"/>
  <c r="L2548" i="9"/>
  <c r="M2548" i="9" s="1"/>
  <c r="C4958" i="9"/>
  <c r="C4559" i="9"/>
  <c r="L4558" i="9"/>
  <c r="M4558" i="9" s="1"/>
  <c r="C5019" i="9"/>
  <c r="L5006" i="9"/>
  <c r="M5006" i="9" s="1"/>
  <c r="L2779" i="9"/>
  <c r="M2779" i="9" s="1"/>
  <c r="C509" i="9"/>
  <c r="L4769" i="9"/>
  <c r="M4769" i="9" s="1"/>
  <c r="L638" i="9"/>
  <c r="M638" i="9" s="1"/>
  <c r="L2378" i="9"/>
  <c r="M2378" i="9" s="1"/>
  <c r="L668" i="9"/>
  <c r="M668" i="9" s="1"/>
  <c r="C2778" i="9"/>
  <c r="C4797" i="9"/>
  <c r="C2779" i="9"/>
  <c r="C89" i="9"/>
  <c r="L2938" i="9"/>
  <c r="M2938" i="9" s="1"/>
  <c r="L2948" i="9"/>
  <c r="M2948" i="9" s="1"/>
  <c r="L4549" i="9"/>
  <c r="M4549" i="9" s="1"/>
  <c r="C649" i="9"/>
  <c r="C458" i="9"/>
  <c r="L2988" i="9"/>
  <c r="M2988" i="9" s="1"/>
  <c r="C5016" i="9"/>
  <c r="L5017" i="9"/>
  <c r="M5017" i="9" s="1"/>
  <c r="L4548" i="9"/>
  <c r="M4548" i="9" s="1"/>
  <c r="L4808" i="9"/>
  <c r="M4808" i="9" s="1"/>
  <c r="C4796" i="9"/>
  <c r="L4807" i="9"/>
  <c r="M4807" i="9" s="1"/>
  <c r="L2568" i="9"/>
  <c r="M2568" i="9" s="1"/>
  <c r="L2919" i="9"/>
  <c r="M2919" i="9" s="1"/>
  <c r="L298" i="9"/>
  <c r="M298" i="9" s="1"/>
  <c r="L4806" i="9"/>
  <c r="M4806" i="9" s="1"/>
  <c r="C2338" i="9"/>
  <c r="C2369" i="9"/>
  <c r="C4778" i="9"/>
  <c r="C4949" i="9"/>
  <c r="C2389" i="9"/>
  <c r="C2538" i="9"/>
  <c r="C4738" i="9"/>
  <c r="L709" i="9"/>
  <c r="M709" i="9" s="1"/>
  <c r="C2328" i="9"/>
  <c r="C38" i="9"/>
  <c r="C2339" i="9"/>
  <c r="C2939" i="9"/>
  <c r="C4569" i="9"/>
  <c r="C5018" i="9"/>
  <c r="C689" i="9"/>
  <c r="L2348" i="9"/>
  <c r="M2348" i="9" s="1"/>
  <c r="L4998" i="9"/>
  <c r="M4998" i="9" s="1"/>
  <c r="C2548" i="9"/>
  <c r="L658" i="9"/>
  <c r="M658" i="9" s="1"/>
  <c r="L706" i="9"/>
  <c r="M706" i="9" s="1"/>
  <c r="L2728" i="9"/>
  <c r="M2728" i="9" s="1"/>
  <c r="C79" i="9"/>
  <c r="L279" i="9"/>
  <c r="M279" i="9" s="1"/>
  <c r="C88" i="9"/>
  <c r="C4599" i="9"/>
  <c r="C4749" i="9"/>
  <c r="C4979" i="9"/>
  <c r="L89" i="9"/>
  <c r="M89" i="9" s="1"/>
  <c r="L2528" i="9"/>
  <c r="M2528" i="9" s="1"/>
  <c r="C4729" i="9"/>
  <c r="C4938" i="9"/>
  <c r="L648" i="9"/>
  <c r="M648" i="9" s="1"/>
  <c r="L509" i="9"/>
  <c r="M509" i="9" s="1"/>
  <c r="L2319" i="9"/>
  <c r="M2319" i="9" s="1"/>
  <c r="L259" i="9"/>
  <c r="M259" i="9" s="1"/>
  <c r="L703" i="9"/>
  <c r="M703" i="9" s="1"/>
  <c r="C2579" i="9"/>
  <c r="C428" i="9"/>
  <c r="L248" i="9"/>
  <c r="M248" i="9" s="1"/>
  <c r="L4789" i="9"/>
  <c r="M4789" i="9" s="1"/>
  <c r="C2358" i="9"/>
  <c r="L2359" i="9"/>
  <c r="M2359" i="9" s="1"/>
  <c r="C2748" i="9"/>
  <c r="C4558" i="9"/>
  <c r="C2938" i="9"/>
  <c r="L498" i="9"/>
  <c r="M498" i="9" s="1"/>
  <c r="L429" i="9"/>
  <c r="M429" i="9" s="1"/>
  <c r="C9" i="9"/>
  <c r="L2786" i="9"/>
  <c r="M2786" i="9" s="1"/>
  <c r="C439" i="9"/>
  <c r="C2539" i="9"/>
  <c r="L2558" i="9"/>
  <c r="M2558" i="9" s="1"/>
  <c r="C2948" i="9"/>
  <c r="C218" i="9"/>
  <c r="L2968" i="9"/>
  <c r="M2968" i="9" s="1"/>
  <c r="C2739" i="9"/>
  <c r="C5006" i="9"/>
  <c r="C4739" i="9"/>
  <c r="L506" i="9"/>
  <c r="M506" i="9" s="1"/>
  <c r="L698" i="9"/>
  <c r="M698" i="9" s="1"/>
  <c r="C2738" i="9"/>
  <c r="C2988" i="9"/>
  <c r="L4728" i="9"/>
  <c r="M4728" i="9" s="1"/>
  <c r="L4986" i="9"/>
  <c r="M4986" i="9" s="1"/>
  <c r="L2739" i="9"/>
  <c r="M2739" i="9" s="1"/>
  <c r="L469" i="9"/>
  <c r="M469" i="9" s="1"/>
  <c r="C29" i="9"/>
  <c r="C508" i="9"/>
  <c r="C2769" i="9"/>
  <c r="C4788" i="9"/>
  <c r="L4969" i="9"/>
  <c r="M4969" i="9" s="1"/>
  <c r="C469" i="9"/>
  <c r="C2329" i="9"/>
  <c r="C2949" i="9"/>
  <c r="C4959" i="9"/>
  <c r="L2349" i="9"/>
  <c r="M2349" i="9" s="1"/>
  <c r="L2738" i="9"/>
  <c r="M2738" i="9" s="1"/>
  <c r="C2976" i="9"/>
  <c r="L249" i="9"/>
  <c r="M249" i="9" s="1"/>
  <c r="L2579" i="9"/>
  <c r="M2579" i="9" s="1"/>
  <c r="C2776" i="9"/>
  <c r="C229" i="9"/>
  <c r="C2919" i="9"/>
  <c r="C258" i="9"/>
  <c r="C4806" i="9"/>
  <c r="C259" i="9"/>
  <c r="C2518" i="9"/>
  <c r="C2749" i="9"/>
  <c r="C4528" i="9"/>
  <c r="L2559" i="9"/>
  <c r="M2559" i="9" s="1"/>
  <c r="C2729" i="9"/>
  <c r="C4538" i="9"/>
  <c r="C278" i="9"/>
  <c r="C2989" i="9"/>
  <c r="C48" i="9"/>
  <c r="L2719" i="9"/>
  <c r="M2719" i="9" s="1"/>
  <c r="C2588" i="9"/>
  <c r="C5009" i="9"/>
  <c r="L478" i="9"/>
  <c r="M478" i="9" s="1"/>
  <c r="L718" i="9"/>
  <c r="M718" i="9" s="1"/>
  <c r="L2718" i="9"/>
  <c r="M2718" i="9" s="1"/>
  <c r="C2368" i="9"/>
  <c r="C2979" i="9"/>
  <c r="L288" i="9"/>
  <c r="M288" i="9" s="1"/>
  <c r="L5008" i="9"/>
  <c r="M5008" i="9" s="1"/>
  <c r="C679" i="9"/>
  <c r="L659" i="9"/>
  <c r="M659" i="9" s="1"/>
  <c r="C639" i="9"/>
  <c r="C2528" i="9"/>
  <c r="C668" i="9"/>
  <c r="C8" i="9"/>
  <c r="L4529" i="9"/>
  <c r="M4529" i="9" s="1"/>
  <c r="L4588" i="9"/>
  <c r="M4588" i="9" s="1"/>
  <c r="C58" i="9"/>
  <c r="L2987" i="9"/>
  <c r="M2987" i="9" s="1"/>
  <c r="C507" i="9"/>
  <c r="C2759" i="9"/>
  <c r="C4768" i="9"/>
  <c r="C4579" i="9"/>
  <c r="C498" i="9"/>
  <c r="L4598" i="9"/>
  <c r="M4598" i="9" s="1"/>
  <c r="C2968" i="9"/>
  <c r="C299" i="9"/>
  <c r="C239" i="9"/>
  <c r="L488" i="9"/>
  <c r="M488" i="9" s="1"/>
  <c r="C2788" i="9"/>
  <c r="L5019" i="9"/>
  <c r="M5019" i="9" s="1"/>
  <c r="C4589" i="9"/>
  <c r="C5007" i="9"/>
  <c r="L707" i="9"/>
  <c r="M707" i="9" s="1"/>
  <c r="L688" i="9"/>
  <c r="M688" i="9" s="1"/>
  <c r="L8" i="9"/>
  <c r="M8" i="9" s="1"/>
  <c r="L448" i="9"/>
  <c r="M448" i="9" s="1"/>
  <c r="L2529" i="9"/>
  <c r="M2529" i="9" s="1"/>
  <c r="L2369" i="9"/>
  <c r="M2369" i="9" s="1"/>
  <c r="L4948" i="9"/>
  <c r="M4948" i="9" s="1"/>
  <c r="L4778" i="9"/>
  <c r="M4778" i="9" s="1"/>
  <c r="C4518" i="9"/>
  <c r="C717" i="9"/>
  <c r="L4599" i="9"/>
  <c r="M4599" i="9" s="1"/>
  <c r="C2348" i="9"/>
  <c r="C4802" i="9"/>
  <c r="L4804" i="9"/>
  <c r="M4804" i="9" s="1"/>
  <c r="L4805" i="9"/>
  <c r="M4805" i="9" s="1"/>
  <c r="C2982" i="9"/>
  <c r="C2773" i="9"/>
  <c r="C2775" i="9"/>
  <c r="C2584" i="9"/>
  <c r="C493" i="9"/>
  <c r="L5014" i="9"/>
  <c r="M5014" i="9" s="1"/>
  <c r="L4792" i="9"/>
  <c r="M4792" i="9" s="1"/>
  <c r="L5012" i="9"/>
  <c r="M5012" i="9" s="1"/>
  <c r="L2772" i="9"/>
  <c r="M2772" i="9" s="1"/>
  <c r="C4795" i="9"/>
  <c r="C503" i="9"/>
  <c r="L4793" i="9"/>
  <c r="M4793" i="9" s="1"/>
  <c r="C2974" i="9"/>
  <c r="L2983" i="9"/>
  <c r="M2983" i="9" s="1"/>
  <c r="L4794" i="9"/>
  <c r="M4794" i="9" s="1"/>
  <c r="L715" i="9"/>
  <c r="M715" i="9" s="1"/>
  <c r="L5003" i="9"/>
  <c r="M5003" i="9" s="1"/>
  <c r="L492" i="9"/>
  <c r="M492" i="9" s="1"/>
  <c r="L2962" i="9"/>
  <c r="M2962" i="9" s="1"/>
  <c r="C2783" i="9"/>
  <c r="C2774" i="9"/>
  <c r="L712" i="9"/>
  <c r="M712" i="9" s="1"/>
  <c r="L714" i="9"/>
  <c r="M714" i="9" s="1"/>
  <c r="C5015" i="9"/>
  <c r="C5013" i="9"/>
  <c r="C2782" i="9"/>
  <c r="L2975" i="9"/>
  <c r="M2975" i="9" s="1"/>
  <c r="C504" i="9"/>
  <c r="C2973" i="9"/>
  <c r="C4803" i="9"/>
  <c r="C502" i="9"/>
  <c r="C492" i="9"/>
  <c r="L2783" i="9"/>
  <c r="M2783" i="9" s="1"/>
  <c r="C505" i="9"/>
  <c r="C5004" i="9"/>
  <c r="L2775" i="9"/>
  <c r="M2775" i="9" s="1"/>
  <c r="C2975" i="9"/>
  <c r="L502" i="9"/>
  <c r="M502" i="9" s="1"/>
  <c r="C5002" i="9"/>
  <c r="C495" i="9"/>
  <c r="C4792" i="9"/>
  <c r="C714" i="9"/>
  <c r="C494" i="9"/>
  <c r="C2784" i="9"/>
  <c r="C705" i="9"/>
  <c r="L2972" i="9"/>
  <c r="M2972" i="9" s="1"/>
  <c r="L2774" i="9"/>
  <c r="M2774" i="9" s="1"/>
  <c r="C713" i="9"/>
  <c r="L494" i="9"/>
  <c r="M494" i="9" s="1"/>
  <c r="L4795" i="9"/>
  <c r="M4795" i="9" s="1"/>
  <c r="L2773" i="9"/>
  <c r="M2773" i="9" s="1"/>
  <c r="L5015" i="9"/>
  <c r="M5015" i="9" s="1"/>
  <c r="L5005" i="9"/>
  <c r="M5005" i="9" s="1"/>
  <c r="C5012" i="9"/>
  <c r="C2985" i="9"/>
  <c r="C2972" i="9"/>
  <c r="C2785" i="9"/>
  <c r="L504" i="9"/>
  <c r="M504" i="9" s="1"/>
  <c r="L503" i="9"/>
  <c r="M503" i="9" s="1"/>
  <c r="C4804" i="9"/>
  <c r="C2983" i="9"/>
  <c r="L495" i="9"/>
  <c r="M495" i="9" s="1"/>
  <c r="C704" i="9"/>
  <c r="L4802" i="9"/>
  <c r="M4802" i="9" s="1"/>
  <c r="C703" i="9"/>
  <c r="C5003" i="9"/>
  <c r="L2973" i="9"/>
  <c r="M2973" i="9" s="1"/>
  <c r="C4794" i="9"/>
  <c r="L2984" i="9"/>
  <c r="M2984" i="9" s="1"/>
  <c r="L493" i="9"/>
  <c r="M493" i="9" s="1"/>
  <c r="C2984" i="9"/>
  <c r="L2784" i="9"/>
  <c r="M2784" i="9" s="1"/>
  <c r="L2982" i="9"/>
  <c r="M2982" i="9" s="1"/>
  <c r="L2974" i="9"/>
  <c r="M2974" i="9" s="1"/>
  <c r="C712" i="9"/>
  <c r="C5014" i="9"/>
  <c r="L713" i="9"/>
  <c r="M713" i="9" s="1"/>
  <c r="L5002" i="9"/>
  <c r="M5002" i="9" s="1"/>
  <c r="C702" i="9"/>
  <c r="C2772" i="9"/>
  <c r="L702" i="9"/>
  <c r="M702" i="9" s="1"/>
  <c r="C715" i="9"/>
  <c r="C4805" i="9"/>
  <c r="C4793" i="9"/>
  <c r="L3143" i="9"/>
  <c r="M3143" i="9" s="1"/>
  <c r="L1472" i="9"/>
  <c r="M1472" i="9" s="1"/>
  <c r="C3715" i="9"/>
  <c r="L464" i="9"/>
  <c r="M464" i="9" s="1"/>
  <c r="C1273" i="9"/>
  <c r="L5383" i="9"/>
  <c r="M5383" i="9" s="1"/>
  <c r="L5375" i="9"/>
  <c r="M5375" i="9" s="1"/>
  <c r="L844" i="9"/>
  <c r="M844" i="9" s="1"/>
  <c r="C423" i="9"/>
  <c r="L5142" i="9"/>
  <c r="M5142" i="9" s="1"/>
  <c r="C5574" i="9"/>
  <c r="L1062" i="9"/>
  <c r="M1062" i="9" s="1"/>
  <c r="L1302" i="9"/>
  <c r="M1302" i="9" s="1"/>
  <c r="L1494" i="9"/>
  <c r="M1494" i="9" s="1"/>
  <c r="L5356" i="9"/>
  <c r="M5356" i="9" s="1"/>
  <c r="L3326" i="9"/>
  <c r="M3326" i="9" s="1"/>
  <c r="C5173" i="9"/>
  <c r="C2947" i="9"/>
  <c r="L2732" i="9"/>
  <c r="M2732" i="9" s="1"/>
  <c r="L5353" i="9"/>
  <c r="M5353" i="9" s="1"/>
  <c r="L5784" i="9"/>
  <c r="M5784" i="9" s="1"/>
  <c r="L3543" i="9"/>
  <c r="M3543" i="9" s="1"/>
  <c r="L5392" i="9"/>
  <c r="M5392" i="9" s="1"/>
  <c r="L5817" i="9"/>
  <c r="M5817" i="9" s="1"/>
  <c r="L5577" i="9"/>
  <c r="M5577" i="9" s="1"/>
  <c r="C4724" i="9"/>
  <c r="L1076" i="9"/>
  <c r="M1076" i="9" s="1"/>
  <c r="L5605" i="9"/>
  <c r="M5605" i="9" s="1"/>
  <c r="L2917" i="9"/>
  <c r="M2917" i="9" s="1"/>
  <c r="L1073" i="9"/>
  <c r="M1073" i="9" s="1"/>
  <c r="L5793" i="9"/>
  <c r="M5793" i="9" s="1"/>
  <c r="C1067" i="9"/>
  <c r="C1307" i="9"/>
  <c r="L1516" i="9"/>
  <c r="M1516" i="9" s="1"/>
  <c r="L1485" i="9"/>
  <c r="M1485" i="9" s="1"/>
  <c r="L642" i="9"/>
  <c r="M642" i="9" s="1"/>
  <c r="L847" i="9"/>
  <c r="M847" i="9" s="1"/>
  <c r="L1087" i="9"/>
  <c r="M1087" i="9" s="1"/>
  <c r="C5795" i="9"/>
  <c r="L1263" i="9"/>
  <c r="M1263" i="9" s="1"/>
  <c r="C3345" i="9"/>
  <c r="C5783" i="9"/>
  <c r="L1476" i="9"/>
  <c r="M1476" i="9" s="1"/>
  <c r="L864" i="9"/>
  <c r="M864" i="9" s="1"/>
  <c r="C1475" i="9"/>
  <c r="L1505" i="9"/>
  <c r="M1505" i="9" s="1"/>
  <c r="L1086" i="9"/>
  <c r="M1086" i="9" s="1"/>
  <c r="C5573" i="9"/>
  <c r="C1055" i="9"/>
  <c r="L1085" i="9"/>
  <c r="M1085" i="9" s="1"/>
  <c r="L1277" i="9"/>
  <c r="M1277" i="9" s="1"/>
  <c r="L1325" i="9"/>
  <c r="M1325" i="9" s="1"/>
  <c r="L3513" i="9"/>
  <c r="M3513" i="9" s="1"/>
  <c r="L5374" i="9"/>
  <c r="M5374" i="9" s="1"/>
  <c r="L1063" i="9"/>
  <c r="M1063" i="9" s="1"/>
  <c r="L1303" i="9"/>
  <c r="M1303" i="9" s="1"/>
  <c r="L1495" i="9"/>
  <c r="M1495" i="9" s="1"/>
  <c r="C1512" i="9"/>
  <c r="C5365" i="9"/>
  <c r="L1527" i="9"/>
  <c r="M1527" i="9" s="1"/>
  <c r="L3527" i="9"/>
  <c r="M3527" i="9" s="1"/>
  <c r="L3735" i="9"/>
  <c r="M3735" i="9" s="1"/>
  <c r="L3757" i="9"/>
  <c r="M3757" i="9" s="1"/>
  <c r="L5363" i="9"/>
  <c r="M5363" i="9" s="1"/>
  <c r="L5396" i="9"/>
  <c r="M5396" i="9" s="1"/>
  <c r="L5832" i="9"/>
  <c r="M5832" i="9" s="1"/>
  <c r="L4932" i="9"/>
  <c r="M4932" i="9" s="1"/>
  <c r="L3344" i="9"/>
  <c r="M3344" i="9" s="1"/>
  <c r="L1264" i="9"/>
  <c r="M1264" i="9" s="1"/>
  <c r="L904" i="9"/>
  <c r="M904" i="9" s="1"/>
  <c r="L4987" i="9"/>
  <c r="M4987" i="9" s="1"/>
  <c r="L5165" i="9"/>
  <c r="M5165" i="9" s="1"/>
  <c r="L5364" i="9"/>
  <c r="M5364" i="9" s="1"/>
  <c r="L5583" i="9"/>
  <c r="M5583" i="9" s="1"/>
  <c r="L2926" i="9"/>
  <c r="M2926" i="9" s="1"/>
  <c r="C3364" i="9"/>
  <c r="L1484" i="9"/>
  <c r="M1484" i="9" s="1"/>
  <c r="L2963" i="9"/>
  <c r="M2963" i="9" s="1"/>
  <c r="C455" i="9"/>
  <c r="L2927" i="9"/>
  <c r="M2927" i="9" s="1"/>
  <c r="L3762" i="9"/>
  <c r="M3762" i="9" s="1"/>
  <c r="C1284" i="9"/>
  <c r="L3552" i="9"/>
  <c r="M3552" i="9" s="1"/>
  <c r="L3327" i="9"/>
  <c r="M3327" i="9" s="1"/>
  <c r="L1326" i="9"/>
  <c r="M1326" i="9" s="1"/>
  <c r="L3526" i="9"/>
  <c r="M3526" i="9" s="1"/>
  <c r="L2735" i="9"/>
  <c r="M2735" i="9" s="1"/>
  <c r="L5407" i="9"/>
  <c r="M5407" i="9" s="1"/>
  <c r="C3533" i="9"/>
  <c r="L2956" i="9"/>
  <c r="M2956" i="9" s="1"/>
  <c r="L2756" i="9"/>
  <c r="M2756" i="9" s="1"/>
  <c r="L3524" i="9"/>
  <c r="M3524" i="9" s="1"/>
  <c r="L5824" i="9"/>
  <c r="M5824" i="9" s="1"/>
  <c r="L907" i="9"/>
  <c r="M907" i="9" s="1"/>
  <c r="L1483" i="9"/>
  <c r="M1483" i="9" s="1"/>
  <c r="L676" i="9"/>
  <c r="M676" i="9" s="1"/>
  <c r="L5166" i="9"/>
  <c r="M5166" i="9" s="1"/>
  <c r="L3147" i="9"/>
  <c r="M3147" i="9" s="1"/>
  <c r="L664" i="9"/>
  <c r="M664" i="9" s="1"/>
  <c r="L4976" i="9"/>
  <c r="M4976" i="9" s="1"/>
  <c r="L1093" i="9"/>
  <c r="M1093" i="9" s="1"/>
  <c r="L1285" i="9"/>
  <c r="M1285" i="9" s="1"/>
  <c r="C3356" i="9"/>
  <c r="C3716" i="9"/>
  <c r="L1282" i="9"/>
  <c r="M1282" i="9" s="1"/>
  <c r="L1474" i="9"/>
  <c r="M1474" i="9" s="1"/>
  <c r="L1522" i="9"/>
  <c r="M1522" i="9" s="1"/>
  <c r="C1103" i="9"/>
  <c r="C1295" i="9"/>
  <c r="L5355" i="9"/>
  <c r="M5355" i="9" s="1"/>
  <c r="L5622" i="9"/>
  <c r="M5622" i="9" s="1"/>
  <c r="C5417" i="9"/>
  <c r="L1513" i="9"/>
  <c r="M1513" i="9" s="1"/>
  <c r="L5624" i="9"/>
  <c r="M5624" i="9" s="1"/>
  <c r="L3514" i="9"/>
  <c r="M3514" i="9" s="1"/>
  <c r="L1083" i="9"/>
  <c r="M1083" i="9" s="1"/>
  <c r="L1275" i="9"/>
  <c r="M1275" i="9" s="1"/>
  <c r="L1323" i="9"/>
  <c r="M1323" i="9" s="1"/>
  <c r="L5606" i="9"/>
  <c r="M5606" i="9" s="1"/>
  <c r="L5566" i="9"/>
  <c r="M5566" i="9" s="1"/>
  <c r="L5797" i="9"/>
  <c r="M5797" i="9" s="1"/>
  <c r="C1285" i="9"/>
  <c r="L1115" i="9"/>
  <c r="M1115" i="9" s="1"/>
  <c r="L3334" i="9"/>
  <c r="M3334" i="9" s="1"/>
  <c r="L3766" i="9"/>
  <c r="M3766" i="9" s="1"/>
  <c r="C1097" i="9"/>
  <c r="L1097" i="9"/>
  <c r="M1097" i="9" s="1"/>
  <c r="L3537" i="9"/>
  <c r="M3537" i="9" s="1"/>
  <c r="C5792" i="9"/>
  <c r="C1115" i="9"/>
  <c r="C5414" i="9"/>
  <c r="L5397" i="9"/>
  <c r="M5397" i="9" s="1"/>
  <c r="L5604" i="9"/>
  <c r="M5604" i="9" s="1"/>
  <c r="C3564" i="9"/>
  <c r="L5352" i="9"/>
  <c r="M5352" i="9" s="1"/>
  <c r="L3314" i="9"/>
  <c r="M3314" i="9" s="1"/>
  <c r="L5592" i="9"/>
  <c r="M5592" i="9" s="1"/>
  <c r="C3523" i="9"/>
  <c r="L1094" i="9"/>
  <c r="M1094" i="9" s="1"/>
  <c r="L1286" i="9"/>
  <c r="M1286" i="9" s="1"/>
  <c r="C1526" i="9"/>
  <c r="L3534" i="9"/>
  <c r="M3534" i="9" s="1"/>
  <c r="C3333" i="9"/>
  <c r="C3525" i="9"/>
  <c r="C3717" i="9"/>
  <c r="C1095" i="9"/>
  <c r="C1287" i="9"/>
  <c r="C1503" i="9"/>
  <c r="C3732" i="9"/>
  <c r="C3536" i="9"/>
  <c r="C3733" i="9"/>
  <c r="C5616" i="9"/>
  <c r="C5774" i="9"/>
  <c r="C5563" i="9"/>
  <c r="C5372" i="9"/>
  <c r="C5564" i="9"/>
  <c r="L5623" i="9"/>
  <c r="M5623" i="9" s="1"/>
  <c r="C5776" i="9"/>
  <c r="C5566" i="9"/>
  <c r="L5796" i="9"/>
  <c r="M5796" i="9" s="1"/>
  <c r="L1297" i="9"/>
  <c r="M1297" i="9" s="1"/>
  <c r="L3332" i="9"/>
  <c r="M3332" i="9" s="1"/>
  <c r="L1055" i="9"/>
  <c r="M1055" i="9" s="1"/>
  <c r="L5772" i="9"/>
  <c r="M5772" i="9" s="1"/>
  <c r="C1106" i="9"/>
  <c r="L1515" i="9"/>
  <c r="M1515" i="9" s="1"/>
  <c r="C1504" i="9"/>
  <c r="L1104" i="9"/>
  <c r="M1104" i="9" s="1"/>
  <c r="L5564" i="9"/>
  <c r="M5564" i="9" s="1"/>
  <c r="C5357" i="9"/>
  <c r="C5797" i="9"/>
  <c r="C5562" i="9"/>
  <c r="L3356" i="9"/>
  <c r="M3356" i="9" s="1"/>
  <c r="C1082" i="9"/>
  <c r="C1274" i="9"/>
  <c r="L1514" i="9"/>
  <c r="M1514" i="9" s="1"/>
  <c r="C1515" i="9"/>
  <c r="C1492" i="9"/>
  <c r="L5792" i="9"/>
  <c r="M5792" i="9" s="1"/>
  <c r="L5563" i="9"/>
  <c r="M5563" i="9" s="1"/>
  <c r="L5414" i="9"/>
  <c r="M5414" i="9" s="1"/>
  <c r="C5575" i="9"/>
  <c r="L5794" i="9"/>
  <c r="M5794" i="9" s="1"/>
  <c r="C3542" i="9"/>
  <c r="L1077" i="9"/>
  <c r="M1077" i="9" s="1"/>
  <c r="L1317" i="9"/>
  <c r="M1317" i="9" s="1"/>
  <c r="L2712" i="9"/>
  <c r="M2712" i="9" s="1"/>
  <c r="L57" i="9"/>
  <c r="M57" i="9" s="1"/>
  <c r="L2967" i="9"/>
  <c r="M2967" i="9" s="1"/>
  <c r="L906" i="9"/>
  <c r="M906" i="9" s="1"/>
  <c r="L1482" i="9"/>
  <c r="M1482" i="9" s="1"/>
  <c r="L3342" i="9"/>
  <c r="M3342" i="9" s="1"/>
  <c r="L3563" i="9"/>
  <c r="M3563" i="9" s="1"/>
  <c r="C2762" i="9"/>
  <c r="L2945" i="9"/>
  <c r="M2945" i="9" s="1"/>
  <c r="L3137" i="9"/>
  <c r="M3137" i="9" s="1"/>
  <c r="L2734" i="9"/>
  <c r="M2734" i="9" s="1"/>
  <c r="L2725" i="9"/>
  <c r="M2725" i="9" s="1"/>
  <c r="L3565" i="9"/>
  <c r="M3565" i="9" s="1"/>
  <c r="L452" i="9"/>
  <c r="M452" i="9" s="1"/>
  <c r="L1064" i="9"/>
  <c r="M1064" i="9" s="1"/>
  <c r="C5195" i="9"/>
  <c r="L5387" i="9"/>
  <c r="M5387" i="9" s="1"/>
  <c r="L5362" i="9"/>
  <c r="M5362" i="9" s="1"/>
  <c r="L4782" i="9"/>
  <c r="M4782" i="9" s="1"/>
  <c r="L5803" i="9"/>
  <c r="M5803" i="9" s="1"/>
  <c r="L4997" i="9"/>
  <c r="M4997" i="9" s="1"/>
  <c r="L5354" i="9"/>
  <c r="M5354" i="9" s="1"/>
  <c r="L5594" i="9"/>
  <c r="M5594" i="9" s="1"/>
  <c r="C445" i="9"/>
  <c r="C3544" i="9"/>
  <c r="C1065" i="9"/>
  <c r="C1113" i="9"/>
  <c r="C1305" i="9"/>
  <c r="C1497" i="9"/>
  <c r="C3312" i="9"/>
  <c r="L4774" i="9"/>
  <c r="M4774" i="9" s="1"/>
  <c r="L697" i="9"/>
  <c r="M697" i="9" s="1"/>
  <c r="C1074" i="9"/>
  <c r="C1266" i="9"/>
  <c r="C1314" i="9"/>
  <c r="C1506" i="9"/>
  <c r="C1477" i="9"/>
  <c r="C1525" i="9"/>
  <c r="C1487" i="9"/>
  <c r="L1517" i="9"/>
  <c r="M1517" i="9" s="1"/>
  <c r="L3313" i="9"/>
  <c r="M3313" i="9" s="1"/>
  <c r="L3536" i="9"/>
  <c r="M3536" i="9" s="1"/>
  <c r="L5774" i="9"/>
  <c r="M5774" i="9" s="1"/>
  <c r="C5366" i="9"/>
  <c r="L5812" i="9"/>
  <c r="M5812" i="9" s="1"/>
  <c r="L1504" i="9"/>
  <c r="M1504" i="9" s="1"/>
  <c r="C5606" i="9"/>
  <c r="C5352" i="9"/>
  <c r="C5802" i="9"/>
  <c r="L3566" i="9"/>
  <c r="M3566" i="9" s="1"/>
  <c r="C1057" i="9"/>
  <c r="C1105" i="9"/>
  <c r="C1297" i="9"/>
  <c r="L3753" i="9"/>
  <c r="M3753" i="9" s="1"/>
  <c r="L1054" i="9"/>
  <c r="M1054" i="9" s="1"/>
  <c r="L1102" i="9"/>
  <c r="M1102" i="9" s="1"/>
  <c r="L1294" i="9"/>
  <c r="M1294" i="9" s="1"/>
  <c r="L1486" i="9"/>
  <c r="M1486" i="9" s="1"/>
  <c r="L3343" i="9"/>
  <c r="M3343" i="9" s="1"/>
  <c r="L3727" i="9"/>
  <c r="M3727" i="9" s="1"/>
  <c r="L5403" i="9"/>
  <c r="M5403" i="9" s="1"/>
  <c r="C5805" i="9"/>
  <c r="L5367" i="9"/>
  <c r="M5367" i="9" s="1"/>
  <c r="L5806" i="9"/>
  <c r="M5806" i="9" s="1"/>
  <c r="L5394" i="9"/>
  <c r="M5394" i="9" s="1"/>
  <c r="L5565" i="9"/>
  <c r="M5565" i="9" s="1"/>
  <c r="L1103" i="9"/>
  <c r="M1103" i="9" s="1"/>
  <c r="C3755" i="9"/>
  <c r="L3523" i="9"/>
  <c r="M3523" i="9" s="1"/>
  <c r="L3553" i="9"/>
  <c r="M3553" i="9" s="1"/>
  <c r="L1095" i="9"/>
  <c r="M1095" i="9" s="1"/>
  <c r="L1287" i="9"/>
  <c r="M1287" i="9" s="1"/>
  <c r="L3324" i="9"/>
  <c r="M3324" i="9" s="1"/>
  <c r="L3516" i="9"/>
  <c r="M3516" i="9" s="1"/>
  <c r="L1304" i="9"/>
  <c r="M1304" i="9" s="1"/>
  <c r="L5593" i="9"/>
  <c r="M5593" i="9" s="1"/>
  <c r="L5814" i="9"/>
  <c r="M5814" i="9" s="1"/>
  <c r="L5815" i="9"/>
  <c r="M5815" i="9" s="1"/>
  <c r="L1524" i="9"/>
  <c r="M1524" i="9" s="1"/>
  <c r="C1493" i="9"/>
  <c r="C3547" i="9"/>
  <c r="C3734" i="9"/>
  <c r="C3514" i="9"/>
  <c r="C3313" i="9"/>
  <c r="L1106" i="9"/>
  <c r="M1106" i="9" s="1"/>
  <c r="L3357" i="9"/>
  <c r="M3357" i="9" s="1"/>
  <c r="L3754" i="9"/>
  <c r="M3754" i="9" s="1"/>
  <c r="C3314" i="9"/>
  <c r="C1107" i="9"/>
  <c r="L3522" i="9"/>
  <c r="M3522" i="9" s="1"/>
  <c r="C1304" i="9"/>
  <c r="C5376" i="9"/>
  <c r="C1117" i="9"/>
  <c r="L1534" i="9"/>
  <c r="M1534" i="9" s="1"/>
  <c r="L1066" i="9"/>
  <c r="M1066" i="9" s="1"/>
  <c r="L1114" i="9"/>
  <c r="M1114" i="9" s="1"/>
  <c r="L1306" i="9"/>
  <c r="M1306" i="9" s="1"/>
  <c r="L3367" i="9"/>
  <c r="M3367" i="9" s="1"/>
  <c r="C3334" i="9"/>
  <c r="C3363" i="9"/>
  <c r="C3555" i="9"/>
  <c r="L2932" i="9"/>
  <c r="M2932" i="9" s="1"/>
  <c r="L5804" i="9"/>
  <c r="M5804" i="9" s="1"/>
  <c r="C5404" i="9"/>
  <c r="C5415" i="9"/>
  <c r="L5586" i="9"/>
  <c r="M5586" i="9" s="1"/>
  <c r="C5624" i="9"/>
  <c r="C5626" i="9"/>
  <c r="L5562" i="9"/>
  <c r="M5562" i="9" s="1"/>
  <c r="L1273" i="9"/>
  <c r="M1273" i="9" s="1"/>
  <c r="C5613" i="9"/>
  <c r="L3547" i="9"/>
  <c r="M3547" i="9" s="1"/>
  <c r="L1107" i="9"/>
  <c r="M1107" i="9" s="1"/>
  <c r="L3732" i="9"/>
  <c r="M3732" i="9" s="1"/>
  <c r="L5614" i="9"/>
  <c r="M5614" i="9" s="1"/>
  <c r="L5833" i="9"/>
  <c r="M5833" i="9" s="1"/>
  <c r="L1525" i="9"/>
  <c r="M1525" i="9" s="1"/>
  <c r="C1073" i="9"/>
  <c r="C1265" i="9"/>
  <c r="C1313" i="9"/>
  <c r="C1505" i="9"/>
  <c r="C3337" i="9"/>
  <c r="L1262" i="9"/>
  <c r="M1262" i="9" s="1"/>
  <c r="C1502" i="9"/>
  <c r="C1263" i="9"/>
  <c r="C1264" i="9"/>
  <c r="C1092" i="9"/>
  <c r="C3513" i="9"/>
  <c r="C5812" i="9"/>
  <c r="L1493" i="9"/>
  <c r="M1493" i="9" s="1"/>
  <c r="L5372" i="9"/>
  <c r="M5372" i="9" s="1"/>
  <c r="C3762" i="9"/>
  <c r="L4743" i="9"/>
  <c r="M4743" i="9" s="1"/>
  <c r="C3355" i="9"/>
  <c r="L3734" i="9"/>
  <c r="M3734" i="9" s="1"/>
  <c r="L872" i="9"/>
  <c r="M872" i="9" s="1"/>
  <c r="L5616" i="9"/>
  <c r="M5616" i="9" s="1"/>
  <c r="C1112" i="9"/>
  <c r="C1052" i="9"/>
  <c r="C1513" i="9"/>
  <c r="C3332" i="9"/>
  <c r="C1283" i="9"/>
  <c r="L1295" i="9"/>
  <c r="M1295" i="9" s="1"/>
  <c r="L3564" i="9"/>
  <c r="M3564" i="9" s="1"/>
  <c r="L1112" i="9"/>
  <c r="M1112" i="9" s="1"/>
  <c r="L5376" i="9"/>
  <c r="M5376" i="9" s="1"/>
  <c r="L5597" i="9"/>
  <c r="M5597" i="9" s="1"/>
  <c r="C1085" i="9"/>
  <c r="C1277" i="9"/>
  <c r="C1325" i="9"/>
  <c r="C1517" i="9"/>
  <c r="C3553" i="9"/>
  <c r="L1082" i="9"/>
  <c r="M1082" i="9" s="1"/>
  <c r="L1274" i="9"/>
  <c r="M1274" i="9" s="1"/>
  <c r="C1514" i="9"/>
  <c r="C1083" i="9"/>
  <c r="C1275" i="9"/>
  <c r="C1323" i="9"/>
  <c r="C3324" i="9"/>
  <c r="C3512" i="9"/>
  <c r="C1104" i="9"/>
  <c r="C3537" i="9"/>
  <c r="L3512" i="9"/>
  <c r="M3512" i="9" s="1"/>
  <c r="L3733" i="9"/>
  <c r="M3733" i="9" s="1"/>
  <c r="L5776" i="9"/>
  <c r="M5776" i="9" s="1"/>
  <c r="L1492" i="9"/>
  <c r="M1492" i="9" s="1"/>
  <c r="L1265" i="9"/>
  <c r="M1265" i="9" s="1"/>
  <c r="L1313" i="9"/>
  <c r="M1313" i="9" s="1"/>
  <c r="C645" i="9"/>
  <c r="L3525" i="9"/>
  <c r="M3525" i="9" s="1"/>
  <c r="L1052" i="9"/>
  <c r="M1052" i="9" s="1"/>
  <c r="C5585" i="9"/>
  <c r="L5775" i="9"/>
  <c r="M5775" i="9" s="1"/>
  <c r="L5837" i="9"/>
  <c r="M5837" i="9" s="1"/>
  <c r="C3516" i="9"/>
  <c r="C3325" i="9"/>
  <c r="C3517" i="9"/>
  <c r="C3765" i="9"/>
  <c r="C1272" i="9"/>
  <c r="C2327" i="9"/>
  <c r="L3167" i="9"/>
  <c r="M3167" i="9" s="1"/>
  <c r="L3743" i="9"/>
  <c r="M3743" i="9" s="1"/>
  <c r="C5835" i="9"/>
  <c r="L4535" i="9"/>
  <c r="M4535" i="9" s="1"/>
  <c r="L4727" i="9"/>
  <c r="M4727" i="9" s="1"/>
  <c r="C5836" i="9"/>
  <c r="C5362" i="9"/>
  <c r="C5416" i="9"/>
  <c r="C5406" i="9"/>
  <c r="L5162" i="9"/>
  <c r="M5162" i="9" s="1"/>
  <c r="C466" i="9"/>
  <c r="L3322" i="9"/>
  <c r="M3322" i="9" s="1"/>
  <c r="L3567" i="9"/>
  <c r="M3567" i="9" s="1"/>
  <c r="C3347" i="9"/>
  <c r="C3545" i="9"/>
  <c r="L1296" i="9"/>
  <c r="M1296" i="9" s="1"/>
  <c r="C3546" i="9"/>
  <c r="C4956" i="9"/>
  <c r="L5807" i="9"/>
  <c r="M5807" i="9" s="1"/>
  <c r="C27" i="9"/>
  <c r="L1067" i="9"/>
  <c r="M1067" i="9" s="1"/>
  <c r="L1056" i="9"/>
  <c r="M1056" i="9" s="1"/>
  <c r="L3542" i="9"/>
  <c r="M3542" i="9" s="1"/>
  <c r="L3554" i="9"/>
  <c r="M3554" i="9" s="1"/>
  <c r="L3765" i="9"/>
  <c r="M3765" i="9" s="1"/>
  <c r="L5816" i="9"/>
  <c r="M5816" i="9" s="1"/>
  <c r="L5782" i="9"/>
  <c r="M5782" i="9" s="1"/>
  <c r="L5402" i="9"/>
  <c r="M5402" i="9" s="1"/>
  <c r="L876" i="9"/>
  <c r="M876" i="9" s="1"/>
  <c r="C3566" i="9"/>
  <c r="L3725" i="9"/>
  <c r="M3725" i="9" s="1"/>
  <c r="L237" i="9"/>
  <c r="M237" i="9" s="1"/>
  <c r="L3562" i="9"/>
  <c r="M3562" i="9" s="1"/>
  <c r="L3726" i="9"/>
  <c r="M3726" i="9" s="1"/>
  <c r="L46" i="9"/>
  <c r="M46" i="9" s="1"/>
  <c r="L463" i="9"/>
  <c r="M463" i="9" s="1"/>
  <c r="L1475" i="9"/>
  <c r="M1475" i="9" s="1"/>
  <c r="L1523" i="9"/>
  <c r="M1523" i="9" s="1"/>
  <c r="L2743" i="9"/>
  <c r="M2743" i="9" s="1"/>
  <c r="L2922" i="9"/>
  <c r="M2922" i="9" s="1"/>
  <c r="L3714" i="9"/>
  <c r="M3714" i="9" s="1"/>
  <c r="L632" i="9"/>
  <c r="M632" i="9" s="1"/>
  <c r="L5596" i="9"/>
  <c r="M5596" i="9" s="1"/>
  <c r="L4745" i="9"/>
  <c r="M4745" i="9" s="1"/>
  <c r="L5156" i="9"/>
  <c r="M5156" i="9" s="1"/>
  <c r="L5773" i="9"/>
  <c r="M5773" i="9" s="1"/>
  <c r="L5626" i="9"/>
  <c r="M5626" i="9" s="1"/>
  <c r="L1307" i="9"/>
  <c r="M1307" i="9" s="1"/>
  <c r="L1536" i="9"/>
  <c r="M1536" i="9" s="1"/>
  <c r="L3365" i="9"/>
  <c r="M3365" i="9" s="1"/>
  <c r="L3557" i="9"/>
  <c r="M3557" i="9" s="1"/>
  <c r="L634" i="9"/>
  <c r="M634" i="9" s="1"/>
  <c r="L3366" i="9"/>
  <c r="M3366" i="9" s="1"/>
  <c r="C3722" i="9"/>
  <c r="C1072" i="9"/>
  <c r="C3354" i="9"/>
  <c r="C1116" i="9"/>
  <c r="C1276" i="9"/>
  <c r="C5806" i="9"/>
  <c r="C5603" i="9"/>
  <c r="C5615" i="9"/>
  <c r="L1105" i="9"/>
  <c r="M1105" i="9" s="1"/>
  <c r="L3555" i="9"/>
  <c r="M3555" i="9" s="1"/>
  <c r="L1512" i="9"/>
  <c r="M1512" i="9" s="1"/>
  <c r="L1084" i="9"/>
  <c r="M1084" i="9" s="1"/>
  <c r="L3747" i="9"/>
  <c r="M3747" i="9" s="1"/>
  <c r="L1292" i="9"/>
  <c r="M1292" i="9" s="1"/>
  <c r="L5377" i="9"/>
  <c r="M5377" i="9" s="1"/>
  <c r="L5802" i="9"/>
  <c r="M5802" i="9" s="1"/>
  <c r="C1063" i="9"/>
  <c r="C1303" i="9"/>
  <c r="C1495" i="9"/>
  <c r="C1496" i="9"/>
  <c r="C3736" i="9"/>
  <c r="C5803" i="9"/>
  <c r="C1535" i="9"/>
  <c r="L3745" i="9"/>
  <c r="M3745" i="9" s="1"/>
  <c r="C3727" i="9"/>
  <c r="L3723" i="9"/>
  <c r="M3723" i="9" s="1"/>
  <c r="L1072" i="9"/>
  <c r="M1072" i="9" s="1"/>
  <c r="L5786" i="9"/>
  <c r="M5786" i="9" s="1"/>
  <c r="L5615" i="9"/>
  <c r="M5615" i="9" s="1"/>
  <c r="C5403" i="9"/>
  <c r="C3712" i="9"/>
  <c r="C5813" i="9"/>
  <c r="C5582" i="9"/>
  <c r="C5775" i="9"/>
  <c r="L5612" i="9"/>
  <c r="M5612" i="9" s="1"/>
  <c r="C5593" i="9"/>
  <c r="C5397" i="9"/>
  <c r="L5574" i="9"/>
  <c r="M5574" i="9" s="1"/>
  <c r="C3534" i="9"/>
  <c r="L3333" i="9"/>
  <c r="M3333" i="9" s="1"/>
  <c r="C1516" i="9"/>
  <c r="C3522" i="9"/>
  <c r="C5393" i="9"/>
  <c r="C5612" i="9"/>
  <c r="C5405" i="9"/>
  <c r="L5783" i="9"/>
  <c r="M5783" i="9" s="1"/>
  <c r="C5833" i="9"/>
  <c r="L1117" i="9"/>
  <c r="M1117" i="9" s="1"/>
  <c r="C1322" i="9"/>
  <c r="L1526" i="9"/>
  <c r="M1526" i="9" s="1"/>
  <c r="C1527" i="9"/>
  <c r="C5623" i="9"/>
  <c r="L3312" i="9"/>
  <c r="M3312" i="9" s="1"/>
  <c r="L1535" i="9"/>
  <c r="M1535" i="9" s="1"/>
  <c r="C3554" i="9"/>
  <c r="L3353" i="9"/>
  <c r="M3353" i="9" s="1"/>
  <c r="L3713" i="9"/>
  <c r="M3713" i="9" s="1"/>
  <c r="C5402" i="9"/>
  <c r="C1077" i="9"/>
  <c r="C1317" i="9"/>
  <c r="C3336" i="9"/>
  <c r="C1086" i="9"/>
  <c r="C1326" i="9"/>
  <c r="C3342" i="9"/>
  <c r="L3323" i="9"/>
  <c r="M3323" i="9" s="1"/>
  <c r="C5617" i="9"/>
  <c r="C5782" i="9"/>
  <c r="L3767" i="9"/>
  <c r="M3767" i="9" s="1"/>
  <c r="L3752" i="9"/>
  <c r="M3752" i="9" s="1"/>
  <c r="L1272" i="9"/>
  <c r="M1272" i="9" s="1"/>
  <c r="C5602" i="9"/>
  <c r="C5784" i="9"/>
  <c r="C5785" i="9"/>
  <c r="C1093" i="9"/>
  <c r="C1537" i="9"/>
  <c r="C5817" i="9"/>
  <c r="C5625" i="9"/>
  <c r="C3366" i="9"/>
  <c r="L3363" i="9"/>
  <c r="M3363" i="9" s="1"/>
  <c r="C5382" i="9"/>
  <c r="L3744" i="9"/>
  <c r="M3744" i="9" s="1"/>
  <c r="L2934" i="9"/>
  <c r="M2934" i="9" s="1"/>
  <c r="L1487" i="9"/>
  <c r="M1487" i="9" s="1"/>
  <c r="L2767" i="9"/>
  <c r="M2767" i="9" s="1"/>
  <c r="L3535" i="9"/>
  <c r="M3535" i="9" s="1"/>
  <c r="L3756" i="9"/>
  <c r="M3756" i="9" s="1"/>
  <c r="L896" i="9"/>
  <c r="M896" i="9" s="1"/>
  <c r="L3124" i="9"/>
  <c r="M3124" i="9" s="1"/>
  <c r="L5204" i="9"/>
  <c r="M5204" i="9" s="1"/>
  <c r="L5365" i="9"/>
  <c r="M5365" i="9" s="1"/>
  <c r="C3524" i="9"/>
  <c r="L3544" i="9"/>
  <c r="M3544" i="9" s="1"/>
  <c r="C3745" i="9"/>
  <c r="C3535" i="9"/>
  <c r="C3714" i="9"/>
  <c r="C5786" i="9"/>
  <c r="C5787" i="9"/>
  <c r="C5824" i="9"/>
  <c r="C5373" i="9"/>
  <c r="C5565" i="9"/>
  <c r="C5384" i="9"/>
  <c r="L5576" i="9"/>
  <c r="M5576" i="9" s="1"/>
  <c r="C5386" i="9"/>
  <c r="C5794" i="9"/>
  <c r="L5357" i="9"/>
  <c r="M5357" i="9" s="1"/>
  <c r="C5353" i="9"/>
  <c r="C5815" i="9"/>
  <c r="L5627" i="9"/>
  <c r="M5627" i="9" s="1"/>
  <c r="C3515" i="9"/>
  <c r="C1075" i="9"/>
  <c r="C1267" i="9"/>
  <c r="C1315" i="9"/>
  <c r="C1507" i="9"/>
  <c r="L1276" i="9"/>
  <c r="M1276" i="9" s="1"/>
  <c r="C3726" i="9"/>
  <c r="C3352" i="9"/>
  <c r="C3316" i="9"/>
  <c r="C3724" i="9"/>
  <c r="C5363" i="9"/>
  <c r="C5375" i="9"/>
  <c r="C5814" i="9"/>
  <c r="L1473" i="9"/>
  <c r="M1473" i="9" s="1"/>
  <c r="L1075" i="9"/>
  <c r="M1075" i="9" s="1"/>
  <c r="L1267" i="9"/>
  <c r="M1267" i="9" s="1"/>
  <c r="L1315" i="9"/>
  <c r="M1315" i="9" s="1"/>
  <c r="L1507" i="9"/>
  <c r="M1507" i="9" s="1"/>
  <c r="L3746" i="9"/>
  <c r="M3746" i="9" s="1"/>
  <c r="L5825" i="9"/>
  <c r="M5825" i="9" s="1"/>
  <c r="L5385" i="9"/>
  <c r="M5385" i="9" s="1"/>
  <c r="C3552" i="9"/>
  <c r="C1292" i="9"/>
  <c r="L1533" i="9"/>
  <c r="M1533" i="9" s="1"/>
  <c r="C1282" i="9"/>
  <c r="C1474" i="9"/>
  <c r="C1522" i="9"/>
  <c r="C3343" i="9"/>
  <c r="C1536" i="9"/>
  <c r="L484" i="9"/>
  <c r="M484" i="9" s="1"/>
  <c r="C1476" i="9"/>
  <c r="C1524" i="9"/>
  <c r="L3316" i="9"/>
  <c r="M3316" i="9" s="1"/>
  <c r="C5804" i="9"/>
  <c r="L5787" i="9"/>
  <c r="M5787" i="9" s="1"/>
  <c r="L4972" i="9"/>
  <c r="M4972" i="9" s="1"/>
  <c r="L5202" i="9"/>
  <c r="M5202" i="9" s="1"/>
  <c r="L4766" i="9"/>
  <c r="M4766" i="9" s="1"/>
  <c r="C5826" i="9"/>
  <c r="L5405" i="9"/>
  <c r="M5405" i="9" s="1"/>
  <c r="C5374" i="9"/>
  <c r="C5604" i="9"/>
  <c r="L1057" i="9"/>
  <c r="M1057" i="9" s="1"/>
  <c r="L3346" i="9"/>
  <c r="M3346" i="9" s="1"/>
  <c r="C5576" i="9"/>
  <c r="C1262" i="9"/>
  <c r="L3717" i="9"/>
  <c r="M3717" i="9" s="1"/>
  <c r="L1284" i="9"/>
  <c r="M1284" i="9" s="1"/>
  <c r="L5575" i="9"/>
  <c r="M5575" i="9" s="1"/>
  <c r="C5796" i="9"/>
  <c r="C3557" i="9"/>
  <c r="L5417" i="9"/>
  <c r="M5417" i="9" s="1"/>
  <c r="L3355" i="9"/>
  <c r="M3355" i="9" s="1"/>
  <c r="C3764" i="9"/>
  <c r="C3344" i="9"/>
  <c r="L5585" i="9"/>
  <c r="M5585" i="9" s="1"/>
  <c r="C5793" i="9"/>
  <c r="L1053" i="9"/>
  <c r="M1053" i="9" s="1"/>
  <c r="L1293" i="9"/>
  <c r="M1293" i="9" s="1"/>
  <c r="L3336" i="9"/>
  <c r="M3336" i="9" s="1"/>
  <c r="L1074" i="9"/>
  <c r="M1074" i="9" s="1"/>
  <c r="L1266" i="9"/>
  <c r="M1266" i="9" s="1"/>
  <c r="L1314" i="9"/>
  <c r="M1314" i="9" s="1"/>
  <c r="L1506" i="9"/>
  <c r="M1506" i="9" s="1"/>
  <c r="L3515" i="9"/>
  <c r="M3515" i="9" s="1"/>
  <c r="L3517" i="9"/>
  <c r="M3517" i="9" s="1"/>
  <c r="L5584" i="9"/>
  <c r="M5584" i="9" s="1"/>
  <c r="L5602" i="9"/>
  <c r="M5602" i="9" s="1"/>
  <c r="L5395" i="9"/>
  <c r="M5395" i="9" s="1"/>
  <c r="L3716" i="9"/>
  <c r="M3716" i="9" s="1"/>
  <c r="L5404" i="9"/>
  <c r="M5404" i="9" s="1"/>
  <c r="C3326" i="9"/>
  <c r="C1473" i="9"/>
  <c r="C3327" i="9"/>
  <c r="C3735" i="9"/>
  <c r="C1482" i="9"/>
  <c r="L3347" i="9"/>
  <c r="M3347" i="9" s="1"/>
  <c r="C4993" i="9"/>
  <c r="C3746" i="9"/>
  <c r="C3565" i="9"/>
  <c r="C1296" i="9"/>
  <c r="C3747" i="9"/>
  <c r="C1312" i="9"/>
  <c r="C5834" i="9"/>
  <c r="C5627" i="9"/>
  <c r="L5587" i="9"/>
  <c r="M5587" i="9" s="1"/>
  <c r="C5572" i="9"/>
  <c r="C5354" i="9"/>
  <c r="L5415" i="9"/>
  <c r="M5415" i="9" s="1"/>
  <c r="C5773" i="9"/>
  <c r="L1537" i="9"/>
  <c r="M1537" i="9" s="1"/>
  <c r="C3335" i="9"/>
  <c r="C3767" i="9"/>
  <c r="C5407" i="9"/>
  <c r="L1283" i="9"/>
  <c r="M1283" i="9" s="1"/>
  <c r="C3752" i="9"/>
  <c r="C3322" i="9"/>
  <c r="C3543" i="9"/>
  <c r="L5416" i="9"/>
  <c r="M5416" i="9" s="1"/>
  <c r="C5395" i="9"/>
  <c r="L5406" i="9"/>
  <c r="M5406" i="9" s="1"/>
  <c r="L3125" i="9"/>
  <c r="M3125" i="9" s="1"/>
  <c r="L3317" i="9"/>
  <c r="M3317" i="9" s="1"/>
  <c r="C3367" i="9"/>
  <c r="L3315" i="9"/>
  <c r="M3315" i="9" s="1"/>
  <c r="L3354" i="9"/>
  <c r="M3354" i="9" s="1"/>
  <c r="L5595" i="9"/>
  <c r="M5595" i="9" s="1"/>
  <c r="L5607" i="9"/>
  <c r="M5607" i="9" s="1"/>
  <c r="L5826" i="9"/>
  <c r="M5826" i="9" s="1"/>
  <c r="L3737" i="9"/>
  <c r="M3737" i="9" s="1"/>
  <c r="C3532" i="9"/>
  <c r="C3744" i="9"/>
  <c r="C3753" i="9"/>
  <c r="L3755" i="9"/>
  <c r="M3755" i="9" s="1"/>
  <c r="C3756" i="9"/>
  <c r="L3532" i="9"/>
  <c r="M3532" i="9" s="1"/>
  <c r="C5822" i="9"/>
  <c r="L5382" i="9"/>
  <c r="M5382" i="9" s="1"/>
  <c r="C5823" i="9"/>
  <c r="C5394" i="9"/>
  <c r="L5613" i="9"/>
  <c r="M5613" i="9" s="1"/>
  <c r="C5772" i="9"/>
  <c r="C5396" i="9"/>
  <c r="C5605" i="9"/>
  <c r="C5172" i="9"/>
  <c r="L3325" i="9"/>
  <c r="M3325" i="9" s="1"/>
  <c r="L1532" i="9"/>
  <c r="M1532" i="9" s="1"/>
  <c r="L1324" i="9"/>
  <c r="M1324" i="9" s="1"/>
  <c r="L3736" i="9"/>
  <c r="M3736" i="9" s="1"/>
  <c r="L5572" i="9"/>
  <c r="M5572" i="9" s="1"/>
  <c r="C3365" i="9"/>
  <c r="C1087" i="9"/>
  <c r="C1327" i="9"/>
  <c r="C1472" i="9"/>
  <c r="C5825" i="9"/>
  <c r="L5603" i="9"/>
  <c r="M5603" i="9" s="1"/>
  <c r="C5413" i="9"/>
  <c r="C5364" i="9"/>
  <c r="C5583" i="9"/>
  <c r="C3357" i="9"/>
  <c r="C5816" i="9"/>
  <c r="L5835" i="9"/>
  <c r="M5835" i="9" s="1"/>
  <c r="C3713" i="9"/>
  <c r="C1064" i="9"/>
  <c r="C5377" i="9"/>
  <c r="C1054" i="9"/>
  <c r="C1102" i="9"/>
  <c r="C1294" i="9"/>
  <c r="C1486" i="9"/>
  <c r="L3722" i="9"/>
  <c r="M3722" i="9" s="1"/>
  <c r="C5355" i="9"/>
  <c r="L5823" i="9"/>
  <c r="M5823" i="9" s="1"/>
  <c r="C5356" i="9"/>
  <c r="L5373" i="9"/>
  <c r="M5373" i="9" s="1"/>
  <c r="L5777" i="9"/>
  <c r="M5777" i="9" s="1"/>
  <c r="L5386" i="9"/>
  <c r="M5386" i="9" s="1"/>
  <c r="C3317" i="9"/>
  <c r="C3725" i="9"/>
  <c r="C1076" i="9"/>
  <c r="C1316" i="9"/>
  <c r="L5393" i="9"/>
  <c r="M5393" i="9" s="1"/>
  <c r="C5592" i="9"/>
  <c r="C1094" i="9"/>
  <c r="C1286" i="9"/>
  <c r="L1092" i="9"/>
  <c r="M1092" i="9" s="1"/>
  <c r="L3345" i="9"/>
  <c r="M3345" i="9" s="1"/>
  <c r="C5614" i="9"/>
  <c r="C5832" i="9"/>
  <c r="C5622" i="9"/>
  <c r="L5795" i="9"/>
  <c r="M5795" i="9" s="1"/>
  <c r="C3766" i="9"/>
  <c r="L3715" i="9"/>
  <c r="M3715" i="9" s="1"/>
  <c r="L1502" i="9"/>
  <c r="M1502" i="9" s="1"/>
  <c r="C3754" i="9"/>
  <c r="L1503" i="9"/>
  <c r="M1503" i="9" s="1"/>
  <c r="L5366" i="9"/>
  <c r="M5366" i="9" s="1"/>
  <c r="C5383" i="9"/>
  <c r="L1065" i="9"/>
  <c r="M1065" i="9" s="1"/>
  <c r="L1113" i="9"/>
  <c r="M1113" i="9" s="1"/>
  <c r="L1305" i="9"/>
  <c r="M1305" i="9" s="1"/>
  <c r="L5785" i="9"/>
  <c r="M5785" i="9" s="1"/>
  <c r="C1053" i="9"/>
  <c r="C1485" i="9"/>
  <c r="C1062" i="9"/>
  <c r="C1302" i="9"/>
  <c r="C1494" i="9"/>
  <c r="L3545" i="9"/>
  <c r="M3545" i="9" s="1"/>
  <c r="C3526" i="9"/>
  <c r="C1084" i="9"/>
  <c r="L3546" i="9"/>
  <c r="M3546" i="9" s="1"/>
  <c r="C1096" i="9"/>
  <c r="C1324" i="9"/>
  <c r="L3335" i="9"/>
  <c r="M3335" i="9" s="1"/>
  <c r="C5385" i="9"/>
  <c r="C3323" i="9"/>
  <c r="C3743" i="9"/>
  <c r="C3567" i="9"/>
  <c r="L3763" i="9"/>
  <c r="M3763" i="9" s="1"/>
  <c r="C3742" i="9"/>
  <c r="C5807" i="9"/>
  <c r="C5577" i="9"/>
  <c r="L5573" i="9"/>
  <c r="M5573" i="9" s="1"/>
  <c r="L5582" i="9"/>
  <c r="M5582" i="9" s="1"/>
  <c r="L5805" i="9"/>
  <c r="M5805" i="9" s="1"/>
  <c r="C1533" i="9"/>
  <c r="L3533" i="9"/>
  <c r="M3533" i="9" s="1"/>
  <c r="C3757" i="9"/>
  <c r="C3562" i="9"/>
  <c r="C3315" i="9"/>
  <c r="C3723" i="9"/>
  <c r="C1056" i="9"/>
  <c r="L3364" i="9"/>
  <c r="M3364" i="9" s="1"/>
  <c r="L3556" i="9"/>
  <c r="M3556" i="9" s="1"/>
  <c r="C5567" i="9"/>
  <c r="L1477" i="9"/>
  <c r="M1477" i="9" s="1"/>
  <c r="C5837" i="9"/>
  <c r="L1496" i="9"/>
  <c r="M1496" i="9" s="1"/>
  <c r="L5834" i="9"/>
  <c r="M5834" i="9" s="1"/>
  <c r="L5836" i="9"/>
  <c r="M5836" i="9" s="1"/>
  <c r="C1293" i="9"/>
  <c r="C3563" i="9"/>
  <c r="C1483" i="9"/>
  <c r="C1484" i="9"/>
  <c r="C1532" i="9"/>
  <c r="C3527" i="9"/>
  <c r="C5387" i="9"/>
  <c r="C5594" i="9"/>
  <c r="C5587" i="9"/>
  <c r="C5367" i="9"/>
  <c r="C5392" i="9"/>
  <c r="L3712" i="9"/>
  <c r="M3712" i="9" s="1"/>
  <c r="L3724" i="9"/>
  <c r="M3724" i="9" s="1"/>
  <c r="L5384" i="9"/>
  <c r="M5384" i="9" s="1"/>
  <c r="L5567" i="9"/>
  <c r="M5567" i="9" s="1"/>
  <c r="L5827" i="9"/>
  <c r="M5827" i="9" s="1"/>
  <c r="C5596" i="9"/>
  <c r="C5777" i="9"/>
  <c r="C5827" i="9"/>
  <c r="C5412" i="9"/>
  <c r="L1497" i="9"/>
  <c r="M1497" i="9" s="1"/>
  <c r="C3353" i="9"/>
  <c r="C5584" i="9"/>
  <c r="C5586" i="9"/>
  <c r="C1534" i="9"/>
  <c r="C1066" i="9"/>
  <c r="C1114" i="9"/>
  <c r="C1306" i="9"/>
  <c r="L5813" i="9"/>
  <c r="M5813" i="9" s="1"/>
  <c r="L3362" i="9"/>
  <c r="M3362" i="9" s="1"/>
  <c r="C5595" i="9"/>
  <c r="C5607" i="9"/>
  <c r="C3737" i="9"/>
  <c r="C877" i="9"/>
  <c r="L2914" i="9"/>
  <c r="M2914" i="9" s="1"/>
  <c r="C254" i="9"/>
  <c r="L2752" i="9"/>
  <c r="M2752" i="9" s="1"/>
  <c r="C863" i="9"/>
  <c r="L465" i="9"/>
  <c r="M465" i="9" s="1"/>
  <c r="L637" i="9"/>
  <c r="M637" i="9" s="1"/>
  <c r="L862" i="9"/>
  <c r="M862" i="9" s="1"/>
  <c r="L2714" i="9"/>
  <c r="M2714" i="9" s="1"/>
  <c r="C2957" i="9"/>
  <c r="C875" i="9"/>
  <c r="L657" i="9"/>
  <c r="M657" i="9" s="1"/>
  <c r="L853" i="9"/>
  <c r="M853" i="9" s="1"/>
  <c r="L2924" i="9"/>
  <c r="M2924" i="9" s="1"/>
  <c r="L874" i="9"/>
  <c r="M874" i="9" s="1"/>
  <c r="C2763" i="9"/>
  <c r="C456" i="9"/>
  <c r="C216" i="9"/>
  <c r="L4544" i="9"/>
  <c r="M4544" i="9" s="1"/>
  <c r="C4762" i="9"/>
  <c r="L2347" i="9"/>
  <c r="M2347" i="9" s="1"/>
  <c r="C2923" i="9"/>
  <c r="C3115" i="9"/>
  <c r="C665" i="9"/>
  <c r="L662" i="9"/>
  <c r="M662" i="9" s="1"/>
  <c r="C2522" i="9"/>
  <c r="L475" i="9"/>
  <c r="M475" i="9" s="1"/>
  <c r="L843" i="9"/>
  <c r="M843" i="9" s="1"/>
  <c r="L2724" i="9"/>
  <c r="M2724" i="9" s="1"/>
  <c r="C2916" i="9"/>
  <c r="L3" i="9"/>
  <c r="M3" i="9" s="1"/>
  <c r="L2946" i="9"/>
  <c r="M2946" i="9" s="1"/>
  <c r="L4752" i="9"/>
  <c r="M4752" i="9" s="1"/>
  <c r="L4776" i="9"/>
  <c r="M4776" i="9" s="1"/>
  <c r="C4946" i="9"/>
  <c r="C646" i="9"/>
  <c r="C885" i="9"/>
  <c r="C2757" i="9"/>
  <c r="C867" i="9"/>
  <c r="C3156" i="9"/>
  <c r="C2744" i="9"/>
  <c r="L4944" i="9"/>
  <c r="M4944" i="9" s="1"/>
  <c r="C5143" i="9"/>
  <c r="L5186" i="9"/>
  <c r="M5186" i="9" s="1"/>
  <c r="C4755" i="9"/>
  <c r="C4777" i="9"/>
  <c r="C4527" i="9"/>
  <c r="C4767" i="9"/>
  <c r="L4965" i="9"/>
  <c r="M4965" i="9" s="1"/>
  <c r="C4722" i="9"/>
  <c r="L842" i="9"/>
  <c r="M842" i="9" s="1"/>
  <c r="C3117" i="9"/>
  <c r="L2912" i="9"/>
  <c r="M2912" i="9" s="1"/>
  <c r="C424" i="9"/>
  <c r="C4992" i="9"/>
  <c r="L5184" i="9"/>
  <c r="M5184" i="9" s="1"/>
  <c r="L4537" i="9"/>
  <c r="M4537" i="9" s="1"/>
  <c r="C433" i="9"/>
  <c r="C2953" i="9"/>
  <c r="L4945" i="9"/>
  <c r="M4945" i="9" s="1"/>
  <c r="C636" i="9"/>
  <c r="C684" i="9"/>
  <c r="L873" i="9"/>
  <c r="M873" i="9" s="1"/>
  <c r="L887" i="9"/>
  <c r="M887" i="9" s="1"/>
  <c r="C845" i="9"/>
  <c r="C2746" i="9"/>
  <c r="C2943" i="9"/>
  <c r="C882" i="9"/>
  <c r="L3166" i="9"/>
  <c r="M3166" i="9" s="1"/>
  <c r="C4742" i="9"/>
  <c r="L2754" i="9"/>
  <c r="M2754" i="9" s="1"/>
  <c r="C5206" i="9"/>
  <c r="C5167" i="9"/>
  <c r="C685" i="9"/>
  <c r="C3135" i="9"/>
  <c r="C2753" i="9"/>
  <c r="C5152" i="9"/>
  <c r="C5176" i="9"/>
  <c r="L673" i="9"/>
  <c r="M673" i="9" s="1"/>
  <c r="C3122" i="9"/>
  <c r="L467" i="9"/>
  <c r="M467" i="9" s="1"/>
  <c r="C432" i="9"/>
  <c r="L4957" i="9"/>
  <c r="M4957" i="9" s="1"/>
  <c r="L4953" i="9"/>
  <c r="M4953" i="9" s="1"/>
  <c r="L4783" i="9"/>
  <c r="M4783" i="9" s="1"/>
  <c r="C2935" i="9"/>
  <c r="L5164" i="9"/>
  <c r="M5164" i="9" s="1"/>
  <c r="L4772" i="9"/>
  <c r="M4772" i="9" s="1"/>
  <c r="L2717" i="9"/>
  <c r="M2717" i="9" s="1"/>
  <c r="C5153" i="9"/>
  <c r="L442" i="9"/>
  <c r="M442" i="9" s="1"/>
  <c r="L682" i="9"/>
  <c r="M682" i="9" s="1"/>
  <c r="C7" i="9"/>
  <c r="C2527" i="9"/>
  <c r="C4753" i="9"/>
  <c r="C3123" i="9"/>
  <c r="C4952" i="9"/>
  <c r="L4547" i="9"/>
  <c r="M4547" i="9" s="1"/>
  <c r="C4985" i="9"/>
  <c r="C4933" i="9"/>
  <c r="L4977" i="9"/>
  <c r="M4977" i="9" s="1"/>
  <c r="C4784" i="9"/>
  <c r="L5163" i="9"/>
  <c r="M5163" i="9" s="1"/>
  <c r="L5175" i="9"/>
  <c r="M5175" i="9" s="1"/>
  <c r="C3145" i="9"/>
  <c r="L674" i="9"/>
  <c r="M674" i="9" s="1"/>
  <c r="L855" i="9"/>
  <c r="M855" i="9" s="1"/>
  <c r="L903" i="9"/>
  <c r="M903" i="9" s="1"/>
  <c r="L884" i="9"/>
  <c r="M884" i="9" s="1"/>
  <c r="C4747" i="9"/>
  <c r="C4983" i="9"/>
  <c r="L3154" i="9"/>
  <c r="M3154" i="9" s="1"/>
  <c r="L434" i="9"/>
  <c r="M434" i="9" s="1"/>
  <c r="L482" i="9"/>
  <c r="M482" i="9" s="1"/>
  <c r="L902" i="9"/>
  <c r="M902" i="9" s="1"/>
  <c r="L2742" i="9"/>
  <c r="M2742" i="9" s="1"/>
  <c r="L3165" i="9"/>
  <c r="M3165" i="9" s="1"/>
  <c r="L865" i="9"/>
  <c r="M865" i="9" s="1"/>
  <c r="L2936" i="9"/>
  <c r="M2936" i="9" s="1"/>
  <c r="L2736" i="9"/>
  <c r="M2736" i="9" s="1"/>
  <c r="L897" i="9"/>
  <c r="M897" i="9" s="1"/>
  <c r="L3126" i="9"/>
  <c r="M3126" i="9" s="1"/>
  <c r="L487" i="9"/>
  <c r="M487" i="9" s="1"/>
  <c r="L883" i="9"/>
  <c r="M883" i="9" s="1"/>
  <c r="L652" i="9"/>
  <c r="M652" i="9" s="1"/>
  <c r="L4984" i="9"/>
  <c r="M4984" i="9" s="1"/>
  <c r="L2966" i="9"/>
  <c r="M2966" i="9" s="1"/>
  <c r="C3163" i="9"/>
  <c r="C425" i="9"/>
  <c r="L2713" i="9"/>
  <c r="M2713" i="9" s="1"/>
  <c r="L686" i="9"/>
  <c r="M686" i="9" s="1"/>
  <c r="L2925" i="9"/>
  <c r="M2925" i="9" s="1"/>
  <c r="L854" i="9"/>
  <c r="M854" i="9" s="1"/>
  <c r="C2952" i="9"/>
  <c r="L3144" i="9"/>
  <c r="M3144" i="9" s="1"/>
  <c r="C4735" i="9"/>
  <c r="L4757" i="9"/>
  <c r="M4757" i="9" s="1"/>
  <c r="L4785" i="9"/>
  <c r="M4785" i="9" s="1"/>
  <c r="L4763" i="9"/>
  <c r="M4763" i="9" s="1"/>
  <c r="L4955" i="9"/>
  <c r="M4955" i="9" s="1"/>
  <c r="L5197" i="9"/>
  <c r="M5197" i="9" s="1"/>
  <c r="L4733" i="9"/>
  <c r="M4733" i="9" s="1"/>
  <c r="C4725" i="9"/>
  <c r="L3153" i="9"/>
  <c r="M3153" i="9" s="1"/>
  <c r="L846" i="9"/>
  <c r="M846" i="9" s="1"/>
  <c r="L894" i="9"/>
  <c r="M894" i="9" s="1"/>
  <c r="L3113" i="9"/>
  <c r="M3113" i="9" s="1"/>
  <c r="C3157" i="9"/>
  <c r="C4942" i="9"/>
  <c r="L447" i="9"/>
  <c r="M447" i="9" s="1"/>
  <c r="L2965" i="9"/>
  <c r="M2965" i="9" s="1"/>
  <c r="L435" i="9"/>
  <c r="M435" i="9" s="1"/>
  <c r="L5146" i="9"/>
  <c r="M5146" i="9" s="1"/>
  <c r="C444" i="9"/>
  <c r="L2916" i="9"/>
  <c r="M2916" i="9" s="1"/>
  <c r="C842" i="9"/>
  <c r="C4936" i="9"/>
  <c r="L4732" i="9"/>
  <c r="M4732" i="9" s="1"/>
  <c r="L445" i="9"/>
  <c r="M445" i="9" s="1"/>
  <c r="L4943" i="9"/>
  <c r="M4943" i="9" s="1"/>
  <c r="L444" i="9"/>
  <c r="M444" i="9" s="1"/>
  <c r="C2726" i="9"/>
  <c r="C4975" i="9"/>
  <c r="C5164" i="9"/>
  <c r="L4722" i="9"/>
  <c r="M4722" i="9" s="1"/>
  <c r="C4772" i="9"/>
  <c r="L4933" i="9"/>
  <c r="M4933" i="9" s="1"/>
  <c r="L885" i="9"/>
  <c r="M885" i="9" s="1"/>
  <c r="L2755" i="9"/>
  <c r="M2755" i="9" s="1"/>
  <c r="C2912" i="9"/>
  <c r="L3164" i="9"/>
  <c r="M3164" i="9" s="1"/>
  <c r="L2745" i="9"/>
  <c r="M2745" i="9" s="1"/>
  <c r="C3162" i="9"/>
  <c r="C5157" i="9"/>
  <c r="C453" i="9"/>
  <c r="C4943" i="9"/>
  <c r="C477" i="9"/>
  <c r="C2914" i="9"/>
  <c r="C4966" i="9"/>
  <c r="L635" i="9"/>
  <c r="M635" i="9" s="1"/>
  <c r="L683" i="9"/>
  <c r="M683" i="9" s="1"/>
  <c r="L672" i="9"/>
  <c r="M672" i="9" s="1"/>
  <c r="L2722" i="9"/>
  <c r="M2722" i="9" s="1"/>
  <c r="L663" i="9"/>
  <c r="M663" i="9" s="1"/>
  <c r="L645" i="9"/>
  <c r="M645" i="9" s="1"/>
  <c r="L422" i="9"/>
  <c r="M422" i="9" s="1"/>
  <c r="L2733" i="9"/>
  <c r="M2733" i="9" s="1"/>
  <c r="C2933" i="9"/>
  <c r="L474" i="9"/>
  <c r="M474" i="9" s="1"/>
  <c r="C5193" i="9"/>
  <c r="C886" i="9"/>
  <c r="L477" i="9"/>
  <c r="M477" i="9" s="1"/>
  <c r="L2935" i="9"/>
  <c r="M2935" i="9" s="1"/>
  <c r="C693" i="9"/>
  <c r="L2757" i="9"/>
  <c r="M2757" i="9" s="1"/>
  <c r="L4754" i="9"/>
  <c r="M4754" i="9" s="1"/>
  <c r="L4936" i="9"/>
  <c r="M4936" i="9" s="1"/>
  <c r="L4964" i="9"/>
  <c r="M4964" i="9" s="1"/>
  <c r="L3134" i="9"/>
  <c r="M3134" i="9" s="1"/>
  <c r="C887" i="9"/>
  <c r="C2715" i="9"/>
  <c r="C4934" i="9"/>
  <c r="C672" i="9"/>
  <c r="C436" i="9"/>
  <c r="L867" i="9"/>
  <c r="M867" i="9" s="1"/>
  <c r="C4752" i="9"/>
  <c r="L3146" i="9"/>
  <c r="M3146" i="9" s="1"/>
  <c r="C475" i="9"/>
  <c r="C3167" i="9"/>
  <c r="L857" i="9"/>
  <c r="M857" i="9" s="1"/>
  <c r="L436" i="9"/>
  <c r="M436" i="9" s="1"/>
  <c r="C4954" i="9"/>
  <c r="L675" i="9"/>
  <c r="M675" i="9" s="1"/>
  <c r="L4736" i="9"/>
  <c r="M4736" i="9" s="1"/>
  <c r="C843" i="9"/>
  <c r="L905" i="9"/>
  <c r="M905" i="9" s="1"/>
  <c r="L2923" i="9"/>
  <c r="M2923" i="9" s="1"/>
  <c r="L666" i="9"/>
  <c r="M666" i="9" s="1"/>
  <c r="L3116" i="9"/>
  <c r="M3116" i="9" s="1"/>
  <c r="L2954" i="9"/>
  <c r="M2954" i="9" s="1"/>
  <c r="L472" i="9"/>
  <c r="M472" i="9" s="1"/>
  <c r="L426" i="9"/>
  <c r="M426" i="9" s="1"/>
  <c r="L4996" i="9"/>
  <c r="M4996" i="9" s="1"/>
  <c r="L695" i="9"/>
  <c r="M695" i="9" s="1"/>
  <c r="L886" i="9"/>
  <c r="M886" i="9" s="1"/>
  <c r="C3146" i="9"/>
  <c r="C2716" i="9"/>
  <c r="L5183" i="9"/>
  <c r="M5183" i="9" s="1"/>
  <c r="C457" i="9"/>
  <c r="C4736" i="9"/>
  <c r="C4935" i="9"/>
  <c r="C677" i="9"/>
  <c r="C437" i="9"/>
  <c r="L2737" i="9"/>
  <c r="M2737" i="9" s="1"/>
  <c r="L427" i="9"/>
  <c r="M427" i="9" s="1"/>
  <c r="L453" i="9"/>
  <c r="M453" i="9" s="1"/>
  <c r="L647" i="9"/>
  <c r="M647" i="9" s="1"/>
  <c r="C4732" i="9"/>
  <c r="L4726" i="9"/>
  <c r="M4726" i="9" s="1"/>
  <c r="L687" i="9"/>
  <c r="M687" i="9" s="1"/>
  <c r="L4995" i="9"/>
  <c r="M4995" i="9" s="1"/>
  <c r="L5182" i="9"/>
  <c r="M5182" i="9" s="1"/>
  <c r="L5205" i="9"/>
  <c r="M5205" i="9" s="1"/>
  <c r="C2737" i="9"/>
  <c r="C422" i="9"/>
  <c r="C2942" i="9"/>
  <c r="L677" i="9"/>
  <c r="M677" i="9" s="1"/>
  <c r="L437" i="9"/>
  <c r="M437" i="9" s="1"/>
  <c r="L692" i="9"/>
  <c r="M692" i="9" s="1"/>
  <c r="L892" i="9"/>
  <c r="M892" i="9" s="1"/>
  <c r="L4765" i="9"/>
  <c r="M4765" i="9" s="1"/>
  <c r="L4744" i="9"/>
  <c r="M4744" i="9" s="1"/>
  <c r="L5193" i="9"/>
  <c r="M5193" i="9" s="1"/>
  <c r="C2723" i="9"/>
  <c r="L2915" i="9"/>
  <c r="M2915" i="9" s="1"/>
  <c r="C476" i="9"/>
  <c r="C4744" i="9"/>
  <c r="L473" i="9"/>
  <c r="M473" i="9" s="1"/>
  <c r="L483" i="9"/>
  <c r="M483" i="9" s="1"/>
  <c r="C486" i="9"/>
  <c r="C483" i="9"/>
  <c r="L3133" i="9"/>
  <c r="M3133" i="9" s="1"/>
  <c r="C5196" i="9"/>
  <c r="C3127" i="9"/>
  <c r="L856" i="9"/>
  <c r="M856" i="9" s="1"/>
  <c r="L5194" i="9"/>
  <c r="M5194" i="9" s="1"/>
  <c r="C3136" i="9"/>
  <c r="C4962" i="9"/>
  <c r="C5144" i="9"/>
  <c r="L3132" i="9"/>
  <c r="M3132" i="9" s="1"/>
  <c r="C4994" i="9"/>
  <c r="L4784" i="9"/>
  <c r="M4784" i="9" s="1"/>
  <c r="C2755" i="9"/>
  <c r="C903" i="9"/>
  <c r="L2913" i="9"/>
  <c r="M2913" i="9" s="1"/>
  <c r="L4992" i="9"/>
  <c r="M4992" i="9" s="1"/>
  <c r="C4776" i="9"/>
  <c r="C4746" i="9"/>
  <c r="L877" i="9"/>
  <c r="M877" i="9" s="1"/>
  <c r="C434" i="9"/>
  <c r="C854" i="9"/>
  <c r="C902" i="9"/>
  <c r="C855" i="9"/>
  <c r="L2964" i="9"/>
  <c r="M2964" i="9" s="1"/>
  <c r="C4737" i="9"/>
  <c r="L4946" i="9"/>
  <c r="M4946" i="9" s="1"/>
  <c r="C4947" i="9"/>
  <c r="L5187" i="9"/>
  <c r="M5187" i="9" s="1"/>
  <c r="L2726" i="9"/>
  <c r="M2726" i="9" s="1"/>
  <c r="C865" i="9"/>
  <c r="L446" i="9"/>
  <c r="M446" i="9" s="1"/>
  <c r="L3142" i="9"/>
  <c r="M3142" i="9" s="1"/>
  <c r="C4982" i="9"/>
  <c r="C3153" i="9"/>
  <c r="L4747" i="9"/>
  <c r="M4747" i="9" s="1"/>
  <c r="L2723" i="9"/>
  <c r="M2723" i="9" s="1"/>
  <c r="L643" i="9"/>
  <c r="M643" i="9" s="1"/>
  <c r="L476" i="9"/>
  <c r="M476" i="9" s="1"/>
  <c r="L5176" i="9"/>
  <c r="M5176" i="9" s="1"/>
  <c r="C2765" i="9"/>
  <c r="L685" i="9"/>
  <c r="M685" i="9" s="1"/>
  <c r="C873" i="9"/>
  <c r="C3144" i="9"/>
  <c r="C846" i="9"/>
  <c r="C894" i="9"/>
  <c r="L2766" i="9"/>
  <c r="M2766" i="9" s="1"/>
  <c r="L2753" i="9"/>
  <c r="M2753" i="9" s="1"/>
  <c r="C443" i="9"/>
  <c r="L5174" i="9"/>
  <c r="M5174" i="9" s="1"/>
  <c r="C852" i="9"/>
  <c r="L4775" i="9"/>
  <c r="M4775" i="9" s="1"/>
  <c r="L4967" i="9"/>
  <c r="M4967" i="9" s="1"/>
  <c r="C4984" i="9"/>
  <c r="C4782" i="9"/>
  <c r="C3134" i="9"/>
  <c r="C694" i="9"/>
  <c r="C2766" i="9"/>
  <c r="C2754" i="9"/>
  <c r="C4763" i="9"/>
  <c r="L5196" i="9"/>
  <c r="M5196" i="9" s="1"/>
  <c r="C682" i="9"/>
  <c r="C2917" i="9"/>
  <c r="C442" i="9"/>
  <c r="C2714" i="9"/>
  <c r="L457" i="9"/>
  <c r="M457" i="9" s="1"/>
  <c r="C2732" i="9"/>
  <c r="L454" i="9"/>
  <c r="M454" i="9" s="1"/>
  <c r="L646" i="9"/>
  <c r="M646" i="9" s="1"/>
  <c r="L694" i="9"/>
  <c r="M694" i="9" s="1"/>
  <c r="C5142" i="9"/>
  <c r="C2743" i="9"/>
  <c r="C3147" i="9"/>
  <c r="C856" i="9"/>
  <c r="L2764" i="9"/>
  <c r="M2764" i="9" s="1"/>
  <c r="C4972" i="9"/>
  <c r="C5154" i="9"/>
  <c r="L4787" i="9"/>
  <c r="M4787" i="9" s="1"/>
  <c r="C5177" i="9"/>
  <c r="L4724" i="9"/>
  <c r="M4724" i="9" s="1"/>
  <c r="C4964" i="9"/>
  <c r="C5146" i="9"/>
  <c r="C484" i="9"/>
  <c r="C663" i="9"/>
  <c r="C3142" i="9"/>
  <c r="C2946" i="9"/>
  <c r="C3154" i="9"/>
  <c r="L2953" i="9"/>
  <c r="M2953" i="9" s="1"/>
  <c r="L3145" i="9"/>
  <c r="M3145" i="9" s="1"/>
  <c r="L4725" i="9"/>
  <c r="M4725" i="9" s="1"/>
  <c r="L3115" i="9"/>
  <c r="M3115" i="9" s="1"/>
  <c r="L665" i="9"/>
  <c r="M665" i="9" s="1"/>
  <c r="C2936" i="9"/>
  <c r="C2747" i="9"/>
  <c r="C883" i="9"/>
  <c r="C644" i="9"/>
  <c r="C4756" i="9"/>
  <c r="L2944" i="9"/>
  <c r="M2944" i="9" s="1"/>
  <c r="C2966" i="9"/>
  <c r="C3166" i="9"/>
  <c r="C2965" i="9"/>
  <c r="L432" i="9"/>
  <c r="M432" i="9" s="1"/>
  <c r="L696" i="9"/>
  <c r="M696" i="9" s="1"/>
  <c r="L485" i="9"/>
  <c r="M485" i="9" s="1"/>
  <c r="C654" i="9"/>
  <c r="L3157" i="9"/>
  <c r="M3157" i="9" s="1"/>
  <c r="L5153" i="9"/>
  <c r="M5153" i="9" s="1"/>
  <c r="L3112" i="9"/>
  <c r="M3112" i="9" s="1"/>
  <c r="C2932" i="9"/>
  <c r="L423" i="9"/>
  <c r="M423" i="9" s="1"/>
  <c r="C632" i="9"/>
  <c r="C3124" i="9"/>
  <c r="C5192" i="9"/>
  <c r="C5156" i="9"/>
  <c r="C2724" i="9"/>
  <c r="C4733" i="9"/>
  <c r="L893" i="9"/>
  <c r="M893" i="9" s="1"/>
  <c r="L486" i="9"/>
  <c r="M486" i="9" s="1"/>
  <c r="C643" i="9"/>
  <c r="C3113" i="9"/>
  <c r="C3114" i="9"/>
  <c r="C4757" i="9"/>
  <c r="C3155" i="9"/>
  <c r="C4955" i="9"/>
  <c r="C2945" i="9"/>
  <c r="C4745" i="9"/>
  <c r="C2964" i="9"/>
  <c r="L3156" i="9"/>
  <c r="M3156" i="9" s="1"/>
  <c r="L2937" i="9"/>
  <c r="M2937" i="9" s="1"/>
  <c r="L4973" i="9"/>
  <c r="M4973" i="9" s="1"/>
  <c r="L4746" i="9"/>
  <c r="M4746" i="9" s="1"/>
  <c r="C4965" i="9"/>
  <c r="C4945" i="9"/>
  <c r="C844" i="9"/>
  <c r="C2745" i="9"/>
  <c r="C2937" i="9"/>
  <c r="C4754" i="9"/>
  <c r="L4773" i="9"/>
  <c r="M4773" i="9" s="1"/>
  <c r="C454" i="9"/>
  <c r="C866" i="9"/>
  <c r="C2742" i="9"/>
  <c r="C3165" i="9"/>
  <c r="L4982" i="9"/>
  <c r="M4982" i="9" s="1"/>
  <c r="C472" i="9"/>
  <c r="L4994" i="9"/>
  <c r="M4994" i="9" s="1"/>
  <c r="C4995" i="9"/>
  <c r="C4932" i="9"/>
  <c r="C4773" i="9"/>
  <c r="L693" i="9"/>
  <c r="M693" i="9" s="1"/>
  <c r="C3152" i="9"/>
  <c r="C473" i="9"/>
  <c r="L2746" i="9"/>
  <c r="M2746" i="9" s="1"/>
  <c r="L882" i="9"/>
  <c r="M882" i="9" s="1"/>
  <c r="L2747" i="9"/>
  <c r="M2747" i="9" s="1"/>
  <c r="L655" i="9"/>
  <c r="M655" i="9" s="1"/>
  <c r="C3133" i="9"/>
  <c r="L644" i="9"/>
  <c r="M644" i="9" s="1"/>
  <c r="L4764" i="9"/>
  <c r="M4764" i="9" s="1"/>
  <c r="C5207" i="9"/>
  <c r="L5155" i="9"/>
  <c r="M5155" i="9" s="1"/>
  <c r="C4953" i="9"/>
  <c r="C893" i="9"/>
  <c r="C897" i="9"/>
  <c r="C906" i="9"/>
  <c r="C3126" i="9"/>
  <c r="L3155" i="9"/>
  <c r="M3155" i="9" s="1"/>
  <c r="C467" i="9"/>
  <c r="C2734" i="9"/>
  <c r="C2725" i="9"/>
  <c r="C676" i="9"/>
  <c r="C4765" i="9"/>
  <c r="L4723" i="9"/>
  <c r="M4723" i="9" s="1"/>
  <c r="C5155" i="9"/>
  <c r="C4996" i="9"/>
  <c r="C2924" i="9"/>
  <c r="L2952" i="9"/>
  <c r="M2952" i="9" s="1"/>
  <c r="C4774" i="9"/>
  <c r="L2727" i="9"/>
  <c r="M2727" i="9" s="1"/>
  <c r="C2915" i="9"/>
  <c r="C5174" i="9"/>
  <c r="C4785" i="9"/>
  <c r="C4727" i="9"/>
  <c r="C5162" i="9"/>
  <c r="C2717" i="9"/>
  <c r="L875" i="9"/>
  <c r="M875" i="9" s="1"/>
  <c r="C2764" i="9"/>
  <c r="L633" i="9"/>
  <c r="M633" i="9" s="1"/>
  <c r="L2762" i="9"/>
  <c r="M2762" i="9" s="1"/>
  <c r="L4993" i="9"/>
  <c r="M4993" i="9" s="1"/>
  <c r="L5147" i="9"/>
  <c r="M5147" i="9" s="1"/>
  <c r="L5207" i="9"/>
  <c r="M5207" i="9" s="1"/>
  <c r="C853" i="9"/>
  <c r="L3136" i="9"/>
  <c r="M3136" i="9" s="1"/>
  <c r="C4743" i="9"/>
  <c r="L5144" i="9"/>
  <c r="M5144" i="9" s="1"/>
  <c r="L4937" i="9"/>
  <c r="M4937" i="9" s="1"/>
  <c r="L4934" i="9"/>
  <c r="M4934" i="9" s="1"/>
  <c r="L2765" i="9"/>
  <c r="M2765" i="9" s="1"/>
  <c r="C2756" i="9"/>
  <c r="L466" i="9"/>
  <c r="M466" i="9" s="1"/>
  <c r="C2934" i="9"/>
  <c r="C635" i="9"/>
  <c r="C683" i="9"/>
  <c r="C2767" i="9"/>
  <c r="C2955" i="9"/>
  <c r="C2922" i="9"/>
  <c r="C876" i="9"/>
  <c r="C4976" i="9"/>
  <c r="C4766" i="9"/>
  <c r="L5173" i="9"/>
  <c r="M5173" i="9" s="1"/>
  <c r="L4966" i="9"/>
  <c r="M4966" i="9" s="1"/>
  <c r="L4777" i="9"/>
  <c r="M4777" i="9" s="1"/>
  <c r="L5157" i="9"/>
  <c r="M5157" i="9" s="1"/>
  <c r="C446" i="9"/>
  <c r="C675" i="9"/>
  <c r="C464" i="9"/>
  <c r="C656" i="9"/>
  <c r="C674" i="9"/>
  <c r="L636" i="9"/>
  <c r="M636" i="9" s="1"/>
  <c r="L4963" i="9"/>
  <c r="M4963" i="9" s="1"/>
  <c r="L5145" i="9"/>
  <c r="M5145" i="9" s="1"/>
  <c r="C847" i="9"/>
  <c r="C895" i="9"/>
  <c r="C2735" i="9"/>
  <c r="C4974" i="9"/>
  <c r="C462" i="9"/>
  <c r="C666" i="9"/>
  <c r="C435" i="9"/>
  <c r="L2933" i="9"/>
  <c r="M2933" i="9" s="1"/>
  <c r="C2944" i="9"/>
  <c r="L4753" i="9"/>
  <c r="M4753" i="9" s="1"/>
  <c r="C2956" i="9"/>
  <c r="L4935" i="9"/>
  <c r="M4935" i="9" s="1"/>
  <c r="C5204" i="9"/>
  <c r="C634" i="9"/>
  <c r="L424" i="9"/>
  <c r="M424" i="9" s="1"/>
  <c r="L2942" i="9"/>
  <c r="M2942" i="9" s="1"/>
  <c r="C427" i="9"/>
  <c r="C884" i="9"/>
  <c r="C4987" i="9"/>
  <c r="C5205" i="9"/>
  <c r="L2947" i="9"/>
  <c r="M2947" i="9" s="1"/>
  <c r="L3152" i="9"/>
  <c r="M3152" i="9" s="1"/>
  <c r="C633" i="9"/>
  <c r="L4742" i="9"/>
  <c r="M4742" i="9" s="1"/>
  <c r="C2712" i="9"/>
  <c r="C655" i="9"/>
  <c r="C3137" i="9"/>
  <c r="C4963" i="9"/>
  <c r="C5145" i="9"/>
  <c r="C862" i="9"/>
  <c r="L3123" i="9"/>
  <c r="M3123" i="9" s="1"/>
  <c r="L4952" i="9"/>
  <c r="M4952" i="9" s="1"/>
  <c r="C3125" i="9"/>
  <c r="L3162" i="9"/>
  <c r="M3162" i="9" s="1"/>
  <c r="L5143" i="9"/>
  <c r="M5143" i="9" s="1"/>
  <c r="L4755" i="9"/>
  <c r="M4755" i="9" s="1"/>
  <c r="L4767" i="9"/>
  <c r="M4767" i="9" s="1"/>
  <c r="C905" i="9"/>
  <c r="C2722" i="9"/>
  <c r="C2713" i="9"/>
  <c r="L866" i="9"/>
  <c r="M866" i="9" s="1"/>
  <c r="C2733" i="9"/>
  <c r="L3117" i="9"/>
  <c r="M3117" i="9" s="1"/>
  <c r="C3132" i="9"/>
  <c r="C904" i="9"/>
  <c r="C4973" i="9"/>
  <c r="C5165" i="9"/>
  <c r="C5187" i="9"/>
  <c r="C5182" i="9"/>
  <c r="C4726" i="9"/>
  <c r="C482" i="9"/>
  <c r="C4944" i="9"/>
  <c r="C5186" i="9"/>
  <c r="L4942" i="9"/>
  <c r="M4942" i="9" s="1"/>
  <c r="L5172" i="9"/>
  <c r="M5172" i="9" s="1"/>
  <c r="C3116" i="9"/>
  <c r="L863" i="9"/>
  <c r="M863" i="9" s="1"/>
  <c r="C2913" i="9"/>
  <c r="C485" i="9"/>
  <c r="C653" i="9"/>
  <c r="L2943" i="9"/>
  <c r="M2943" i="9" s="1"/>
  <c r="L3135" i="9"/>
  <c r="M3135" i="9" s="1"/>
  <c r="L3114" i="9"/>
  <c r="M3114" i="9" s="1"/>
  <c r="L5152" i="9"/>
  <c r="M5152" i="9" s="1"/>
  <c r="C5147" i="9"/>
  <c r="L5203" i="9"/>
  <c r="M5203" i="9" s="1"/>
  <c r="L4734" i="9"/>
  <c r="M4734" i="9" s="1"/>
  <c r="L4974" i="9"/>
  <c r="M4974" i="9" s="1"/>
  <c r="C4783" i="9"/>
  <c r="L5167" i="9"/>
  <c r="M5167" i="9" s="1"/>
  <c r="C673" i="9"/>
  <c r="C652" i="9"/>
  <c r="C892" i="9"/>
  <c r="C4764" i="9"/>
  <c r="L4956" i="9"/>
  <c r="M4956" i="9" s="1"/>
  <c r="C4957" i="9"/>
  <c r="C5203" i="9"/>
  <c r="C4734" i="9"/>
  <c r="C5166" i="9"/>
  <c r="C4997" i="9"/>
  <c r="C697" i="9"/>
  <c r="C2967" i="9"/>
  <c r="C2963" i="9"/>
  <c r="L852" i="9"/>
  <c r="M852" i="9" s="1"/>
  <c r="C2927" i="9"/>
  <c r="C4775" i="9"/>
  <c r="C4786" i="9"/>
  <c r="C4723" i="9"/>
  <c r="L2763" i="9"/>
  <c r="M2763" i="9" s="1"/>
  <c r="C2727" i="9"/>
  <c r="L443" i="9"/>
  <c r="M443" i="9" s="1"/>
  <c r="C696" i="9"/>
  <c r="L5195" i="9"/>
  <c r="M5195" i="9" s="1"/>
  <c r="L4735" i="9"/>
  <c r="M4735" i="9" s="1"/>
  <c r="L2957" i="9"/>
  <c r="M2957" i="9" s="1"/>
  <c r="L2955" i="9"/>
  <c r="M2955" i="9" s="1"/>
  <c r="C4977" i="9"/>
  <c r="L4962" i="9"/>
  <c r="M4962" i="9" s="1"/>
  <c r="L4985" i="9"/>
  <c r="M4985" i="9" s="1"/>
  <c r="C5183" i="9"/>
  <c r="L2715" i="9"/>
  <c r="M2715" i="9" s="1"/>
  <c r="L4954" i="9"/>
  <c r="M4954" i="9" s="1"/>
  <c r="C857" i="9"/>
  <c r="L433" i="9"/>
  <c r="M433" i="9" s="1"/>
  <c r="C637" i="9"/>
  <c r="C2752" i="9"/>
  <c r="C647" i="9"/>
  <c r="L5185" i="9"/>
  <c r="M5185" i="9" s="1"/>
  <c r="C664" i="9"/>
  <c r="C864" i="9"/>
  <c r="L2716" i="9"/>
  <c r="M2716" i="9" s="1"/>
  <c r="C5163" i="9"/>
  <c r="C5175" i="9"/>
  <c r="C5202" i="9"/>
  <c r="C4937" i="9"/>
  <c r="L4762" i="9"/>
  <c r="M4762" i="9" s="1"/>
  <c r="C5194" i="9"/>
  <c r="L2744" i="9"/>
  <c r="M2744" i="9" s="1"/>
  <c r="L4947" i="9"/>
  <c r="M4947" i="9" s="1"/>
  <c r="C2925" i="9"/>
  <c r="C2954" i="9"/>
  <c r="C687" i="9"/>
  <c r="L4737" i="9"/>
  <c r="M4737" i="9" s="1"/>
  <c r="C4986" i="9"/>
  <c r="C3164" i="9"/>
  <c r="L425" i="9"/>
  <c r="M425" i="9" s="1"/>
  <c r="C686" i="9"/>
  <c r="C447" i="9"/>
  <c r="L684" i="9"/>
  <c r="M684" i="9" s="1"/>
  <c r="L3127" i="9"/>
  <c r="M3127" i="9" s="1"/>
  <c r="L3163" i="9"/>
  <c r="M3163" i="9" s="1"/>
  <c r="C662" i="9"/>
  <c r="C5184" i="9"/>
  <c r="L667" i="9"/>
  <c r="M667" i="9" s="1"/>
  <c r="L5206" i="9"/>
  <c r="M5206" i="9" s="1"/>
  <c r="L4756" i="9"/>
  <c r="M4756" i="9" s="1"/>
  <c r="L4975" i="9"/>
  <c r="M4975" i="9" s="1"/>
  <c r="C907" i="9"/>
  <c r="C452" i="9"/>
  <c r="C692" i="9"/>
  <c r="C642" i="9"/>
  <c r="C5197" i="9"/>
  <c r="L653" i="9"/>
  <c r="M653" i="9" s="1"/>
  <c r="C426" i="9"/>
  <c r="C474" i="9"/>
  <c r="L455" i="9"/>
  <c r="M455" i="9" s="1"/>
  <c r="L4983" i="9"/>
  <c r="M4983" i="9" s="1"/>
  <c r="L5177" i="9"/>
  <c r="M5177" i="9" s="1"/>
  <c r="C5185" i="9"/>
  <c r="L456" i="9"/>
  <c r="M456" i="9" s="1"/>
  <c r="C3112" i="9"/>
  <c r="C695" i="9"/>
  <c r="C872" i="9"/>
  <c r="C2926" i="9"/>
  <c r="L845" i="9"/>
  <c r="M845" i="9" s="1"/>
  <c r="L462" i="9"/>
  <c r="M462" i="9" s="1"/>
  <c r="L654" i="9"/>
  <c r="M654" i="9" s="1"/>
  <c r="C2736" i="9"/>
  <c r="C667" i="9"/>
  <c r="C487" i="9"/>
  <c r="C2962" i="9"/>
  <c r="L3122" i="9"/>
  <c r="M3122" i="9" s="1"/>
  <c r="C3143" i="9"/>
  <c r="C4967" i="9"/>
  <c r="C465" i="9"/>
  <c r="C657" i="9"/>
  <c r="C874" i="9"/>
  <c r="L5154" i="9"/>
  <c r="M5154" i="9" s="1"/>
  <c r="C463" i="9"/>
  <c r="C896" i="9"/>
  <c r="C217" i="9"/>
  <c r="L2557" i="9"/>
  <c r="M2557" i="9" s="1"/>
  <c r="L67" i="9"/>
  <c r="M67" i="9" s="1"/>
  <c r="C47" i="9"/>
  <c r="L44" i="9"/>
  <c r="M44" i="9" s="1"/>
  <c r="C227" i="9"/>
  <c r="C2543" i="9"/>
  <c r="C4597" i="9"/>
  <c r="L2587" i="9"/>
  <c r="M2587" i="9" s="1"/>
  <c r="C37" i="9"/>
  <c r="L2317" i="9"/>
  <c r="M2317" i="9" s="1"/>
  <c r="C267" i="9"/>
  <c r="L224" i="9"/>
  <c r="M224" i="9" s="1"/>
  <c r="C2347" i="9"/>
  <c r="C4534" i="9"/>
  <c r="C297" i="9"/>
  <c r="L2346" i="9"/>
  <c r="M2346" i="9" s="1"/>
  <c r="C2337" i="9"/>
  <c r="L4577" i="9"/>
  <c r="M4577" i="9" s="1"/>
  <c r="L4552" i="9"/>
  <c r="M4552" i="9" s="1"/>
  <c r="L2525" i="9"/>
  <c r="M2525" i="9" s="1"/>
  <c r="L217" i="9"/>
  <c r="M217" i="9" s="1"/>
  <c r="L4597" i="9"/>
  <c r="M4597" i="9" s="1"/>
  <c r="C2377" i="9"/>
  <c r="C87" i="9"/>
  <c r="C17" i="9"/>
  <c r="L2387" i="9"/>
  <c r="M2387" i="9" s="1"/>
  <c r="L27" i="9"/>
  <c r="M27" i="9" s="1"/>
  <c r="L267" i="9"/>
  <c r="M267" i="9" s="1"/>
  <c r="L2367" i="9"/>
  <c r="M2367" i="9" s="1"/>
  <c r="L43" i="9"/>
  <c r="M43" i="9" s="1"/>
  <c r="L283" i="9"/>
  <c r="M283" i="9" s="1"/>
  <c r="C284" i="9"/>
  <c r="L53" i="9"/>
  <c r="M53" i="9" s="1"/>
  <c r="L77" i="9"/>
  <c r="M77" i="9" s="1"/>
  <c r="L235" i="9"/>
  <c r="M235" i="9" s="1"/>
  <c r="L2513" i="9"/>
  <c r="M2513" i="9" s="1"/>
  <c r="C35" i="9"/>
  <c r="C4543" i="9"/>
  <c r="C2516" i="9"/>
  <c r="L2542" i="9"/>
  <c r="M2542" i="9" s="1"/>
  <c r="L236" i="9"/>
  <c r="M236" i="9" s="1"/>
  <c r="L4574" i="9"/>
  <c r="M4574" i="9" s="1"/>
  <c r="C22" i="9"/>
  <c r="C2534" i="9"/>
  <c r="L2537" i="9"/>
  <c r="M2537" i="9" s="1"/>
  <c r="L2577" i="9"/>
  <c r="M2577" i="9" s="1"/>
  <c r="L2357" i="9"/>
  <c r="M2357" i="9" s="1"/>
  <c r="C237" i="9"/>
  <c r="L247" i="9"/>
  <c r="M247" i="9" s="1"/>
  <c r="L2567" i="9"/>
  <c r="M2567" i="9" s="1"/>
  <c r="L4566" i="9"/>
  <c r="M4566" i="9" s="1"/>
  <c r="C4547" i="9"/>
  <c r="C2587" i="9"/>
  <c r="C67" i="9"/>
  <c r="C247" i="9"/>
  <c r="L47" i="9"/>
  <c r="M47" i="9" s="1"/>
  <c r="L227" i="9"/>
  <c r="M227" i="9" s="1"/>
  <c r="L297" i="9"/>
  <c r="M297" i="9" s="1"/>
  <c r="C2367" i="9"/>
  <c r="L2547" i="9"/>
  <c r="M2547" i="9" s="1"/>
  <c r="L37" i="9"/>
  <c r="M37" i="9" s="1"/>
  <c r="L45" i="9"/>
  <c r="M45" i="9" s="1"/>
  <c r="L286" i="9"/>
  <c r="M286" i="9" s="1"/>
  <c r="C2357" i="9"/>
  <c r="C4587" i="9"/>
  <c r="C2582" i="9"/>
  <c r="L233" i="9"/>
  <c r="M233" i="9" s="1"/>
  <c r="C2373" i="9"/>
  <c r="C287" i="9"/>
  <c r="C4556" i="9"/>
  <c r="C2553" i="9"/>
  <c r="C4567" i="9"/>
  <c r="C2517" i="9"/>
  <c r="C2555" i="9"/>
  <c r="L55" i="9"/>
  <c r="M55" i="9" s="1"/>
  <c r="L4516" i="9"/>
  <c r="M4516" i="9" s="1"/>
  <c r="L4565" i="9"/>
  <c r="M4565" i="9" s="1"/>
  <c r="C34" i="9"/>
  <c r="C4577" i="9"/>
  <c r="C2322" i="9"/>
  <c r="L257" i="9"/>
  <c r="M257" i="9" s="1"/>
  <c r="L4517" i="9"/>
  <c r="M4517" i="9" s="1"/>
  <c r="L4527" i="9"/>
  <c r="M4527" i="9" s="1"/>
  <c r="L4587" i="9"/>
  <c r="M4587" i="9" s="1"/>
  <c r="C2537" i="9"/>
  <c r="L277" i="9"/>
  <c r="M277" i="9" s="1"/>
  <c r="C4513" i="9"/>
  <c r="L23" i="9"/>
  <c r="M23" i="9" s="1"/>
  <c r="C2547" i="9"/>
  <c r="C264" i="9"/>
  <c r="C4595" i="9"/>
  <c r="L4522" i="9"/>
  <c r="M4522" i="9" s="1"/>
  <c r="L2366" i="9"/>
  <c r="M2366" i="9" s="1"/>
  <c r="L2323" i="9"/>
  <c r="M2323" i="9" s="1"/>
  <c r="L2515" i="9"/>
  <c r="M2515" i="9" s="1"/>
  <c r="L2545" i="9"/>
  <c r="M2545" i="9" s="1"/>
  <c r="L214" i="9"/>
  <c r="M214" i="9" s="1"/>
  <c r="L2377" i="9"/>
  <c r="M2377" i="9" s="1"/>
  <c r="L87" i="9"/>
  <c r="M87" i="9" s="1"/>
  <c r="C2577" i="9"/>
  <c r="C4512" i="9"/>
  <c r="C4515" i="9"/>
  <c r="C4537" i="9"/>
  <c r="C63" i="9"/>
  <c r="L26" i="9"/>
  <c r="M26" i="9" s="1"/>
  <c r="C2526" i="9"/>
  <c r="C15" i="9"/>
  <c r="C2364" i="9"/>
  <c r="L4572" i="9"/>
  <c r="M4572" i="9" s="1"/>
  <c r="C2557" i="9"/>
  <c r="L4557" i="9"/>
  <c r="M4557" i="9" s="1"/>
  <c r="C2317" i="9"/>
  <c r="C4557" i="9"/>
  <c r="L2327" i="9"/>
  <c r="M2327" i="9" s="1"/>
  <c r="L2527" i="9"/>
  <c r="M2527" i="9" s="1"/>
  <c r="C257" i="9"/>
  <c r="C277" i="9"/>
  <c r="L2337" i="9"/>
  <c r="M2337" i="9" s="1"/>
  <c r="L17" i="9"/>
  <c r="M17" i="9" s="1"/>
  <c r="L4576" i="9"/>
  <c r="M4576" i="9" s="1"/>
  <c r="L4586" i="9"/>
  <c r="M4586" i="9" s="1"/>
  <c r="C2334" i="9"/>
  <c r="C2567" i="9"/>
  <c r="C4517" i="9"/>
  <c r="L2564" i="9"/>
  <c r="M2564" i="9" s="1"/>
  <c r="L2355" i="9"/>
  <c r="M2355" i="9" s="1"/>
  <c r="L2517" i="9"/>
  <c r="M2517" i="9" s="1"/>
  <c r="L4567" i="9"/>
  <c r="M4567" i="9" s="1"/>
  <c r="C57" i="9"/>
  <c r="L7" i="9"/>
  <c r="M7" i="9" s="1"/>
  <c r="C223" i="9"/>
  <c r="L65" i="9"/>
  <c r="M65" i="9" s="1"/>
  <c r="C2514" i="9"/>
  <c r="L4546" i="9"/>
  <c r="M4546" i="9" s="1"/>
  <c r="C242" i="9"/>
  <c r="L2532" i="9"/>
  <c r="M2532" i="9" s="1"/>
  <c r="L2384" i="9"/>
  <c r="M2384" i="9" s="1"/>
  <c r="C2512" i="9"/>
  <c r="C233" i="9"/>
  <c r="C54" i="9"/>
  <c r="C246" i="9"/>
  <c r="C2565" i="9"/>
  <c r="L15" i="9"/>
  <c r="M15" i="9" s="1"/>
  <c r="L2364" i="9"/>
  <c r="M2364" i="9" s="1"/>
  <c r="C4572" i="9"/>
  <c r="C4536" i="9"/>
  <c r="C4563" i="9"/>
  <c r="L2326" i="9"/>
  <c r="M2326" i="9" s="1"/>
  <c r="C2562" i="9"/>
  <c r="C2366" i="9"/>
  <c r="L4593" i="9"/>
  <c r="M4593" i="9" s="1"/>
  <c r="C2353" i="9"/>
  <c r="C2586" i="9"/>
  <c r="L4545" i="9"/>
  <c r="M4545" i="9" s="1"/>
  <c r="L4512" i="9"/>
  <c r="M4512" i="9" s="1"/>
  <c r="C4585" i="9"/>
  <c r="L4534" i="9"/>
  <c r="M4534" i="9" s="1"/>
  <c r="L13" i="9"/>
  <c r="M13" i="9" s="1"/>
  <c r="C26" i="9"/>
  <c r="L2373" i="9"/>
  <c r="M2373" i="9" s="1"/>
  <c r="C2316" i="9"/>
  <c r="L4556" i="9"/>
  <c r="M4556" i="9" s="1"/>
  <c r="L34" i="9"/>
  <c r="M34" i="9" s="1"/>
  <c r="L2533" i="9"/>
  <c r="M2533" i="9" s="1"/>
  <c r="L244" i="9"/>
  <c r="M244" i="9" s="1"/>
  <c r="C85" i="9"/>
  <c r="C295" i="9"/>
  <c r="C55" i="9"/>
  <c r="C256" i="9"/>
  <c r="C4576" i="9"/>
  <c r="C4552" i="9"/>
  <c r="C4516" i="9"/>
  <c r="C2352" i="9"/>
  <c r="C2583" i="9"/>
  <c r="L2363" i="9"/>
  <c r="M2363" i="9" s="1"/>
  <c r="L276" i="9"/>
  <c r="M276" i="9" s="1"/>
  <c r="L2375" i="9"/>
  <c r="M2375" i="9" s="1"/>
  <c r="C4586" i="9"/>
  <c r="L85" i="9"/>
  <c r="M85" i="9" s="1"/>
  <c r="C86" i="9"/>
  <c r="L35" i="9"/>
  <c r="M35" i="9" s="1"/>
  <c r="L2374" i="9"/>
  <c r="M2374" i="9" s="1"/>
  <c r="C12" i="9"/>
  <c r="C4535" i="9"/>
  <c r="L76" i="9"/>
  <c r="M76" i="9" s="1"/>
  <c r="L232" i="9"/>
  <c r="M232" i="9" s="1"/>
  <c r="C282" i="9"/>
  <c r="C4524" i="9"/>
  <c r="L2584" i="9"/>
  <c r="M2584" i="9" s="1"/>
  <c r="L243" i="9"/>
  <c r="M243" i="9" s="1"/>
  <c r="C43" i="9"/>
  <c r="C16" i="9"/>
  <c r="C64" i="9"/>
  <c r="L2524" i="9"/>
  <c r="M2524" i="9" s="1"/>
  <c r="C2525" i="9"/>
  <c r="C2536" i="9"/>
  <c r="L223" i="9"/>
  <c r="M223" i="9" s="1"/>
  <c r="C296" i="9"/>
  <c r="L2576" i="9"/>
  <c r="M2576" i="9" s="1"/>
  <c r="L284" i="9"/>
  <c r="M284" i="9" s="1"/>
  <c r="C2545" i="9"/>
  <c r="C2382" i="9"/>
  <c r="C3" i="9"/>
  <c r="C2312" i="9"/>
  <c r="C2552" i="9"/>
  <c r="C272" i="9"/>
  <c r="L2522" i="9"/>
  <c r="M2522" i="9" s="1"/>
  <c r="L245" i="9"/>
  <c r="M245" i="9" s="1"/>
  <c r="L295" i="9"/>
  <c r="M295" i="9" s="1"/>
  <c r="C274" i="9"/>
  <c r="C82" i="9"/>
  <c r="C4565" i="9"/>
  <c r="C263" i="9"/>
  <c r="C4544" i="9"/>
  <c r="L4553" i="9"/>
  <c r="M4553" i="9" s="1"/>
  <c r="C286" i="9"/>
  <c r="C236" i="9"/>
  <c r="C4553" i="9"/>
  <c r="L272" i="9"/>
  <c r="M272" i="9" s="1"/>
  <c r="L56" i="9"/>
  <c r="M56" i="9" s="1"/>
  <c r="C214" i="9"/>
  <c r="C226" i="9"/>
  <c r="C56" i="9"/>
  <c r="C2325" i="9"/>
  <c r="L2553" i="9"/>
  <c r="M2553" i="9" s="1"/>
  <c r="C2556" i="9"/>
  <c r="L234" i="9"/>
  <c r="M234" i="9" s="1"/>
  <c r="L2322" i="9"/>
  <c r="M2322" i="9" s="1"/>
  <c r="L2333" i="9"/>
  <c r="M2333" i="9" s="1"/>
  <c r="L66" i="9"/>
  <c r="M66" i="9" s="1"/>
  <c r="C45" i="9"/>
  <c r="C2372" i="9"/>
  <c r="C2335" i="9"/>
  <c r="C283" i="9"/>
  <c r="L4584" i="9"/>
  <c r="M4584" i="9" s="1"/>
  <c r="C266" i="9"/>
  <c r="L215" i="9"/>
  <c r="M215" i="9" s="1"/>
  <c r="L263" i="9"/>
  <c r="M263" i="9" s="1"/>
  <c r="C4" i="9"/>
  <c r="L4592" i="9"/>
  <c r="M4592" i="9" s="1"/>
  <c r="L4532" i="9"/>
  <c r="M4532" i="9" s="1"/>
  <c r="L4596" i="9"/>
  <c r="M4596" i="9" s="1"/>
  <c r="C2573" i="9"/>
  <c r="L2563" i="9"/>
  <c r="M2563" i="9" s="1"/>
  <c r="L285" i="9"/>
  <c r="M285" i="9" s="1"/>
  <c r="L262" i="9"/>
  <c r="M262" i="9" s="1"/>
  <c r="L2382" i="9"/>
  <c r="M2382" i="9" s="1"/>
  <c r="L6" i="9"/>
  <c r="M6" i="9" s="1"/>
  <c r="L2556" i="9"/>
  <c r="M2556" i="9" s="1"/>
  <c r="L2566" i="9"/>
  <c r="M2566" i="9" s="1"/>
  <c r="L2312" i="9"/>
  <c r="M2312" i="9" s="1"/>
  <c r="C265" i="9"/>
  <c r="C2563" i="9"/>
  <c r="C73" i="9"/>
  <c r="L74" i="9"/>
  <c r="M74" i="9" s="1"/>
  <c r="C2566" i="9"/>
  <c r="C2576" i="9"/>
  <c r="C4584" i="9"/>
  <c r="C4575" i="9"/>
  <c r="C75" i="9"/>
  <c r="L252" i="9"/>
  <c r="M252" i="9" s="1"/>
  <c r="L4585" i="9"/>
  <c r="M4585" i="9" s="1"/>
  <c r="L4533" i="9"/>
  <c r="M4533" i="9" s="1"/>
  <c r="C4593" i="9"/>
  <c r="L4582" i="9"/>
  <c r="M4582" i="9" s="1"/>
  <c r="L273" i="9"/>
  <c r="M273" i="9" s="1"/>
  <c r="L2544" i="9"/>
  <c r="M2544" i="9" s="1"/>
  <c r="L274" i="9"/>
  <c r="M274" i="9" s="1"/>
  <c r="L82" i="9"/>
  <c r="M82" i="9" s="1"/>
  <c r="C2546" i="9"/>
  <c r="L256" i="9"/>
  <c r="M256" i="9" s="1"/>
  <c r="L2352" i="9"/>
  <c r="M2352" i="9" s="1"/>
  <c r="C2343" i="9"/>
  <c r="C2345" i="9"/>
  <c r="C292" i="9"/>
  <c r="L4523" i="9"/>
  <c r="M4523" i="9" s="1"/>
  <c r="L4583" i="9"/>
  <c r="M4583" i="9" s="1"/>
  <c r="C4564" i="9"/>
  <c r="L5" i="9"/>
  <c r="M5" i="9" s="1"/>
  <c r="L4525" i="9"/>
  <c r="M4525" i="9" s="1"/>
  <c r="C2585" i="9"/>
  <c r="C255" i="9"/>
  <c r="L2365" i="9"/>
  <c r="M2365" i="9" s="1"/>
  <c r="L12" i="9"/>
  <c r="M12" i="9" s="1"/>
  <c r="C4562" i="9"/>
  <c r="C243" i="9"/>
  <c r="C2524" i="9"/>
  <c r="C5" i="9"/>
  <c r="L2583" i="9"/>
  <c r="M2583" i="9" s="1"/>
  <c r="C14" i="9"/>
  <c r="L2315" i="9"/>
  <c r="M2315" i="9" s="1"/>
  <c r="C4525" i="9"/>
  <c r="L275" i="9"/>
  <c r="M275" i="9" s="1"/>
  <c r="L83" i="9"/>
  <c r="M83" i="9" s="1"/>
  <c r="C2365" i="9"/>
  <c r="C4573" i="9"/>
  <c r="C276" i="9"/>
  <c r="C24" i="9"/>
  <c r="C72" i="9"/>
  <c r="C2375" i="9"/>
  <c r="C4523" i="9"/>
  <c r="C4583" i="9"/>
  <c r="L225" i="9"/>
  <c r="M225" i="9" s="1"/>
  <c r="L2324" i="9"/>
  <c r="M2324" i="9" s="1"/>
  <c r="L2354" i="9"/>
  <c r="M2354" i="9" s="1"/>
  <c r="L2383" i="9"/>
  <c r="M2383" i="9" s="1"/>
  <c r="L2575" i="9"/>
  <c r="M2575" i="9" s="1"/>
  <c r="C4574" i="9"/>
  <c r="L2574" i="9"/>
  <c r="M2574" i="9" s="1"/>
  <c r="L2512" i="9"/>
  <c r="M2512" i="9" s="1"/>
  <c r="L63" i="9"/>
  <c r="M63" i="9" s="1"/>
  <c r="C2542" i="9"/>
  <c r="L2562" i="9"/>
  <c r="M2562" i="9" s="1"/>
  <c r="C76" i="9"/>
  <c r="C232" i="9"/>
  <c r="L2572" i="9"/>
  <c r="M2572" i="9" s="1"/>
  <c r="L4595" i="9"/>
  <c r="M4595" i="9" s="1"/>
  <c r="C262" i="9"/>
  <c r="C32" i="9"/>
  <c r="C4592" i="9"/>
  <c r="L2" i="9"/>
  <c r="M2" i="9" s="1"/>
  <c r="L294" i="9"/>
  <c r="M294" i="9" s="1"/>
  <c r="L2565" i="9"/>
  <c r="M2565" i="9" s="1"/>
  <c r="L32" i="9"/>
  <c r="M32" i="9" s="1"/>
  <c r="L4555" i="9"/>
  <c r="M4555" i="9" s="1"/>
  <c r="C4582" i="9"/>
  <c r="C2336" i="9"/>
  <c r="C4554" i="9"/>
  <c r="C213" i="9"/>
  <c r="C2544" i="9"/>
  <c r="L282" i="9"/>
  <c r="M282" i="9" s="1"/>
  <c r="L2344" i="9"/>
  <c r="M2344" i="9" s="1"/>
  <c r="L2356" i="9"/>
  <c r="M2356" i="9" s="1"/>
  <c r="C4546" i="9"/>
  <c r="L2332" i="9"/>
  <c r="M2332" i="9" s="1"/>
  <c r="C4522" i="9"/>
  <c r="C4532" i="9"/>
  <c r="L25" i="9"/>
  <c r="M25" i="9" s="1"/>
  <c r="L253" i="9"/>
  <c r="M253" i="9" s="1"/>
  <c r="C2523" i="9"/>
  <c r="L226" i="9"/>
  <c r="M226" i="9" s="1"/>
  <c r="L2336" i="9"/>
  <c r="M2336" i="9" s="1"/>
  <c r="C2385" i="9"/>
  <c r="L4554" i="9"/>
  <c r="M4554" i="9" s="1"/>
  <c r="L4513" i="9"/>
  <c r="M4513" i="9" s="1"/>
  <c r="C65" i="9"/>
  <c r="C293" i="9"/>
  <c r="C13" i="9"/>
  <c r="L2353" i="9"/>
  <c r="M2353" i="9" s="1"/>
  <c r="C6" i="9"/>
  <c r="C294" i="9"/>
  <c r="L75" i="9"/>
  <c r="M75" i="9" s="1"/>
  <c r="C2574" i="9"/>
  <c r="L2316" i="9"/>
  <c r="M2316" i="9" s="1"/>
  <c r="L4536" i="9"/>
  <c r="M4536" i="9" s="1"/>
  <c r="L265" i="9"/>
  <c r="M265" i="9" s="1"/>
  <c r="L73" i="9"/>
  <c r="M73" i="9" s="1"/>
  <c r="C74" i="9"/>
  <c r="L2325" i="9"/>
  <c r="M2325" i="9" s="1"/>
  <c r="L2385" i="9"/>
  <c r="M2385" i="9" s="1"/>
  <c r="C4545" i="9"/>
  <c r="L2334" i="9"/>
  <c r="M2334" i="9" s="1"/>
  <c r="L292" i="9"/>
  <c r="M292" i="9" s="1"/>
  <c r="C2342" i="9"/>
  <c r="C2332" i="9"/>
  <c r="C245" i="9"/>
  <c r="C2376" i="9"/>
  <c r="C222" i="9"/>
  <c r="C234" i="9"/>
  <c r="C235" i="9"/>
  <c r="L2585" i="9"/>
  <c r="M2585" i="9" s="1"/>
  <c r="C2533" i="9"/>
  <c r="C2333" i="9"/>
  <c r="L216" i="9"/>
  <c r="M216" i="9" s="1"/>
  <c r="L2314" i="9"/>
  <c r="M2314" i="9" s="1"/>
  <c r="L2535" i="9"/>
  <c r="M2535" i="9" s="1"/>
  <c r="L14" i="9"/>
  <c r="M14" i="9" s="1"/>
  <c r="C2374" i="9"/>
  <c r="L24" i="9"/>
  <c r="M24" i="9" s="1"/>
  <c r="L72" i="9"/>
  <c r="M72" i="9" s="1"/>
  <c r="L2534" i="9"/>
  <c r="M2534" i="9" s="1"/>
  <c r="C2314" i="9"/>
  <c r="C36" i="9"/>
  <c r="C84" i="9"/>
  <c r="L264" i="9"/>
  <c r="M264" i="9" s="1"/>
  <c r="L52" i="9"/>
  <c r="M52" i="9" s="1"/>
  <c r="C2354" i="9"/>
  <c r="L2573" i="9"/>
  <c r="M2573" i="9" s="1"/>
  <c r="C253" i="9"/>
  <c r="C2564" i="9"/>
  <c r="C42" i="9"/>
  <c r="L242" i="9"/>
  <c r="M242" i="9" s="1"/>
  <c r="C2344" i="9"/>
  <c r="L2536" i="9"/>
  <c r="M2536" i="9" s="1"/>
  <c r="C2575" i="9"/>
  <c r="C2356" i="9"/>
  <c r="L4" i="9"/>
  <c r="M4" i="9" s="1"/>
  <c r="C2572" i="9"/>
  <c r="L212" i="9"/>
  <c r="M212" i="9" s="1"/>
  <c r="C44" i="9"/>
  <c r="C4533" i="9"/>
  <c r="L4514" i="9"/>
  <c r="M4514" i="9" s="1"/>
  <c r="C224" i="9"/>
  <c r="L2543" i="9"/>
  <c r="M2543" i="9" s="1"/>
  <c r="L2554" i="9"/>
  <c r="M2554" i="9" s="1"/>
  <c r="C215" i="9"/>
  <c r="C2324" i="9"/>
  <c r="C46" i="9"/>
  <c r="C2346" i="9"/>
  <c r="L2526" i="9"/>
  <c r="M2526" i="9" s="1"/>
  <c r="L4515" i="9"/>
  <c r="M4515" i="9" s="1"/>
  <c r="C2362" i="9"/>
  <c r="L2345" i="9"/>
  <c r="M2345" i="9" s="1"/>
  <c r="L4543" i="9"/>
  <c r="M4543" i="9" s="1"/>
  <c r="C225" i="9"/>
  <c r="C4594" i="9"/>
  <c r="C2383" i="9"/>
  <c r="C4566" i="9"/>
  <c r="L2582" i="9"/>
  <c r="M2582" i="9" s="1"/>
  <c r="L2362" i="9"/>
  <c r="M2362" i="9" s="1"/>
  <c r="C252" i="9"/>
  <c r="L2313" i="9"/>
  <c r="M2313" i="9" s="1"/>
  <c r="L213" i="9"/>
  <c r="M213" i="9" s="1"/>
  <c r="L4542" i="9"/>
  <c r="M4542" i="9" s="1"/>
  <c r="C53" i="9"/>
  <c r="L62" i="9"/>
  <c r="M62" i="9" s="1"/>
  <c r="C2315" i="9"/>
  <c r="L255" i="9"/>
  <c r="M255" i="9" s="1"/>
  <c r="C244" i="9"/>
  <c r="C2386" i="9"/>
  <c r="C4514" i="9"/>
  <c r="L4573" i="9"/>
  <c r="M4573" i="9" s="1"/>
  <c r="L36" i="9"/>
  <c r="M36" i="9" s="1"/>
  <c r="L84" i="9"/>
  <c r="M84" i="9" s="1"/>
  <c r="C4526" i="9"/>
  <c r="L2376" i="9"/>
  <c r="M2376" i="9" s="1"/>
  <c r="L2386" i="9"/>
  <c r="M2386" i="9" s="1"/>
  <c r="C2535" i="9"/>
  <c r="C62" i="9"/>
  <c r="C2363" i="9"/>
  <c r="L2555" i="9"/>
  <c r="M2555" i="9" s="1"/>
  <c r="L2546" i="9"/>
  <c r="M2546" i="9" s="1"/>
  <c r="L2342" i="9"/>
  <c r="M2342" i="9" s="1"/>
  <c r="L33" i="9"/>
  <c r="M33" i="9" s="1"/>
  <c r="L2372" i="9"/>
  <c r="M2372" i="9" s="1"/>
  <c r="L22" i="9"/>
  <c r="M22" i="9" s="1"/>
  <c r="L2335" i="9"/>
  <c r="M2335" i="9" s="1"/>
  <c r="L16" i="9"/>
  <c r="M16" i="9" s="1"/>
  <c r="L64" i="9"/>
  <c r="M64" i="9" s="1"/>
  <c r="L4524" i="9"/>
  <c r="M4524" i="9" s="1"/>
  <c r="C25" i="9"/>
  <c r="C2554" i="9"/>
  <c r="C66" i="9"/>
  <c r="L254" i="9"/>
  <c r="M254" i="9" s="1"/>
  <c r="L266" i="9"/>
  <c r="M266" i="9" s="1"/>
  <c r="C2355" i="9"/>
  <c r="C52" i="9"/>
  <c r="L2516" i="9"/>
  <c r="M2516" i="9" s="1"/>
  <c r="L2523" i="9"/>
  <c r="M2523" i="9" s="1"/>
  <c r="C2515" i="9"/>
  <c r="C4596" i="9"/>
  <c r="L293" i="9"/>
  <c r="M293" i="9" s="1"/>
  <c r="L296" i="9"/>
  <c r="M296" i="9" s="1"/>
  <c r="C212" i="9"/>
  <c r="C4555" i="9"/>
  <c r="C2" i="9"/>
  <c r="L2343" i="9"/>
  <c r="M2343" i="9" s="1"/>
  <c r="C275" i="9"/>
  <c r="C83" i="9"/>
  <c r="L4562" i="9"/>
  <c r="M4562" i="9" s="1"/>
  <c r="L4564" i="9"/>
  <c r="M4564" i="9" s="1"/>
  <c r="C2513" i="9"/>
  <c r="L4526" i="9"/>
  <c r="M4526" i="9" s="1"/>
  <c r="L2552" i="9"/>
  <c r="M2552" i="9" s="1"/>
  <c r="C2326" i="9"/>
  <c r="L54" i="9"/>
  <c r="M54" i="9" s="1"/>
  <c r="L246" i="9"/>
  <c r="M246" i="9" s="1"/>
  <c r="C2313" i="9"/>
  <c r="L4563" i="9"/>
  <c r="M4563" i="9" s="1"/>
  <c r="L4575" i="9"/>
  <c r="M4575" i="9" s="1"/>
  <c r="C2323" i="9"/>
  <c r="C285" i="9"/>
  <c r="C2384" i="9"/>
  <c r="L2514" i="9"/>
  <c r="M2514" i="9" s="1"/>
  <c r="C2532" i="9"/>
  <c r="L222" i="9"/>
  <c r="M222" i="9" s="1"/>
  <c r="C273" i="9"/>
  <c r="C4542" i="9"/>
  <c r="L42" i="9"/>
  <c r="M42" i="9" s="1"/>
  <c r="C23" i="9"/>
  <c r="C33" i="9"/>
  <c r="Q3" i="9" l="1"/>
  <c r="Q2" i="9"/>
  <c r="Q4" i="9" l="1"/>
  <c r="B27" i="8" s="1"/>
  <c r="B31" i="8" s="1"/>
  <c r="B25" i="8"/>
  <c r="Q6" i="9"/>
  <c r="B29" i="8" s="1"/>
  <c r="B32" i="8" s="1"/>
  <c r="B26" i="8"/>
</calcChain>
</file>

<file path=xl/sharedStrings.xml><?xml version="1.0" encoding="utf-8"?>
<sst xmlns="http://schemas.openxmlformats.org/spreadsheetml/2006/main" count="238" uniqueCount="119">
  <si>
    <t>PARAMETRISK MATERIALVALG</t>
  </si>
  <si>
    <t>Bjelker</t>
  </si>
  <si>
    <t>Stål</t>
  </si>
  <si>
    <t>Søyler</t>
  </si>
  <si>
    <t>Antall etasjer</t>
  </si>
  <si>
    <t>Velg 1–10 etasjer</t>
  </si>
  <si>
    <t>Etasjehøyde 1 [mm]</t>
  </si>
  <si>
    <t>Standard etasjehøyde [mm]</t>
  </si>
  <si>
    <t>Antall fag lengde</t>
  </si>
  <si>
    <t>Velg 1–20 fag</t>
  </si>
  <si>
    <t>Antall fag bredde</t>
  </si>
  <si>
    <t>Velg 1–10 fag</t>
  </si>
  <si>
    <t>Faglengde [mm]</t>
  </si>
  <si>
    <t>1 fag = 4304 mm</t>
  </si>
  <si>
    <t>Fagbredde [mm]</t>
  </si>
  <si>
    <t>1 fag = 18004 mm</t>
  </si>
  <si>
    <t>Bjelker stål</t>
  </si>
  <si>
    <t>Bjelker limtre</t>
  </si>
  <si>
    <t>Søyler stål</t>
  </si>
  <si>
    <t>Søyler limtre</t>
  </si>
  <si>
    <t>Bruk</t>
  </si>
  <si>
    <t>Velg Stål eller Limtre i B3 og B4. Lagre filen i Excel før import til Focus.</t>
  </si>
  <si>
    <t>PROFILVALG</t>
  </si>
  <si>
    <t>Bjelkeprofil stål</t>
  </si>
  <si>
    <t>VFHUP 140x140x8.0</t>
  </si>
  <si>
    <t>Brukes når Bjelker = Stål</t>
  </si>
  <si>
    <t>Areal bjelke stål [mm2]</t>
  </si>
  <si>
    <t>Bjelkeprofil limtre</t>
  </si>
  <si>
    <t>Limtre 115x585</t>
  </si>
  <si>
    <t>Brukes når Bjelker = Limtre</t>
  </si>
  <si>
    <t>Areal bjelke limtre [mm2]</t>
  </si>
  <si>
    <t>Søyleprofil stål</t>
  </si>
  <si>
    <t>KFHUP 180x180x12.5</t>
  </si>
  <si>
    <t>Brukes når Søyler = Stål</t>
  </si>
  <si>
    <t>Areal søyle stål [mm2]</t>
  </si>
  <si>
    <t>Søyleprofil limtre</t>
  </si>
  <si>
    <t>Limtre 90x315</t>
  </si>
  <si>
    <t>Brukes når Søyler = Limtre</t>
  </si>
  <si>
    <t>Areal søyle limtre [mm2]</t>
  </si>
  <si>
    <t>MENGDER</t>
  </si>
  <si>
    <t>Total bjelkelengde [m]</t>
  </si>
  <si>
    <t>Total søylelengde [m]</t>
  </si>
  <si>
    <t>Bjelker stål [kg]</t>
  </si>
  <si>
    <t>Bjelker limtre [m3]</t>
  </si>
  <si>
    <t>Søyler stål [kg]</t>
  </si>
  <si>
    <t>Søyler limtre [m3]</t>
  </si>
  <si>
    <t>Aktiv bjelkemengde</t>
  </si>
  <si>
    <t>Aktiv søylemengde</t>
  </si>
  <si>
    <t>Navn</t>
  </si>
  <si>
    <t>X [mm]</t>
  </si>
  <si>
    <t>Y [mm]</t>
  </si>
  <si>
    <t>Z [mm]</t>
  </si>
  <si>
    <t>Knutepunkter</t>
  </si>
  <si>
    <t>Material / Tverrsnitt</t>
  </si>
  <si>
    <t>Knutepunkt</t>
  </si>
  <si>
    <t>Dx</t>
  </si>
  <si>
    <t>Dy</t>
  </si>
  <si>
    <t>Dz</t>
  </si>
  <si>
    <t>Rx</t>
  </si>
  <si>
    <t>Ry</t>
  </si>
  <si>
    <t>Rz</t>
  </si>
  <si>
    <t>SANN</t>
  </si>
  <si>
    <t>Lasttype</t>
  </si>
  <si>
    <t>Lastvarighet</t>
  </si>
  <si>
    <t>Langtidsandel</t>
  </si>
  <si>
    <t>Psi 0</t>
  </si>
  <si>
    <t>Psi 1</t>
  </si>
  <si>
    <t>Psi 2</t>
  </si>
  <si>
    <t>Egenlast</t>
  </si>
  <si>
    <t>Permanent last</t>
  </si>
  <si>
    <t>Permanent</t>
  </si>
  <si>
    <t>Lasttilfelle</t>
  </si>
  <si>
    <t>X1 [mm]</t>
  </si>
  <si>
    <t>Y1 [mm]</t>
  </si>
  <si>
    <t>Z1 [mm]</t>
  </si>
  <si>
    <t>X2 [mm]</t>
  </si>
  <si>
    <t>Y2 [mm]</t>
  </si>
  <si>
    <t>Z2 [mm]</t>
  </si>
  <si>
    <t>Retn. X</t>
  </si>
  <si>
    <t>Retn. Y</t>
  </si>
  <si>
    <t>Retn. Z</t>
  </si>
  <si>
    <t>Kraft ende 1 [kN]</t>
  </si>
  <si>
    <t>Kraft ende 2 [kN]</t>
  </si>
  <si>
    <t>Moment ende 1 [kN·m]</t>
  </si>
  <si>
    <t>Moment ende 2 [kN·m]</t>
  </si>
  <si>
    <t>Info</t>
  </si>
  <si>
    <t>Modell: Parametrisk ramme med materialvalg og etasjevalg 1–10. Bredde og fagdeling er låst.</t>
  </si>
  <si>
    <t>Beholdt: rektangulær hovedramme og tverrbjelker</t>
  </si>
  <si>
    <t>Kortsider: beholdt fra forrige korrigerte modell</t>
  </si>
  <si>
    <t>Kontroll: åpnes i Focus for visuell verifikasjon av toppnivå og høydeplassering</t>
  </si>
  <si>
    <t>Tillegg: profilvalg og mengdeuttak på FORSIDE.</t>
  </si>
  <si>
    <t>Punkt</t>
  </si>
  <si>
    <t>Resultat</t>
  </si>
  <si>
    <t>Tiltak</t>
  </si>
  <si>
    <t>Fjernet dobbelt toppnivå og senket modellen i Z</t>
  </si>
  <si>
    <t>Fjernet</t>
  </si>
  <si>
    <t>Alle knutepunkter og segmenter i øverste duplikatlag</t>
  </si>
  <si>
    <t>Rettet</t>
  </si>
  <si>
    <t>Basenivå flyttet ned til Z = 0</t>
  </si>
  <si>
    <t>Beholdt</t>
  </si>
  <si>
    <t>Rektangulær hovedramme med tverrbjelker</t>
  </si>
  <si>
    <t>Segmenter</t>
  </si>
  <si>
    <t>Søylesegmenter</t>
  </si>
  <si>
    <t>Neste kontroll</t>
  </si>
  <si>
    <t>Sjekk i Focus at toppbjelkene nå kun vises i ett lag og at modellen står lavere i Z</t>
  </si>
  <si>
    <t>Segment</t>
  </si>
  <si>
    <t>Type</t>
  </si>
  <si>
    <t>P1</t>
  </si>
  <si>
    <t>P2</t>
  </si>
  <si>
    <t>X1</t>
  </si>
  <si>
    <t>Y1</t>
  </si>
  <si>
    <t>Z1</t>
  </si>
  <si>
    <t>X2</t>
  </si>
  <si>
    <t>Y2</t>
  </si>
  <si>
    <t>Z2</t>
  </si>
  <si>
    <t>Lengde [mm]</t>
  </si>
  <si>
    <t>Lengde [m]</t>
  </si>
  <si>
    <t>Oppsummering</t>
  </si>
  <si>
    <t>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</si>
</sst>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Calibri"/>
    </font>
    <font>
      <b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3" borderId="2" xfId="0" applyFont="1" applyFill="1" applyBorder="1"/>
    <xf numFmtId="0" fontId="3" fillId="4" borderId="2" xfId="0" applyFont="1" applyFill="1" applyBorder="1"/>
    <xf numFmtId="0" fontId="1" fillId="5" borderId="2" xfId="0" applyFont="1" applyFill="1" applyBorder="1"/>
    <xf numFmtId="0" fontId="0" fillId="0" borderId="2" xfId="0" applyBorder="1"/>
    <xf numFmtId="0" fontId="1" fillId="0" borderId="2" xfId="0" applyFont="1" applyBorder="1"/>
    <xf numFmtId="0" fontId="0" fillId="5" borderId="2" xfId="0" applyFill="1" applyBorder="1"/>
    <xf numFmtId="0" fontId="0" fillId="0" borderId="3" xfId="0" applyBorder="1"/>
    <xf numFmtId="0" fontId="0" fillId="0" borderId="4" xfId="0" applyBorder="1"/>
    <xf numFmtId="0" fontId="1" fillId="6" borderId="2" xfId="0" applyFont="1" applyFill="1" applyBorder="1"/>
    <xf numFmtId="0" fontId="0" fillId="6" borderId="0" xfId="0" applyFill="1"/>
    <xf numFmtId="0" fontId="0" fillId="7" borderId="0" xfId="0" applyFill="1"/>
    <xf numFmtId="0" fontId="2" fillId="2" borderId="0" xfId="0" applyFont="1" applyFill="1"/>
    <xf numFmtId="0" fontId="0" fillId="0" borderId="0" xfId="0"/>
    <xf numFmtId="0" fontId="0" fillId="5" borderId="2" xfId="0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3">
      <c r="A2">
        <f>IF(AND(FORSIDE!$B$8&gt;=0,FORSIDE!$F$8&gt;=0,FORSIDE!$B$5&gt;=0),1,"")</f>
        <v>1</v>
      </c>
      <c r="B2">
        <f>IF(AND(FORSIDE!$B$8&gt;=0,FORSIDE!$F$8&gt;=0,FORSIDE!$B$5&gt;=0),354+0*FORSIDE!$F$9,"")</f>
        <v>354</v>
      </c>
      <c r="C2">
        <f>IF(AND(FORSIDE!$B$8&gt;=0,FORSIDE!$F$8&gt;=0,FORSIDE!$B$5&gt;=0),0*FORSIDE!$B$9,"")</f>
        <v>0</v>
      </c>
      <c r="D2">
        <f>IF(AND(FORSIDE!$B$8&gt;=0,FORSIDE!$F$8&gt;=0,FORSIDE!$B$5&gt;=0),0,"")</f>
        <v>0</v>
      </c>
    </row>
    <row r="3" spans="1:4" x14ac:dyDescent="0.3">
      <c r="A3">
        <f>IF(AND(FORSIDE!$B$8&gt;=0,FORSIDE!$F$8&gt;=0,FORSIDE!$B$5&gt;=1),2,"")</f>
        <v>2</v>
      </c>
      <c r="B3">
        <f>IF(AND(FORSIDE!$B$8&gt;=0,FORSIDE!$F$8&gt;=0,FORSIDE!$B$5&gt;=1),354+0*FORSIDE!$F$9,"")</f>
        <v>354</v>
      </c>
      <c r="C3">
        <f>IF(AND(FORSIDE!$B$8&gt;=0,FORSIDE!$F$8&gt;=0,FORSIDE!$B$5&gt;=1),0*FORSIDE!$B$9,"")</f>
        <v>0</v>
      </c>
      <c r="D3">
        <f>IF(AND(FORSIDE!$B$8&gt;=0,FORSIDE!$F$8&gt;=0,FORSIDE!$B$5&gt;=1),FORSIDE!$B$6+(1-1)*FORSIDE!$B$7,"")</f>
        <v>3000</v>
      </c>
    </row>
    <row r="4" spans="1:4" x14ac:dyDescent="0.3">
      <c r="A4">
        <f>IF(AND(FORSIDE!$B$8&gt;=0,FORSIDE!$F$8&gt;=0,FORSIDE!$B$5&gt;=2),3,"")</f>
        <v>3</v>
      </c>
      <c r="B4">
        <f>IF(AND(FORSIDE!$B$8&gt;=0,FORSIDE!$F$8&gt;=0,FORSIDE!$B$5&gt;=2),354+0*FORSIDE!$F$9,"")</f>
        <v>354</v>
      </c>
      <c r="C4">
        <f>IF(AND(FORSIDE!$B$8&gt;=0,FORSIDE!$F$8&gt;=0,FORSIDE!$B$5&gt;=2),0*FORSIDE!$B$9,"")</f>
        <v>0</v>
      </c>
      <c r="D4">
        <f>IF(AND(FORSIDE!$B$8&gt;=0,FORSIDE!$F$8&gt;=0,FORSIDE!$B$5&gt;=2),FORSIDE!$B$6+(2-1)*FORSIDE!$B$7,"")</f>
        <v>6000</v>
      </c>
    </row>
    <row r="5" spans="1:4" x14ac:dyDescent="0.3">
      <c r="A5">
        <f>IF(AND(FORSIDE!$B$8&gt;=0,FORSIDE!$F$8&gt;=0,FORSIDE!$B$5&gt;=3),4,"")</f>
        <v>4</v>
      </c>
      <c r="B5">
        <f>IF(AND(FORSIDE!$B$8&gt;=0,FORSIDE!$F$8&gt;=0,FORSIDE!$B$5&gt;=3),354+0*FORSIDE!$F$9,"")</f>
        <v>354</v>
      </c>
      <c r="C5">
        <f>IF(AND(FORSIDE!$B$8&gt;=0,FORSIDE!$F$8&gt;=0,FORSIDE!$B$5&gt;=3),0*FORSIDE!$B$9,"")</f>
        <v>0</v>
      </c>
      <c r="D5">
        <f>IF(AND(FORSIDE!$B$8&gt;=0,FORSIDE!$F$8&gt;=0,FORSIDE!$B$5&gt;=3),FORSIDE!$B$6+(3-1)*FORSIDE!$B$7,"")</f>
        <v>9000</v>
      </c>
    </row>
    <row r="6" spans="1:4" x14ac:dyDescent="0.3">
      <c r="A6">
        <f>IF(AND(FORSIDE!$B$8&gt;=0,FORSIDE!$F$8&gt;=0,FORSIDE!$B$5&gt;=4),5,"")</f>
        <v>5</v>
      </c>
      <c r="B6">
        <f>IF(AND(FORSIDE!$B$8&gt;=0,FORSIDE!$F$8&gt;=0,FORSIDE!$B$5&gt;=4),354+0*FORSIDE!$F$9,"")</f>
        <v>354</v>
      </c>
      <c r="C6">
        <f>IF(AND(FORSIDE!$B$8&gt;=0,FORSIDE!$F$8&gt;=0,FORSIDE!$B$5&gt;=4),0*FORSIDE!$B$9,"")</f>
        <v>0</v>
      </c>
      <c r="D6">
        <f>IF(AND(FORSIDE!$B$8&gt;=0,FORSIDE!$F$8&gt;=0,FORSIDE!$B$5&gt;=4),FORSIDE!$B$6+(4-1)*FORSIDE!$B$7,"")</f>
        <v>12000</v>
      </c>
    </row>
    <row r="7" spans="1:4" x14ac:dyDescent="0.3">
      <c r="A7">
        <f>IF(AND(FORSIDE!$B$8&gt;=0,FORSIDE!$F$8&gt;=0,FORSIDE!$B$5&gt;=5),6,"")</f>
        <v>6</v>
      </c>
      <c r="B7">
        <f>IF(AND(FORSIDE!$B$8&gt;=0,FORSIDE!$F$8&gt;=0,FORSIDE!$B$5&gt;=5),354+0*FORSIDE!$F$9,"")</f>
        <v>354</v>
      </c>
      <c r="C7">
        <f>IF(AND(FORSIDE!$B$8&gt;=0,FORSIDE!$F$8&gt;=0,FORSIDE!$B$5&gt;=5),0*FORSIDE!$B$9,"")</f>
        <v>0</v>
      </c>
      <c r="D7">
        <f>IF(AND(FORSIDE!$B$8&gt;=0,FORSIDE!$F$8&gt;=0,FORSIDE!$B$5&gt;=5),FORSIDE!$B$6+(5-1)*FORSIDE!$B$7,"")</f>
        <v>15000</v>
      </c>
    </row>
    <row r="8" spans="1:4" x14ac:dyDescent="0.3">
      <c r="A8">
        <f>IF(AND(FORSIDE!$B$8&gt;=0,FORSIDE!$F$8&gt;=0,FORSIDE!$B$5&gt;=6),7,"")</f>
        <v>7</v>
      </c>
      <c r="B8">
        <f>IF(AND(FORSIDE!$B$8&gt;=0,FORSIDE!$F$8&gt;=0,FORSIDE!$B$5&gt;=6),354+0*FORSIDE!$F$9,"")</f>
        <v>354</v>
      </c>
      <c r="C8">
        <f>IF(AND(FORSIDE!$B$8&gt;=0,FORSIDE!$F$8&gt;=0,FORSIDE!$B$5&gt;=6),0*FORSIDE!$B$9,"")</f>
        <v>0</v>
      </c>
      <c r="D8">
        <f>IF(AND(FORSIDE!$B$8&gt;=0,FORSIDE!$F$8&gt;=0,FORSIDE!$B$5&gt;=6),FORSIDE!$B$6+(6-1)*FORSIDE!$B$7,"")</f>
        <v>18000</v>
      </c>
    </row>
    <row r="9" spans="1:4" x14ac:dyDescent="0.3">
      <c r="A9" t="str">
        <f>IF(AND(FORSIDE!$B$8&gt;=0,FORSIDE!$F$8&gt;=0,FORSIDE!$B$5&gt;=7),8,"")</f>
        <v/>
      </c>
      <c r="B9" t="str">
        <f>IF(AND(FORSIDE!$B$8&gt;=0,FORSIDE!$F$8&gt;=0,FORSIDE!$B$5&gt;=7),354+0*FORSIDE!$F$9,"")</f>
        <v/>
      </c>
      <c r="C9" t="str">
        <f>IF(AND(FORSIDE!$B$8&gt;=0,FORSIDE!$F$8&gt;=0,FORSIDE!$B$5&gt;=7),0*FORSIDE!$B$9,"")</f>
        <v/>
      </c>
      <c r="D9" t="str">
        <f>IF(AND(FORSIDE!$B$8&gt;=0,FORSIDE!$F$8&gt;=0,FORSIDE!$B$5&gt;=7),FORSIDE!$B$6+(7-1)*FORSIDE!$B$7,"")</f>
        <v/>
      </c>
    </row>
    <row r="10" spans="1:4" x14ac:dyDescent="0.3">
      <c r="A10" t="str">
        <f>IF(AND(FORSIDE!$B$8&gt;=0,FORSIDE!$F$8&gt;=0,FORSIDE!$B$5&gt;=8),9,"")</f>
        <v/>
      </c>
      <c r="B10" t="str">
        <f>IF(AND(FORSIDE!$B$8&gt;=0,FORSIDE!$F$8&gt;=0,FORSIDE!$B$5&gt;=8),354+0*FORSIDE!$F$9,"")</f>
        <v/>
      </c>
      <c r="C10" t="str">
        <f>IF(AND(FORSIDE!$B$8&gt;=0,FORSIDE!$F$8&gt;=0,FORSIDE!$B$5&gt;=8),0*FORSIDE!$B$9,"")</f>
        <v/>
      </c>
      <c r="D10" t="str">
        <f>IF(AND(FORSIDE!$B$8&gt;=0,FORSIDE!$F$8&gt;=0,FORSIDE!$B$5&gt;=8),FORSIDE!$B$6+(8-1)*FORSIDE!$B$7,"")</f>
        <v/>
      </c>
    </row>
    <row r="11" spans="1:4" x14ac:dyDescent="0.3">
      <c r="A11" t="str">
        <f>IF(AND(FORSIDE!$B$8&gt;=0,FORSIDE!$F$8&gt;=0,FORSIDE!$B$5&gt;=9),10,"")</f>
        <v/>
      </c>
      <c r="B11" t="str">
        <f>IF(AND(FORSIDE!$B$8&gt;=0,FORSIDE!$F$8&gt;=0,FORSIDE!$B$5&gt;=9),354+0*FORSIDE!$F$9,"")</f>
        <v/>
      </c>
      <c r="C11" t="str">
        <f>IF(AND(FORSIDE!$B$8&gt;=0,FORSIDE!$F$8&gt;=0,FORSIDE!$B$5&gt;=9),0*FORSIDE!$B$9,"")</f>
        <v/>
      </c>
      <c r="D11" t="str">
        <f>IF(AND(FORSIDE!$B$8&gt;=0,FORSIDE!$F$8&gt;=0,FORSIDE!$B$5&gt;=9),FORSIDE!$B$6+(9-1)*FORSIDE!$B$7,"")</f>
        <v/>
      </c>
    </row>
    <row r="12" spans="1:4" x14ac:dyDescent="0.3">
      <c r="A12" t="str">
        <f>IF(AND(FORSIDE!$B$8&gt;=0,FORSIDE!$F$8&gt;=0,FORSIDE!$B$5&gt;=10),11,"")</f>
        <v/>
      </c>
      <c r="B12" t="str">
        <f>IF(AND(FORSIDE!$B$8&gt;=0,FORSIDE!$F$8&gt;=0,FORSIDE!$B$5&gt;=10),354+0*FORSIDE!$F$9,"")</f>
        <v/>
      </c>
      <c r="C12" t="str">
        <f>IF(AND(FORSIDE!$B$8&gt;=0,FORSIDE!$F$8&gt;=0,FORSIDE!$B$5&gt;=10),0*FORSIDE!$B$9,"")</f>
        <v/>
      </c>
      <c r="D12" t="str">
        <f>IF(AND(FORSIDE!$B$8&gt;=0,FORSIDE!$F$8&gt;=0,FORSIDE!$B$5&gt;=10),FORSIDE!$B$6+(10-1)*FORSIDE!$B$7,"")</f>
        <v/>
      </c>
    </row>
    <row r="13" spans="1:4" x14ac:dyDescent="0.3">
      <c r="A13">
        <f>IF(AND(FORSIDE!$B$8&gt;=1,FORSIDE!$F$8&gt;=0,FORSIDE!$B$5&gt;=0),12,"")</f>
        <v>12</v>
      </c>
      <c r="B13">
        <f>IF(AND(FORSIDE!$B$8&gt;=1,FORSIDE!$F$8&gt;=0,FORSIDE!$B$5&gt;=0),354+0*FORSIDE!$F$9,"")</f>
        <v>354</v>
      </c>
      <c r="C13">
        <f>IF(AND(FORSIDE!$B$8&gt;=1,FORSIDE!$F$8&gt;=0,FORSIDE!$B$5&gt;=0),1*FORSIDE!$B$9,"")</f>
        <v>8000</v>
      </c>
      <c r="D13">
        <f>IF(AND(FORSIDE!$B$8&gt;=1,FORSIDE!$F$8&gt;=0,FORSIDE!$B$5&gt;=0),0,"")</f>
        <v>0</v>
      </c>
    </row>
    <row r="14" spans="1:4" x14ac:dyDescent="0.3">
      <c r="A14">
        <f>IF(AND(FORSIDE!$B$8&gt;=1,FORSIDE!$F$8&gt;=0,FORSIDE!$B$5&gt;=1),13,"")</f>
        <v>13</v>
      </c>
      <c r="B14">
        <f>IF(AND(FORSIDE!$B$8&gt;=1,FORSIDE!$F$8&gt;=0,FORSIDE!$B$5&gt;=1),354+0*FORSIDE!$F$9,"")</f>
        <v>354</v>
      </c>
      <c r="C14">
        <f>IF(AND(FORSIDE!$B$8&gt;=1,FORSIDE!$F$8&gt;=0,FORSIDE!$B$5&gt;=1),1*FORSIDE!$B$9,"")</f>
        <v>8000</v>
      </c>
      <c r="D14">
        <f>IF(AND(FORSIDE!$B$8&gt;=1,FORSIDE!$F$8&gt;=0,FORSIDE!$B$5&gt;=1),FORSIDE!$B$6+(1-1)*FORSIDE!$B$7,"")</f>
        <v>3000</v>
      </c>
    </row>
    <row r="15" spans="1:4" x14ac:dyDescent="0.3">
      <c r="A15">
        <f>IF(AND(FORSIDE!$B$8&gt;=1,FORSIDE!$F$8&gt;=0,FORSIDE!$B$5&gt;=2),14,"")</f>
        <v>14</v>
      </c>
      <c r="B15">
        <f>IF(AND(FORSIDE!$B$8&gt;=1,FORSIDE!$F$8&gt;=0,FORSIDE!$B$5&gt;=2),354+0*FORSIDE!$F$9,"")</f>
        <v>354</v>
      </c>
      <c r="C15">
        <f>IF(AND(FORSIDE!$B$8&gt;=1,FORSIDE!$F$8&gt;=0,FORSIDE!$B$5&gt;=2),1*FORSIDE!$B$9,"")</f>
        <v>8000</v>
      </c>
      <c r="D15">
        <f>IF(AND(FORSIDE!$B$8&gt;=1,FORSIDE!$F$8&gt;=0,FORSIDE!$B$5&gt;=2),FORSIDE!$B$6+(2-1)*FORSIDE!$B$7,"")</f>
        <v>6000</v>
      </c>
    </row>
    <row r="16" spans="1:4" x14ac:dyDescent="0.3">
      <c r="A16">
        <f>IF(AND(FORSIDE!$B$8&gt;=1,FORSIDE!$F$8&gt;=0,FORSIDE!$B$5&gt;=3),15,"")</f>
        <v>15</v>
      </c>
      <c r="B16">
        <f>IF(AND(FORSIDE!$B$8&gt;=1,FORSIDE!$F$8&gt;=0,FORSIDE!$B$5&gt;=3),354+0*FORSIDE!$F$9,"")</f>
        <v>354</v>
      </c>
      <c r="C16">
        <f>IF(AND(FORSIDE!$B$8&gt;=1,FORSIDE!$F$8&gt;=0,FORSIDE!$B$5&gt;=3),1*FORSIDE!$B$9,"")</f>
        <v>8000</v>
      </c>
      <c r="D16">
        <f>IF(AND(FORSIDE!$B$8&gt;=1,FORSIDE!$F$8&gt;=0,FORSIDE!$B$5&gt;=3),FORSIDE!$B$6+(3-1)*FORSIDE!$B$7,"")</f>
        <v>9000</v>
      </c>
    </row>
    <row r="17" spans="1:4" x14ac:dyDescent="0.3">
      <c r="A17">
        <f>IF(AND(FORSIDE!$B$8&gt;=1,FORSIDE!$F$8&gt;=0,FORSIDE!$B$5&gt;=4),16,"")</f>
        <v>16</v>
      </c>
      <c r="B17">
        <f>IF(AND(FORSIDE!$B$8&gt;=1,FORSIDE!$F$8&gt;=0,FORSIDE!$B$5&gt;=4),354+0*FORSIDE!$F$9,"")</f>
        <v>354</v>
      </c>
      <c r="C17">
        <f>IF(AND(FORSIDE!$B$8&gt;=1,FORSIDE!$F$8&gt;=0,FORSIDE!$B$5&gt;=4),1*FORSIDE!$B$9,"")</f>
        <v>8000</v>
      </c>
      <c r="D17">
        <f>IF(AND(FORSIDE!$B$8&gt;=1,FORSIDE!$F$8&gt;=0,FORSIDE!$B$5&gt;=4),FORSIDE!$B$6+(4-1)*FORSIDE!$B$7,"")</f>
        <v>12000</v>
      </c>
    </row>
    <row r="18" spans="1:4" x14ac:dyDescent="0.3">
      <c r="A18">
        <f>IF(AND(FORSIDE!$B$8&gt;=1,FORSIDE!$F$8&gt;=0,FORSIDE!$B$5&gt;=5),17,"")</f>
        <v>17</v>
      </c>
      <c r="B18">
        <f>IF(AND(FORSIDE!$B$8&gt;=1,FORSIDE!$F$8&gt;=0,FORSIDE!$B$5&gt;=5),354+0*FORSIDE!$F$9,"")</f>
        <v>354</v>
      </c>
      <c r="C18">
        <f>IF(AND(FORSIDE!$B$8&gt;=1,FORSIDE!$F$8&gt;=0,FORSIDE!$B$5&gt;=5),1*FORSIDE!$B$9,"")</f>
        <v>8000</v>
      </c>
      <c r="D18">
        <f>IF(AND(FORSIDE!$B$8&gt;=1,FORSIDE!$F$8&gt;=0,FORSIDE!$B$5&gt;=5),FORSIDE!$B$6+(5-1)*FORSIDE!$B$7,"")</f>
        <v>15000</v>
      </c>
    </row>
    <row r="19" spans="1:4" x14ac:dyDescent="0.3">
      <c r="A19">
        <f>IF(AND(FORSIDE!$B$8&gt;=1,FORSIDE!$F$8&gt;=0,FORSIDE!$B$5&gt;=6),18,"")</f>
        <v>18</v>
      </c>
      <c r="B19">
        <f>IF(AND(FORSIDE!$B$8&gt;=1,FORSIDE!$F$8&gt;=0,FORSIDE!$B$5&gt;=6),354+0*FORSIDE!$F$9,"")</f>
        <v>354</v>
      </c>
      <c r="C19">
        <f>IF(AND(FORSIDE!$B$8&gt;=1,FORSIDE!$F$8&gt;=0,FORSIDE!$B$5&gt;=6),1*FORSIDE!$B$9,"")</f>
        <v>8000</v>
      </c>
      <c r="D19">
        <f>IF(AND(FORSIDE!$B$8&gt;=1,FORSIDE!$F$8&gt;=0,FORSIDE!$B$5&gt;=6),FORSIDE!$B$6+(6-1)*FORSIDE!$B$7,"")</f>
        <v>18000</v>
      </c>
    </row>
    <row r="20" spans="1:4" x14ac:dyDescent="0.3">
      <c r="A20" t="str">
        <f>IF(AND(FORSIDE!$B$8&gt;=1,FORSIDE!$F$8&gt;=0,FORSIDE!$B$5&gt;=7),19,"")</f>
        <v/>
      </c>
      <c r="B20" t="str">
        <f>IF(AND(FORSIDE!$B$8&gt;=1,FORSIDE!$F$8&gt;=0,FORSIDE!$B$5&gt;=7),354+0*FORSIDE!$F$9,"")</f>
        <v/>
      </c>
      <c r="C20" t="str">
        <f>IF(AND(FORSIDE!$B$8&gt;=1,FORSIDE!$F$8&gt;=0,FORSIDE!$B$5&gt;=7),1*FORSIDE!$B$9,"")</f>
        <v/>
      </c>
      <c r="D20" t="str">
        <f>IF(AND(FORSIDE!$B$8&gt;=1,FORSIDE!$F$8&gt;=0,FORSIDE!$B$5&gt;=7),FORSIDE!$B$6+(7-1)*FORSIDE!$B$7,"")</f>
        <v/>
      </c>
    </row>
    <row r="21" spans="1:4" x14ac:dyDescent="0.3">
      <c r="A21" t="str">
        <f>IF(AND(FORSIDE!$B$8&gt;=1,FORSIDE!$F$8&gt;=0,FORSIDE!$B$5&gt;=8),20,"")</f>
        <v/>
      </c>
      <c r="B21" t="str">
        <f>IF(AND(FORSIDE!$B$8&gt;=1,FORSIDE!$F$8&gt;=0,FORSIDE!$B$5&gt;=8),354+0*FORSIDE!$F$9,"")</f>
        <v/>
      </c>
      <c r="C21" t="str">
        <f>IF(AND(FORSIDE!$B$8&gt;=1,FORSIDE!$F$8&gt;=0,FORSIDE!$B$5&gt;=8),1*FORSIDE!$B$9,"")</f>
        <v/>
      </c>
      <c r="D21" t="str">
        <f>IF(AND(FORSIDE!$B$8&gt;=1,FORSIDE!$F$8&gt;=0,FORSIDE!$B$5&gt;=8),FORSIDE!$B$6+(8-1)*FORSIDE!$B$7,"")</f>
        <v/>
      </c>
    </row>
    <row r="22" spans="1:4" x14ac:dyDescent="0.3">
      <c r="A22" t="str">
        <f>IF(AND(FORSIDE!$B$8&gt;=1,FORSIDE!$F$8&gt;=0,FORSIDE!$B$5&gt;=9),21,"")</f>
        <v/>
      </c>
      <c r="B22" t="str">
        <f>IF(AND(FORSIDE!$B$8&gt;=1,FORSIDE!$F$8&gt;=0,FORSIDE!$B$5&gt;=9),354+0*FORSIDE!$F$9,"")</f>
        <v/>
      </c>
      <c r="C22" t="str">
        <f>IF(AND(FORSIDE!$B$8&gt;=1,FORSIDE!$F$8&gt;=0,FORSIDE!$B$5&gt;=9),1*FORSIDE!$B$9,"")</f>
        <v/>
      </c>
      <c r="D22" t="str">
        <f>IF(AND(FORSIDE!$B$8&gt;=1,FORSIDE!$F$8&gt;=0,FORSIDE!$B$5&gt;=9),FORSIDE!$B$6+(9-1)*FORSIDE!$B$7,"")</f>
        <v/>
      </c>
    </row>
    <row r="23" spans="1:4" x14ac:dyDescent="0.3">
      <c r="A23" t="str">
        <f>IF(AND(FORSIDE!$B$8&gt;=1,FORSIDE!$F$8&gt;=0,FORSIDE!$B$5&gt;=10),22,"")</f>
        <v/>
      </c>
      <c r="B23" t="str">
        <f>IF(AND(FORSIDE!$B$8&gt;=1,FORSIDE!$F$8&gt;=0,FORSIDE!$B$5&gt;=10),354+0*FORSIDE!$F$9,"")</f>
        <v/>
      </c>
      <c r="C23" t="str">
        <f>IF(AND(FORSIDE!$B$8&gt;=1,FORSIDE!$F$8&gt;=0,FORSIDE!$B$5&gt;=10),1*FORSIDE!$B$9,"")</f>
        <v/>
      </c>
      <c r="D23" t="str">
        <f>IF(AND(FORSIDE!$B$8&gt;=1,FORSIDE!$F$8&gt;=0,FORSIDE!$B$5&gt;=10),FORSIDE!$B$6+(10-1)*FORSIDE!$B$7,"")</f>
        <v/>
      </c>
    </row>
    <row r="24" spans="1:4" x14ac:dyDescent="0.3">
      <c r="A24">
        <f>IF(AND(FORSIDE!$B$8&gt;=2,FORSIDE!$F$8&gt;=0,FORSIDE!$B$5&gt;=0),23,"")</f>
        <v>23</v>
      </c>
      <c r="B24">
        <f>IF(AND(FORSIDE!$B$8&gt;=2,FORSIDE!$F$8&gt;=0,FORSIDE!$B$5&gt;=0),354+0*FORSIDE!$F$9,"")</f>
        <v>354</v>
      </c>
      <c r="C24">
        <f>IF(AND(FORSIDE!$B$8&gt;=2,FORSIDE!$F$8&gt;=0,FORSIDE!$B$5&gt;=0),2*FORSIDE!$B$9,"")</f>
        <v>16000</v>
      </c>
      <c r="D24">
        <f>IF(AND(FORSIDE!$B$8&gt;=2,FORSIDE!$F$8&gt;=0,FORSIDE!$B$5&gt;=0),0,"")</f>
        <v>0</v>
      </c>
    </row>
    <row r="25" spans="1:4" x14ac:dyDescent="0.3">
      <c r="A25">
        <f>IF(AND(FORSIDE!$B$8&gt;=2,FORSIDE!$F$8&gt;=0,FORSIDE!$B$5&gt;=1),24,"")</f>
        <v>24</v>
      </c>
      <c r="B25">
        <f>IF(AND(FORSIDE!$B$8&gt;=2,FORSIDE!$F$8&gt;=0,FORSIDE!$B$5&gt;=1),354+0*FORSIDE!$F$9,"")</f>
        <v>354</v>
      </c>
      <c r="C25">
        <f>IF(AND(FORSIDE!$B$8&gt;=2,FORSIDE!$F$8&gt;=0,FORSIDE!$B$5&gt;=1),2*FORSIDE!$B$9,"")</f>
        <v>16000</v>
      </c>
      <c r="D25">
        <f>IF(AND(FORSIDE!$B$8&gt;=2,FORSIDE!$F$8&gt;=0,FORSIDE!$B$5&gt;=1),FORSIDE!$B$6+(1-1)*FORSIDE!$B$7,"")</f>
        <v>3000</v>
      </c>
    </row>
    <row r="26" spans="1:4" x14ac:dyDescent="0.3">
      <c r="A26">
        <f>IF(AND(FORSIDE!$B$8&gt;=2,FORSIDE!$F$8&gt;=0,FORSIDE!$B$5&gt;=2),25,"")</f>
        <v>25</v>
      </c>
      <c r="B26">
        <f>IF(AND(FORSIDE!$B$8&gt;=2,FORSIDE!$F$8&gt;=0,FORSIDE!$B$5&gt;=2),354+0*FORSIDE!$F$9,"")</f>
        <v>354</v>
      </c>
      <c r="C26">
        <f>IF(AND(FORSIDE!$B$8&gt;=2,FORSIDE!$F$8&gt;=0,FORSIDE!$B$5&gt;=2),2*FORSIDE!$B$9,"")</f>
        <v>16000</v>
      </c>
      <c r="D26">
        <f>IF(AND(FORSIDE!$B$8&gt;=2,FORSIDE!$F$8&gt;=0,FORSIDE!$B$5&gt;=2),FORSIDE!$B$6+(2-1)*FORSIDE!$B$7,"")</f>
        <v>6000</v>
      </c>
    </row>
    <row r="27" spans="1:4" x14ac:dyDescent="0.3">
      <c r="A27">
        <f>IF(AND(FORSIDE!$B$8&gt;=2,FORSIDE!$F$8&gt;=0,FORSIDE!$B$5&gt;=3),26,"")</f>
        <v>26</v>
      </c>
      <c r="B27">
        <f>IF(AND(FORSIDE!$B$8&gt;=2,FORSIDE!$F$8&gt;=0,FORSIDE!$B$5&gt;=3),354+0*FORSIDE!$F$9,"")</f>
        <v>354</v>
      </c>
      <c r="C27">
        <f>IF(AND(FORSIDE!$B$8&gt;=2,FORSIDE!$F$8&gt;=0,FORSIDE!$B$5&gt;=3),2*FORSIDE!$B$9,"")</f>
        <v>16000</v>
      </c>
      <c r="D27">
        <f>IF(AND(FORSIDE!$B$8&gt;=2,FORSIDE!$F$8&gt;=0,FORSIDE!$B$5&gt;=3),FORSIDE!$B$6+(3-1)*FORSIDE!$B$7,"")</f>
        <v>9000</v>
      </c>
    </row>
    <row r="28" spans="1:4" x14ac:dyDescent="0.3">
      <c r="A28">
        <f>IF(AND(FORSIDE!$B$8&gt;=2,FORSIDE!$F$8&gt;=0,FORSIDE!$B$5&gt;=4),27,"")</f>
        <v>27</v>
      </c>
      <c r="B28">
        <f>IF(AND(FORSIDE!$B$8&gt;=2,FORSIDE!$F$8&gt;=0,FORSIDE!$B$5&gt;=4),354+0*FORSIDE!$F$9,"")</f>
        <v>354</v>
      </c>
      <c r="C28">
        <f>IF(AND(FORSIDE!$B$8&gt;=2,FORSIDE!$F$8&gt;=0,FORSIDE!$B$5&gt;=4),2*FORSIDE!$B$9,"")</f>
        <v>16000</v>
      </c>
      <c r="D28">
        <f>IF(AND(FORSIDE!$B$8&gt;=2,FORSIDE!$F$8&gt;=0,FORSIDE!$B$5&gt;=4),FORSIDE!$B$6+(4-1)*FORSIDE!$B$7,"")</f>
        <v>12000</v>
      </c>
    </row>
    <row r="29" spans="1:4" x14ac:dyDescent="0.3">
      <c r="A29">
        <f>IF(AND(FORSIDE!$B$8&gt;=2,FORSIDE!$F$8&gt;=0,FORSIDE!$B$5&gt;=5),28,"")</f>
        <v>28</v>
      </c>
      <c r="B29">
        <f>IF(AND(FORSIDE!$B$8&gt;=2,FORSIDE!$F$8&gt;=0,FORSIDE!$B$5&gt;=5),354+0*FORSIDE!$F$9,"")</f>
        <v>354</v>
      </c>
      <c r="C29">
        <f>IF(AND(FORSIDE!$B$8&gt;=2,FORSIDE!$F$8&gt;=0,FORSIDE!$B$5&gt;=5),2*FORSIDE!$B$9,"")</f>
        <v>16000</v>
      </c>
      <c r="D29">
        <f>IF(AND(FORSIDE!$B$8&gt;=2,FORSIDE!$F$8&gt;=0,FORSIDE!$B$5&gt;=5),FORSIDE!$B$6+(5-1)*FORSIDE!$B$7,"")</f>
        <v>15000</v>
      </c>
    </row>
    <row r="30" spans="1:4" x14ac:dyDescent="0.3">
      <c r="A30">
        <f>IF(AND(FORSIDE!$B$8&gt;=2,FORSIDE!$F$8&gt;=0,FORSIDE!$B$5&gt;=6),29,"")</f>
        <v>29</v>
      </c>
      <c r="B30">
        <f>IF(AND(FORSIDE!$B$8&gt;=2,FORSIDE!$F$8&gt;=0,FORSIDE!$B$5&gt;=6),354+0*FORSIDE!$F$9,"")</f>
        <v>354</v>
      </c>
      <c r="C30">
        <f>IF(AND(FORSIDE!$B$8&gt;=2,FORSIDE!$F$8&gt;=0,FORSIDE!$B$5&gt;=6),2*FORSIDE!$B$9,"")</f>
        <v>16000</v>
      </c>
      <c r="D30">
        <f>IF(AND(FORSIDE!$B$8&gt;=2,FORSIDE!$F$8&gt;=0,FORSIDE!$B$5&gt;=6),FORSIDE!$B$6+(6-1)*FORSIDE!$B$7,"")</f>
        <v>18000</v>
      </c>
    </row>
    <row r="31" spans="1:4" x14ac:dyDescent="0.3">
      <c r="A31" t="str">
        <f>IF(AND(FORSIDE!$B$8&gt;=2,FORSIDE!$F$8&gt;=0,FORSIDE!$B$5&gt;=7),30,"")</f>
        <v/>
      </c>
      <c r="B31" t="str">
        <f>IF(AND(FORSIDE!$B$8&gt;=2,FORSIDE!$F$8&gt;=0,FORSIDE!$B$5&gt;=7),354+0*FORSIDE!$F$9,"")</f>
        <v/>
      </c>
      <c r="C31" t="str">
        <f>IF(AND(FORSIDE!$B$8&gt;=2,FORSIDE!$F$8&gt;=0,FORSIDE!$B$5&gt;=7),2*FORSIDE!$B$9,"")</f>
        <v/>
      </c>
      <c r="D31" t="str">
        <f>IF(AND(FORSIDE!$B$8&gt;=2,FORSIDE!$F$8&gt;=0,FORSIDE!$B$5&gt;=7),FORSIDE!$B$6+(7-1)*FORSIDE!$B$7,"")</f>
        <v/>
      </c>
    </row>
    <row r="32" spans="1:4" x14ac:dyDescent="0.3">
      <c r="A32" t="str">
        <f>IF(AND(FORSIDE!$B$8&gt;=2,FORSIDE!$F$8&gt;=0,FORSIDE!$B$5&gt;=8),31,"")</f>
        <v/>
      </c>
      <c r="B32" t="str">
        <f>IF(AND(FORSIDE!$B$8&gt;=2,FORSIDE!$F$8&gt;=0,FORSIDE!$B$5&gt;=8),354+0*FORSIDE!$F$9,"")</f>
        <v/>
      </c>
      <c r="C32" t="str">
        <f>IF(AND(FORSIDE!$B$8&gt;=2,FORSIDE!$F$8&gt;=0,FORSIDE!$B$5&gt;=8),2*FORSIDE!$B$9,"")</f>
        <v/>
      </c>
      <c r="D32" t="str">
        <f>IF(AND(FORSIDE!$B$8&gt;=2,FORSIDE!$F$8&gt;=0,FORSIDE!$B$5&gt;=8),FORSIDE!$B$6+(8-1)*FORSIDE!$B$7,"")</f>
        <v/>
      </c>
    </row>
    <row r="33" spans="1:4" x14ac:dyDescent="0.3">
      <c r="A33" t="str">
        <f>IF(AND(FORSIDE!$B$8&gt;=2,FORSIDE!$F$8&gt;=0,FORSIDE!$B$5&gt;=9),32,"")</f>
        <v/>
      </c>
      <c r="B33" t="str">
        <f>IF(AND(FORSIDE!$B$8&gt;=2,FORSIDE!$F$8&gt;=0,FORSIDE!$B$5&gt;=9),354+0*FORSIDE!$F$9,"")</f>
        <v/>
      </c>
      <c r="C33" t="str">
        <f>IF(AND(FORSIDE!$B$8&gt;=2,FORSIDE!$F$8&gt;=0,FORSIDE!$B$5&gt;=9),2*FORSIDE!$B$9,"")</f>
        <v/>
      </c>
      <c r="D33" t="str">
        <f>IF(AND(FORSIDE!$B$8&gt;=2,FORSIDE!$F$8&gt;=0,FORSIDE!$B$5&gt;=9),FORSIDE!$B$6+(9-1)*FORSIDE!$B$7,"")</f>
        <v/>
      </c>
    </row>
    <row r="34" spans="1:4" x14ac:dyDescent="0.3">
      <c r="A34" t="str">
        <f>IF(AND(FORSIDE!$B$8&gt;=2,FORSIDE!$F$8&gt;=0,FORSIDE!$B$5&gt;=10),33,"")</f>
        <v/>
      </c>
      <c r="B34" t="str">
        <f>IF(AND(FORSIDE!$B$8&gt;=2,FORSIDE!$F$8&gt;=0,FORSIDE!$B$5&gt;=10),354+0*FORSIDE!$F$9,"")</f>
        <v/>
      </c>
      <c r="C34" t="str">
        <f>IF(AND(FORSIDE!$B$8&gt;=2,FORSIDE!$F$8&gt;=0,FORSIDE!$B$5&gt;=10),2*FORSIDE!$B$9,"")</f>
        <v/>
      </c>
      <c r="D34" t="str">
        <f>IF(AND(FORSIDE!$B$8&gt;=2,FORSIDE!$F$8&gt;=0,FORSIDE!$B$5&gt;=10),FORSIDE!$B$6+(10-1)*FORSIDE!$B$7,"")</f>
        <v/>
      </c>
    </row>
    <row r="35" spans="1:4" x14ac:dyDescent="0.3">
      <c r="A35">
        <f>IF(AND(FORSIDE!$B$8&gt;=3,FORSIDE!$F$8&gt;=0,FORSIDE!$B$5&gt;=0),34,"")</f>
        <v>34</v>
      </c>
      <c r="B35">
        <f>IF(AND(FORSIDE!$B$8&gt;=3,FORSIDE!$F$8&gt;=0,FORSIDE!$B$5&gt;=0),354+0*FORSIDE!$F$9,"")</f>
        <v>354</v>
      </c>
      <c r="C35">
        <f>IF(AND(FORSIDE!$B$8&gt;=3,FORSIDE!$F$8&gt;=0,FORSIDE!$B$5&gt;=0),3*FORSIDE!$B$9,"")</f>
        <v>24000</v>
      </c>
      <c r="D35">
        <f>IF(AND(FORSIDE!$B$8&gt;=3,FORSIDE!$F$8&gt;=0,FORSIDE!$B$5&gt;=0),0,"")</f>
        <v>0</v>
      </c>
    </row>
    <row r="36" spans="1:4" x14ac:dyDescent="0.3">
      <c r="A36">
        <f>IF(AND(FORSIDE!$B$8&gt;=3,FORSIDE!$F$8&gt;=0,FORSIDE!$B$5&gt;=1),35,"")</f>
        <v>35</v>
      </c>
      <c r="B36">
        <f>IF(AND(FORSIDE!$B$8&gt;=3,FORSIDE!$F$8&gt;=0,FORSIDE!$B$5&gt;=1),354+0*FORSIDE!$F$9,"")</f>
        <v>354</v>
      </c>
      <c r="C36">
        <f>IF(AND(FORSIDE!$B$8&gt;=3,FORSIDE!$F$8&gt;=0,FORSIDE!$B$5&gt;=1),3*FORSIDE!$B$9,"")</f>
        <v>24000</v>
      </c>
      <c r="D36">
        <f>IF(AND(FORSIDE!$B$8&gt;=3,FORSIDE!$F$8&gt;=0,FORSIDE!$B$5&gt;=1),FORSIDE!$B$6+(1-1)*FORSIDE!$B$7,"")</f>
        <v>3000</v>
      </c>
    </row>
    <row r="37" spans="1:4" x14ac:dyDescent="0.3">
      <c r="A37">
        <f>IF(AND(FORSIDE!$B$8&gt;=3,FORSIDE!$F$8&gt;=0,FORSIDE!$B$5&gt;=2),36,"")</f>
        <v>36</v>
      </c>
      <c r="B37">
        <f>IF(AND(FORSIDE!$B$8&gt;=3,FORSIDE!$F$8&gt;=0,FORSIDE!$B$5&gt;=2),354+0*FORSIDE!$F$9,"")</f>
        <v>354</v>
      </c>
      <c r="C37">
        <f>IF(AND(FORSIDE!$B$8&gt;=3,FORSIDE!$F$8&gt;=0,FORSIDE!$B$5&gt;=2),3*FORSIDE!$B$9,"")</f>
        <v>24000</v>
      </c>
      <c r="D37">
        <f>IF(AND(FORSIDE!$B$8&gt;=3,FORSIDE!$F$8&gt;=0,FORSIDE!$B$5&gt;=2),FORSIDE!$B$6+(2-1)*FORSIDE!$B$7,"")</f>
        <v>6000</v>
      </c>
    </row>
    <row r="38" spans="1:4" x14ac:dyDescent="0.3">
      <c r="A38">
        <f>IF(AND(FORSIDE!$B$8&gt;=3,FORSIDE!$F$8&gt;=0,FORSIDE!$B$5&gt;=3),37,"")</f>
        <v>37</v>
      </c>
      <c r="B38">
        <f>IF(AND(FORSIDE!$B$8&gt;=3,FORSIDE!$F$8&gt;=0,FORSIDE!$B$5&gt;=3),354+0*FORSIDE!$F$9,"")</f>
        <v>354</v>
      </c>
      <c r="C38">
        <f>IF(AND(FORSIDE!$B$8&gt;=3,FORSIDE!$F$8&gt;=0,FORSIDE!$B$5&gt;=3),3*FORSIDE!$B$9,"")</f>
        <v>24000</v>
      </c>
      <c r="D38">
        <f>IF(AND(FORSIDE!$B$8&gt;=3,FORSIDE!$F$8&gt;=0,FORSIDE!$B$5&gt;=3),FORSIDE!$B$6+(3-1)*FORSIDE!$B$7,"")</f>
        <v>9000</v>
      </c>
    </row>
    <row r="39" spans="1:4" x14ac:dyDescent="0.3">
      <c r="A39">
        <f>IF(AND(FORSIDE!$B$8&gt;=3,FORSIDE!$F$8&gt;=0,FORSIDE!$B$5&gt;=4),38,"")</f>
        <v>38</v>
      </c>
      <c r="B39">
        <f>IF(AND(FORSIDE!$B$8&gt;=3,FORSIDE!$F$8&gt;=0,FORSIDE!$B$5&gt;=4),354+0*FORSIDE!$F$9,"")</f>
        <v>354</v>
      </c>
      <c r="C39">
        <f>IF(AND(FORSIDE!$B$8&gt;=3,FORSIDE!$F$8&gt;=0,FORSIDE!$B$5&gt;=4),3*FORSIDE!$B$9,"")</f>
        <v>24000</v>
      </c>
      <c r="D39">
        <f>IF(AND(FORSIDE!$B$8&gt;=3,FORSIDE!$F$8&gt;=0,FORSIDE!$B$5&gt;=4),FORSIDE!$B$6+(4-1)*FORSIDE!$B$7,"")</f>
        <v>12000</v>
      </c>
    </row>
    <row r="40" spans="1:4" x14ac:dyDescent="0.3">
      <c r="A40">
        <f>IF(AND(FORSIDE!$B$8&gt;=3,FORSIDE!$F$8&gt;=0,FORSIDE!$B$5&gt;=5),39,"")</f>
        <v>39</v>
      </c>
      <c r="B40">
        <f>IF(AND(FORSIDE!$B$8&gt;=3,FORSIDE!$F$8&gt;=0,FORSIDE!$B$5&gt;=5),354+0*FORSIDE!$F$9,"")</f>
        <v>354</v>
      </c>
      <c r="C40">
        <f>IF(AND(FORSIDE!$B$8&gt;=3,FORSIDE!$F$8&gt;=0,FORSIDE!$B$5&gt;=5),3*FORSIDE!$B$9,"")</f>
        <v>24000</v>
      </c>
      <c r="D40">
        <f>IF(AND(FORSIDE!$B$8&gt;=3,FORSIDE!$F$8&gt;=0,FORSIDE!$B$5&gt;=5),FORSIDE!$B$6+(5-1)*FORSIDE!$B$7,"")</f>
        <v>15000</v>
      </c>
    </row>
    <row r="41" spans="1:4" x14ac:dyDescent="0.3">
      <c r="A41">
        <f>IF(AND(FORSIDE!$B$8&gt;=3,FORSIDE!$F$8&gt;=0,FORSIDE!$B$5&gt;=6),40,"")</f>
        <v>40</v>
      </c>
      <c r="B41">
        <f>IF(AND(FORSIDE!$B$8&gt;=3,FORSIDE!$F$8&gt;=0,FORSIDE!$B$5&gt;=6),354+0*FORSIDE!$F$9,"")</f>
        <v>354</v>
      </c>
      <c r="C41">
        <f>IF(AND(FORSIDE!$B$8&gt;=3,FORSIDE!$F$8&gt;=0,FORSIDE!$B$5&gt;=6),3*FORSIDE!$B$9,"")</f>
        <v>24000</v>
      </c>
      <c r="D41">
        <f>IF(AND(FORSIDE!$B$8&gt;=3,FORSIDE!$F$8&gt;=0,FORSIDE!$B$5&gt;=6),FORSIDE!$B$6+(6-1)*FORSIDE!$B$7,"")</f>
        <v>18000</v>
      </c>
    </row>
    <row r="42" spans="1:4" x14ac:dyDescent="0.3">
      <c r="A42" t="str">
        <f>IF(AND(FORSIDE!$B$8&gt;=3,FORSIDE!$F$8&gt;=0,FORSIDE!$B$5&gt;=7),41,"")</f>
        <v/>
      </c>
      <c r="B42" t="str">
        <f>IF(AND(FORSIDE!$B$8&gt;=3,FORSIDE!$F$8&gt;=0,FORSIDE!$B$5&gt;=7),354+0*FORSIDE!$F$9,"")</f>
        <v/>
      </c>
      <c r="C42" t="str">
        <f>IF(AND(FORSIDE!$B$8&gt;=3,FORSIDE!$F$8&gt;=0,FORSIDE!$B$5&gt;=7),3*FORSIDE!$B$9,"")</f>
        <v/>
      </c>
      <c r="D42" t="str">
        <f>IF(AND(FORSIDE!$B$8&gt;=3,FORSIDE!$F$8&gt;=0,FORSIDE!$B$5&gt;=7),FORSIDE!$B$6+(7-1)*FORSIDE!$B$7,"")</f>
        <v/>
      </c>
    </row>
    <row r="43" spans="1:4" x14ac:dyDescent="0.3">
      <c r="A43" t="str">
        <f>IF(AND(FORSIDE!$B$8&gt;=3,FORSIDE!$F$8&gt;=0,FORSIDE!$B$5&gt;=8),42,"")</f>
        <v/>
      </c>
      <c r="B43" t="str">
        <f>IF(AND(FORSIDE!$B$8&gt;=3,FORSIDE!$F$8&gt;=0,FORSIDE!$B$5&gt;=8),354+0*FORSIDE!$F$9,"")</f>
        <v/>
      </c>
      <c r="C43" t="str">
        <f>IF(AND(FORSIDE!$B$8&gt;=3,FORSIDE!$F$8&gt;=0,FORSIDE!$B$5&gt;=8),3*FORSIDE!$B$9,"")</f>
        <v/>
      </c>
      <c r="D43" t="str">
        <f>IF(AND(FORSIDE!$B$8&gt;=3,FORSIDE!$F$8&gt;=0,FORSIDE!$B$5&gt;=8),FORSIDE!$B$6+(8-1)*FORSIDE!$B$7,"")</f>
        <v/>
      </c>
    </row>
    <row r="44" spans="1:4" x14ac:dyDescent="0.3">
      <c r="A44" t="str">
        <f>IF(AND(FORSIDE!$B$8&gt;=3,FORSIDE!$F$8&gt;=0,FORSIDE!$B$5&gt;=9),43,"")</f>
        <v/>
      </c>
      <c r="B44" t="str">
        <f>IF(AND(FORSIDE!$B$8&gt;=3,FORSIDE!$F$8&gt;=0,FORSIDE!$B$5&gt;=9),354+0*FORSIDE!$F$9,"")</f>
        <v/>
      </c>
      <c r="C44" t="str">
        <f>IF(AND(FORSIDE!$B$8&gt;=3,FORSIDE!$F$8&gt;=0,FORSIDE!$B$5&gt;=9),3*FORSIDE!$B$9,"")</f>
        <v/>
      </c>
      <c r="D44" t="str">
        <f>IF(AND(FORSIDE!$B$8&gt;=3,FORSIDE!$F$8&gt;=0,FORSIDE!$B$5&gt;=9),FORSIDE!$B$6+(9-1)*FORSIDE!$B$7,"")</f>
        <v/>
      </c>
    </row>
    <row r="45" spans="1:4" x14ac:dyDescent="0.3">
      <c r="A45" t="str">
        <f>IF(AND(FORSIDE!$B$8&gt;=3,FORSIDE!$F$8&gt;=0,FORSIDE!$B$5&gt;=10),44,"")</f>
        <v/>
      </c>
      <c r="B45" t="str">
        <f>IF(AND(FORSIDE!$B$8&gt;=3,FORSIDE!$F$8&gt;=0,FORSIDE!$B$5&gt;=10),354+0*FORSIDE!$F$9,"")</f>
        <v/>
      </c>
      <c r="C45" t="str">
        <f>IF(AND(FORSIDE!$B$8&gt;=3,FORSIDE!$F$8&gt;=0,FORSIDE!$B$5&gt;=10),3*FORSIDE!$B$9,"")</f>
        <v/>
      </c>
      <c r="D45" t="str">
        <f>IF(AND(FORSIDE!$B$8&gt;=3,FORSIDE!$F$8&gt;=0,FORSIDE!$B$5&gt;=10),FORSIDE!$B$6+(10-1)*FORSIDE!$B$7,"")</f>
        <v/>
      </c>
    </row>
    <row r="46" spans="1:4" x14ac:dyDescent="0.3">
      <c r="A46">
        <f>IF(AND(FORSIDE!$B$8&gt;=4,FORSIDE!$F$8&gt;=0,FORSIDE!$B$5&gt;=0),45,"")</f>
        <v>45</v>
      </c>
      <c r="B46">
        <f>IF(AND(FORSIDE!$B$8&gt;=4,FORSIDE!$F$8&gt;=0,FORSIDE!$B$5&gt;=0),354+0*FORSIDE!$F$9,"")</f>
        <v>354</v>
      </c>
      <c r="C46">
        <f>IF(AND(FORSIDE!$B$8&gt;=4,FORSIDE!$F$8&gt;=0,FORSIDE!$B$5&gt;=0),4*FORSIDE!$B$9,"")</f>
        <v>32000</v>
      </c>
      <c r="D46">
        <f>IF(AND(FORSIDE!$B$8&gt;=4,FORSIDE!$F$8&gt;=0,FORSIDE!$B$5&gt;=0),0,"")</f>
        <v>0</v>
      </c>
    </row>
    <row r="47" spans="1:4" x14ac:dyDescent="0.3">
      <c r="A47">
        <f>IF(AND(FORSIDE!$B$8&gt;=4,FORSIDE!$F$8&gt;=0,FORSIDE!$B$5&gt;=1),46,"")</f>
        <v>46</v>
      </c>
      <c r="B47">
        <f>IF(AND(FORSIDE!$B$8&gt;=4,FORSIDE!$F$8&gt;=0,FORSIDE!$B$5&gt;=1),354+0*FORSIDE!$F$9,"")</f>
        <v>354</v>
      </c>
      <c r="C47">
        <f>IF(AND(FORSIDE!$B$8&gt;=4,FORSIDE!$F$8&gt;=0,FORSIDE!$B$5&gt;=1),4*FORSIDE!$B$9,"")</f>
        <v>32000</v>
      </c>
      <c r="D47">
        <f>IF(AND(FORSIDE!$B$8&gt;=4,FORSIDE!$F$8&gt;=0,FORSIDE!$B$5&gt;=1),FORSIDE!$B$6+(1-1)*FORSIDE!$B$7,"")</f>
        <v>3000</v>
      </c>
    </row>
    <row r="48" spans="1:4" x14ac:dyDescent="0.3">
      <c r="A48">
        <f>IF(AND(FORSIDE!$B$8&gt;=4,FORSIDE!$F$8&gt;=0,FORSIDE!$B$5&gt;=2),47,"")</f>
        <v>47</v>
      </c>
      <c r="B48">
        <f>IF(AND(FORSIDE!$B$8&gt;=4,FORSIDE!$F$8&gt;=0,FORSIDE!$B$5&gt;=2),354+0*FORSIDE!$F$9,"")</f>
        <v>354</v>
      </c>
      <c r="C48">
        <f>IF(AND(FORSIDE!$B$8&gt;=4,FORSIDE!$F$8&gt;=0,FORSIDE!$B$5&gt;=2),4*FORSIDE!$B$9,"")</f>
        <v>32000</v>
      </c>
      <c r="D48">
        <f>IF(AND(FORSIDE!$B$8&gt;=4,FORSIDE!$F$8&gt;=0,FORSIDE!$B$5&gt;=2),FORSIDE!$B$6+(2-1)*FORSIDE!$B$7,"")</f>
        <v>6000</v>
      </c>
    </row>
    <row r="49" spans="1:4" x14ac:dyDescent="0.3">
      <c r="A49">
        <f>IF(AND(FORSIDE!$B$8&gt;=4,FORSIDE!$F$8&gt;=0,FORSIDE!$B$5&gt;=3),48,"")</f>
        <v>48</v>
      </c>
      <c r="B49">
        <f>IF(AND(FORSIDE!$B$8&gt;=4,FORSIDE!$F$8&gt;=0,FORSIDE!$B$5&gt;=3),354+0*FORSIDE!$F$9,"")</f>
        <v>354</v>
      </c>
      <c r="C49">
        <f>IF(AND(FORSIDE!$B$8&gt;=4,FORSIDE!$F$8&gt;=0,FORSIDE!$B$5&gt;=3),4*FORSIDE!$B$9,"")</f>
        <v>32000</v>
      </c>
      <c r="D49">
        <f>IF(AND(FORSIDE!$B$8&gt;=4,FORSIDE!$F$8&gt;=0,FORSIDE!$B$5&gt;=3),FORSIDE!$B$6+(3-1)*FORSIDE!$B$7,"")</f>
        <v>9000</v>
      </c>
    </row>
    <row r="50" spans="1:4" x14ac:dyDescent="0.3">
      <c r="A50">
        <f>IF(AND(FORSIDE!$B$8&gt;=4,FORSIDE!$F$8&gt;=0,FORSIDE!$B$5&gt;=4),49,"")</f>
        <v>49</v>
      </c>
      <c r="B50">
        <f>IF(AND(FORSIDE!$B$8&gt;=4,FORSIDE!$F$8&gt;=0,FORSIDE!$B$5&gt;=4),354+0*FORSIDE!$F$9,"")</f>
        <v>354</v>
      </c>
      <c r="C50">
        <f>IF(AND(FORSIDE!$B$8&gt;=4,FORSIDE!$F$8&gt;=0,FORSIDE!$B$5&gt;=4),4*FORSIDE!$B$9,"")</f>
        <v>32000</v>
      </c>
      <c r="D50">
        <f>IF(AND(FORSIDE!$B$8&gt;=4,FORSIDE!$F$8&gt;=0,FORSIDE!$B$5&gt;=4),FORSIDE!$B$6+(4-1)*FORSIDE!$B$7,"")</f>
        <v>12000</v>
      </c>
    </row>
    <row r="51" spans="1:4" x14ac:dyDescent="0.3">
      <c r="A51">
        <f>IF(AND(FORSIDE!$B$8&gt;=4,FORSIDE!$F$8&gt;=0,FORSIDE!$B$5&gt;=5),50,"")</f>
        <v>50</v>
      </c>
      <c r="B51">
        <f>IF(AND(FORSIDE!$B$8&gt;=4,FORSIDE!$F$8&gt;=0,FORSIDE!$B$5&gt;=5),354+0*FORSIDE!$F$9,"")</f>
        <v>354</v>
      </c>
      <c r="C51">
        <f>IF(AND(FORSIDE!$B$8&gt;=4,FORSIDE!$F$8&gt;=0,FORSIDE!$B$5&gt;=5),4*FORSIDE!$B$9,"")</f>
        <v>32000</v>
      </c>
      <c r="D51">
        <f>IF(AND(FORSIDE!$B$8&gt;=4,FORSIDE!$F$8&gt;=0,FORSIDE!$B$5&gt;=5),FORSIDE!$B$6+(5-1)*FORSIDE!$B$7,"")</f>
        <v>15000</v>
      </c>
    </row>
    <row r="52" spans="1:4" x14ac:dyDescent="0.3">
      <c r="A52">
        <f>IF(AND(FORSIDE!$B$8&gt;=4,FORSIDE!$F$8&gt;=0,FORSIDE!$B$5&gt;=6),51,"")</f>
        <v>51</v>
      </c>
      <c r="B52">
        <f>IF(AND(FORSIDE!$B$8&gt;=4,FORSIDE!$F$8&gt;=0,FORSIDE!$B$5&gt;=6),354+0*FORSIDE!$F$9,"")</f>
        <v>354</v>
      </c>
      <c r="C52">
        <f>IF(AND(FORSIDE!$B$8&gt;=4,FORSIDE!$F$8&gt;=0,FORSIDE!$B$5&gt;=6),4*FORSIDE!$B$9,"")</f>
        <v>32000</v>
      </c>
      <c r="D52">
        <f>IF(AND(FORSIDE!$B$8&gt;=4,FORSIDE!$F$8&gt;=0,FORSIDE!$B$5&gt;=6),FORSIDE!$B$6+(6-1)*FORSIDE!$B$7,"")</f>
        <v>18000</v>
      </c>
    </row>
    <row r="53" spans="1:4" x14ac:dyDescent="0.3">
      <c r="A53" t="str">
        <f>IF(AND(FORSIDE!$B$8&gt;=4,FORSIDE!$F$8&gt;=0,FORSIDE!$B$5&gt;=7),52,"")</f>
        <v/>
      </c>
      <c r="B53" t="str">
        <f>IF(AND(FORSIDE!$B$8&gt;=4,FORSIDE!$F$8&gt;=0,FORSIDE!$B$5&gt;=7),354+0*FORSIDE!$F$9,"")</f>
        <v/>
      </c>
      <c r="C53" t="str">
        <f>IF(AND(FORSIDE!$B$8&gt;=4,FORSIDE!$F$8&gt;=0,FORSIDE!$B$5&gt;=7),4*FORSIDE!$B$9,"")</f>
        <v/>
      </c>
      <c r="D53" t="str">
        <f>IF(AND(FORSIDE!$B$8&gt;=4,FORSIDE!$F$8&gt;=0,FORSIDE!$B$5&gt;=7),FORSIDE!$B$6+(7-1)*FORSIDE!$B$7,"")</f>
        <v/>
      </c>
    </row>
    <row r="54" spans="1:4" x14ac:dyDescent="0.3">
      <c r="A54" t="str">
        <f>IF(AND(FORSIDE!$B$8&gt;=4,FORSIDE!$F$8&gt;=0,FORSIDE!$B$5&gt;=8),53,"")</f>
        <v/>
      </c>
      <c r="B54" t="str">
        <f>IF(AND(FORSIDE!$B$8&gt;=4,FORSIDE!$F$8&gt;=0,FORSIDE!$B$5&gt;=8),354+0*FORSIDE!$F$9,"")</f>
        <v/>
      </c>
      <c r="C54" t="str">
        <f>IF(AND(FORSIDE!$B$8&gt;=4,FORSIDE!$F$8&gt;=0,FORSIDE!$B$5&gt;=8),4*FORSIDE!$B$9,"")</f>
        <v/>
      </c>
      <c r="D54" t="str">
        <f>IF(AND(FORSIDE!$B$8&gt;=4,FORSIDE!$F$8&gt;=0,FORSIDE!$B$5&gt;=8),FORSIDE!$B$6+(8-1)*FORSIDE!$B$7,"")</f>
        <v/>
      </c>
    </row>
    <row r="55" spans="1:4" x14ac:dyDescent="0.3">
      <c r="A55" t="str">
        <f>IF(AND(FORSIDE!$B$8&gt;=4,FORSIDE!$F$8&gt;=0,FORSIDE!$B$5&gt;=9),54,"")</f>
        <v/>
      </c>
      <c r="B55" t="str">
        <f>IF(AND(FORSIDE!$B$8&gt;=4,FORSIDE!$F$8&gt;=0,FORSIDE!$B$5&gt;=9),354+0*FORSIDE!$F$9,"")</f>
        <v/>
      </c>
      <c r="C55" t="str">
        <f>IF(AND(FORSIDE!$B$8&gt;=4,FORSIDE!$F$8&gt;=0,FORSIDE!$B$5&gt;=9),4*FORSIDE!$B$9,"")</f>
        <v/>
      </c>
      <c r="D55" t="str">
        <f>IF(AND(FORSIDE!$B$8&gt;=4,FORSIDE!$F$8&gt;=0,FORSIDE!$B$5&gt;=9),FORSIDE!$B$6+(9-1)*FORSIDE!$B$7,"")</f>
        <v/>
      </c>
    </row>
    <row r="56" spans="1:4" x14ac:dyDescent="0.3">
      <c r="A56" t="str">
        <f>IF(AND(FORSIDE!$B$8&gt;=4,FORSIDE!$F$8&gt;=0,FORSIDE!$B$5&gt;=10),55,"")</f>
        <v/>
      </c>
      <c r="B56" t="str">
        <f>IF(AND(FORSIDE!$B$8&gt;=4,FORSIDE!$F$8&gt;=0,FORSIDE!$B$5&gt;=10),354+0*FORSIDE!$F$9,"")</f>
        <v/>
      </c>
      <c r="C56" t="str">
        <f>IF(AND(FORSIDE!$B$8&gt;=4,FORSIDE!$F$8&gt;=0,FORSIDE!$B$5&gt;=10),4*FORSIDE!$B$9,"")</f>
        <v/>
      </c>
      <c r="D56" t="str">
        <f>IF(AND(FORSIDE!$B$8&gt;=4,FORSIDE!$F$8&gt;=0,FORSIDE!$B$5&gt;=10),FORSIDE!$B$6+(10-1)*FORSIDE!$B$7,"")</f>
        <v/>
      </c>
    </row>
    <row r="57" spans="1:4" x14ac:dyDescent="0.3">
      <c r="A57" t="str">
        <f>IF(AND(FORSIDE!$B$8&gt;=5,FORSIDE!$F$8&gt;=0,FORSIDE!$B$5&gt;=0),56,"")</f>
        <v/>
      </c>
      <c r="B57" t="str">
        <f>IF(AND(FORSIDE!$B$8&gt;=5,FORSIDE!$F$8&gt;=0,FORSIDE!$B$5&gt;=0),354+0*FORSIDE!$F$9,"")</f>
        <v/>
      </c>
      <c r="C57" t="str">
        <f>IF(AND(FORSIDE!$B$8&gt;=5,FORSIDE!$F$8&gt;=0,FORSIDE!$B$5&gt;=0),5*FORSIDE!$B$9,"")</f>
        <v/>
      </c>
      <c r="D57" t="str">
        <f>IF(AND(FORSIDE!$B$8&gt;=5,FORSIDE!$F$8&gt;=0,FORSIDE!$B$5&gt;=0),0,"")</f>
        <v/>
      </c>
    </row>
    <row r="58" spans="1:4" x14ac:dyDescent="0.3">
      <c r="A58" t="str">
        <f>IF(AND(FORSIDE!$B$8&gt;=5,FORSIDE!$F$8&gt;=0,FORSIDE!$B$5&gt;=1),57,"")</f>
        <v/>
      </c>
      <c r="B58" t="str">
        <f>IF(AND(FORSIDE!$B$8&gt;=5,FORSIDE!$F$8&gt;=0,FORSIDE!$B$5&gt;=1),354+0*FORSIDE!$F$9,"")</f>
        <v/>
      </c>
      <c r="C58" t="str">
        <f>IF(AND(FORSIDE!$B$8&gt;=5,FORSIDE!$F$8&gt;=0,FORSIDE!$B$5&gt;=1),5*FORSIDE!$B$9,"")</f>
        <v/>
      </c>
      <c r="D58" t="str">
        <f>IF(AND(FORSIDE!$B$8&gt;=5,FORSIDE!$F$8&gt;=0,FORSIDE!$B$5&gt;=1),FORSIDE!$B$6+(1-1)*FORSIDE!$B$7,"")</f>
        <v/>
      </c>
    </row>
    <row r="59" spans="1:4" x14ac:dyDescent="0.3">
      <c r="A59" t="str">
        <f>IF(AND(FORSIDE!$B$8&gt;=5,FORSIDE!$F$8&gt;=0,FORSIDE!$B$5&gt;=2),58,"")</f>
        <v/>
      </c>
      <c r="B59" t="str">
        <f>IF(AND(FORSIDE!$B$8&gt;=5,FORSIDE!$F$8&gt;=0,FORSIDE!$B$5&gt;=2),354+0*FORSIDE!$F$9,"")</f>
        <v/>
      </c>
      <c r="C59" t="str">
        <f>IF(AND(FORSIDE!$B$8&gt;=5,FORSIDE!$F$8&gt;=0,FORSIDE!$B$5&gt;=2),5*FORSIDE!$B$9,"")</f>
        <v/>
      </c>
      <c r="D59" t="str">
        <f>IF(AND(FORSIDE!$B$8&gt;=5,FORSIDE!$F$8&gt;=0,FORSIDE!$B$5&gt;=2),FORSIDE!$B$6+(2-1)*FORSIDE!$B$7,"")</f>
        <v/>
      </c>
    </row>
    <row r="60" spans="1:4" x14ac:dyDescent="0.3">
      <c r="A60" t="str">
        <f>IF(AND(FORSIDE!$B$8&gt;=5,FORSIDE!$F$8&gt;=0,FORSIDE!$B$5&gt;=3),59,"")</f>
        <v/>
      </c>
      <c r="B60" t="str">
        <f>IF(AND(FORSIDE!$B$8&gt;=5,FORSIDE!$F$8&gt;=0,FORSIDE!$B$5&gt;=3),354+0*FORSIDE!$F$9,"")</f>
        <v/>
      </c>
      <c r="C60" t="str">
        <f>IF(AND(FORSIDE!$B$8&gt;=5,FORSIDE!$F$8&gt;=0,FORSIDE!$B$5&gt;=3),5*FORSIDE!$B$9,"")</f>
        <v/>
      </c>
      <c r="D60" t="str">
        <f>IF(AND(FORSIDE!$B$8&gt;=5,FORSIDE!$F$8&gt;=0,FORSIDE!$B$5&gt;=3),FORSIDE!$B$6+(3-1)*FORSIDE!$B$7,"")</f>
        <v/>
      </c>
    </row>
    <row r="61" spans="1:4" x14ac:dyDescent="0.3">
      <c r="A61" t="str">
        <f>IF(AND(FORSIDE!$B$8&gt;=5,FORSIDE!$F$8&gt;=0,FORSIDE!$B$5&gt;=4),60,"")</f>
        <v/>
      </c>
      <c r="B61" t="str">
        <f>IF(AND(FORSIDE!$B$8&gt;=5,FORSIDE!$F$8&gt;=0,FORSIDE!$B$5&gt;=4),354+0*FORSIDE!$F$9,"")</f>
        <v/>
      </c>
      <c r="C61" t="str">
        <f>IF(AND(FORSIDE!$B$8&gt;=5,FORSIDE!$F$8&gt;=0,FORSIDE!$B$5&gt;=4),5*FORSIDE!$B$9,"")</f>
        <v/>
      </c>
      <c r="D61" t="str">
        <f>IF(AND(FORSIDE!$B$8&gt;=5,FORSIDE!$F$8&gt;=0,FORSIDE!$B$5&gt;=4),FORSIDE!$B$6+(4-1)*FORSIDE!$B$7,"")</f>
        <v/>
      </c>
    </row>
    <row r="62" spans="1:4" x14ac:dyDescent="0.3">
      <c r="A62" t="str">
        <f>IF(AND(FORSIDE!$B$8&gt;=5,FORSIDE!$F$8&gt;=0,FORSIDE!$B$5&gt;=5),61,"")</f>
        <v/>
      </c>
      <c r="B62" t="str">
        <f>IF(AND(FORSIDE!$B$8&gt;=5,FORSIDE!$F$8&gt;=0,FORSIDE!$B$5&gt;=5),354+0*FORSIDE!$F$9,"")</f>
        <v/>
      </c>
      <c r="C62" t="str">
        <f>IF(AND(FORSIDE!$B$8&gt;=5,FORSIDE!$F$8&gt;=0,FORSIDE!$B$5&gt;=5),5*FORSIDE!$B$9,"")</f>
        <v/>
      </c>
      <c r="D62" t="str">
        <f>IF(AND(FORSIDE!$B$8&gt;=5,FORSIDE!$F$8&gt;=0,FORSIDE!$B$5&gt;=5),FORSIDE!$B$6+(5-1)*FORSIDE!$B$7,"")</f>
        <v/>
      </c>
    </row>
    <row r="63" spans="1:4" x14ac:dyDescent="0.3">
      <c r="A63" t="str">
        <f>IF(AND(FORSIDE!$B$8&gt;=5,FORSIDE!$F$8&gt;=0,FORSIDE!$B$5&gt;=6),62,"")</f>
        <v/>
      </c>
      <c r="B63" t="str">
        <f>IF(AND(FORSIDE!$B$8&gt;=5,FORSIDE!$F$8&gt;=0,FORSIDE!$B$5&gt;=6),354+0*FORSIDE!$F$9,"")</f>
        <v/>
      </c>
      <c r="C63" t="str">
        <f>IF(AND(FORSIDE!$B$8&gt;=5,FORSIDE!$F$8&gt;=0,FORSIDE!$B$5&gt;=6),5*FORSIDE!$B$9,"")</f>
        <v/>
      </c>
      <c r="D63" t="str">
        <f>IF(AND(FORSIDE!$B$8&gt;=5,FORSIDE!$F$8&gt;=0,FORSIDE!$B$5&gt;=6),FORSIDE!$B$6+(6-1)*FORSIDE!$B$7,"")</f>
        <v/>
      </c>
    </row>
    <row r="64" spans="1:4" x14ac:dyDescent="0.3">
      <c r="A64" t="str">
        <f>IF(AND(FORSIDE!$B$8&gt;=5,FORSIDE!$F$8&gt;=0,FORSIDE!$B$5&gt;=7),63,"")</f>
        <v/>
      </c>
      <c r="B64" t="str">
        <f>IF(AND(FORSIDE!$B$8&gt;=5,FORSIDE!$F$8&gt;=0,FORSIDE!$B$5&gt;=7),354+0*FORSIDE!$F$9,"")</f>
        <v/>
      </c>
      <c r="C64" t="str">
        <f>IF(AND(FORSIDE!$B$8&gt;=5,FORSIDE!$F$8&gt;=0,FORSIDE!$B$5&gt;=7),5*FORSIDE!$B$9,"")</f>
        <v/>
      </c>
      <c r="D64" t="str">
        <f>IF(AND(FORSIDE!$B$8&gt;=5,FORSIDE!$F$8&gt;=0,FORSIDE!$B$5&gt;=7),FORSIDE!$B$6+(7-1)*FORSIDE!$B$7,"")</f>
        <v/>
      </c>
    </row>
    <row r="65" spans="1:4" x14ac:dyDescent="0.3">
      <c r="A65" t="str">
        <f>IF(AND(FORSIDE!$B$8&gt;=5,FORSIDE!$F$8&gt;=0,FORSIDE!$B$5&gt;=8),64,"")</f>
        <v/>
      </c>
      <c r="B65" t="str">
        <f>IF(AND(FORSIDE!$B$8&gt;=5,FORSIDE!$F$8&gt;=0,FORSIDE!$B$5&gt;=8),354+0*FORSIDE!$F$9,"")</f>
        <v/>
      </c>
      <c r="C65" t="str">
        <f>IF(AND(FORSIDE!$B$8&gt;=5,FORSIDE!$F$8&gt;=0,FORSIDE!$B$5&gt;=8),5*FORSIDE!$B$9,"")</f>
        <v/>
      </c>
      <c r="D65" t="str">
        <f>IF(AND(FORSIDE!$B$8&gt;=5,FORSIDE!$F$8&gt;=0,FORSIDE!$B$5&gt;=8),FORSIDE!$B$6+(8-1)*FORSIDE!$B$7,"")</f>
        <v/>
      </c>
    </row>
    <row r="66" spans="1:4" x14ac:dyDescent="0.3">
      <c r="A66" t="str">
        <f>IF(AND(FORSIDE!$B$8&gt;=5,FORSIDE!$F$8&gt;=0,FORSIDE!$B$5&gt;=9),65,"")</f>
        <v/>
      </c>
      <c r="B66" t="str">
        <f>IF(AND(FORSIDE!$B$8&gt;=5,FORSIDE!$F$8&gt;=0,FORSIDE!$B$5&gt;=9),354+0*FORSIDE!$F$9,"")</f>
        <v/>
      </c>
      <c r="C66" t="str">
        <f>IF(AND(FORSIDE!$B$8&gt;=5,FORSIDE!$F$8&gt;=0,FORSIDE!$B$5&gt;=9),5*FORSIDE!$B$9,"")</f>
        <v/>
      </c>
      <c r="D66" t="str">
        <f>IF(AND(FORSIDE!$B$8&gt;=5,FORSIDE!$F$8&gt;=0,FORSIDE!$B$5&gt;=9),FORSIDE!$B$6+(9-1)*FORSIDE!$B$7,"")</f>
        <v/>
      </c>
    </row>
    <row r="67" spans="1:4" x14ac:dyDescent="0.3">
      <c r="A67" t="str">
        <f>IF(AND(FORSIDE!$B$8&gt;=5,FORSIDE!$F$8&gt;=0,FORSIDE!$B$5&gt;=10),66,"")</f>
        <v/>
      </c>
      <c r="B67" t="str">
        <f>IF(AND(FORSIDE!$B$8&gt;=5,FORSIDE!$F$8&gt;=0,FORSIDE!$B$5&gt;=10),354+0*FORSIDE!$F$9,"")</f>
        <v/>
      </c>
      <c r="C67" t="str">
        <f>IF(AND(FORSIDE!$B$8&gt;=5,FORSIDE!$F$8&gt;=0,FORSIDE!$B$5&gt;=10),5*FORSIDE!$B$9,"")</f>
        <v/>
      </c>
      <c r="D67" t="str">
        <f>IF(AND(FORSIDE!$B$8&gt;=5,FORSIDE!$F$8&gt;=0,FORSIDE!$B$5&gt;=10),FORSIDE!$B$6+(10-1)*FORSIDE!$B$7,"")</f>
        <v/>
      </c>
    </row>
    <row r="68" spans="1:4" x14ac:dyDescent="0.3">
      <c r="A68" t="str">
        <f>IF(AND(FORSIDE!$B$8&gt;=6,FORSIDE!$F$8&gt;=0,FORSIDE!$B$5&gt;=0),67,"")</f>
        <v/>
      </c>
      <c r="B68" t="str">
        <f>IF(AND(FORSIDE!$B$8&gt;=6,FORSIDE!$F$8&gt;=0,FORSIDE!$B$5&gt;=0),354+0*FORSIDE!$F$9,"")</f>
        <v/>
      </c>
      <c r="C68" t="str">
        <f>IF(AND(FORSIDE!$B$8&gt;=6,FORSIDE!$F$8&gt;=0,FORSIDE!$B$5&gt;=0),6*FORSIDE!$B$9,"")</f>
        <v/>
      </c>
      <c r="D68" t="str">
        <f>IF(AND(FORSIDE!$B$8&gt;=6,FORSIDE!$F$8&gt;=0,FORSIDE!$B$5&gt;=0),0,"")</f>
        <v/>
      </c>
    </row>
    <row r="69" spans="1:4" x14ac:dyDescent="0.3">
      <c r="A69" t="str">
        <f>IF(AND(FORSIDE!$B$8&gt;=6,FORSIDE!$F$8&gt;=0,FORSIDE!$B$5&gt;=1),68,"")</f>
        <v/>
      </c>
      <c r="B69" t="str">
        <f>IF(AND(FORSIDE!$B$8&gt;=6,FORSIDE!$F$8&gt;=0,FORSIDE!$B$5&gt;=1),354+0*FORSIDE!$F$9,"")</f>
        <v/>
      </c>
      <c r="C69" t="str">
        <f>IF(AND(FORSIDE!$B$8&gt;=6,FORSIDE!$F$8&gt;=0,FORSIDE!$B$5&gt;=1),6*FORSIDE!$B$9,"")</f>
        <v/>
      </c>
      <c r="D69" t="str">
        <f>IF(AND(FORSIDE!$B$8&gt;=6,FORSIDE!$F$8&gt;=0,FORSIDE!$B$5&gt;=1),FORSIDE!$B$6+(1-1)*FORSIDE!$B$7,"")</f>
        <v/>
      </c>
    </row>
    <row r="70" spans="1:4" x14ac:dyDescent="0.3">
      <c r="A70" t="str">
        <f>IF(AND(FORSIDE!$B$8&gt;=6,FORSIDE!$F$8&gt;=0,FORSIDE!$B$5&gt;=2),69,"")</f>
        <v/>
      </c>
      <c r="B70" t="str">
        <f>IF(AND(FORSIDE!$B$8&gt;=6,FORSIDE!$F$8&gt;=0,FORSIDE!$B$5&gt;=2),354+0*FORSIDE!$F$9,"")</f>
        <v/>
      </c>
      <c r="C70" t="str">
        <f>IF(AND(FORSIDE!$B$8&gt;=6,FORSIDE!$F$8&gt;=0,FORSIDE!$B$5&gt;=2),6*FORSIDE!$B$9,"")</f>
        <v/>
      </c>
      <c r="D70" t="str">
        <f>IF(AND(FORSIDE!$B$8&gt;=6,FORSIDE!$F$8&gt;=0,FORSIDE!$B$5&gt;=2),FORSIDE!$B$6+(2-1)*FORSIDE!$B$7,"")</f>
        <v/>
      </c>
    </row>
    <row r="71" spans="1:4" x14ac:dyDescent="0.3">
      <c r="A71" t="str">
        <f>IF(AND(FORSIDE!$B$8&gt;=6,FORSIDE!$F$8&gt;=0,FORSIDE!$B$5&gt;=3),70,"")</f>
        <v/>
      </c>
      <c r="B71" t="str">
        <f>IF(AND(FORSIDE!$B$8&gt;=6,FORSIDE!$F$8&gt;=0,FORSIDE!$B$5&gt;=3),354+0*FORSIDE!$F$9,"")</f>
        <v/>
      </c>
      <c r="C71" t="str">
        <f>IF(AND(FORSIDE!$B$8&gt;=6,FORSIDE!$F$8&gt;=0,FORSIDE!$B$5&gt;=3),6*FORSIDE!$B$9,"")</f>
        <v/>
      </c>
      <c r="D71" t="str">
        <f>IF(AND(FORSIDE!$B$8&gt;=6,FORSIDE!$F$8&gt;=0,FORSIDE!$B$5&gt;=3),FORSIDE!$B$6+(3-1)*FORSIDE!$B$7,"")</f>
        <v/>
      </c>
    </row>
    <row r="72" spans="1:4" x14ac:dyDescent="0.3">
      <c r="A72" t="str">
        <f>IF(AND(FORSIDE!$B$8&gt;=6,FORSIDE!$F$8&gt;=0,FORSIDE!$B$5&gt;=4),71,"")</f>
        <v/>
      </c>
      <c r="B72" t="str">
        <f>IF(AND(FORSIDE!$B$8&gt;=6,FORSIDE!$F$8&gt;=0,FORSIDE!$B$5&gt;=4),354+0*FORSIDE!$F$9,"")</f>
        <v/>
      </c>
      <c r="C72" t="str">
        <f>IF(AND(FORSIDE!$B$8&gt;=6,FORSIDE!$F$8&gt;=0,FORSIDE!$B$5&gt;=4),6*FORSIDE!$B$9,"")</f>
        <v/>
      </c>
      <c r="D72" t="str">
        <f>IF(AND(FORSIDE!$B$8&gt;=6,FORSIDE!$F$8&gt;=0,FORSIDE!$B$5&gt;=4),FORSIDE!$B$6+(4-1)*FORSIDE!$B$7,"")</f>
        <v/>
      </c>
    </row>
    <row r="73" spans="1:4" x14ac:dyDescent="0.3">
      <c r="A73" t="str">
        <f>IF(AND(FORSIDE!$B$8&gt;=6,FORSIDE!$F$8&gt;=0,FORSIDE!$B$5&gt;=5),72,"")</f>
        <v/>
      </c>
      <c r="B73" t="str">
        <f>IF(AND(FORSIDE!$B$8&gt;=6,FORSIDE!$F$8&gt;=0,FORSIDE!$B$5&gt;=5),354+0*FORSIDE!$F$9,"")</f>
        <v/>
      </c>
      <c r="C73" t="str">
        <f>IF(AND(FORSIDE!$B$8&gt;=6,FORSIDE!$F$8&gt;=0,FORSIDE!$B$5&gt;=5),6*FORSIDE!$B$9,"")</f>
        <v/>
      </c>
      <c r="D73" t="str">
        <f>IF(AND(FORSIDE!$B$8&gt;=6,FORSIDE!$F$8&gt;=0,FORSIDE!$B$5&gt;=5),FORSIDE!$B$6+(5-1)*FORSIDE!$B$7,"")</f>
        <v/>
      </c>
    </row>
    <row r="74" spans="1:4" x14ac:dyDescent="0.3">
      <c r="A74" t="str">
        <f>IF(AND(FORSIDE!$B$8&gt;=6,FORSIDE!$F$8&gt;=0,FORSIDE!$B$5&gt;=6),73,"")</f>
        <v/>
      </c>
      <c r="B74" t="str">
        <f>IF(AND(FORSIDE!$B$8&gt;=6,FORSIDE!$F$8&gt;=0,FORSIDE!$B$5&gt;=6),354+0*FORSIDE!$F$9,"")</f>
        <v/>
      </c>
      <c r="C74" t="str">
        <f>IF(AND(FORSIDE!$B$8&gt;=6,FORSIDE!$F$8&gt;=0,FORSIDE!$B$5&gt;=6),6*FORSIDE!$B$9,"")</f>
        <v/>
      </c>
      <c r="D74" t="str">
        <f>IF(AND(FORSIDE!$B$8&gt;=6,FORSIDE!$F$8&gt;=0,FORSIDE!$B$5&gt;=6),FORSIDE!$B$6+(6-1)*FORSIDE!$B$7,"")</f>
        <v/>
      </c>
    </row>
    <row r="75" spans="1:4" x14ac:dyDescent="0.3">
      <c r="A75" t="str">
        <f>IF(AND(FORSIDE!$B$8&gt;=6,FORSIDE!$F$8&gt;=0,FORSIDE!$B$5&gt;=7),74,"")</f>
        <v/>
      </c>
      <c r="B75" t="str">
        <f>IF(AND(FORSIDE!$B$8&gt;=6,FORSIDE!$F$8&gt;=0,FORSIDE!$B$5&gt;=7),354+0*FORSIDE!$F$9,"")</f>
        <v/>
      </c>
      <c r="C75" t="str">
        <f>IF(AND(FORSIDE!$B$8&gt;=6,FORSIDE!$F$8&gt;=0,FORSIDE!$B$5&gt;=7),6*FORSIDE!$B$9,"")</f>
        <v/>
      </c>
      <c r="D75" t="str">
        <f>IF(AND(FORSIDE!$B$8&gt;=6,FORSIDE!$F$8&gt;=0,FORSIDE!$B$5&gt;=7),FORSIDE!$B$6+(7-1)*FORSIDE!$B$7,"")</f>
        <v/>
      </c>
    </row>
    <row r="76" spans="1:4" x14ac:dyDescent="0.3">
      <c r="A76" t="str">
        <f>IF(AND(FORSIDE!$B$8&gt;=6,FORSIDE!$F$8&gt;=0,FORSIDE!$B$5&gt;=8),75,"")</f>
        <v/>
      </c>
      <c r="B76" t="str">
        <f>IF(AND(FORSIDE!$B$8&gt;=6,FORSIDE!$F$8&gt;=0,FORSIDE!$B$5&gt;=8),354+0*FORSIDE!$F$9,"")</f>
        <v/>
      </c>
      <c r="C76" t="str">
        <f>IF(AND(FORSIDE!$B$8&gt;=6,FORSIDE!$F$8&gt;=0,FORSIDE!$B$5&gt;=8),6*FORSIDE!$B$9,"")</f>
        <v/>
      </c>
      <c r="D76" t="str">
        <f>IF(AND(FORSIDE!$B$8&gt;=6,FORSIDE!$F$8&gt;=0,FORSIDE!$B$5&gt;=8),FORSIDE!$B$6+(8-1)*FORSIDE!$B$7,"")</f>
        <v/>
      </c>
    </row>
    <row r="77" spans="1:4" x14ac:dyDescent="0.3">
      <c r="A77" t="str">
        <f>IF(AND(FORSIDE!$B$8&gt;=6,FORSIDE!$F$8&gt;=0,FORSIDE!$B$5&gt;=9),76,"")</f>
        <v/>
      </c>
      <c r="B77" t="str">
        <f>IF(AND(FORSIDE!$B$8&gt;=6,FORSIDE!$F$8&gt;=0,FORSIDE!$B$5&gt;=9),354+0*FORSIDE!$F$9,"")</f>
        <v/>
      </c>
      <c r="C77" t="str">
        <f>IF(AND(FORSIDE!$B$8&gt;=6,FORSIDE!$F$8&gt;=0,FORSIDE!$B$5&gt;=9),6*FORSIDE!$B$9,"")</f>
        <v/>
      </c>
      <c r="D77" t="str">
        <f>IF(AND(FORSIDE!$B$8&gt;=6,FORSIDE!$F$8&gt;=0,FORSIDE!$B$5&gt;=9),FORSIDE!$B$6+(9-1)*FORSIDE!$B$7,"")</f>
        <v/>
      </c>
    </row>
    <row r="78" spans="1:4" x14ac:dyDescent="0.3">
      <c r="A78" t="str">
        <f>IF(AND(FORSIDE!$B$8&gt;=6,FORSIDE!$F$8&gt;=0,FORSIDE!$B$5&gt;=10),77,"")</f>
        <v/>
      </c>
      <c r="B78" t="str">
        <f>IF(AND(FORSIDE!$B$8&gt;=6,FORSIDE!$F$8&gt;=0,FORSIDE!$B$5&gt;=10),354+0*FORSIDE!$F$9,"")</f>
        <v/>
      </c>
      <c r="C78" t="str">
        <f>IF(AND(FORSIDE!$B$8&gt;=6,FORSIDE!$F$8&gt;=0,FORSIDE!$B$5&gt;=10),6*FORSIDE!$B$9,"")</f>
        <v/>
      </c>
      <c r="D78" t="str">
        <f>IF(AND(FORSIDE!$B$8&gt;=6,FORSIDE!$F$8&gt;=0,FORSIDE!$B$5&gt;=10),FORSIDE!$B$6+(10-1)*FORSIDE!$B$7,"")</f>
        <v/>
      </c>
    </row>
    <row r="79" spans="1:4" x14ac:dyDescent="0.3">
      <c r="A79" t="str">
        <f>IF(AND(FORSIDE!$B$8&gt;=7,FORSIDE!$F$8&gt;=0,FORSIDE!$B$5&gt;=0),78,"")</f>
        <v/>
      </c>
      <c r="B79" t="str">
        <f>IF(AND(FORSIDE!$B$8&gt;=7,FORSIDE!$F$8&gt;=0,FORSIDE!$B$5&gt;=0),354+0*FORSIDE!$F$9,"")</f>
        <v/>
      </c>
      <c r="C79" t="str">
        <f>IF(AND(FORSIDE!$B$8&gt;=7,FORSIDE!$F$8&gt;=0,FORSIDE!$B$5&gt;=0),7*FORSIDE!$B$9,"")</f>
        <v/>
      </c>
      <c r="D79" t="str">
        <f>IF(AND(FORSIDE!$B$8&gt;=7,FORSIDE!$F$8&gt;=0,FORSIDE!$B$5&gt;=0),0,"")</f>
        <v/>
      </c>
    </row>
    <row r="80" spans="1:4" x14ac:dyDescent="0.3">
      <c r="A80" t="str">
        <f>IF(AND(FORSIDE!$B$8&gt;=7,FORSIDE!$F$8&gt;=0,FORSIDE!$B$5&gt;=1),79,"")</f>
        <v/>
      </c>
      <c r="B80" t="str">
        <f>IF(AND(FORSIDE!$B$8&gt;=7,FORSIDE!$F$8&gt;=0,FORSIDE!$B$5&gt;=1),354+0*FORSIDE!$F$9,"")</f>
        <v/>
      </c>
      <c r="C80" t="str">
        <f>IF(AND(FORSIDE!$B$8&gt;=7,FORSIDE!$F$8&gt;=0,FORSIDE!$B$5&gt;=1),7*FORSIDE!$B$9,"")</f>
        <v/>
      </c>
      <c r="D80" t="str">
        <f>IF(AND(FORSIDE!$B$8&gt;=7,FORSIDE!$F$8&gt;=0,FORSIDE!$B$5&gt;=1),FORSIDE!$B$6+(1-1)*FORSIDE!$B$7,"")</f>
        <v/>
      </c>
    </row>
    <row r="81" spans="1:4" x14ac:dyDescent="0.3">
      <c r="A81" t="str">
        <f>IF(AND(FORSIDE!$B$8&gt;=7,FORSIDE!$F$8&gt;=0,FORSIDE!$B$5&gt;=2),80,"")</f>
        <v/>
      </c>
      <c r="B81" t="str">
        <f>IF(AND(FORSIDE!$B$8&gt;=7,FORSIDE!$F$8&gt;=0,FORSIDE!$B$5&gt;=2),354+0*FORSIDE!$F$9,"")</f>
        <v/>
      </c>
      <c r="C81" t="str">
        <f>IF(AND(FORSIDE!$B$8&gt;=7,FORSIDE!$F$8&gt;=0,FORSIDE!$B$5&gt;=2),7*FORSIDE!$B$9,"")</f>
        <v/>
      </c>
      <c r="D81" t="str">
        <f>IF(AND(FORSIDE!$B$8&gt;=7,FORSIDE!$F$8&gt;=0,FORSIDE!$B$5&gt;=2),FORSIDE!$B$6+(2-1)*FORSIDE!$B$7,"")</f>
        <v/>
      </c>
    </row>
    <row r="82" spans="1:4" x14ac:dyDescent="0.3">
      <c r="A82" t="str">
        <f>IF(AND(FORSIDE!$B$8&gt;=7,FORSIDE!$F$8&gt;=0,FORSIDE!$B$5&gt;=3),81,"")</f>
        <v/>
      </c>
      <c r="B82" t="str">
        <f>IF(AND(FORSIDE!$B$8&gt;=7,FORSIDE!$F$8&gt;=0,FORSIDE!$B$5&gt;=3),354+0*FORSIDE!$F$9,"")</f>
        <v/>
      </c>
      <c r="C82" t="str">
        <f>IF(AND(FORSIDE!$B$8&gt;=7,FORSIDE!$F$8&gt;=0,FORSIDE!$B$5&gt;=3),7*FORSIDE!$B$9,"")</f>
        <v/>
      </c>
      <c r="D82" t="str">
        <f>IF(AND(FORSIDE!$B$8&gt;=7,FORSIDE!$F$8&gt;=0,FORSIDE!$B$5&gt;=3),FORSIDE!$B$6+(3-1)*FORSIDE!$B$7,"")</f>
        <v/>
      </c>
    </row>
    <row r="83" spans="1:4" x14ac:dyDescent="0.3">
      <c r="A83" t="str">
        <f>IF(AND(FORSIDE!$B$8&gt;=7,FORSIDE!$F$8&gt;=0,FORSIDE!$B$5&gt;=4),82,"")</f>
        <v/>
      </c>
      <c r="B83" t="str">
        <f>IF(AND(FORSIDE!$B$8&gt;=7,FORSIDE!$F$8&gt;=0,FORSIDE!$B$5&gt;=4),354+0*FORSIDE!$F$9,"")</f>
        <v/>
      </c>
      <c r="C83" t="str">
        <f>IF(AND(FORSIDE!$B$8&gt;=7,FORSIDE!$F$8&gt;=0,FORSIDE!$B$5&gt;=4),7*FORSIDE!$B$9,"")</f>
        <v/>
      </c>
      <c r="D83" t="str">
        <f>IF(AND(FORSIDE!$B$8&gt;=7,FORSIDE!$F$8&gt;=0,FORSIDE!$B$5&gt;=4),FORSIDE!$B$6+(4-1)*FORSIDE!$B$7,"")</f>
        <v/>
      </c>
    </row>
    <row r="84" spans="1:4" x14ac:dyDescent="0.3">
      <c r="A84" t="str">
        <f>IF(AND(FORSIDE!$B$8&gt;=7,FORSIDE!$F$8&gt;=0,FORSIDE!$B$5&gt;=5),83,"")</f>
        <v/>
      </c>
      <c r="B84" t="str">
        <f>IF(AND(FORSIDE!$B$8&gt;=7,FORSIDE!$F$8&gt;=0,FORSIDE!$B$5&gt;=5),354+0*FORSIDE!$F$9,"")</f>
        <v/>
      </c>
      <c r="C84" t="str">
        <f>IF(AND(FORSIDE!$B$8&gt;=7,FORSIDE!$F$8&gt;=0,FORSIDE!$B$5&gt;=5),7*FORSIDE!$B$9,"")</f>
        <v/>
      </c>
      <c r="D84" t="str">
        <f>IF(AND(FORSIDE!$B$8&gt;=7,FORSIDE!$F$8&gt;=0,FORSIDE!$B$5&gt;=5),FORSIDE!$B$6+(5-1)*FORSIDE!$B$7,"")</f>
        <v/>
      </c>
    </row>
    <row r="85" spans="1:4" x14ac:dyDescent="0.3">
      <c r="A85" t="str">
        <f>IF(AND(FORSIDE!$B$8&gt;=7,FORSIDE!$F$8&gt;=0,FORSIDE!$B$5&gt;=6),84,"")</f>
        <v/>
      </c>
      <c r="B85" t="str">
        <f>IF(AND(FORSIDE!$B$8&gt;=7,FORSIDE!$F$8&gt;=0,FORSIDE!$B$5&gt;=6),354+0*FORSIDE!$F$9,"")</f>
        <v/>
      </c>
      <c r="C85" t="str">
        <f>IF(AND(FORSIDE!$B$8&gt;=7,FORSIDE!$F$8&gt;=0,FORSIDE!$B$5&gt;=6),7*FORSIDE!$B$9,"")</f>
        <v/>
      </c>
      <c r="D85" t="str">
        <f>IF(AND(FORSIDE!$B$8&gt;=7,FORSIDE!$F$8&gt;=0,FORSIDE!$B$5&gt;=6),FORSIDE!$B$6+(6-1)*FORSIDE!$B$7,"")</f>
        <v/>
      </c>
    </row>
    <row r="86" spans="1:4" x14ac:dyDescent="0.3">
      <c r="A86" t="str">
        <f>IF(AND(FORSIDE!$B$8&gt;=7,FORSIDE!$F$8&gt;=0,FORSIDE!$B$5&gt;=7),85,"")</f>
        <v/>
      </c>
      <c r="B86" t="str">
        <f>IF(AND(FORSIDE!$B$8&gt;=7,FORSIDE!$F$8&gt;=0,FORSIDE!$B$5&gt;=7),354+0*FORSIDE!$F$9,"")</f>
        <v/>
      </c>
      <c r="C86" t="str">
        <f>IF(AND(FORSIDE!$B$8&gt;=7,FORSIDE!$F$8&gt;=0,FORSIDE!$B$5&gt;=7),7*FORSIDE!$B$9,"")</f>
        <v/>
      </c>
      <c r="D86" t="str">
        <f>IF(AND(FORSIDE!$B$8&gt;=7,FORSIDE!$F$8&gt;=0,FORSIDE!$B$5&gt;=7),FORSIDE!$B$6+(7-1)*FORSIDE!$B$7,"")</f>
        <v/>
      </c>
    </row>
    <row r="87" spans="1:4" x14ac:dyDescent="0.3">
      <c r="A87" t="str">
        <f>IF(AND(FORSIDE!$B$8&gt;=7,FORSIDE!$F$8&gt;=0,FORSIDE!$B$5&gt;=8),86,"")</f>
        <v/>
      </c>
      <c r="B87" t="str">
        <f>IF(AND(FORSIDE!$B$8&gt;=7,FORSIDE!$F$8&gt;=0,FORSIDE!$B$5&gt;=8),354+0*FORSIDE!$F$9,"")</f>
        <v/>
      </c>
      <c r="C87" t="str">
        <f>IF(AND(FORSIDE!$B$8&gt;=7,FORSIDE!$F$8&gt;=0,FORSIDE!$B$5&gt;=8),7*FORSIDE!$B$9,"")</f>
        <v/>
      </c>
      <c r="D87" t="str">
        <f>IF(AND(FORSIDE!$B$8&gt;=7,FORSIDE!$F$8&gt;=0,FORSIDE!$B$5&gt;=8),FORSIDE!$B$6+(8-1)*FORSIDE!$B$7,"")</f>
        <v/>
      </c>
    </row>
    <row r="88" spans="1:4" x14ac:dyDescent="0.3">
      <c r="A88" t="str">
        <f>IF(AND(FORSIDE!$B$8&gt;=7,FORSIDE!$F$8&gt;=0,FORSIDE!$B$5&gt;=9),87,"")</f>
        <v/>
      </c>
      <c r="B88" t="str">
        <f>IF(AND(FORSIDE!$B$8&gt;=7,FORSIDE!$F$8&gt;=0,FORSIDE!$B$5&gt;=9),354+0*FORSIDE!$F$9,"")</f>
        <v/>
      </c>
      <c r="C88" t="str">
        <f>IF(AND(FORSIDE!$B$8&gt;=7,FORSIDE!$F$8&gt;=0,FORSIDE!$B$5&gt;=9),7*FORSIDE!$B$9,"")</f>
        <v/>
      </c>
      <c r="D88" t="str">
        <f>IF(AND(FORSIDE!$B$8&gt;=7,FORSIDE!$F$8&gt;=0,FORSIDE!$B$5&gt;=9),FORSIDE!$B$6+(9-1)*FORSIDE!$B$7,"")</f>
        <v/>
      </c>
    </row>
    <row r="89" spans="1:4" x14ac:dyDescent="0.3">
      <c r="A89" t="str">
        <f>IF(AND(FORSIDE!$B$8&gt;=7,FORSIDE!$F$8&gt;=0,FORSIDE!$B$5&gt;=10),88,"")</f>
        <v/>
      </c>
      <c r="B89" t="str">
        <f>IF(AND(FORSIDE!$B$8&gt;=7,FORSIDE!$F$8&gt;=0,FORSIDE!$B$5&gt;=10),354+0*FORSIDE!$F$9,"")</f>
        <v/>
      </c>
      <c r="C89" t="str">
        <f>IF(AND(FORSIDE!$B$8&gt;=7,FORSIDE!$F$8&gt;=0,FORSIDE!$B$5&gt;=10),7*FORSIDE!$B$9,"")</f>
        <v/>
      </c>
      <c r="D89" t="str">
        <f>IF(AND(FORSIDE!$B$8&gt;=7,FORSIDE!$F$8&gt;=0,FORSIDE!$B$5&gt;=10),FORSIDE!$B$6+(10-1)*FORSIDE!$B$7,"")</f>
        <v/>
      </c>
    </row>
    <row r="90" spans="1:4" x14ac:dyDescent="0.3">
      <c r="A90" t="str">
        <f>IF(AND(FORSIDE!$B$8&gt;=8,FORSIDE!$F$8&gt;=0,FORSIDE!$B$5&gt;=0),89,"")</f>
        <v/>
      </c>
      <c r="B90" t="str">
        <f>IF(AND(FORSIDE!$B$8&gt;=8,FORSIDE!$F$8&gt;=0,FORSIDE!$B$5&gt;=0),354+0*FORSIDE!$F$9,"")</f>
        <v/>
      </c>
      <c r="C90" t="str">
        <f>IF(AND(FORSIDE!$B$8&gt;=8,FORSIDE!$F$8&gt;=0,FORSIDE!$B$5&gt;=0),8*FORSIDE!$B$9,"")</f>
        <v/>
      </c>
      <c r="D90" t="str">
        <f>IF(AND(FORSIDE!$B$8&gt;=8,FORSIDE!$F$8&gt;=0,FORSIDE!$B$5&gt;=0),0,"")</f>
        <v/>
      </c>
    </row>
    <row r="91" spans="1:4" x14ac:dyDescent="0.3">
      <c r="A91" t="str">
        <f>IF(AND(FORSIDE!$B$8&gt;=8,FORSIDE!$F$8&gt;=0,FORSIDE!$B$5&gt;=1),90,"")</f>
        <v/>
      </c>
      <c r="B91" t="str">
        <f>IF(AND(FORSIDE!$B$8&gt;=8,FORSIDE!$F$8&gt;=0,FORSIDE!$B$5&gt;=1),354+0*FORSIDE!$F$9,"")</f>
        <v/>
      </c>
      <c r="C91" t="str">
        <f>IF(AND(FORSIDE!$B$8&gt;=8,FORSIDE!$F$8&gt;=0,FORSIDE!$B$5&gt;=1),8*FORSIDE!$B$9,"")</f>
        <v/>
      </c>
      <c r="D91" t="str">
        <f>IF(AND(FORSIDE!$B$8&gt;=8,FORSIDE!$F$8&gt;=0,FORSIDE!$B$5&gt;=1),FORSIDE!$B$6+(1-1)*FORSIDE!$B$7,"")</f>
        <v/>
      </c>
    </row>
    <row r="92" spans="1:4" x14ac:dyDescent="0.3">
      <c r="A92" t="str">
        <f>IF(AND(FORSIDE!$B$8&gt;=8,FORSIDE!$F$8&gt;=0,FORSIDE!$B$5&gt;=2),91,"")</f>
        <v/>
      </c>
      <c r="B92" t="str">
        <f>IF(AND(FORSIDE!$B$8&gt;=8,FORSIDE!$F$8&gt;=0,FORSIDE!$B$5&gt;=2),354+0*FORSIDE!$F$9,"")</f>
        <v/>
      </c>
      <c r="C92" t="str">
        <f>IF(AND(FORSIDE!$B$8&gt;=8,FORSIDE!$F$8&gt;=0,FORSIDE!$B$5&gt;=2),8*FORSIDE!$B$9,"")</f>
        <v/>
      </c>
      <c r="D92" t="str">
        <f>IF(AND(FORSIDE!$B$8&gt;=8,FORSIDE!$F$8&gt;=0,FORSIDE!$B$5&gt;=2),FORSIDE!$B$6+(2-1)*FORSIDE!$B$7,"")</f>
        <v/>
      </c>
    </row>
    <row r="93" spans="1:4" x14ac:dyDescent="0.3">
      <c r="A93" t="str">
        <f>IF(AND(FORSIDE!$B$8&gt;=8,FORSIDE!$F$8&gt;=0,FORSIDE!$B$5&gt;=3),92,"")</f>
        <v/>
      </c>
      <c r="B93" t="str">
        <f>IF(AND(FORSIDE!$B$8&gt;=8,FORSIDE!$F$8&gt;=0,FORSIDE!$B$5&gt;=3),354+0*FORSIDE!$F$9,"")</f>
        <v/>
      </c>
      <c r="C93" t="str">
        <f>IF(AND(FORSIDE!$B$8&gt;=8,FORSIDE!$F$8&gt;=0,FORSIDE!$B$5&gt;=3),8*FORSIDE!$B$9,"")</f>
        <v/>
      </c>
      <c r="D93" t="str">
        <f>IF(AND(FORSIDE!$B$8&gt;=8,FORSIDE!$F$8&gt;=0,FORSIDE!$B$5&gt;=3),FORSIDE!$B$6+(3-1)*FORSIDE!$B$7,"")</f>
        <v/>
      </c>
    </row>
    <row r="94" spans="1:4" x14ac:dyDescent="0.3">
      <c r="A94" t="str">
        <f>IF(AND(FORSIDE!$B$8&gt;=8,FORSIDE!$F$8&gt;=0,FORSIDE!$B$5&gt;=4),93,"")</f>
        <v/>
      </c>
      <c r="B94" t="str">
        <f>IF(AND(FORSIDE!$B$8&gt;=8,FORSIDE!$F$8&gt;=0,FORSIDE!$B$5&gt;=4),354+0*FORSIDE!$F$9,"")</f>
        <v/>
      </c>
      <c r="C94" t="str">
        <f>IF(AND(FORSIDE!$B$8&gt;=8,FORSIDE!$F$8&gt;=0,FORSIDE!$B$5&gt;=4),8*FORSIDE!$B$9,"")</f>
        <v/>
      </c>
      <c r="D94" t="str">
        <f>IF(AND(FORSIDE!$B$8&gt;=8,FORSIDE!$F$8&gt;=0,FORSIDE!$B$5&gt;=4),FORSIDE!$B$6+(4-1)*FORSIDE!$B$7,"")</f>
        <v/>
      </c>
    </row>
    <row r="95" spans="1:4" x14ac:dyDescent="0.3">
      <c r="A95" t="str">
        <f>IF(AND(FORSIDE!$B$8&gt;=8,FORSIDE!$F$8&gt;=0,FORSIDE!$B$5&gt;=5),94,"")</f>
        <v/>
      </c>
      <c r="B95" t="str">
        <f>IF(AND(FORSIDE!$B$8&gt;=8,FORSIDE!$F$8&gt;=0,FORSIDE!$B$5&gt;=5),354+0*FORSIDE!$F$9,"")</f>
        <v/>
      </c>
      <c r="C95" t="str">
        <f>IF(AND(FORSIDE!$B$8&gt;=8,FORSIDE!$F$8&gt;=0,FORSIDE!$B$5&gt;=5),8*FORSIDE!$B$9,"")</f>
        <v/>
      </c>
      <c r="D95" t="str">
        <f>IF(AND(FORSIDE!$B$8&gt;=8,FORSIDE!$F$8&gt;=0,FORSIDE!$B$5&gt;=5),FORSIDE!$B$6+(5-1)*FORSIDE!$B$7,"")</f>
        <v/>
      </c>
    </row>
    <row r="96" spans="1:4" x14ac:dyDescent="0.3">
      <c r="A96" t="str">
        <f>IF(AND(FORSIDE!$B$8&gt;=8,FORSIDE!$F$8&gt;=0,FORSIDE!$B$5&gt;=6),95,"")</f>
        <v/>
      </c>
      <c r="B96" t="str">
        <f>IF(AND(FORSIDE!$B$8&gt;=8,FORSIDE!$F$8&gt;=0,FORSIDE!$B$5&gt;=6),354+0*FORSIDE!$F$9,"")</f>
        <v/>
      </c>
      <c r="C96" t="str">
        <f>IF(AND(FORSIDE!$B$8&gt;=8,FORSIDE!$F$8&gt;=0,FORSIDE!$B$5&gt;=6),8*FORSIDE!$B$9,"")</f>
        <v/>
      </c>
      <c r="D96" t="str">
        <f>IF(AND(FORSIDE!$B$8&gt;=8,FORSIDE!$F$8&gt;=0,FORSIDE!$B$5&gt;=6),FORSIDE!$B$6+(6-1)*FORSIDE!$B$7,"")</f>
        <v/>
      </c>
    </row>
    <row r="97" spans="1:4" x14ac:dyDescent="0.3">
      <c r="A97" t="str">
        <f>IF(AND(FORSIDE!$B$8&gt;=8,FORSIDE!$F$8&gt;=0,FORSIDE!$B$5&gt;=7),96,"")</f>
        <v/>
      </c>
      <c r="B97" t="str">
        <f>IF(AND(FORSIDE!$B$8&gt;=8,FORSIDE!$F$8&gt;=0,FORSIDE!$B$5&gt;=7),354+0*FORSIDE!$F$9,"")</f>
        <v/>
      </c>
      <c r="C97" t="str">
        <f>IF(AND(FORSIDE!$B$8&gt;=8,FORSIDE!$F$8&gt;=0,FORSIDE!$B$5&gt;=7),8*FORSIDE!$B$9,"")</f>
        <v/>
      </c>
      <c r="D97" t="str">
        <f>IF(AND(FORSIDE!$B$8&gt;=8,FORSIDE!$F$8&gt;=0,FORSIDE!$B$5&gt;=7),FORSIDE!$B$6+(7-1)*FORSIDE!$B$7,"")</f>
        <v/>
      </c>
    </row>
    <row r="98" spans="1:4" x14ac:dyDescent="0.3">
      <c r="A98" t="str">
        <f>IF(AND(FORSIDE!$B$8&gt;=8,FORSIDE!$F$8&gt;=0,FORSIDE!$B$5&gt;=8),97,"")</f>
        <v/>
      </c>
      <c r="B98" t="str">
        <f>IF(AND(FORSIDE!$B$8&gt;=8,FORSIDE!$F$8&gt;=0,FORSIDE!$B$5&gt;=8),354+0*FORSIDE!$F$9,"")</f>
        <v/>
      </c>
      <c r="C98" t="str">
        <f>IF(AND(FORSIDE!$B$8&gt;=8,FORSIDE!$F$8&gt;=0,FORSIDE!$B$5&gt;=8),8*FORSIDE!$B$9,"")</f>
        <v/>
      </c>
      <c r="D98" t="str">
        <f>IF(AND(FORSIDE!$B$8&gt;=8,FORSIDE!$F$8&gt;=0,FORSIDE!$B$5&gt;=8),FORSIDE!$B$6+(8-1)*FORSIDE!$B$7,"")</f>
        <v/>
      </c>
    </row>
    <row r="99" spans="1:4" x14ac:dyDescent="0.3">
      <c r="A99" t="str">
        <f>IF(AND(FORSIDE!$B$8&gt;=8,FORSIDE!$F$8&gt;=0,FORSIDE!$B$5&gt;=9),98,"")</f>
        <v/>
      </c>
      <c r="B99" t="str">
        <f>IF(AND(FORSIDE!$B$8&gt;=8,FORSIDE!$F$8&gt;=0,FORSIDE!$B$5&gt;=9),354+0*FORSIDE!$F$9,"")</f>
        <v/>
      </c>
      <c r="C99" t="str">
        <f>IF(AND(FORSIDE!$B$8&gt;=8,FORSIDE!$F$8&gt;=0,FORSIDE!$B$5&gt;=9),8*FORSIDE!$B$9,"")</f>
        <v/>
      </c>
      <c r="D99" t="str">
        <f>IF(AND(FORSIDE!$B$8&gt;=8,FORSIDE!$F$8&gt;=0,FORSIDE!$B$5&gt;=9),FORSIDE!$B$6+(9-1)*FORSIDE!$B$7,"")</f>
        <v/>
      </c>
    </row>
    <row r="100" spans="1:4" x14ac:dyDescent="0.3">
      <c r="A100" t="str">
        <f>IF(AND(FORSIDE!$B$8&gt;=8,FORSIDE!$F$8&gt;=0,FORSIDE!$B$5&gt;=10),99,"")</f>
        <v/>
      </c>
      <c r="B100" t="str">
        <f>IF(AND(FORSIDE!$B$8&gt;=8,FORSIDE!$F$8&gt;=0,FORSIDE!$B$5&gt;=10),354+0*FORSIDE!$F$9,"")</f>
        <v/>
      </c>
      <c r="C100" t="str">
        <f>IF(AND(FORSIDE!$B$8&gt;=8,FORSIDE!$F$8&gt;=0,FORSIDE!$B$5&gt;=10),8*FORSIDE!$B$9,"")</f>
        <v/>
      </c>
      <c r="D100" t="str">
        <f>IF(AND(FORSIDE!$B$8&gt;=8,FORSIDE!$F$8&gt;=0,FORSIDE!$B$5&gt;=10),FORSIDE!$B$6+(10-1)*FORSIDE!$B$7,"")</f>
        <v/>
      </c>
    </row>
    <row r="101" spans="1:4" x14ac:dyDescent="0.3">
      <c r="A101" t="str">
        <f>IF(AND(FORSIDE!$B$8&gt;=9,FORSIDE!$F$8&gt;=0,FORSIDE!$B$5&gt;=0),100,"")</f>
        <v/>
      </c>
      <c r="B101" t="str">
        <f>IF(AND(FORSIDE!$B$8&gt;=9,FORSIDE!$F$8&gt;=0,FORSIDE!$B$5&gt;=0),354+0*FORSIDE!$F$9,"")</f>
        <v/>
      </c>
      <c r="C101" t="str">
        <f>IF(AND(FORSIDE!$B$8&gt;=9,FORSIDE!$F$8&gt;=0,FORSIDE!$B$5&gt;=0),9*FORSIDE!$B$9,"")</f>
        <v/>
      </c>
      <c r="D101" t="str">
        <f>IF(AND(FORSIDE!$B$8&gt;=9,FORSIDE!$F$8&gt;=0,FORSIDE!$B$5&gt;=0),0,"")</f>
        <v/>
      </c>
    </row>
    <row r="102" spans="1:4" x14ac:dyDescent="0.3">
      <c r="A102" t="str">
        <f>IF(AND(FORSIDE!$B$8&gt;=9,FORSIDE!$F$8&gt;=0,FORSIDE!$B$5&gt;=1),101,"")</f>
        <v/>
      </c>
      <c r="B102" t="str">
        <f>IF(AND(FORSIDE!$B$8&gt;=9,FORSIDE!$F$8&gt;=0,FORSIDE!$B$5&gt;=1),354+0*FORSIDE!$F$9,"")</f>
        <v/>
      </c>
      <c r="C102" t="str">
        <f>IF(AND(FORSIDE!$B$8&gt;=9,FORSIDE!$F$8&gt;=0,FORSIDE!$B$5&gt;=1),9*FORSIDE!$B$9,"")</f>
        <v/>
      </c>
      <c r="D102" t="str">
        <f>IF(AND(FORSIDE!$B$8&gt;=9,FORSIDE!$F$8&gt;=0,FORSIDE!$B$5&gt;=1),FORSIDE!$B$6+(1-1)*FORSIDE!$B$7,"")</f>
        <v/>
      </c>
    </row>
    <row r="103" spans="1:4" x14ac:dyDescent="0.3">
      <c r="A103" t="str">
        <f>IF(AND(FORSIDE!$B$8&gt;=9,FORSIDE!$F$8&gt;=0,FORSIDE!$B$5&gt;=2),102,"")</f>
        <v/>
      </c>
      <c r="B103" t="str">
        <f>IF(AND(FORSIDE!$B$8&gt;=9,FORSIDE!$F$8&gt;=0,FORSIDE!$B$5&gt;=2),354+0*FORSIDE!$F$9,"")</f>
        <v/>
      </c>
      <c r="C103" t="str">
        <f>IF(AND(FORSIDE!$B$8&gt;=9,FORSIDE!$F$8&gt;=0,FORSIDE!$B$5&gt;=2),9*FORSIDE!$B$9,"")</f>
        <v/>
      </c>
      <c r="D103" t="str">
        <f>IF(AND(FORSIDE!$B$8&gt;=9,FORSIDE!$F$8&gt;=0,FORSIDE!$B$5&gt;=2),FORSIDE!$B$6+(2-1)*FORSIDE!$B$7,"")</f>
        <v/>
      </c>
    </row>
    <row r="104" spans="1:4" x14ac:dyDescent="0.3">
      <c r="A104" t="str">
        <f>IF(AND(FORSIDE!$B$8&gt;=9,FORSIDE!$F$8&gt;=0,FORSIDE!$B$5&gt;=3),103,"")</f>
        <v/>
      </c>
      <c r="B104" t="str">
        <f>IF(AND(FORSIDE!$B$8&gt;=9,FORSIDE!$F$8&gt;=0,FORSIDE!$B$5&gt;=3),354+0*FORSIDE!$F$9,"")</f>
        <v/>
      </c>
      <c r="C104" t="str">
        <f>IF(AND(FORSIDE!$B$8&gt;=9,FORSIDE!$F$8&gt;=0,FORSIDE!$B$5&gt;=3),9*FORSIDE!$B$9,"")</f>
        <v/>
      </c>
      <c r="D104" t="str">
        <f>IF(AND(FORSIDE!$B$8&gt;=9,FORSIDE!$F$8&gt;=0,FORSIDE!$B$5&gt;=3),FORSIDE!$B$6+(3-1)*FORSIDE!$B$7,"")</f>
        <v/>
      </c>
    </row>
    <row r="105" spans="1:4" x14ac:dyDescent="0.3">
      <c r="A105" t="str">
        <f>IF(AND(FORSIDE!$B$8&gt;=9,FORSIDE!$F$8&gt;=0,FORSIDE!$B$5&gt;=4),104,"")</f>
        <v/>
      </c>
      <c r="B105" t="str">
        <f>IF(AND(FORSIDE!$B$8&gt;=9,FORSIDE!$F$8&gt;=0,FORSIDE!$B$5&gt;=4),354+0*FORSIDE!$F$9,"")</f>
        <v/>
      </c>
      <c r="C105" t="str">
        <f>IF(AND(FORSIDE!$B$8&gt;=9,FORSIDE!$F$8&gt;=0,FORSIDE!$B$5&gt;=4),9*FORSIDE!$B$9,"")</f>
        <v/>
      </c>
      <c r="D105" t="str">
        <f>IF(AND(FORSIDE!$B$8&gt;=9,FORSIDE!$F$8&gt;=0,FORSIDE!$B$5&gt;=4),FORSIDE!$B$6+(4-1)*FORSIDE!$B$7,"")</f>
        <v/>
      </c>
    </row>
    <row r="106" spans="1:4" x14ac:dyDescent="0.3">
      <c r="A106" t="str">
        <f>IF(AND(FORSIDE!$B$8&gt;=9,FORSIDE!$F$8&gt;=0,FORSIDE!$B$5&gt;=5),105,"")</f>
        <v/>
      </c>
      <c r="B106" t="str">
        <f>IF(AND(FORSIDE!$B$8&gt;=9,FORSIDE!$F$8&gt;=0,FORSIDE!$B$5&gt;=5),354+0*FORSIDE!$F$9,"")</f>
        <v/>
      </c>
      <c r="C106" t="str">
        <f>IF(AND(FORSIDE!$B$8&gt;=9,FORSIDE!$F$8&gt;=0,FORSIDE!$B$5&gt;=5),9*FORSIDE!$B$9,"")</f>
        <v/>
      </c>
      <c r="D106" t="str">
        <f>IF(AND(FORSIDE!$B$8&gt;=9,FORSIDE!$F$8&gt;=0,FORSIDE!$B$5&gt;=5),FORSIDE!$B$6+(5-1)*FORSIDE!$B$7,"")</f>
        <v/>
      </c>
    </row>
    <row r="107" spans="1:4" x14ac:dyDescent="0.3">
      <c r="A107" t="str">
        <f>IF(AND(FORSIDE!$B$8&gt;=9,FORSIDE!$F$8&gt;=0,FORSIDE!$B$5&gt;=6),106,"")</f>
        <v/>
      </c>
      <c r="B107" t="str">
        <f>IF(AND(FORSIDE!$B$8&gt;=9,FORSIDE!$F$8&gt;=0,FORSIDE!$B$5&gt;=6),354+0*FORSIDE!$F$9,"")</f>
        <v/>
      </c>
      <c r="C107" t="str">
        <f>IF(AND(FORSIDE!$B$8&gt;=9,FORSIDE!$F$8&gt;=0,FORSIDE!$B$5&gt;=6),9*FORSIDE!$B$9,"")</f>
        <v/>
      </c>
      <c r="D107" t="str">
        <f>IF(AND(FORSIDE!$B$8&gt;=9,FORSIDE!$F$8&gt;=0,FORSIDE!$B$5&gt;=6),FORSIDE!$B$6+(6-1)*FORSIDE!$B$7,"")</f>
        <v/>
      </c>
    </row>
    <row r="108" spans="1:4" x14ac:dyDescent="0.3">
      <c r="A108" t="str">
        <f>IF(AND(FORSIDE!$B$8&gt;=9,FORSIDE!$F$8&gt;=0,FORSIDE!$B$5&gt;=7),107,"")</f>
        <v/>
      </c>
      <c r="B108" t="str">
        <f>IF(AND(FORSIDE!$B$8&gt;=9,FORSIDE!$F$8&gt;=0,FORSIDE!$B$5&gt;=7),354+0*FORSIDE!$F$9,"")</f>
        <v/>
      </c>
      <c r="C108" t="str">
        <f>IF(AND(FORSIDE!$B$8&gt;=9,FORSIDE!$F$8&gt;=0,FORSIDE!$B$5&gt;=7),9*FORSIDE!$B$9,"")</f>
        <v/>
      </c>
      <c r="D108" t="str">
        <f>IF(AND(FORSIDE!$B$8&gt;=9,FORSIDE!$F$8&gt;=0,FORSIDE!$B$5&gt;=7),FORSIDE!$B$6+(7-1)*FORSIDE!$B$7,"")</f>
        <v/>
      </c>
    </row>
    <row r="109" spans="1:4" x14ac:dyDescent="0.3">
      <c r="A109" t="str">
        <f>IF(AND(FORSIDE!$B$8&gt;=9,FORSIDE!$F$8&gt;=0,FORSIDE!$B$5&gt;=8),108,"")</f>
        <v/>
      </c>
      <c r="B109" t="str">
        <f>IF(AND(FORSIDE!$B$8&gt;=9,FORSIDE!$F$8&gt;=0,FORSIDE!$B$5&gt;=8),354+0*FORSIDE!$F$9,"")</f>
        <v/>
      </c>
      <c r="C109" t="str">
        <f>IF(AND(FORSIDE!$B$8&gt;=9,FORSIDE!$F$8&gt;=0,FORSIDE!$B$5&gt;=8),9*FORSIDE!$B$9,"")</f>
        <v/>
      </c>
      <c r="D109" t="str">
        <f>IF(AND(FORSIDE!$B$8&gt;=9,FORSIDE!$F$8&gt;=0,FORSIDE!$B$5&gt;=8),FORSIDE!$B$6+(8-1)*FORSIDE!$B$7,"")</f>
        <v/>
      </c>
    </row>
    <row r="110" spans="1:4" x14ac:dyDescent="0.3">
      <c r="A110" t="str">
        <f>IF(AND(FORSIDE!$B$8&gt;=9,FORSIDE!$F$8&gt;=0,FORSIDE!$B$5&gt;=9),109,"")</f>
        <v/>
      </c>
      <c r="B110" t="str">
        <f>IF(AND(FORSIDE!$B$8&gt;=9,FORSIDE!$F$8&gt;=0,FORSIDE!$B$5&gt;=9),354+0*FORSIDE!$F$9,"")</f>
        <v/>
      </c>
      <c r="C110" t="str">
        <f>IF(AND(FORSIDE!$B$8&gt;=9,FORSIDE!$F$8&gt;=0,FORSIDE!$B$5&gt;=9),9*FORSIDE!$B$9,"")</f>
        <v/>
      </c>
      <c r="D110" t="str">
        <f>IF(AND(FORSIDE!$B$8&gt;=9,FORSIDE!$F$8&gt;=0,FORSIDE!$B$5&gt;=9),FORSIDE!$B$6+(9-1)*FORSIDE!$B$7,"")</f>
        <v/>
      </c>
    </row>
    <row r="111" spans="1:4" x14ac:dyDescent="0.3">
      <c r="A111" t="str">
        <f>IF(AND(FORSIDE!$B$8&gt;=9,FORSIDE!$F$8&gt;=0,FORSIDE!$B$5&gt;=10),110,"")</f>
        <v/>
      </c>
      <c r="B111" t="str">
        <f>IF(AND(FORSIDE!$B$8&gt;=9,FORSIDE!$F$8&gt;=0,FORSIDE!$B$5&gt;=10),354+0*FORSIDE!$F$9,"")</f>
        <v/>
      </c>
      <c r="C111" t="str">
        <f>IF(AND(FORSIDE!$B$8&gt;=9,FORSIDE!$F$8&gt;=0,FORSIDE!$B$5&gt;=10),9*FORSIDE!$B$9,"")</f>
        <v/>
      </c>
      <c r="D111" t="str">
        <f>IF(AND(FORSIDE!$B$8&gt;=9,FORSIDE!$F$8&gt;=0,FORSIDE!$B$5&gt;=10),FORSIDE!$B$6+(10-1)*FORSIDE!$B$7,"")</f>
        <v/>
      </c>
    </row>
    <row r="112" spans="1:4" x14ac:dyDescent="0.3">
      <c r="A112" t="str">
        <f>IF(AND(FORSIDE!$B$8&gt;=10,FORSIDE!$F$8&gt;=0,FORSIDE!$B$5&gt;=0),111,"")</f>
        <v/>
      </c>
      <c r="B112" t="str">
        <f>IF(AND(FORSIDE!$B$8&gt;=10,FORSIDE!$F$8&gt;=0,FORSIDE!$B$5&gt;=0),354+0*FORSIDE!$F$9,"")</f>
        <v/>
      </c>
      <c r="C112" t="str">
        <f>IF(AND(FORSIDE!$B$8&gt;=10,FORSIDE!$F$8&gt;=0,FORSIDE!$B$5&gt;=0),10*FORSIDE!$B$9,"")</f>
        <v/>
      </c>
      <c r="D112" t="str">
        <f>IF(AND(FORSIDE!$B$8&gt;=10,FORSIDE!$F$8&gt;=0,FORSIDE!$B$5&gt;=0),0,"")</f>
        <v/>
      </c>
    </row>
    <row r="113" spans="1:4" x14ac:dyDescent="0.3">
      <c r="A113" t="str">
        <f>IF(AND(FORSIDE!$B$8&gt;=10,FORSIDE!$F$8&gt;=0,FORSIDE!$B$5&gt;=1),112,"")</f>
        <v/>
      </c>
      <c r="B113" t="str">
        <f>IF(AND(FORSIDE!$B$8&gt;=10,FORSIDE!$F$8&gt;=0,FORSIDE!$B$5&gt;=1),354+0*FORSIDE!$F$9,"")</f>
        <v/>
      </c>
      <c r="C113" t="str">
        <f>IF(AND(FORSIDE!$B$8&gt;=10,FORSIDE!$F$8&gt;=0,FORSIDE!$B$5&gt;=1),10*FORSIDE!$B$9,"")</f>
        <v/>
      </c>
      <c r="D113" t="str">
        <f>IF(AND(FORSIDE!$B$8&gt;=10,FORSIDE!$F$8&gt;=0,FORSIDE!$B$5&gt;=1),FORSIDE!$B$6+(1-1)*FORSIDE!$B$7,"")</f>
        <v/>
      </c>
    </row>
    <row r="114" spans="1:4" x14ac:dyDescent="0.3">
      <c r="A114" t="str">
        <f>IF(AND(FORSIDE!$B$8&gt;=10,FORSIDE!$F$8&gt;=0,FORSIDE!$B$5&gt;=2),113,"")</f>
        <v/>
      </c>
      <c r="B114" t="str">
        <f>IF(AND(FORSIDE!$B$8&gt;=10,FORSIDE!$F$8&gt;=0,FORSIDE!$B$5&gt;=2),354+0*FORSIDE!$F$9,"")</f>
        <v/>
      </c>
      <c r="C114" t="str">
        <f>IF(AND(FORSIDE!$B$8&gt;=10,FORSIDE!$F$8&gt;=0,FORSIDE!$B$5&gt;=2),10*FORSIDE!$B$9,"")</f>
        <v/>
      </c>
      <c r="D114" t="str">
        <f>IF(AND(FORSIDE!$B$8&gt;=10,FORSIDE!$F$8&gt;=0,FORSIDE!$B$5&gt;=2),FORSIDE!$B$6+(2-1)*FORSIDE!$B$7,"")</f>
        <v/>
      </c>
    </row>
    <row r="115" spans="1:4" x14ac:dyDescent="0.3">
      <c r="A115" t="str">
        <f>IF(AND(FORSIDE!$B$8&gt;=10,FORSIDE!$F$8&gt;=0,FORSIDE!$B$5&gt;=3),114,"")</f>
        <v/>
      </c>
      <c r="B115" t="str">
        <f>IF(AND(FORSIDE!$B$8&gt;=10,FORSIDE!$F$8&gt;=0,FORSIDE!$B$5&gt;=3),354+0*FORSIDE!$F$9,"")</f>
        <v/>
      </c>
      <c r="C115" t="str">
        <f>IF(AND(FORSIDE!$B$8&gt;=10,FORSIDE!$F$8&gt;=0,FORSIDE!$B$5&gt;=3),10*FORSIDE!$B$9,"")</f>
        <v/>
      </c>
      <c r="D115" t="str">
        <f>IF(AND(FORSIDE!$B$8&gt;=10,FORSIDE!$F$8&gt;=0,FORSIDE!$B$5&gt;=3),FORSIDE!$B$6+(3-1)*FORSIDE!$B$7,"")</f>
        <v/>
      </c>
    </row>
    <row r="116" spans="1:4" x14ac:dyDescent="0.3">
      <c r="A116" t="str">
        <f>IF(AND(FORSIDE!$B$8&gt;=10,FORSIDE!$F$8&gt;=0,FORSIDE!$B$5&gt;=4),115,"")</f>
        <v/>
      </c>
      <c r="B116" t="str">
        <f>IF(AND(FORSIDE!$B$8&gt;=10,FORSIDE!$F$8&gt;=0,FORSIDE!$B$5&gt;=4),354+0*FORSIDE!$F$9,"")</f>
        <v/>
      </c>
      <c r="C116" t="str">
        <f>IF(AND(FORSIDE!$B$8&gt;=10,FORSIDE!$F$8&gt;=0,FORSIDE!$B$5&gt;=4),10*FORSIDE!$B$9,"")</f>
        <v/>
      </c>
      <c r="D116" t="str">
        <f>IF(AND(FORSIDE!$B$8&gt;=10,FORSIDE!$F$8&gt;=0,FORSIDE!$B$5&gt;=4),FORSIDE!$B$6+(4-1)*FORSIDE!$B$7,"")</f>
        <v/>
      </c>
    </row>
    <row r="117" spans="1:4" x14ac:dyDescent="0.3">
      <c r="A117" t="str">
        <f>IF(AND(FORSIDE!$B$8&gt;=10,FORSIDE!$F$8&gt;=0,FORSIDE!$B$5&gt;=5),116,"")</f>
        <v/>
      </c>
      <c r="B117" t="str">
        <f>IF(AND(FORSIDE!$B$8&gt;=10,FORSIDE!$F$8&gt;=0,FORSIDE!$B$5&gt;=5),354+0*FORSIDE!$F$9,"")</f>
        <v/>
      </c>
      <c r="C117" t="str">
        <f>IF(AND(FORSIDE!$B$8&gt;=10,FORSIDE!$F$8&gt;=0,FORSIDE!$B$5&gt;=5),10*FORSIDE!$B$9,"")</f>
        <v/>
      </c>
      <c r="D117" t="str">
        <f>IF(AND(FORSIDE!$B$8&gt;=10,FORSIDE!$F$8&gt;=0,FORSIDE!$B$5&gt;=5),FORSIDE!$B$6+(5-1)*FORSIDE!$B$7,"")</f>
        <v/>
      </c>
    </row>
    <row r="118" spans="1:4" x14ac:dyDescent="0.3">
      <c r="A118" t="str">
        <f>IF(AND(FORSIDE!$B$8&gt;=10,FORSIDE!$F$8&gt;=0,FORSIDE!$B$5&gt;=6),117,"")</f>
        <v/>
      </c>
      <c r="B118" t="str">
        <f>IF(AND(FORSIDE!$B$8&gt;=10,FORSIDE!$F$8&gt;=0,FORSIDE!$B$5&gt;=6),354+0*FORSIDE!$F$9,"")</f>
        <v/>
      </c>
      <c r="C118" t="str">
        <f>IF(AND(FORSIDE!$B$8&gt;=10,FORSIDE!$F$8&gt;=0,FORSIDE!$B$5&gt;=6),10*FORSIDE!$B$9,"")</f>
        <v/>
      </c>
      <c r="D118" t="str">
        <f>IF(AND(FORSIDE!$B$8&gt;=10,FORSIDE!$F$8&gt;=0,FORSIDE!$B$5&gt;=6),FORSIDE!$B$6+(6-1)*FORSIDE!$B$7,"")</f>
        <v/>
      </c>
    </row>
    <row r="119" spans="1:4" x14ac:dyDescent="0.3">
      <c r="A119" t="str">
        <f>IF(AND(FORSIDE!$B$8&gt;=10,FORSIDE!$F$8&gt;=0,FORSIDE!$B$5&gt;=7),118,"")</f>
        <v/>
      </c>
      <c r="B119" t="str">
        <f>IF(AND(FORSIDE!$B$8&gt;=10,FORSIDE!$F$8&gt;=0,FORSIDE!$B$5&gt;=7),354+0*FORSIDE!$F$9,"")</f>
        <v/>
      </c>
      <c r="C119" t="str">
        <f>IF(AND(FORSIDE!$B$8&gt;=10,FORSIDE!$F$8&gt;=0,FORSIDE!$B$5&gt;=7),10*FORSIDE!$B$9,"")</f>
        <v/>
      </c>
      <c r="D119" t="str">
        <f>IF(AND(FORSIDE!$B$8&gt;=10,FORSIDE!$F$8&gt;=0,FORSIDE!$B$5&gt;=7),FORSIDE!$B$6+(7-1)*FORSIDE!$B$7,"")</f>
        <v/>
      </c>
    </row>
    <row r="120" spans="1:4" x14ac:dyDescent="0.3">
      <c r="A120" t="str">
        <f>IF(AND(FORSIDE!$B$8&gt;=10,FORSIDE!$F$8&gt;=0,FORSIDE!$B$5&gt;=8),119,"")</f>
        <v/>
      </c>
      <c r="B120" t="str">
        <f>IF(AND(FORSIDE!$B$8&gt;=10,FORSIDE!$F$8&gt;=0,FORSIDE!$B$5&gt;=8),354+0*FORSIDE!$F$9,"")</f>
        <v/>
      </c>
      <c r="C120" t="str">
        <f>IF(AND(FORSIDE!$B$8&gt;=10,FORSIDE!$F$8&gt;=0,FORSIDE!$B$5&gt;=8),10*FORSIDE!$B$9,"")</f>
        <v/>
      </c>
      <c r="D120" t="str">
        <f>IF(AND(FORSIDE!$B$8&gt;=10,FORSIDE!$F$8&gt;=0,FORSIDE!$B$5&gt;=8),FORSIDE!$B$6+(8-1)*FORSIDE!$B$7,"")</f>
        <v/>
      </c>
    </row>
    <row r="121" spans="1:4" x14ac:dyDescent="0.3">
      <c r="A121" t="str">
        <f>IF(AND(FORSIDE!$B$8&gt;=10,FORSIDE!$F$8&gt;=0,FORSIDE!$B$5&gt;=9),120,"")</f>
        <v/>
      </c>
      <c r="B121" t="str">
        <f>IF(AND(FORSIDE!$B$8&gt;=10,FORSIDE!$F$8&gt;=0,FORSIDE!$B$5&gt;=9),354+0*FORSIDE!$F$9,"")</f>
        <v/>
      </c>
      <c r="C121" t="str">
        <f>IF(AND(FORSIDE!$B$8&gt;=10,FORSIDE!$F$8&gt;=0,FORSIDE!$B$5&gt;=9),10*FORSIDE!$B$9,"")</f>
        <v/>
      </c>
      <c r="D121" t="str">
        <f>IF(AND(FORSIDE!$B$8&gt;=10,FORSIDE!$F$8&gt;=0,FORSIDE!$B$5&gt;=9),FORSIDE!$B$6+(9-1)*FORSIDE!$B$7,"")</f>
        <v/>
      </c>
    </row>
    <row r="122" spans="1:4" x14ac:dyDescent="0.3">
      <c r="A122" t="str">
        <f>IF(AND(FORSIDE!$B$8&gt;=10,FORSIDE!$F$8&gt;=0,FORSIDE!$B$5&gt;=10),121,"")</f>
        <v/>
      </c>
      <c r="B122" t="str">
        <f>IF(AND(FORSIDE!$B$8&gt;=10,FORSIDE!$F$8&gt;=0,FORSIDE!$B$5&gt;=10),354+0*FORSIDE!$F$9,"")</f>
        <v/>
      </c>
      <c r="C122" t="str">
        <f>IF(AND(FORSIDE!$B$8&gt;=10,FORSIDE!$F$8&gt;=0,FORSIDE!$B$5&gt;=10),10*FORSIDE!$B$9,"")</f>
        <v/>
      </c>
      <c r="D122" t="str">
        <f>IF(AND(FORSIDE!$B$8&gt;=10,FORSIDE!$F$8&gt;=0,FORSIDE!$B$5&gt;=10),FORSIDE!$B$6+(10-1)*FORSIDE!$B$7,"")</f>
        <v/>
      </c>
    </row>
    <row r="123" spans="1:4" x14ac:dyDescent="0.3">
      <c r="A123" t="str">
        <f>IF(AND(FORSIDE!$B$8&gt;=11,FORSIDE!$F$8&gt;=0,FORSIDE!$B$5&gt;=0),122,"")</f>
        <v/>
      </c>
      <c r="B123" t="str">
        <f>IF(AND(FORSIDE!$B$8&gt;=11,FORSIDE!$F$8&gt;=0,FORSIDE!$B$5&gt;=0),354+0*FORSIDE!$F$9,"")</f>
        <v/>
      </c>
      <c r="C123" t="str">
        <f>IF(AND(FORSIDE!$B$8&gt;=11,FORSIDE!$F$8&gt;=0,FORSIDE!$B$5&gt;=0),11*FORSIDE!$B$9,"")</f>
        <v/>
      </c>
      <c r="D123" t="str">
        <f>IF(AND(FORSIDE!$B$8&gt;=11,FORSIDE!$F$8&gt;=0,FORSIDE!$B$5&gt;=0),0,"")</f>
        <v/>
      </c>
    </row>
    <row r="124" spans="1:4" x14ac:dyDescent="0.3">
      <c r="A124" t="str">
        <f>IF(AND(FORSIDE!$B$8&gt;=11,FORSIDE!$F$8&gt;=0,FORSIDE!$B$5&gt;=1),123,"")</f>
        <v/>
      </c>
      <c r="B124" t="str">
        <f>IF(AND(FORSIDE!$B$8&gt;=11,FORSIDE!$F$8&gt;=0,FORSIDE!$B$5&gt;=1),354+0*FORSIDE!$F$9,"")</f>
        <v/>
      </c>
      <c r="C124" t="str">
        <f>IF(AND(FORSIDE!$B$8&gt;=11,FORSIDE!$F$8&gt;=0,FORSIDE!$B$5&gt;=1),11*FORSIDE!$B$9,"")</f>
        <v/>
      </c>
      <c r="D124" t="str">
        <f>IF(AND(FORSIDE!$B$8&gt;=11,FORSIDE!$F$8&gt;=0,FORSIDE!$B$5&gt;=1),FORSIDE!$B$6+(1-1)*FORSIDE!$B$7,"")</f>
        <v/>
      </c>
    </row>
    <row r="125" spans="1:4" x14ac:dyDescent="0.3">
      <c r="A125" t="str">
        <f>IF(AND(FORSIDE!$B$8&gt;=11,FORSIDE!$F$8&gt;=0,FORSIDE!$B$5&gt;=2),124,"")</f>
        <v/>
      </c>
      <c r="B125" t="str">
        <f>IF(AND(FORSIDE!$B$8&gt;=11,FORSIDE!$F$8&gt;=0,FORSIDE!$B$5&gt;=2),354+0*FORSIDE!$F$9,"")</f>
        <v/>
      </c>
      <c r="C125" t="str">
        <f>IF(AND(FORSIDE!$B$8&gt;=11,FORSIDE!$F$8&gt;=0,FORSIDE!$B$5&gt;=2),11*FORSIDE!$B$9,"")</f>
        <v/>
      </c>
      <c r="D125" t="str">
        <f>IF(AND(FORSIDE!$B$8&gt;=11,FORSIDE!$F$8&gt;=0,FORSIDE!$B$5&gt;=2),FORSIDE!$B$6+(2-1)*FORSIDE!$B$7,"")</f>
        <v/>
      </c>
    </row>
    <row r="126" spans="1:4" x14ac:dyDescent="0.3">
      <c r="A126" t="str">
        <f>IF(AND(FORSIDE!$B$8&gt;=11,FORSIDE!$F$8&gt;=0,FORSIDE!$B$5&gt;=3),125,"")</f>
        <v/>
      </c>
      <c r="B126" t="str">
        <f>IF(AND(FORSIDE!$B$8&gt;=11,FORSIDE!$F$8&gt;=0,FORSIDE!$B$5&gt;=3),354+0*FORSIDE!$F$9,"")</f>
        <v/>
      </c>
      <c r="C126" t="str">
        <f>IF(AND(FORSIDE!$B$8&gt;=11,FORSIDE!$F$8&gt;=0,FORSIDE!$B$5&gt;=3),11*FORSIDE!$B$9,"")</f>
        <v/>
      </c>
      <c r="D126" t="str">
        <f>IF(AND(FORSIDE!$B$8&gt;=11,FORSIDE!$F$8&gt;=0,FORSIDE!$B$5&gt;=3),FORSIDE!$B$6+(3-1)*FORSIDE!$B$7,"")</f>
        <v/>
      </c>
    </row>
    <row r="127" spans="1:4" x14ac:dyDescent="0.3">
      <c r="A127" t="str">
        <f>IF(AND(FORSIDE!$B$8&gt;=11,FORSIDE!$F$8&gt;=0,FORSIDE!$B$5&gt;=4),126,"")</f>
        <v/>
      </c>
      <c r="B127" t="str">
        <f>IF(AND(FORSIDE!$B$8&gt;=11,FORSIDE!$F$8&gt;=0,FORSIDE!$B$5&gt;=4),354+0*FORSIDE!$F$9,"")</f>
        <v/>
      </c>
      <c r="C127" t="str">
        <f>IF(AND(FORSIDE!$B$8&gt;=11,FORSIDE!$F$8&gt;=0,FORSIDE!$B$5&gt;=4),11*FORSIDE!$B$9,"")</f>
        <v/>
      </c>
      <c r="D127" t="str">
        <f>IF(AND(FORSIDE!$B$8&gt;=11,FORSIDE!$F$8&gt;=0,FORSIDE!$B$5&gt;=4),FORSIDE!$B$6+(4-1)*FORSIDE!$B$7,"")</f>
        <v/>
      </c>
    </row>
    <row r="128" spans="1:4" x14ac:dyDescent="0.3">
      <c r="A128" t="str">
        <f>IF(AND(FORSIDE!$B$8&gt;=11,FORSIDE!$F$8&gt;=0,FORSIDE!$B$5&gt;=5),127,"")</f>
        <v/>
      </c>
      <c r="B128" t="str">
        <f>IF(AND(FORSIDE!$B$8&gt;=11,FORSIDE!$F$8&gt;=0,FORSIDE!$B$5&gt;=5),354+0*FORSIDE!$F$9,"")</f>
        <v/>
      </c>
      <c r="C128" t="str">
        <f>IF(AND(FORSIDE!$B$8&gt;=11,FORSIDE!$F$8&gt;=0,FORSIDE!$B$5&gt;=5),11*FORSIDE!$B$9,"")</f>
        <v/>
      </c>
      <c r="D128" t="str">
        <f>IF(AND(FORSIDE!$B$8&gt;=11,FORSIDE!$F$8&gt;=0,FORSIDE!$B$5&gt;=5),FORSIDE!$B$6+(5-1)*FORSIDE!$B$7,"")</f>
        <v/>
      </c>
    </row>
    <row r="129" spans="1:4" x14ac:dyDescent="0.3">
      <c r="A129" t="str">
        <f>IF(AND(FORSIDE!$B$8&gt;=11,FORSIDE!$F$8&gt;=0,FORSIDE!$B$5&gt;=6),128,"")</f>
        <v/>
      </c>
      <c r="B129" t="str">
        <f>IF(AND(FORSIDE!$B$8&gt;=11,FORSIDE!$F$8&gt;=0,FORSIDE!$B$5&gt;=6),354+0*FORSIDE!$F$9,"")</f>
        <v/>
      </c>
      <c r="C129" t="str">
        <f>IF(AND(FORSIDE!$B$8&gt;=11,FORSIDE!$F$8&gt;=0,FORSIDE!$B$5&gt;=6),11*FORSIDE!$B$9,"")</f>
        <v/>
      </c>
      <c r="D129" t="str">
        <f>IF(AND(FORSIDE!$B$8&gt;=11,FORSIDE!$F$8&gt;=0,FORSIDE!$B$5&gt;=6),FORSIDE!$B$6+(6-1)*FORSIDE!$B$7,"")</f>
        <v/>
      </c>
    </row>
    <row r="130" spans="1:4" x14ac:dyDescent="0.3">
      <c r="A130" t="str">
        <f>IF(AND(FORSIDE!$B$8&gt;=11,FORSIDE!$F$8&gt;=0,FORSIDE!$B$5&gt;=7),129,"")</f>
        <v/>
      </c>
      <c r="B130" t="str">
        <f>IF(AND(FORSIDE!$B$8&gt;=11,FORSIDE!$F$8&gt;=0,FORSIDE!$B$5&gt;=7),354+0*FORSIDE!$F$9,"")</f>
        <v/>
      </c>
      <c r="C130" t="str">
        <f>IF(AND(FORSIDE!$B$8&gt;=11,FORSIDE!$F$8&gt;=0,FORSIDE!$B$5&gt;=7),11*FORSIDE!$B$9,"")</f>
        <v/>
      </c>
      <c r="D130" t="str">
        <f>IF(AND(FORSIDE!$B$8&gt;=11,FORSIDE!$F$8&gt;=0,FORSIDE!$B$5&gt;=7),FORSIDE!$B$6+(7-1)*FORSIDE!$B$7,"")</f>
        <v/>
      </c>
    </row>
    <row r="131" spans="1:4" x14ac:dyDescent="0.3">
      <c r="A131" t="str">
        <f>IF(AND(FORSIDE!$B$8&gt;=11,FORSIDE!$F$8&gt;=0,FORSIDE!$B$5&gt;=8),130,"")</f>
        <v/>
      </c>
      <c r="B131" t="str">
        <f>IF(AND(FORSIDE!$B$8&gt;=11,FORSIDE!$F$8&gt;=0,FORSIDE!$B$5&gt;=8),354+0*FORSIDE!$F$9,"")</f>
        <v/>
      </c>
      <c r="C131" t="str">
        <f>IF(AND(FORSIDE!$B$8&gt;=11,FORSIDE!$F$8&gt;=0,FORSIDE!$B$5&gt;=8),11*FORSIDE!$B$9,"")</f>
        <v/>
      </c>
      <c r="D131" t="str">
        <f>IF(AND(FORSIDE!$B$8&gt;=11,FORSIDE!$F$8&gt;=0,FORSIDE!$B$5&gt;=8),FORSIDE!$B$6+(8-1)*FORSIDE!$B$7,"")</f>
        <v/>
      </c>
    </row>
    <row r="132" spans="1:4" x14ac:dyDescent="0.3">
      <c r="A132" t="str">
        <f>IF(AND(FORSIDE!$B$8&gt;=11,FORSIDE!$F$8&gt;=0,FORSIDE!$B$5&gt;=9),131,"")</f>
        <v/>
      </c>
      <c r="B132" t="str">
        <f>IF(AND(FORSIDE!$B$8&gt;=11,FORSIDE!$F$8&gt;=0,FORSIDE!$B$5&gt;=9),354+0*FORSIDE!$F$9,"")</f>
        <v/>
      </c>
      <c r="C132" t="str">
        <f>IF(AND(FORSIDE!$B$8&gt;=11,FORSIDE!$F$8&gt;=0,FORSIDE!$B$5&gt;=9),11*FORSIDE!$B$9,"")</f>
        <v/>
      </c>
      <c r="D132" t="str">
        <f>IF(AND(FORSIDE!$B$8&gt;=11,FORSIDE!$F$8&gt;=0,FORSIDE!$B$5&gt;=9),FORSIDE!$B$6+(9-1)*FORSIDE!$B$7,"")</f>
        <v/>
      </c>
    </row>
    <row r="133" spans="1:4" x14ac:dyDescent="0.3">
      <c r="A133" t="str">
        <f>IF(AND(FORSIDE!$B$8&gt;=11,FORSIDE!$F$8&gt;=0,FORSIDE!$B$5&gt;=10),132,"")</f>
        <v/>
      </c>
      <c r="B133" t="str">
        <f>IF(AND(FORSIDE!$B$8&gt;=11,FORSIDE!$F$8&gt;=0,FORSIDE!$B$5&gt;=10),354+0*FORSIDE!$F$9,"")</f>
        <v/>
      </c>
      <c r="C133" t="str">
        <f>IF(AND(FORSIDE!$B$8&gt;=11,FORSIDE!$F$8&gt;=0,FORSIDE!$B$5&gt;=10),11*FORSIDE!$B$9,"")</f>
        <v/>
      </c>
      <c r="D133" t="str">
        <f>IF(AND(FORSIDE!$B$8&gt;=11,FORSIDE!$F$8&gt;=0,FORSIDE!$B$5&gt;=10),FORSIDE!$B$6+(10-1)*FORSIDE!$B$7,"")</f>
        <v/>
      </c>
    </row>
    <row r="134" spans="1:4" x14ac:dyDescent="0.3">
      <c r="A134" t="str">
        <f>IF(AND(FORSIDE!$B$8&gt;=12,FORSIDE!$F$8&gt;=0,FORSIDE!$B$5&gt;=0),133,"")</f>
        <v/>
      </c>
      <c r="B134" t="str">
        <f>IF(AND(FORSIDE!$B$8&gt;=12,FORSIDE!$F$8&gt;=0,FORSIDE!$B$5&gt;=0),354+0*FORSIDE!$F$9,"")</f>
        <v/>
      </c>
      <c r="C134" t="str">
        <f>IF(AND(FORSIDE!$B$8&gt;=12,FORSIDE!$F$8&gt;=0,FORSIDE!$B$5&gt;=0),12*FORSIDE!$B$9,"")</f>
        <v/>
      </c>
      <c r="D134" t="str">
        <f>IF(AND(FORSIDE!$B$8&gt;=12,FORSIDE!$F$8&gt;=0,FORSIDE!$B$5&gt;=0),0,"")</f>
        <v/>
      </c>
    </row>
    <row r="135" spans="1:4" x14ac:dyDescent="0.3">
      <c r="A135" t="str">
        <f>IF(AND(FORSIDE!$B$8&gt;=12,FORSIDE!$F$8&gt;=0,FORSIDE!$B$5&gt;=1),134,"")</f>
        <v/>
      </c>
      <c r="B135" t="str">
        <f>IF(AND(FORSIDE!$B$8&gt;=12,FORSIDE!$F$8&gt;=0,FORSIDE!$B$5&gt;=1),354+0*FORSIDE!$F$9,"")</f>
        <v/>
      </c>
      <c r="C135" t="str">
        <f>IF(AND(FORSIDE!$B$8&gt;=12,FORSIDE!$F$8&gt;=0,FORSIDE!$B$5&gt;=1),12*FORSIDE!$B$9,"")</f>
        <v/>
      </c>
      <c r="D135" t="str">
        <f>IF(AND(FORSIDE!$B$8&gt;=12,FORSIDE!$F$8&gt;=0,FORSIDE!$B$5&gt;=1),FORSIDE!$B$6+(1-1)*FORSIDE!$B$7,"")</f>
        <v/>
      </c>
    </row>
    <row r="136" spans="1:4" x14ac:dyDescent="0.3">
      <c r="A136" t="str">
        <f>IF(AND(FORSIDE!$B$8&gt;=12,FORSIDE!$F$8&gt;=0,FORSIDE!$B$5&gt;=2),135,"")</f>
        <v/>
      </c>
      <c r="B136" t="str">
        <f>IF(AND(FORSIDE!$B$8&gt;=12,FORSIDE!$F$8&gt;=0,FORSIDE!$B$5&gt;=2),354+0*FORSIDE!$F$9,"")</f>
        <v/>
      </c>
      <c r="C136" t="str">
        <f>IF(AND(FORSIDE!$B$8&gt;=12,FORSIDE!$F$8&gt;=0,FORSIDE!$B$5&gt;=2),12*FORSIDE!$B$9,"")</f>
        <v/>
      </c>
      <c r="D136" t="str">
        <f>IF(AND(FORSIDE!$B$8&gt;=12,FORSIDE!$F$8&gt;=0,FORSIDE!$B$5&gt;=2),FORSIDE!$B$6+(2-1)*FORSIDE!$B$7,"")</f>
        <v/>
      </c>
    </row>
    <row r="137" spans="1:4" x14ac:dyDescent="0.3">
      <c r="A137" t="str">
        <f>IF(AND(FORSIDE!$B$8&gt;=12,FORSIDE!$F$8&gt;=0,FORSIDE!$B$5&gt;=3),136,"")</f>
        <v/>
      </c>
      <c r="B137" t="str">
        <f>IF(AND(FORSIDE!$B$8&gt;=12,FORSIDE!$F$8&gt;=0,FORSIDE!$B$5&gt;=3),354+0*FORSIDE!$F$9,"")</f>
        <v/>
      </c>
      <c r="C137" t="str">
        <f>IF(AND(FORSIDE!$B$8&gt;=12,FORSIDE!$F$8&gt;=0,FORSIDE!$B$5&gt;=3),12*FORSIDE!$B$9,"")</f>
        <v/>
      </c>
      <c r="D137" t="str">
        <f>IF(AND(FORSIDE!$B$8&gt;=12,FORSIDE!$F$8&gt;=0,FORSIDE!$B$5&gt;=3),FORSIDE!$B$6+(3-1)*FORSIDE!$B$7,"")</f>
        <v/>
      </c>
    </row>
    <row r="138" spans="1:4" x14ac:dyDescent="0.3">
      <c r="A138" t="str">
        <f>IF(AND(FORSIDE!$B$8&gt;=12,FORSIDE!$F$8&gt;=0,FORSIDE!$B$5&gt;=4),137,"")</f>
        <v/>
      </c>
      <c r="B138" t="str">
        <f>IF(AND(FORSIDE!$B$8&gt;=12,FORSIDE!$F$8&gt;=0,FORSIDE!$B$5&gt;=4),354+0*FORSIDE!$F$9,"")</f>
        <v/>
      </c>
      <c r="C138" t="str">
        <f>IF(AND(FORSIDE!$B$8&gt;=12,FORSIDE!$F$8&gt;=0,FORSIDE!$B$5&gt;=4),12*FORSIDE!$B$9,"")</f>
        <v/>
      </c>
      <c r="D138" t="str">
        <f>IF(AND(FORSIDE!$B$8&gt;=12,FORSIDE!$F$8&gt;=0,FORSIDE!$B$5&gt;=4),FORSIDE!$B$6+(4-1)*FORSIDE!$B$7,"")</f>
        <v/>
      </c>
    </row>
    <row r="139" spans="1:4" x14ac:dyDescent="0.3">
      <c r="A139" t="str">
        <f>IF(AND(FORSIDE!$B$8&gt;=12,FORSIDE!$F$8&gt;=0,FORSIDE!$B$5&gt;=5),138,"")</f>
        <v/>
      </c>
      <c r="B139" t="str">
        <f>IF(AND(FORSIDE!$B$8&gt;=12,FORSIDE!$F$8&gt;=0,FORSIDE!$B$5&gt;=5),354+0*FORSIDE!$F$9,"")</f>
        <v/>
      </c>
      <c r="C139" t="str">
        <f>IF(AND(FORSIDE!$B$8&gt;=12,FORSIDE!$F$8&gt;=0,FORSIDE!$B$5&gt;=5),12*FORSIDE!$B$9,"")</f>
        <v/>
      </c>
      <c r="D139" t="str">
        <f>IF(AND(FORSIDE!$B$8&gt;=12,FORSIDE!$F$8&gt;=0,FORSIDE!$B$5&gt;=5),FORSIDE!$B$6+(5-1)*FORSIDE!$B$7,"")</f>
        <v/>
      </c>
    </row>
    <row r="140" spans="1:4" x14ac:dyDescent="0.3">
      <c r="A140" t="str">
        <f>IF(AND(FORSIDE!$B$8&gt;=12,FORSIDE!$F$8&gt;=0,FORSIDE!$B$5&gt;=6),139,"")</f>
        <v/>
      </c>
      <c r="B140" t="str">
        <f>IF(AND(FORSIDE!$B$8&gt;=12,FORSIDE!$F$8&gt;=0,FORSIDE!$B$5&gt;=6),354+0*FORSIDE!$F$9,"")</f>
        <v/>
      </c>
      <c r="C140" t="str">
        <f>IF(AND(FORSIDE!$B$8&gt;=12,FORSIDE!$F$8&gt;=0,FORSIDE!$B$5&gt;=6),12*FORSIDE!$B$9,"")</f>
        <v/>
      </c>
      <c r="D140" t="str">
        <f>IF(AND(FORSIDE!$B$8&gt;=12,FORSIDE!$F$8&gt;=0,FORSIDE!$B$5&gt;=6),FORSIDE!$B$6+(6-1)*FORSIDE!$B$7,"")</f>
        <v/>
      </c>
    </row>
    <row r="141" spans="1:4" x14ac:dyDescent="0.3">
      <c r="A141" t="str">
        <f>IF(AND(FORSIDE!$B$8&gt;=12,FORSIDE!$F$8&gt;=0,FORSIDE!$B$5&gt;=7),140,"")</f>
        <v/>
      </c>
      <c r="B141" t="str">
        <f>IF(AND(FORSIDE!$B$8&gt;=12,FORSIDE!$F$8&gt;=0,FORSIDE!$B$5&gt;=7),354+0*FORSIDE!$F$9,"")</f>
        <v/>
      </c>
      <c r="C141" t="str">
        <f>IF(AND(FORSIDE!$B$8&gt;=12,FORSIDE!$F$8&gt;=0,FORSIDE!$B$5&gt;=7),12*FORSIDE!$B$9,"")</f>
        <v/>
      </c>
      <c r="D141" t="str">
        <f>IF(AND(FORSIDE!$B$8&gt;=12,FORSIDE!$F$8&gt;=0,FORSIDE!$B$5&gt;=7),FORSIDE!$B$6+(7-1)*FORSIDE!$B$7,"")</f>
        <v/>
      </c>
    </row>
    <row r="142" spans="1:4" x14ac:dyDescent="0.3">
      <c r="A142" t="str">
        <f>IF(AND(FORSIDE!$B$8&gt;=12,FORSIDE!$F$8&gt;=0,FORSIDE!$B$5&gt;=8),141,"")</f>
        <v/>
      </c>
      <c r="B142" t="str">
        <f>IF(AND(FORSIDE!$B$8&gt;=12,FORSIDE!$F$8&gt;=0,FORSIDE!$B$5&gt;=8),354+0*FORSIDE!$F$9,"")</f>
        <v/>
      </c>
      <c r="C142" t="str">
        <f>IF(AND(FORSIDE!$B$8&gt;=12,FORSIDE!$F$8&gt;=0,FORSIDE!$B$5&gt;=8),12*FORSIDE!$B$9,"")</f>
        <v/>
      </c>
      <c r="D142" t="str">
        <f>IF(AND(FORSIDE!$B$8&gt;=12,FORSIDE!$F$8&gt;=0,FORSIDE!$B$5&gt;=8),FORSIDE!$B$6+(8-1)*FORSIDE!$B$7,"")</f>
        <v/>
      </c>
    </row>
    <row r="143" spans="1:4" x14ac:dyDescent="0.3">
      <c r="A143" t="str">
        <f>IF(AND(FORSIDE!$B$8&gt;=12,FORSIDE!$F$8&gt;=0,FORSIDE!$B$5&gt;=9),142,"")</f>
        <v/>
      </c>
      <c r="B143" t="str">
        <f>IF(AND(FORSIDE!$B$8&gt;=12,FORSIDE!$F$8&gt;=0,FORSIDE!$B$5&gt;=9),354+0*FORSIDE!$F$9,"")</f>
        <v/>
      </c>
      <c r="C143" t="str">
        <f>IF(AND(FORSIDE!$B$8&gt;=12,FORSIDE!$F$8&gt;=0,FORSIDE!$B$5&gt;=9),12*FORSIDE!$B$9,"")</f>
        <v/>
      </c>
      <c r="D143" t="str">
        <f>IF(AND(FORSIDE!$B$8&gt;=12,FORSIDE!$F$8&gt;=0,FORSIDE!$B$5&gt;=9),FORSIDE!$B$6+(9-1)*FORSIDE!$B$7,"")</f>
        <v/>
      </c>
    </row>
    <row r="144" spans="1:4" x14ac:dyDescent="0.3">
      <c r="A144" t="str">
        <f>IF(AND(FORSIDE!$B$8&gt;=12,FORSIDE!$F$8&gt;=0,FORSIDE!$B$5&gt;=10),143,"")</f>
        <v/>
      </c>
      <c r="B144" t="str">
        <f>IF(AND(FORSIDE!$B$8&gt;=12,FORSIDE!$F$8&gt;=0,FORSIDE!$B$5&gt;=10),354+0*FORSIDE!$F$9,"")</f>
        <v/>
      </c>
      <c r="C144" t="str">
        <f>IF(AND(FORSIDE!$B$8&gt;=12,FORSIDE!$F$8&gt;=0,FORSIDE!$B$5&gt;=10),12*FORSIDE!$B$9,"")</f>
        <v/>
      </c>
      <c r="D144" t="str">
        <f>IF(AND(FORSIDE!$B$8&gt;=12,FORSIDE!$F$8&gt;=0,FORSIDE!$B$5&gt;=10),FORSIDE!$B$6+(10-1)*FORSIDE!$B$7,"")</f>
        <v/>
      </c>
    </row>
    <row r="145" spans="1:4" x14ac:dyDescent="0.3">
      <c r="A145" t="str">
        <f>IF(AND(FORSIDE!$B$8&gt;=13,FORSIDE!$F$8&gt;=0,FORSIDE!$B$5&gt;=0),144,"")</f>
        <v/>
      </c>
      <c r="B145" t="str">
        <f>IF(AND(FORSIDE!$B$8&gt;=13,FORSIDE!$F$8&gt;=0,FORSIDE!$B$5&gt;=0),354+0*FORSIDE!$F$9,"")</f>
        <v/>
      </c>
      <c r="C145" t="str">
        <f>IF(AND(FORSIDE!$B$8&gt;=13,FORSIDE!$F$8&gt;=0,FORSIDE!$B$5&gt;=0),13*FORSIDE!$B$9,"")</f>
        <v/>
      </c>
      <c r="D145" t="str">
        <f>IF(AND(FORSIDE!$B$8&gt;=13,FORSIDE!$F$8&gt;=0,FORSIDE!$B$5&gt;=0),0,"")</f>
        <v/>
      </c>
    </row>
    <row r="146" spans="1:4" x14ac:dyDescent="0.3">
      <c r="A146" t="str">
        <f>IF(AND(FORSIDE!$B$8&gt;=13,FORSIDE!$F$8&gt;=0,FORSIDE!$B$5&gt;=1),145,"")</f>
        <v/>
      </c>
      <c r="B146" t="str">
        <f>IF(AND(FORSIDE!$B$8&gt;=13,FORSIDE!$F$8&gt;=0,FORSIDE!$B$5&gt;=1),354+0*FORSIDE!$F$9,"")</f>
        <v/>
      </c>
      <c r="C146" t="str">
        <f>IF(AND(FORSIDE!$B$8&gt;=13,FORSIDE!$F$8&gt;=0,FORSIDE!$B$5&gt;=1),13*FORSIDE!$B$9,"")</f>
        <v/>
      </c>
      <c r="D146" t="str">
        <f>IF(AND(FORSIDE!$B$8&gt;=13,FORSIDE!$F$8&gt;=0,FORSIDE!$B$5&gt;=1),FORSIDE!$B$6+(1-1)*FORSIDE!$B$7,"")</f>
        <v/>
      </c>
    </row>
    <row r="147" spans="1:4" x14ac:dyDescent="0.3">
      <c r="A147" t="str">
        <f>IF(AND(FORSIDE!$B$8&gt;=13,FORSIDE!$F$8&gt;=0,FORSIDE!$B$5&gt;=2),146,"")</f>
        <v/>
      </c>
      <c r="B147" t="str">
        <f>IF(AND(FORSIDE!$B$8&gt;=13,FORSIDE!$F$8&gt;=0,FORSIDE!$B$5&gt;=2),354+0*FORSIDE!$F$9,"")</f>
        <v/>
      </c>
      <c r="C147" t="str">
        <f>IF(AND(FORSIDE!$B$8&gt;=13,FORSIDE!$F$8&gt;=0,FORSIDE!$B$5&gt;=2),13*FORSIDE!$B$9,"")</f>
        <v/>
      </c>
      <c r="D147" t="str">
        <f>IF(AND(FORSIDE!$B$8&gt;=13,FORSIDE!$F$8&gt;=0,FORSIDE!$B$5&gt;=2),FORSIDE!$B$6+(2-1)*FORSIDE!$B$7,"")</f>
        <v/>
      </c>
    </row>
    <row r="148" spans="1:4" x14ac:dyDescent="0.3">
      <c r="A148" t="str">
        <f>IF(AND(FORSIDE!$B$8&gt;=13,FORSIDE!$F$8&gt;=0,FORSIDE!$B$5&gt;=3),147,"")</f>
        <v/>
      </c>
      <c r="B148" t="str">
        <f>IF(AND(FORSIDE!$B$8&gt;=13,FORSIDE!$F$8&gt;=0,FORSIDE!$B$5&gt;=3),354+0*FORSIDE!$F$9,"")</f>
        <v/>
      </c>
      <c r="C148" t="str">
        <f>IF(AND(FORSIDE!$B$8&gt;=13,FORSIDE!$F$8&gt;=0,FORSIDE!$B$5&gt;=3),13*FORSIDE!$B$9,"")</f>
        <v/>
      </c>
      <c r="D148" t="str">
        <f>IF(AND(FORSIDE!$B$8&gt;=13,FORSIDE!$F$8&gt;=0,FORSIDE!$B$5&gt;=3),FORSIDE!$B$6+(3-1)*FORSIDE!$B$7,"")</f>
        <v/>
      </c>
    </row>
    <row r="149" spans="1:4" x14ac:dyDescent="0.3">
      <c r="A149" t="str">
        <f>IF(AND(FORSIDE!$B$8&gt;=13,FORSIDE!$F$8&gt;=0,FORSIDE!$B$5&gt;=4),148,"")</f>
        <v/>
      </c>
      <c r="B149" t="str">
        <f>IF(AND(FORSIDE!$B$8&gt;=13,FORSIDE!$F$8&gt;=0,FORSIDE!$B$5&gt;=4),354+0*FORSIDE!$F$9,"")</f>
        <v/>
      </c>
      <c r="C149" t="str">
        <f>IF(AND(FORSIDE!$B$8&gt;=13,FORSIDE!$F$8&gt;=0,FORSIDE!$B$5&gt;=4),13*FORSIDE!$B$9,"")</f>
        <v/>
      </c>
      <c r="D149" t="str">
        <f>IF(AND(FORSIDE!$B$8&gt;=13,FORSIDE!$F$8&gt;=0,FORSIDE!$B$5&gt;=4),FORSIDE!$B$6+(4-1)*FORSIDE!$B$7,"")</f>
        <v/>
      </c>
    </row>
    <row r="150" spans="1:4" x14ac:dyDescent="0.3">
      <c r="A150" t="str">
        <f>IF(AND(FORSIDE!$B$8&gt;=13,FORSIDE!$F$8&gt;=0,FORSIDE!$B$5&gt;=5),149,"")</f>
        <v/>
      </c>
      <c r="B150" t="str">
        <f>IF(AND(FORSIDE!$B$8&gt;=13,FORSIDE!$F$8&gt;=0,FORSIDE!$B$5&gt;=5),354+0*FORSIDE!$F$9,"")</f>
        <v/>
      </c>
      <c r="C150" t="str">
        <f>IF(AND(FORSIDE!$B$8&gt;=13,FORSIDE!$F$8&gt;=0,FORSIDE!$B$5&gt;=5),13*FORSIDE!$B$9,"")</f>
        <v/>
      </c>
      <c r="D150" t="str">
        <f>IF(AND(FORSIDE!$B$8&gt;=13,FORSIDE!$F$8&gt;=0,FORSIDE!$B$5&gt;=5),FORSIDE!$B$6+(5-1)*FORSIDE!$B$7,"")</f>
        <v/>
      </c>
    </row>
    <row r="151" spans="1:4" x14ac:dyDescent="0.3">
      <c r="A151" t="str">
        <f>IF(AND(FORSIDE!$B$8&gt;=13,FORSIDE!$F$8&gt;=0,FORSIDE!$B$5&gt;=6),150,"")</f>
        <v/>
      </c>
      <c r="B151" t="str">
        <f>IF(AND(FORSIDE!$B$8&gt;=13,FORSIDE!$F$8&gt;=0,FORSIDE!$B$5&gt;=6),354+0*FORSIDE!$F$9,"")</f>
        <v/>
      </c>
      <c r="C151" t="str">
        <f>IF(AND(FORSIDE!$B$8&gt;=13,FORSIDE!$F$8&gt;=0,FORSIDE!$B$5&gt;=6),13*FORSIDE!$B$9,"")</f>
        <v/>
      </c>
      <c r="D151" t="str">
        <f>IF(AND(FORSIDE!$B$8&gt;=13,FORSIDE!$F$8&gt;=0,FORSIDE!$B$5&gt;=6),FORSIDE!$B$6+(6-1)*FORSIDE!$B$7,"")</f>
        <v/>
      </c>
    </row>
    <row r="152" spans="1:4" x14ac:dyDescent="0.3">
      <c r="A152" t="str">
        <f>IF(AND(FORSIDE!$B$8&gt;=13,FORSIDE!$F$8&gt;=0,FORSIDE!$B$5&gt;=7),151,"")</f>
        <v/>
      </c>
      <c r="B152" t="str">
        <f>IF(AND(FORSIDE!$B$8&gt;=13,FORSIDE!$F$8&gt;=0,FORSIDE!$B$5&gt;=7),354+0*FORSIDE!$F$9,"")</f>
        <v/>
      </c>
      <c r="C152" t="str">
        <f>IF(AND(FORSIDE!$B$8&gt;=13,FORSIDE!$F$8&gt;=0,FORSIDE!$B$5&gt;=7),13*FORSIDE!$B$9,"")</f>
        <v/>
      </c>
      <c r="D152" t="str">
        <f>IF(AND(FORSIDE!$B$8&gt;=13,FORSIDE!$F$8&gt;=0,FORSIDE!$B$5&gt;=7),FORSIDE!$B$6+(7-1)*FORSIDE!$B$7,"")</f>
        <v/>
      </c>
    </row>
    <row r="153" spans="1:4" x14ac:dyDescent="0.3">
      <c r="A153" t="str">
        <f>IF(AND(FORSIDE!$B$8&gt;=13,FORSIDE!$F$8&gt;=0,FORSIDE!$B$5&gt;=8),152,"")</f>
        <v/>
      </c>
      <c r="B153" t="str">
        <f>IF(AND(FORSIDE!$B$8&gt;=13,FORSIDE!$F$8&gt;=0,FORSIDE!$B$5&gt;=8),354+0*FORSIDE!$F$9,"")</f>
        <v/>
      </c>
      <c r="C153" t="str">
        <f>IF(AND(FORSIDE!$B$8&gt;=13,FORSIDE!$F$8&gt;=0,FORSIDE!$B$5&gt;=8),13*FORSIDE!$B$9,"")</f>
        <v/>
      </c>
      <c r="D153" t="str">
        <f>IF(AND(FORSIDE!$B$8&gt;=13,FORSIDE!$F$8&gt;=0,FORSIDE!$B$5&gt;=8),FORSIDE!$B$6+(8-1)*FORSIDE!$B$7,"")</f>
        <v/>
      </c>
    </row>
    <row r="154" spans="1:4" x14ac:dyDescent="0.3">
      <c r="A154" t="str">
        <f>IF(AND(FORSIDE!$B$8&gt;=13,FORSIDE!$F$8&gt;=0,FORSIDE!$B$5&gt;=9),153,"")</f>
        <v/>
      </c>
      <c r="B154" t="str">
        <f>IF(AND(FORSIDE!$B$8&gt;=13,FORSIDE!$F$8&gt;=0,FORSIDE!$B$5&gt;=9),354+0*FORSIDE!$F$9,"")</f>
        <v/>
      </c>
      <c r="C154" t="str">
        <f>IF(AND(FORSIDE!$B$8&gt;=13,FORSIDE!$F$8&gt;=0,FORSIDE!$B$5&gt;=9),13*FORSIDE!$B$9,"")</f>
        <v/>
      </c>
      <c r="D154" t="str">
        <f>IF(AND(FORSIDE!$B$8&gt;=13,FORSIDE!$F$8&gt;=0,FORSIDE!$B$5&gt;=9),FORSIDE!$B$6+(9-1)*FORSIDE!$B$7,"")</f>
        <v/>
      </c>
    </row>
    <row r="155" spans="1:4" x14ac:dyDescent="0.3">
      <c r="A155" t="str">
        <f>IF(AND(FORSIDE!$B$8&gt;=13,FORSIDE!$F$8&gt;=0,FORSIDE!$B$5&gt;=10),154,"")</f>
        <v/>
      </c>
      <c r="B155" t="str">
        <f>IF(AND(FORSIDE!$B$8&gt;=13,FORSIDE!$F$8&gt;=0,FORSIDE!$B$5&gt;=10),354+0*FORSIDE!$F$9,"")</f>
        <v/>
      </c>
      <c r="C155" t="str">
        <f>IF(AND(FORSIDE!$B$8&gt;=13,FORSIDE!$F$8&gt;=0,FORSIDE!$B$5&gt;=10),13*FORSIDE!$B$9,"")</f>
        <v/>
      </c>
      <c r="D155" t="str">
        <f>IF(AND(FORSIDE!$B$8&gt;=13,FORSIDE!$F$8&gt;=0,FORSIDE!$B$5&gt;=10),FORSIDE!$B$6+(10-1)*FORSIDE!$B$7,"")</f>
        <v/>
      </c>
    </row>
    <row r="156" spans="1:4" x14ac:dyDescent="0.3">
      <c r="A156" t="str">
        <f>IF(AND(FORSIDE!$B$8&gt;=14,FORSIDE!$F$8&gt;=0,FORSIDE!$B$5&gt;=0),155,"")</f>
        <v/>
      </c>
      <c r="B156" t="str">
        <f>IF(AND(FORSIDE!$B$8&gt;=14,FORSIDE!$F$8&gt;=0,FORSIDE!$B$5&gt;=0),354+0*FORSIDE!$F$9,"")</f>
        <v/>
      </c>
      <c r="C156" t="str">
        <f>IF(AND(FORSIDE!$B$8&gt;=14,FORSIDE!$F$8&gt;=0,FORSIDE!$B$5&gt;=0),14*FORSIDE!$B$9,"")</f>
        <v/>
      </c>
      <c r="D156" t="str">
        <f>IF(AND(FORSIDE!$B$8&gt;=14,FORSIDE!$F$8&gt;=0,FORSIDE!$B$5&gt;=0),0,"")</f>
        <v/>
      </c>
    </row>
    <row r="157" spans="1:4" x14ac:dyDescent="0.3">
      <c r="A157" t="str">
        <f>IF(AND(FORSIDE!$B$8&gt;=14,FORSIDE!$F$8&gt;=0,FORSIDE!$B$5&gt;=1),156,"")</f>
        <v/>
      </c>
      <c r="B157" t="str">
        <f>IF(AND(FORSIDE!$B$8&gt;=14,FORSIDE!$F$8&gt;=0,FORSIDE!$B$5&gt;=1),354+0*FORSIDE!$F$9,"")</f>
        <v/>
      </c>
      <c r="C157" t="str">
        <f>IF(AND(FORSIDE!$B$8&gt;=14,FORSIDE!$F$8&gt;=0,FORSIDE!$B$5&gt;=1),14*FORSIDE!$B$9,"")</f>
        <v/>
      </c>
      <c r="D157" t="str">
        <f>IF(AND(FORSIDE!$B$8&gt;=14,FORSIDE!$F$8&gt;=0,FORSIDE!$B$5&gt;=1),FORSIDE!$B$6+(1-1)*FORSIDE!$B$7,"")</f>
        <v/>
      </c>
    </row>
    <row r="158" spans="1:4" x14ac:dyDescent="0.3">
      <c r="A158" t="str">
        <f>IF(AND(FORSIDE!$B$8&gt;=14,FORSIDE!$F$8&gt;=0,FORSIDE!$B$5&gt;=2),157,"")</f>
        <v/>
      </c>
      <c r="B158" t="str">
        <f>IF(AND(FORSIDE!$B$8&gt;=14,FORSIDE!$F$8&gt;=0,FORSIDE!$B$5&gt;=2),354+0*FORSIDE!$F$9,"")</f>
        <v/>
      </c>
      <c r="C158" t="str">
        <f>IF(AND(FORSIDE!$B$8&gt;=14,FORSIDE!$F$8&gt;=0,FORSIDE!$B$5&gt;=2),14*FORSIDE!$B$9,"")</f>
        <v/>
      </c>
      <c r="D158" t="str">
        <f>IF(AND(FORSIDE!$B$8&gt;=14,FORSIDE!$F$8&gt;=0,FORSIDE!$B$5&gt;=2),FORSIDE!$B$6+(2-1)*FORSIDE!$B$7,"")</f>
        <v/>
      </c>
    </row>
    <row r="159" spans="1:4" x14ac:dyDescent="0.3">
      <c r="A159" t="str">
        <f>IF(AND(FORSIDE!$B$8&gt;=14,FORSIDE!$F$8&gt;=0,FORSIDE!$B$5&gt;=3),158,"")</f>
        <v/>
      </c>
      <c r="B159" t="str">
        <f>IF(AND(FORSIDE!$B$8&gt;=14,FORSIDE!$F$8&gt;=0,FORSIDE!$B$5&gt;=3),354+0*FORSIDE!$F$9,"")</f>
        <v/>
      </c>
      <c r="C159" t="str">
        <f>IF(AND(FORSIDE!$B$8&gt;=14,FORSIDE!$F$8&gt;=0,FORSIDE!$B$5&gt;=3),14*FORSIDE!$B$9,"")</f>
        <v/>
      </c>
      <c r="D159" t="str">
        <f>IF(AND(FORSIDE!$B$8&gt;=14,FORSIDE!$F$8&gt;=0,FORSIDE!$B$5&gt;=3),FORSIDE!$B$6+(3-1)*FORSIDE!$B$7,"")</f>
        <v/>
      </c>
    </row>
    <row r="160" spans="1:4" x14ac:dyDescent="0.3">
      <c r="A160" t="str">
        <f>IF(AND(FORSIDE!$B$8&gt;=14,FORSIDE!$F$8&gt;=0,FORSIDE!$B$5&gt;=4),159,"")</f>
        <v/>
      </c>
      <c r="B160" t="str">
        <f>IF(AND(FORSIDE!$B$8&gt;=14,FORSIDE!$F$8&gt;=0,FORSIDE!$B$5&gt;=4),354+0*FORSIDE!$F$9,"")</f>
        <v/>
      </c>
      <c r="C160" t="str">
        <f>IF(AND(FORSIDE!$B$8&gt;=14,FORSIDE!$F$8&gt;=0,FORSIDE!$B$5&gt;=4),14*FORSIDE!$B$9,"")</f>
        <v/>
      </c>
      <c r="D160" t="str">
        <f>IF(AND(FORSIDE!$B$8&gt;=14,FORSIDE!$F$8&gt;=0,FORSIDE!$B$5&gt;=4),FORSIDE!$B$6+(4-1)*FORSIDE!$B$7,"")</f>
        <v/>
      </c>
    </row>
    <row r="161" spans="1:4" x14ac:dyDescent="0.3">
      <c r="A161" t="str">
        <f>IF(AND(FORSIDE!$B$8&gt;=14,FORSIDE!$F$8&gt;=0,FORSIDE!$B$5&gt;=5),160,"")</f>
        <v/>
      </c>
      <c r="B161" t="str">
        <f>IF(AND(FORSIDE!$B$8&gt;=14,FORSIDE!$F$8&gt;=0,FORSIDE!$B$5&gt;=5),354+0*FORSIDE!$F$9,"")</f>
        <v/>
      </c>
      <c r="C161" t="str">
        <f>IF(AND(FORSIDE!$B$8&gt;=14,FORSIDE!$F$8&gt;=0,FORSIDE!$B$5&gt;=5),14*FORSIDE!$B$9,"")</f>
        <v/>
      </c>
      <c r="D161" t="str">
        <f>IF(AND(FORSIDE!$B$8&gt;=14,FORSIDE!$F$8&gt;=0,FORSIDE!$B$5&gt;=5),FORSIDE!$B$6+(5-1)*FORSIDE!$B$7,"")</f>
        <v/>
      </c>
    </row>
    <row r="162" spans="1:4" x14ac:dyDescent="0.3">
      <c r="A162" t="str">
        <f>IF(AND(FORSIDE!$B$8&gt;=14,FORSIDE!$F$8&gt;=0,FORSIDE!$B$5&gt;=6),161,"")</f>
        <v/>
      </c>
      <c r="B162" t="str">
        <f>IF(AND(FORSIDE!$B$8&gt;=14,FORSIDE!$F$8&gt;=0,FORSIDE!$B$5&gt;=6),354+0*FORSIDE!$F$9,"")</f>
        <v/>
      </c>
      <c r="C162" t="str">
        <f>IF(AND(FORSIDE!$B$8&gt;=14,FORSIDE!$F$8&gt;=0,FORSIDE!$B$5&gt;=6),14*FORSIDE!$B$9,"")</f>
        <v/>
      </c>
      <c r="D162" t="str">
        <f>IF(AND(FORSIDE!$B$8&gt;=14,FORSIDE!$F$8&gt;=0,FORSIDE!$B$5&gt;=6),FORSIDE!$B$6+(6-1)*FORSIDE!$B$7,"")</f>
        <v/>
      </c>
    </row>
    <row r="163" spans="1:4" x14ac:dyDescent="0.3">
      <c r="A163" t="str">
        <f>IF(AND(FORSIDE!$B$8&gt;=14,FORSIDE!$F$8&gt;=0,FORSIDE!$B$5&gt;=7),162,"")</f>
        <v/>
      </c>
      <c r="B163" t="str">
        <f>IF(AND(FORSIDE!$B$8&gt;=14,FORSIDE!$F$8&gt;=0,FORSIDE!$B$5&gt;=7),354+0*FORSIDE!$F$9,"")</f>
        <v/>
      </c>
      <c r="C163" t="str">
        <f>IF(AND(FORSIDE!$B$8&gt;=14,FORSIDE!$F$8&gt;=0,FORSIDE!$B$5&gt;=7),14*FORSIDE!$B$9,"")</f>
        <v/>
      </c>
      <c r="D163" t="str">
        <f>IF(AND(FORSIDE!$B$8&gt;=14,FORSIDE!$F$8&gt;=0,FORSIDE!$B$5&gt;=7),FORSIDE!$B$6+(7-1)*FORSIDE!$B$7,"")</f>
        <v/>
      </c>
    </row>
    <row r="164" spans="1:4" x14ac:dyDescent="0.3">
      <c r="A164" t="str">
        <f>IF(AND(FORSIDE!$B$8&gt;=14,FORSIDE!$F$8&gt;=0,FORSIDE!$B$5&gt;=8),163,"")</f>
        <v/>
      </c>
      <c r="B164" t="str">
        <f>IF(AND(FORSIDE!$B$8&gt;=14,FORSIDE!$F$8&gt;=0,FORSIDE!$B$5&gt;=8),354+0*FORSIDE!$F$9,"")</f>
        <v/>
      </c>
      <c r="C164" t="str">
        <f>IF(AND(FORSIDE!$B$8&gt;=14,FORSIDE!$F$8&gt;=0,FORSIDE!$B$5&gt;=8),14*FORSIDE!$B$9,"")</f>
        <v/>
      </c>
      <c r="D164" t="str">
        <f>IF(AND(FORSIDE!$B$8&gt;=14,FORSIDE!$F$8&gt;=0,FORSIDE!$B$5&gt;=8),FORSIDE!$B$6+(8-1)*FORSIDE!$B$7,"")</f>
        <v/>
      </c>
    </row>
    <row r="165" spans="1:4" x14ac:dyDescent="0.3">
      <c r="A165" t="str">
        <f>IF(AND(FORSIDE!$B$8&gt;=14,FORSIDE!$F$8&gt;=0,FORSIDE!$B$5&gt;=9),164,"")</f>
        <v/>
      </c>
      <c r="B165" t="str">
        <f>IF(AND(FORSIDE!$B$8&gt;=14,FORSIDE!$F$8&gt;=0,FORSIDE!$B$5&gt;=9),354+0*FORSIDE!$F$9,"")</f>
        <v/>
      </c>
      <c r="C165" t="str">
        <f>IF(AND(FORSIDE!$B$8&gt;=14,FORSIDE!$F$8&gt;=0,FORSIDE!$B$5&gt;=9),14*FORSIDE!$B$9,"")</f>
        <v/>
      </c>
      <c r="D165" t="str">
        <f>IF(AND(FORSIDE!$B$8&gt;=14,FORSIDE!$F$8&gt;=0,FORSIDE!$B$5&gt;=9),FORSIDE!$B$6+(9-1)*FORSIDE!$B$7,"")</f>
        <v/>
      </c>
    </row>
    <row r="166" spans="1:4" x14ac:dyDescent="0.3">
      <c r="A166" t="str">
        <f>IF(AND(FORSIDE!$B$8&gt;=14,FORSIDE!$F$8&gt;=0,FORSIDE!$B$5&gt;=10),165,"")</f>
        <v/>
      </c>
      <c r="B166" t="str">
        <f>IF(AND(FORSIDE!$B$8&gt;=14,FORSIDE!$F$8&gt;=0,FORSIDE!$B$5&gt;=10),354+0*FORSIDE!$F$9,"")</f>
        <v/>
      </c>
      <c r="C166" t="str">
        <f>IF(AND(FORSIDE!$B$8&gt;=14,FORSIDE!$F$8&gt;=0,FORSIDE!$B$5&gt;=10),14*FORSIDE!$B$9,"")</f>
        <v/>
      </c>
      <c r="D166" t="str">
        <f>IF(AND(FORSIDE!$B$8&gt;=14,FORSIDE!$F$8&gt;=0,FORSIDE!$B$5&gt;=10),FORSIDE!$B$6+(10-1)*FORSIDE!$B$7,"")</f>
        <v/>
      </c>
    </row>
    <row r="167" spans="1:4" x14ac:dyDescent="0.3">
      <c r="A167" t="str">
        <f>IF(AND(FORSIDE!$B$8&gt;=15,FORSIDE!$F$8&gt;=0,FORSIDE!$B$5&gt;=0),166,"")</f>
        <v/>
      </c>
      <c r="B167" t="str">
        <f>IF(AND(FORSIDE!$B$8&gt;=15,FORSIDE!$F$8&gt;=0,FORSIDE!$B$5&gt;=0),354+0*FORSIDE!$F$9,"")</f>
        <v/>
      </c>
      <c r="C167" t="str">
        <f>IF(AND(FORSIDE!$B$8&gt;=15,FORSIDE!$F$8&gt;=0,FORSIDE!$B$5&gt;=0),15*FORSIDE!$B$9,"")</f>
        <v/>
      </c>
      <c r="D167" t="str">
        <f>IF(AND(FORSIDE!$B$8&gt;=15,FORSIDE!$F$8&gt;=0,FORSIDE!$B$5&gt;=0),0,"")</f>
        <v/>
      </c>
    </row>
    <row r="168" spans="1:4" x14ac:dyDescent="0.3">
      <c r="A168" t="str">
        <f>IF(AND(FORSIDE!$B$8&gt;=15,FORSIDE!$F$8&gt;=0,FORSIDE!$B$5&gt;=1),167,"")</f>
        <v/>
      </c>
      <c r="B168" t="str">
        <f>IF(AND(FORSIDE!$B$8&gt;=15,FORSIDE!$F$8&gt;=0,FORSIDE!$B$5&gt;=1),354+0*FORSIDE!$F$9,"")</f>
        <v/>
      </c>
      <c r="C168" t="str">
        <f>IF(AND(FORSIDE!$B$8&gt;=15,FORSIDE!$F$8&gt;=0,FORSIDE!$B$5&gt;=1),15*FORSIDE!$B$9,"")</f>
        <v/>
      </c>
      <c r="D168" t="str">
        <f>IF(AND(FORSIDE!$B$8&gt;=15,FORSIDE!$F$8&gt;=0,FORSIDE!$B$5&gt;=1),FORSIDE!$B$6+(1-1)*FORSIDE!$B$7,"")</f>
        <v/>
      </c>
    </row>
    <row r="169" spans="1:4" x14ac:dyDescent="0.3">
      <c r="A169" t="str">
        <f>IF(AND(FORSIDE!$B$8&gt;=15,FORSIDE!$F$8&gt;=0,FORSIDE!$B$5&gt;=2),168,"")</f>
        <v/>
      </c>
      <c r="B169" t="str">
        <f>IF(AND(FORSIDE!$B$8&gt;=15,FORSIDE!$F$8&gt;=0,FORSIDE!$B$5&gt;=2),354+0*FORSIDE!$F$9,"")</f>
        <v/>
      </c>
      <c r="C169" t="str">
        <f>IF(AND(FORSIDE!$B$8&gt;=15,FORSIDE!$F$8&gt;=0,FORSIDE!$B$5&gt;=2),15*FORSIDE!$B$9,"")</f>
        <v/>
      </c>
      <c r="D169" t="str">
        <f>IF(AND(FORSIDE!$B$8&gt;=15,FORSIDE!$F$8&gt;=0,FORSIDE!$B$5&gt;=2),FORSIDE!$B$6+(2-1)*FORSIDE!$B$7,"")</f>
        <v/>
      </c>
    </row>
    <row r="170" spans="1:4" x14ac:dyDescent="0.3">
      <c r="A170" t="str">
        <f>IF(AND(FORSIDE!$B$8&gt;=15,FORSIDE!$F$8&gt;=0,FORSIDE!$B$5&gt;=3),169,"")</f>
        <v/>
      </c>
      <c r="B170" t="str">
        <f>IF(AND(FORSIDE!$B$8&gt;=15,FORSIDE!$F$8&gt;=0,FORSIDE!$B$5&gt;=3),354+0*FORSIDE!$F$9,"")</f>
        <v/>
      </c>
      <c r="C170" t="str">
        <f>IF(AND(FORSIDE!$B$8&gt;=15,FORSIDE!$F$8&gt;=0,FORSIDE!$B$5&gt;=3),15*FORSIDE!$B$9,"")</f>
        <v/>
      </c>
      <c r="D170" t="str">
        <f>IF(AND(FORSIDE!$B$8&gt;=15,FORSIDE!$F$8&gt;=0,FORSIDE!$B$5&gt;=3),FORSIDE!$B$6+(3-1)*FORSIDE!$B$7,"")</f>
        <v/>
      </c>
    </row>
    <row r="171" spans="1:4" x14ac:dyDescent="0.3">
      <c r="A171" t="str">
        <f>IF(AND(FORSIDE!$B$8&gt;=15,FORSIDE!$F$8&gt;=0,FORSIDE!$B$5&gt;=4),170,"")</f>
        <v/>
      </c>
      <c r="B171" t="str">
        <f>IF(AND(FORSIDE!$B$8&gt;=15,FORSIDE!$F$8&gt;=0,FORSIDE!$B$5&gt;=4),354+0*FORSIDE!$F$9,"")</f>
        <v/>
      </c>
      <c r="C171" t="str">
        <f>IF(AND(FORSIDE!$B$8&gt;=15,FORSIDE!$F$8&gt;=0,FORSIDE!$B$5&gt;=4),15*FORSIDE!$B$9,"")</f>
        <v/>
      </c>
      <c r="D171" t="str">
        <f>IF(AND(FORSIDE!$B$8&gt;=15,FORSIDE!$F$8&gt;=0,FORSIDE!$B$5&gt;=4),FORSIDE!$B$6+(4-1)*FORSIDE!$B$7,"")</f>
        <v/>
      </c>
    </row>
    <row r="172" spans="1:4" x14ac:dyDescent="0.3">
      <c r="A172" t="str">
        <f>IF(AND(FORSIDE!$B$8&gt;=15,FORSIDE!$F$8&gt;=0,FORSIDE!$B$5&gt;=5),171,"")</f>
        <v/>
      </c>
      <c r="B172" t="str">
        <f>IF(AND(FORSIDE!$B$8&gt;=15,FORSIDE!$F$8&gt;=0,FORSIDE!$B$5&gt;=5),354+0*FORSIDE!$F$9,"")</f>
        <v/>
      </c>
      <c r="C172" t="str">
        <f>IF(AND(FORSIDE!$B$8&gt;=15,FORSIDE!$F$8&gt;=0,FORSIDE!$B$5&gt;=5),15*FORSIDE!$B$9,"")</f>
        <v/>
      </c>
      <c r="D172" t="str">
        <f>IF(AND(FORSIDE!$B$8&gt;=15,FORSIDE!$F$8&gt;=0,FORSIDE!$B$5&gt;=5),FORSIDE!$B$6+(5-1)*FORSIDE!$B$7,"")</f>
        <v/>
      </c>
    </row>
    <row r="173" spans="1:4" x14ac:dyDescent="0.3">
      <c r="A173" t="str">
        <f>IF(AND(FORSIDE!$B$8&gt;=15,FORSIDE!$F$8&gt;=0,FORSIDE!$B$5&gt;=6),172,"")</f>
        <v/>
      </c>
      <c r="B173" t="str">
        <f>IF(AND(FORSIDE!$B$8&gt;=15,FORSIDE!$F$8&gt;=0,FORSIDE!$B$5&gt;=6),354+0*FORSIDE!$F$9,"")</f>
        <v/>
      </c>
      <c r="C173" t="str">
        <f>IF(AND(FORSIDE!$B$8&gt;=15,FORSIDE!$F$8&gt;=0,FORSIDE!$B$5&gt;=6),15*FORSIDE!$B$9,"")</f>
        <v/>
      </c>
      <c r="D173" t="str">
        <f>IF(AND(FORSIDE!$B$8&gt;=15,FORSIDE!$F$8&gt;=0,FORSIDE!$B$5&gt;=6),FORSIDE!$B$6+(6-1)*FORSIDE!$B$7,"")</f>
        <v/>
      </c>
    </row>
    <row r="174" spans="1:4" x14ac:dyDescent="0.3">
      <c r="A174" t="str">
        <f>IF(AND(FORSIDE!$B$8&gt;=15,FORSIDE!$F$8&gt;=0,FORSIDE!$B$5&gt;=7),173,"")</f>
        <v/>
      </c>
      <c r="B174" t="str">
        <f>IF(AND(FORSIDE!$B$8&gt;=15,FORSIDE!$F$8&gt;=0,FORSIDE!$B$5&gt;=7),354+0*FORSIDE!$F$9,"")</f>
        <v/>
      </c>
      <c r="C174" t="str">
        <f>IF(AND(FORSIDE!$B$8&gt;=15,FORSIDE!$F$8&gt;=0,FORSIDE!$B$5&gt;=7),15*FORSIDE!$B$9,"")</f>
        <v/>
      </c>
      <c r="D174" t="str">
        <f>IF(AND(FORSIDE!$B$8&gt;=15,FORSIDE!$F$8&gt;=0,FORSIDE!$B$5&gt;=7),FORSIDE!$B$6+(7-1)*FORSIDE!$B$7,"")</f>
        <v/>
      </c>
    </row>
    <row r="175" spans="1:4" x14ac:dyDescent="0.3">
      <c r="A175" t="str">
        <f>IF(AND(FORSIDE!$B$8&gt;=15,FORSIDE!$F$8&gt;=0,FORSIDE!$B$5&gt;=8),174,"")</f>
        <v/>
      </c>
      <c r="B175" t="str">
        <f>IF(AND(FORSIDE!$B$8&gt;=15,FORSIDE!$F$8&gt;=0,FORSIDE!$B$5&gt;=8),354+0*FORSIDE!$F$9,"")</f>
        <v/>
      </c>
      <c r="C175" t="str">
        <f>IF(AND(FORSIDE!$B$8&gt;=15,FORSIDE!$F$8&gt;=0,FORSIDE!$B$5&gt;=8),15*FORSIDE!$B$9,"")</f>
        <v/>
      </c>
      <c r="D175" t="str">
        <f>IF(AND(FORSIDE!$B$8&gt;=15,FORSIDE!$F$8&gt;=0,FORSIDE!$B$5&gt;=8),FORSIDE!$B$6+(8-1)*FORSIDE!$B$7,"")</f>
        <v/>
      </c>
    </row>
    <row r="176" spans="1:4" x14ac:dyDescent="0.3">
      <c r="A176" t="str">
        <f>IF(AND(FORSIDE!$B$8&gt;=15,FORSIDE!$F$8&gt;=0,FORSIDE!$B$5&gt;=9),175,"")</f>
        <v/>
      </c>
      <c r="B176" t="str">
        <f>IF(AND(FORSIDE!$B$8&gt;=15,FORSIDE!$F$8&gt;=0,FORSIDE!$B$5&gt;=9),354+0*FORSIDE!$F$9,"")</f>
        <v/>
      </c>
      <c r="C176" t="str">
        <f>IF(AND(FORSIDE!$B$8&gt;=15,FORSIDE!$F$8&gt;=0,FORSIDE!$B$5&gt;=9),15*FORSIDE!$B$9,"")</f>
        <v/>
      </c>
      <c r="D176" t="str">
        <f>IF(AND(FORSIDE!$B$8&gt;=15,FORSIDE!$F$8&gt;=0,FORSIDE!$B$5&gt;=9),FORSIDE!$B$6+(9-1)*FORSIDE!$B$7,"")</f>
        <v/>
      </c>
    </row>
    <row r="177" spans="1:4" x14ac:dyDescent="0.3">
      <c r="A177" t="str">
        <f>IF(AND(FORSIDE!$B$8&gt;=15,FORSIDE!$F$8&gt;=0,FORSIDE!$B$5&gt;=10),176,"")</f>
        <v/>
      </c>
      <c r="B177" t="str">
        <f>IF(AND(FORSIDE!$B$8&gt;=15,FORSIDE!$F$8&gt;=0,FORSIDE!$B$5&gt;=10),354+0*FORSIDE!$F$9,"")</f>
        <v/>
      </c>
      <c r="C177" t="str">
        <f>IF(AND(FORSIDE!$B$8&gt;=15,FORSIDE!$F$8&gt;=0,FORSIDE!$B$5&gt;=10),15*FORSIDE!$B$9,"")</f>
        <v/>
      </c>
      <c r="D177" t="str">
        <f>IF(AND(FORSIDE!$B$8&gt;=15,FORSIDE!$F$8&gt;=0,FORSIDE!$B$5&gt;=10),FORSIDE!$B$6+(10-1)*FORSIDE!$B$7,"")</f>
        <v/>
      </c>
    </row>
    <row r="178" spans="1:4" x14ac:dyDescent="0.3">
      <c r="A178" t="str">
        <f>IF(AND(FORSIDE!$B$8&gt;=16,FORSIDE!$F$8&gt;=0,FORSIDE!$B$5&gt;=0),177,"")</f>
        <v/>
      </c>
      <c r="B178" t="str">
        <f>IF(AND(FORSIDE!$B$8&gt;=16,FORSIDE!$F$8&gt;=0,FORSIDE!$B$5&gt;=0),354+0*FORSIDE!$F$9,"")</f>
        <v/>
      </c>
      <c r="C178" t="str">
        <f>IF(AND(FORSIDE!$B$8&gt;=16,FORSIDE!$F$8&gt;=0,FORSIDE!$B$5&gt;=0),16*FORSIDE!$B$9,"")</f>
        <v/>
      </c>
      <c r="D178" t="str">
        <f>IF(AND(FORSIDE!$B$8&gt;=16,FORSIDE!$F$8&gt;=0,FORSIDE!$B$5&gt;=0),0,"")</f>
        <v/>
      </c>
    </row>
    <row r="179" spans="1:4" x14ac:dyDescent="0.3">
      <c r="A179" t="str">
        <f>IF(AND(FORSIDE!$B$8&gt;=16,FORSIDE!$F$8&gt;=0,FORSIDE!$B$5&gt;=1),178,"")</f>
        <v/>
      </c>
      <c r="B179" t="str">
        <f>IF(AND(FORSIDE!$B$8&gt;=16,FORSIDE!$F$8&gt;=0,FORSIDE!$B$5&gt;=1),354+0*FORSIDE!$F$9,"")</f>
        <v/>
      </c>
      <c r="C179" t="str">
        <f>IF(AND(FORSIDE!$B$8&gt;=16,FORSIDE!$F$8&gt;=0,FORSIDE!$B$5&gt;=1),16*FORSIDE!$B$9,"")</f>
        <v/>
      </c>
      <c r="D179" t="str">
        <f>IF(AND(FORSIDE!$B$8&gt;=16,FORSIDE!$F$8&gt;=0,FORSIDE!$B$5&gt;=1),FORSIDE!$B$6+(1-1)*FORSIDE!$B$7,"")</f>
        <v/>
      </c>
    </row>
    <row r="180" spans="1:4" x14ac:dyDescent="0.3">
      <c r="A180" t="str">
        <f>IF(AND(FORSIDE!$B$8&gt;=16,FORSIDE!$F$8&gt;=0,FORSIDE!$B$5&gt;=2),179,"")</f>
        <v/>
      </c>
      <c r="B180" t="str">
        <f>IF(AND(FORSIDE!$B$8&gt;=16,FORSIDE!$F$8&gt;=0,FORSIDE!$B$5&gt;=2),354+0*FORSIDE!$F$9,"")</f>
        <v/>
      </c>
      <c r="C180" t="str">
        <f>IF(AND(FORSIDE!$B$8&gt;=16,FORSIDE!$F$8&gt;=0,FORSIDE!$B$5&gt;=2),16*FORSIDE!$B$9,"")</f>
        <v/>
      </c>
      <c r="D180" t="str">
        <f>IF(AND(FORSIDE!$B$8&gt;=16,FORSIDE!$F$8&gt;=0,FORSIDE!$B$5&gt;=2),FORSIDE!$B$6+(2-1)*FORSIDE!$B$7,"")</f>
        <v/>
      </c>
    </row>
    <row r="181" spans="1:4" x14ac:dyDescent="0.3">
      <c r="A181" t="str">
        <f>IF(AND(FORSIDE!$B$8&gt;=16,FORSIDE!$F$8&gt;=0,FORSIDE!$B$5&gt;=3),180,"")</f>
        <v/>
      </c>
      <c r="B181" t="str">
        <f>IF(AND(FORSIDE!$B$8&gt;=16,FORSIDE!$F$8&gt;=0,FORSIDE!$B$5&gt;=3),354+0*FORSIDE!$F$9,"")</f>
        <v/>
      </c>
      <c r="C181" t="str">
        <f>IF(AND(FORSIDE!$B$8&gt;=16,FORSIDE!$F$8&gt;=0,FORSIDE!$B$5&gt;=3),16*FORSIDE!$B$9,"")</f>
        <v/>
      </c>
      <c r="D181" t="str">
        <f>IF(AND(FORSIDE!$B$8&gt;=16,FORSIDE!$F$8&gt;=0,FORSIDE!$B$5&gt;=3),FORSIDE!$B$6+(3-1)*FORSIDE!$B$7,"")</f>
        <v/>
      </c>
    </row>
    <row r="182" spans="1:4" x14ac:dyDescent="0.3">
      <c r="A182" t="str">
        <f>IF(AND(FORSIDE!$B$8&gt;=16,FORSIDE!$F$8&gt;=0,FORSIDE!$B$5&gt;=4),181,"")</f>
        <v/>
      </c>
      <c r="B182" t="str">
        <f>IF(AND(FORSIDE!$B$8&gt;=16,FORSIDE!$F$8&gt;=0,FORSIDE!$B$5&gt;=4),354+0*FORSIDE!$F$9,"")</f>
        <v/>
      </c>
      <c r="C182" t="str">
        <f>IF(AND(FORSIDE!$B$8&gt;=16,FORSIDE!$F$8&gt;=0,FORSIDE!$B$5&gt;=4),16*FORSIDE!$B$9,"")</f>
        <v/>
      </c>
      <c r="D182" t="str">
        <f>IF(AND(FORSIDE!$B$8&gt;=16,FORSIDE!$F$8&gt;=0,FORSIDE!$B$5&gt;=4),FORSIDE!$B$6+(4-1)*FORSIDE!$B$7,"")</f>
        <v/>
      </c>
    </row>
    <row r="183" spans="1:4" x14ac:dyDescent="0.3">
      <c r="A183" t="str">
        <f>IF(AND(FORSIDE!$B$8&gt;=16,FORSIDE!$F$8&gt;=0,FORSIDE!$B$5&gt;=5),182,"")</f>
        <v/>
      </c>
      <c r="B183" t="str">
        <f>IF(AND(FORSIDE!$B$8&gt;=16,FORSIDE!$F$8&gt;=0,FORSIDE!$B$5&gt;=5),354+0*FORSIDE!$F$9,"")</f>
        <v/>
      </c>
      <c r="C183" t="str">
        <f>IF(AND(FORSIDE!$B$8&gt;=16,FORSIDE!$F$8&gt;=0,FORSIDE!$B$5&gt;=5),16*FORSIDE!$B$9,"")</f>
        <v/>
      </c>
      <c r="D183" t="str">
        <f>IF(AND(FORSIDE!$B$8&gt;=16,FORSIDE!$F$8&gt;=0,FORSIDE!$B$5&gt;=5),FORSIDE!$B$6+(5-1)*FORSIDE!$B$7,"")</f>
        <v/>
      </c>
    </row>
    <row r="184" spans="1:4" x14ac:dyDescent="0.3">
      <c r="A184" t="str">
        <f>IF(AND(FORSIDE!$B$8&gt;=16,FORSIDE!$F$8&gt;=0,FORSIDE!$B$5&gt;=6),183,"")</f>
        <v/>
      </c>
      <c r="B184" t="str">
        <f>IF(AND(FORSIDE!$B$8&gt;=16,FORSIDE!$F$8&gt;=0,FORSIDE!$B$5&gt;=6),354+0*FORSIDE!$F$9,"")</f>
        <v/>
      </c>
      <c r="C184" t="str">
        <f>IF(AND(FORSIDE!$B$8&gt;=16,FORSIDE!$F$8&gt;=0,FORSIDE!$B$5&gt;=6),16*FORSIDE!$B$9,"")</f>
        <v/>
      </c>
      <c r="D184" t="str">
        <f>IF(AND(FORSIDE!$B$8&gt;=16,FORSIDE!$F$8&gt;=0,FORSIDE!$B$5&gt;=6),FORSIDE!$B$6+(6-1)*FORSIDE!$B$7,"")</f>
        <v/>
      </c>
    </row>
    <row r="185" spans="1:4" x14ac:dyDescent="0.3">
      <c r="A185" t="str">
        <f>IF(AND(FORSIDE!$B$8&gt;=16,FORSIDE!$F$8&gt;=0,FORSIDE!$B$5&gt;=7),184,"")</f>
        <v/>
      </c>
      <c r="B185" t="str">
        <f>IF(AND(FORSIDE!$B$8&gt;=16,FORSIDE!$F$8&gt;=0,FORSIDE!$B$5&gt;=7),354+0*FORSIDE!$F$9,"")</f>
        <v/>
      </c>
      <c r="C185" t="str">
        <f>IF(AND(FORSIDE!$B$8&gt;=16,FORSIDE!$F$8&gt;=0,FORSIDE!$B$5&gt;=7),16*FORSIDE!$B$9,"")</f>
        <v/>
      </c>
      <c r="D185" t="str">
        <f>IF(AND(FORSIDE!$B$8&gt;=16,FORSIDE!$F$8&gt;=0,FORSIDE!$B$5&gt;=7),FORSIDE!$B$6+(7-1)*FORSIDE!$B$7,"")</f>
        <v/>
      </c>
    </row>
    <row r="186" spans="1:4" x14ac:dyDescent="0.3">
      <c r="A186" t="str">
        <f>IF(AND(FORSIDE!$B$8&gt;=16,FORSIDE!$F$8&gt;=0,FORSIDE!$B$5&gt;=8),185,"")</f>
        <v/>
      </c>
      <c r="B186" t="str">
        <f>IF(AND(FORSIDE!$B$8&gt;=16,FORSIDE!$F$8&gt;=0,FORSIDE!$B$5&gt;=8),354+0*FORSIDE!$F$9,"")</f>
        <v/>
      </c>
      <c r="C186" t="str">
        <f>IF(AND(FORSIDE!$B$8&gt;=16,FORSIDE!$F$8&gt;=0,FORSIDE!$B$5&gt;=8),16*FORSIDE!$B$9,"")</f>
        <v/>
      </c>
      <c r="D186" t="str">
        <f>IF(AND(FORSIDE!$B$8&gt;=16,FORSIDE!$F$8&gt;=0,FORSIDE!$B$5&gt;=8),FORSIDE!$B$6+(8-1)*FORSIDE!$B$7,"")</f>
        <v/>
      </c>
    </row>
    <row r="187" spans="1:4" x14ac:dyDescent="0.3">
      <c r="A187" t="str">
        <f>IF(AND(FORSIDE!$B$8&gt;=16,FORSIDE!$F$8&gt;=0,FORSIDE!$B$5&gt;=9),186,"")</f>
        <v/>
      </c>
      <c r="B187" t="str">
        <f>IF(AND(FORSIDE!$B$8&gt;=16,FORSIDE!$F$8&gt;=0,FORSIDE!$B$5&gt;=9),354+0*FORSIDE!$F$9,"")</f>
        <v/>
      </c>
      <c r="C187" t="str">
        <f>IF(AND(FORSIDE!$B$8&gt;=16,FORSIDE!$F$8&gt;=0,FORSIDE!$B$5&gt;=9),16*FORSIDE!$B$9,"")</f>
        <v/>
      </c>
      <c r="D187" t="str">
        <f>IF(AND(FORSIDE!$B$8&gt;=16,FORSIDE!$F$8&gt;=0,FORSIDE!$B$5&gt;=9),FORSIDE!$B$6+(9-1)*FORSIDE!$B$7,"")</f>
        <v/>
      </c>
    </row>
    <row r="188" spans="1:4" x14ac:dyDescent="0.3">
      <c r="A188" t="str">
        <f>IF(AND(FORSIDE!$B$8&gt;=16,FORSIDE!$F$8&gt;=0,FORSIDE!$B$5&gt;=10),187,"")</f>
        <v/>
      </c>
      <c r="B188" t="str">
        <f>IF(AND(FORSIDE!$B$8&gt;=16,FORSIDE!$F$8&gt;=0,FORSIDE!$B$5&gt;=10),354+0*FORSIDE!$F$9,"")</f>
        <v/>
      </c>
      <c r="C188" t="str">
        <f>IF(AND(FORSIDE!$B$8&gt;=16,FORSIDE!$F$8&gt;=0,FORSIDE!$B$5&gt;=10),16*FORSIDE!$B$9,"")</f>
        <v/>
      </c>
      <c r="D188" t="str">
        <f>IF(AND(FORSIDE!$B$8&gt;=16,FORSIDE!$F$8&gt;=0,FORSIDE!$B$5&gt;=10),FORSIDE!$B$6+(10-1)*FORSIDE!$B$7,"")</f>
        <v/>
      </c>
    </row>
    <row r="189" spans="1:4" x14ac:dyDescent="0.3">
      <c r="A189" t="str">
        <f>IF(AND(FORSIDE!$B$8&gt;=17,FORSIDE!$F$8&gt;=0,FORSIDE!$B$5&gt;=0),188,"")</f>
        <v/>
      </c>
      <c r="B189" t="str">
        <f>IF(AND(FORSIDE!$B$8&gt;=17,FORSIDE!$F$8&gt;=0,FORSIDE!$B$5&gt;=0),354+0*FORSIDE!$F$9,"")</f>
        <v/>
      </c>
      <c r="C189" t="str">
        <f>IF(AND(FORSIDE!$B$8&gt;=17,FORSIDE!$F$8&gt;=0,FORSIDE!$B$5&gt;=0),17*FORSIDE!$B$9,"")</f>
        <v/>
      </c>
      <c r="D189" t="str">
        <f>IF(AND(FORSIDE!$B$8&gt;=17,FORSIDE!$F$8&gt;=0,FORSIDE!$B$5&gt;=0),0,"")</f>
        <v/>
      </c>
    </row>
    <row r="190" spans="1:4" x14ac:dyDescent="0.3">
      <c r="A190" t="str">
        <f>IF(AND(FORSIDE!$B$8&gt;=17,FORSIDE!$F$8&gt;=0,FORSIDE!$B$5&gt;=1),189,"")</f>
        <v/>
      </c>
      <c r="B190" t="str">
        <f>IF(AND(FORSIDE!$B$8&gt;=17,FORSIDE!$F$8&gt;=0,FORSIDE!$B$5&gt;=1),354+0*FORSIDE!$F$9,"")</f>
        <v/>
      </c>
      <c r="C190" t="str">
        <f>IF(AND(FORSIDE!$B$8&gt;=17,FORSIDE!$F$8&gt;=0,FORSIDE!$B$5&gt;=1),17*FORSIDE!$B$9,"")</f>
        <v/>
      </c>
      <c r="D190" t="str">
        <f>IF(AND(FORSIDE!$B$8&gt;=17,FORSIDE!$F$8&gt;=0,FORSIDE!$B$5&gt;=1),FORSIDE!$B$6+(1-1)*FORSIDE!$B$7,"")</f>
        <v/>
      </c>
    </row>
    <row r="191" spans="1:4" x14ac:dyDescent="0.3">
      <c r="A191" t="str">
        <f>IF(AND(FORSIDE!$B$8&gt;=17,FORSIDE!$F$8&gt;=0,FORSIDE!$B$5&gt;=2),190,"")</f>
        <v/>
      </c>
      <c r="B191" t="str">
        <f>IF(AND(FORSIDE!$B$8&gt;=17,FORSIDE!$F$8&gt;=0,FORSIDE!$B$5&gt;=2),354+0*FORSIDE!$F$9,"")</f>
        <v/>
      </c>
      <c r="C191" t="str">
        <f>IF(AND(FORSIDE!$B$8&gt;=17,FORSIDE!$F$8&gt;=0,FORSIDE!$B$5&gt;=2),17*FORSIDE!$B$9,"")</f>
        <v/>
      </c>
      <c r="D191" t="str">
        <f>IF(AND(FORSIDE!$B$8&gt;=17,FORSIDE!$F$8&gt;=0,FORSIDE!$B$5&gt;=2),FORSIDE!$B$6+(2-1)*FORSIDE!$B$7,"")</f>
        <v/>
      </c>
    </row>
    <row r="192" spans="1:4" x14ac:dyDescent="0.3">
      <c r="A192" t="str">
        <f>IF(AND(FORSIDE!$B$8&gt;=17,FORSIDE!$F$8&gt;=0,FORSIDE!$B$5&gt;=3),191,"")</f>
        <v/>
      </c>
      <c r="B192" t="str">
        <f>IF(AND(FORSIDE!$B$8&gt;=17,FORSIDE!$F$8&gt;=0,FORSIDE!$B$5&gt;=3),354+0*FORSIDE!$F$9,"")</f>
        <v/>
      </c>
      <c r="C192" t="str">
        <f>IF(AND(FORSIDE!$B$8&gt;=17,FORSIDE!$F$8&gt;=0,FORSIDE!$B$5&gt;=3),17*FORSIDE!$B$9,"")</f>
        <v/>
      </c>
      <c r="D192" t="str">
        <f>IF(AND(FORSIDE!$B$8&gt;=17,FORSIDE!$F$8&gt;=0,FORSIDE!$B$5&gt;=3),FORSIDE!$B$6+(3-1)*FORSIDE!$B$7,"")</f>
        <v/>
      </c>
    </row>
    <row r="193" spans="1:4" x14ac:dyDescent="0.3">
      <c r="A193" t="str">
        <f>IF(AND(FORSIDE!$B$8&gt;=17,FORSIDE!$F$8&gt;=0,FORSIDE!$B$5&gt;=4),192,"")</f>
        <v/>
      </c>
      <c r="B193" t="str">
        <f>IF(AND(FORSIDE!$B$8&gt;=17,FORSIDE!$F$8&gt;=0,FORSIDE!$B$5&gt;=4),354+0*FORSIDE!$F$9,"")</f>
        <v/>
      </c>
      <c r="C193" t="str">
        <f>IF(AND(FORSIDE!$B$8&gt;=17,FORSIDE!$F$8&gt;=0,FORSIDE!$B$5&gt;=4),17*FORSIDE!$B$9,"")</f>
        <v/>
      </c>
      <c r="D193" t="str">
        <f>IF(AND(FORSIDE!$B$8&gt;=17,FORSIDE!$F$8&gt;=0,FORSIDE!$B$5&gt;=4),FORSIDE!$B$6+(4-1)*FORSIDE!$B$7,"")</f>
        <v/>
      </c>
    </row>
    <row r="194" spans="1:4" x14ac:dyDescent="0.3">
      <c r="A194" t="str">
        <f>IF(AND(FORSIDE!$B$8&gt;=17,FORSIDE!$F$8&gt;=0,FORSIDE!$B$5&gt;=5),193,"")</f>
        <v/>
      </c>
      <c r="B194" t="str">
        <f>IF(AND(FORSIDE!$B$8&gt;=17,FORSIDE!$F$8&gt;=0,FORSIDE!$B$5&gt;=5),354+0*FORSIDE!$F$9,"")</f>
        <v/>
      </c>
      <c r="C194" t="str">
        <f>IF(AND(FORSIDE!$B$8&gt;=17,FORSIDE!$F$8&gt;=0,FORSIDE!$B$5&gt;=5),17*FORSIDE!$B$9,"")</f>
        <v/>
      </c>
      <c r="D194" t="str">
        <f>IF(AND(FORSIDE!$B$8&gt;=17,FORSIDE!$F$8&gt;=0,FORSIDE!$B$5&gt;=5),FORSIDE!$B$6+(5-1)*FORSIDE!$B$7,"")</f>
        <v/>
      </c>
    </row>
    <row r="195" spans="1:4" x14ac:dyDescent="0.3">
      <c r="A195" t="str">
        <f>IF(AND(FORSIDE!$B$8&gt;=17,FORSIDE!$F$8&gt;=0,FORSIDE!$B$5&gt;=6),194,"")</f>
        <v/>
      </c>
      <c r="B195" t="str">
        <f>IF(AND(FORSIDE!$B$8&gt;=17,FORSIDE!$F$8&gt;=0,FORSIDE!$B$5&gt;=6),354+0*FORSIDE!$F$9,"")</f>
        <v/>
      </c>
      <c r="C195" t="str">
        <f>IF(AND(FORSIDE!$B$8&gt;=17,FORSIDE!$F$8&gt;=0,FORSIDE!$B$5&gt;=6),17*FORSIDE!$B$9,"")</f>
        <v/>
      </c>
      <c r="D195" t="str">
        <f>IF(AND(FORSIDE!$B$8&gt;=17,FORSIDE!$F$8&gt;=0,FORSIDE!$B$5&gt;=6),FORSIDE!$B$6+(6-1)*FORSIDE!$B$7,"")</f>
        <v/>
      </c>
    </row>
    <row r="196" spans="1:4" x14ac:dyDescent="0.3">
      <c r="A196" t="str">
        <f>IF(AND(FORSIDE!$B$8&gt;=17,FORSIDE!$F$8&gt;=0,FORSIDE!$B$5&gt;=7),195,"")</f>
        <v/>
      </c>
      <c r="B196" t="str">
        <f>IF(AND(FORSIDE!$B$8&gt;=17,FORSIDE!$F$8&gt;=0,FORSIDE!$B$5&gt;=7),354+0*FORSIDE!$F$9,"")</f>
        <v/>
      </c>
      <c r="C196" t="str">
        <f>IF(AND(FORSIDE!$B$8&gt;=17,FORSIDE!$F$8&gt;=0,FORSIDE!$B$5&gt;=7),17*FORSIDE!$B$9,"")</f>
        <v/>
      </c>
      <c r="D196" t="str">
        <f>IF(AND(FORSIDE!$B$8&gt;=17,FORSIDE!$F$8&gt;=0,FORSIDE!$B$5&gt;=7),FORSIDE!$B$6+(7-1)*FORSIDE!$B$7,"")</f>
        <v/>
      </c>
    </row>
    <row r="197" spans="1:4" x14ac:dyDescent="0.3">
      <c r="A197" t="str">
        <f>IF(AND(FORSIDE!$B$8&gt;=17,FORSIDE!$F$8&gt;=0,FORSIDE!$B$5&gt;=8),196,"")</f>
        <v/>
      </c>
      <c r="B197" t="str">
        <f>IF(AND(FORSIDE!$B$8&gt;=17,FORSIDE!$F$8&gt;=0,FORSIDE!$B$5&gt;=8),354+0*FORSIDE!$F$9,"")</f>
        <v/>
      </c>
      <c r="C197" t="str">
        <f>IF(AND(FORSIDE!$B$8&gt;=17,FORSIDE!$F$8&gt;=0,FORSIDE!$B$5&gt;=8),17*FORSIDE!$B$9,"")</f>
        <v/>
      </c>
      <c r="D197" t="str">
        <f>IF(AND(FORSIDE!$B$8&gt;=17,FORSIDE!$F$8&gt;=0,FORSIDE!$B$5&gt;=8),FORSIDE!$B$6+(8-1)*FORSIDE!$B$7,"")</f>
        <v/>
      </c>
    </row>
    <row r="198" spans="1:4" x14ac:dyDescent="0.3">
      <c r="A198" t="str">
        <f>IF(AND(FORSIDE!$B$8&gt;=17,FORSIDE!$F$8&gt;=0,FORSIDE!$B$5&gt;=9),197,"")</f>
        <v/>
      </c>
      <c r="B198" t="str">
        <f>IF(AND(FORSIDE!$B$8&gt;=17,FORSIDE!$F$8&gt;=0,FORSIDE!$B$5&gt;=9),354+0*FORSIDE!$F$9,"")</f>
        <v/>
      </c>
      <c r="C198" t="str">
        <f>IF(AND(FORSIDE!$B$8&gt;=17,FORSIDE!$F$8&gt;=0,FORSIDE!$B$5&gt;=9),17*FORSIDE!$B$9,"")</f>
        <v/>
      </c>
      <c r="D198" t="str">
        <f>IF(AND(FORSIDE!$B$8&gt;=17,FORSIDE!$F$8&gt;=0,FORSIDE!$B$5&gt;=9),FORSIDE!$B$6+(9-1)*FORSIDE!$B$7,"")</f>
        <v/>
      </c>
    </row>
    <row r="199" spans="1:4" x14ac:dyDescent="0.3">
      <c r="A199" t="str">
        <f>IF(AND(FORSIDE!$B$8&gt;=17,FORSIDE!$F$8&gt;=0,FORSIDE!$B$5&gt;=10),198,"")</f>
        <v/>
      </c>
      <c r="B199" t="str">
        <f>IF(AND(FORSIDE!$B$8&gt;=17,FORSIDE!$F$8&gt;=0,FORSIDE!$B$5&gt;=10),354+0*FORSIDE!$F$9,"")</f>
        <v/>
      </c>
      <c r="C199" t="str">
        <f>IF(AND(FORSIDE!$B$8&gt;=17,FORSIDE!$F$8&gt;=0,FORSIDE!$B$5&gt;=10),17*FORSIDE!$B$9,"")</f>
        <v/>
      </c>
      <c r="D199" t="str">
        <f>IF(AND(FORSIDE!$B$8&gt;=17,FORSIDE!$F$8&gt;=0,FORSIDE!$B$5&gt;=10),FORSIDE!$B$6+(10-1)*FORSIDE!$B$7,"")</f>
        <v/>
      </c>
    </row>
    <row r="200" spans="1:4" x14ac:dyDescent="0.3">
      <c r="A200" t="str">
        <f>IF(AND(FORSIDE!$B$8&gt;=18,FORSIDE!$F$8&gt;=0,FORSIDE!$B$5&gt;=0),199,"")</f>
        <v/>
      </c>
      <c r="B200" t="str">
        <f>IF(AND(FORSIDE!$B$8&gt;=18,FORSIDE!$F$8&gt;=0,FORSIDE!$B$5&gt;=0),354+0*FORSIDE!$F$9,"")</f>
        <v/>
      </c>
      <c r="C200" t="str">
        <f>IF(AND(FORSIDE!$B$8&gt;=18,FORSIDE!$F$8&gt;=0,FORSIDE!$B$5&gt;=0),18*FORSIDE!$B$9,"")</f>
        <v/>
      </c>
      <c r="D200" t="str">
        <f>IF(AND(FORSIDE!$B$8&gt;=18,FORSIDE!$F$8&gt;=0,FORSIDE!$B$5&gt;=0),0,"")</f>
        <v/>
      </c>
    </row>
    <row r="201" spans="1:4" x14ac:dyDescent="0.3">
      <c r="A201" t="str">
        <f>IF(AND(FORSIDE!$B$8&gt;=18,FORSIDE!$F$8&gt;=0,FORSIDE!$B$5&gt;=1),200,"")</f>
        <v/>
      </c>
      <c r="B201" t="str">
        <f>IF(AND(FORSIDE!$B$8&gt;=18,FORSIDE!$F$8&gt;=0,FORSIDE!$B$5&gt;=1),354+0*FORSIDE!$F$9,"")</f>
        <v/>
      </c>
      <c r="C201" t="str">
        <f>IF(AND(FORSIDE!$B$8&gt;=18,FORSIDE!$F$8&gt;=0,FORSIDE!$B$5&gt;=1),18*FORSIDE!$B$9,"")</f>
        <v/>
      </c>
      <c r="D201" t="str">
        <f>IF(AND(FORSIDE!$B$8&gt;=18,FORSIDE!$F$8&gt;=0,FORSIDE!$B$5&gt;=1),FORSIDE!$B$6+(1-1)*FORSIDE!$B$7,"")</f>
        <v/>
      </c>
    </row>
    <row r="202" spans="1:4" x14ac:dyDescent="0.3">
      <c r="A202" t="str">
        <f>IF(AND(FORSIDE!$B$8&gt;=18,FORSIDE!$F$8&gt;=0,FORSIDE!$B$5&gt;=2),201,"")</f>
        <v/>
      </c>
      <c r="B202" t="str">
        <f>IF(AND(FORSIDE!$B$8&gt;=18,FORSIDE!$F$8&gt;=0,FORSIDE!$B$5&gt;=2),354+0*FORSIDE!$F$9,"")</f>
        <v/>
      </c>
      <c r="C202" t="str">
        <f>IF(AND(FORSIDE!$B$8&gt;=18,FORSIDE!$F$8&gt;=0,FORSIDE!$B$5&gt;=2),18*FORSIDE!$B$9,"")</f>
        <v/>
      </c>
      <c r="D202" t="str">
        <f>IF(AND(FORSIDE!$B$8&gt;=18,FORSIDE!$F$8&gt;=0,FORSIDE!$B$5&gt;=2),FORSIDE!$B$6+(2-1)*FORSIDE!$B$7,"")</f>
        <v/>
      </c>
    </row>
    <row r="203" spans="1:4" x14ac:dyDescent="0.3">
      <c r="A203" t="str">
        <f>IF(AND(FORSIDE!$B$8&gt;=18,FORSIDE!$F$8&gt;=0,FORSIDE!$B$5&gt;=3),202,"")</f>
        <v/>
      </c>
      <c r="B203" t="str">
        <f>IF(AND(FORSIDE!$B$8&gt;=18,FORSIDE!$F$8&gt;=0,FORSIDE!$B$5&gt;=3),354+0*FORSIDE!$F$9,"")</f>
        <v/>
      </c>
      <c r="C203" t="str">
        <f>IF(AND(FORSIDE!$B$8&gt;=18,FORSIDE!$F$8&gt;=0,FORSIDE!$B$5&gt;=3),18*FORSIDE!$B$9,"")</f>
        <v/>
      </c>
      <c r="D203" t="str">
        <f>IF(AND(FORSIDE!$B$8&gt;=18,FORSIDE!$F$8&gt;=0,FORSIDE!$B$5&gt;=3),FORSIDE!$B$6+(3-1)*FORSIDE!$B$7,"")</f>
        <v/>
      </c>
    </row>
    <row r="204" spans="1:4" x14ac:dyDescent="0.3">
      <c r="A204" t="str">
        <f>IF(AND(FORSIDE!$B$8&gt;=18,FORSIDE!$F$8&gt;=0,FORSIDE!$B$5&gt;=4),203,"")</f>
        <v/>
      </c>
      <c r="B204" t="str">
        <f>IF(AND(FORSIDE!$B$8&gt;=18,FORSIDE!$F$8&gt;=0,FORSIDE!$B$5&gt;=4),354+0*FORSIDE!$F$9,"")</f>
        <v/>
      </c>
      <c r="C204" t="str">
        <f>IF(AND(FORSIDE!$B$8&gt;=18,FORSIDE!$F$8&gt;=0,FORSIDE!$B$5&gt;=4),18*FORSIDE!$B$9,"")</f>
        <v/>
      </c>
      <c r="D204" t="str">
        <f>IF(AND(FORSIDE!$B$8&gt;=18,FORSIDE!$F$8&gt;=0,FORSIDE!$B$5&gt;=4),FORSIDE!$B$6+(4-1)*FORSIDE!$B$7,"")</f>
        <v/>
      </c>
    </row>
    <row r="205" spans="1:4" x14ac:dyDescent="0.3">
      <c r="A205" t="str">
        <f>IF(AND(FORSIDE!$B$8&gt;=18,FORSIDE!$F$8&gt;=0,FORSIDE!$B$5&gt;=5),204,"")</f>
        <v/>
      </c>
      <c r="B205" t="str">
        <f>IF(AND(FORSIDE!$B$8&gt;=18,FORSIDE!$F$8&gt;=0,FORSIDE!$B$5&gt;=5),354+0*FORSIDE!$F$9,"")</f>
        <v/>
      </c>
      <c r="C205" t="str">
        <f>IF(AND(FORSIDE!$B$8&gt;=18,FORSIDE!$F$8&gt;=0,FORSIDE!$B$5&gt;=5),18*FORSIDE!$B$9,"")</f>
        <v/>
      </c>
      <c r="D205" t="str">
        <f>IF(AND(FORSIDE!$B$8&gt;=18,FORSIDE!$F$8&gt;=0,FORSIDE!$B$5&gt;=5),FORSIDE!$B$6+(5-1)*FORSIDE!$B$7,"")</f>
        <v/>
      </c>
    </row>
    <row r="206" spans="1:4" x14ac:dyDescent="0.3">
      <c r="A206" t="str">
        <f>IF(AND(FORSIDE!$B$8&gt;=18,FORSIDE!$F$8&gt;=0,FORSIDE!$B$5&gt;=6),205,"")</f>
        <v/>
      </c>
      <c r="B206" t="str">
        <f>IF(AND(FORSIDE!$B$8&gt;=18,FORSIDE!$F$8&gt;=0,FORSIDE!$B$5&gt;=6),354+0*FORSIDE!$F$9,"")</f>
        <v/>
      </c>
      <c r="C206" t="str">
        <f>IF(AND(FORSIDE!$B$8&gt;=18,FORSIDE!$F$8&gt;=0,FORSIDE!$B$5&gt;=6),18*FORSIDE!$B$9,"")</f>
        <v/>
      </c>
      <c r="D206" t="str">
        <f>IF(AND(FORSIDE!$B$8&gt;=18,FORSIDE!$F$8&gt;=0,FORSIDE!$B$5&gt;=6),FORSIDE!$B$6+(6-1)*FORSIDE!$B$7,"")</f>
        <v/>
      </c>
    </row>
    <row r="207" spans="1:4" x14ac:dyDescent="0.3">
      <c r="A207" t="str">
        <f>IF(AND(FORSIDE!$B$8&gt;=18,FORSIDE!$F$8&gt;=0,FORSIDE!$B$5&gt;=7),206,"")</f>
        <v/>
      </c>
      <c r="B207" t="str">
        <f>IF(AND(FORSIDE!$B$8&gt;=18,FORSIDE!$F$8&gt;=0,FORSIDE!$B$5&gt;=7),354+0*FORSIDE!$F$9,"")</f>
        <v/>
      </c>
      <c r="C207" t="str">
        <f>IF(AND(FORSIDE!$B$8&gt;=18,FORSIDE!$F$8&gt;=0,FORSIDE!$B$5&gt;=7),18*FORSIDE!$B$9,"")</f>
        <v/>
      </c>
      <c r="D207" t="str">
        <f>IF(AND(FORSIDE!$B$8&gt;=18,FORSIDE!$F$8&gt;=0,FORSIDE!$B$5&gt;=7),FORSIDE!$B$6+(7-1)*FORSIDE!$B$7,"")</f>
        <v/>
      </c>
    </row>
    <row r="208" spans="1:4" x14ac:dyDescent="0.3">
      <c r="A208" t="str">
        <f>IF(AND(FORSIDE!$B$8&gt;=18,FORSIDE!$F$8&gt;=0,FORSIDE!$B$5&gt;=8),207,"")</f>
        <v/>
      </c>
      <c r="B208" t="str">
        <f>IF(AND(FORSIDE!$B$8&gt;=18,FORSIDE!$F$8&gt;=0,FORSIDE!$B$5&gt;=8),354+0*FORSIDE!$F$9,"")</f>
        <v/>
      </c>
      <c r="C208" t="str">
        <f>IF(AND(FORSIDE!$B$8&gt;=18,FORSIDE!$F$8&gt;=0,FORSIDE!$B$5&gt;=8),18*FORSIDE!$B$9,"")</f>
        <v/>
      </c>
      <c r="D208" t="str">
        <f>IF(AND(FORSIDE!$B$8&gt;=18,FORSIDE!$F$8&gt;=0,FORSIDE!$B$5&gt;=8),FORSIDE!$B$6+(8-1)*FORSIDE!$B$7,"")</f>
        <v/>
      </c>
    </row>
    <row r="209" spans="1:4" x14ac:dyDescent="0.3">
      <c r="A209" t="str">
        <f>IF(AND(FORSIDE!$B$8&gt;=18,FORSIDE!$F$8&gt;=0,FORSIDE!$B$5&gt;=9),208,"")</f>
        <v/>
      </c>
      <c r="B209" t="str">
        <f>IF(AND(FORSIDE!$B$8&gt;=18,FORSIDE!$F$8&gt;=0,FORSIDE!$B$5&gt;=9),354+0*FORSIDE!$F$9,"")</f>
        <v/>
      </c>
      <c r="C209" t="str">
        <f>IF(AND(FORSIDE!$B$8&gt;=18,FORSIDE!$F$8&gt;=0,FORSIDE!$B$5&gt;=9),18*FORSIDE!$B$9,"")</f>
        <v/>
      </c>
      <c r="D209" t="str">
        <f>IF(AND(FORSIDE!$B$8&gt;=18,FORSIDE!$F$8&gt;=0,FORSIDE!$B$5&gt;=9),FORSIDE!$B$6+(9-1)*FORSIDE!$B$7,"")</f>
        <v/>
      </c>
    </row>
    <row r="210" spans="1:4" x14ac:dyDescent="0.3">
      <c r="A210" t="str">
        <f>IF(AND(FORSIDE!$B$8&gt;=18,FORSIDE!$F$8&gt;=0,FORSIDE!$B$5&gt;=10),209,"")</f>
        <v/>
      </c>
      <c r="B210" t="str">
        <f>IF(AND(FORSIDE!$B$8&gt;=18,FORSIDE!$F$8&gt;=0,FORSIDE!$B$5&gt;=10),354+0*FORSIDE!$F$9,"")</f>
        <v/>
      </c>
      <c r="C210" t="str">
        <f>IF(AND(FORSIDE!$B$8&gt;=18,FORSIDE!$F$8&gt;=0,FORSIDE!$B$5&gt;=10),18*FORSIDE!$B$9,"")</f>
        <v/>
      </c>
      <c r="D210" t="str">
        <f>IF(AND(FORSIDE!$B$8&gt;=18,FORSIDE!$F$8&gt;=0,FORSIDE!$B$5&gt;=10),FORSIDE!$B$6+(10-1)*FORSIDE!$B$7,"")</f>
        <v/>
      </c>
    </row>
    <row r="211" spans="1:4" x14ac:dyDescent="0.3">
      <c r="A211" t="str">
        <f>IF(AND(FORSIDE!$B$8&gt;=19,FORSIDE!$F$8&gt;=0,FORSIDE!$B$5&gt;=0),210,"")</f>
        <v/>
      </c>
      <c r="B211" t="str">
        <f>IF(AND(FORSIDE!$B$8&gt;=19,FORSIDE!$F$8&gt;=0,FORSIDE!$B$5&gt;=0),354+0*FORSIDE!$F$9,"")</f>
        <v/>
      </c>
      <c r="C211" t="str">
        <f>IF(AND(FORSIDE!$B$8&gt;=19,FORSIDE!$F$8&gt;=0,FORSIDE!$B$5&gt;=0),19*FORSIDE!$B$9,"")</f>
        <v/>
      </c>
      <c r="D211" t="str">
        <f>IF(AND(FORSIDE!$B$8&gt;=19,FORSIDE!$F$8&gt;=0,FORSIDE!$B$5&gt;=0),0,"")</f>
        <v/>
      </c>
    </row>
    <row r="212" spans="1:4" x14ac:dyDescent="0.3">
      <c r="A212" t="str">
        <f>IF(AND(FORSIDE!$B$8&gt;=19,FORSIDE!$F$8&gt;=0,FORSIDE!$B$5&gt;=1),211,"")</f>
        <v/>
      </c>
      <c r="B212" t="str">
        <f>IF(AND(FORSIDE!$B$8&gt;=19,FORSIDE!$F$8&gt;=0,FORSIDE!$B$5&gt;=1),354+0*FORSIDE!$F$9,"")</f>
        <v/>
      </c>
      <c r="C212" t="str">
        <f>IF(AND(FORSIDE!$B$8&gt;=19,FORSIDE!$F$8&gt;=0,FORSIDE!$B$5&gt;=1),19*FORSIDE!$B$9,"")</f>
        <v/>
      </c>
      <c r="D212" t="str">
        <f>IF(AND(FORSIDE!$B$8&gt;=19,FORSIDE!$F$8&gt;=0,FORSIDE!$B$5&gt;=1),FORSIDE!$B$6+(1-1)*FORSIDE!$B$7,"")</f>
        <v/>
      </c>
    </row>
    <row r="213" spans="1:4" x14ac:dyDescent="0.3">
      <c r="A213" t="str">
        <f>IF(AND(FORSIDE!$B$8&gt;=19,FORSIDE!$F$8&gt;=0,FORSIDE!$B$5&gt;=2),212,"")</f>
        <v/>
      </c>
      <c r="B213" t="str">
        <f>IF(AND(FORSIDE!$B$8&gt;=19,FORSIDE!$F$8&gt;=0,FORSIDE!$B$5&gt;=2),354+0*FORSIDE!$F$9,"")</f>
        <v/>
      </c>
      <c r="C213" t="str">
        <f>IF(AND(FORSIDE!$B$8&gt;=19,FORSIDE!$F$8&gt;=0,FORSIDE!$B$5&gt;=2),19*FORSIDE!$B$9,"")</f>
        <v/>
      </c>
      <c r="D213" t="str">
        <f>IF(AND(FORSIDE!$B$8&gt;=19,FORSIDE!$F$8&gt;=0,FORSIDE!$B$5&gt;=2),FORSIDE!$B$6+(2-1)*FORSIDE!$B$7,"")</f>
        <v/>
      </c>
    </row>
    <row r="214" spans="1:4" x14ac:dyDescent="0.3">
      <c r="A214" t="str">
        <f>IF(AND(FORSIDE!$B$8&gt;=19,FORSIDE!$F$8&gt;=0,FORSIDE!$B$5&gt;=3),213,"")</f>
        <v/>
      </c>
      <c r="B214" t="str">
        <f>IF(AND(FORSIDE!$B$8&gt;=19,FORSIDE!$F$8&gt;=0,FORSIDE!$B$5&gt;=3),354+0*FORSIDE!$F$9,"")</f>
        <v/>
      </c>
      <c r="C214" t="str">
        <f>IF(AND(FORSIDE!$B$8&gt;=19,FORSIDE!$F$8&gt;=0,FORSIDE!$B$5&gt;=3),19*FORSIDE!$B$9,"")</f>
        <v/>
      </c>
      <c r="D214" t="str">
        <f>IF(AND(FORSIDE!$B$8&gt;=19,FORSIDE!$F$8&gt;=0,FORSIDE!$B$5&gt;=3),FORSIDE!$B$6+(3-1)*FORSIDE!$B$7,"")</f>
        <v/>
      </c>
    </row>
    <row r="215" spans="1:4" x14ac:dyDescent="0.3">
      <c r="A215" t="str">
        <f>IF(AND(FORSIDE!$B$8&gt;=19,FORSIDE!$F$8&gt;=0,FORSIDE!$B$5&gt;=4),214,"")</f>
        <v/>
      </c>
      <c r="B215" t="str">
        <f>IF(AND(FORSIDE!$B$8&gt;=19,FORSIDE!$F$8&gt;=0,FORSIDE!$B$5&gt;=4),354+0*FORSIDE!$F$9,"")</f>
        <v/>
      </c>
      <c r="C215" t="str">
        <f>IF(AND(FORSIDE!$B$8&gt;=19,FORSIDE!$F$8&gt;=0,FORSIDE!$B$5&gt;=4),19*FORSIDE!$B$9,"")</f>
        <v/>
      </c>
      <c r="D215" t="str">
        <f>IF(AND(FORSIDE!$B$8&gt;=19,FORSIDE!$F$8&gt;=0,FORSIDE!$B$5&gt;=4),FORSIDE!$B$6+(4-1)*FORSIDE!$B$7,"")</f>
        <v/>
      </c>
    </row>
    <row r="216" spans="1:4" x14ac:dyDescent="0.3">
      <c r="A216" t="str">
        <f>IF(AND(FORSIDE!$B$8&gt;=19,FORSIDE!$F$8&gt;=0,FORSIDE!$B$5&gt;=5),215,"")</f>
        <v/>
      </c>
      <c r="B216" t="str">
        <f>IF(AND(FORSIDE!$B$8&gt;=19,FORSIDE!$F$8&gt;=0,FORSIDE!$B$5&gt;=5),354+0*FORSIDE!$F$9,"")</f>
        <v/>
      </c>
      <c r="C216" t="str">
        <f>IF(AND(FORSIDE!$B$8&gt;=19,FORSIDE!$F$8&gt;=0,FORSIDE!$B$5&gt;=5),19*FORSIDE!$B$9,"")</f>
        <v/>
      </c>
      <c r="D216" t="str">
        <f>IF(AND(FORSIDE!$B$8&gt;=19,FORSIDE!$F$8&gt;=0,FORSIDE!$B$5&gt;=5),FORSIDE!$B$6+(5-1)*FORSIDE!$B$7,"")</f>
        <v/>
      </c>
    </row>
    <row r="217" spans="1:4" x14ac:dyDescent="0.3">
      <c r="A217" t="str">
        <f>IF(AND(FORSIDE!$B$8&gt;=19,FORSIDE!$F$8&gt;=0,FORSIDE!$B$5&gt;=6),216,"")</f>
        <v/>
      </c>
      <c r="B217" t="str">
        <f>IF(AND(FORSIDE!$B$8&gt;=19,FORSIDE!$F$8&gt;=0,FORSIDE!$B$5&gt;=6),354+0*FORSIDE!$F$9,"")</f>
        <v/>
      </c>
      <c r="C217" t="str">
        <f>IF(AND(FORSIDE!$B$8&gt;=19,FORSIDE!$F$8&gt;=0,FORSIDE!$B$5&gt;=6),19*FORSIDE!$B$9,"")</f>
        <v/>
      </c>
      <c r="D217" t="str">
        <f>IF(AND(FORSIDE!$B$8&gt;=19,FORSIDE!$F$8&gt;=0,FORSIDE!$B$5&gt;=6),FORSIDE!$B$6+(6-1)*FORSIDE!$B$7,"")</f>
        <v/>
      </c>
    </row>
    <row r="218" spans="1:4" x14ac:dyDescent="0.3">
      <c r="A218" t="str">
        <f>IF(AND(FORSIDE!$B$8&gt;=19,FORSIDE!$F$8&gt;=0,FORSIDE!$B$5&gt;=7),217,"")</f>
        <v/>
      </c>
      <c r="B218" t="str">
        <f>IF(AND(FORSIDE!$B$8&gt;=19,FORSIDE!$F$8&gt;=0,FORSIDE!$B$5&gt;=7),354+0*FORSIDE!$F$9,"")</f>
        <v/>
      </c>
      <c r="C218" t="str">
        <f>IF(AND(FORSIDE!$B$8&gt;=19,FORSIDE!$F$8&gt;=0,FORSIDE!$B$5&gt;=7),19*FORSIDE!$B$9,"")</f>
        <v/>
      </c>
      <c r="D218" t="str">
        <f>IF(AND(FORSIDE!$B$8&gt;=19,FORSIDE!$F$8&gt;=0,FORSIDE!$B$5&gt;=7),FORSIDE!$B$6+(7-1)*FORSIDE!$B$7,"")</f>
        <v/>
      </c>
    </row>
    <row r="219" spans="1:4" x14ac:dyDescent="0.3">
      <c r="A219" t="str">
        <f>IF(AND(FORSIDE!$B$8&gt;=19,FORSIDE!$F$8&gt;=0,FORSIDE!$B$5&gt;=8),218,"")</f>
        <v/>
      </c>
      <c r="B219" t="str">
        <f>IF(AND(FORSIDE!$B$8&gt;=19,FORSIDE!$F$8&gt;=0,FORSIDE!$B$5&gt;=8),354+0*FORSIDE!$F$9,"")</f>
        <v/>
      </c>
      <c r="C219" t="str">
        <f>IF(AND(FORSIDE!$B$8&gt;=19,FORSIDE!$F$8&gt;=0,FORSIDE!$B$5&gt;=8),19*FORSIDE!$B$9,"")</f>
        <v/>
      </c>
      <c r="D219" t="str">
        <f>IF(AND(FORSIDE!$B$8&gt;=19,FORSIDE!$F$8&gt;=0,FORSIDE!$B$5&gt;=8),FORSIDE!$B$6+(8-1)*FORSIDE!$B$7,"")</f>
        <v/>
      </c>
    </row>
    <row r="220" spans="1:4" x14ac:dyDescent="0.3">
      <c r="A220" t="str">
        <f>IF(AND(FORSIDE!$B$8&gt;=19,FORSIDE!$F$8&gt;=0,FORSIDE!$B$5&gt;=9),219,"")</f>
        <v/>
      </c>
      <c r="B220" t="str">
        <f>IF(AND(FORSIDE!$B$8&gt;=19,FORSIDE!$F$8&gt;=0,FORSIDE!$B$5&gt;=9),354+0*FORSIDE!$F$9,"")</f>
        <v/>
      </c>
      <c r="C220" t="str">
        <f>IF(AND(FORSIDE!$B$8&gt;=19,FORSIDE!$F$8&gt;=0,FORSIDE!$B$5&gt;=9),19*FORSIDE!$B$9,"")</f>
        <v/>
      </c>
      <c r="D220" t="str">
        <f>IF(AND(FORSIDE!$B$8&gt;=19,FORSIDE!$F$8&gt;=0,FORSIDE!$B$5&gt;=9),FORSIDE!$B$6+(9-1)*FORSIDE!$B$7,"")</f>
        <v/>
      </c>
    </row>
    <row r="221" spans="1:4" x14ac:dyDescent="0.3">
      <c r="A221" t="str">
        <f>IF(AND(FORSIDE!$B$8&gt;=19,FORSIDE!$F$8&gt;=0,FORSIDE!$B$5&gt;=10),220,"")</f>
        <v/>
      </c>
      <c r="B221" t="str">
        <f>IF(AND(FORSIDE!$B$8&gt;=19,FORSIDE!$F$8&gt;=0,FORSIDE!$B$5&gt;=10),354+0*FORSIDE!$F$9,"")</f>
        <v/>
      </c>
      <c r="C221" t="str">
        <f>IF(AND(FORSIDE!$B$8&gt;=19,FORSIDE!$F$8&gt;=0,FORSIDE!$B$5&gt;=10),19*FORSIDE!$B$9,"")</f>
        <v/>
      </c>
      <c r="D221" t="str">
        <f>IF(AND(FORSIDE!$B$8&gt;=19,FORSIDE!$F$8&gt;=0,FORSIDE!$B$5&gt;=10),FORSIDE!$B$6+(10-1)*FORSIDE!$B$7,"")</f>
        <v/>
      </c>
    </row>
    <row r="222" spans="1:4" x14ac:dyDescent="0.3">
      <c r="A222" t="str">
        <f>IF(AND(FORSIDE!$B$8&gt;=20,FORSIDE!$F$8&gt;=0,FORSIDE!$B$5&gt;=0),221,"")</f>
        <v/>
      </c>
      <c r="B222" t="str">
        <f>IF(AND(FORSIDE!$B$8&gt;=20,FORSIDE!$F$8&gt;=0,FORSIDE!$B$5&gt;=0),354+0*FORSIDE!$F$9,"")</f>
        <v/>
      </c>
      <c r="C222" t="str">
        <f>IF(AND(FORSIDE!$B$8&gt;=20,FORSIDE!$F$8&gt;=0,FORSIDE!$B$5&gt;=0),20*FORSIDE!$B$9,"")</f>
        <v/>
      </c>
      <c r="D222" t="str">
        <f>IF(AND(FORSIDE!$B$8&gt;=20,FORSIDE!$F$8&gt;=0,FORSIDE!$B$5&gt;=0),0,"")</f>
        <v/>
      </c>
    </row>
    <row r="223" spans="1:4" x14ac:dyDescent="0.3">
      <c r="A223" t="str">
        <f>IF(AND(FORSIDE!$B$8&gt;=20,FORSIDE!$F$8&gt;=0,FORSIDE!$B$5&gt;=1),222,"")</f>
        <v/>
      </c>
      <c r="B223" t="str">
        <f>IF(AND(FORSIDE!$B$8&gt;=20,FORSIDE!$F$8&gt;=0,FORSIDE!$B$5&gt;=1),354+0*FORSIDE!$F$9,"")</f>
        <v/>
      </c>
      <c r="C223" t="str">
        <f>IF(AND(FORSIDE!$B$8&gt;=20,FORSIDE!$F$8&gt;=0,FORSIDE!$B$5&gt;=1),20*FORSIDE!$B$9,"")</f>
        <v/>
      </c>
      <c r="D223" t="str">
        <f>IF(AND(FORSIDE!$B$8&gt;=20,FORSIDE!$F$8&gt;=0,FORSIDE!$B$5&gt;=1),FORSIDE!$B$6+(1-1)*FORSIDE!$B$7,"")</f>
        <v/>
      </c>
    </row>
    <row r="224" spans="1:4" x14ac:dyDescent="0.3">
      <c r="A224" t="str">
        <f>IF(AND(FORSIDE!$B$8&gt;=20,FORSIDE!$F$8&gt;=0,FORSIDE!$B$5&gt;=2),223,"")</f>
        <v/>
      </c>
      <c r="B224" t="str">
        <f>IF(AND(FORSIDE!$B$8&gt;=20,FORSIDE!$F$8&gt;=0,FORSIDE!$B$5&gt;=2),354+0*FORSIDE!$F$9,"")</f>
        <v/>
      </c>
      <c r="C224" t="str">
        <f>IF(AND(FORSIDE!$B$8&gt;=20,FORSIDE!$F$8&gt;=0,FORSIDE!$B$5&gt;=2),20*FORSIDE!$B$9,"")</f>
        <v/>
      </c>
      <c r="D224" t="str">
        <f>IF(AND(FORSIDE!$B$8&gt;=20,FORSIDE!$F$8&gt;=0,FORSIDE!$B$5&gt;=2),FORSIDE!$B$6+(2-1)*FORSIDE!$B$7,"")</f>
        <v/>
      </c>
    </row>
    <row r="225" spans="1:4" x14ac:dyDescent="0.3">
      <c r="A225" t="str">
        <f>IF(AND(FORSIDE!$B$8&gt;=20,FORSIDE!$F$8&gt;=0,FORSIDE!$B$5&gt;=3),224,"")</f>
        <v/>
      </c>
      <c r="B225" t="str">
        <f>IF(AND(FORSIDE!$B$8&gt;=20,FORSIDE!$F$8&gt;=0,FORSIDE!$B$5&gt;=3),354+0*FORSIDE!$F$9,"")</f>
        <v/>
      </c>
      <c r="C225" t="str">
        <f>IF(AND(FORSIDE!$B$8&gt;=20,FORSIDE!$F$8&gt;=0,FORSIDE!$B$5&gt;=3),20*FORSIDE!$B$9,"")</f>
        <v/>
      </c>
      <c r="D225" t="str">
        <f>IF(AND(FORSIDE!$B$8&gt;=20,FORSIDE!$F$8&gt;=0,FORSIDE!$B$5&gt;=3),FORSIDE!$B$6+(3-1)*FORSIDE!$B$7,"")</f>
        <v/>
      </c>
    </row>
    <row r="226" spans="1:4" x14ac:dyDescent="0.3">
      <c r="A226" t="str">
        <f>IF(AND(FORSIDE!$B$8&gt;=20,FORSIDE!$F$8&gt;=0,FORSIDE!$B$5&gt;=4),225,"")</f>
        <v/>
      </c>
      <c r="B226" t="str">
        <f>IF(AND(FORSIDE!$B$8&gt;=20,FORSIDE!$F$8&gt;=0,FORSIDE!$B$5&gt;=4),354+0*FORSIDE!$F$9,"")</f>
        <v/>
      </c>
      <c r="C226" t="str">
        <f>IF(AND(FORSIDE!$B$8&gt;=20,FORSIDE!$F$8&gt;=0,FORSIDE!$B$5&gt;=4),20*FORSIDE!$B$9,"")</f>
        <v/>
      </c>
      <c r="D226" t="str">
        <f>IF(AND(FORSIDE!$B$8&gt;=20,FORSIDE!$F$8&gt;=0,FORSIDE!$B$5&gt;=4),FORSIDE!$B$6+(4-1)*FORSIDE!$B$7,"")</f>
        <v/>
      </c>
    </row>
    <row r="227" spans="1:4" x14ac:dyDescent="0.3">
      <c r="A227" t="str">
        <f>IF(AND(FORSIDE!$B$8&gt;=20,FORSIDE!$F$8&gt;=0,FORSIDE!$B$5&gt;=5),226,"")</f>
        <v/>
      </c>
      <c r="B227" t="str">
        <f>IF(AND(FORSIDE!$B$8&gt;=20,FORSIDE!$F$8&gt;=0,FORSIDE!$B$5&gt;=5),354+0*FORSIDE!$F$9,"")</f>
        <v/>
      </c>
      <c r="C227" t="str">
        <f>IF(AND(FORSIDE!$B$8&gt;=20,FORSIDE!$F$8&gt;=0,FORSIDE!$B$5&gt;=5),20*FORSIDE!$B$9,"")</f>
        <v/>
      </c>
      <c r="D227" t="str">
        <f>IF(AND(FORSIDE!$B$8&gt;=20,FORSIDE!$F$8&gt;=0,FORSIDE!$B$5&gt;=5),FORSIDE!$B$6+(5-1)*FORSIDE!$B$7,"")</f>
        <v/>
      </c>
    </row>
    <row r="228" spans="1:4" x14ac:dyDescent="0.3">
      <c r="A228" t="str">
        <f>IF(AND(FORSIDE!$B$8&gt;=20,FORSIDE!$F$8&gt;=0,FORSIDE!$B$5&gt;=6),227,"")</f>
        <v/>
      </c>
      <c r="B228" t="str">
        <f>IF(AND(FORSIDE!$B$8&gt;=20,FORSIDE!$F$8&gt;=0,FORSIDE!$B$5&gt;=6),354+0*FORSIDE!$F$9,"")</f>
        <v/>
      </c>
      <c r="C228" t="str">
        <f>IF(AND(FORSIDE!$B$8&gt;=20,FORSIDE!$F$8&gt;=0,FORSIDE!$B$5&gt;=6),20*FORSIDE!$B$9,"")</f>
        <v/>
      </c>
      <c r="D228" t="str">
        <f>IF(AND(FORSIDE!$B$8&gt;=20,FORSIDE!$F$8&gt;=0,FORSIDE!$B$5&gt;=6),FORSIDE!$B$6+(6-1)*FORSIDE!$B$7,"")</f>
        <v/>
      </c>
    </row>
    <row r="229" spans="1:4" x14ac:dyDescent="0.3">
      <c r="A229" t="str">
        <f>IF(AND(FORSIDE!$B$8&gt;=20,FORSIDE!$F$8&gt;=0,FORSIDE!$B$5&gt;=7),228,"")</f>
        <v/>
      </c>
      <c r="B229" t="str">
        <f>IF(AND(FORSIDE!$B$8&gt;=20,FORSIDE!$F$8&gt;=0,FORSIDE!$B$5&gt;=7),354+0*FORSIDE!$F$9,"")</f>
        <v/>
      </c>
      <c r="C229" t="str">
        <f>IF(AND(FORSIDE!$B$8&gt;=20,FORSIDE!$F$8&gt;=0,FORSIDE!$B$5&gt;=7),20*FORSIDE!$B$9,"")</f>
        <v/>
      </c>
      <c r="D229" t="str">
        <f>IF(AND(FORSIDE!$B$8&gt;=20,FORSIDE!$F$8&gt;=0,FORSIDE!$B$5&gt;=7),FORSIDE!$B$6+(7-1)*FORSIDE!$B$7,"")</f>
        <v/>
      </c>
    </row>
    <row r="230" spans="1:4" x14ac:dyDescent="0.3">
      <c r="A230" t="str">
        <f>IF(AND(FORSIDE!$B$8&gt;=20,FORSIDE!$F$8&gt;=0,FORSIDE!$B$5&gt;=8),229,"")</f>
        <v/>
      </c>
      <c r="B230" t="str">
        <f>IF(AND(FORSIDE!$B$8&gt;=20,FORSIDE!$F$8&gt;=0,FORSIDE!$B$5&gt;=8),354+0*FORSIDE!$F$9,"")</f>
        <v/>
      </c>
      <c r="C230" t="str">
        <f>IF(AND(FORSIDE!$B$8&gt;=20,FORSIDE!$F$8&gt;=0,FORSIDE!$B$5&gt;=8),20*FORSIDE!$B$9,"")</f>
        <v/>
      </c>
      <c r="D230" t="str">
        <f>IF(AND(FORSIDE!$B$8&gt;=20,FORSIDE!$F$8&gt;=0,FORSIDE!$B$5&gt;=8),FORSIDE!$B$6+(8-1)*FORSIDE!$B$7,"")</f>
        <v/>
      </c>
    </row>
    <row r="231" spans="1:4" x14ac:dyDescent="0.3">
      <c r="A231" t="str">
        <f>IF(AND(FORSIDE!$B$8&gt;=20,FORSIDE!$F$8&gt;=0,FORSIDE!$B$5&gt;=9),230,"")</f>
        <v/>
      </c>
      <c r="B231" t="str">
        <f>IF(AND(FORSIDE!$B$8&gt;=20,FORSIDE!$F$8&gt;=0,FORSIDE!$B$5&gt;=9),354+0*FORSIDE!$F$9,"")</f>
        <v/>
      </c>
      <c r="C231" t="str">
        <f>IF(AND(FORSIDE!$B$8&gt;=20,FORSIDE!$F$8&gt;=0,FORSIDE!$B$5&gt;=9),20*FORSIDE!$B$9,"")</f>
        <v/>
      </c>
      <c r="D231" t="str">
        <f>IF(AND(FORSIDE!$B$8&gt;=20,FORSIDE!$F$8&gt;=0,FORSIDE!$B$5&gt;=9),FORSIDE!$B$6+(9-1)*FORSIDE!$B$7,"")</f>
        <v/>
      </c>
    </row>
    <row r="232" spans="1:4" x14ac:dyDescent="0.3">
      <c r="A232" t="str">
        <f>IF(AND(FORSIDE!$B$8&gt;=20,FORSIDE!$F$8&gt;=0,FORSIDE!$B$5&gt;=10),231,"")</f>
        <v/>
      </c>
      <c r="B232" t="str">
        <f>IF(AND(FORSIDE!$B$8&gt;=20,FORSIDE!$F$8&gt;=0,FORSIDE!$B$5&gt;=10),354+0*FORSIDE!$F$9,"")</f>
        <v/>
      </c>
      <c r="C232" t="str">
        <f>IF(AND(FORSIDE!$B$8&gt;=20,FORSIDE!$F$8&gt;=0,FORSIDE!$B$5&gt;=10),20*FORSIDE!$B$9,"")</f>
        <v/>
      </c>
      <c r="D232" t="str">
        <f>IF(AND(FORSIDE!$B$8&gt;=20,FORSIDE!$F$8&gt;=0,FORSIDE!$B$5&gt;=10),FORSIDE!$B$6+(10-1)*FORSIDE!$B$7,"")</f>
        <v/>
      </c>
    </row>
    <row r="233" spans="1:4" x14ac:dyDescent="0.3">
      <c r="A233">
        <f>IF(AND(FORSIDE!$B$8&gt;=0,FORSIDE!$F$8&gt;=1,FORSIDE!$B$5&gt;=0),232,"")</f>
        <v>232</v>
      </c>
      <c r="B233">
        <f>IF(AND(FORSIDE!$B$8&gt;=0,FORSIDE!$F$8&gt;=1,FORSIDE!$B$5&gt;=0),354+1*FORSIDE!$F$9,"")</f>
        <v>12354</v>
      </c>
      <c r="C233">
        <f>IF(AND(FORSIDE!$B$8&gt;=0,FORSIDE!$F$8&gt;=1,FORSIDE!$B$5&gt;=0),0*FORSIDE!$B$9,"")</f>
        <v>0</v>
      </c>
      <c r="D233">
        <f>IF(AND(FORSIDE!$B$8&gt;=0,FORSIDE!$F$8&gt;=1,FORSIDE!$B$5&gt;=0),0,"")</f>
        <v>0</v>
      </c>
    </row>
    <row r="234" spans="1:4" x14ac:dyDescent="0.3">
      <c r="A234">
        <f>IF(AND(FORSIDE!$B$8&gt;=0,FORSIDE!$F$8&gt;=1,FORSIDE!$B$5&gt;=1),233,"")</f>
        <v>233</v>
      </c>
      <c r="B234">
        <f>IF(AND(FORSIDE!$B$8&gt;=0,FORSIDE!$F$8&gt;=1,FORSIDE!$B$5&gt;=1),354+1*FORSIDE!$F$9,"")</f>
        <v>12354</v>
      </c>
      <c r="C234">
        <f>IF(AND(FORSIDE!$B$8&gt;=0,FORSIDE!$F$8&gt;=1,FORSIDE!$B$5&gt;=1),0*FORSIDE!$B$9,"")</f>
        <v>0</v>
      </c>
      <c r="D234">
        <f>IF(AND(FORSIDE!$B$8&gt;=0,FORSIDE!$F$8&gt;=1,FORSIDE!$B$5&gt;=1),FORSIDE!$B$6+(1-1)*FORSIDE!$B$7,"")</f>
        <v>3000</v>
      </c>
    </row>
    <row r="235" spans="1:4" x14ac:dyDescent="0.3">
      <c r="A235">
        <f>IF(AND(FORSIDE!$B$8&gt;=0,FORSIDE!$F$8&gt;=1,FORSIDE!$B$5&gt;=2),234,"")</f>
        <v>234</v>
      </c>
      <c r="B235">
        <f>IF(AND(FORSIDE!$B$8&gt;=0,FORSIDE!$F$8&gt;=1,FORSIDE!$B$5&gt;=2),354+1*FORSIDE!$F$9,"")</f>
        <v>12354</v>
      </c>
      <c r="C235">
        <f>IF(AND(FORSIDE!$B$8&gt;=0,FORSIDE!$F$8&gt;=1,FORSIDE!$B$5&gt;=2),0*FORSIDE!$B$9,"")</f>
        <v>0</v>
      </c>
      <c r="D235">
        <f>IF(AND(FORSIDE!$B$8&gt;=0,FORSIDE!$F$8&gt;=1,FORSIDE!$B$5&gt;=2),FORSIDE!$B$6+(2-1)*FORSIDE!$B$7,"")</f>
        <v>6000</v>
      </c>
    </row>
    <row r="236" spans="1:4" x14ac:dyDescent="0.3">
      <c r="A236">
        <f>IF(AND(FORSIDE!$B$8&gt;=0,FORSIDE!$F$8&gt;=1,FORSIDE!$B$5&gt;=3),235,"")</f>
        <v>235</v>
      </c>
      <c r="B236">
        <f>IF(AND(FORSIDE!$B$8&gt;=0,FORSIDE!$F$8&gt;=1,FORSIDE!$B$5&gt;=3),354+1*FORSIDE!$F$9,"")</f>
        <v>12354</v>
      </c>
      <c r="C236">
        <f>IF(AND(FORSIDE!$B$8&gt;=0,FORSIDE!$F$8&gt;=1,FORSIDE!$B$5&gt;=3),0*FORSIDE!$B$9,"")</f>
        <v>0</v>
      </c>
      <c r="D236">
        <f>IF(AND(FORSIDE!$B$8&gt;=0,FORSIDE!$F$8&gt;=1,FORSIDE!$B$5&gt;=3),FORSIDE!$B$6+(3-1)*FORSIDE!$B$7,"")</f>
        <v>9000</v>
      </c>
    </row>
    <row r="237" spans="1:4" x14ac:dyDescent="0.3">
      <c r="A237">
        <f>IF(AND(FORSIDE!$B$8&gt;=0,FORSIDE!$F$8&gt;=1,FORSIDE!$B$5&gt;=4),236,"")</f>
        <v>236</v>
      </c>
      <c r="B237">
        <f>IF(AND(FORSIDE!$B$8&gt;=0,FORSIDE!$F$8&gt;=1,FORSIDE!$B$5&gt;=4),354+1*FORSIDE!$F$9,"")</f>
        <v>12354</v>
      </c>
      <c r="C237">
        <f>IF(AND(FORSIDE!$B$8&gt;=0,FORSIDE!$F$8&gt;=1,FORSIDE!$B$5&gt;=4),0*FORSIDE!$B$9,"")</f>
        <v>0</v>
      </c>
      <c r="D237">
        <f>IF(AND(FORSIDE!$B$8&gt;=0,FORSIDE!$F$8&gt;=1,FORSIDE!$B$5&gt;=4),FORSIDE!$B$6+(4-1)*FORSIDE!$B$7,"")</f>
        <v>12000</v>
      </c>
    </row>
    <row r="238" spans="1:4" x14ac:dyDescent="0.3">
      <c r="A238">
        <f>IF(AND(FORSIDE!$B$8&gt;=0,FORSIDE!$F$8&gt;=1,FORSIDE!$B$5&gt;=5),237,"")</f>
        <v>237</v>
      </c>
      <c r="B238">
        <f>IF(AND(FORSIDE!$B$8&gt;=0,FORSIDE!$F$8&gt;=1,FORSIDE!$B$5&gt;=5),354+1*FORSIDE!$F$9,"")</f>
        <v>12354</v>
      </c>
      <c r="C238">
        <f>IF(AND(FORSIDE!$B$8&gt;=0,FORSIDE!$F$8&gt;=1,FORSIDE!$B$5&gt;=5),0*FORSIDE!$B$9,"")</f>
        <v>0</v>
      </c>
      <c r="D238">
        <f>IF(AND(FORSIDE!$B$8&gt;=0,FORSIDE!$F$8&gt;=1,FORSIDE!$B$5&gt;=5),FORSIDE!$B$6+(5-1)*FORSIDE!$B$7,"")</f>
        <v>15000</v>
      </c>
    </row>
    <row r="239" spans="1:4" x14ac:dyDescent="0.3">
      <c r="A239">
        <f>IF(AND(FORSIDE!$B$8&gt;=0,FORSIDE!$F$8&gt;=1,FORSIDE!$B$5&gt;=6),238,"")</f>
        <v>238</v>
      </c>
      <c r="B239">
        <f>IF(AND(FORSIDE!$B$8&gt;=0,FORSIDE!$F$8&gt;=1,FORSIDE!$B$5&gt;=6),354+1*FORSIDE!$F$9,"")</f>
        <v>12354</v>
      </c>
      <c r="C239">
        <f>IF(AND(FORSIDE!$B$8&gt;=0,FORSIDE!$F$8&gt;=1,FORSIDE!$B$5&gt;=6),0*FORSIDE!$B$9,"")</f>
        <v>0</v>
      </c>
      <c r="D239">
        <f>IF(AND(FORSIDE!$B$8&gt;=0,FORSIDE!$F$8&gt;=1,FORSIDE!$B$5&gt;=6),FORSIDE!$B$6+(6-1)*FORSIDE!$B$7,"")</f>
        <v>18000</v>
      </c>
    </row>
    <row r="240" spans="1:4" x14ac:dyDescent="0.3">
      <c r="A240" t="str">
        <f>IF(AND(FORSIDE!$B$8&gt;=0,FORSIDE!$F$8&gt;=1,FORSIDE!$B$5&gt;=7),239,"")</f>
        <v/>
      </c>
      <c r="B240" t="str">
        <f>IF(AND(FORSIDE!$B$8&gt;=0,FORSIDE!$F$8&gt;=1,FORSIDE!$B$5&gt;=7),354+1*FORSIDE!$F$9,"")</f>
        <v/>
      </c>
      <c r="C240" t="str">
        <f>IF(AND(FORSIDE!$B$8&gt;=0,FORSIDE!$F$8&gt;=1,FORSIDE!$B$5&gt;=7),0*FORSIDE!$B$9,"")</f>
        <v/>
      </c>
      <c r="D240" t="str">
        <f>IF(AND(FORSIDE!$B$8&gt;=0,FORSIDE!$F$8&gt;=1,FORSIDE!$B$5&gt;=7),FORSIDE!$B$6+(7-1)*FORSIDE!$B$7,"")</f>
        <v/>
      </c>
    </row>
    <row r="241" spans="1:4" x14ac:dyDescent="0.3">
      <c r="A241" t="str">
        <f>IF(AND(FORSIDE!$B$8&gt;=0,FORSIDE!$F$8&gt;=1,FORSIDE!$B$5&gt;=8),240,"")</f>
        <v/>
      </c>
      <c r="B241" t="str">
        <f>IF(AND(FORSIDE!$B$8&gt;=0,FORSIDE!$F$8&gt;=1,FORSIDE!$B$5&gt;=8),354+1*FORSIDE!$F$9,"")</f>
        <v/>
      </c>
      <c r="C241" t="str">
        <f>IF(AND(FORSIDE!$B$8&gt;=0,FORSIDE!$F$8&gt;=1,FORSIDE!$B$5&gt;=8),0*FORSIDE!$B$9,"")</f>
        <v/>
      </c>
      <c r="D241" t="str">
        <f>IF(AND(FORSIDE!$B$8&gt;=0,FORSIDE!$F$8&gt;=1,FORSIDE!$B$5&gt;=8),FORSIDE!$B$6+(8-1)*FORSIDE!$B$7,"")</f>
        <v/>
      </c>
    </row>
    <row r="242" spans="1:4" x14ac:dyDescent="0.3">
      <c r="A242" t="str">
        <f>IF(AND(FORSIDE!$B$8&gt;=0,FORSIDE!$F$8&gt;=1,FORSIDE!$B$5&gt;=9),241,"")</f>
        <v/>
      </c>
      <c r="B242" t="str">
        <f>IF(AND(FORSIDE!$B$8&gt;=0,FORSIDE!$F$8&gt;=1,FORSIDE!$B$5&gt;=9),354+1*FORSIDE!$F$9,"")</f>
        <v/>
      </c>
      <c r="C242" t="str">
        <f>IF(AND(FORSIDE!$B$8&gt;=0,FORSIDE!$F$8&gt;=1,FORSIDE!$B$5&gt;=9),0*FORSIDE!$B$9,"")</f>
        <v/>
      </c>
      <c r="D242" t="str">
        <f>IF(AND(FORSIDE!$B$8&gt;=0,FORSIDE!$F$8&gt;=1,FORSIDE!$B$5&gt;=9),FORSIDE!$B$6+(9-1)*FORSIDE!$B$7,"")</f>
        <v/>
      </c>
    </row>
    <row r="243" spans="1:4" x14ac:dyDescent="0.3">
      <c r="A243" t="str">
        <f>IF(AND(FORSIDE!$B$8&gt;=0,FORSIDE!$F$8&gt;=1,FORSIDE!$B$5&gt;=10),242,"")</f>
        <v/>
      </c>
      <c r="B243" t="str">
        <f>IF(AND(FORSIDE!$B$8&gt;=0,FORSIDE!$F$8&gt;=1,FORSIDE!$B$5&gt;=10),354+1*FORSIDE!$F$9,"")</f>
        <v/>
      </c>
      <c r="C243" t="str">
        <f>IF(AND(FORSIDE!$B$8&gt;=0,FORSIDE!$F$8&gt;=1,FORSIDE!$B$5&gt;=10),0*FORSIDE!$B$9,"")</f>
        <v/>
      </c>
      <c r="D243" t="str">
        <f>IF(AND(FORSIDE!$B$8&gt;=0,FORSIDE!$F$8&gt;=1,FORSIDE!$B$5&gt;=10),FORSIDE!$B$6+(10-1)*FORSIDE!$B$7,"")</f>
        <v/>
      </c>
    </row>
    <row r="244" spans="1:4" x14ac:dyDescent="0.3">
      <c r="A244">
        <f>IF(AND(FORSIDE!$B$8&gt;=1,FORSIDE!$F$8&gt;=1,FORSIDE!$B$5&gt;=0),243,"")</f>
        <v>243</v>
      </c>
      <c r="B244">
        <f>IF(AND(FORSIDE!$B$8&gt;=1,FORSIDE!$F$8&gt;=1,FORSIDE!$B$5&gt;=0),354+1*FORSIDE!$F$9,"")</f>
        <v>12354</v>
      </c>
      <c r="C244">
        <f>IF(AND(FORSIDE!$B$8&gt;=1,FORSIDE!$F$8&gt;=1,FORSIDE!$B$5&gt;=0),1*FORSIDE!$B$9,"")</f>
        <v>8000</v>
      </c>
      <c r="D244">
        <f>IF(AND(FORSIDE!$B$8&gt;=1,FORSIDE!$F$8&gt;=1,FORSIDE!$B$5&gt;=0),0,"")</f>
        <v>0</v>
      </c>
    </row>
    <row r="245" spans="1:4" x14ac:dyDescent="0.3">
      <c r="A245">
        <f>IF(AND(FORSIDE!$B$8&gt;=1,FORSIDE!$F$8&gt;=1,FORSIDE!$B$5&gt;=1),244,"")</f>
        <v>244</v>
      </c>
      <c r="B245">
        <f>IF(AND(FORSIDE!$B$8&gt;=1,FORSIDE!$F$8&gt;=1,FORSIDE!$B$5&gt;=1),354+1*FORSIDE!$F$9,"")</f>
        <v>12354</v>
      </c>
      <c r="C245">
        <f>IF(AND(FORSIDE!$B$8&gt;=1,FORSIDE!$F$8&gt;=1,FORSIDE!$B$5&gt;=1),1*FORSIDE!$B$9,"")</f>
        <v>8000</v>
      </c>
      <c r="D245">
        <f>IF(AND(FORSIDE!$B$8&gt;=1,FORSIDE!$F$8&gt;=1,FORSIDE!$B$5&gt;=1),FORSIDE!$B$6+(1-1)*FORSIDE!$B$7,"")</f>
        <v>3000</v>
      </c>
    </row>
    <row r="246" spans="1:4" x14ac:dyDescent="0.3">
      <c r="A246">
        <f>IF(AND(FORSIDE!$B$8&gt;=1,FORSIDE!$F$8&gt;=1,FORSIDE!$B$5&gt;=2),245,"")</f>
        <v>245</v>
      </c>
      <c r="B246">
        <f>IF(AND(FORSIDE!$B$8&gt;=1,FORSIDE!$F$8&gt;=1,FORSIDE!$B$5&gt;=2),354+1*FORSIDE!$F$9,"")</f>
        <v>12354</v>
      </c>
      <c r="C246">
        <f>IF(AND(FORSIDE!$B$8&gt;=1,FORSIDE!$F$8&gt;=1,FORSIDE!$B$5&gt;=2),1*FORSIDE!$B$9,"")</f>
        <v>8000</v>
      </c>
      <c r="D246">
        <f>IF(AND(FORSIDE!$B$8&gt;=1,FORSIDE!$F$8&gt;=1,FORSIDE!$B$5&gt;=2),FORSIDE!$B$6+(2-1)*FORSIDE!$B$7,"")</f>
        <v>6000</v>
      </c>
    </row>
    <row r="247" spans="1:4" x14ac:dyDescent="0.3">
      <c r="A247">
        <f>IF(AND(FORSIDE!$B$8&gt;=1,FORSIDE!$F$8&gt;=1,FORSIDE!$B$5&gt;=3),246,"")</f>
        <v>246</v>
      </c>
      <c r="B247">
        <f>IF(AND(FORSIDE!$B$8&gt;=1,FORSIDE!$F$8&gt;=1,FORSIDE!$B$5&gt;=3),354+1*FORSIDE!$F$9,"")</f>
        <v>12354</v>
      </c>
      <c r="C247">
        <f>IF(AND(FORSIDE!$B$8&gt;=1,FORSIDE!$F$8&gt;=1,FORSIDE!$B$5&gt;=3),1*FORSIDE!$B$9,"")</f>
        <v>8000</v>
      </c>
      <c r="D247">
        <f>IF(AND(FORSIDE!$B$8&gt;=1,FORSIDE!$F$8&gt;=1,FORSIDE!$B$5&gt;=3),FORSIDE!$B$6+(3-1)*FORSIDE!$B$7,"")</f>
        <v>9000</v>
      </c>
    </row>
    <row r="248" spans="1:4" x14ac:dyDescent="0.3">
      <c r="A248">
        <f>IF(AND(FORSIDE!$B$8&gt;=1,FORSIDE!$F$8&gt;=1,FORSIDE!$B$5&gt;=4),247,"")</f>
        <v>247</v>
      </c>
      <c r="B248">
        <f>IF(AND(FORSIDE!$B$8&gt;=1,FORSIDE!$F$8&gt;=1,FORSIDE!$B$5&gt;=4),354+1*FORSIDE!$F$9,"")</f>
        <v>12354</v>
      </c>
      <c r="C248">
        <f>IF(AND(FORSIDE!$B$8&gt;=1,FORSIDE!$F$8&gt;=1,FORSIDE!$B$5&gt;=4),1*FORSIDE!$B$9,"")</f>
        <v>8000</v>
      </c>
      <c r="D248">
        <f>IF(AND(FORSIDE!$B$8&gt;=1,FORSIDE!$F$8&gt;=1,FORSIDE!$B$5&gt;=4),FORSIDE!$B$6+(4-1)*FORSIDE!$B$7,"")</f>
        <v>12000</v>
      </c>
    </row>
    <row r="249" spans="1:4" x14ac:dyDescent="0.3">
      <c r="A249">
        <f>IF(AND(FORSIDE!$B$8&gt;=1,FORSIDE!$F$8&gt;=1,FORSIDE!$B$5&gt;=5),248,"")</f>
        <v>248</v>
      </c>
      <c r="B249">
        <f>IF(AND(FORSIDE!$B$8&gt;=1,FORSIDE!$F$8&gt;=1,FORSIDE!$B$5&gt;=5),354+1*FORSIDE!$F$9,"")</f>
        <v>12354</v>
      </c>
      <c r="C249">
        <f>IF(AND(FORSIDE!$B$8&gt;=1,FORSIDE!$F$8&gt;=1,FORSIDE!$B$5&gt;=5),1*FORSIDE!$B$9,"")</f>
        <v>8000</v>
      </c>
      <c r="D249">
        <f>IF(AND(FORSIDE!$B$8&gt;=1,FORSIDE!$F$8&gt;=1,FORSIDE!$B$5&gt;=5),FORSIDE!$B$6+(5-1)*FORSIDE!$B$7,"")</f>
        <v>15000</v>
      </c>
    </row>
    <row r="250" spans="1:4" x14ac:dyDescent="0.3">
      <c r="A250">
        <f>IF(AND(FORSIDE!$B$8&gt;=1,FORSIDE!$F$8&gt;=1,FORSIDE!$B$5&gt;=6),249,"")</f>
        <v>249</v>
      </c>
      <c r="B250">
        <f>IF(AND(FORSIDE!$B$8&gt;=1,FORSIDE!$F$8&gt;=1,FORSIDE!$B$5&gt;=6),354+1*FORSIDE!$F$9,"")</f>
        <v>12354</v>
      </c>
      <c r="C250">
        <f>IF(AND(FORSIDE!$B$8&gt;=1,FORSIDE!$F$8&gt;=1,FORSIDE!$B$5&gt;=6),1*FORSIDE!$B$9,"")</f>
        <v>8000</v>
      </c>
      <c r="D250">
        <f>IF(AND(FORSIDE!$B$8&gt;=1,FORSIDE!$F$8&gt;=1,FORSIDE!$B$5&gt;=6),FORSIDE!$B$6+(6-1)*FORSIDE!$B$7,"")</f>
        <v>18000</v>
      </c>
    </row>
    <row r="251" spans="1:4" x14ac:dyDescent="0.3">
      <c r="A251" t="str">
        <f>IF(AND(FORSIDE!$B$8&gt;=1,FORSIDE!$F$8&gt;=1,FORSIDE!$B$5&gt;=7),250,"")</f>
        <v/>
      </c>
      <c r="B251" t="str">
        <f>IF(AND(FORSIDE!$B$8&gt;=1,FORSIDE!$F$8&gt;=1,FORSIDE!$B$5&gt;=7),354+1*FORSIDE!$F$9,"")</f>
        <v/>
      </c>
      <c r="C251" t="str">
        <f>IF(AND(FORSIDE!$B$8&gt;=1,FORSIDE!$F$8&gt;=1,FORSIDE!$B$5&gt;=7),1*FORSIDE!$B$9,"")</f>
        <v/>
      </c>
      <c r="D251" t="str">
        <f>IF(AND(FORSIDE!$B$8&gt;=1,FORSIDE!$F$8&gt;=1,FORSIDE!$B$5&gt;=7),FORSIDE!$B$6+(7-1)*FORSIDE!$B$7,"")</f>
        <v/>
      </c>
    </row>
    <row r="252" spans="1:4" x14ac:dyDescent="0.3">
      <c r="A252" t="str">
        <f>IF(AND(FORSIDE!$B$8&gt;=1,FORSIDE!$F$8&gt;=1,FORSIDE!$B$5&gt;=8),251,"")</f>
        <v/>
      </c>
      <c r="B252" t="str">
        <f>IF(AND(FORSIDE!$B$8&gt;=1,FORSIDE!$F$8&gt;=1,FORSIDE!$B$5&gt;=8),354+1*FORSIDE!$F$9,"")</f>
        <v/>
      </c>
      <c r="C252" t="str">
        <f>IF(AND(FORSIDE!$B$8&gt;=1,FORSIDE!$F$8&gt;=1,FORSIDE!$B$5&gt;=8),1*FORSIDE!$B$9,"")</f>
        <v/>
      </c>
      <c r="D252" t="str">
        <f>IF(AND(FORSIDE!$B$8&gt;=1,FORSIDE!$F$8&gt;=1,FORSIDE!$B$5&gt;=8),FORSIDE!$B$6+(8-1)*FORSIDE!$B$7,"")</f>
        <v/>
      </c>
    </row>
    <row r="253" spans="1:4" x14ac:dyDescent="0.3">
      <c r="A253" t="str">
        <f>IF(AND(FORSIDE!$B$8&gt;=1,FORSIDE!$F$8&gt;=1,FORSIDE!$B$5&gt;=9),252,"")</f>
        <v/>
      </c>
      <c r="B253" t="str">
        <f>IF(AND(FORSIDE!$B$8&gt;=1,FORSIDE!$F$8&gt;=1,FORSIDE!$B$5&gt;=9),354+1*FORSIDE!$F$9,"")</f>
        <v/>
      </c>
      <c r="C253" t="str">
        <f>IF(AND(FORSIDE!$B$8&gt;=1,FORSIDE!$F$8&gt;=1,FORSIDE!$B$5&gt;=9),1*FORSIDE!$B$9,"")</f>
        <v/>
      </c>
      <c r="D253" t="str">
        <f>IF(AND(FORSIDE!$B$8&gt;=1,FORSIDE!$F$8&gt;=1,FORSIDE!$B$5&gt;=9),FORSIDE!$B$6+(9-1)*FORSIDE!$B$7,"")</f>
        <v/>
      </c>
    </row>
    <row r="254" spans="1:4" x14ac:dyDescent="0.3">
      <c r="A254" t="str">
        <f>IF(AND(FORSIDE!$B$8&gt;=1,FORSIDE!$F$8&gt;=1,FORSIDE!$B$5&gt;=10),253,"")</f>
        <v/>
      </c>
      <c r="B254" t="str">
        <f>IF(AND(FORSIDE!$B$8&gt;=1,FORSIDE!$F$8&gt;=1,FORSIDE!$B$5&gt;=10),354+1*FORSIDE!$F$9,"")</f>
        <v/>
      </c>
      <c r="C254" t="str">
        <f>IF(AND(FORSIDE!$B$8&gt;=1,FORSIDE!$F$8&gt;=1,FORSIDE!$B$5&gt;=10),1*FORSIDE!$B$9,"")</f>
        <v/>
      </c>
      <c r="D254" t="str">
        <f>IF(AND(FORSIDE!$B$8&gt;=1,FORSIDE!$F$8&gt;=1,FORSIDE!$B$5&gt;=10),FORSIDE!$B$6+(10-1)*FORSIDE!$B$7,"")</f>
        <v/>
      </c>
    </row>
    <row r="255" spans="1:4" x14ac:dyDescent="0.3">
      <c r="A255">
        <f>IF(AND(FORSIDE!$B$8&gt;=2,FORSIDE!$F$8&gt;=1,FORSIDE!$B$5&gt;=0),254,"")</f>
        <v>254</v>
      </c>
      <c r="B255">
        <f>IF(AND(FORSIDE!$B$8&gt;=2,FORSIDE!$F$8&gt;=1,FORSIDE!$B$5&gt;=0),354+1*FORSIDE!$F$9,"")</f>
        <v>12354</v>
      </c>
      <c r="C255">
        <f>IF(AND(FORSIDE!$B$8&gt;=2,FORSIDE!$F$8&gt;=1,FORSIDE!$B$5&gt;=0),2*FORSIDE!$B$9,"")</f>
        <v>16000</v>
      </c>
      <c r="D255">
        <f>IF(AND(FORSIDE!$B$8&gt;=2,FORSIDE!$F$8&gt;=1,FORSIDE!$B$5&gt;=0),0,"")</f>
        <v>0</v>
      </c>
    </row>
    <row r="256" spans="1:4" x14ac:dyDescent="0.3">
      <c r="A256">
        <f>IF(AND(FORSIDE!$B$8&gt;=2,FORSIDE!$F$8&gt;=1,FORSIDE!$B$5&gt;=1),255,"")</f>
        <v>255</v>
      </c>
      <c r="B256">
        <f>IF(AND(FORSIDE!$B$8&gt;=2,FORSIDE!$F$8&gt;=1,FORSIDE!$B$5&gt;=1),354+1*FORSIDE!$F$9,"")</f>
        <v>12354</v>
      </c>
      <c r="C256">
        <f>IF(AND(FORSIDE!$B$8&gt;=2,FORSIDE!$F$8&gt;=1,FORSIDE!$B$5&gt;=1),2*FORSIDE!$B$9,"")</f>
        <v>16000</v>
      </c>
      <c r="D256">
        <f>IF(AND(FORSIDE!$B$8&gt;=2,FORSIDE!$F$8&gt;=1,FORSIDE!$B$5&gt;=1),FORSIDE!$B$6+(1-1)*FORSIDE!$B$7,"")</f>
        <v>3000</v>
      </c>
    </row>
    <row r="257" spans="1:4" x14ac:dyDescent="0.3">
      <c r="A257">
        <f>IF(AND(FORSIDE!$B$8&gt;=2,FORSIDE!$F$8&gt;=1,FORSIDE!$B$5&gt;=2),256,"")</f>
        <v>256</v>
      </c>
      <c r="B257">
        <f>IF(AND(FORSIDE!$B$8&gt;=2,FORSIDE!$F$8&gt;=1,FORSIDE!$B$5&gt;=2),354+1*FORSIDE!$F$9,"")</f>
        <v>12354</v>
      </c>
      <c r="C257">
        <f>IF(AND(FORSIDE!$B$8&gt;=2,FORSIDE!$F$8&gt;=1,FORSIDE!$B$5&gt;=2),2*FORSIDE!$B$9,"")</f>
        <v>16000</v>
      </c>
      <c r="D257">
        <f>IF(AND(FORSIDE!$B$8&gt;=2,FORSIDE!$F$8&gt;=1,FORSIDE!$B$5&gt;=2),FORSIDE!$B$6+(2-1)*FORSIDE!$B$7,"")</f>
        <v>6000</v>
      </c>
    </row>
    <row r="258" spans="1:4" x14ac:dyDescent="0.3">
      <c r="A258">
        <f>IF(AND(FORSIDE!$B$8&gt;=2,FORSIDE!$F$8&gt;=1,FORSIDE!$B$5&gt;=3),257,"")</f>
        <v>257</v>
      </c>
      <c r="B258">
        <f>IF(AND(FORSIDE!$B$8&gt;=2,FORSIDE!$F$8&gt;=1,FORSIDE!$B$5&gt;=3),354+1*FORSIDE!$F$9,"")</f>
        <v>12354</v>
      </c>
      <c r="C258">
        <f>IF(AND(FORSIDE!$B$8&gt;=2,FORSIDE!$F$8&gt;=1,FORSIDE!$B$5&gt;=3),2*FORSIDE!$B$9,"")</f>
        <v>16000</v>
      </c>
      <c r="D258">
        <f>IF(AND(FORSIDE!$B$8&gt;=2,FORSIDE!$F$8&gt;=1,FORSIDE!$B$5&gt;=3),FORSIDE!$B$6+(3-1)*FORSIDE!$B$7,"")</f>
        <v>9000</v>
      </c>
    </row>
    <row r="259" spans="1:4" x14ac:dyDescent="0.3">
      <c r="A259">
        <f>IF(AND(FORSIDE!$B$8&gt;=2,FORSIDE!$F$8&gt;=1,FORSIDE!$B$5&gt;=4),258,"")</f>
        <v>258</v>
      </c>
      <c r="B259">
        <f>IF(AND(FORSIDE!$B$8&gt;=2,FORSIDE!$F$8&gt;=1,FORSIDE!$B$5&gt;=4),354+1*FORSIDE!$F$9,"")</f>
        <v>12354</v>
      </c>
      <c r="C259">
        <f>IF(AND(FORSIDE!$B$8&gt;=2,FORSIDE!$F$8&gt;=1,FORSIDE!$B$5&gt;=4),2*FORSIDE!$B$9,"")</f>
        <v>16000</v>
      </c>
      <c r="D259">
        <f>IF(AND(FORSIDE!$B$8&gt;=2,FORSIDE!$F$8&gt;=1,FORSIDE!$B$5&gt;=4),FORSIDE!$B$6+(4-1)*FORSIDE!$B$7,"")</f>
        <v>12000</v>
      </c>
    </row>
    <row r="260" spans="1:4" x14ac:dyDescent="0.3">
      <c r="A260">
        <f>IF(AND(FORSIDE!$B$8&gt;=2,FORSIDE!$F$8&gt;=1,FORSIDE!$B$5&gt;=5),259,"")</f>
        <v>259</v>
      </c>
      <c r="B260">
        <f>IF(AND(FORSIDE!$B$8&gt;=2,FORSIDE!$F$8&gt;=1,FORSIDE!$B$5&gt;=5),354+1*FORSIDE!$F$9,"")</f>
        <v>12354</v>
      </c>
      <c r="C260">
        <f>IF(AND(FORSIDE!$B$8&gt;=2,FORSIDE!$F$8&gt;=1,FORSIDE!$B$5&gt;=5),2*FORSIDE!$B$9,"")</f>
        <v>16000</v>
      </c>
      <c r="D260">
        <f>IF(AND(FORSIDE!$B$8&gt;=2,FORSIDE!$F$8&gt;=1,FORSIDE!$B$5&gt;=5),FORSIDE!$B$6+(5-1)*FORSIDE!$B$7,"")</f>
        <v>15000</v>
      </c>
    </row>
    <row r="261" spans="1:4" x14ac:dyDescent="0.3">
      <c r="A261">
        <f>IF(AND(FORSIDE!$B$8&gt;=2,FORSIDE!$F$8&gt;=1,FORSIDE!$B$5&gt;=6),260,"")</f>
        <v>260</v>
      </c>
      <c r="B261">
        <f>IF(AND(FORSIDE!$B$8&gt;=2,FORSIDE!$F$8&gt;=1,FORSIDE!$B$5&gt;=6),354+1*FORSIDE!$F$9,"")</f>
        <v>12354</v>
      </c>
      <c r="C261">
        <f>IF(AND(FORSIDE!$B$8&gt;=2,FORSIDE!$F$8&gt;=1,FORSIDE!$B$5&gt;=6),2*FORSIDE!$B$9,"")</f>
        <v>16000</v>
      </c>
      <c r="D261">
        <f>IF(AND(FORSIDE!$B$8&gt;=2,FORSIDE!$F$8&gt;=1,FORSIDE!$B$5&gt;=6),FORSIDE!$B$6+(6-1)*FORSIDE!$B$7,"")</f>
        <v>18000</v>
      </c>
    </row>
    <row r="262" spans="1:4" x14ac:dyDescent="0.3">
      <c r="A262" t="str">
        <f>IF(AND(FORSIDE!$B$8&gt;=2,FORSIDE!$F$8&gt;=1,FORSIDE!$B$5&gt;=7),261,"")</f>
        <v/>
      </c>
      <c r="B262" t="str">
        <f>IF(AND(FORSIDE!$B$8&gt;=2,FORSIDE!$F$8&gt;=1,FORSIDE!$B$5&gt;=7),354+1*FORSIDE!$F$9,"")</f>
        <v/>
      </c>
      <c r="C262" t="str">
        <f>IF(AND(FORSIDE!$B$8&gt;=2,FORSIDE!$F$8&gt;=1,FORSIDE!$B$5&gt;=7),2*FORSIDE!$B$9,"")</f>
        <v/>
      </c>
      <c r="D262" t="str">
        <f>IF(AND(FORSIDE!$B$8&gt;=2,FORSIDE!$F$8&gt;=1,FORSIDE!$B$5&gt;=7),FORSIDE!$B$6+(7-1)*FORSIDE!$B$7,"")</f>
        <v/>
      </c>
    </row>
    <row r="263" spans="1:4" x14ac:dyDescent="0.3">
      <c r="A263" t="str">
        <f>IF(AND(FORSIDE!$B$8&gt;=2,FORSIDE!$F$8&gt;=1,FORSIDE!$B$5&gt;=8),262,"")</f>
        <v/>
      </c>
      <c r="B263" t="str">
        <f>IF(AND(FORSIDE!$B$8&gt;=2,FORSIDE!$F$8&gt;=1,FORSIDE!$B$5&gt;=8),354+1*FORSIDE!$F$9,"")</f>
        <v/>
      </c>
      <c r="C263" t="str">
        <f>IF(AND(FORSIDE!$B$8&gt;=2,FORSIDE!$F$8&gt;=1,FORSIDE!$B$5&gt;=8),2*FORSIDE!$B$9,"")</f>
        <v/>
      </c>
      <c r="D263" t="str">
        <f>IF(AND(FORSIDE!$B$8&gt;=2,FORSIDE!$F$8&gt;=1,FORSIDE!$B$5&gt;=8),FORSIDE!$B$6+(8-1)*FORSIDE!$B$7,"")</f>
        <v/>
      </c>
    </row>
    <row r="264" spans="1:4" x14ac:dyDescent="0.3">
      <c r="A264" t="str">
        <f>IF(AND(FORSIDE!$B$8&gt;=2,FORSIDE!$F$8&gt;=1,FORSIDE!$B$5&gt;=9),263,"")</f>
        <v/>
      </c>
      <c r="B264" t="str">
        <f>IF(AND(FORSIDE!$B$8&gt;=2,FORSIDE!$F$8&gt;=1,FORSIDE!$B$5&gt;=9),354+1*FORSIDE!$F$9,"")</f>
        <v/>
      </c>
      <c r="C264" t="str">
        <f>IF(AND(FORSIDE!$B$8&gt;=2,FORSIDE!$F$8&gt;=1,FORSIDE!$B$5&gt;=9),2*FORSIDE!$B$9,"")</f>
        <v/>
      </c>
      <c r="D264" t="str">
        <f>IF(AND(FORSIDE!$B$8&gt;=2,FORSIDE!$F$8&gt;=1,FORSIDE!$B$5&gt;=9),FORSIDE!$B$6+(9-1)*FORSIDE!$B$7,"")</f>
        <v/>
      </c>
    </row>
    <row r="265" spans="1:4" x14ac:dyDescent="0.3">
      <c r="A265" t="str">
        <f>IF(AND(FORSIDE!$B$8&gt;=2,FORSIDE!$F$8&gt;=1,FORSIDE!$B$5&gt;=10),264,"")</f>
        <v/>
      </c>
      <c r="B265" t="str">
        <f>IF(AND(FORSIDE!$B$8&gt;=2,FORSIDE!$F$8&gt;=1,FORSIDE!$B$5&gt;=10),354+1*FORSIDE!$F$9,"")</f>
        <v/>
      </c>
      <c r="C265" t="str">
        <f>IF(AND(FORSIDE!$B$8&gt;=2,FORSIDE!$F$8&gt;=1,FORSIDE!$B$5&gt;=10),2*FORSIDE!$B$9,"")</f>
        <v/>
      </c>
      <c r="D265" t="str">
        <f>IF(AND(FORSIDE!$B$8&gt;=2,FORSIDE!$F$8&gt;=1,FORSIDE!$B$5&gt;=10),FORSIDE!$B$6+(10-1)*FORSIDE!$B$7,"")</f>
        <v/>
      </c>
    </row>
    <row r="266" spans="1:4" x14ac:dyDescent="0.3">
      <c r="A266">
        <f>IF(AND(FORSIDE!$B$8&gt;=3,FORSIDE!$F$8&gt;=1,FORSIDE!$B$5&gt;=0),265,"")</f>
        <v>265</v>
      </c>
      <c r="B266">
        <f>IF(AND(FORSIDE!$B$8&gt;=3,FORSIDE!$F$8&gt;=1,FORSIDE!$B$5&gt;=0),354+1*FORSIDE!$F$9,"")</f>
        <v>12354</v>
      </c>
      <c r="C266">
        <f>IF(AND(FORSIDE!$B$8&gt;=3,FORSIDE!$F$8&gt;=1,FORSIDE!$B$5&gt;=0),3*FORSIDE!$B$9,"")</f>
        <v>24000</v>
      </c>
      <c r="D266">
        <f>IF(AND(FORSIDE!$B$8&gt;=3,FORSIDE!$F$8&gt;=1,FORSIDE!$B$5&gt;=0),0,"")</f>
        <v>0</v>
      </c>
    </row>
    <row r="267" spans="1:4" x14ac:dyDescent="0.3">
      <c r="A267">
        <f>IF(AND(FORSIDE!$B$8&gt;=3,FORSIDE!$F$8&gt;=1,FORSIDE!$B$5&gt;=1),266,"")</f>
        <v>266</v>
      </c>
      <c r="B267">
        <f>IF(AND(FORSIDE!$B$8&gt;=3,FORSIDE!$F$8&gt;=1,FORSIDE!$B$5&gt;=1),354+1*FORSIDE!$F$9,"")</f>
        <v>12354</v>
      </c>
      <c r="C267">
        <f>IF(AND(FORSIDE!$B$8&gt;=3,FORSIDE!$F$8&gt;=1,FORSIDE!$B$5&gt;=1),3*FORSIDE!$B$9,"")</f>
        <v>24000</v>
      </c>
      <c r="D267">
        <f>IF(AND(FORSIDE!$B$8&gt;=3,FORSIDE!$F$8&gt;=1,FORSIDE!$B$5&gt;=1),FORSIDE!$B$6+(1-1)*FORSIDE!$B$7,"")</f>
        <v>3000</v>
      </c>
    </row>
    <row r="268" spans="1:4" x14ac:dyDescent="0.3">
      <c r="A268">
        <f>IF(AND(FORSIDE!$B$8&gt;=3,FORSIDE!$F$8&gt;=1,FORSIDE!$B$5&gt;=2),267,"")</f>
        <v>267</v>
      </c>
      <c r="B268">
        <f>IF(AND(FORSIDE!$B$8&gt;=3,FORSIDE!$F$8&gt;=1,FORSIDE!$B$5&gt;=2),354+1*FORSIDE!$F$9,"")</f>
        <v>12354</v>
      </c>
      <c r="C268">
        <f>IF(AND(FORSIDE!$B$8&gt;=3,FORSIDE!$F$8&gt;=1,FORSIDE!$B$5&gt;=2),3*FORSIDE!$B$9,"")</f>
        <v>24000</v>
      </c>
      <c r="D268">
        <f>IF(AND(FORSIDE!$B$8&gt;=3,FORSIDE!$F$8&gt;=1,FORSIDE!$B$5&gt;=2),FORSIDE!$B$6+(2-1)*FORSIDE!$B$7,"")</f>
        <v>6000</v>
      </c>
    </row>
    <row r="269" spans="1:4" x14ac:dyDescent="0.3">
      <c r="A269">
        <f>IF(AND(FORSIDE!$B$8&gt;=3,FORSIDE!$F$8&gt;=1,FORSIDE!$B$5&gt;=3),268,"")</f>
        <v>268</v>
      </c>
      <c r="B269">
        <f>IF(AND(FORSIDE!$B$8&gt;=3,FORSIDE!$F$8&gt;=1,FORSIDE!$B$5&gt;=3),354+1*FORSIDE!$F$9,"")</f>
        <v>12354</v>
      </c>
      <c r="C269">
        <f>IF(AND(FORSIDE!$B$8&gt;=3,FORSIDE!$F$8&gt;=1,FORSIDE!$B$5&gt;=3),3*FORSIDE!$B$9,"")</f>
        <v>24000</v>
      </c>
      <c r="D269">
        <f>IF(AND(FORSIDE!$B$8&gt;=3,FORSIDE!$F$8&gt;=1,FORSIDE!$B$5&gt;=3),FORSIDE!$B$6+(3-1)*FORSIDE!$B$7,"")</f>
        <v>9000</v>
      </c>
    </row>
    <row r="270" spans="1:4" x14ac:dyDescent="0.3">
      <c r="A270">
        <f>IF(AND(FORSIDE!$B$8&gt;=3,FORSIDE!$F$8&gt;=1,FORSIDE!$B$5&gt;=4),269,"")</f>
        <v>269</v>
      </c>
      <c r="B270">
        <f>IF(AND(FORSIDE!$B$8&gt;=3,FORSIDE!$F$8&gt;=1,FORSIDE!$B$5&gt;=4),354+1*FORSIDE!$F$9,"")</f>
        <v>12354</v>
      </c>
      <c r="C270">
        <f>IF(AND(FORSIDE!$B$8&gt;=3,FORSIDE!$F$8&gt;=1,FORSIDE!$B$5&gt;=4),3*FORSIDE!$B$9,"")</f>
        <v>24000</v>
      </c>
      <c r="D270">
        <f>IF(AND(FORSIDE!$B$8&gt;=3,FORSIDE!$F$8&gt;=1,FORSIDE!$B$5&gt;=4),FORSIDE!$B$6+(4-1)*FORSIDE!$B$7,"")</f>
        <v>12000</v>
      </c>
    </row>
    <row r="271" spans="1:4" x14ac:dyDescent="0.3">
      <c r="A271">
        <f>IF(AND(FORSIDE!$B$8&gt;=3,FORSIDE!$F$8&gt;=1,FORSIDE!$B$5&gt;=5),270,"")</f>
        <v>270</v>
      </c>
      <c r="B271">
        <f>IF(AND(FORSIDE!$B$8&gt;=3,FORSIDE!$F$8&gt;=1,FORSIDE!$B$5&gt;=5),354+1*FORSIDE!$F$9,"")</f>
        <v>12354</v>
      </c>
      <c r="C271">
        <f>IF(AND(FORSIDE!$B$8&gt;=3,FORSIDE!$F$8&gt;=1,FORSIDE!$B$5&gt;=5),3*FORSIDE!$B$9,"")</f>
        <v>24000</v>
      </c>
      <c r="D271">
        <f>IF(AND(FORSIDE!$B$8&gt;=3,FORSIDE!$F$8&gt;=1,FORSIDE!$B$5&gt;=5),FORSIDE!$B$6+(5-1)*FORSIDE!$B$7,"")</f>
        <v>15000</v>
      </c>
    </row>
    <row r="272" spans="1:4" x14ac:dyDescent="0.3">
      <c r="A272">
        <f>IF(AND(FORSIDE!$B$8&gt;=3,FORSIDE!$F$8&gt;=1,FORSIDE!$B$5&gt;=6),271,"")</f>
        <v>271</v>
      </c>
      <c r="B272">
        <f>IF(AND(FORSIDE!$B$8&gt;=3,FORSIDE!$F$8&gt;=1,FORSIDE!$B$5&gt;=6),354+1*FORSIDE!$F$9,"")</f>
        <v>12354</v>
      </c>
      <c r="C272">
        <f>IF(AND(FORSIDE!$B$8&gt;=3,FORSIDE!$F$8&gt;=1,FORSIDE!$B$5&gt;=6),3*FORSIDE!$B$9,"")</f>
        <v>24000</v>
      </c>
      <c r="D272">
        <f>IF(AND(FORSIDE!$B$8&gt;=3,FORSIDE!$F$8&gt;=1,FORSIDE!$B$5&gt;=6),FORSIDE!$B$6+(6-1)*FORSIDE!$B$7,"")</f>
        <v>18000</v>
      </c>
    </row>
    <row r="273" spans="1:4" x14ac:dyDescent="0.3">
      <c r="A273" t="str">
        <f>IF(AND(FORSIDE!$B$8&gt;=3,FORSIDE!$F$8&gt;=1,FORSIDE!$B$5&gt;=7),272,"")</f>
        <v/>
      </c>
      <c r="B273" t="str">
        <f>IF(AND(FORSIDE!$B$8&gt;=3,FORSIDE!$F$8&gt;=1,FORSIDE!$B$5&gt;=7),354+1*FORSIDE!$F$9,"")</f>
        <v/>
      </c>
      <c r="C273" t="str">
        <f>IF(AND(FORSIDE!$B$8&gt;=3,FORSIDE!$F$8&gt;=1,FORSIDE!$B$5&gt;=7),3*FORSIDE!$B$9,"")</f>
        <v/>
      </c>
      <c r="D273" t="str">
        <f>IF(AND(FORSIDE!$B$8&gt;=3,FORSIDE!$F$8&gt;=1,FORSIDE!$B$5&gt;=7),FORSIDE!$B$6+(7-1)*FORSIDE!$B$7,"")</f>
        <v/>
      </c>
    </row>
    <row r="274" spans="1:4" x14ac:dyDescent="0.3">
      <c r="A274" t="str">
        <f>IF(AND(FORSIDE!$B$8&gt;=3,FORSIDE!$F$8&gt;=1,FORSIDE!$B$5&gt;=8),273,"")</f>
        <v/>
      </c>
      <c r="B274" t="str">
        <f>IF(AND(FORSIDE!$B$8&gt;=3,FORSIDE!$F$8&gt;=1,FORSIDE!$B$5&gt;=8),354+1*FORSIDE!$F$9,"")</f>
        <v/>
      </c>
      <c r="C274" t="str">
        <f>IF(AND(FORSIDE!$B$8&gt;=3,FORSIDE!$F$8&gt;=1,FORSIDE!$B$5&gt;=8),3*FORSIDE!$B$9,"")</f>
        <v/>
      </c>
      <c r="D274" t="str">
        <f>IF(AND(FORSIDE!$B$8&gt;=3,FORSIDE!$F$8&gt;=1,FORSIDE!$B$5&gt;=8),FORSIDE!$B$6+(8-1)*FORSIDE!$B$7,"")</f>
        <v/>
      </c>
    </row>
    <row r="275" spans="1:4" x14ac:dyDescent="0.3">
      <c r="A275" t="str">
        <f>IF(AND(FORSIDE!$B$8&gt;=3,FORSIDE!$F$8&gt;=1,FORSIDE!$B$5&gt;=9),274,"")</f>
        <v/>
      </c>
      <c r="B275" t="str">
        <f>IF(AND(FORSIDE!$B$8&gt;=3,FORSIDE!$F$8&gt;=1,FORSIDE!$B$5&gt;=9),354+1*FORSIDE!$F$9,"")</f>
        <v/>
      </c>
      <c r="C275" t="str">
        <f>IF(AND(FORSIDE!$B$8&gt;=3,FORSIDE!$F$8&gt;=1,FORSIDE!$B$5&gt;=9),3*FORSIDE!$B$9,"")</f>
        <v/>
      </c>
      <c r="D275" t="str">
        <f>IF(AND(FORSIDE!$B$8&gt;=3,FORSIDE!$F$8&gt;=1,FORSIDE!$B$5&gt;=9),FORSIDE!$B$6+(9-1)*FORSIDE!$B$7,"")</f>
        <v/>
      </c>
    </row>
    <row r="276" spans="1:4" x14ac:dyDescent="0.3">
      <c r="A276" t="str">
        <f>IF(AND(FORSIDE!$B$8&gt;=3,FORSIDE!$F$8&gt;=1,FORSIDE!$B$5&gt;=10),275,"")</f>
        <v/>
      </c>
      <c r="B276" t="str">
        <f>IF(AND(FORSIDE!$B$8&gt;=3,FORSIDE!$F$8&gt;=1,FORSIDE!$B$5&gt;=10),354+1*FORSIDE!$F$9,"")</f>
        <v/>
      </c>
      <c r="C276" t="str">
        <f>IF(AND(FORSIDE!$B$8&gt;=3,FORSIDE!$F$8&gt;=1,FORSIDE!$B$5&gt;=10),3*FORSIDE!$B$9,"")</f>
        <v/>
      </c>
      <c r="D276" t="str">
        <f>IF(AND(FORSIDE!$B$8&gt;=3,FORSIDE!$F$8&gt;=1,FORSIDE!$B$5&gt;=10),FORSIDE!$B$6+(10-1)*FORSIDE!$B$7,"")</f>
        <v/>
      </c>
    </row>
    <row r="277" spans="1:4" x14ac:dyDescent="0.3">
      <c r="A277">
        <f>IF(AND(FORSIDE!$B$8&gt;=4,FORSIDE!$F$8&gt;=1,FORSIDE!$B$5&gt;=0),276,"")</f>
        <v>276</v>
      </c>
      <c r="B277">
        <f>IF(AND(FORSIDE!$B$8&gt;=4,FORSIDE!$F$8&gt;=1,FORSIDE!$B$5&gt;=0),354+1*FORSIDE!$F$9,"")</f>
        <v>12354</v>
      </c>
      <c r="C277">
        <f>IF(AND(FORSIDE!$B$8&gt;=4,FORSIDE!$F$8&gt;=1,FORSIDE!$B$5&gt;=0),4*FORSIDE!$B$9,"")</f>
        <v>32000</v>
      </c>
      <c r="D277">
        <f>IF(AND(FORSIDE!$B$8&gt;=4,FORSIDE!$F$8&gt;=1,FORSIDE!$B$5&gt;=0),0,"")</f>
        <v>0</v>
      </c>
    </row>
    <row r="278" spans="1:4" x14ac:dyDescent="0.3">
      <c r="A278">
        <f>IF(AND(FORSIDE!$B$8&gt;=4,FORSIDE!$F$8&gt;=1,FORSIDE!$B$5&gt;=1),277,"")</f>
        <v>277</v>
      </c>
      <c r="B278">
        <f>IF(AND(FORSIDE!$B$8&gt;=4,FORSIDE!$F$8&gt;=1,FORSIDE!$B$5&gt;=1),354+1*FORSIDE!$F$9,"")</f>
        <v>12354</v>
      </c>
      <c r="C278">
        <f>IF(AND(FORSIDE!$B$8&gt;=4,FORSIDE!$F$8&gt;=1,FORSIDE!$B$5&gt;=1),4*FORSIDE!$B$9,"")</f>
        <v>32000</v>
      </c>
      <c r="D278">
        <f>IF(AND(FORSIDE!$B$8&gt;=4,FORSIDE!$F$8&gt;=1,FORSIDE!$B$5&gt;=1),FORSIDE!$B$6+(1-1)*FORSIDE!$B$7,"")</f>
        <v>3000</v>
      </c>
    </row>
    <row r="279" spans="1:4" x14ac:dyDescent="0.3">
      <c r="A279">
        <f>IF(AND(FORSIDE!$B$8&gt;=4,FORSIDE!$F$8&gt;=1,FORSIDE!$B$5&gt;=2),278,"")</f>
        <v>278</v>
      </c>
      <c r="B279">
        <f>IF(AND(FORSIDE!$B$8&gt;=4,FORSIDE!$F$8&gt;=1,FORSIDE!$B$5&gt;=2),354+1*FORSIDE!$F$9,"")</f>
        <v>12354</v>
      </c>
      <c r="C279">
        <f>IF(AND(FORSIDE!$B$8&gt;=4,FORSIDE!$F$8&gt;=1,FORSIDE!$B$5&gt;=2),4*FORSIDE!$B$9,"")</f>
        <v>32000</v>
      </c>
      <c r="D279">
        <f>IF(AND(FORSIDE!$B$8&gt;=4,FORSIDE!$F$8&gt;=1,FORSIDE!$B$5&gt;=2),FORSIDE!$B$6+(2-1)*FORSIDE!$B$7,"")</f>
        <v>6000</v>
      </c>
    </row>
    <row r="280" spans="1:4" x14ac:dyDescent="0.3">
      <c r="A280">
        <f>IF(AND(FORSIDE!$B$8&gt;=4,FORSIDE!$F$8&gt;=1,FORSIDE!$B$5&gt;=3),279,"")</f>
        <v>279</v>
      </c>
      <c r="B280">
        <f>IF(AND(FORSIDE!$B$8&gt;=4,FORSIDE!$F$8&gt;=1,FORSIDE!$B$5&gt;=3),354+1*FORSIDE!$F$9,"")</f>
        <v>12354</v>
      </c>
      <c r="C280">
        <f>IF(AND(FORSIDE!$B$8&gt;=4,FORSIDE!$F$8&gt;=1,FORSIDE!$B$5&gt;=3),4*FORSIDE!$B$9,"")</f>
        <v>32000</v>
      </c>
      <c r="D280">
        <f>IF(AND(FORSIDE!$B$8&gt;=4,FORSIDE!$F$8&gt;=1,FORSIDE!$B$5&gt;=3),FORSIDE!$B$6+(3-1)*FORSIDE!$B$7,"")</f>
        <v>9000</v>
      </c>
    </row>
    <row r="281" spans="1:4" x14ac:dyDescent="0.3">
      <c r="A281">
        <f>IF(AND(FORSIDE!$B$8&gt;=4,FORSIDE!$F$8&gt;=1,FORSIDE!$B$5&gt;=4),280,"")</f>
        <v>280</v>
      </c>
      <c r="B281">
        <f>IF(AND(FORSIDE!$B$8&gt;=4,FORSIDE!$F$8&gt;=1,FORSIDE!$B$5&gt;=4),354+1*FORSIDE!$F$9,"")</f>
        <v>12354</v>
      </c>
      <c r="C281">
        <f>IF(AND(FORSIDE!$B$8&gt;=4,FORSIDE!$F$8&gt;=1,FORSIDE!$B$5&gt;=4),4*FORSIDE!$B$9,"")</f>
        <v>32000</v>
      </c>
      <c r="D281">
        <f>IF(AND(FORSIDE!$B$8&gt;=4,FORSIDE!$F$8&gt;=1,FORSIDE!$B$5&gt;=4),FORSIDE!$B$6+(4-1)*FORSIDE!$B$7,"")</f>
        <v>12000</v>
      </c>
    </row>
    <row r="282" spans="1:4" x14ac:dyDescent="0.3">
      <c r="A282">
        <f>IF(AND(FORSIDE!$B$8&gt;=4,FORSIDE!$F$8&gt;=1,FORSIDE!$B$5&gt;=5),281,"")</f>
        <v>281</v>
      </c>
      <c r="B282">
        <f>IF(AND(FORSIDE!$B$8&gt;=4,FORSIDE!$F$8&gt;=1,FORSIDE!$B$5&gt;=5),354+1*FORSIDE!$F$9,"")</f>
        <v>12354</v>
      </c>
      <c r="C282">
        <f>IF(AND(FORSIDE!$B$8&gt;=4,FORSIDE!$F$8&gt;=1,FORSIDE!$B$5&gt;=5),4*FORSIDE!$B$9,"")</f>
        <v>32000</v>
      </c>
      <c r="D282">
        <f>IF(AND(FORSIDE!$B$8&gt;=4,FORSIDE!$F$8&gt;=1,FORSIDE!$B$5&gt;=5),FORSIDE!$B$6+(5-1)*FORSIDE!$B$7,"")</f>
        <v>15000</v>
      </c>
    </row>
    <row r="283" spans="1:4" x14ac:dyDescent="0.3">
      <c r="A283">
        <f>IF(AND(FORSIDE!$B$8&gt;=4,FORSIDE!$F$8&gt;=1,FORSIDE!$B$5&gt;=6),282,"")</f>
        <v>282</v>
      </c>
      <c r="B283">
        <f>IF(AND(FORSIDE!$B$8&gt;=4,FORSIDE!$F$8&gt;=1,FORSIDE!$B$5&gt;=6),354+1*FORSIDE!$F$9,"")</f>
        <v>12354</v>
      </c>
      <c r="C283">
        <f>IF(AND(FORSIDE!$B$8&gt;=4,FORSIDE!$F$8&gt;=1,FORSIDE!$B$5&gt;=6),4*FORSIDE!$B$9,"")</f>
        <v>32000</v>
      </c>
      <c r="D283">
        <f>IF(AND(FORSIDE!$B$8&gt;=4,FORSIDE!$F$8&gt;=1,FORSIDE!$B$5&gt;=6),FORSIDE!$B$6+(6-1)*FORSIDE!$B$7,"")</f>
        <v>18000</v>
      </c>
    </row>
    <row r="284" spans="1:4" x14ac:dyDescent="0.3">
      <c r="A284" t="str">
        <f>IF(AND(FORSIDE!$B$8&gt;=4,FORSIDE!$F$8&gt;=1,FORSIDE!$B$5&gt;=7),283,"")</f>
        <v/>
      </c>
      <c r="B284" t="str">
        <f>IF(AND(FORSIDE!$B$8&gt;=4,FORSIDE!$F$8&gt;=1,FORSIDE!$B$5&gt;=7),354+1*FORSIDE!$F$9,"")</f>
        <v/>
      </c>
      <c r="C284" t="str">
        <f>IF(AND(FORSIDE!$B$8&gt;=4,FORSIDE!$F$8&gt;=1,FORSIDE!$B$5&gt;=7),4*FORSIDE!$B$9,"")</f>
        <v/>
      </c>
      <c r="D284" t="str">
        <f>IF(AND(FORSIDE!$B$8&gt;=4,FORSIDE!$F$8&gt;=1,FORSIDE!$B$5&gt;=7),FORSIDE!$B$6+(7-1)*FORSIDE!$B$7,"")</f>
        <v/>
      </c>
    </row>
    <row r="285" spans="1:4" x14ac:dyDescent="0.3">
      <c r="A285" t="str">
        <f>IF(AND(FORSIDE!$B$8&gt;=4,FORSIDE!$F$8&gt;=1,FORSIDE!$B$5&gt;=8),284,"")</f>
        <v/>
      </c>
      <c r="B285" t="str">
        <f>IF(AND(FORSIDE!$B$8&gt;=4,FORSIDE!$F$8&gt;=1,FORSIDE!$B$5&gt;=8),354+1*FORSIDE!$F$9,"")</f>
        <v/>
      </c>
      <c r="C285" t="str">
        <f>IF(AND(FORSIDE!$B$8&gt;=4,FORSIDE!$F$8&gt;=1,FORSIDE!$B$5&gt;=8),4*FORSIDE!$B$9,"")</f>
        <v/>
      </c>
      <c r="D285" t="str">
        <f>IF(AND(FORSIDE!$B$8&gt;=4,FORSIDE!$F$8&gt;=1,FORSIDE!$B$5&gt;=8),FORSIDE!$B$6+(8-1)*FORSIDE!$B$7,"")</f>
        <v/>
      </c>
    </row>
    <row r="286" spans="1:4" x14ac:dyDescent="0.3">
      <c r="A286" t="str">
        <f>IF(AND(FORSIDE!$B$8&gt;=4,FORSIDE!$F$8&gt;=1,FORSIDE!$B$5&gt;=9),285,"")</f>
        <v/>
      </c>
      <c r="B286" t="str">
        <f>IF(AND(FORSIDE!$B$8&gt;=4,FORSIDE!$F$8&gt;=1,FORSIDE!$B$5&gt;=9),354+1*FORSIDE!$F$9,"")</f>
        <v/>
      </c>
      <c r="C286" t="str">
        <f>IF(AND(FORSIDE!$B$8&gt;=4,FORSIDE!$F$8&gt;=1,FORSIDE!$B$5&gt;=9),4*FORSIDE!$B$9,"")</f>
        <v/>
      </c>
      <c r="D286" t="str">
        <f>IF(AND(FORSIDE!$B$8&gt;=4,FORSIDE!$F$8&gt;=1,FORSIDE!$B$5&gt;=9),FORSIDE!$B$6+(9-1)*FORSIDE!$B$7,"")</f>
        <v/>
      </c>
    </row>
    <row r="287" spans="1:4" x14ac:dyDescent="0.3">
      <c r="A287" t="str">
        <f>IF(AND(FORSIDE!$B$8&gt;=4,FORSIDE!$F$8&gt;=1,FORSIDE!$B$5&gt;=10),286,"")</f>
        <v/>
      </c>
      <c r="B287" t="str">
        <f>IF(AND(FORSIDE!$B$8&gt;=4,FORSIDE!$F$8&gt;=1,FORSIDE!$B$5&gt;=10),354+1*FORSIDE!$F$9,"")</f>
        <v/>
      </c>
      <c r="C287" t="str">
        <f>IF(AND(FORSIDE!$B$8&gt;=4,FORSIDE!$F$8&gt;=1,FORSIDE!$B$5&gt;=10),4*FORSIDE!$B$9,"")</f>
        <v/>
      </c>
      <c r="D287" t="str">
        <f>IF(AND(FORSIDE!$B$8&gt;=4,FORSIDE!$F$8&gt;=1,FORSIDE!$B$5&gt;=10),FORSIDE!$B$6+(10-1)*FORSIDE!$B$7,"")</f>
        <v/>
      </c>
    </row>
    <row r="288" spans="1:4" x14ac:dyDescent="0.3">
      <c r="A288" t="str">
        <f>IF(AND(FORSIDE!$B$8&gt;=5,FORSIDE!$F$8&gt;=1,FORSIDE!$B$5&gt;=0),287,"")</f>
        <v/>
      </c>
      <c r="B288" t="str">
        <f>IF(AND(FORSIDE!$B$8&gt;=5,FORSIDE!$F$8&gt;=1,FORSIDE!$B$5&gt;=0),354+1*FORSIDE!$F$9,"")</f>
        <v/>
      </c>
      <c r="C288" t="str">
        <f>IF(AND(FORSIDE!$B$8&gt;=5,FORSIDE!$F$8&gt;=1,FORSIDE!$B$5&gt;=0),5*FORSIDE!$B$9,"")</f>
        <v/>
      </c>
      <c r="D288" t="str">
        <f>IF(AND(FORSIDE!$B$8&gt;=5,FORSIDE!$F$8&gt;=1,FORSIDE!$B$5&gt;=0),0,"")</f>
        <v/>
      </c>
    </row>
    <row r="289" spans="1:4" x14ac:dyDescent="0.3">
      <c r="A289" t="str">
        <f>IF(AND(FORSIDE!$B$8&gt;=5,FORSIDE!$F$8&gt;=1,FORSIDE!$B$5&gt;=1),288,"")</f>
        <v/>
      </c>
      <c r="B289" t="str">
        <f>IF(AND(FORSIDE!$B$8&gt;=5,FORSIDE!$F$8&gt;=1,FORSIDE!$B$5&gt;=1),354+1*FORSIDE!$F$9,"")</f>
        <v/>
      </c>
      <c r="C289" t="str">
        <f>IF(AND(FORSIDE!$B$8&gt;=5,FORSIDE!$F$8&gt;=1,FORSIDE!$B$5&gt;=1),5*FORSIDE!$B$9,"")</f>
        <v/>
      </c>
      <c r="D289" t="str">
        <f>IF(AND(FORSIDE!$B$8&gt;=5,FORSIDE!$F$8&gt;=1,FORSIDE!$B$5&gt;=1),FORSIDE!$B$6+(1-1)*FORSIDE!$B$7,"")</f>
        <v/>
      </c>
    </row>
    <row r="290" spans="1:4" x14ac:dyDescent="0.3">
      <c r="A290" t="str">
        <f>IF(AND(FORSIDE!$B$8&gt;=5,FORSIDE!$F$8&gt;=1,FORSIDE!$B$5&gt;=2),289,"")</f>
        <v/>
      </c>
      <c r="B290" t="str">
        <f>IF(AND(FORSIDE!$B$8&gt;=5,FORSIDE!$F$8&gt;=1,FORSIDE!$B$5&gt;=2),354+1*FORSIDE!$F$9,"")</f>
        <v/>
      </c>
      <c r="C290" t="str">
        <f>IF(AND(FORSIDE!$B$8&gt;=5,FORSIDE!$F$8&gt;=1,FORSIDE!$B$5&gt;=2),5*FORSIDE!$B$9,"")</f>
        <v/>
      </c>
      <c r="D290" t="str">
        <f>IF(AND(FORSIDE!$B$8&gt;=5,FORSIDE!$F$8&gt;=1,FORSIDE!$B$5&gt;=2),FORSIDE!$B$6+(2-1)*FORSIDE!$B$7,"")</f>
        <v/>
      </c>
    </row>
    <row r="291" spans="1:4" x14ac:dyDescent="0.3">
      <c r="A291" t="str">
        <f>IF(AND(FORSIDE!$B$8&gt;=5,FORSIDE!$F$8&gt;=1,FORSIDE!$B$5&gt;=3),290,"")</f>
        <v/>
      </c>
      <c r="B291" t="str">
        <f>IF(AND(FORSIDE!$B$8&gt;=5,FORSIDE!$F$8&gt;=1,FORSIDE!$B$5&gt;=3),354+1*FORSIDE!$F$9,"")</f>
        <v/>
      </c>
      <c r="C291" t="str">
        <f>IF(AND(FORSIDE!$B$8&gt;=5,FORSIDE!$F$8&gt;=1,FORSIDE!$B$5&gt;=3),5*FORSIDE!$B$9,"")</f>
        <v/>
      </c>
      <c r="D291" t="str">
        <f>IF(AND(FORSIDE!$B$8&gt;=5,FORSIDE!$F$8&gt;=1,FORSIDE!$B$5&gt;=3),FORSIDE!$B$6+(3-1)*FORSIDE!$B$7,"")</f>
        <v/>
      </c>
    </row>
    <row r="292" spans="1:4" x14ac:dyDescent="0.3">
      <c r="A292" t="str">
        <f>IF(AND(FORSIDE!$B$8&gt;=5,FORSIDE!$F$8&gt;=1,FORSIDE!$B$5&gt;=4),291,"")</f>
        <v/>
      </c>
      <c r="B292" t="str">
        <f>IF(AND(FORSIDE!$B$8&gt;=5,FORSIDE!$F$8&gt;=1,FORSIDE!$B$5&gt;=4),354+1*FORSIDE!$F$9,"")</f>
        <v/>
      </c>
      <c r="C292" t="str">
        <f>IF(AND(FORSIDE!$B$8&gt;=5,FORSIDE!$F$8&gt;=1,FORSIDE!$B$5&gt;=4),5*FORSIDE!$B$9,"")</f>
        <v/>
      </c>
      <c r="D292" t="str">
        <f>IF(AND(FORSIDE!$B$8&gt;=5,FORSIDE!$F$8&gt;=1,FORSIDE!$B$5&gt;=4),FORSIDE!$B$6+(4-1)*FORSIDE!$B$7,"")</f>
        <v/>
      </c>
    </row>
    <row r="293" spans="1:4" x14ac:dyDescent="0.3">
      <c r="A293" t="str">
        <f>IF(AND(FORSIDE!$B$8&gt;=5,FORSIDE!$F$8&gt;=1,FORSIDE!$B$5&gt;=5),292,"")</f>
        <v/>
      </c>
      <c r="B293" t="str">
        <f>IF(AND(FORSIDE!$B$8&gt;=5,FORSIDE!$F$8&gt;=1,FORSIDE!$B$5&gt;=5),354+1*FORSIDE!$F$9,"")</f>
        <v/>
      </c>
      <c r="C293" t="str">
        <f>IF(AND(FORSIDE!$B$8&gt;=5,FORSIDE!$F$8&gt;=1,FORSIDE!$B$5&gt;=5),5*FORSIDE!$B$9,"")</f>
        <v/>
      </c>
      <c r="D293" t="str">
        <f>IF(AND(FORSIDE!$B$8&gt;=5,FORSIDE!$F$8&gt;=1,FORSIDE!$B$5&gt;=5),FORSIDE!$B$6+(5-1)*FORSIDE!$B$7,"")</f>
        <v/>
      </c>
    </row>
    <row r="294" spans="1:4" x14ac:dyDescent="0.3">
      <c r="A294" t="str">
        <f>IF(AND(FORSIDE!$B$8&gt;=5,FORSIDE!$F$8&gt;=1,FORSIDE!$B$5&gt;=6),293,"")</f>
        <v/>
      </c>
      <c r="B294" t="str">
        <f>IF(AND(FORSIDE!$B$8&gt;=5,FORSIDE!$F$8&gt;=1,FORSIDE!$B$5&gt;=6),354+1*FORSIDE!$F$9,"")</f>
        <v/>
      </c>
      <c r="C294" t="str">
        <f>IF(AND(FORSIDE!$B$8&gt;=5,FORSIDE!$F$8&gt;=1,FORSIDE!$B$5&gt;=6),5*FORSIDE!$B$9,"")</f>
        <v/>
      </c>
      <c r="D294" t="str">
        <f>IF(AND(FORSIDE!$B$8&gt;=5,FORSIDE!$F$8&gt;=1,FORSIDE!$B$5&gt;=6),FORSIDE!$B$6+(6-1)*FORSIDE!$B$7,"")</f>
        <v/>
      </c>
    </row>
    <row r="295" spans="1:4" x14ac:dyDescent="0.3">
      <c r="A295" t="str">
        <f>IF(AND(FORSIDE!$B$8&gt;=5,FORSIDE!$F$8&gt;=1,FORSIDE!$B$5&gt;=7),294,"")</f>
        <v/>
      </c>
      <c r="B295" t="str">
        <f>IF(AND(FORSIDE!$B$8&gt;=5,FORSIDE!$F$8&gt;=1,FORSIDE!$B$5&gt;=7),354+1*FORSIDE!$F$9,"")</f>
        <v/>
      </c>
      <c r="C295" t="str">
        <f>IF(AND(FORSIDE!$B$8&gt;=5,FORSIDE!$F$8&gt;=1,FORSIDE!$B$5&gt;=7),5*FORSIDE!$B$9,"")</f>
        <v/>
      </c>
      <c r="D295" t="str">
        <f>IF(AND(FORSIDE!$B$8&gt;=5,FORSIDE!$F$8&gt;=1,FORSIDE!$B$5&gt;=7),FORSIDE!$B$6+(7-1)*FORSIDE!$B$7,"")</f>
        <v/>
      </c>
    </row>
    <row r="296" spans="1:4" x14ac:dyDescent="0.3">
      <c r="A296" t="str">
        <f>IF(AND(FORSIDE!$B$8&gt;=5,FORSIDE!$F$8&gt;=1,FORSIDE!$B$5&gt;=8),295,"")</f>
        <v/>
      </c>
      <c r="B296" t="str">
        <f>IF(AND(FORSIDE!$B$8&gt;=5,FORSIDE!$F$8&gt;=1,FORSIDE!$B$5&gt;=8),354+1*FORSIDE!$F$9,"")</f>
        <v/>
      </c>
      <c r="C296" t="str">
        <f>IF(AND(FORSIDE!$B$8&gt;=5,FORSIDE!$F$8&gt;=1,FORSIDE!$B$5&gt;=8),5*FORSIDE!$B$9,"")</f>
        <v/>
      </c>
      <c r="D296" t="str">
        <f>IF(AND(FORSIDE!$B$8&gt;=5,FORSIDE!$F$8&gt;=1,FORSIDE!$B$5&gt;=8),FORSIDE!$B$6+(8-1)*FORSIDE!$B$7,"")</f>
        <v/>
      </c>
    </row>
    <row r="297" spans="1:4" x14ac:dyDescent="0.3">
      <c r="A297" t="str">
        <f>IF(AND(FORSIDE!$B$8&gt;=5,FORSIDE!$F$8&gt;=1,FORSIDE!$B$5&gt;=9),296,"")</f>
        <v/>
      </c>
      <c r="B297" t="str">
        <f>IF(AND(FORSIDE!$B$8&gt;=5,FORSIDE!$F$8&gt;=1,FORSIDE!$B$5&gt;=9),354+1*FORSIDE!$F$9,"")</f>
        <v/>
      </c>
      <c r="C297" t="str">
        <f>IF(AND(FORSIDE!$B$8&gt;=5,FORSIDE!$F$8&gt;=1,FORSIDE!$B$5&gt;=9),5*FORSIDE!$B$9,"")</f>
        <v/>
      </c>
      <c r="D297" t="str">
        <f>IF(AND(FORSIDE!$B$8&gt;=5,FORSIDE!$F$8&gt;=1,FORSIDE!$B$5&gt;=9),FORSIDE!$B$6+(9-1)*FORSIDE!$B$7,"")</f>
        <v/>
      </c>
    </row>
    <row r="298" spans="1:4" x14ac:dyDescent="0.3">
      <c r="A298" t="str">
        <f>IF(AND(FORSIDE!$B$8&gt;=5,FORSIDE!$F$8&gt;=1,FORSIDE!$B$5&gt;=10),297,"")</f>
        <v/>
      </c>
      <c r="B298" t="str">
        <f>IF(AND(FORSIDE!$B$8&gt;=5,FORSIDE!$F$8&gt;=1,FORSIDE!$B$5&gt;=10),354+1*FORSIDE!$F$9,"")</f>
        <v/>
      </c>
      <c r="C298" t="str">
        <f>IF(AND(FORSIDE!$B$8&gt;=5,FORSIDE!$F$8&gt;=1,FORSIDE!$B$5&gt;=10),5*FORSIDE!$B$9,"")</f>
        <v/>
      </c>
      <c r="D298" t="str">
        <f>IF(AND(FORSIDE!$B$8&gt;=5,FORSIDE!$F$8&gt;=1,FORSIDE!$B$5&gt;=10),FORSIDE!$B$6+(10-1)*FORSIDE!$B$7,"")</f>
        <v/>
      </c>
    </row>
    <row r="299" spans="1:4" x14ac:dyDescent="0.3">
      <c r="A299" t="str">
        <f>IF(AND(FORSIDE!$B$8&gt;=6,FORSIDE!$F$8&gt;=1,FORSIDE!$B$5&gt;=0),298,"")</f>
        <v/>
      </c>
      <c r="B299" t="str">
        <f>IF(AND(FORSIDE!$B$8&gt;=6,FORSIDE!$F$8&gt;=1,FORSIDE!$B$5&gt;=0),354+1*FORSIDE!$F$9,"")</f>
        <v/>
      </c>
      <c r="C299" t="str">
        <f>IF(AND(FORSIDE!$B$8&gt;=6,FORSIDE!$F$8&gt;=1,FORSIDE!$B$5&gt;=0),6*FORSIDE!$B$9,"")</f>
        <v/>
      </c>
      <c r="D299" t="str">
        <f>IF(AND(FORSIDE!$B$8&gt;=6,FORSIDE!$F$8&gt;=1,FORSIDE!$B$5&gt;=0),0,"")</f>
        <v/>
      </c>
    </row>
    <row r="300" spans="1:4" x14ac:dyDescent="0.3">
      <c r="A300" t="str">
        <f>IF(AND(FORSIDE!$B$8&gt;=6,FORSIDE!$F$8&gt;=1,FORSIDE!$B$5&gt;=1),299,"")</f>
        <v/>
      </c>
      <c r="B300" t="str">
        <f>IF(AND(FORSIDE!$B$8&gt;=6,FORSIDE!$F$8&gt;=1,FORSIDE!$B$5&gt;=1),354+1*FORSIDE!$F$9,"")</f>
        <v/>
      </c>
      <c r="C300" t="str">
        <f>IF(AND(FORSIDE!$B$8&gt;=6,FORSIDE!$F$8&gt;=1,FORSIDE!$B$5&gt;=1),6*FORSIDE!$B$9,"")</f>
        <v/>
      </c>
      <c r="D300" t="str">
        <f>IF(AND(FORSIDE!$B$8&gt;=6,FORSIDE!$F$8&gt;=1,FORSIDE!$B$5&gt;=1),FORSIDE!$B$6+(1-1)*FORSIDE!$B$7,"")</f>
        <v/>
      </c>
    </row>
    <row r="301" spans="1:4" x14ac:dyDescent="0.3">
      <c r="A301" t="str">
        <f>IF(AND(FORSIDE!$B$8&gt;=6,FORSIDE!$F$8&gt;=1,FORSIDE!$B$5&gt;=2),300,"")</f>
        <v/>
      </c>
      <c r="B301" t="str">
        <f>IF(AND(FORSIDE!$B$8&gt;=6,FORSIDE!$F$8&gt;=1,FORSIDE!$B$5&gt;=2),354+1*FORSIDE!$F$9,"")</f>
        <v/>
      </c>
      <c r="C301" t="str">
        <f>IF(AND(FORSIDE!$B$8&gt;=6,FORSIDE!$F$8&gt;=1,FORSIDE!$B$5&gt;=2),6*FORSIDE!$B$9,"")</f>
        <v/>
      </c>
      <c r="D301" t="str">
        <f>IF(AND(FORSIDE!$B$8&gt;=6,FORSIDE!$F$8&gt;=1,FORSIDE!$B$5&gt;=2),FORSIDE!$B$6+(2-1)*FORSIDE!$B$7,"")</f>
        <v/>
      </c>
    </row>
    <row r="302" spans="1:4" x14ac:dyDescent="0.3">
      <c r="A302" t="str">
        <f>IF(AND(FORSIDE!$B$8&gt;=6,FORSIDE!$F$8&gt;=1,FORSIDE!$B$5&gt;=3),301,"")</f>
        <v/>
      </c>
      <c r="B302" t="str">
        <f>IF(AND(FORSIDE!$B$8&gt;=6,FORSIDE!$F$8&gt;=1,FORSIDE!$B$5&gt;=3),354+1*FORSIDE!$F$9,"")</f>
        <v/>
      </c>
      <c r="C302" t="str">
        <f>IF(AND(FORSIDE!$B$8&gt;=6,FORSIDE!$F$8&gt;=1,FORSIDE!$B$5&gt;=3),6*FORSIDE!$B$9,"")</f>
        <v/>
      </c>
      <c r="D302" t="str">
        <f>IF(AND(FORSIDE!$B$8&gt;=6,FORSIDE!$F$8&gt;=1,FORSIDE!$B$5&gt;=3),FORSIDE!$B$6+(3-1)*FORSIDE!$B$7,"")</f>
        <v/>
      </c>
    </row>
    <row r="303" spans="1:4" x14ac:dyDescent="0.3">
      <c r="A303" t="str">
        <f>IF(AND(FORSIDE!$B$8&gt;=6,FORSIDE!$F$8&gt;=1,FORSIDE!$B$5&gt;=4),302,"")</f>
        <v/>
      </c>
      <c r="B303" t="str">
        <f>IF(AND(FORSIDE!$B$8&gt;=6,FORSIDE!$F$8&gt;=1,FORSIDE!$B$5&gt;=4),354+1*FORSIDE!$F$9,"")</f>
        <v/>
      </c>
      <c r="C303" t="str">
        <f>IF(AND(FORSIDE!$B$8&gt;=6,FORSIDE!$F$8&gt;=1,FORSIDE!$B$5&gt;=4),6*FORSIDE!$B$9,"")</f>
        <v/>
      </c>
      <c r="D303" t="str">
        <f>IF(AND(FORSIDE!$B$8&gt;=6,FORSIDE!$F$8&gt;=1,FORSIDE!$B$5&gt;=4),FORSIDE!$B$6+(4-1)*FORSIDE!$B$7,"")</f>
        <v/>
      </c>
    </row>
    <row r="304" spans="1:4" x14ac:dyDescent="0.3">
      <c r="A304" t="str">
        <f>IF(AND(FORSIDE!$B$8&gt;=6,FORSIDE!$F$8&gt;=1,FORSIDE!$B$5&gt;=5),303,"")</f>
        <v/>
      </c>
      <c r="B304" t="str">
        <f>IF(AND(FORSIDE!$B$8&gt;=6,FORSIDE!$F$8&gt;=1,FORSIDE!$B$5&gt;=5),354+1*FORSIDE!$F$9,"")</f>
        <v/>
      </c>
      <c r="C304" t="str">
        <f>IF(AND(FORSIDE!$B$8&gt;=6,FORSIDE!$F$8&gt;=1,FORSIDE!$B$5&gt;=5),6*FORSIDE!$B$9,"")</f>
        <v/>
      </c>
      <c r="D304" t="str">
        <f>IF(AND(FORSIDE!$B$8&gt;=6,FORSIDE!$F$8&gt;=1,FORSIDE!$B$5&gt;=5),FORSIDE!$B$6+(5-1)*FORSIDE!$B$7,"")</f>
        <v/>
      </c>
    </row>
    <row r="305" spans="1:4" x14ac:dyDescent="0.3">
      <c r="A305" t="str">
        <f>IF(AND(FORSIDE!$B$8&gt;=6,FORSIDE!$F$8&gt;=1,FORSIDE!$B$5&gt;=6),304,"")</f>
        <v/>
      </c>
      <c r="B305" t="str">
        <f>IF(AND(FORSIDE!$B$8&gt;=6,FORSIDE!$F$8&gt;=1,FORSIDE!$B$5&gt;=6),354+1*FORSIDE!$F$9,"")</f>
        <v/>
      </c>
      <c r="C305" t="str">
        <f>IF(AND(FORSIDE!$B$8&gt;=6,FORSIDE!$F$8&gt;=1,FORSIDE!$B$5&gt;=6),6*FORSIDE!$B$9,"")</f>
        <v/>
      </c>
      <c r="D305" t="str">
        <f>IF(AND(FORSIDE!$B$8&gt;=6,FORSIDE!$F$8&gt;=1,FORSIDE!$B$5&gt;=6),FORSIDE!$B$6+(6-1)*FORSIDE!$B$7,"")</f>
        <v/>
      </c>
    </row>
    <row r="306" spans="1:4" x14ac:dyDescent="0.3">
      <c r="A306" t="str">
        <f>IF(AND(FORSIDE!$B$8&gt;=6,FORSIDE!$F$8&gt;=1,FORSIDE!$B$5&gt;=7),305,"")</f>
        <v/>
      </c>
      <c r="B306" t="str">
        <f>IF(AND(FORSIDE!$B$8&gt;=6,FORSIDE!$F$8&gt;=1,FORSIDE!$B$5&gt;=7),354+1*FORSIDE!$F$9,"")</f>
        <v/>
      </c>
      <c r="C306" t="str">
        <f>IF(AND(FORSIDE!$B$8&gt;=6,FORSIDE!$F$8&gt;=1,FORSIDE!$B$5&gt;=7),6*FORSIDE!$B$9,"")</f>
        <v/>
      </c>
      <c r="D306" t="str">
        <f>IF(AND(FORSIDE!$B$8&gt;=6,FORSIDE!$F$8&gt;=1,FORSIDE!$B$5&gt;=7),FORSIDE!$B$6+(7-1)*FORSIDE!$B$7,"")</f>
        <v/>
      </c>
    </row>
    <row r="307" spans="1:4" x14ac:dyDescent="0.3">
      <c r="A307" t="str">
        <f>IF(AND(FORSIDE!$B$8&gt;=6,FORSIDE!$F$8&gt;=1,FORSIDE!$B$5&gt;=8),306,"")</f>
        <v/>
      </c>
      <c r="B307" t="str">
        <f>IF(AND(FORSIDE!$B$8&gt;=6,FORSIDE!$F$8&gt;=1,FORSIDE!$B$5&gt;=8),354+1*FORSIDE!$F$9,"")</f>
        <v/>
      </c>
      <c r="C307" t="str">
        <f>IF(AND(FORSIDE!$B$8&gt;=6,FORSIDE!$F$8&gt;=1,FORSIDE!$B$5&gt;=8),6*FORSIDE!$B$9,"")</f>
        <v/>
      </c>
      <c r="D307" t="str">
        <f>IF(AND(FORSIDE!$B$8&gt;=6,FORSIDE!$F$8&gt;=1,FORSIDE!$B$5&gt;=8),FORSIDE!$B$6+(8-1)*FORSIDE!$B$7,"")</f>
        <v/>
      </c>
    </row>
    <row r="308" spans="1:4" x14ac:dyDescent="0.3">
      <c r="A308" t="str">
        <f>IF(AND(FORSIDE!$B$8&gt;=6,FORSIDE!$F$8&gt;=1,FORSIDE!$B$5&gt;=9),307,"")</f>
        <v/>
      </c>
      <c r="B308" t="str">
        <f>IF(AND(FORSIDE!$B$8&gt;=6,FORSIDE!$F$8&gt;=1,FORSIDE!$B$5&gt;=9),354+1*FORSIDE!$F$9,"")</f>
        <v/>
      </c>
      <c r="C308" t="str">
        <f>IF(AND(FORSIDE!$B$8&gt;=6,FORSIDE!$F$8&gt;=1,FORSIDE!$B$5&gt;=9),6*FORSIDE!$B$9,"")</f>
        <v/>
      </c>
      <c r="D308" t="str">
        <f>IF(AND(FORSIDE!$B$8&gt;=6,FORSIDE!$F$8&gt;=1,FORSIDE!$B$5&gt;=9),FORSIDE!$B$6+(9-1)*FORSIDE!$B$7,"")</f>
        <v/>
      </c>
    </row>
    <row r="309" spans="1:4" x14ac:dyDescent="0.3">
      <c r="A309" t="str">
        <f>IF(AND(FORSIDE!$B$8&gt;=6,FORSIDE!$F$8&gt;=1,FORSIDE!$B$5&gt;=10),308,"")</f>
        <v/>
      </c>
      <c r="B309" t="str">
        <f>IF(AND(FORSIDE!$B$8&gt;=6,FORSIDE!$F$8&gt;=1,FORSIDE!$B$5&gt;=10),354+1*FORSIDE!$F$9,"")</f>
        <v/>
      </c>
      <c r="C309" t="str">
        <f>IF(AND(FORSIDE!$B$8&gt;=6,FORSIDE!$F$8&gt;=1,FORSIDE!$B$5&gt;=10),6*FORSIDE!$B$9,"")</f>
        <v/>
      </c>
      <c r="D309" t="str">
        <f>IF(AND(FORSIDE!$B$8&gt;=6,FORSIDE!$F$8&gt;=1,FORSIDE!$B$5&gt;=10),FORSIDE!$B$6+(10-1)*FORSIDE!$B$7,"")</f>
        <v/>
      </c>
    </row>
    <row r="310" spans="1:4" x14ac:dyDescent="0.3">
      <c r="A310" t="str">
        <f>IF(AND(FORSIDE!$B$8&gt;=7,FORSIDE!$F$8&gt;=1,FORSIDE!$B$5&gt;=0),309,"")</f>
        <v/>
      </c>
      <c r="B310" t="str">
        <f>IF(AND(FORSIDE!$B$8&gt;=7,FORSIDE!$F$8&gt;=1,FORSIDE!$B$5&gt;=0),354+1*FORSIDE!$F$9,"")</f>
        <v/>
      </c>
      <c r="C310" t="str">
        <f>IF(AND(FORSIDE!$B$8&gt;=7,FORSIDE!$F$8&gt;=1,FORSIDE!$B$5&gt;=0),7*FORSIDE!$B$9,"")</f>
        <v/>
      </c>
      <c r="D310" t="str">
        <f>IF(AND(FORSIDE!$B$8&gt;=7,FORSIDE!$F$8&gt;=1,FORSIDE!$B$5&gt;=0),0,"")</f>
        <v/>
      </c>
    </row>
    <row r="311" spans="1:4" x14ac:dyDescent="0.3">
      <c r="A311" t="str">
        <f>IF(AND(FORSIDE!$B$8&gt;=7,FORSIDE!$F$8&gt;=1,FORSIDE!$B$5&gt;=1),310,"")</f>
        <v/>
      </c>
      <c r="B311" t="str">
        <f>IF(AND(FORSIDE!$B$8&gt;=7,FORSIDE!$F$8&gt;=1,FORSIDE!$B$5&gt;=1),354+1*FORSIDE!$F$9,"")</f>
        <v/>
      </c>
      <c r="C311" t="str">
        <f>IF(AND(FORSIDE!$B$8&gt;=7,FORSIDE!$F$8&gt;=1,FORSIDE!$B$5&gt;=1),7*FORSIDE!$B$9,"")</f>
        <v/>
      </c>
      <c r="D311" t="str">
        <f>IF(AND(FORSIDE!$B$8&gt;=7,FORSIDE!$F$8&gt;=1,FORSIDE!$B$5&gt;=1),FORSIDE!$B$6+(1-1)*FORSIDE!$B$7,"")</f>
        <v/>
      </c>
    </row>
    <row r="312" spans="1:4" x14ac:dyDescent="0.3">
      <c r="A312" t="str">
        <f>IF(AND(FORSIDE!$B$8&gt;=7,FORSIDE!$F$8&gt;=1,FORSIDE!$B$5&gt;=2),311,"")</f>
        <v/>
      </c>
      <c r="B312" t="str">
        <f>IF(AND(FORSIDE!$B$8&gt;=7,FORSIDE!$F$8&gt;=1,FORSIDE!$B$5&gt;=2),354+1*FORSIDE!$F$9,"")</f>
        <v/>
      </c>
      <c r="C312" t="str">
        <f>IF(AND(FORSIDE!$B$8&gt;=7,FORSIDE!$F$8&gt;=1,FORSIDE!$B$5&gt;=2),7*FORSIDE!$B$9,"")</f>
        <v/>
      </c>
      <c r="D312" t="str">
        <f>IF(AND(FORSIDE!$B$8&gt;=7,FORSIDE!$F$8&gt;=1,FORSIDE!$B$5&gt;=2),FORSIDE!$B$6+(2-1)*FORSIDE!$B$7,"")</f>
        <v/>
      </c>
    </row>
    <row r="313" spans="1:4" x14ac:dyDescent="0.3">
      <c r="A313" t="str">
        <f>IF(AND(FORSIDE!$B$8&gt;=7,FORSIDE!$F$8&gt;=1,FORSIDE!$B$5&gt;=3),312,"")</f>
        <v/>
      </c>
      <c r="B313" t="str">
        <f>IF(AND(FORSIDE!$B$8&gt;=7,FORSIDE!$F$8&gt;=1,FORSIDE!$B$5&gt;=3),354+1*FORSIDE!$F$9,"")</f>
        <v/>
      </c>
      <c r="C313" t="str">
        <f>IF(AND(FORSIDE!$B$8&gt;=7,FORSIDE!$F$8&gt;=1,FORSIDE!$B$5&gt;=3),7*FORSIDE!$B$9,"")</f>
        <v/>
      </c>
      <c r="D313" t="str">
        <f>IF(AND(FORSIDE!$B$8&gt;=7,FORSIDE!$F$8&gt;=1,FORSIDE!$B$5&gt;=3),FORSIDE!$B$6+(3-1)*FORSIDE!$B$7,"")</f>
        <v/>
      </c>
    </row>
    <row r="314" spans="1:4" x14ac:dyDescent="0.3">
      <c r="A314" t="str">
        <f>IF(AND(FORSIDE!$B$8&gt;=7,FORSIDE!$F$8&gt;=1,FORSIDE!$B$5&gt;=4),313,"")</f>
        <v/>
      </c>
      <c r="B314" t="str">
        <f>IF(AND(FORSIDE!$B$8&gt;=7,FORSIDE!$F$8&gt;=1,FORSIDE!$B$5&gt;=4),354+1*FORSIDE!$F$9,"")</f>
        <v/>
      </c>
      <c r="C314" t="str">
        <f>IF(AND(FORSIDE!$B$8&gt;=7,FORSIDE!$F$8&gt;=1,FORSIDE!$B$5&gt;=4),7*FORSIDE!$B$9,"")</f>
        <v/>
      </c>
      <c r="D314" t="str">
        <f>IF(AND(FORSIDE!$B$8&gt;=7,FORSIDE!$F$8&gt;=1,FORSIDE!$B$5&gt;=4),FORSIDE!$B$6+(4-1)*FORSIDE!$B$7,"")</f>
        <v/>
      </c>
    </row>
    <row r="315" spans="1:4" x14ac:dyDescent="0.3">
      <c r="A315" t="str">
        <f>IF(AND(FORSIDE!$B$8&gt;=7,FORSIDE!$F$8&gt;=1,FORSIDE!$B$5&gt;=5),314,"")</f>
        <v/>
      </c>
      <c r="B315" t="str">
        <f>IF(AND(FORSIDE!$B$8&gt;=7,FORSIDE!$F$8&gt;=1,FORSIDE!$B$5&gt;=5),354+1*FORSIDE!$F$9,"")</f>
        <v/>
      </c>
      <c r="C315" t="str">
        <f>IF(AND(FORSIDE!$B$8&gt;=7,FORSIDE!$F$8&gt;=1,FORSIDE!$B$5&gt;=5),7*FORSIDE!$B$9,"")</f>
        <v/>
      </c>
      <c r="D315" t="str">
        <f>IF(AND(FORSIDE!$B$8&gt;=7,FORSIDE!$F$8&gt;=1,FORSIDE!$B$5&gt;=5),FORSIDE!$B$6+(5-1)*FORSIDE!$B$7,"")</f>
        <v/>
      </c>
    </row>
    <row r="316" spans="1:4" x14ac:dyDescent="0.3">
      <c r="A316" t="str">
        <f>IF(AND(FORSIDE!$B$8&gt;=7,FORSIDE!$F$8&gt;=1,FORSIDE!$B$5&gt;=6),315,"")</f>
        <v/>
      </c>
      <c r="B316" t="str">
        <f>IF(AND(FORSIDE!$B$8&gt;=7,FORSIDE!$F$8&gt;=1,FORSIDE!$B$5&gt;=6),354+1*FORSIDE!$F$9,"")</f>
        <v/>
      </c>
      <c r="C316" t="str">
        <f>IF(AND(FORSIDE!$B$8&gt;=7,FORSIDE!$F$8&gt;=1,FORSIDE!$B$5&gt;=6),7*FORSIDE!$B$9,"")</f>
        <v/>
      </c>
      <c r="D316" t="str">
        <f>IF(AND(FORSIDE!$B$8&gt;=7,FORSIDE!$F$8&gt;=1,FORSIDE!$B$5&gt;=6),FORSIDE!$B$6+(6-1)*FORSIDE!$B$7,"")</f>
        <v/>
      </c>
    </row>
    <row r="317" spans="1:4" x14ac:dyDescent="0.3">
      <c r="A317" t="str">
        <f>IF(AND(FORSIDE!$B$8&gt;=7,FORSIDE!$F$8&gt;=1,FORSIDE!$B$5&gt;=7),316,"")</f>
        <v/>
      </c>
      <c r="B317" t="str">
        <f>IF(AND(FORSIDE!$B$8&gt;=7,FORSIDE!$F$8&gt;=1,FORSIDE!$B$5&gt;=7),354+1*FORSIDE!$F$9,"")</f>
        <v/>
      </c>
      <c r="C317" t="str">
        <f>IF(AND(FORSIDE!$B$8&gt;=7,FORSIDE!$F$8&gt;=1,FORSIDE!$B$5&gt;=7),7*FORSIDE!$B$9,"")</f>
        <v/>
      </c>
      <c r="D317" t="str">
        <f>IF(AND(FORSIDE!$B$8&gt;=7,FORSIDE!$F$8&gt;=1,FORSIDE!$B$5&gt;=7),FORSIDE!$B$6+(7-1)*FORSIDE!$B$7,"")</f>
        <v/>
      </c>
    </row>
    <row r="318" spans="1:4" x14ac:dyDescent="0.3">
      <c r="A318" t="str">
        <f>IF(AND(FORSIDE!$B$8&gt;=7,FORSIDE!$F$8&gt;=1,FORSIDE!$B$5&gt;=8),317,"")</f>
        <v/>
      </c>
      <c r="B318" t="str">
        <f>IF(AND(FORSIDE!$B$8&gt;=7,FORSIDE!$F$8&gt;=1,FORSIDE!$B$5&gt;=8),354+1*FORSIDE!$F$9,"")</f>
        <v/>
      </c>
      <c r="C318" t="str">
        <f>IF(AND(FORSIDE!$B$8&gt;=7,FORSIDE!$F$8&gt;=1,FORSIDE!$B$5&gt;=8),7*FORSIDE!$B$9,"")</f>
        <v/>
      </c>
      <c r="D318" t="str">
        <f>IF(AND(FORSIDE!$B$8&gt;=7,FORSIDE!$F$8&gt;=1,FORSIDE!$B$5&gt;=8),FORSIDE!$B$6+(8-1)*FORSIDE!$B$7,"")</f>
        <v/>
      </c>
    </row>
    <row r="319" spans="1:4" x14ac:dyDescent="0.3">
      <c r="A319" t="str">
        <f>IF(AND(FORSIDE!$B$8&gt;=7,FORSIDE!$F$8&gt;=1,FORSIDE!$B$5&gt;=9),318,"")</f>
        <v/>
      </c>
      <c r="B319" t="str">
        <f>IF(AND(FORSIDE!$B$8&gt;=7,FORSIDE!$F$8&gt;=1,FORSIDE!$B$5&gt;=9),354+1*FORSIDE!$F$9,"")</f>
        <v/>
      </c>
      <c r="C319" t="str">
        <f>IF(AND(FORSIDE!$B$8&gt;=7,FORSIDE!$F$8&gt;=1,FORSIDE!$B$5&gt;=9),7*FORSIDE!$B$9,"")</f>
        <v/>
      </c>
      <c r="D319" t="str">
        <f>IF(AND(FORSIDE!$B$8&gt;=7,FORSIDE!$F$8&gt;=1,FORSIDE!$B$5&gt;=9),FORSIDE!$B$6+(9-1)*FORSIDE!$B$7,"")</f>
        <v/>
      </c>
    </row>
    <row r="320" spans="1:4" x14ac:dyDescent="0.3">
      <c r="A320" t="str">
        <f>IF(AND(FORSIDE!$B$8&gt;=7,FORSIDE!$F$8&gt;=1,FORSIDE!$B$5&gt;=10),319,"")</f>
        <v/>
      </c>
      <c r="B320" t="str">
        <f>IF(AND(FORSIDE!$B$8&gt;=7,FORSIDE!$F$8&gt;=1,FORSIDE!$B$5&gt;=10),354+1*FORSIDE!$F$9,"")</f>
        <v/>
      </c>
      <c r="C320" t="str">
        <f>IF(AND(FORSIDE!$B$8&gt;=7,FORSIDE!$F$8&gt;=1,FORSIDE!$B$5&gt;=10),7*FORSIDE!$B$9,"")</f>
        <v/>
      </c>
      <c r="D320" t="str">
        <f>IF(AND(FORSIDE!$B$8&gt;=7,FORSIDE!$F$8&gt;=1,FORSIDE!$B$5&gt;=10),FORSIDE!$B$6+(10-1)*FORSIDE!$B$7,"")</f>
        <v/>
      </c>
    </row>
    <row r="321" spans="1:4" x14ac:dyDescent="0.3">
      <c r="A321" t="str">
        <f>IF(AND(FORSIDE!$B$8&gt;=8,FORSIDE!$F$8&gt;=1,FORSIDE!$B$5&gt;=0),320,"")</f>
        <v/>
      </c>
      <c r="B321" t="str">
        <f>IF(AND(FORSIDE!$B$8&gt;=8,FORSIDE!$F$8&gt;=1,FORSIDE!$B$5&gt;=0),354+1*FORSIDE!$F$9,"")</f>
        <v/>
      </c>
      <c r="C321" t="str">
        <f>IF(AND(FORSIDE!$B$8&gt;=8,FORSIDE!$F$8&gt;=1,FORSIDE!$B$5&gt;=0),8*FORSIDE!$B$9,"")</f>
        <v/>
      </c>
      <c r="D321" t="str">
        <f>IF(AND(FORSIDE!$B$8&gt;=8,FORSIDE!$F$8&gt;=1,FORSIDE!$B$5&gt;=0),0,"")</f>
        <v/>
      </c>
    </row>
    <row r="322" spans="1:4" x14ac:dyDescent="0.3">
      <c r="A322" t="str">
        <f>IF(AND(FORSIDE!$B$8&gt;=8,FORSIDE!$F$8&gt;=1,FORSIDE!$B$5&gt;=1),321,"")</f>
        <v/>
      </c>
      <c r="B322" t="str">
        <f>IF(AND(FORSIDE!$B$8&gt;=8,FORSIDE!$F$8&gt;=1,FORSIDE!$B$5&gt;=1),354+1*FORSIDE!$F$9,"")</f>
        <v/>
      </c>
      <c r="C322" t="str">
        <f>IF(AND(FORSIDE!$B$8&gt;=8,FORSIDE!$F$8&gt;=1,FORSIDE!$B$5&gt;=1),8*FORSIDE!$B$9,"")</f>
        <v/>
      </c>
      <c r="D322" t="str">
        <f>IF(AND(FORSIDE!$B$8&gt;=8,FORSIDE!$F$8&gt;=1,FORSIDE!$B$5&gt;=1),FORSIDE!$B$6+(1-1)*FORSIDE!$B$7,"")</f>
        <v/>
      </c>
    </row>
    <row r="323" spans="1:4" x14ac:dyDescent="0.3">
      <c r="A323" t="str">
        <f>IF(AND(FORSIDE!$B$8&gt;=8,FORSIDE!$F$8&gt;=1,FORSIDE!$B$5&gt;=2),322,"")</f>
        <v/>
      </c>
      <c r="B323" t="str">
        <f>IF(AND(FORSIDE!$B$8&gt;=8,FORSIDE!$F$8&gt;=1,FORSIDE!$B$5&gt;=2),354+1*FORSIDE!$F$9,"")</f>
        <v/>
      </c>
      <c r="C323" t="str">
        <f>IF(AND(FORSIDE!$B$8&gt;=8,FORSIDE!$F$8&gt;=1,FORSIDE!$B$5&gt;=2),8*FORSIDE!$B$9,"")</f>
        <v/>
      </c>
      <c r="D323" t="str">
        <f>IF(AND(FORSIDE!$B$8&gt;=8,FORSIDE!$F$8&gt;=1,FORSIDE!$B$5&gt;=2),FORSIDE!$B$6+(2-1)*FORSIDE!$B$7,"")</f>
        <v/>
      </c>
    </row>
    <row r="324" spans="1:4" x14ac:dyDescent="0.3">
      <c r="A324" t="str">
        <f>IF(AND(FORSIDE!$B$8&gt;=8,FORSIDE!$F$8&gt;=1,FORSIDE!$B$5&gt;=3),323,"")</f>
        <v/>
      </c>
      <c r="B324" t="str">
        <f>IF(AND(FORSIDE!$B$8&gt;=8,FORSIDE!$F$8&gt;=1,FORSIDE!$B$5&gt;=3),354+1*FORSIDE!$F$9,"")</f>
        <v/>
      </c>
      <c r="C324" t="str">
        <f>IF(AND(FORSIDE!$B$8&gt;=8,FORSIDE!$F$8&gt;=1,FORSIDE!$B$5&gt;=3),8*FORSIDE!$B$9,"")</f>
        <v/>
      </c>
      <c r="D324" t="str">
        <f>IF(AND(FORSIDE!$B$8&gt;=8,FORSIDE!$F$8&gt;=1,FORSIDE!$B$5&gt;=3),FORSIDE!$B$6+(3-1)*FORSIDE!$B$7,"")</f>
        <v/>
      </c>
    </row>
    <row r="325" spans="1:4" x14ac:dyDescent="0.3">
      <c r="A325" t="str">
        <f>IF(AND(FORSIDE!$B$8&gt;=8,FORSIDE!$F$8&gt;=1,FORSIDE!$B$5&gt;=4),324,"")</f>
        <v/>
      </c>
      <c r="B325" t="str">
        <f>IF(AND(FORSIDE!$B$8&gt;=8,FORSIDE!$F$8&gt;=1,FORSIDE!$B$5&gt;=4),354+1*FORSIDE!$F$9,"")</f>
        <v/>
      </c>
      <c r="C325" t="str">
        <f>IF(AND(FORSIDE!$B$8&gt;=8,FORSIDE!$F$8&gt;=1,FORSIDE!$B$5&gt;=4),8*FORSIDE!$B$9,"")</f>
        <v/>
      </c>
      <c r="D325" t="str">
        <f>IF(AND(FORSIDE!$B$8&gt;=8,FORSIDE!$F$8&gt;=1,FORSIDE!$B$5&gt;=4),FORSIDE!$B$6+(4-1)*FORSIDE!$B$7,"")</f>
        <v/>
      </c>
    </row>
    <row r="326" spans="1:4" x14ac:dyDescent="0.3">
      <c r="A326" t="str">
        <f>IF(AND(FORSIDE!$B$8&gt;=8,FORSIDE!$F$8&gt;=1,FORSIDE!$B$5&gt;=5),325,"")</f>
        <v/>
      </c>
      <c r="B326" t="str">
        <f>IF(AND(FORSIDE!$B$8&gt;=8,FORSIDE!$F$8&gt;=1,FORSIDE!$B$5&gt;=5),354+1*FORSIDE!$F$9,"")</f>
        <v/>
      </c>
      <c r="C326" t="str">
        <f>IF(AND(FORSIDE!$B$8&gt;=8,FORSIDE!$F$8&gt;=1,FORSIDE!$B$5&gt;=5),8*FORSIDE!$B$9,"")</f>
        <v/>
      </c>
      <c r="D326" t="str">
        <f>IF(AND(FORSIDE!$B$8&gt;=8,FORSIDE!$F$8&gt;=1,FORSIDE!$B$5&gt;=5),FORSIDE!$B$6+(5-1)*FORSIDE!$B$7,"")</f>
        <v/>
      </c>
    </row>
    <row r="327" spans="1:4" x14ac:dyDescent="0.3">
      <c r="A327" t="str">
        <f>IF(AND(FORSIDE!$B$8&gt;=8,FORSIDE!$F$8&gt;=1,FORSIDE!$B$5&gt;=6),326,"")</f>
        <v/>
      </c>
      <c r="B327" t="str">
        <f>IF(AND(FORSIDE!$B$8&gt;=8,FORSIDE!$F$8&gt;=1,FORSIDE!$B$5&gt;=6),354+1*FORSIDE!$F$9,"")</f>
        <v/>
      </c>
      <c r="C327" t="str">
        <f>IF(AND(FORSIDE!$B$8&gt;=8,FORSIDE!$F$8&gt;=1,FORSIDE!$B$5&gt;=6),8*FORSIDE!$B$9,"")</f>
        <v/>
      </c>
      <c r="D327" t="str">
        <f>IF(AND(FORSIDE!$B$8&gt;=8,FORSIDE!$F$8&gt;=1,FORSIDE!$B$5&gt;=6),FORSIDE!$B$6+(6-1)*FORSIDE!$B$7,"")</f>
        <v/>
      </c>
    </row>
    <row r="328" spans="1:4" x14ac:dyDescent="0.3">
      <c r="A328" t="str">
        <f>IF(AND(FORSIDE!$B$8&gt;=8,FORSIDE!$F$8&gt;=1,FORSIDE!$B$5&gt;=7),327,"")</f>
        <v/>
      </c>
      <c r="B328" t="str">
        <f>IF(AND(FORSIDE!$B$8&gt;=8,FORSIDE!$F$8&gt;=1,FORSIDE!$B$5&gt;=7),354+1*FORSIDE!$F$9,"")</f>
        <v/>
      </c>
      <c r="C328" t="str">
        <f>IF(AND(FORSIDE!$B$8&gt;=8,FORSIDE!$F$8&gt;=1,FORSIDE!$B$5&gt;=7),8*FORSIDE!$B$9,"")</f>
        <v/>
      </c>
      <c r="D328" t="str">
        <f>IF(AND(FORSIDE!$B$8&gt;=8,FORSIDE!$F$8&gt;=1,FORSIDE!$B$5&gt;=7),FORSIDE!$B$6+(7-1)*FORSIDE!$B$7,"")</f>
        <v/>
      </c>
    </row>
    <row r="329" spans="1:4" x14ac:dyDescent="0.3">
      <c r="A329" t="str">
        <f>IF(AND(FORSIDE!$B$8&gt;=8,FORSIDE!$F$8&gt;=1,FORSIDE!$B$5&gt;=8),328,"")</f>
        <v/>
      </c>
      <c r="B329" t="str">
        <f>IF(AND(FORSIDE!$B$8&gt;=8,FORSIDE!$F$8&gt;=1,FORSIDE!$B$5&gt;=8),354+1*FORSIDE!$F$9,"")</f>
        <v/>
      </c>
      <c r="C329" t="str">
        <f>IF(AND(FORSIDE!$B$8&gt;=8,FORSIDE!$F$8&gt;=1,FORSIDE!$B$5&gt;=8),8*FORSIDE!$B$9,"")</f>
        <v/>
      </c>
      <c r="D329" t="str">
        <f>IF(AND(FORSIDE!$B$8&gt;=8,FORSIDE!$F$8&gt;=1,FORSIDE!$B$5&gt;=8),FORSIDE!$B$6+(8-1)*FORSIDE!$B$7,"")</f>
        <v/>
      </c>
    </row>
    <row r="330" spans="1:4" x14ac:dyDescent="0.3">
      <c r="A330" t="str">
        <f>IF(AND(FORSIDE!$B$8&gt;=8,FORSIDE!$F$8&gt;=1,FORSIDE!$B$5&gt;=9),329,"")</f>
        <v/>
      </c>
      <c r="B330" t="str">
        <f>IF(AND(FORSIDE!$B$8&gt;=8,FORSIDE!$F$8&gt;=1,FORSIDE!$B$5&gt;=9),354+1*FORSIDE!$F$9,"")</f>
        <v/>
      </c>
      <c r="C330" t="str">
        <f>IF(AND(FORSIDE!$B$8&gt;=8,FORSIDE!$F$8&gt;=1,FORSIDE!$B$5&gt;=9),8*FORSIDE!$B$9,"")</f>
        <v/>
      </c>
      <c r="D330" t="str">
        <f>IF(AND(FORSIDE!$B$8&gt;=8,FORSIDE!$F$8&gt;=1,FORSIDE!$B$5&gt;=9),FORSIDE!$B$6+(9-1)*FORSIDE!$B$7,"")</f>
        <v/>
      </c>
    </row>
    <row r="331" spans="1:4" x14ac:dyDescent="0.3">
      <c r="A331" t="str">
        <f>IF(AND(FORSIDE!$B$8&gt;=8,FORSIDE!$F$8&gt;=1,FORSIDE!$B$5&gt;=10),330,"")</f>
        <v/>
      </c>
      <c r="B331" t="str">
        <f>IF(AND(FORSIDE!$B$8&gt;=8,FORSIDE!$F$8&gt;=1,FORSIDE!$B$5&gt;=10),354+1*FORSIDE!$F$9,"")</f>
        <v/>
      </c>
      <c r="C331" t="str">
        <f>IF(AND(FORSIDE!$B$8&gt;=8,FORSIDE!$F$8&gt;=1,FORSIDE!$B$5&gt;=10),8*FORSIDE!$B$9,"")</f>
        <v/>
      </c>
      <c r="D331" t="str">
        <f>IF(AND(FORSIDE!$B$8&gt;=8,FORSIDE!$F$8&gt;=1,FORSIDE!$B$5&gt;=10),FORSIDE!$B$6+(10-1)*FORSIDE!$B$7,"")</f>
        <v/>
      </c>
    </row>
    <row r="332" spans="1:4" x14ac:dyDescent="0.3">
      <c r="A332" t="str">
        <f>IF(AND(FORSIDE!$B$8&gt;=9,FORSIDE!$F$8&gt;=1,FORSIDE!$B$5&gt;=0),331,"")</f>
        <v/>
      </c>
      <c r="B332" t="str">
        <f>IF(AND(FORSIDE!$B$8&gt;=9,FORSIDE!$F$8&gt;=1,FORSIDE!$B$5&gt;=0),354+1*FORSIDE!$F$9,"")</f>
        <v/>
      </c>
      <c r="C332" t="str">
        <f>IF(AND(FORSIDE!$B$8&gt;=9,FORSIDE!$F$8&gt;=1,FORSIDE!$B$5&gt;=0),9*FORSIDE!$B$9,"")</f>
        <v/>
      </c>
      <c r="D332" t="str">
        <f>IF(AND(FORSIDE!$B$8&gt;=9,FORSIDE!$F$8&gt;=1,FORSIDE!$B$5&gt;=0),0,"")</f>
        <v/>
      </c>
    </row>
    <row r="333" spans="1:4" x14ac:dyDescent="0.3">
      <c r="A333" t="str">
        <f>IF(AND(FORSIDE!$B$8&gt;=9,FORSIDE!$F$8&gt;=1,FORSIDE!$B$5&gt;=1),332,"")</f>
        <v/>
      </c>
      <c r="B333" t="str">
        <f>IF(AND(FORSIDE!$B$8&gt;=9,FORSIDE!$F$8&gt;=1,FORSIDE!$B$5&gt;=1),354+1*FORSIDE!$F$9,"")</f>
        <v/>
      </c>
      <c r="C333" t="str">
        <f>IF(AND(FORSIDE!$B$8&gt;=9,FORSIDE!$F$8&gt;=1,FORSIDE!$B$5&gt;=1),9*FORSIDE!$B$9,"")</f>
        <v/>
      </c>
      <c r="D333" t="str">
        <f>IF(AND(FORSIDE!$B$8&gt;=9,FORSIDE!$F$8&gt;=1,FORSIDE!$B$5&gt;=1),FORSIDE!$B$6+(1-1)*FORSIDE!$B$7,"")</f>
        <v/>
      </c>
    </row>
    <row r="334" spans="1:4" x14ac:dyDescent="0.3">
      <c r="A334" t="str">
        <f>IF(AND(FORSIDE!$B$8&gt;=9,FORSIDE!$F$8&gt;=1,FORSIDE!$B$5&gt;=2),333,"")</f>
        <v/>
      </c>
      <c r="B334" t="str">
        <f>IF(AND(FORSIDE!$B$8&gt;=9,FORSIDE!$F$8&gt;=1,FORSIDE!$B$5&gt;=2),354+1*FORSIDE!$F$9,"")</f>
        <v/>
      </c>
      <c r="C334" t="str">
        <f>IF(AND(FORSIDE!$B$8&gt;=9,FORSIDE!$F$8&gt;=1,FORSIDE!$B$5&gt;=2),9*FORSIDE!$B$9,"")</f>
        <v/>
      </c>
      <c r="D334" t="str">
        <f>IF(AND(FORSIDE!$B$8&gt;=9,FORSIDE!$F$8&gt;=1,FORSIDE!$B$5&gt;=2),FORSIDE!$B$6+(2-1)*FORSIDE!$B$7,"")</f>
        <v/>
      </c>
    </row>
    <row r="335" spans="1:4" x14ac:dyDescent="0.3">
      <c r="A335" t="str">
        <f>IF(AND(FORSIDE!$B$8&gt;=9,FORSIDE!$F$8&gt;=1,FORSIDE!$B$5&gt;=3),334,"")</f>
        <v/>
      </c>
      <c r="B335" t="str">
        <f>IF(AND(FORSIDE!$B$8&gt;=9,FORSIDE!$F$8&gt;=1,FORSIDE!$B$5&gt;=3),354+1*FORSIDE!$F$9,"")</f>
        <v/>
      </c>
      <c r="C335" t="str">
        <f>IF(AND(FORSIDE!$B$8&gt;=9,FORSIDE!$F$8&gt;=1,FORSIDE!$B$5&gt;=3),9*FORSIDE!$B$9,"")</f>
        <v/>
      </c>
      <c r="D335" t="str">
        <f>IF(AND(FORSIDE!$B$8&gt;=9,FORSIDE!$F$8&gt;=1,FORSIDE!$B$5&gt;=3),FORSIDE!$B$6+(3-1)*FORSIDE!$B$7,"")</f>
        <v/>
      </c>
    </row>
    <row r="336" spans="1:4" x14ac:dyDescent="0.3">
      <c r="A336" t="str">
        <f>IF(AND(FORSIDE!$B$8&gt;=9,FORSIDE!$F$8&gt;=1,FORSIDE!$B$5&gt;=4),335,"")</f>
        <v/>
      </c>
      <c r="B336" t="str">
        <f>IF(AND(FORSIDE!$B$8&gt;=9,FORSIDE!$F$8&gt;=1,FORSIDE!$B$5&gt;=4),354+1*FORSIDE!$F$9,"")</f>
        <v/>
      </c>
      <c r="C336" t="str">
        <f>IF(AND(FORSIDE!$B$8&gt;=9,FORSIDE!$F$8&gt;=1,FORSIDE!$B$5&gt;=4),9*FORSIDE!$B$9,"")</f>
        <v/>
      </c>
      <c r="D336" t="str">
        <f>IF(AND(FORSIDE!$B$8&gt;=9,FORSIDE!$F$8&gt;=1,FORSIDE!$B$5&gt;=4),FORSIDE!$B$6+(4-1)*FORSIDE!$B$7,"")</f>
        <v/>
      </c>
    </row>
    <row r="337" spans="1:4" x14ac:dyDescent="0.3">
      <c r="A337" t="str">
        <f>IF(AND(FORSIDE!$B$8&gt;=9,FORSIDE!$F$8&gt;=1,FORSIDE!$B$5&gt;=5),336,"")</f>
        <v/>
      </c>
      <c r="B337" t="str">
        <f>IF(AND(FORSIDE!$B$8&gt;=9,FORSIDE!$F$8&gt;=1,FORSIDE!$B$5&gt;=5),354+1*FORSIDE!$F$9,"")</f>
        <v/>
      </c>
      <c r="C337" t="str">
        <f>IF(AND(FORSIDE!$B$8&gt;=9,FORSIDE!$F$8&gt;=1,FORSIDE!$B$5&gt;=5),9*FORSIDE!$B$9,"")</f>
        <v/>
      </c>
      <c r="D337" t="str">
        <f>IF(AND(FORSIDE!$B$8&gt;=9,FORSIDE!$F$8&gt;=1,FORSIDE!$B$5&gt;=5),FORSIDE!$B$6+(5-1)*FORSIDE!$B$7,"")</f>
        <v/>
      </c>
    </row>
    <row r="338" spans="1:4" x14ac:dyDescent="0.3">
      <c r="A338" t="str">
        <f>IF(AND(FORSIDE!$B$8&gt;=9,FORSIDE!$F$8&gt;=1,FORSIDE!$B$5&gt;=6),337,"")</f>
        <v/>
      </c>
      <c r="B338" t="str">
        <f>IF(AND(FORSIDE!$B$8&gt;=9,FORSIDE!$F$8&gt;=1,FORSIDE!$B$5&gt;=6),354+1*FORSIDE!$F$9,"")</f>
        <v/>
      </c>
      <c r="C338" t="str">
        <f>IF(AND(FORSIDE!$B$8&gt;=9,FORSIDE!$F$8&gt;=1,FORSIDE!$B$5&gt;=6),9*FORSIDE!$B$9,"")</f>
        <v/>
      </c>
      <c r="D338" t="str">
        <f>IF(AND(FORSIDE!$B$8&gt;=9,FORSIDE!$F$8&gt;=1,FORSIDE!$B$5&gt;=6),FORSIDE!$B$6+(6-1)*FORSIDE!$B$7,"")</f>
        <v/>
      </c>
    </row>
    <row r="339" spans="1:4" x14ac:dyDescent="0.3">
      <c r="A339" t="str">
        <f>IF(AND(FORSIDE!$B$8&gt;=9,FORSIDE!$F$8&gt;=1,FORSIDE!$B$5&gt;=7),338,"")</f>
        <v/>
      </c>
      <c r="B339" t="str">
        <f>IF(AND(FORSIDE!$B$8&gt;=9,FORSIDE!$F$8&gt;=1,FORSIDE!$B$5&gt;=7),354+1*FORSIDE!$F$9,"")</f>
        <v/>
      </c>
      <c r="C339" t="str">
        <f>IF(AND(FORSIDE!$B$8&gt;=9,FORSIDE!$F$8&gt;=1,FORSIDE!$B$5&gt;=7),9*FORSIDE!$B$9,"")</f>
        <v/>
      </c>
      <c r="D339" t="str">
        <f>IF(AND(FORSIDE!$B$8&gt;=9,FORSIDE!$F$8&gt;=1,FORSIDE!$B$5&gt;=7),FORSIDE!$B$6+(7-1)*FORSIDE!$B$7,"")</f>
        <v/>
      </c>
    </row>
    <row r="340" spans="1:4" x14ac:dyDescent="0.3">
      <c r="A340" t="str">
        <f>IF(AND(FORSIDE!$B$8&gt;=9,FORSIDE!$F$8&gt;=1,FORSIDE!$B$5&gt;=8),339,"")</f>
        <v/>
      </c>
      <c r="B340" t="str">
        <f>IF(AND(FORSIDE!$B$8&gt;=9,FORSIDE!$F$8&gt;=1,FORSIDE!$B$5&gt;=8),354+1*FORSIDE!$F$9,"")</f>
        <v/>
      </c>
      <c r="C340" t="str">
        <f>IF(AND(FORSIDE!$B$8&gt;=9,FORSIDE!$F$8&gt;=1,FORSIDE!$B$5&gt;=8),9*FORSIDE!$B$9,"")</f>
        <v/>
      </c>
      <c r="D340" t="str">
        <f>IF(AND(FORSIDE!$B$8&gt;=9,FORSIDE!$F$8&gt;=1,FORSIDE!$B$5&gt;=8),FORSIDE!$B$6+(8-1)*FORSIDE!$B$7,"")</f>
        <v/>
      </c>
    </row>
    <row r="341" spans="1:4" x14ac:dyDescent="0.3">
      <c r="A341" t="str">
        <f>IF(AND(FORSIDE!$B$8&gt;=9,FORSIDE!$F$8&gt;=1,FORSIDE!$B$5&gt;=9),340,"")</f>
        <v/>
      </c>
      <c r="B341" t="str">
        <f>IF(AND(FORSIDE!$B$8&gt;=9,FORSIDE!$F$8&gt;=1,FORSIDE!$B$5&gt;=9),354+1*FORSIDE!$F$9,"")</f>
        <v/>
      </c>
      <c r="C341" t="str">
        <f>IF(AND(FORSIDE!$B$8&gt;=9,FORSIDE!$F$8&gt;=1,FORSIDE!$B$5&gt;=9),9*FORSIDE!$B$9,"")</f>
        <v/>
      </c>
      <c r="D341" t="str">
        <f>IF(AND(FORSIDE!$B$8&gt;=9,FORSIDE!$F$8&gt;=1,FORSIDE!$B$5&gt;=9),FORSIDE!$B$6+(9-1)*FORSIDE!$B$7,"")</f>
        <v/>
      </c>
    </row>
    <row r="342" spans="1:4" x14ac:dyDescent="0.3">
      <c r="A342" t="str">
        <f>IF(AND(FORSIDE!$B$8&gt;=9,FORSIDE!$F$8&gt;=1,FORSIDE!$B$5&gt;=10),341,"")</f>
        <v/>
      </c>
      <c r="B342" t="str">
        <f>IF(AND(FORSIDE!$B$8&gt;=9,FORSIDE!$F$8&gt;=1,FORSIDE!$B$5&gt;=10),354+1*FORSIDE!$F$9,"")</f>
        <v/>
      </c>
      <c r="C342" t="str">
        <f>IF(AND(FORSIDE!$B$8&gt;=9,FORSIDE!$F$8&gt;=1,FORSIDE!$B$5&gt;=10),9*FORSIDE!$B$9,"")</f>
        <v/>
      </c>
      <c r="D342" t="str">
        <f>IF(AND(FORSIDE!$B$8&gt;=9,FORSIDE!$F$8&gt;=1,FORSIDE!$B$5&gt;=10),FORSIDE!$B$6+(10-1)*FORSIDE!$B$7,"")</f>
        <v/>
      </c>
    </row>
    <row r="343" spans="1:4" x14ac:dyDescent="0.3">
      <c r="A343" t="str">
        <f>IF(AND(FORSIDE!$B$8&gt;=10,FORSIDE!$F$8&gt;=1,FORSIDE!$B$5&gt;=0),342,"")</f>
        <v/>
      </c>
      <c r="B343" t="str">
        <f>IF(AND(FORSIDE!$B$8&gt;=10,FORSIDE!$F$8&gt;=1,FORSIDE!$B$5&gt;=0),354+1*FORSIDE!$F$9,"")</f>
        <v/>
      </c>
      <c r="C343" t="str">
        <f>IF(AND(FORSIDE!$B$8&gt;=10,FORSIDE!$F$8&gt;=1,FORSIDE!$B$5&gt;=0),10*FORSIDE!$B$9,"")</f>
        <v/>
      </c>
      <c r="D343" t="str">
        <f>IF(AND(FORSIDE!$B$8&gt;=10,FORSIDE!$F$8&gt;=1,FORSIDE!$B$5&gt;=0),0,"")</f>
        <v/>
      </c>
    </row>
    <row r="344" spans="1:4" x14ac:dyDescent="0.3">
      <c r="A344" t="str">
        <f>IF(AND(FORSIDE!$B$8&gt;=10,FORSIDE!$F$8&gt;=1,FORSIDE!$B$5&gt;=1),343,"")</f>
        <v/>
      </c>
      <c r="B344" t="str">
        <f>IF(AND(FORSIDE!$B$8&gt;=10,FORSIDE!$F$8&gt;=1,FORSIDE!$B$5&gt;=1),354+1*FORSIDE!$F$9,"")</f>
        <v/>
      </c>
      <c r="C344" t="str">
        <f>IF(AND(FORSIDE!$B$8&gt;=10,FORSIDE!$F$8&gt;=1,FORSIDE!$B$5&gt;=1),10*FORSIDE!$B$9,"")</f>
        <v/>
      </c>
      <c r="D344" t="str">
        <f>IF(AND(FORSIDE!$B$8&gt;=10,FORSIDE!$F$8&gt;=1,FORSIDE!$B$5&gt;=1),FORSIDE!$B$6+(1-1)*FORSIDE!$B$7,"")</f>
        <v/>
      </c>
    </row>
    <row r="345" spans="1:4" x14ac:dyDescent="0.3">
      <c r="A345" t="str">
        <f>IF(AND(FORSIDE!$B$8&gt;=10,FORSIDE!$F$8&gt;=1,FORSIDE!$B$5&gt;=2),344,"")</f>
        <v/>
      </c>
      <c r="B345" t="str">
        <f>IF(AND(FORSIDE!$B$8&gt;=10,FORSIDE!$F$8&gt;=1,FORSIDE!$B$5&gt;=2),354+1*FORSIDE!$F$9,"")</f>
        <v/>
      </c>
      <c r="C345" t="str">
        <f>IF(AND(FORSIDE!$B$8&gt;=10,FORSIDE!$F$8&gt;=1,FORSIDE!$B$5&gt;=2),10*FORSIDE!$B$9,"")</f>
        <v/>
      </c>
      <c r="D345" t="str">
        <f>IF(AND(FORSIDE!$B$8&gt;=10,FORSIDE!$F$8&gt;=1,FORSIDE!$B$5&gt;=2),FORSIDE!$B$6+(2-1)*FORSIDE!$B$7,"")</f>
        <v/>
      </c>
    </row>
    <row r="346" spans="1:4" x14ac:dyDescent="0.3">
      <c r="A346" t="str">
        <f>IF(AND(FORSIDE!$B$8&gt;=10,FORSIDE!$F$8&gt;=1,FORSIDE!$B$5&gt;=3),345,"")</f>
        <v/>
      </c>
      <c r="B346" t="str">
        <f>IF(AND(FORSIDE!$B$8&gt;=10,FORSIDE!$F$8&gt;=1,FORSIDE!$B$5&gt;=3),354+1*FORSIDE!$F$9,"")</f>
        <v/>
      </c>
      <c r="C346" t="str">
        <f>IF(AND(FORSIDE!$B$8&gt;=10,FORSIDE!$F$8&gt;=1,FORSIDE!$B$5&gt;=3),10*FORSIDE!$B$9,"")</f>
        <v/>
      </c>
      <c r="D346" t="str">
        <f>IF(AND(FORSIDE!$B$8&gt;=10,FORSIDE!$F$8&gt;=1,FORSIDE!$B$5&gt;=3),FORSIDE!$B$6+(3-1)*FORSIDE!$B$7,"")</f>
        <v/>
      </c>
    </row>
    <row r="347" spans="1:4" x14ac:dyDescent="0.3">
      <c r="A347" t="str">
        <f>IF(AND(FORSIDE!$B$8&gt;=10,FORSIDE!$F$8&gt;=1,FORSIDE!$B$5&gt;=4),346,"")</f>
        <v/>
      </c>
      <c r="B347" t="str">
        <f>IF(AND(FORSIDE!$B$8&gt;=10,FORSIDE!$F$8&gt;=1,FORSIDE!$B$5&gt;=4),354+1*FORSIDE!$F$9,"")</f>
        <v/>
      </c>
      <c r="C347" t="str">
        <f>IF(AND(FORSIDE!$B$8&gt;=10,FORSIDE!$F$8&gt;=1,FORSIDE!$B$5&gt;=4),10*FORSIDE!$B$9,"")</f>
        <v/>
      </c>
      <c r="D347" t="str">
        <f>IF(AND(FORSIDE!$B$8&gt;=10,FORSIDE!$F$8&gt;=1,FORSIDE!$B$5&gt;=4),FORSIDE!$B$6+(4-1)*FORSIDE!$B$7,"")</f>
        <v/>
      </c>
    </row>
    <row r="348" spans="1:4" x14ac:dyDescent="0.3">
      <c r="A348" t="str">
        <f>IF(AND(FORSIDE!$B$8&gt;=10,FORSIDE!$F$8&gt;=1,FORSIDE!$B$5&gt;=5),347,"")</f>
        <v/>
      </c>
      <c r="B348" t="str">
        <f>IF(AND(FORSIDE!$B$8&gt;=10,FORSIDE!$F$8&gt;=1,FORSIDE!$B$5&gt;=5),354+1*FORSIDE!$F$9,"")</f>
        <v/>
      </c>
      <c r="C348" t="str">
        <f>IF(AND(FORSIDE!$B$8&gt;=10,FORSIDE!$F$8&gt;=1,FORSIDE!$B$5&gt;=5),10*FORSIDE!$B$9,"")</f>
        <v/>
      </c>
      <c r="D348" t="str">
        <f>IF(AND(FORSIDE!$B$8&gt;=10,FORSIDE!$F$8&gt;=1,FORSIDE!$B$5&gt;=5),FORSIDE!$B$6+(5-1)*FORSIDE!$B$7,"")</f>
        <v/>
      </c>
    </row>
    <row r="349" spans="1:4" x14ac:dyDescent="0.3">
      <c r="A349" t="str">
        <f>IF(AND(FORSIDE!$B$8&gt;=10,FORSIDE!$F$8&gt;=1,FORSIDE!$B$5&gt;=6),348,"")</f>
        <v/>
      </c>
      <c r="B349" t="str">
        <f>IF(AND(FORSIDE!$B$8&gt;=10,FORSIDE!$F$8&gt;=1,FORSIDE!$B$5&gt;=6),354+1*FORSIDE!$F$9,"")</f>
        <v/>
      </c>
      <c r="C349" t="str">
        <f>IF(AND(FORSIDE!$B$8&gt;=10,FORSIDE!$F$8&gt;=1,FORSIDE!$B$5&gt;=6),10*FORSIDE!$B$9,"")</f>
        <v/>
      </c>
      <c r="D349" t="str">
        <f>IF(AND(FORSIDE!$B$8&gt;=10,FORSIDE!$F$8&gt;=1,FORSIDE!$B$5&gt;=6),FORSIDE!$B$6+(6-1)*FORSIDE!$B$7,"")</f>
        <v/>
      </c>
    </row>
    <row r="350" spans="1:4" x14ac:dyDescent="0.3">
      <c r="A350" t="str">
        <f>IF(AND(FORSIDE!$B$8&gt;=10,FORSIDE!$F$8&gt;=1,FORSIDE!$B$5&gt;=7),349,"")</f>
        <v/>
      </c>
      <c r="B350" t="str">
        <f>IF(AND(FORSIDE!$B$8&gt;=10,FORSIDE!$F$8&gt;=1,FORSIDE!$B$5&gt;=7),354+1*FORSIDE!$F$9,"")</f>
        <v/>
      </c>
      <c r="C350" t="str">
        <f>IF(AND(FORSIDE!$B$8&gt;=10,FORSIDE!$F$8&gt;=1,FORSIDE!$B$5&gt;=7),10*FORSIDE!$B$9,"")</f>
        <v/>
      </c>
      <c r="D350" t="str">
        <f>IF(AND(FORSIDE!$B$8&gt;=10,FORSIDE!$F$8&gt;=1,FORSIDE!$B$5&gt;=7),FORSIDE!$B$6+(7-1)*FORSIDE!$B$7,"")</f>
        <v/>
      </c>
    </row>
    <row r="351" spans="1:4" x14ac:dyDescent="0.3">
      <c r="A351" t="str">
        <f>IF(AND(FORSIDE!$B$8&gt;=10,FORSIDE!$F$8&gt;=1,FORSIDE!$B$5&gt;=8),350,"")</f>
        <v/>
      </c>
      <c r="B351" t="str">
        <f>IF(AND(FORSIDE!$B$8&gt;=10,FORSIDE!$F$8&gt;=1,FORSIDE!$B$5&gt;=8),354+1*FORSIDE!$F$9,"")</f>
        <v/>
      </c>
      <c r="C351" t="str">
        <f>IF(AND(FORSIDE!$B$8&gt;=10,FORSIDE!$F$8&gt;=1,FORSIDE!$B$5&gt;=8),10*FORSIDE!$B$9,"")</f>
        <v/>
      </c>
      <c r="D351" t="str">
        <f>IF(AND(FORSIDE!$B$8&gt;=10,FORSIDE!$F$8&gt;=1,FORSIDE!$B$5&gt;=8),FORSIDE!$B$6+(8-1)*FORSIDE!$B$7,"")</f>
        <v/>
      </c>
    </row>
    <row r="352" spans="1:4" x14ac:dyDescent="0.3">
      <c r="A352" t="str">
        <f>IF(AND(FORSIDE!$B$8&gt;=10,FORSIDE!$F$8&gt;=1,FORSIDE!$B$5&gt;=9),351,"")</f>
        <v/>
      </c>
      <c r="B352" t="str">
        <f>IF(AND(FORSIDE!$B$8&gt;=10,FORSIDE!$F$8&gt;=1,FORSIDE!$B$5&gt;=9),354+1*FORSIDE!$F$9,"")</f>
        <v/>
      </c>
      <c r="C352" t="str">
        <f>IF(AND(FORSIDE!$B$8&gt;=10,FORSIDE!$F$8&gt;=1,FORSIDE!$B$5&gt;=9),10*FORSIDE!$B$9,"")</f>
        <v/>
      </c>
      <c r="D352" t="str">
        <f>IF(AND(FORSIDE!$B$8&gt;=10,FORSIDE!$F$8&gt;=1,FORSIDE!$B$5&gt;=9),FORSIDE!$B$6+(9-1)*FORSIDE!$B$7,"")</f>
        <v/>
      </c>
    </row>
    <row r="353" spans="1:4" x14ac:dyDescent="0.3">
      <c r="A353" t="str">
        <f>IF(AND(FORSIDE!$B$8&gt;=10,FORSIDE!$F$8&gt;=1,FORSIDE!$B$5&gt;=10),352,"")</f>
        <v/>
      </c>
      <c r="B353" t="str">
        <f>IF(AND(FORSIDE!$B$8&gt;=10,FORSIDE!$F$8&gt;=1,FORSIDE!$B$5&gt;=10),354+1*FORSIDE!$F$9,"")</f>
        <v/>
      </c>
      <c r="C353" t="str">
        <f>IF(AND(FORSIDE!$B$8&gt;=10,FORSIDE!$F$8&gt;=1,FORSIDE!$B$5&gt;=10),10*FORSIDE!$B$9,"")</f>
        <v/>
      </c>
      <c r="D353" t="str">
        <f>IF(AND(FORSIDE!$B$8&gt;=10,FORSIDE!$F$8&gt;=1,FORSIDE!$B$5&gt;=10),FORSIDE!$B$6+(10-1)*FORSIDE!$B$7,"")</f>
        <v/>
      </c>
    </row>
    <row r="354" spans="1:4" x14ac:dyDescent="0.3">
      <c r="A354" t="str">
        <f>IF(AND(FORSIDE!$B$8&gt;=11,FORSIDE!$F$8&gt;=1,FORSIDE!$B$5&gt;=0),353,"")</f>
        <v/>
      </c>
      <c r="B354" t="str">
        <f>IF(AND(FORSIDE!$B$8&gt;=11,FORSIDE!$F$8&gt;=1,FORSIDE!$B$5&gt;=0),354+1*FORSIDE!$F$9,"")</f>
        <v/>
      </c>
      <c r="C354" t="str">
        <f>IF(AND(FORSIDE!$B$8&gt;=11,FORSIDE!$F$8&gt;=1,FORSIDE!$B$5&gt;=0),11*FORSIDE!$B$9,"")</f>
        <v/>
      </c>
      <c r="D354" t="str">
        <f>IF(AND(FORSIDE!$B$8&gt;=11,FORSIDE!$F$8&gt;=1,FORSIDE!$B$5&gt;=0),0,"")</f>
        <v/>
      </c>
    </row>
    <row r="355" spans="1:4" x14ac:dyDescent="0.3">
      <c r="A355" t="str">
        <f>IF(AND(FORSIDE!$B$8&gt;=11,FORSIDE!$F$8&gt;=1,FORSIDE!$B$5&gt;=1),354,"")</f>
        <v/>
      </c>
      <c r="B355" t="str">
        <f>IF(AND(FORSIDE!$B$8&gt;=11,FORSIDE!$F$8&gt;=1,FORSIDE!$B$5&gt;=1),354+1*FORSIDE!$F$9,"")</f>
        <v/>
      </c>
      <c r="C355" t="str">
        <f>IF(AND(FORSIDE!$B$8&gt;=11,FORSIDE!$F$8&gt;=1,FORSIDE!$B$5&gt;=1),11*FORSIDE!$B$9,"")</f>
        <v/>
      </c>
      <c r="D355" t="str">
        <f>IF(AND(FORSIDE!$B$8&gt;=11,FORSIDE!$F$8&gt;=1,FORSIDE!$B$5&gt;=1),FORSIDE!$B$6+(1-1)*FORSIDE!$B$7,"")</f>
        <v/>
      </c>
    </row>
    <row r="356" spans="1:4" x14ac:dyDescent="0.3">
      <c r="A356" t="str">
        <f>IF(AND(FORSIDE!$B$8&gt;=11,FORSIDE!$F$8&gt;=1,FORSIDE!$B$5&gt;=2),355,"")</f>
        <v/>
      </c>
      <c r="B356" t="str">
        <f>IF(AND(FORSIDE!$B$8&gt;=11,FORSIDE!$F$8&gt;=1,FORSIDE!$B$5&gt;=2),354+1*FORSIDE!$F$9,"")</f>
        <v/>
      </c>
      <c r="C356" t="str">
        <f>IF(AND(FORSIDE!$B$8&gt;=11,FORSIDE!$F$8&gt;=1,FORSIDE!$B$5&gt;=2),11*FORSIDE!$B$9,"")</f>
        <v/>
      </c>
      <c r="D356" t="str">
        <f>IF(AND(FORSIDE!$B$8&gt;=11,FORSIDE!$F$8&gt;=1,FORSIDE!$B$5&gt;=2),FORSIDE!$B$6+(2-1)*FORSIDE!$B$7,"")</f>
        <v/>
      </c>
    </row>
    <row r="357" spans="1:4" x14ac:dyDescent="0.3">
      <c r="A357" t="str">
        <f>IF(AND(FORSIDE!$B$8&gt;=11,FORSIDE!$F$8&gt;=1,FORSIDE!$B$5&gt;=3),356,"")</f>
        <v/>
      </c>
      <c r="B357" t="str">
        <f>IF(AND(FORSIDE!$B$8&gt;=11,FORSIDE!$F$8&gt;=1,FORSIDE!$B$5&gt;=3),354+1*FORSIDE!$F$9,"")</f>
        <v/>
      </c>
      <c r="C357" t="str">
        <f>IF(AND(FORSIDE!$B$8&gt;=11,FORSIDE!$F$8&gt;=1,FORSIDE!$B$5&gt;=3),11*FORSIDE!$B$9,"")</f>
        <v/>
      </c>
      <c r="D357" t="str">
        <f>IF(AND(FORSIDE!$B$8&gt;=11,FORSIDE!$F$8&gt;=1,FORSIDE!$B$5&gt;=3),FORSIDE!$B$6+(3-1)*FORSIDE!$B$7,"")</f>
        <v/>
      </c>
    </row>
    <row r="358" spans="1:4" x14ac:dyDescent="0.3">
      <c r="A358" t="str">
        <f>IF(AND(FORSIDE!$B$8&gt;=11,FORSIDE!$F$8&gt;=1,FORSIDE!$B$5&gt;=4),357,"")</f>
        <v/>
      </c>
      <c r="B358" t="str">
        <f>IF(AND(FORSIDE!$B$8&gt;=11,FORSIDE!$F$8&gt;=1,FORSIDE!$B$5&gt;=4),354+1*FORSIDE!$F$9,"")</f>
        <v/>
      </c>
      <c r="C358" t="str">
        <f>IF(AND(FORSIDE!$B$8&gt;=11,FORSIDE!$F$8&gt;=1,FORSIDE!$B$5&gt;=4),11*FORSIDE!$B$9,"")</f>
        <v/>
      </c>
      <c r="D358" t="str">
        <f>IF(AND(FORSIDE!$B$8&gt;=11,FORSIDE!$F$8&gt;=1,FORSIDE!$B$5&gt;=4),FORSIDE!$B$6+(4-1)*FORSIDE!$B$7,"")</f>
        <v/>
      </c>
    </row>
    <row r="359" spans="1:4" x14ac:dyDescent="0.3">
      <c r="A359" t="str">
        <f>IF(AND(FORSIDE!$B$8&gt;=11,FORSIDE!$F$8&gt;=1,FORSIDE!$B$5&gt;=5),358,"")</f>
        <v/>
      </c>
      <c r="B359" t="str">
        <f>IF(AND(FORSIDE!$B$8&gt;=11,FORSIDE!$F$8&gt;=1,FORSIDE!$B$5&gt;=5),354+1*FORSIDE!$F$9,"")</f>
        <v/>
      </c>
      <c r="C359" t="str">
        <f>IF(AND(FORSIDE!$B$8&gt;=11,FORSIDE!$F$8&gt;=1,FORSIDE!$B$5&gt;=5),11*FORSIDE!$B$9,"")</f>
        <v/>
      </c>
      <c r="D359" t="str">
        <f>IF(AND(FORSIDE!$B$8&gt;=11,FORSIDE!$F$8&gt;=1,FORSIDE!$B$5&gt;=5),FORSIDE!$B$6+(5-1)*FORSIDE!$B$7,"")</f>
        <v/>
      </c>
    </row>
    <row r="360" spans="1:4" x14ac:dyDescent="0.3">
      <c r="A360" t="str">
        <f>IF(AND(FORSIDE!$B$8&gt;=11,FORSIDE!$F$8&gt;=1,FORSIDE!$B$5&gt;=6),359,"")</f>
        <v/>
      </c>
      <c r="B360" t="str">
        <f>IF(AND(FORSIDE!$B$8&gt;=11,FORSIDE!$F$8&gt;=1,FORSIDE!$B$5&gt;=6),354+1*FORSIDE!$F$9,"")</f>
        <v/>
      </c>
      <c r="C360" t="str">
        <f>IF(AND(FORSIDE!$B$8&gt;=11,FORSIDE!$F$8&gt;=1,FORSIDE!$B$5&gt;=6),11*FORSIDE!$B$9,"")</f>
        <v/>
      </c>
      <c r="D360" t="str">
        <f>IF(AND(FORSIDE!$B$8&gt;=11,FORSIDE!$F$8&gt;=1,FORSIDE!$B$5&gt;=6),FORSIDE!$B$6+(6-1)*FORSIDE!$B$7,"")</f>
        <v/>
      </c>
    </row>
    <row r="361" spans="1:4" x14ac:dyDescent="0.3">
      <c r="A361" t="str">
        <f>IF(AND(FORSIDE!$B$8&gt;=11,FORSIDE!$F$8&gt;=1,FORSIDE!$B$5&gt;=7),360,"")</f>
        <v/>
      </c>
      <c r="B361" t="str">
        <f>IF(AND(FORSIDE!$B$8&gt;=11,FORSIDE!$F$8&gt;=1,FORSIDE!$B$5&gt;=7),354+1*FORSIDE!$F$9,"")</f>
        <v/>
      </c>
      <c r="C361" t="str">
        <f>IF(AND(FORSIDE!$B$8&gt;=11,FORSIDE!$F$8&gt;=1,FORSIDE!$B$5&gt;=7),11*FORSIDE!$B$9,"")</f>
        <v/>
      </c>
      <c r="D361" t="str">
        <f>IF(AND(FORSIDE!$B$8&gt;=11,FORSIDE!$F$8&gt;=1,FORSIDE!$B$5&gt;=7),FORSIDE!$B$6+(7-1)*FORSIDE!$B$7,"")</f>
        <v/>
      </c>
    </row>
    <row r="362" spans="1:4" x14ac:dyDescent="0.3">
      <c r="A362" t="str">
        <f>IF(AND(FORSIDE!$B$8&gt;=11,FORSIDE!$F$8&gt;=1,FORSIDE!$B$5&gt;=8),361,"")</f>
        <v/>
      </c>
      <c r="B362" t="str">
        <f>IF(AND(FORSIDE!$B$8&gt;=11,FORSIDE!$F$8&gt;=1,FORSIDE!$B$5&gt;=8),354+1*FORSIDE!$F$9,"")</f>
        <v/>
      </c>
      <c r="C362" t="str">
        <f>IF(AND(FORSIDE!$B$8&gt;=11,FORSIDE!$F$8&gt;=1,FORSIDE!$B$5&gt;=8),11*FORSIDE!$B$9,"")</f>
        <v/>
      </c>
      <c r="D362" t="str">
        <f>IF(AND(FORSIDE!$B$8&gt;=11,FORSIDE!$F$8&gt;=1,FORSIDE!$B$5&gt;=8),FORSIDE!$B$6+(8-1)*FORSIDE!$B$7,"")</f>
        <v/>
      </c>
    </row>
    <row r="363" spans="1:4" x14ac:dyDescent="0.3">
      <c r="A363" t="str">
        <f>IF(AND(FORSIDE!$B$8&gt;=11,FORSIDE!$F$8&gt;=1,FORSIDE!$B$5&gt;=9),362,"")</f>
        <v/>
      </c>
      <c r="B363" t="str">
        <f>IF(AND(FORSIDE!$B$8&gt;=11,FORSIDE!$F$8&gt;=1,FORSIDE!$B$5&gt;=9),354+1*FORSIDE!$F$9,"")</f>
        <v/>
      </c>
      <c r="C363" t="str">
        <f>IF(AND(FORSIDE!$B$8&gt;=11,FORSIDE!$F$8&gt;=1,FORSIDE!$B$5&gt;=9),11*FORSIDE!$B$9,"")</f>
        <v/>
      </c>
      <c r="D363" t="str">
        <f>IF(AND(FORSIDE!$B$8&gt;=11,FORSIDE!$F$8&gt;=1,FORSIDE!$B$5&gt;=9),FORSIDE!$B$6+(9-1)*FORSIDE!$B$7,"")</f>
        <v/>
      </c>
    </row>
    <row r="364" spans="1:4" x14ac:dyDescent="0.3">
      <c r="A364" t="str">
        <f>IF(AND(FORSIDE!$B$8&gt;=11,FORSIDE!$F$8&gt;=1,FORSIDE!$B$5&gt;=10),363,"")</f>
        <v/>
      </c>
      <c r="B364" t="str">
        <f>IF(AND(FORSIDE!$B$8&gt;=11,FORSIDE!$F$8&gt;=1,FORSIDE!$B$5&gt;=10),354+1*FORSIDE!$F$9,"")</f>
        <v/>
      </c>
      <c r="C364" t="str">
        <f>IF(AND(FORSIDE!$B$8&gt;=11,FORSIDE!$F$8&gt;=1,FORSIDE!$B$5&gt;=10),11*FORSIDE!$B$9,"")</f>
        <v/>
      </c>
      <c r="D364" t="str">
        <f>IF(AND(FORSIDE!$B$8&gt;=11,FORSIDE!$F$8&gt;=1,FORSIDE!$B$5&gt;=10),FORSIDE!$B$6+(10-1)*FORSIDE!$B$7,"")</f>
        <v/>
      </c>
    </row>
    <row r="365" spans="1:4" x14ac:dyDescent="0.3">
      <c r="A365" t="str">
        <f>IF(AND(FORSIDE!$B$8&gt;=12,FORSIDE!$F$8&gt;=1,FORSIDE!$B$5&gt;=0),364,"")</f>
        <v/>
      </c>
      <c r="B365" t="str">
        <f>IF(AND(FORSIDE!$B$8&gt;=12,FORSIDE!$F$8&gt;=1,FORSIDE!$B$5&gt;=0),354+1*FORSIDE!$F$9,"")</f>
        <v/>
      </c>
      <c r="C365" t="str">
        <f>IF(AND(FORSIDE!$B$8&gt;=12,FORSIDE!$F$8&gt;=1,FORSIDE!$B$5&gt;=0),12*FORSIDE!$B$9,"")</f>
        <v/>
      </c>
      <c r="D365" t="str">
        <f>IF(AND(FORSIDE!$B$8&gt;=12,FORSIDE!$F$8&gt;=1,FORSIDE!$B$5&gt;=0),0,"")</f>
        <v/>
      </c>
    </row>
    <row r="366" spans="1:4" x14ac:dyDescent="0.3">
      <c r="A366" t="str">
        <f>IF(AND(FORSIDE!$B$8&gt;=12,FORSIDE!$F$8&gt;=1,FORSIDE!$B$5&gt;=1),365,"")</f>
        <v/>
      </c>
      <c r="B366" t="str">
        <f>IF(AND(FORSIDE!$B$8&gt;=12,FORSIDE!$F$8&gt;=1,FORSIDE!$B$5&gt;=1),354+1*FORSIDE!$F$9,"")</f>
        <v/>
      </c>
      <c r="C366" t="str">
        <f>IF(AND(FORSIDE!$B$8&gt;=12,FORSIDE!$F$8&gt;=1,FORSIDE!$B$5&gt;=1),12*FORSIDE!$B$9,"")</f>
        <v/>
      </c>
      <c r="D366" t="str">
        <f>IF(AND(FORSIDE!$B$8&gt;=12,FORSIDE!$F$8&gt;=1,FORSIDE!$B$5&gt;=1),FORSIDE!$B$6+(1-1)*FORSIDE!$B$7,"")</f>
        <v/>
      </c>
    </row>
    <row r="367" spans="1:4" x14ac:dyDescent="0.3">
      <c r="A367" t="str">
        <f>IF(AND(FORSIDE!$B$8&gt;=12,FORSIDE!$F$8&gt;=1,FORSIDE!$B$5&gt;=2),366,"")</f>
        <v/>
      </c>
      <c r="B367" t="str">
        <f>IF(AND(FORSIDE!$B$8&gt;=12,FORSIDE!$F$8&gt;=1,FORSIDE!$B$5&gt;=2),354+1*FORSIDE!$F$9,"")</f>
        <v/>
      </c>
      <c r="C367" t="str">
        <f>IF(AND(FORSIDE!$B$8&gt;=12,FORSIDE!$F$8&gt;=1,FORSIDE!$B$5&gt;=2),12*FORSIDE!$B$9,"")</f>
        <v/>
      </c>
      <c r="D367" t="str">
        <f>IF(AND(FORSIDE!$B$8&gt;=12,FORSIDE!$F$8&gt;=1,FORSIDE!$B$5&gt;=2),FORSIDE!$B$6+(2-1)*FORSIDE!$B$7,"")</f>
        <v/>
      </c>
    </row>
    <row r="368" spans="1:4" x14ac:dyDescent="0.3">
      <c r="A368" t="str">
        <f>IF(AND(FORSIDE!$B$8&gt;=12,FORSIDE!$F$8&gt;=1,FORSIDE!$B$5&gt;=3),367,"")</f>
        <v/>
      </c>
      <c r="B368" t="str">
        <f>IF(AND(FORSIDE!$B$8&gt;=12,FORSIDE!$F$8&gt;=1,FORSIDE!$B$5&gt;=3),354+1*FORSIDE!$F$9,"")</f>
        <v/>
      </c>
      <c r="C368" t="str">
        <f>IF(AND(FORSIDE!$B$8&gt;=12,FORSIDE!$F$8&gt;=1,FORSIDE!$B$5&gt;=3),12*FORSIDE!$B$9,"")</f>
        <v/>
      </c>
      <c r="D368" t="str">
        <f>IF(AND(FORSIDE!$B$8&gt;=12,FORSIDE!$F$8&gt;=1,FORSIDE!$B$5&gt;=3),FORSIDE!$B$6+(3-1)*FORSIDE!$B$7,"")</f>
        <v/>
      </c>
    </row>
    <row r="369" spans="1:4" x14ac:dyDescent="0.3">
      <c r="A369" t="str">
        <f>IF(AND(FORSIDE!$B$8&gt;=12,FORSIDE!$F$8&gt;=1,FORSIDE!$B$5&gt;=4),368,"")</f>
        <v/>
      </c>
      <c r="B369" t="str">
        <f>IF(AND(FORSIDE!$B$8&gt;=12,FORSIDE!$F$8&gt;=1,FORSIDE!$B$5&gt;=4),354+1*FORSIDE!$F$9,"")</f>
        <v/>
      </c>
      <c r="C369" t="str">
        <f>IF(AND(FORSIDE!$B$8&gt;=12,FORSIDE!$F$8&gt;=1,FORSIDE!$B$5&gt;=4),12*FORSIDE!$B$9,"")</f>
        <v/>
      </c>
      <c r="D369" t="str">
        <f>IF(AND(FORSIDE!$B$8&gt;=12,FORSIDE!$F$8&gt;=1,FORSIDE!$B$5&gt;=4),FORSIDE!$B$6+(4-1)*FORSIDE!$B$7,"")</f>
        <v/>
      </c>
    </row>
    <row r="370" spans="1:4" x14ac:dyDescent="0.3">
      <c r="A370" t="str">
        <f>IF(AND(FORSIDE!$B$8&gt;=12,FORSIDE!$F$8&gt;=1,FORSIDE!$B$5&gt;=5),369,"")</f>
        <v/>
      </c>
      <c r="B370" t="str">
        <f>IF(AND(FORSIDE!$B$8&gt;=12,FORSIDE!$F$8&gt;=1,FORSIDE!$B$5&gt;=5),354+1*FORSIDE!$F$9,"")</f>
        <v/>
      </c>
      <c r="C370" t="str">
        <f>IF(AND(FORSIDE!$B$8&gt;=12,FORSIDE!$F$8&gt;=1,FORSIDE!$B$5&gt;=5),12*FORSIDE!$B$9,"")</f>
        <v/>
      </c>
      <c r="D370" t="str">
        <f>IF(AND(FORSIDE!$B$8&gt;=12,FORSIDE!$F$8&gt;=1,FORSIDE!$B$5&gt;=5),FORSIDE!$B$6+(5-1)*FORSIDE!$B$7,"")</f>
        <v/>
      </c>
    </row>
    <row r="371" spans="1:4" x14ac:dyDescent="0.3">
      <c r="A371" t="str">
        <f>IF(AND(FORSIDE!$B$8&gt;=12,FORSIDE!$F$8&gt;=1,FORSIDE!$B$5&gt;=6),370,"")</f>
        <v/>
      </c>
      <c r="B371" t="str">
        <f>IF(AND(FORSIDE!$B$8&gt;=12,FORSIDE!$F$8&gt;=1,FORSIDE!$B$5&gt;=6),354+1*FORSIDE!$F$9,"")</f>
        <v/>
      </c>
      <c r="C371" t="str">
        <f>IF(AND(FORSIDE!$B$8&gt;=12,FORSIDE!$F$8&gt;=1,FORSIDE!$B$5&gt;=6),12*FORSIDE!$B$9,"")</f>
        <v/>
      </c>
      <c r="D371" t="str">
        <f>IF(AND(FORSIDE!$B$8&gt;=12,FORSIDE!$F$8&gt;=1,FORSIDE!$B$5&gt;=6),FORSIDE!$B$6+(6-1)*FORSIDE!$B$7,"")</f>
        <v/>
      </c>
    </row>
    <row r="372" spans="1:4" x14ac:dyDescent="0.3">
      <c r="A372" t="str">
        <f>IF(AND(FORSIDE!$B$8&gt;=12,FORSIDE!$F$8&gt;=1,FORSIDE!$B$5&gt;=7),371,"")</f>
        <v/>
      </c>
      <c r="B372" t="str">
        <f>IF(AND(FORSIDE!$B$8&gt;=12,FORSIDE!$F$8&gt;=1,FORSIDE!$B$5&gt;=7),354+1*FORSIDE!$F$9,"")</f>
        <v/>
      </c>
      <c r="C372" t="str">
        <f>IF(AND(FORSIDE!$B$8&gt;=12,FORSIDE!$F$8&gt;=1,FORSIDE!$B$5&gt;=7),12*FORSIDE!$B$9,"")</f>
        <v/>
      </c>
      <c r="D372" t="str">
        <f>IF(AND(FORSIDE!$B$8&gt;=12,FORSIDE!$F$8&gt;=1,FORSIDE!$B$5&gt;=7),FORSIDE!$B$6+(7-1)*FORSIDE!$B$7,"")</f>
        <v/>
      </c>
    </row>
    <row r="373" spans="1:4" x14ac:dyDescent="0.3">
      <c r="A373" t="str">
        <f>IF(AND(FORSIDE!$B$8&gt;=12,FORSIDE!$F$8&gt;=1,FORSIDE!$B$5&gt;=8),372,"")</f>
        <v/>
      </c>
      <c r="B373" t="str">
        <f>IF(AND(FORSIDE!$B$8&gt;=12,FORSIDE!$F$8&gt;=1,FORSIDE!$B$5&gt;=8),354+1*FORSIDE!$F$9,"")</f>
        <v/>
      </c>
      <c r="C373" t="str">
        <f>IF(AND(FORSIDE!$B$8&gt;=12,FORSIDE!$F$8&gt;=1,FORSIDE!$B$5&gt;=8),12*FORSIDE!$B$9,"")</f>
        <v/>
      </c>
      <c r="D373" t="str">
        <f>IF(AND(FORSIDE!$B$8&gt;=12,FORSIDE!$F$8&gt;=1,FORSIDE!$B$5&gt;=8),FORSIDE!$B$6+(8-1)*FORSIDE!$B$7,"")</f>
        <v/>
      </c>
    </row>
    <row r="374" spans="1:4" x14ac:dyDescent="0.3">
      <c r="A374" t="str">
        <f>IF(AND(FORSIDE!$B$8&gt;=12,FORSIDE!$F$8&gt;=1,FORSIDE!$B$5&gt;=9),373,"")</f>
        <v/>
      </c>
      <c r="B374" t="str">
        <f>IF(AND(FORSIDE!$B$8&gt;=12,FORSIDE!$F$8&gt;=1,FORSIDE!$B$5&gt;=9),354+1*FORSIDE!$F$9,"")</f>
        <v/>
      </c>
      <c r="C374" t="str">
        <f>IF(AND(FORSIDE!$B$8&gt;=12,FORSIDE!$F$8&gt;=1,FORSIDE!$B$5&gt;=9),12*FORSIDE!$B$9,"")</f>
        <v/>
      </c>
      <c r="D374" t="str">
        <f>IF(AND(FORSIDE!$B$8&gt;=12,FORSIDE!$F$8&gt;=1,FORSIDE!$B$5&gt;=9),FORSIDE!$B$6+(9-1)*FORSIDE!$B$7,"")</f>
        <v/>
      </c>
    </row>
    <row r="375" spans="1:4" x14ac:dyDescent="0.3">
      <c r="A375" t="str">
        <f>IF(AND(FORSIDE!$B$8&gt;=12,FORSIDE!$F$8&gt;=1,FORSIDE!$B$5&gt;=10),374,"")</f>
        <v/>
      </c>
      <c r="B375" t="str">
        <f>IF(AND(FORSIDE!$B$8&gt;=12,FORSIDE!$F$8&gt;=1,FORSIDE!$B$5&gt;=10),354+1*FORSIDE!$F$9,"")</f>
        <v/>
      </c>
      <c r="C375" t="str">
        <f>IF(AND(FORSIDE!$B$8&gt;=12,FORSIDE!$F$8&gt;=1,FORSIDE!$B$5&gt;=10),12*FORSIDE!$B$9,"")</f>
        <v/>
      </c>
      <c r="D375" t="str">
        <f>IF(AND(FORSIDE!$B$8&gt;=12,FORSIDE!$F$8&gt;=1,FORSIDE!$B$5&gt;=10),FORSIDE!$B$6+(10-1)*FORSIDE!$B$7,"")</f>
        <v/>
      </c>
    </row>
    <row r="376" spans="1:4" x14ac:dyDescent="0.3">
      <c r="A376" t="str">
        <f>IF(AND(FORSIDE!$B$8&gt;=13,FORSIDE!$F$8&gt;=1,FORSIDE!$B$5&gt;=0),375,"")</f>
        <v/>
      </c>
      <c r="B376" t="str">
        <f>IF(AND(FORSIDE!$B$8&gt;=13,FORSIDE!$F$8&gt;=1,FORSIDE!$B$5&gt;=0),354+1*FORSIDE!$F$9,"")</f>
        <v/>
      </c>
      <c r="C376" t="str">
        <f>IF(AND(FORSIDE!$B$8&gt;=13,FORSIDE!$F$8&gt;=1,FORSIDE!$B$5&gt;=0),13*FORSIDE!$B$9,"")</f>
        <v/>
      </c>
      <c r="D376" t="str">
        <f>IF(AND(FORSIDE!$B$8&gt;=13,FORSIDE!$F$8&gt;=1,FORSIDE!$B$5&gt;=0),0,"")</f>
        <v/>
      </c>
    </row>
    <row r="377" spans="1:4" x14ac:dyDescent="0.3">
      <c r="A377" t="str">
        <f>IF(AND(FORSIDE!$B$8&gt;=13,FORSIDE!$F$8&gt;=1,FORSIDE!$B$5&gt;=1),376,"")</f>
        <v/>
      </c>
      <c r="B377" t="str">
        <f>IF(AND(FORSIDE!$B$8&gt;=13,FORSIDE!$F$8&gt;=1,FORSIDE!$B$5&gt;=1),354+1*FORSIDE!$F$9,"")</f>
        <v/>
      </c>
      <c r="C377" t="str">
        <f>IF(AND(FORSIDE!$B$8&gt;=13,FORSIDE!$F$8&gt;=1,FORSIDE!$B$5&gt;=1),13*FORSIDE!$B$9,"")</f>
        <v/>
      </c>
      <c r="D377" t="str">
        <f>IF(AND(FORSIDE!$B$8&gt;=13,FORSIDE!$F$8&gt;=1,FORSIDE!$B$5&gt;=1),FORSIDE!$B$6+(1-1)*FORSIDE!$B$7,"")</f>
        <v/>
      </c>
    </row>
    <row r="378" spans="1:4" x14ac:dyDescent="0.3">
      <c r="A378" t="str">
        <f>IF(AND(FORSIDE!$B$8&gt;=13,FORSIDE!$F$8&gt;=1,FORSIDE!$B$5&gt;=2),377,"")</f>
        <v/>
      </c>
      <c r="B378" t="str">
        <f>IF(AND(FORSIDE!$B$8&gt;=13,FORSIDE!$F$8&gt;=1,FORSIDE!$B$5&gt;=2),354+1*FORSIDE!$F$9,"")</f>
        <v/>
      </c>
      <c r="C378" t="str">
        <f>IF(AND(FORSIDE!$B$8&gt;=13,FORSIDE!$F$8&gt;=1,FORSIDE!$B$5&gt;=2),13*FORSIDE!$B$9,"")</f>
        <v/>
      </c>
      <c r="D378" t="str">
        <f>IF(AND(FORSIDE!$B$8&gt;=13,FORSIDE!$F$8&gt;=1,FORSIDE!$B$5&gt;=2),FORSIDE!$B$6+(2-1)*FORSIDE!$B$7,"")</f>
        <v/>
      </c>
    </row>
    <row r="379" spans="1:4" x14ac:dyDescent="0.3">
      <c r="A379" t="str">
        <f>IF(AND(FORSIDE!$B$8&gt;=13,FORSIDE!$F$8&gt;=1,FORSIDE!$B$5&gt;=3),378,"")</f>
        <v/>
      </c>
      <c r="B379" t="str">
        <f>IF(AND(FORSIDE!$B$8&gt;=13,FORSIDE!$F$8&gt;=1,FORSIDE!$B$5&gt;=3),354+1*FORSIDE!$F$9,"")</f>
        <v/>
      </c>
      <c r="C379" t="str">
        <f>IF(AND(FORSIDE!$B$8&gt;=13,FORSIDE!$F$8&gt;=1,FORSIDE!$B$5&gt;=3),13*FORSIDE!$B$9,"")</f>
        <v/>
      </c>
      <c r="D379" t="str">
        <f>IF(AND(FORSIDE!$B$8&gt;=13,FORSIDE!$F$8&gt;=1,FORSIDE!$B$5&gt;=3),FORSIDE!$B$6+(3-1)*FORSIDE!$B$7,"")</f>
        <v/>
      </c>
    </row>
    <row r="380" spans="1:4" x14ac:dyDescent="0.3">
      <c r="A380" t="str">
        <f>IF(AND(FORSIDE!$B$8&gt;=13,FORSIDE!$F$8&gt;=1,FORSIDE!$B$5&gt;=4),379,"")</f>
        <v/>
      </c>
      <c r="B380" t="str">
        <f>IF(AND(FORSIDE!$B$8&gt;=13,FORSIDE!$F$8&gt;=1,FORSIDE!$B$5&gt;=4),354+1*FORSIDE!$F$9,"")</f>
        <v/>
      </c>
      <c r="C380" t="str">
        <f>IF(AND(FORSIDE!$B$8&gt;=13,FORSIDE!$F$8&gt;=1,FORSIDE!$B$5&gt;=4),13*FORSIDE!$B$9,"")</f>
        <v/>
      </c>
      <c r="D380" t="str">
        <f>IF(AND(FORSIDE!$B$8&gt;=13,FORSIDE!$F$8&gt;=1,FORSIDE!$B$5&gt;=4),FORSIDE!$B$6+(4-1)*FORSIDE!$B$7,"")</f>
        <v/>
      </c>
    </row>
    <row r="381" spans="1:4" x14ac:dyDescent="0.3">
      <c r="A381" t="str">
        <f>IF(AND(FORSIDE!$B$8&gt;=13,FORSIDE!$F$8&gt;=1,FORSIDE!$B$5&gt;=5),380,"")</f>
        <v/>
      </c>
      <c r="B381" t="str">
        <f>IF(AND(FORSIDE!$B$8&gt;=13,FORSIDE!$F$8&gt;=1,FORSIDE!$B$5&gt;=5),354+1*FORSIDE!$F$9,"")</f>
        <v/>
      </c>
      <c r="C381" t="str">
        <f>IF(AND(FORSIDE!$B$8&gt;=13,FORSIDE!$F$8&gt;=1,FORSIDE!$B$5&gt;=5),13*FORSIDE!$B$9,"")</f>
        <v/>
      </c>
      <c r="D381" t="str">
        <f>IF(AND(FORSIDE!$B$8&gt;=13,FORSIDE!$F$8&gt;=1,FORSIDE!$B$5&gt;=5),FORSIDE!$B$6+(5-1)*FORSIDE!$B$7,"")</f>
        <v/>
      </c>
    </row>
    <row r="382" spans="1:4" x14ac:dyDescent="0.3">
      <c r="A382" t="str">
        <f>IF(AND(FORSIDE!$B$8&gt;=13,FORSIDE!$F$8&gt;=1,FORSIDE!$B$5&gt;=6),381,"")</f>
        <v/>
      </c>
      <c r="B382" t="str">
        <f>IF(AND(FORSIDE!$B$8&gt;=13,FORSIDE!$F$8&gt;=1,FORSIDE!$B$5&gt;=6),354+1*FORSIDE!$F$9,"")</f>
        <v/>
      </c>
      <c r="C382" t="str">
        <f>IF(AND(FORSIDE!$B$8&gt;=13,FORSIDE!$F$8&gt;=1,FORSIDE!$B$5&gt;=6),13*FORSIDE!$B$9,"")</f>
        <v/>
      </c>
      <c r="D382" t="str">
        <f>IF(AND(FORSIDE!$B$8&gt;=13,FORSIDE!$F$8&gt;=1,FORSIDE!$B$5&gt;=6),FORSIDE!$B$6+(6-1)*FORSIDE!$B$7,"")</f>
        <v/>
      </c>
    </row>
    <row r="383" spans="1:4" x14ac:dyDescent="0.3">
      <c r="A383" t="str">
        <f>IF(AND(FORSIDE!$B$8&gt;=13,FORSIDE!$F$8&gt;=1,FORSIDE!$B$5&gt;=7),382,"")</f>
        <v/>
      </c>
      <c r="B383" t="str">
        <f>IF(AND(FORSIDE!$B$8&gt;=13,FORSIDE!$F$8&gt;=1,FORSIDE!$B$5&gt;=7),354+1*FORSIDE!$F$9,"")</f>
        <v/>
      </c>
      <c r="C383" t="str">
        <f>IF(AND(FORSIDE!$B$8&gt;=13,FORSIDE!$F$8&gt;=1,FORSIDE!$B$5&gt;=7),13*FORSIDE!$B$9,"")</f>
        <v/>
      </c>
      <c r="D383" t="str">
        <f>IF(AND(FORSIDE!$B$8&gt;=13,FORSIDE!$F$8&gt;=1,FORSIDE!$B$5&gt;=7),FORSIDE!$B$6+(7-1)*FORSIDE!$B$7,"")</f>
        <v/>
      </c>
    </row>
    <row r="384" spans="1:4" x14ac:dyDescent="0.3">
      <c r="A384" t="str">
        <f>IF(AND(FORSIDE!$B$8&gt;=13,FORSIDE!$F$8&gt;=1,FORSIDE!$B$5&gt;=8),383,"")</f>
        <v/>
      </c>
      <c r="B384" t="str">
        <f>IF(AND(FORSIDE!$B$8&gt;=13,FORSIDE!$F$8&gt;=1,FORSIDE!$B$5&gt;=8),354+1*FORSIDE!$F$9,"")</f>
        <v/>
      </c>
      <c r="C384" t="str">
        <f>IF(AND(FORSIDE!$B$8&gt;=13,FORSIDE!$F$8&gt;=1,FORSIDE!$B$5&gt;=8),13*FORSIDE!$B$9,"")</f>
        <v/>
      </c>
      <c r="D384" t="str">
        <f>IF(AND(FORSIDE!$B$8&gt;=13,FORSIDE!$F$8&gt;=1,FORSIDE!$B$5&gt;=8),FORSIDE!$B$6+(8-1)*FORSIDE!$B$7,"")</f>
        <v/>
      </c>
    </row>
    <row r="385" spans="1:4" x14ac:dyDescent="0.3">
      <c r="A385" t="str">
        <f>IF(AND(FORSIDE!$B$8&gt;=13,FORSIDE!$F$8&gt;=1,FORSIDE!$B$5&gt;=9),384,"")</f>
        <v/>
      </c>
      <c r="B385" t="str">
        <f>IF(AND(FORSIDE!$B$8&gt;=13,FORSIDE!$F$8&gt;=1,FORSIDE!$B$5&gt;=9),354+1*FORSIDE!$F$9,"")</f>
        <v/>
      </c>
      <c r="C385" t="str">
        <f>IF(AND(FORSIDE!$B$8&gt;=13,FORSIDE!$F$8&gt;=1,FORSIDE!$B$5&gt;=9),13*FORSIDE!$B$9,"")</f>
        <v/>
      </c>
      <c r="D385" t="str">
        <f>IF(AND(FORSIDE!$B$8&gt;=13,FORSIDE!$F$8&gt;=1,FORSIDE!$B$5&gt;=9),FORSIDE!$B$6+(9-1)*FORSIDE!$B$7,"")</f>
        <v/>
      </c>
    </row>
    <row r="386" spans="1:4" x14ac:dyDescent="0.3">
      <c r="A386" t="str">
        <f>IF(AND(FORSIDE!$B$8&gt;=13,FORSIDE!$F$8&gt;=1,FORSIDE!$B$5&gt;=10),385,"")</f>
        <v/>
      </c>
      <c r="B386" t="str">
        <f>IF(AND(FORSIDE!$B$8&gt;=13,FORSIDE!$F$8&gt;=1,FORSIDE!$B$5&gt;=10),354+1*FORSIDE!$F$9,"")</f>
        <v/>
      </c>
      <c r="C386" t="str">
        <f>IF(AND(FORSIDE!$B$8&gt;=13,FORSIDE!$F$8&gt;=1,FORSIDE!$B$5&gt;=10),13*FORSIDE!$B$9,"")</f>
        <v/>
      </c>
      <c r="D386" t="str">
        <f>IF(AND(FORSIDE!$B$8&gt;=13,FORSIDE!$F$8&gt;=1,FORSIDE!$B$5&gt;=10),FORSIDE!$B$6+(10-1)*FORSIDE!$B$7,"")</f>
        <v/>
      </c>
    </row>
    <row r="387" spans="1:4" x14ac:dyDescent="0.3">
      <c r="A387" t="str">
        <f>IF(AND(FORSIDE!$B$8&gt;=14,FORSIDE!$F$8&gt;=1,FORSIDE!$B$5&gt;=0),386,"")</f>
        <v/>
      </c>
      <c r="B387" t="str">
        <f>IF(AND(FORSIDE!$B$8&gt;=14,FORSIDE!$F$8&gt;=1,FORSIDE!$B$5&gt;=0),354+1*FORSIDE!$F$9,"")</f>
        <v/>
      </c>
      <c r="C387" t="str">
        <f>IF(AND(FORSIDE!$B$8&gt;=14,FORSIDE!$F$8&gt;=1,FORSIDE!$B$5&gt;=0),14*FORSIDE!$B$9,"")</f>
        <v/>
      </c>
      <c r="D387" t="str">
        <f>IF(AND(FORSIDE!$B$8&gt;=14,FORSIDE!$F$8&gt;=1,FORSIDE!$B$5&gt;=0),0,"")</f>
        <v/>
      </c>
    </row>
    <row r="388" spans="1:4" x14ac:dyDescent="0.3">
      <c r="A388" t="str">
        <f>IF(AND(FORSIDE!$B$8&gt;=14,FORSIDE!$F$8&gt;=1,FORSIDE!$B$5&gt;=1),387,"")</f>
        <v/>
      </c>
      <c r="B388" t="str">
        <f>IF(AND(FORSIDE!$B$8&gt;=14,FORSIDE!$F$8&gt;=1,FORSIDE!$B$5&gt;=1),354+1*FORSIDE!$F$9,"")</f>
        <v/>
      </c>
      <c r="C388" t="str">
        <f>IF(AND(FORSIDE!$B$8&gt;=14,FORSIDE!$F$8&gt;=1,FORSIDE!$B$5&gt;=1),14*FORSIDE!$B$9,"")</f>
        <v/>
      </c>
      <c r="D388" t="str">
        <f>IF(AND(FORSIDE!$B$8&gt;=14,FORSIDE!$F$8&gt;=1,FORSIDE!$B$5&gt;=1),FORSIDE!$B$6+(1-1)*FORSIDE!$B$7,"")</f>
        <v/>
      </c>
    </row>
    <row r="389" spans="1:4" x14ac:dyDescent="0.3">
      <c r="A389" t="str">
        <f>IF(AND(FORSIDE!$B$8&gt;=14,FORSIDE!$F$8&gt;=1,FORSIDE!$B$5&gt;=2),388,"")</f>
        <v/>
      </c>
      <c r="B389" t="str">
        <f>IF(AND(FORSIDE!$B$8&gt;=14,FORSIDE!$F$8&gt;=1,FORSIDE!$B$5&gt;=2),354+1*FORSIDE!$F$9,"")</f>
        <v/>
      </c>
      <c r="C389" t="str">
        <f>IF(AND(FORSIDE!$B$8&gt;=14,FORSIDE!$F$8&gt;=1,FORSIDE!$B$5&gt;=2),14*FORSIDE!$B$9,"")</f>
        <v/>
      </c>
      <c r="D389" t="str">
        <f>IF(AND(FORSIDE!$B$8&gt;=14,FORSIDE!$F$8&gt;=1,FORSIDE!$B$5&gt;=2),FORSIDE!$B$6+(2-1)*FORSIDE!$B$7,"")</f>
        <v/>
      </c>
    </row>
    <row r="390" spans="1:4" x14ac:dyDescent="0.3">
      <c r="A390" t="str">
        <f>IF(AND(FORSIDE!$B$8&gt;=14,FORSIDE!$F$8&gt;=1,FORSIDE!$B$5&gt;=3),389,"")</f>
        <v/>
      </c>
      <c r="B390" t="str">
        <f>IF(AND(FORSIDE!$B$8&gt;=14,FORSIDE!$F$8&gt;=1,FORSIDE!$B$5&gt;=3),354+1*FORSIDE!$F$9,"")</f>
        <v/>
      </c>
      <c r="C390" t="str">
        <f>IF(AND(FORSIDE!$B$8&gt;=14,FORSIDE!$F$8&gt;=1,FORSIDE!$B$5&gt;=3),14*FORSIDE!$B$9,"")</f>
        <v/>
      </c>
      <c r="D390" t="str">
        <f>IF(AND(FORSIDE!$B$8&gt;=14,FORSIDE!$F$8&gt;=1,FORSIDE!$B$5&gt;=3),FORSIDE!$B$6+(3-1)*FORSIDE!$B$7,"")</f>
        <v/>
      </c>
    </row>
    <row r="391" spans="1:4" x14ac:dyDescent="0.3">
      <c r="A391" t="str">
        <f>IF(AND(FORSIDE!$B$8&gt;=14,FORSIDE!$F$8&gt;=1,FORSIDE!$B$5&gt;=4),390,"")</f>
        <v/>
      </c>
      <c r="B391" t="str">
        <f>IF(AND(FORSIDE!$B$8&gt;=14,FORSIDE!$F$8&gt;=1,FORSIDE!$B$5&gt;=4),354+1*FORSIDE!$F$9,"")</f>
        <v/>
      </c>
      <c r="C391" t="str">
        <f>IF(AND(FORSIDE!$B$8&gt;=14,FORSIDE!$F$8&gt;=1,FORSIDE!$B$5&gt;=4),14*FORSIDE!$B$9,"")</f>
        <v/>
      </c>
      <c r="D391" t="str">
        <f>IF(AND(FORSIDE!$B$8&gt;=14,FORSIDE!$F$8&gt;=1,FORSIDE!$B$5&gt;=4),FORSIDE!$B$6+(4-1)*FORSIDE!$B$7,"")</f>
        <v/>
      </c>
    </row>
    <row r="392" spans="1:4" x14ac:dyDescent="0.3">
      <c r="A392" t="str">
        <f>IF(AND(FORSIDE!$B$8&gt;=14,FORSIDE!$F$8&gt;=1,FORSIDE!$B$5&gt;=5),391,"")</f>
        <v/>
      </c>
      <c r="B392" t="str">
        <f>IF(AND(FORSIDE!$B$8&gt;=14,FORSIDE!$F$8&gt;=1,FORSIDE!$B$5&gt;=5),354+1*FORSIDE!$F$9,"")</f>
        <v/>
      </c>
      <c r="C392" t="str">
        <f>IF(AND(FORSIDE!$B$8&gt;=14,FORSIDE!$F$8&gt;=1,FORSIDE!$B$5&gt;=5),14*FORSIDE!$B$9,"")</f>
        <v/>
      </c>
      <c r="D392" t="str">
        <f>IF(AND(FORSIDE!$B$8&gt;=14,FORSIDE!$F$8&gt;=1,FORSIDE!$B$5&gt;=5),FORSIDE!$B$6+(5-1)*FORSIDE!$B$7,"")</f>
        <v/>
      </c>
    </row>
    <row r="393" spans="1:4" x14ac:dyDescent="0.3">
      <c r="A393" t="str">
        <f>IF(AND(FORSIDE!$B$8&gt;=14,FORSIDE!$F$8&gt;=1,FORSIDE!$B$5&gt;=6),392,"")</f>
        <v/>
      </c>
      <c r="B393" t="str">
        <f>IF(AND(FORSIDE!$B$8&gt;=14,FORSIDE!$F$8&gt;=1,FORSIDE!$B$5&gt;=6),354+1*FORSIDE!$F$9,"")</f>
        <v/>
      </c>
      <c r="C393" t="str">
        <f>IF(AND(FORSIDE!$B$8&gt;=14,FORSIDE!$F$8&gt;=1,FORSIDE!$B$5&gt;=6),14*FORSIDE!$B$9,"")</f>
        <v/>
      </c>
      <c r="D393" t="str">
        <f>IF(AND(FORSIDE!$B$8&gt;=14,FORSIDE!$F$8&gt;=1,FORSIDE!$B$5&gt;=6),FORSIDE!$B$6+(6-1)*FORSIDE!$B$7,"")</f>
        <v/>
      </c>
    </row>
    <row r="394" spans="1:4" x14ac:dyDescent="0.3">
      <c r="A394" t="str">
        <f>IF(AND(FORSIDE!$B$8&gt;=14,FORSIDE!$F$8&gt;=1,FORSIDE!$B$5&gt;=7),393,"")</f>
        <v/>
      </c>
      <c r="B394" t="str">
        <f>IF(AND(FORSIDE!$B$8&gt;=14,FORSIDE!$F$8&gt;=1,FORSIDE!$B$5&gt;=7),354+1*FORSIDE!$F$9,"")</f>
        <v/>
      </c>
      <c r="C394" t="str">
        <f>IF(AND(FORSIDE!$B$8&gt;=14,FORSIDE!$F$8&gt;=1,FORSIDE!$B$5&gt;=7),14*FORSIDE!$B$9,"")</f>
        <v/>
      </c>
      <c r="D394" t="str">
        <f>IF(AND(FORSIDE!$B$8&gt;=14,FORSIDE!$F$8&gt;=1,FORSIDE!$B$5&gt;=7),FORSIDE!$B$6+(7-1)*FORSIDE!$B$7,"")</f>
        <v/>
      </c>
    </row>
    <row r="395" spans="1:4" x14ac:dyDescent="0.3">
      <c r="A395" t="str">
        <f>IF(AND(FORSIDE!$B$8&gt;=14,FORSIDE!$F$8&gt;=1,FORSIDE!$B$5&gt;=8),394,"")</f>
        <v/>
      </c>
      <c r="B395" t="str">
        <f>IF(AND(FORSIDE!$B$8&gt;=14,FORSIDE!$F$8&gt;=1,FORSIDE!$B$5&gt;=8),354+1*FORSIDE!$F$9,"")</f>
        <v/>
      </c>
      <c r="C395" t="str">
        <f>IF(AND(FORSIDE!$B$8&gt;=14,FORSIDE!$F$8&gt;=1,FORSIDE!$B$5&gt;=8),14*FORSIDE!$B$9,"")</f>
        <v/>
      </c>
      <c r="D395" t="str">
        <f>IF(AND(FORSIDE!$B$8&gt;=14,FORSIDE!$F$8&gt;=1,FORSIDE!$B$5&gt;=8),FORSIDE!$B$6+(8-1)*FORSIDE!$B$7,"")</f>
        <v/>
      </c>
    </row>
    <row r="396" spans="1:4" x14ac:dyDescent="0.3">
      <c r="A396" t="str">
        <f>IF(AND(FORSIDE!$B$8&gt;=14,FORSIDE!$F$8&gt;=1,FORSIDE!$B$5&gt;=9),395,"")</f>
        <v/>
      </c>
      <c r="B396" t="str">
        <f>IF(AND(FORSIDE!$B$8&gt;=14,FORSIDE!$F$8&gt;=1,FORSIDE!$B$5&gt;=9),354+1*FORSIDE!$F$9,"")</f>
        <v/>
      </c>
      <c r="C396" t="str">
        <f>IF(AND(FORSIDE!$B$8&gt;=14,FORSIDE!$F$8&gt;=1,FORSIDE!$B$5&gt;=9),14*FORSIDE!$B$9,"")</f>
        <v/>
      </c>
      <c r="D396" t="str">
        <f>IF(AND(FORSIDE!$B$8&gt;=14,FORSIDE!$F$8&gt;=1,FORSIDE!$B$5&gt;=9),FORSIDE!$B$6+(9-1)*FORSIDE!$B$7,"")</f>
        <v/>
      </c>
    </row>
    <row r="397" spans="1:4" x14ac:dyDescent="0.3">
      <c r="A397" t="str">
        <f>IF(AND(FORSIDE!$B$8&gt;=14,FORSIDE!$F$8&gt;=1,FORSIDE!$B$5&gt;=10),396,"")</f>
        <v/>
      </c>
      <c r="B397" t="str">
        <f>IF(AND(FORSIDE!$B$8&gt;=14,FORSIDE!$F$8&gt;=1,FORSIDE!$B$5&gt;=10),354+1*FORSIDE!$F$9,"")</f>
        <v/>
      </c>
      <c r="C397" t="str">
        <f>IF(AND(FORSIDE!$B$8&gt;=14,FORSIDE!$F$8&gt;=1,FORSIDE!$B$5&gt;=10),14*FORSIDE!$B$9,"")</f>
        <v/>
      </c>
      <c r="D397" t="str">
        <f>IF(AND(FORSIDE!$B$8&gt;=14,FORSIDE!$F$8&gt;=1,FORSIDE!$B$5&gt;=10),FORSIDE!$B$6+(10-1)*FORSIDE!$B$7,"")</f>
        <v/>
      </c>
    </row>
    <row r="398" spans="1:4" x14ac:dyDescent="0.3">
      <c r="A398" t="str">
        <f>IF(AND(FORSIDE!$B$8&gt;=15,FORSIDE!$F$8&gt;=1,FORSIDE!$B$5&gt;=0),397,"")</f>
        <v/>
      </c>
      <c r="B398" t="str">
        <f>IF(AND(FORSIDE!$B$8&gt;=15,FORSIDE!$F$8&gt;=1,FORSIDE!$B$5&gt;=0),354+1*FORSIDE!$F$9,"")</f>
        <v/>
      </c>
      <c r="C398" t="str">
        <f>IF(AND(FORSIDE!$B$8&gt;=15,FORSIDE!$F$8&gt;=1,FORSIDE!$B$5&gt;=0),15*FORSIDE!$B$9,"")</f>
        <v/>
      </c>
      <c r="D398" t="str">
        <f>IF(AND(FORSIDE!$B$8&gt;=15,FORSIDE!$F$8&gt;=1,FORSIDE!$B$5&gt;=0),0,"")</f>
        <v/>
      </c>
    </row>
    <row r="399" spans="1:4" x14ac:dyDescent="0.3">
      <c r="A399" t="str">
        <f>IF(AND(FORSIDE!$B$8&gt;=15,FORSIDE!$F$8&gt;=1,FORSIDE!$B$5&gt;=1),398,"")</f>
        <v/>
      </c>
      <c r="B399" t="str">
        <f>IF(AND(FORSIDE!$B$8&gt;=15,FORSIDE!$F$8&gt;=1,FORSIDE!$B$5&gt;=1),354+1*FORSIDE!$F$9,"")</f>
        <v/>
      </c>
      <c r="C399" t="str">
        <f>IF(AND(FORSIDE!$B$8&gt;=15,FORSIDE!$F$8&gt;=1,FORSIDE!$B$5&gt;=1),15*FORSIDE!$B$9,"")</f>
        <v/>
      </c>
      <c r="D399" t="str">
        <f>IF(AND(FORSIDE!$B$8&gt;=15,FORSIDE!$F$8&gt;=1,FORSIDE!$B$5&gt;=1),FORSIDE!$B$6+(1-1)*FORSIDE!$B$7,"")</f>
        <v/>
      </c>
    </row>
    <row r="400" spans="1:4" x14ac:dyDescent="0.3">
      <c r="A400" t="str">
        <f>IF(AND(FORSIDE!$B$8&gt;=15,FORSIDE!$F$8&gt;=1,FORSIDE!$B$5&gt;=2),399,"")</f>
        <v/>
      </c>
      <c r="B400" t="str">
        <f>IF(AND(FORSIDE!$B$8&gt;=15,FORSIDE!$F$8&gt;=1,FORSIDE!$B$5&gt;=2),354+1*FORSIDE!$F$9,"")</f>
        <v/>
      </c>
      <c r="C400" t="str">
        <f>IF(AND(FORSIDE!$B$8&gt;=15,FORSIDE!$F$8&gt;=1,FORSIDE!$B$5&gt;=2),15*FORSIDE!$B$9,"")</f>
        <v/>
      </c>
      <c r="D400" t="str">
        <f>IF(AND(FORSIDE!$B$8&gt;=15,FORSIDE!$F$8&gt;=1,FORSIDE!$B$5&gt;=2),FORSIDE!$B$6+(2-1)*FORSIDE!$B$7,"")</f>
        <v/>
      </c>
    </row>
    <row r="401" spans="1:4" x14ac:dyDescent="0.3">
      <c r="A401" t="str">
        <f>IF(AND(FORSIDE!$B$8&gt;=15,FORSIDE!$F$8&gt;=1,FORSIDE!$B$5&gt;=3),400,"")</f>
        <v/>
      </c>
      <c r="B401" t="str">
        <f>IF(AND(FORSIDE!$B$8&gt;=15,FORSIDE!$F$8&gt;=1,FORSIDE!$B$5&gt;=3),354+1*FORSIDE!$F$9,"")</f>
        <v/>
      </c>
      <c r="C401" t="str">
        <f>IF(AND(FORSIDE!$B$8&gt;=15,FORSIDE!$F$8&gt;=1,FORSIDE!$B$5&gt;=3),15*FORSIDE!$B$9,"")</f>
        <v/>
      </c>
      <c r="D401" t="str">
        <f>IF(AND(FORSIDE!$B$8&gt;=15,FORSIDE!$F$8&gt;=1,FORSIDE!$B$5&gt;=3),FORSIDE!$B$6+(3-1)*FORSIDE!$B$7,"")</f>
        <v/>
      </c>
    </row>
    <row r="402" spans="1:4" x14ac:dyDescent="0.3">
      <c r="A402" t="str">
        <f>IF(AND(FORSIDE!$B$8&gt;=15,FORSIDE!$F$8&gt;=1,FORSIDE!$B$5&gt;=4),401,"")</f>
        <v/>
      </c>
      <c r="B402" t="str">
        <f>IF(AND(FORSIDE!$B$8&gt;=15,FORSIDE!$F$8&gt;=1,FORSIDE!$B$5&gt;=4),354+1*FORSIDE!$F$9,"")</f>
        <v/>
      </c>
      <c r="C402" t="str">
        <f>IF(AND(FORSIDE!$B$8&gt;=15,FORSIDE!$F$8&gt;=1,FORSIDE!$B$5&gt;=4),15*FORSIDE!$B$9,"")</f>
        <v/>
      </c>
      <c r="D402" t="str">
        <f>IF(AND(FORSIDE!$B$8&gt;=15,FORSIDE!$F$8&gt;=1,FORSIDE!$B$5&gt;=4),FORSIDE!$B$6+(4-1)*FORSIDE!$B$7,"")</f>
        <v/>
      </c>
    </row>
    <row r="403" spans="1:4" x14ac:dyDescent="0.3">
      <c r="A403" t="str">
        <f>IF(AND(FORSIDE!$B$8&gt;=15,FORSIDE!$F$8&gt;=1,FORSIDE!$B$5&gt;=5),402,"")</f>
        <v/>
      </c>
      <c r="B403" t="str">
        <f>IF(AND(FORSIDE!$B$8&gt;=15,FORSIDE!$F$8&gt;=1,FORSIDE!$B$5&gt;=5),354+1*FORSIDE!$F$9,"")</f>
        <v/>
      </c>
      <c r="C403" t="str">
        <f>IF(AND(FORSIDE!$B$8&gt;=15,FORSIDE!$F$8&gt;=1,FORSIDE!$B$5&gt;=5),15*FORSIDE!$B$9,"")</f>
        <v/>
      </c>
      <c r="D403" t="str">
        <f>IF(AND(FORSIDE!$B$8&gt;=15,FORSIDE!$F$8&gt;=1,FORSIDE!$B$5&gt;=5),FORSIDE!$B$6+(5-1)*FORSIDE!$B$7,"")</f>
        <v/>
      </c>
    </row>
    <row r="404" spans="1:4" x14ac:dyDescent="0.3">
      <c r="A404" t="str">
        <f>IF(AND(FORSIDE!$B$8&gt;=15,FORSIDE!$F$8&gt;=1,FORSIDE!$B$5&gt;=6),403,"")</f>
        <v/>
      </c>
      <c r="B404" t="str">
        <f>IF(AND(FORSIDE!$B$8&gt;=15,FORSIDE!$F$8&gt;=1,FORSIDE!$B$5&gt;=6),354+1*FORSIDE!$F$9,"")</f>
        <v/>
      </c>
      <c r="C404" t="str">
        <f>IF(AND(FORSIDE!$B$8&gt;=15,FORSIDE!$F$8&gt;=1,FORSIDE!$B$5&gt;=6),15*FORSIDE!$B$9,"")</f>
        <v/>
      </c>
      <c r="D404" t="str">
        <f>IF(AND(FORSIDE!$B$8&gt;=15,FORSIDE!$F$8&gt;=1,FORSIDE!$B$5&gt;=6),FORSIDE!$B$6+(6-1)*FORSIDE!$B$7,"")</f>
        <v/>
      </c>
    </row>
    <row r="405" spans="1:4" x14ac:dyDescent="0.3">
      <c r="A405" t="str">
        <f>IF(AND(FORSIDE!$B$8&gt;=15,FORSIDE!$F$8&gt;=1,FORSIDE!$B$5&gt;=7),404,"")</f>
        <v/>
      </c>
      <c r="B405" t="str">
        <f>IF(AND(FORSIDE!$B$8&gt;=15,FORSIDE!$F$8&gt;=1,FORSIDE!$B$5&gt;=7),354+1*FORSIDE!$F$9,"")</f>
        <v/>
      </c>
      <c r="C405" t="str">
        <f>IF(AND(FORSIDE!$B$8&gt;=15,FORSIDE!$F$8&gt;=1,FORSIDE!$B$5&gt;=7),15*FORSIDE!$B$9,"")</f>
        <v/>
      </c>
      <c r="D405" t="str">
        <f>IF(AND(FORSIDE!$B$8&gt;=15,FORSIDE!$F$8&gt;=1,FORSIDE!$B$5&gt;=7),FORSIDE!$B$6+(7-1)*FORSIDE!$B$7,"")</f>
        <v/>
      </c>
    </row>
    <row r="406" spans="1:4" x14ac:dyDescent="0.3">
      <c r="A406" t="str">
        <f>IF(AND(FORSIDE!$B$8&gt;=15,FORSIDE!$F$8&gt;=1,FORSIDE!$B$5&gt;=8),405,"")</f>
        <v/>
      </c>
      <c r="B406" t="str">
        <f>IF(AND(FORSIDE!$B$8&gt;=15,FORSIDE!$F$8&gt;=1,FORSIDE!$B$5&gt;=8),354+1*FORSIDE!$F$9,"")</f>
        <v/>
      </c>
      <c r="C406" t="str">
        <f>IF(AND(FORSIDE!$B$8&gt;=15,FORSIDE!$F$8&gt;=1,FORSIDE!$B$5&gt;=8),15*FORSIDE!$B$9,"")</f>
        <v/>
      </c>
      <c r="D406" t="str">
        <f>IF(AND(FORSIDE!$B$8&gt;=15,FORSIDE!$F$8&gt;=1,FORSIDE!$B$5&gt;=8),FORSIDE!$B$6+(8-1)*FORSIDE!$B$7,"")</f>
        <v/>
      </c>
    </row>
    <row r="407" spans="1:4" x14ac:dyDescent="0.3">
      <c r="A407" t="str">
        <f>IF(AND(FORSIDE!$B$8&gt;=15,FORSIDE!$F$8&gt;=1,FORSIDE!$B$5&gt;=9),406,"")</f>
        <v/>
      </c>
      <c r="B407" t="str">
        <f>IF(AND(FORSIDE!$B$8&gt;=15,FORSIDE!$F$8&gt;=1,FORSIDE!$B$5&gt;=9),354+1*FORSIDE!$F$9,"")</f>
        <v/>
      </c>
      <c r="C407" t="str">
        <f>IF(AND(FORSIDE!$B$8&gt;=15,FORSIDE!$F$8&gt;=1,FORSIDE!$B$5&gt;=9),15*FORSIDE!$B$9,"")</f>
        <v/>
      </c>
      <c r="D407" t="str">
        <f>IF(AND(FORSIDE!$B$8&gt;=15,FORSIDE!$F$8&gt;=1,FORSIDE!$B$5&gt;=9),FORSIDE!$B$6+(9-1)*FORSIDE!$B$7,"")</f>
        <v/>
      </c>
    </row>
    <row r="408" spans="1:4" x14ac:dyDescent="0.3">
      <c r="A408" t="str">
        <f>IF(AND(FORSIDE!$B$8&gt;=15,FORSIDE!$F$8&gt;=1,FORSIDE!$B$5&gt;=10),407,"")</f>
        <v/>
      </c>
      <c r="B408" t="str">
        <f>IF(AND(FORSIDE!$B$8&gt;=15,FORSIDE!$F$8&gt;=1,FORSIDE!$B$5&gt;=10),354+1*FORSIDE!$F$9,"")</f>
        <v/>
      </c>
      <c r="C408" t="str">
        <f>IF(AND(FORSIDE!$B$8&gt;=15,FORSIDE!$F$8&gt;=1,FORSIDE!$B$5&gt;=10),15*FORSIDE!$B$9,"")</f>
        <v/>
      </c>
      <c r="D408" t="str">
        <f>IF(AND(FORSIDE!$B$8&gt;=15,FORSIDE!$F$8&gt;=1,FORSIDE!$B$5&gt;=10),FORSIDE!$B$6+(10-1)*FORSIDE!$B$7,"")</f>
        <v/>
      </c>
    </row>
    <row r="409" spans="1:4" x14ac:dyDescent="0.3">
      <c r="A409" t="str">
        <f>IF(AND(FORSIDE!$B$8&gt;=16,FORSIDE!$F$8&gt;=1,FORSIDE!$B$5&gt;=0),408,"")</f>
        <v/>
      </c>
      <c r="B409" t="str">
        <f>IF(AND(FORSIDE!$B$8&gt;=16,FORSIDE!$F$8&gt;=1,FORSIDE!$B$5&gt;=0),354+1*FORSIDE!$F$9,"")</f>
        <v/>
      </c>
      <c r="C409" t="str">
        <f>IF(AND(FORSIDE!$B$8&gt;=16,FORSIDE!$F$8&gt;=1,FORSIDE!$B$5&gt;=0),16*FORSIDE!$B$9,"")</f>
        <v/>
      </c>
      <c r="D409" t="str">
        <f>IF(AND(FORSIDE!$B$8&gt;=16,FORSIDE!$F$8&gt;=1,FORSIDE!$B$5&gt;=0),0,"")</f>
        <v/>
      </c>
    </row>
    <row r="410" spans="1:4" x14ac:dyDescent="0.3">
      <c r="A410" t="str">
        <f>IF(AND(FORSIDE!$B$8&gt;=16,FORSIDE!$F$8&gt;=1,FORSIDE!$B$5&gt;=1),409,"")</f>
        <v/>
      </c>
      <c r="B410" t="str">
        <f>IF(AND(FORSIDE!$B$8&gt;=16,FORSIDE!$F$8&gt;=1,FORSIDE!$B$5&gt;=1),354+1*FORSIDE!$F$9,"")</f>
        <v/>
      </c>
      <c r="C410" t="str">
        <f>IF(AND(FORSIDE!$B$8&gt;=16,FORSIDE!$F$8&gt;=1,FORSIDE!$B$5&gt;=1),16*FORSIDE!$B$9,"")</f>
        <v/>
      </c>
      <c r="D410" t="str">
        <f>IF(AND(FORSIDE!$B$8&gt;=16,FORSIDE!$F$8&gt;=1,FORSIDE!$B$5&gt;=1),FORSIDE!$B$6+(1-1)*FORSIDE!$B$7,"")</f>
        <v/>
      </c>
    </row>
    <row r="411" spans="1:4" x14ac:dyDescent="0.3">
      <c r="A411" t="str">
        <f>IF(AND(FORSIDE!$B$8&gt;=16,FORSIDE!$F$8&gt;=1,FORSIDE!$B$5&gt;=2),410,"")</f>
        <v/>
      </c>
      <c r="B411" t="str">
        <f>IF(AND(FORSIDE!$B$8&gt;=16,FORSIDE!$F$8&gt;=1,FORSIDE!$B$5&gt;=2),354+1*FORSIDE!$F$9,"")</f>
        <v/>
      </c>
      <c r="C411" t="str">
        <f>IF(AND(FORSIDE!$B$8&gt;=16,FORSIDE!$F$8&gt;=1,FORSIDE!$B$5&gt;=2),16*FORSIDE!$B$9,"")</f>
        <v/>
      </c>
      <c r="D411" t="str">
        <f>IF(AND(FORSIDE!$B$8&gt;=16,FORSIDE!$F$8&gt;=1,FORSIDE!$B$5&gt;=2),FORSIDE!$B$6+(2-1)*FORSIDE!$B$7,"")</f>
        <v/>
      </c>
    </row>
    <row r="412" spans="1:4" x14ac:dyDescent="0.3">
      <c r="A412" t="str">
        <f>IF(AND(FORSIDE!$B$8&gt;=16,FORSIDE!$F$8&gt;=1,FORSIDE!$B$5&gt;=3),411,"")</f>
        <v/>
      </c>
      <c r="B412" t="str">
        <f>IF(AND(FORSIDE!$B$8&gt;=16,FORSIDE!$F$8&gt;=1,FORSIDE!$B$5&gt;=3),354+1*FORSIDE!$F$9,"")</f>
        <v/>
      </c>
      <c r="C412" t="str">
        <f>IF(AND(FORSIDE!$B$8&gt;=16,FORSIDE!$F$8&gt;=1,FORSIDE!$B$5&gt;=3),16*FORSIDE!$B$9,"")</f>
        <v/>
      </c>
      <c r="D412" t="str">
        <f>IF(AND(FORSIDE!$B$8&gt;=16,FORSIDE!$F$8&gt;=1,FORSIDE!$B$5&gt;=3),FORSIDE!$B$6+(3-1)*FORSIDE!$B$7,"")</f>
        <v/>
      </c>
    </row>
    <row r="413" spans="1:4" x14ac:dyDescent="0.3">
      <c r="A413" t="str">
        <f>IF(AND(FORSIDE!$B$8&gt;=16,FORSIDE!$F$8&gt;=1,FORSIDE!$B$5&gt;=4),412,"")</f>
        <v/>
      </c>
      <c r="B413" t="str">
        <f>IF(AND(FORSIDE!$B$8&gt;=16,FORSIDE!$F$8&gt;=1,FORSIDE!$B$5&gt;=4),354+1*FORSIDE!$F$9,"")</f>
        <v/>
      </c>
      <c r="C413" t="str">
        <f>IF(AND(FORSIDE!$B$8&gt;=16,FORSIDE!$F$8&gt;=1,FORSIDE!$B$5&gt;=4),16*FORSIDE!$B$9,"")</f>
        <v/>
      </c>
      <c r="D413" t="str">
        <f>IF(AND(FORSIDE!$B$8&gt;=16,FORSIDE!$F$8&gt;=1,FORSIDE!$B$5&gt;=4),FORSIDE!$B$6+(4-1)*FORSIDE!$B$7,"")</f>
        <v/>
      </c>
    </row>
    <row r="414" spans="1:4" x14ac:dyDescent="0.3">
      <c r="A414" t="str">
        <f>IF(AND(FORSIDE!$B$8&gt;=16,FORSIDE!$F$8&gt;=1,FORSIDE!$B$5&gt;=5),413,"")</f>
        <v/>
      </c>
      <c r="B414" t="str">
        <f>IF(AND(FORSIDE!$B$8&gt;=16,FORSIDE!$F$8&gt;=1,FORSIDE!$B$5&gt;=5),354+1*FORSIDE!$F$9,"")</f>
        <v/>
      </c>
      <c r="C414" t="str">
        <f>IF(AND(FORSIDE!$B$8&gt;=16,FORSIDE!$F$8&gt;=1,FORSIDE!$B$5&gt;=5),16*FORSIDE!$B$9,"")</f>
        <v/>
      </c>
      <c r="D414" t="str">
        <f>IF(AND(FORSIDE!$B$8&gt;=16,FORSIDE!$F$8&gt;=1,FORSIDE!$B$5&gt;=5),FORSIDE!$B$6+(5-1)*FORSIDE!$B$7,"")</f>
        <v/>
      </c>
    </row>
    <row r="415" spans="1:4" x14ac:dyDescent="0.3">
      <c r="A415" t="str">
        <f>IF(AND(FORSIDE!$B$8&gt;=16,FORSIDE!$F$8&gt;=1,FORSIDE!$B$5&gt;=6),414,"")</f>
        <v/>
      </c>
      <c r="B415" t="str">
        <f>IF(AND(FORSIDE!$B$8&gt;=16,FORSIDE!$F$8&gt;=1,FORSIDE!$B$5&gt;=6),354+1*FORSIDE!$F$9,"")</f>
        <v/>
      </c>
      <c r="C415" t="str">
        <f>IF(AND(FORSIDE!$B$8&gt;=16,FORSIDE!$F$8&gt;=1,FORSIDE!$B$5&gt;=6),16*FORSIDE!$B$9,"")</f>
        <v/>
      </c>
      <c r="D415" t="str">
        <f>IF(AND(FORSIDE!$B$8&gt;=16,FORSIDE!$F$8&gt;=1,FORSIDE!$B$5&gt;=6),FORSIDE!$B$6+(6-1)*FORSIDE!$B$7,"")</f>
        <v/>
      </c>
    </row>
    <row r="416" spans="1:4" x14ac:dyDescent="0.3">
      <c r="A416" t="str">
        <f>IF(AND(FORSIDE!$B$8&gt;=16,FORSIDE!$F$8&gt;=1,FORSIDE!$B$5&gt;=7),415,"")</f>
        <v/>
      </c>
      <c r="B416" t="str">
        <f>IF(AND(FORSIDE!$B$8&gt;=16,FORSIDE!$F$8&gt;=1,FORSIDE!$B$5&gt;=7),354+1*FORSIDE!$F$9,"")</f>
        <v/>
      </c>
      <c r="C416" t="str">
        <f>IF(AND(FORSIDE!$B$8&gt;=16,FORSIDE!$F$8&gt;=1,FORSIDE!$B$5&gt;=7),16*FORSIDE!$B$9,"")</f>
        <v/>
      </c>
      <c r="D416" t="str">
        <f>IF(AND(FORSIDE!$B$8&gt;=16,FORSIDE!$F$8&gt;=1,FORSIDE!$B$5&gt;=7),FORSIDE!$B$6+(7-1)*FORSIDE!$B$7,"")</f>
        <v/>
      </c>
    </row>
    <row r="417" spans="1:4" x14ac:dyDescent="0.3">
      <c r="A417" t="str">
        <f>IF(AND(FORSIDE!$B$8&gt;=16,FORSIDE!$F$8&gt;=1,FORSIDE!$B$5&gt;=8),416,"")</f>
        <v/>
      </c>
      <c r="B417" t="str">
        <f>IF(AND(FORSIDE!$B$8&gt;=16,FORSIDE!$F$8&gt;=1,FORSIDE!$B$5&gt;=8),354+1*FORSIDE!$F$9,"")</f>
        <v/>
      </c>
      <c r="C417" t="str">
        <f>IF(AND(FORSIDE!$B$8&gt;=16,FORSIDE!$F$8&gt;=1,FORSIDE!$B$5&gt;=8),16*FORSIDE!$B$9,"")</f>
        <v/>
      </c>
      <c r="D417" t="str">
        <f>IF(AND(FORSIDE!$B$8&gt;=16,FORSIDE!$F$8&gt;=1,FORSIDE!$B$5&gt;=8),FORSIDE!$B$6+(8-1)*FORSIDE!$B$7,"")</f>
        <v/>
      </c>
    </row>
    <row r="418" spans="1:4" x14ac:dyDescent="0.3">
      <c r="A418" t="str">
        <f>IF(AND(FORSIDE!$B$8&gt;=16,FORSIDE!$F$8&gt;=1,FORSIDE!$B$5&gt;=9),417,"")</f>
        <v/>
      </c>
      <c r="B418" t="str">
        <f>IF(AND(FORSIDE!$B$8&gt;=16,FORSIDE!$F$8&gt;=1,FORSIDE!$B$5&gt;=9),354+1*FORSIDE!$F$9,"")</f>
        <v/>
      </c>
      <c r="C418" t="str">
        <f>IF(AND(FORSIDE!$B$8&gt;=16,FORSIDE!$F$8&gt;=1,FORSIDE!$B$5&gt;=9),16*FORSIDE!$B$9,"")</f>
        <v/>
      </c>
      <c r="D418" t="str">
        <f>IF(AND(FORSIDE!$B$8&gt;=16,FORSIDE!$F$8&gt;=1,FORSIDE!$B$5&gt;=9),FORSIDE!$B$6+(9-1)*FORSIDE!$B$7,"")</f>
        <v/>
      </c>
    </row>
    <row r="419" spans="1:4" x14ac:dyDescent="0.3">
      <c r="A419" t="str">
        <f>IF(AND(FORSIDE!$B$8&gt;=16,FORSIDE!$F$8&gt;=1,FORSIDE!$B$5&gt;=10),418,"")</f>
        <v/>
      </c>
      <c r="B419" t="str">
        <f>IF(AND(FORSIDE!$B$8&gt;=16,FORSIDE!$F$8&gt;=1,FORSIDE!$B$5&gt;=10),354+1*FORSIDE!$F$9,"")</f>
        <v/>
      </c>
      <c r="C419" t="str">
        <f>IF(AND(FORSIDE!$B$8&gt;=16,FORSIDE!$F$8&gt;=1,FORSIDE!$B$5&gt;=10),16*FORSIDE!$B$9,"")</f>
        <v/>
      </c>
      <c r="D419" t="str">
        <f>IF(AND(FORSIDE!$B$8&gt;=16,FORSIDE!$F$8&gt;=1,FORSIDE!$B$5&gt;=10),FORSIDE!$B$6+(10-1)*FORSIDE!$B$7,"")</f>
        <v/>
      </c>
    </row>
    <row r="420" spans="1:4" x14ac:dyDescent="0.3">
      <c r="A420" t="str">
        <f>IF(AND(FORSIDE!$B$8&gt;=17,FORSIDE!$F$8&gt;=1,FORSIDE!$B$5&gt;=0),419,"")</f>
        <v/>
      </c>
      <c r="B420" t="str">
        <f>IF(AND(FORSIDE!$B$8&gt;=17,FORSIDE!$F$8&gt;=1,FORSIDE!$B$5&gt;=0),354+1*FORSIDE!$F$9,"")</f>
        <v/>
      </c>
      <c r="C420" t="str">
        <f>IF(AND(FORSIDE!$B$8&gt;=17,FORSIDE!$F$8&gt;=1,FORSIDE!$B$5&gt;=0),17*FORSIDE!$B$9,"")</f>
        <v/>
      </c>
      <c r="D420" t="str">
        <f>IF(AND(FORSIDE!$B$8&gt;=17,FORSIDE!$F$8&gt;=1,FORSIDE!$B$5&gt;=0),0,"")</f>
        <v/>
      </c>
    </row>
    <row r="421" spans="1:4" x14ac:dyDescent="0.3">
      <c r="A421" t="str">
        <f>IF(AND(FORSIDE!$B$8&gt;=17,FORSIDE!$F$8&gt;=1,FORSIDE!$B$5&gt;=1),420,"")</f>
        <v/>
      </c>
      <c r="B421" t="str">
        <f>IF(AND(FORSIDE!$B$8&gt;=17,FORSIDE!$F$8&gt;=1,FORSIDE!$B$5&gt;=1),354+1*FORSIDE!$F$9,"")</f>
        <v/>
      </c>
      <c r="C421" t="str">
        <f>IF(AND(FORSIDE!$B$8&gt;=17,FORSIDE!$F$8&gt;=1,FORSIDE!$B$5&gt;=1),17*FORSIDE!$B$9,"")</f>
        <v/>
      </c>
      <c r="D421" t="str">
        <f>IF(AND(FORSIDE!$B$8&gt;=17,FORSIDE!$F$8&gt;=1,FORSIDE!$B$5&gt;=1),FORSIDE!$B$6+(1-1)*FORSIDE!$B$7,"")</f>
        <v/>
      </c>
    </row>
    <row r="422" spans="1:4" x14ac:dyDescent="0.3">
      <c r="A422" t="str">
        <f>IF(AND(FORSIDE!$B$8&gt;=17,FORSIDE!$F$8&gt;=1,FORSIDE!$B$5&gt;=2),421,"")</f>
        <v/>
      </c>
      <c r="B422" t="str">
        <f>IF(AND(FORSIDE!$B$8&gt;=17,FORSIDE!$F$8&gt;=1,FORSIDE!$B$5&gt;=2),354+1*FORSIDE!$F$9,"")</f>
        <v/>
      </c>
      <c r="C422" t="str">
        <f>IF(AND(FORSIDE!$B$8&gt;=17,FORSIDE!$F$8&gt;=1,FORSIDE!$B$5&gt;=2),17*FORSIDE!$B$9,"")</f>
        <v/>
      </c>
      <c r="D422" t="str">
        <f>IF(AND(FORSIDE!$B$8&gt;=17,FORSIDE!$F$8&gt;=1,FORSIDE!$B$5&gt;=2),FORSIDE!$B$6+(2-1)*FORSIDE!$B$7,"")</f>
        <v/>
      </c>
    </row>
    <row r="423" spans="1:4" x14ac:dyDescent="0.3">
      <c r="A423" t="str">
        <f>IF(AND(FORSIDE!$B$8&gt;=17,FORSIDE!$F$8&gt;=1,FORSIDE!$B$5&gt;=3),422,"")</f>
        <v/>
      </c>
      <c r="B423" t="str">
        <f>IF(AND(FORSIDE!$B$8&gt;=17,FORSIDE!$F$8&gt;=1,FORSIDE!$B$5&gt;=3),354+1*FORSIDE!$F$9,"")</f>
        <v/>
      </c>
      <c r="C423" t="str">
        <f>IF(AND(FORSIDE!$B$8&gt;=17,FORSIDE!$F$8&gt;=1,FORSIDE!$B$5&gt;=3),17*FORSIDE!$B$9,"")</f>
        <v/>
      </c>
      <c r="D423" t="str">
        <f>IF(AND(FORSIDE!$B$8&gt;=17,FORSIDE!$F$8&gt;=1,FORSIDE!$B$5&gt;=3),FORSIDE!$B$6+(3-1)*FORSIDE!$B$7,"")</f>
        <v/>
      </c>
    </row>
    <row r="424" spans="1:4" x14ac:dyDescent="0.3">
      <c r="A424" t="str">
        <f>IF(AND(FORSIDE!$B$8&gt;=17,FORSIDE!$F$8&gt;=1,FORSIDE!$B$5&gt;=4),423,"")</f>
        <v/>
      </c>
      <c r="B424" t="str">
        <f>IF(AND(FORSIDE!$B$8&gt;=17,FORSIDE!$F$8&gt;=1,FORSIDE!$B$5&gt;=4),354+1*FORSIDE!$F$9,"")</f>
        <v/>
      </c>
      <c r="C424" t="str">
        <f>IF(AND(FORSIDE!$B$8&gt;=17,FORSIDE!$F$8&gt;=1,FORSIDE!$B$5&gt;=4),17*FORSIDE!$B$9,"")</f>
        <v/>
      </c>
      <c r="D424" t="str">
        <f>IF(AND(FORSIDE!$B$8&gt;=17,FORSIDE!$F$8&gt;=1,FORSIDE!$B$5&gt;=4),FORSIDE!$B$6+(4-1)*FORSIDE!$B$7,"")</f>
        <v/>
      </c>
    </row>
    <row r="425" spans="1:4" x14ac:dyDescent="0.3">
      <c r="A425" t="str">
        <f>IF(AND(FORSIDE!$B$8&gt;=17,FORSIDE!$F$8&gt;=1,FORSIDE!$B$5&gt;=5),424,"")</f>
        <v/>
      </c>
      <c r="B425" t="str">
        <f>IF(AND(FORSIDE!$B$8&gt;=17,FORSIDE!$F$8&gt;=1,FORSIDE!$B$5&gt;=5),354+1*FORSIDE!$F$9,"")</f>
        <v/>
      </c>
      <c r="C425" t="str">
        <f>IF(AND(FORSIDE!$B$8&gt;=17,FORSIDE!$F$8&gt;=1,FORSIDE!$B$5&gt;=5),17*FORSIDE!$B$9,"")</f>
        <v/>
      </c>
      <c r="D425" t="str">
        <f>IF(AND(FORSIDE!$B$8&gt;=17,FORSIDE!$F$8&gt;=1,FORSIDE!$B$5&gt;=5),FORSIDE!$B$6+(5-1)*FORSIDE!$B$7,"")</f>
        <v/>
      </c>
    </row>
    <row r="426" spans="1:4" x14ac:dyDescent="0.3">
      <c r="A426" t="str">
        <f>IF(AND(FORSIDE!$B$8&gt;=17,FORSIDE!$F$8&gt;=1,FORSIDE!$B$5&gt;=6),425,"")</f>
        <v/>
      </c>
      <c r="B426" t="str">
        <f>IF(AND(FORSIDE!$B$8&gt;=17,FORSIDE!$F$8&gt;=1,FORSIDE!$B$5&gt;=6),354+1*FORSIDE!$F$9,"")</f>
        <v/>
      </c>
      <c r="C426" t="str">
        <f>IF(AND(FORSIDE!$B$8&gt;=17,FORSIDE!$F$8&gt;=1,FORSIDE!$B$5&gt;=6),17*FORSIDE!$B$9,"")</f>
        <v/>
      </c>
      <c r="D426" t="str">
        <f>IF(AND(FORSIDE!$B$8&gt;=17,FORSIDE!$F$8&gt;=1,FORSIDE!$B$5&gt;=6),FORSIDE!$B$6+(6-1)*FORSIDE!$B$7,"")</f>
        <v/>
      </c>
    </row>
    <row r="427" spans="1:4" x14ac:dyDescent="0.3">
      <c r="A427" t="str">
        <f>IF(AND(FORSIDE!$B$8&gt;=17,FORSIDE!$F$8&gt;=1,FORSIDE!$B$5&gt;=7),426,"")</f>
        <v/>
      </c>
      <c r="B427" t="str">
        <f>IF(AND(FORSIDE!$B$8&gt;=17,FORSIDE!$F$8&gt;=1,FORSIDE!$B$5&gt;=7),354+1*FORSIDE!$F$9,"")</f>
        <v/>
      </c>
      <c r="C427" t="str">
        <f>IF(AND(FORSIDE!$B$8&gt;=17,FORSIDE!$F$8&gt;=1,FORSIDE!$B$5&gt;=7),17*FORSIDE!$B$9,"")</f>
        <v/>
      </c>
      <c r="D427" t="str">
        <f>IF(AND(FORSIDE!$B$8&gt;=17,FORSIDE!$F$8&gt;=1,FORSIDE!$B$5&gt;=7),FORSIDE!$B$6+(7-1)*FORSIDE!$B$7,"")</f>
        <v/>
      </c>
    </row>
    <row r="428" spans="1:4" x14ac:dyDescent="0.3">
      <c r="A428" t="str">
        <f>IF(AND(FORSIDE!$B$8&gt;=17,FORSIDE!$F$8&gt;=1,FORSIDE!$B$5&gt;=8),427,"")</f>
        <v/>
      </c>
      <c r="B428" t="str">
        <f>IF(AND(FORSIDE!$B$8&gt;=17,FORSIDE!$F$8&gt;=1,FORSIDE!$B$5&gt;=8),354+1*FORSIDE!$F$9,"")</f>
        <v/>
      </c>
      <c r="C428" t="str">
        <f>IF(AND(FORSIDE!$B$8&gt;=17,FORSIDE!$F$8&gt;=1,FORSIDE!$B$5&gt;=8),17*FORSIDE!$B$9,"")</f>
        <v/>
      </c>
      <c r="D428" t="str">
        <f>IF(AND(FORSIDE!$B$8&gt;=17,FORSIDE!$F$8&gt;=1,FORSIDE!$B$5&gt;=8),FORSIDE!$B$6+(8-1)*FORSIDE!$B$7,"")</f>
        <v/>
      </c>
    </row>
    <row r="429" spans="1:4" x14ac:dyDescent="0.3">
      <c r="A429" t="str">
        <f>IF(AND(FORSIDE!$B$8&gt;=17,FORSIDE!$F$8&gt;=1,FORSIDE!$B$5&gt;=9),428,"")</f>
        <v/>
      </c>
      <c r="B429" t="str">
        <f>IF(AND(FORSIDE!$B$8&gt;=17,FORSIDE!$F$8&gt;=1,FORSIDE!$B$5&gt;=9),354+1*FORSIDE!$F$9,"")</f>
        <v/>
      </c>
      <c r="C429" t="str">
        <f>IF(AND(FORSIDE!$B$8&gt;=17,FORSIDE!$F$8&gt;=1,FORSIDE!$B$5&gt;=9),17*FORSIDE!$B$9,"")</f>
        <v/>
      </c>
      <c r="D429" t="str">
        <f>IF(AND(FORSIDE!$B$8&gt;=17,FORSIDE!$F$8&gt;=1,FORSIDE!$B$5&gt;=9),FORSIDE!$B$6+(9-1)*FORSIDE!$B$7,"")</f>
        <v/>
      </c>
    </row>
    <row r="430" spans="1:4" x14ac:dyDescent="0.3">
      <c r="A430" t="str">
        <f>IF(AND(FORSIDE!$B$8&gt;=17,FORSIDE!$F$8&gt;=1,FORSIDE!$B$5&gt;=10),429,"")</f>
        <v/>
      </c>
      <c r="B430" t="str">
        <f>IF(AND(FORSIDE!$B$8&gt;=17,FORSIDE!$F$8&gt;=1,FORSIDE!$B$5&gt;=10),354+1*FORSIDE!$F$9,"")</f>
        <v/>
      </c>
      <c r="C430" t="str">
        <f>IF(AND(FORSIDE!$B$8&gt;=17,FORSIDE!$F$8&gt;=1,FORSIDE!$B$5&gt;=10),17*FORSIDE!$B$9,"")</f>
        <v/>
      </c>
      <c r="D430" t="str">
        <f>IF(AND(FORSIDE!$B$8&gt;=17,FORSIDE!$F$8&gt;=1,FORSIDE!$B$5&gt;=10),FORSIDE!$B$6+(10-1)*FORSIDE!$B$7,"")</f>
        <v/>
      </c>
    </row>
    <row r="431" spans="1:4" x14ac:dyDescent="0.3">
      <c r="A431" t="str">
        <f>IF(AND(FORSIDE!$B$8&gt;=18,FORSIDE!$F$8&gt;=1,FORSIDE!$B$5&gt;=0),430,"")</f>
        <v/>
      </c>
      <c r="B431" t="str">
        <f>IF(AND(FORSIDE!$B$8&gt;=18,FORSIDE!$F$8&gt;=1,FORSIDE!$B$5&gt;=0),354+1*FORSIDE!$F$9,"")</f>
        <v/>
      </c>
      <c r="C431" t="str">
        <f>IF(AND(FORSIDE!$B$8&gt;=18,FORSIDE!$F$8&gt;=1,FORSIDE!$B$5&gt;=0),18*FORSIDE!$B$9,"")</f>
        <v/>
      </c>
      <c r="D431" t="str">
        <f>IF(AND(FORSIDE!$B$8&gt;=18,FORSIDE!$F$8&gt;=1,FORSIDE!$B$5&gt;=0),0,"")</f>
        <v/>
      </c>
    </row>
    <row r="432" spans="1:4" x14ac:dyDescent="0.3">
      <c r="A432" t="str">
        <f>IF(AND(FORSIDE!$B$8&gt;=18,FORSIDE!$F$8&gt;=1,FORSIDE!$B$5&gt;=1),431,"")</f>
        <v/>
      </c>
      <c r="B432" t="str">
        <f>IF(AND(FORSIDE!$B$8&gt;=18,FORSIDE!$F$8&gt;=1,FORSIDE!$B$5&gt;=1),354+1*FORSIDE!$F$9,"")</f>
        <v/>
      </c>
      <c r="C432" t="str">
        <f>IF(AND(FORSIDE!$B$8&gt;=18,FORSIDE!$F$8&gt;=1,FORSIDE!$B$5&gt;=1),18*FORSIDE!$B$9,"")</f>
        <v/>
      </c>
      <c r="D432" t="str">
        <f>IF(AND(FORSIDE!$B$8&gt;=18,FORSIDE!$F$8&gt;=1,FORSIDE!$B$5&gt;=1),FORSIDE!$B$6+(1-1)*FORSIDE!$B$7,"")</f>
        <v/>
      </c>
    </row>
    <row r="433" spans="1:4" x14ac:dyDescent="0.3">
      <c r="A433" t="str">
        <f>IF(AND(FORSIDE!$B$8&gt;=18,FORSIDE!$F$8&gt;=1,FORSIDE!$B$5&gt;=2),432,"")</f>
        <v/>
      </c>
      <c r="B433" t="str">
        <f>IF(AND(FORSIDE!$B$8&gt;=18,FORSIDE!$F$8&gt;=1,FORSIDE!$B$5&gt;=2),354+1*FORSIDE!$F$9,"")</f>
        <v/>
      </c>
      <c r="C433" t="str">
        <f>IF(AND(FORSIDE!$B$8&gt;=18,FORSIDE!$F$8&gt;=1,FORSIDE!$B$5&gt;=2),18*FORSIDE!$B$9,"")</f>
        <v/>
      </c>
      <c r="D433" t="str">
        <f>IF(AND(FORSIDE!$B$8&gt;=18,FORSIDE!$F$8&gt;=1,FORSIDE!$B$5&gt;=2),FORSIDE!$B$6+(2-1)*FORSIDE!$B$7,"")</f>
        <v/>
      </c>
    </row>
    <row r="434" spans="1:4" x14ac:dyDescent="0.3">
      <c r="A434" t="str">
        <f>IF(AND(FORSIDE!$B$8&gt;=18,FORSIDE!$F$8&gt;=1,FORSIDE!$B$5&gt;=3),433,"")</f>
        <v/>
      </c>
      <c r="B434" t="str">
        <f>IF(AND(FORSIDE!$B$8&gt;=18,FORSIDE!$F$8&gt;=1,FORSIDE!$B$5&gt;=3),354+1*FORSIDE!$F$9,"")</f>
        <v/>
      </c>
      <c r="C434" t="str">
        <f>IF(AND(FORSIDE!$B$8&gt;=18,FORSIDE!$F$8&gt;=1,FORSIDE!$B$5&gt;=3),18*FORSIDE!$B$9,"")</f>
        <v/>
      </c>
      <c r="D434" t="str">
        <f>IF(AND(FORSIDE!$B$8&gt;=18,FORSIDE!$F$8&gt;=1,FORSIDE!$B$5&gt;=3),FORSIDE!$B$6+(3-1)*FORSIDE!$B$7,"")</f>
        <v/>
      </c>
    </row>
    <row r="435" spans="1:4" x14ac:dyDescent="0.3">
      <c r="A435" t="str">
        <f>IF(AND(FORSIDE!$B$8&gt;=18,FORSIDE!$F$8&gt;=1,FORSIDE!$B$5&gt;=4),434,"")</f>
        <v/>
      </c>
      <c r="B435" t="str">
        <f>IF(AND(FORSIDE!$B$8&gt;=18,FORSIDE!$F$8&gt;=1,FORSIDE!$B$5&gt;=4),354+1*FORSIDE!$F$9,"")</f>
        <v/>
      </c>
      <c r="C435" t="str">
        <f>IF(AND(FORSIDE!$B$8&gt;=18,FORSIDE!$F$8&gt;=1,FORSIDE!$B$5&gt;=4),18*FORSIDE!$B$9,"")</f>
        <v/>
      </c>
      <c r="D435" t="str">
        <f>IF(AND(FORSIDE!$B$8&gt;=18,FORSIDE!$F$8&gt;=1,FORSIDE!$B$5&gt;=4),FORSIDE!$B$6+(4-1)*FORSIDE!$B$7,"")</f>
        <v/>
      </c>
    </row>
    <row r="436" spans="1:4" x14ac:dyDescent="0.3">
      <c r="A436" t="str">
        <f>IF(AND(FORSIDE!$B$8&gt;=18,FORSIDE!$F$8&gt;=1,FORSIDE!$B$5&gt;=5),435,"")</f>
        <v/>
      </c>
      <c r="B436" t="str">
        <f>IF(AND(FORSIDE!$B$8&gt;=18,FORSIDE!$F$8&gt;=1,FORSIDE!$B$5&gt;=5),354+1*FORSIDE!$F$9,"")</f>
        <v/>
      </c>
      <c r="C436" t="str">
        <f>IF(AND(FORSIDE!$B$8&gt;=18,FORSIDE!$F$8&gt;=1,FORSIDE!$B$5&gt;=5),18*FORSIDE!$B$9,"")</f>
        <v/>
      </c>
      <c r="D436" t="str">
        <f>IF(AND(FORSIDE!$B$8&gt;=18,FORSIDE!$F$8&gt;=1,FORSIDE!$B$5&gt;=5),FORSIDE!$B$6+(5-1)*FORSIDE!$B$7,"")</f>
        <v/>
      </c>
    </row>
    <row r="437" spans="1:4" x14ac:dyDescent="0.3">
      <c r="A437" t="str">
        <f>IF(AND(FORSIDE!$B$8&gt;=18,FORSIDE!$F$8&gt;=1,FORSIDE!$B$5&gt;=6),436,"")</f>
        <v/>
      </c>
      <c r="B437" t="str">
        <f>IF(AND(FORSIDE!$B$8&gt;=18,FORSIDE!$F$8&gt;=1,FORSIDE!$B$5&gt;=6),354+1*FORSIDE!$F$9,"")</f>
        <v/>
      </c>
      <c r="C437" t="str">
        <f>IF(AND(FORSIDE!$B$8&gt;=18,FORSIDE!$F$8&gt;=1,FORSIDE!$B$5&gt;=6),18*FORSIDE!$B$9,"")</f>
        <v/>
      </c>
      <c r="D437" t="str">
        <f>IF(AND(FORSIDE!$B$8&gt;=18,FORSIDE!$F$8&gt;=1,FORSIDE!$B$5&gt;=6),FORSIDE!$B$6+(6-1)*FORSIDE!$B$7,"")</f>
        <v/>
      </c>
    </row>
    <row r="438" spans="1:4" x14ac:dyDescent="0.3">
      <c r="A438" t="str">
        <f>IF(AND(FORSIDE!$B$8&gt;=18,FORSIDE!$F$8&gt;=1,FORSIDE!$B$5&gt;=7),437,"")</f>
        <v/>
      </c>
      <c r="B438" t="str">
        <f>IF(AND(FORSIDE!$B$8&gt;=18,FORSIDE!$F$8&gt;=1,FORSIDE!$B$5&gt;=7),354+1*FORSIDE!$F$9,"")</f>
        <v/>
      </c>
      <c r="C438" t="str">
        <f>IF(AND(FORSIDE!$B$8&gt;=18,FORSIDE!$F$8&gt;=1,FORSIDE!$B$5&gt;=7),18*FORSIDE!$B$9,"")</f>
        <v/>
      </c>
      <c r="D438" t="str">
        <f>IF(AND(FORSIDE!$B$8&gt;=18,FORSIDE!$F$8&gt;=1,FORSIDE!$B$5&gt;=7),FORSIDE!$B$6+(7-1)*FORSIDE!$B$7,"")</f>
        <v/>
      </c>
    </row>
    <row r="439" spans="1:4" x14ac:dyDescent="0.3">
      <c r="A439" t="str">
        <f>IF(AND(FORSIDE!$B$8&gt;=18,FORSIDE!$F$8&gt;=1,FORSIDE!$B$5&gt;=8),438,"")</f>
        <v/>
      </c>
      <c r="B439" t="str">
        <f>IF(AND(FORSIDE!$B$8&gt;=18,FORSIDE!$F$8&gt;=1,FORSIDE!$B$5&gt;=8),354+1*FORSIDE!$F$9,"")</f>
        <v/>
      </c>
      <c r="C439" t="str">
        <f>IF(AND(FORSIDE!$B$8&gt;=18,FORSIDE!$F$8&gt;=1,FORSIDE!$B$5&gt;=8),18*FORSIDE!$B$9,"")</f>
        <v/>
      </c>
      <c r="D439" t="str">
        <f>IF(AND(FORSIDE!$B$8&gt;=18,FORSIDE!$F$8&gt;=1,FORSIDE!$B$5&gt;=8),FORSIDE!$B$6+(8-1)*FORSIDE!$B$7,"")</f>
        <v/>
      </c>
    </row>
    <row r="440" spans="1:4" x14ac:dyDescent="0.3">
      <c r="A440" t="str">
        <f>IF(AND(FORSIDE!$B$8&gt;=18,FORSIDE!$F$8&gt;=1,FORSIDE!$B$5&gt;=9),439,"")</f>
        <v/>
      </c>
      <c r="B440" t="str">
        <f>IF(AND(FORSIDE!$B$8&gt;=18,FORSIDE!$F$8&gt;=1,FORSIDE!$B$5&gt;=9),354+1*FORSIDE!$F$9,"")</f>
        <v/>
      </c>
      <c r="C440" t="str">
        <f>IF(AND(FORSIDE!$B$8&gt;=18,FORSIDE!$F$8&gt;=1,FORSIDE!$B$5&gt;=9),18*FORSIDE!$B$9,"")</f>
        <v/>
      </c>
      <c r="D440" t="str">
        <f>IF(AND(FORSIDE!$B$8&gt;=18,FORSIDE!$F$8&gt;=1,FORSIDE!$B$5&gt;=9),FORSIDE!$B$6+(9-1)*FORSIDE!$B$7,"")</f>
        <v/>
      </c>
    </row>
    <row r="441" spans="1:4" x14ac:dyDescent="0.3">
      <c r="A441" t="str">
        <f>IF(AND(FORSIDE!$B$8&gt;=18,FORSIDE!$F$8&gt;=1,FORSIDE!$B$5&gt;=10),440,"")</f>
        <v/>
      </c>
      <c r="B441" t="str">
        <f>IF(AND(FORSIDE!$B$8&gt;=18,FORSIDE!$F$8&gt;=1,FORSIDE!$B$5&gt;=10),354+1*FORSIDE!$F$9,"")</f>
        <v/>
      </c>
      <c r="C441" t="str">
        <f>IF(AND(FORSIDE!$B$8&gt;=18,FORSIDE!$F$8&gt;=1,FORSIDE!$B$5&gt;=10),18*FORSIDE!$B$9,"")</f>
        <v/>
      </c>
      <c r="D441" t="str">
        <f>IF(AND(FORSIDE!$B$8&gt;=18,FORSIDE!$F$8&gt;=1,FORSIDE!$B$5&gt;=10),FORSIDE!$B$6+(10-1)*FORSIDE!$B$7,"")</f>
        <v/>
      </c>
    </row>
    <row r="442" spans="1:4" x14ac:dyDescent="0.3">
      <c r="A442" t="str">
        <f>IF(AND(FORSIDE!$B$8&gt;=19,FORSIDE!$F$8&gt;=1,FORSIDE!$B$5&gt;=0),441,"")</f>
        <v/>
      </c>
      <c r="B442" t="str">
        <f>IF(AND(FORSIDE!$B$8&gt;=19,FORSIDE!$F$8&gt;=1,FORSIDE!$B$5&gt;=0),354+1*FORSIDE!$F$9,"")</f>
        <v/>
      </c>
      <c r="C442" t="str">
        <f>IF(AND(FORSIDE!$B$8&gt;=19,FORSIDE!$F$8&gt;=1,FORSIDE!$B$5&gt;=0),19*FORSIDE!$B$9,"")</f>
        <v/>
      </c>
      <c r="D442" t="str">
        <f>IF(AND(FORSIDE!$B$8&gt;=19,FORSIDE!$F$8&gt;=1,FORSIDE!$B$5&gt;=0),0,"")</f>
        <v/>
      </c>
    </row>
    <row r="443" spans="1:4" x14ac:dyDescent="0.3">
      <c r="A443" t="str">
        <f>IF(AND(FORSIDE!$B$8&gt;=19,FORSIDE!$F$8&gt;=1,FORSIDE!$B$5&gt;=1),442,"")</f>
        <v/>
      </c>
      <c r="B443" t="str">
        <f>IF(AND(FORSIDE!$B$8&gt;=19,FORSIDE!$F$8&gt;=1,FORSIDE!$B$5&gt;=1),354+1*FORSIDE!$F$9,"")</f>
        <v/>
      </c>
      <c r="C443" t="str">
        <f>IF(AND(FORSIDE!$B$8&gt;=19,FORSIDE!$F$8&gt;=1,FORSIDE!$B$5&gt;=1),19*FORSIDE!$B$9,"")</f>
        <v/>
      </c>
      <c r="D443" t="str">
        <f>IF(AND(FORSIDE!$B$8&gt;=19,FORSIDE!$F$8&gt;=1,FORSIDE!$B$5&gt;=1),FORSIDE!$B$6+(1-1)*FORSIDE!$B$7,"")</f>
        <v/>
      </c>
    </row>
    <row r="444" spans="1:4" x14ac:dyDescent="0.3">
      <c r="A444" t="str">
        <f>IF(AND(FORSIDE!$B$8&gt;=19,FORSIDE!$F$8&gt;=1,FORSIDE!$B$5&gt;=2),443,"")</f>
        <v/>
      </c>
      <c r="B444" t="str">
        <f>IF(AND(FORSIDE!$B$8&gt;=19,FORSIDE!$F$8&gt;=1,FORSIDE!$B$5&gt;=2),354+1*FORSIDE!$F$9,"")</f>
        <v/>
      </c>
      <c r="C444" t="str">
        <f>IF(AND(FORSIDE!$B$8&gt;=19,FORSIDE!$F$8&gt;=1,FORSIDE!$B$5&gt;=2),19*FORSIDE!$B$9,"")</f>
        <v/>
      </c>
      <c r="D444" t="str">
        <f>IF(AND(FORSIDE!$B$8&gt;=19,FORSIDE!$F$8&gt;=1,FORSIDE!$B$5&gt;=2),FORSIDE!$B$6+(2-1)*FORSIDE!$B$7,"")</f>
        <v/>
      </c>
    </row>
    <row r="445" spans="1:4" x14ac:dyDescent="0.3">
      <c r="A445" t="str">
        <f>IF(AND(FORSIDE!$B$8&gt;=19,FORSIDE!$F$8&gt;=1,FORSIDE!$B$5&gt;=3),444,"")</f>
        <v/>
      </c>
      <c r="B445" t="str">
        <f>IF(AND(FORSIDE!$B$8&gt;=19,FORSIDE!$F$8&gt;=1,FORSIDE!$B$5&gt;=3),354+1*FORSIDE!$F$9,"")</f>
        <v/>
      </c>
      <c r="C445" t="str">
        <f>IF(AND(FORSIDE!$B$8&gt;=19,FORSIDE!$F$8&gt;=1,FORSIDE!$B$5&gt;=3),19*FORSIDE!$B$9,"")</f>
        <v/>
      </c>
      <c r="D445" t="str">
        <f>IF(AND(FORSIDE!$B$8&gt;=19,FORSIDE!$F$8&gt;=1,FORSIDE!$B$5&gt;=3),FORSIDE!$B$6+(3-1)*FORSIDE!$B$7,"")</f>
        <v/>
      </c>
    </row>
    <row r="446" spans="1:4" x14ac:dyDescent="0.3">
      <c r="A446" t="str">
        <f>IF(AND(FORSIDE!$B$8&gt;=19,FORSIDE!$F$8&gt;=1,FORSIDE!$B$5&gt;=4),445,"")</f>
        <v/>
      </c>
      <c r="B446" t="str">
        <f>IF(AND(FORSIDE!$B$8&gt;=19,FORSIDE!$F$8&gt;=1,FORSIDE!$B$5&gt;=4),354+1*FORSIDE!$F$9,"")</f>
        <v/>
      </c>
      <c r="C446" t="str">
        <f>IF(AND(FORSIDE!$B$8&gt;=19,FORSIDE!$F$8&gt;=1,FORSIDE!$B$5&gt;=4),19*FORSIDE!$B$9,"")</f>
        <v/>
      </c>
      <c r="D446" t="str">
        <f>IF(AND(FORSIDE!$B$8&gt;=19,FORSIDE!$F$8&gt;=1,FORSIDE!$B$5&gt;=4),FORSIDE!$B$6+(4-1)*FORSIDE!$B$7,"")</f>
        <v/>
      </c>
    </row>
    <row r="447" spans="1:4" x14ac:dyDescent="0.3">
      <c r="A447" t="str">
        <f>IF(AND(FORSIDE!$B$8&gt;=19,FORSIDE!$F$8&gt;=1,FORSIDE!$B$5&gt;=5),446,"")</f>
        <v/>
      </c>
      <c r="B447" t="str">
        <f>IF(AND(FORSIDE!$B$8&gt;=19,FORSIDE!$F$8&gt;=1,FORSIDE!$B$5&gt;=5),354+1*FORSIDE!$F$9,"")</f>
        <v/>
      </c>
      <c r="C447" t="str">
        <f>IF(AND(FORSIDE!$B$8&gt;=19,FORSIDE!$F$8&gt;=1,FORSIDE!$B$5&gt;=5),19*FORSIDE!$B$9,"")</f>
        <v/>
      </c>
      <c r="D447" t="str">
        <f>IF(AND(FORSIDE!$B$8&gt;=19,FORSIDE!$F$8&gt;=1,FORSIDE!$B$5&gt;=5),FORSIDE!$B$6+(5-1)*FORSIDE!$B$7,"")</f>
        <v/>
      </c>
    </row>
    <row r="448" spans="1:4" x14ac:dyDescent="0.3">
      <c r="A448" t="str">
        <f>IF(AND(FORSIDE!$B$8&gt;=19,FORSIDE!$F$8&gt;=1,FORSIDE!$B$5&gt;=6),447,"")</f>
        <v/>
      </c>
      <c r="B448" t="str">
        <f>IF(AND(FORSIDE!$B$8&gt;=19,FORSIDE!$F$8&gt;=1,FORSIDE!$B$5&gt;=6),354+1*FORSIDE!$F$9,"")</f>
        <v/>
      </c>
      <c r="C448" t="str">
        <f>IF(AND(FORSIDE!$B$8&gt;=19,FORSIDE!$F$8&gt;=1,FORSIDE!$B$5&gt;=6),19*FORSIDE!$B$9,"")</f>
        <v/>
      </c>
      <c r="D448" t="str">
        <f>IF(AND(FORSIDE!$B$8&gt;=19,FORSIDE!$F$8&gt;=1,FORSIDE!$B$5&gt;=6),FORSIDE!$B$6+(6-1)*FORSIDE!$B$7,"")</f>
        <v/>
      </c>
    </row>
    <row r="449" spans="1:4" x14ac:dyDescent="0.3">
      <c r="A449" t="str">
        <f>IF(AND(FORSIDE!$B$8&gt;=19,FORSIDE!$F$8&gt;=1,FORSIDE!$B$5&gt;=7),448,"")</f>
        <v/>
      </c>
      <c r="B449" t="str">
        <f>IF(AND(FORSIDE!$B$8&gt;=19,FORSIDE!$F$8&gt;=1,FORSIDE!$B$5&gt;=7),354+1*FORSIDE!$F$9,"")</f>
        <v/>
      </c>
      <c r="C449" t="str">
        <f>IF(AND(FORSIDE!$B$8&gt;=19,FORSIDE!$F$8&gt;=1,FORSIDE!$B$5&gt;=7),19*FORSIDE!$B$9,"")</f>
        <v/>
      </c>
      <c r="D449" t="str">
        <f>IF(AND(FORSIDE!$B$8&gt;=19,FORSIDE!$F$8&gt;=1,FORSIDE!$B$5&gt;=7),FORSIDE!$B$6+(7-1)*FORSIDE!$B$7,"")</f>
        <v/>
      </c>
    </row>
    <row r="450" spans="1:4" x14ac:dyDescent="0.3">
      <c r="A450" t="str">
        <f>IF(AND(FORSIDE!$B$8&gt;=19,FORSIDE!$F$8&gt;=1,FORSIDE!$B$5&gt;=8),449,"")</f>
        <v/>
      </c>
      <c r="B450" t="str">
        <f>IF(AND(FORSIDE!$B$8&gt;=19,FORSIDE!$F$8&gt;=1,FORSIDE!$B$5&gt;=8),354+1*FORSIDE!$F$9,"")</f>
        <v/>
      </c>
      <c r="C450" t="str">
        <f>IF(AND(FORSIDE!$B$8&gt;=19,FORSIDE!$F$8&gt;=1,FORSIDE!$B$5&gt;=8),19*FORSIDE!$B$9,"")</f>
        <v/>
      </c>
      <c r="D450" t="str">
        <f>IF(AND(FORSIDE!$B$8&gt;=19,FORSIDE!$F$8&gt;=1,FORSIDE!$B$5&gt;=8),FORSIDE!$B$6+(8-1)*FORSIDE!$B$7,"")</f>
        <v/>
      </c>
    </row>
    <row r="451" spans="1:4" x14ac:dyDescent="0.3">
      <c r="A451" t="str">
        <f>IF(AND(FORSIDE!$B$8&gt;=19,FORSIDE!$F$8&gt;=1,FORSIDE!$B$5&gt;=9),450,"")</f>
        <v/>
      </c>
      <c r="B451" t="str">
        <f>IF(AND(FORSIDE!$B$8&gt;=19,FORSIDE!$F$8&gt;=1,FORSIDE!$B$5&gt;=9),354+1*FORSIDE!$F$9,"")</f>
        <v/>
      </c>
      <c r="C451" t="str">
        <f>IF(AND(FORSIDE!$B$8&gt;=19,FORSIDE!$F$8&gt;=1,FORSIDE!$B$5&gt;=9),19*FORSIDE!$B$9,"")</f>
        <v/>
      </c>
      <c r="D451" t="str">
        <f>IF(AND(FORSIDE!$B$8&gt;=19,FORSIDE!$F$8&gt;=1,FORSIDE!$B$5&gt;=9),FORSIDE!$B$6+(9-1)*FORSIDE!$B$7,"")</f>
        <v/>
      </c>
    </row>
    <row r="452" spans="1:4" x14ac:dyDescent="0.3">
      <c r="A452" t="str">
        <f>IF(AND(FORSIDE!$B$8&gt;=19,FORSIDE!$F$8&gt;=1,FORSIDE!$B$5&gt;=10),451,"")</f>
        <v/>
      </c>
      <c r="B452" t="str">
        <f>IF(AND(FORSIDE!$B$8&gt;=19,FORSIDE!$F$8&gt;=1,FORSIDE!$B$5&gt;=10),354+1*FORSIDE!$F$9,"")</f>
        <v/>
      </c>
      <c r="C452" t="str">
        <f>IF(AND(FORSIDE!$B$8&gt;=19,FORSIDE!$F$8&gt;=1,FORSIDE!$B$5&gt;=10),19*FORSIDE!$B$9,"")</f>
        <v/>
      </c>
      <c r="D452" t="str">
        <f>IF(AND(FORSIDE!$B$8&gt;=19,FORSIDE!$F$8&gt;=1,FORSIDE!$B$5&gt;=10),FORSIDE!$B$6+(10-1)*FORSIDE!$B$7,"")</f>
        <v/>
      </c>
    </row>
    <row r="453" spans="1:4" x14ac:dyDescent="0.3">
      <c r="A453" t="str">
        <f>IF(AND(FORSIDE!$B$8&gt;=20,FORSIDE!$F$8&gt;=1,FORSIDE!$B$5&gt;=0),452,"")</f>
        <v/>
      </c>
      <c r="B453" t="str">
        <f>IF(AND(FORSIDE!$B$8&gt;=20,FORSIDE!$F$8&gt;=1,FORSIDE!$B$5&gt;=0),354+1*FORSIDE!$F$9,"")</f>
        <v/>
      </c>
      <c r="C453" t="str">
        <f>IF(AND(FORSIDE!$B$8&gt;=20,FORSIDE!$F$8&gt;=1,FORSIDE!$B$5&gt;=0),20*FORSIDE!$B$9,"")</f>
        <v/>
      </c>
      <c r="D453" t="str">
        <f>IF(AND(FORSIDE!$B$8&gt;=20,FORSIDE!$F$8&gt;=1,FORSIDE!$B$5&gt;=0),0,"")</f>
        <v/>
      </c>
    </row>
    <row r="454" spans="1:4" x14ac:dyDescent="0.3">
      <c r="A454" t="str">
        <f>IF(AND(FORSIDE!$B$8&gt;=20,FORSIDE!$F$8&gt;=1,FORSIDE!$B$5&gt;=1),453,"")</f>
        <v/>
      </c>
      <c r="B454" t="str">
        <f>IF(AND(FORSIDE!$B$8&gt;=20,FORSIDE!$F$8&gt;=1,FORSIDE!$B$5&gt;=1),354+1*FORSIDE!$F$9,"")</f>
        <v/>
      </c>
      <c r="C454" t="str">
        <f>IF(AND(FORSIDE!$B$8&gt;=20,FORSIDE!$F$8&gt;=1,FORSIDE!$B$5&gt;=1),20*FORSIDE!$B$9,"")</f>
        <v/>
      </c>
      <c r="D454" t="str">
        <f>IF(AND(FORSIDE!$B$8&gt;=20,FORSIDE!$F$8&gt;=1,FORSIDE!$B$5&gt;=1),FORSIDE!$B$6+(1-1)*FORSIDE!$B$7,"")</f>
        <v/>
      </c>
    </row>
    <row r="455" spans="1:4" x14ac:dyDescent="0.3">
      <c r="A455" t="str">
        <f>IF(AND(FORSIDE!$B$8&gt;=20,FORSIDE!$F$8&gt;=1,FORSIDE!$B$5&gt;=2),454,"")</f>
        <v/>
      </c>
      <c r="B455" t="str">
        <f>IF(AND(FORSIDE!$B$8&gt;=20,FORSIDE!$F$8&gt;=1,FORSIDE!$B$5&gt;=2),354+1*FORSIDE!$F$9,"")</f>
        <v/>
      </c>
      <c r="C455" t="str">
        <f>IF(AND(FORSIDE!$B$8&gt;=20,FORSIDE!$F$8&gt;=1,FORSIDE!$B$5&gt;=2),20*FORSIDE!$B$9,"")</f>
        <v/>
      </c>
      <c r="D455" t="str">
        <f>IF(AND(FORSIDE!$B$8&gt;=20,FORSIDE!$F$8&gt;=1,FORSIDE!$B$5&gt;=2),FORSIDE!$B$6+(2-1)*FORSIDE!$B$7,"")</f>
        <v/>
      </c>
    </row>
    <row r="456" spans="1:4" x14ac:dyDescent="0.3">
      <c r="A456" t="str">
        <f>IF(AND(FORSIDE!$B$8&gt;=20,FORSIDE!$F$8&gt;=1,FORSIDE!$B$5&gt;=3),455,"")</f>
        <v/>
      </c>
      <c r="B456" t="str">
        <f>IF(AND(FORSIDE!$B$8&gt;=20,FORSIDE!$F$8&gt;=1,FORSIDE!$B$5&gt;=3),354+1*FORSIDE!$F$9,"")</f>
        <v/>
      </c>
      <c r="C456" t="str">
        <f>IF(AND(FORSIDE!$B$8&gt;=20,FORSIDE!$F$8&gt;=1,FORSIDE!$B$5&gt;=3),20*FORSIDE!$B$9,"")</f>
        <v/>
      </c>
      <c r="D456" t="str">
        <f>IF(AND(FORSIDE!$B$8&gt;=20,FORSIDE!$F$8&gt;=1,FORSIDE!$B$5&gt;=3),FORSIDE!$B$6+(3-1)*FORSIDE!$B$7,"")</f>
        <v/>
      </c>
    </row>
    <row r="457" spans="1:4" x14ac:dyDescent="0.3">
      <c r="A457" t="str">
        <f>IF(AND(FORSIDE!$B$8&gt;=20,FORSIDE!$F$8&gt;=1,FORSIDE!$B$5&gt;=4),456,"")</f>
        <v/>
      </c>
      <c r="B457" t="str">
        <f>IF(AND(FORSIDE!$B$8&gt;=20,FORSIDE!$F$8&gt;=1,FORSIDE!$B$5&gt;=4),354+1*FORSIDE!$F$9,"")</f>
        <v/>
      </c>
      <c r="C457" t="str">
        <f>IF(AND(FORSIDE!$B$8&gt;=20,FORSIDE!$F$8&gt;=1,FORSIDE!$B$5&gt;=4),20*FORSIDE!$B$9,"")</f>
        <v/>
      </c>
      <c r="D457" t="str">
        <f>IF(AND(FORSIDE!$B$8&gt;=20,FORSIDE!$F$8&gt;=1,FORSIDE!$B$5&gt;=4),FORSIDE!$B$6+(4-1)*FORSIDE!$B$7,"")</f>
        <v/>
      </c>
    </row>
    <row r="458" spans="1:4" x14ac:dyDescent="0.3">
      <c r="A458" t="str">
        <f>IF(AND(FORSIDE!$B$8&gt;=20,FORSIDE!$F$8&gt;=1,FORSIDE!$B$5&gt;=5),457,"")</f>
        <v/>
      </c>
      <c r="B458" t="str">
        <f>IF(AND(FORSIDE!$B$8&gt;=20,FORSIDE!$F$8&gt;=1,FORSIDE!$B$5&gt;=5),354+1*FORSIDE!$F$9,"")</f>
        <v/>
      </c>
      <c r="C458" t="str">
        <f>IF(AND(FORSIDE!$B$8&gt;=20,FORSIDE!$F$8&gt;=1,FORSIDE!$B$5&gt;=5),20*FORSIDE!$B$9,"")</f>
        <v/>
      </c>
      <c r="D458" t="str">
        <f>IF(AND(FORSIDE!$B$8&gt;=20,FORSIDE!$F$8&gt;=1,FORSIDE!$B$5&gt;=5),FORSIDE!$B$6+(5-1)*FORSIDE!$B$7,"")</f>
        <v/>
      </c>
    </row>
    <row r="459" spans="1:4" x14ac:dyDescent="0.3">
      <c r="A459" t="str">
        <f>IF(AND(FORSIDE!$B$8&gt;=20,FORSIDE!$F$8&gt;=1,FORSIDE!$B$5&gt;=6),458,"")</f>
        <v/>
      </c>
      <c r="B459" t="str">
        <f>IF(AND(FORSIDE!$B$8&gt;=20,FORSIDE!$F$8&gt;=1,FORSIDE!$B$5&gt;=6),354+1*FORSIDE!$F$9,"")</f>
        <v/>
      </c>
      <c r="C459" t="str">
        <f>IF(AND(FORSIDE!$B$8&gt;=20,FORSIDE!$F$8&gt;=1,FORSIDE!$B$5&gt;=6),20*FORSIDE!$B$9,"")</f>
        <v/>
      </c>
      <c r="D459" t="str">
        <f>IF(AND(FORSIDE!$B$8&gt;=20,FORSIDE!$F$8&gt;=1,FORSIDE!$B$5&gt;=6),FORSIDE!$B$6+(6-1)*FORSIDE!$B$7,"")</f>
        <v/>
      </c>
    </row>
    <row r="460" spans="1:4" x14ac:dyDescent="0.3">
      <c r="A460" t="str">
        <f>IF(AND(FORSIDE!$B$8&gt;=20,FORSIDE!$F$8&gt;=1,FORSIDE!$B$5&gt;=7),459,"")</f>
        <v/>
      </c>
      <c r="B460" t="str">
        <f>IF(AND(FORSIDE!$B$8&gt;=20,FORSIDE!$F$8&gt;=1,FORSIDE!$B$5&gt;=7),354+1*FORSIDE!$F$9,"")</f>
        <v/>
      </c>
      <c r="C460" t="str">
        <f>IF(AND(FORSIDE!$B$8&gt;=20,FORSIDE!$F$8&gt;=1,FORSIDE!$B$5&gt;=7),20*FORSIDE!$B$9,"")</f>
        <v/>
      </c>
      <c r="D460" t="str">
        <f>IF(AND(FORSIDE!$B$8&gt;=20,FORSIDE!$F$8&gt;=1,FORSIDE!$B$5&gt;=7),FORSIDE!$B$6+(7-1)*FORSIDE!$B$7,"")</f>
        <v/>
      </c>
    </row>
    <row r="461" spans="1:4" x14ac:dyDescent="0.3">
      <c r="A461" t="str">
        <f>IF(AND(FORSIDE!$B$8&gt;=20,FORSIDE!$F$8&gt;=1,FORSIDE!$B$5&gt;=8),460,"")</f>
        <v/>
      </c>
      <c r="B461" t="str">
        <f>IF(AND(FORSIDE!$B$8&gt;=20,FORSIDE!$F$8&gt;=1,FORSIDE!$B$5&gt;=8),354+1*FORSIDE!$F$9,"")</f>
        <v/>
      </c>
      <c r="C461" t="str">
        <f>IF(AND(FORSIDE!$B$8&gt;=20,FORSIDE!$F$8&gt;=1,FORSIDE!$B$5&gt;=8),20*FORSIDE!$B$9,"")</f>
        <v/>
      </c>
      <c r="D461" t="str">
        <f>IF(AND(FORSIDE!$B$8&gt;=20,FORSIDE!$F$8&gt;=1,FORSIDE!$B$5&gt;=8),FORSIDE!$B$6+(8-1)*FORSIDE!$B$7,"")</f>
        <v/>
      </c>
    </row>
    <row r="462" spans="1:4" x14ac:dyDescent="0.3">
      <c r="A462" t="str">
        <f>IF(AND(FORSIDE!$B$8&gt;=20,FORSIDE!$F$8&gt;=1,FORSIDE!$B$5&gt;=9),461,"")</f>
        <v/>
      </c>
      <c r="B462" t="str">
        <f>IF(AND(FORSIDE!$B$8&gt;=20,FORSIDE!$F$8&gt;=1,FORSIDE!$B$5&gt;=9),354+1*FORSIDE!$F$9,"")</f>
        <v/>
      </c>
      <c r="C462" t="str">
        <f>IF(AND(FORSIDE!$B$8&gt;=20,FORSIDE!$F$8&gt;=1,FORSIDE!$B$5&gt;=9),20*FORSIDE!$B$9,"")</f>
        <v/>
      </c>
      <c r="D462" t="str">
        <f>IF(AND(FORSIDE!$B$8&gt;=20,FORSIDE!$F$8&gt;=1,FORSIDE!$B$5&gt;=9),FORSIDE!$B$6+(9-1)*FORSIDE!$B$7,"")</f>
        <v/>
      </c>
    </row>
    <row r="463" spans="1:4" x14ac:dyDescent="0.3">
      <c r="A463" t="str">
        <f>IF(AND(FORSIDE!$B$8&gt;=20,FORSIDE!$F$8&gt;=1,FORSIDE!$B$5&gt;=10),462,"")</f>
        <v/>
      </c>
      <c r="B463" t="str">
        <f>IF(AND(FORSIDE!$B$8&gt;=20,FORSIDE!$F$8&gt;=1,FORSIDE!$B$5&gt;=10),354+1*FORSIDE!$F$9,"")</f>
        <v/>
      </c>
      <c r="C463" t="str">
        <f>IF(AND(FORSIDE!$B$8&gt;=20,FORSIDE!$F$8&gt;=1,FORSIDE!$B$5&gt;=10),20*FORSIDE!$B$9,"")</f>
        <v/>
      </c>
      <c r="D463" t="str">
        <f>IF(AND(FORSIDE!$B$8&gt;=20,FORSIDE!$F$8&gt;=1,FORSIDE!$B$5&gt;=10),FORSIDE!$B$6+(10-1)*FORSIDE!$B$7,"")</f>
        <v/>
      </c>
    </row>
    <row r="464" spans="1:4" x14ac:dyDescent="0.3">
      <c r="A464">
        <f>IF(AND(FORSIDE!$B$8&gt;=0,FORSIDE!$F$8&gt;=2,FORSIDE!$B$5&gt;=0),463,"")</f>
        <v>463</v>
      </c>
      <c r="B464">
        <f>IF(AND(FORSIDE!$B$8&gt;=0,FORSIDE!$F$8&gt;=2,FORSIDE!$B$5&gt;=0),354+2*FORSIDE!$F$9,"")</f>
        <v>24354</v>
      </c>
      <c r="C464">
        <f>IF(AND(FORSIDE!$B$8&gt;=0,FORSIDE!$F$8&gt;=2,FORSIDE!$B$5&gt;=0),0*FORSIDE!$B$9,"")</f>
        <v>0</v>
      </c>
      <c r="D464">
        <f>IF(AND(FORSIDE!$B$8&gt;=0,FORSIDE!$F$8&gt;=2,FORSIDE!$B$5&gt;=0),0,"")</f>
        <v>0</v>
      </c>
    </row>
    <row r="465" spans="1:4" x14ac:dyDescent="0.3">
      <c r="A465">
        <f>IF(AND(FORSIDE!$B$8&gt;=0,FORSIDE!$F$8&gt;=2,FORSIDE!$B$5&gt;=1),464,"")</f>
        <v>464</v>
      </c>
      <c r="B465">
        <f>IF(AND(FORSIDE!$B$8&gt;=0,FORSIDE!$F$8&gt;=2,FORSIDE!$B$5&gt;=1),354+2*FORSIDE!$F$9,"")</f>
        <v>24354</v>
      </c>
      <c r="C465">
        <f>IF(AND(FORSIDE!$B$8&gt;=0,FORSIDE!$F$8&gt;=2,FORSIDE!$B$5&gt;=1),0*FORSIDE!$B$9,"")</f>
        <v>0</v>
      </c>
      <c r="D465">
        <f>IF(AND(FORSIDE!$B$8&gt;=0,FORSIDE!$F$8&gt;=2,FORSIDE!$B$5&gt;=1),FORSIDE!$B$6+(1-1)*FORSIDE!$B$7,"")</f>
        <v>3000</v>
      </c>
    </row>
    <row r="466" spans="1:4" x14ac:dyDescent="0.3">
      <c r="A466">
        <f>IF(AND(FORSIDE!$B$8&gt;=0,FORSIDE!$F$8&gt;=2,FORSIDE!$B$5&gt;=2),465,"")</f>
        <v>465</v>
      </c>
      <c r="B466">
        <f>IF(AND(FORSIDE!$B$8&gt;=0,FORSIDE!$F$8&gt;=2,FORSIDE!$B$5&gt;=2),354+2*FORSIDE!$F$9,"")</f>
        <v>24354</v>
      </c>
      <c r="C466">
        <f>IF(AND(FORSIDE!$B$8&gt;=0,FORSIDE!$F$8&gt;=2,FORSIDE!$B$5&gt;=2),0*FORSIDE!$B$9,"")</f>
        <v>0</v>
      </c>
      <c r="D466">
        <f>IF(AND(FORSIDE!$B$8&gt;=0,FORSIDE!$F$8&gt;=2,FORSIDE!$B$5&gt;=2),FORSIDE!$B$6+(2-1)*FORSIDE!$B$7,"")</f>
        <v>6000</v>
      </c>
    </row>
    <row r="467" spans="1:4" x14ac:dyDescent="0.3">
      <c r="A467">
        <f>IF(AND(FORSIDE!$B$8&gt;=0,FORSIDE!$F$8&gt;=2,FORSIDE!$B$5&gt;=3),466,"")</f>
        <v>466</v>
      </c>
      <c r="B467">
        <f>IF(AND(FORSIDE!$B$8&gt;=0,FORSIDE!$F$8&gt;=2,FORSIDE!$B$5&gt;=3),354+2*FORSIDE!$F$9,"")</f>
        <v>24354</v>
      </c>
      <c r="C467">
        <f>IF(AND(FORSIDE!$B$8&gt;=0,FORSIDE!$F$8&gt;=2,FORSIDE!$B$5&gt;=3),0*FORSIDE!$B$9,"")</f>
        <v>0</v>
      </c>
      <c r="D467">
        <f>IF(AND(FORSIDE!$B$8&gt;=0,FORSIDE!$F$8&gt;=2,FORSIDE!$B$5&gt;=3),FORSIDE!$B$6+(3-1)*FORSIDE!$B$7,"")</f>
        <v>9000</v>
      </c>
    </row>
    <row r="468" spans="1:4" x14ac:dyDescent="0.3">
      <c r="A468">
        <f>IF(AND(FORSIDE!$B$8&gt;=0,FORSIDE!$F$8&gt;=2,FORSIDE!$B$5&gt;=4),467,"")</f>
        <v>467</v>
      </c>
      <c r="B468">
        <f>IF(AND(FORSIDE!$B$8&gt;=0,FORSIDE!$F$8&gt;=2,FORSIDE!$B$5&gt;=4),354+2*FORSIDE!$F$9,"")</f>
        <v>24354</v>
      </c>
      <c r="C468">
        <f>IF(AND(FORSIDE!$B$8&gt;=0,FORSIDE!$F$8&gt;=2,FORSIDE!$B$5&gt;=4),0*FORSIDE!$B$9,"")</f>
        <v>0</v>
      </c>
      <c r="D468">
        <f>IF(AND(FORSIDE!$B$8&gt;=0,FORSIDE!$F$8&gt;=2,FORSIDE!$B$5&gt;=4),FORSIDE!$B$6+(4-1)*FORSIDE!$B$7,"")</f>
        <v>12000</v>
      </c>
    </row>
    <row r="469" spans="1:4" x14ac:dyDescent="0.3">
      <c r="A469">
        <f>IF(AND(FORSIDE!$B$8&gt;=0,FORSIDE!$F$8&gt;=2,FORSIDE!$B$5&gt;=5),468,"")</f>
        <v>468</v>
      </c>
      <c r="B469">
        <f>IF(AND(FORSIDE!$B$8&gt;=0,FORSIDE!$F$8&gt;=2,FORSIDE!$B$5&gt;=5),354+2*FORSIDE!$F$9,"")</f>
        <v>24354</v>
      </c>
      <c r="C469">
        <f>IF(AND(FORSIDE!$B$8&gt;=0,FORSIDE!$F$8&gt;=2,FORSIDE!$B$5&gt;=5),0*FORSIDE!$B$9,"")</f>
        <v>0</v>
      </c>
      <c r="D469">
        <f>IF(AND(FORSIDE!$B$8&gt;=0,FORSIDE!$F$8&gt;=2,FORSIDE!$B$5&gt;=5),FORSIDE!$B$6+(5-1)*FORSIDE!$B$7,"")</f>
        <v>15000</v>
      </c>
    </row>
    <row r="470" spans="1:4" x14ac:dyDescent="0.3">
      <c r="A470">
        <f>IF(AND(FORSIDE!$B$8&gt;=0,FORSIDE!$F$8&gt;=2,FORSIDE!$B$5&gt;=6),469,"")</f>
        <v>469</v>
      </c>
      <c r="B470">
        <f>IF(AND(FORSIDE!$B$8&gt;=0,FORSIDE!$F$8&gt;=2,FORSIDE!$B$5&gt;=6),354+2*FORSIDE!$F$9,"")</f>
        <v>24354</v>
      </c>
      <c r="C470">
        <f>IF(AND(FORSIDE!$B$8&gt;=0,FORSIDE!$F$8&gt;=2,FORSIDE!$B$5&gt;=6),0*FORSIDE!$B$9,"")</f>
        <v>0</v>
      </c>
      <c r="D470">
        <f>IF(AND(FORSIDE!$B$8&gt;=0,FORSIDE!$F$8&gt;=2,FORSIDE!$B$5&gt;=6),FORSIDE!$B$6+(6-1)*FORSIDE!$B$7,"")</f>
        <v>18000</v>
      </c>
    </row>
    <row r="471" spans="1:4" x14ac:dyDescent="0.3">
      <c r="A471" t="str">
        <f>IF(AND(FORSIDE!$B$8&gt;=0,FORSIDE!$F$8&gt;=2,FORSIDE!$B$5&gt;=7),470,"")</f>
        <v/>
      </c>
      <c r="B471" t="str">
        <f>IF(AND(FORSIDE!$B$8&gt;=0,FORSIDE!$F$8&gt;=2,FORSIDE!$B$5&gt;=7),354+2*FORSIDE!$F$9,"")</f>
        <v/>
      </c>
      <c r="C471" t="str">
        <f>IF(AND(FORSIDE!$B$8&gt;=0,FORSIDE!$F$8&gt;=2,FORSIDE!$B$5&gt;=7),0*FORSIDE!$B$9,"")</f>
        <v/>
      </c>
      <c r="D471" t="str">
        <f>IF(AND(FORSIDE!$B$8&gt;=0,FORSIDE!$F$8&gt;=2,FORSIDE!$B$5&gt;=7),FORSIDE!$B$6+(7-1)*FORSIDE!$B$7,"")</f>
        <v/>
      </c>
    </row>
    <row r="472" spans="1:4" x14ac:dyDescent="0.3">
      <c r="A472" t="str">
        <f>IF(AND(FORSIDE!$B$8&gt;=0,FORSIDE!$F$8&gt;=2,FORSIDE!$B$5&gt;=8),471,"")</f>
        <v/>
      </c>
      <c r="B472" t="str">
        <f>IF(AND(FORSIDE!$B$8&gt;=0,FORSIDE!$F$8&gt;=2,FORSIDE!$B$5&gt;=8),354+2*FORSIDE!$F$9,"")</f>
        <v/>
      </c>
      <c r="C472" t="str">
        <f>IF(AND(FORSIDE!$B$8&gt;=0,FORSIDE!$F$8&gt;=2,FORSIDE!$B$5&gt;=8),0*FORSIDE!$B$9,"")</f>
        <v/>
      </c>
      <c r="D472" t="str">
        <f>IF(AND(FORSIDE!$B$8&gt;=0,FORSIDE!$F$8&gt;=2,FORSIDE!$B$5&gt;=8),FORSIDE!$B$6+(8-1)*FORSIDE!$B$7,"")</f>
        <v/>
      </c>
    </row>
    <row r="473" spans="1:4" x14ac:dyDescent="0.3">
      <c r="A473" t="str">
        <f>IF(AND(FORSIDE!$B$8&gt;=0,FORSIDE!$F$8&gt;=2,FORSIDE!$B$5&gt;=9),472,"")</f>
        <v/>
      </c>
      <c r="B473" t="str">
        <f>IF(AND(FORSIDE!$B$8&gt;=0,FORSIDE!$F$8&gt;=2,FORSIDE!$B$5&gt;=9),354+2*FORSIDE!$F$9,"")</f>
        <v/>
      </c>
      <c r="C473" t="str">
        <f>IF(AND(FORSIDE!$B$8&gt;=0,FORSIDE!$F$8&gt;=2,FORSIDE!$B$5&gt;=9),0*FORSIDE!$B$9,"")</f>
        <v/>
      </c>
      <c r="D473" t="str">
        <f>IF(AND(FORSIDE!$B$8&gt;=0,FORSIDE!$F$8&gt;=2,FORSIDE!$B$5&gt;=9),FORSIDE!$B$6+(9-1)*FORSIDE!$B$7,"")</f>
        <v/>
      </c>
    </row>
    <row r="474" spans="1:4" x14ac:dyDescent="0.3">
      <c r="A474" t="str">
        <f>IF(AND(FORSIDE!$B$8&gt;=0,FORSIDE!$F$8&gt;=2,FORSIDE!$B$5&gt;=10),473,"")</f>
        <v/>
      </c>
      <c r="B474" t="str">
        <f>IF(AND(FORSIDE!$B$8&gt;=0,FORSIDE!$F$8&gt;=2,FORSIDE!$B$5&gt;=10),354+2*FORSIDE!$F$9,"")</f>
        <v/>
      </c>
      <c r="C474" t="str">
        <f>IF(AND(FORSIDE!$B$8&gt;=0,FORSIDE!$F$8&gt;=2,FORSIDE!$B$5&gt;=10),0*FORSIDE!$B$9,"")</f>
        <v/>
      </c>
      <c r="D474" t="str">
        <f>IF(AND(FORSIDE!$B$8&gt;=0,FORSIDE!$F$8&gt;=2,FORSIDE!$B$5&gt;=10),FORSIDE!$B$6+(10-1)*FORSIDE!$B$7,"")</f>
        <v/>
      </c>
    </row>
    <row r="475" spans="1:4" x14ac:dyDescent="0.3">
      <c r="A475">
        <f>IF(AND(FORSIDE!$B$8&gt;=1,FORSIDE!$F$8&gt;=2,FORSIDE!$B$5&gt;=0),474,"")</f>
        <v>474</v>
      </c>
      <c r="B475">
        <f>IF(AND(FORSIDE!$B$8&gt;=1,FORSIDE!$F$8&gt;=2,FORSIDE!$B$5&gt;=0),354+2*FORSIDE!$F$9,"")</f>
        <v>24354</v>
      </c>
      <c r="C475">
        <f>IF(AND(FORSIDE!$B$8&gt;=1,FORSIDE!$F$8&gt;=2,FORSIDE!$B$5&gt;=0),1*FORSIDE!$B$9,"")</f>
        <v>8000</v>
      </c>
      <c r="D475">
        <f>IF(AND(FORSIDE!$B$8&gt;=1,FORSIDE!$F$8&gt;=2,FORSIDE!$B$5&gt;=0),0,"")</f>
        <v>0</v>
      </c>
    </row>
    <row r="476" spans="1:4" x14ac:dyDescent="0.3">
      <c r="A476">
        <f>IF(AND(FORSIDE!$B$8&gt;=1,FORSIDE!$F$8&gt;=2,FORSIDE!$B$5&gt;=1),475,"")</f>
        <v>475</v>
      </c>
      <c r="B476">
        <f>IF(AND(FORSIDE!$B$8&gt;=1,FORSIDE!$F$8&gt;=2,FORSIDE!$B$5&gt;=1),354+2*FORSIDE!$F$9,"")</f>
        <v>24354</v>
      </c>
      <c r="C476">
        <f>IF(AND(FORSIDE!$B$8&gt;=1,FORSIDE!$F$8&gt;=2,FORSIDE!$B$5&gt;=1),1*FORSIDE!$B$9,"")</f>
        <v>8000</v>
      </c>
      <c r="D476">
        <f>IF(AND(FORSIDE!$B$8&gt;=1,FORSIDE!$F$8&gt;=2,FORSIDE!$B$5&gt;=1),FORSIDE!$B$6+(1-1)*FORSIDE!$B$7,"")</f>
        <v>3000</v>
      </c>
    </row>
    <row r="477" spans="1:4" x14ac:dyDescent="0.3">
      <c r="A477">
        <f>IF(AND(FORSIDE!$B$8&gt;=1,FORSIDE!$F$8&gt;=2,FORSIDE!$B$5&gt;=2),476,"")</f>
        <v>476</v>
      </c>
      <c r="B477">
        <f>IF(AND(FORSIDE!$B$8&gt;=1,FORSIDE!$F$8&gt;=2,FORSIDE!$B$5&gt;=2),354+2*FORSIDE!$F$9,"")</f>
        <v>24354</v>
      </c>
      <c r="C477">
        <f>IF(AND(FORSIDE!$B$8&gt;=1,FORSIDE!$F$8&gt;=2,FORSIDE!$B$5&gt;=2),1*FORSIDE!$B$9,"")</f>
        <v>8000</v>
      </c>
      <c r="D477">
        <f>IF(AND(FORSIDE!$B$8&gt;=1,FORSIDE!$F$8&gt;=2,FORSIDE!$B$5&gt;=2),FORSIDE!$B$6+(2-1)*FORSIDE!$B$7,"")</f>
        <v>6000</v>
      </c>
    </row>
    <row r="478" spans="1:4" x14ac:dyDescent="0.3">
      <c r="A478">
        <f>IF(AND(FORSIDE!$B$8&gt;=1,FORSIDE!$F$8&gt;=2,FORSIDE!$B$5&gt;=3),477,"")</f>
        <v>477</v>
      </c>
      <c r="B478">
        <f>IF(AND(FORSIDE!$B$8&gt;=1,FORSIDE!$F$8&gt;=2,FORSIDE!$B$5&gt;=3),354+2*FORSIDE!$F$9,"")</f>
        <v>24354</v>
      </c>
      <c r="C478">
        <f>IF(AND(FORSIDE!$B$8&gt;=1,FORSIDE!$F$8&gt;=2,FORSIDE!$B$5&gt;=3),1*FORSIDE!$B$9,"")</f>
        <v>8000</v>
      </c>
      <c r="D478">
        <f>IF(AND(FORSIDE!$B$8&gt;=1,FORSIDE!$F$8&gt;=2,FORSIDE!$B$5&gt;=3),FORSIDE!$B$6+(3-1)*FORSIDE!$B$7,"")</f>
        <v>9000</v>
      </c>
    </row>
    <row r="479" spans="1:4" x14ac:dyDescent="0.3">
      <c r="A479">
        <f>IF(AND(FORSIDE!$B$8&gt;=1,FORSIDE!$F$8&gt;=2,FORSIDE!$B$5&gt;=4),478,"")</f>
        <v>478</v>
      </c>
      <c r="B479">
        <f>IF(AND(FORSIDE!$B$8&gt;=1,FORSIDE!$F$8&gt;=2,FORSIDE!$B$5&gt;=4),354+2*FORSIDE!$F$9,"")</f>
        <v>24354</v>
      </c>
      <c r="C479">
        <f>IF(AND(FORSIDE!$B$8&gt;=1,FORSIDE!$F$8&gt;=2,FORSIDE!$B$5&gt;=4),1*FORSIDE!$B$9,"")</f>
        <v>8000</v>
      </c>
      <c r="D479">
        <f>IF(AND(FORSIDE!$B$8&gt;=1,FORSIDE!$F$8&gt;=2,FORSIDE!$B$5&gt;=4),FORSIDE!$B$6+(4-1)*FORSIDE!$B$7,"")</f>
        <v>12000</v>
      </c>
    </row>
    <row r="480" spans="1:4" x14ac:dyDescent="0.3">
      <c r="A480">
        <f>IF(AND(FORSIDE!$B$8&gt;=1,FORSIDE!$F$8&gt;=2,FORSIDE!$B$5&gt;=5),479,"")</f>
        <v>479</v>
      </c>
      <c r="B480">
        <f>IF(AND(FORSIDE!$B$8&gt;=1,FORSIDE!$F$8&gt;=2,FORSIDE!$B$5&gt;=5),354+2*FORSIDE!$F$9,"")</f>
        <v>24354</v>
      </c>
      <c r="C480">
        <f>IF(AND(FORSIDE!$B$8&gt;=1,FORSIDE!$F$8&gt;=2,FORSIDE!$B$5&gt;=5),1*FORSIDE!$B$9,"")</f>
        <v>8000</v>
      </c>
      <c r="D480">
        <f>IF(AND(FORSIDE!$B$8&gt;=1,FORSIDE!$F$8&gt;=2,FORSIDE!$B$5&gt;=5),FORSIDE!$B$6+(5-1)*FORSIDE!$B$7,"")</f>
        <v>15000</v>
      </c>
    </row>
    <row r="481" spans="1:4" x14ac:dyDescent="0.3">
      <c r="A481">
        <f>IF(AND(FORSIDE!$B$8&gt;=1,FORSIDE!$F$8&gt;=2,FORSIDE!$B$5&gt;=6),480,"")</f>
        <v>480</v>
      </c>
      <c r="B481">
        <f>IF(AND(FORSIDE!$B$8&gt;=1,FORSIDE!$F$8&gt;=2,FORSIDE!$B$5&gt;=6),354+2*FORSIDE!$F$9,"")</f>
        <v>24354</v>
      </c>
      <c r="C481">
        <f>IF(AND(FORSIDE!$B$8&gt;=1,FORSIDE!$F$8&gt;=2,FORSIDE!$B$5&gt;=6),1*FORSIDE!$B$9,"")</f>
        <v>8000</v>
      </c>
      <c r="D481">
        <f>IF(AND(FORSIDE!$B$8&gt;=1,FORSIDE!$F$8&gt;=2,FORSIDE!$B$5&gt;=6),FORSIDE!$B$6+(6-1)*FORSIDE!$B$7,"")</f>
        <v>18000</v>
      </c>
    </row>
    <row r="482" spans="1:4" x14ac:dyDescent="0.3">
      <c r="A482" t="str">
        <f>IF(AND(FORSIDE!$B$8&gt;=1,FORSIDE!$F$8&gt;=2,FORSIDE!$B$5&gt;=7),481,"")</f>
        <v/>
      </c>
      <c r="B482" t="str">
        <f>IF(AND(FORSIDE!$B$8&gt;=1,FORSIDE!$F$8&gt;=2,FORSIDE!$B$5&gt;=7),354+2*FORSIDE!$F$9,"")</f>
        <v/>
      </c>
      <c r="C482" t="str">
        <f>IF(AND(FORSIDE!$B$8&gt;=1,FORSIDE!$F$8&gt;=2,FORSIDE!$B$5&gt;=7),1*FORSIDE!$B$9,"")</f>
        <v/>
      </c>
      <c r="D482" t="str">
        <f>IF(AND(FORSIDE!$B$8&gt;=1,FORSIDE!$F$8&gt;=2,FORSIDE!$B$5&gt;=7),FORSIDE!$B$6+(7-1)*FORSIDE!$B$7,"")</f>
        <v/>
      </c>
    </row>
    <row r="483" spans="1:4" x14ac:dyDescent="0.3">
      <c r="A483" t="str">
        <f>IF(AND(FORSIDE!$B$8&gt;=1,FORSIDE!$F$8&gt;=2,FORSIDE!$B$5&gt;=8),482,"")</f>
        <v/>
      </c>
      <c r="B483" t="str">
        <f>IF(AND(FORSIDE!$B$8&gt;=1,FORSIDE!$F$8&gt;=2,FORSIDE!$B$5&gt;=8),354+2*FORSIDE!$F$9,"")</f>
        <v/>
      </c>
      <c r="C483" t="str">
        <f>IF(AND(FORSIDE!$B$8&gt;=1,FORSIDE!$F$8&gt;=2,FORSIDE!$B$5&gt;=8),1*FORSIDE!$B$9,"")</f>
        <v/>
      </c>
      <c r="D483" t="str">
        <f>IF(AND(FORSIDE!$B$8&gt;=1,FORSIDE!$F$8&gt;=2,FORSIDE!$B$5&gt;=8),FORSIDE!$B$6+(8-1)*FORSIDE!$B$7,"")</f>
        <v/>
      </c>
    </row>
    <row r="484" spans="1:4" x14ac:dyDescent="0.3">
      <c r="A484" t="str">
        <f>IF(AND(FORSIDE!$B$8&gt;=1,FORSIDE!$F$8&gt;=2,FORSIDE!$B$5&gt;=9),483,"")</f>
        <v/>
      </c>
      <c r="B484" t="str">
        <f>IF(AND(FORSIDE!$B$8&gt;=1,FORSIDE!$F$8&gt;=2,FORSIDE!$B$5&gt;=9),354+2*FORSIDE!$F$9,"")</f>
        <v/>
      </c>
      <c r="C484" t="str">
        <f>IF(AND(FORSIDE!$B$8&gt;=1,FORSIDE!$F$8&gt;=2,FORSIDE!$B$5&gt;=9),1*FORSIDE!$B$9,"")</f>
        <v/>
      </c>
      <c r="D484" t="str">
        <f>IF(AND(FORSIDE!$B$8&gt;=1,FORSIDE!$F$8&gt;=2,FORSIDE!$B$5&gt;=9),FORSIDE!$B$6+(9-1)*FORSIDE!$B$7,"")</f>
        <v/>
      </c>
    </row>
    <row r="485" spans="1:4" x14ac:dyDescent="0.3">
      <c r="A485" t="str">
        <f>IF(AND(FORSIDE!$B$8&gt;=1,FORSIDE!$F$8&gt;=2,FORSIDE!$B$5&gt;=10),484,"")</f>
        <v/>
      </c>
      <c r="B485" t="str">
        <f>IF(AND(FORSIDE!$B$8&gt;=1,FORSIDE!$F$8&gt;=2,FORSIDE!$B$5&gt;=10),354+2*FORSIDE!$F$9,"")</f>
        <v/>
      </c>
      <c r="C485" t="str">
        <f>IF(AND(FORSIDE!$B$8&gt;=1,FORSIDE!$F$8&gt;=2,FORSIDE!$B$5&gt;=10),1*FORSIDE!$B$9,"")</f>
        <v/>
      </c>
      <c r="D485" t="str">
        <f>IF(AND(FORSIDE!$B$8&gt;=1,FORSIDE!$F$8&gt;=2,FORSIDE!$B$5&gt;=10),FORSIDE!$B$6+(10-1)*FORSIDE!$B$7,"")</f>
        <v/>
      </c>
    </row>
    <row r="486" spans="1:4" x14ac:dyDescent="0.3">
      <c r="A486">
        <f>IF(AND(FORSIDE!$B$8&gt;=2,FORSIDE!$F$8&gt;=2,FORSIDE!$B$5&gt;=0),485,"")</f>
        <v>485</v>
      </c>
      <c r="B486">
        <f>IF(AND(FORSIDE!$B$8&gt;=2,FORSIDE!$F$8&gt;=2,FORSIDE!$B$5&gt;=0),354+2*FORSIDE!$F$9,"")</f>
        <v>24354</v>
      </c>
      <c r="C486">
        <f>IF(AND(FORSIDE!$B$8&gt;=2,FORSIDE!$F$8&gt;=2,FORSIDE!$B$5&gt;=0),2*FORSIDE!$B$9,"")</f>
        <v>16000</v>
      </c>
      <c r="D486">
        <f>IF(AND(FORSIDE!$B$8&gt;=2,FORSIDE!$F$8&gt;=2,FORSIDE!$B$5&gt;=0),0,"")</f>
        <v>0</v>
      </c>
    </row>
    <row r="487" spans="1:4" x14ac:dyDescent="0.3">
      <c r="A487">
        <f>IF(AND(FORSIDE!$B$8&gt;=2,FORSIDE!$F$8&gt;=2,FORSIDE!$B$5&gt;=1),486,"")</f>
        <v>486</v>
      </c>
      <c r="B487">
        <f>IF(AND(FORSIDE!$B$8&gt;=2,FORSIDE!$F$8&gt;=2,FORSIDE!$B$5&gt;=1),354+2*FORSIDE!$F$9,"")</f>
        <v>24354</v>
      </c>
      <c r="C487">
        <f>IF(AND(FORSIDE!$B$8&gt;=2,FORSIDE!$F$8&gt;=2,FORSIDE!$B$5&gt;=1),2*FORSIDE!$B$9,"")</f>
        <v>16000</v>
      </c>
      <c r="D487">
        <f>IF(AND(FORSIDE!$B$8&gt;=2,FORSIDE!$F$8&gt;=2,FORSIDE!$B$5&gt;=1),FORSIDE!$B$6+(1-1)*FORSIDE!$B$7,"")</f>
        <v>3000</v>
      </c>
    </row>
    <row r="488" spans="1:4" x14ac:dyDescent="0.3">
      <c r="A488">
        <f>IF(AND(FORSIDE!$B$8&gt;=2,FORSIDE!$F$8&gt;=2,FORSIDE!$B$5&gt;=2),487,"")</f>
        <v>487</v>
      </c>
      <c r="B488">
        <f>IF(AND(FORSIDE!$B$8&gt;=2,FORSIDE!$F$8&gt;=2,FORSIDE!$B$5&gt;=2),354+2*FORSIDE!$F$9,"")</f>
        <v>24354</v>
      </c>
      <c r="C488">
        <f>IF(AND(FORSIDE!$B$8&gt;=2,FORSIDE!$F$8&gt;=2,FORSIDE!$B$5&gt;=2),2*FORSIDE!$B$9,"")</f>
        <v>16000</v>
      </c>
      <c r="D488">
        <f>IF(AND(FORSIDE!$B$8&gt;=2,FORSIDE!$F$8&gt;=2,FORSIDE!$B$5&gt;=2),FORSIDE!$B$6+(2-1)*FORSIDE!$B$7,"")</f>
        <v>6000</v>
      </c>
    </row>
    <row r="489" spans="1:4" x14ac:dyDescent="0.3">
      <c r="A489">
        <f>IF(AND(FORSIDE!$B$8&gt;=2,FORSIDE!$F$8&gt;=2,FORSIDE!$B$5&gt;=3),488,"")</f>
        <v>488</v>
      </c>
      <c r="B489">
        <f>IF(AND(FORSIDE!$B$8&gt;=2,FORSIDE!$F$8&gt;=2,FORSIDE!$B$5&gt;=3),354+2*FORSIDE!$F$9,"")</f>
        <v>24354</v>
      </c>
      <c r="C489">
        <f>IF(AND(FORSIDE!$B$8&gt;=2,FORSIDE!$F$8&gt;=2,FORSIDE!$B$5&gt;=3),2*FORSIDE!$B$9,"")</f>
        <v>16000</v>
      </c>
      <c r="D489">
        <f>IF(AND(FORSIDE!$B$8&gt;=2,FORSIDE!$F$8&gt;=2,FORSIDE!$B$5&gt;=3),FORSIDE!$B$6+(3-1)*FORSIDE!$B$7,"")</f>
        <v>9000</v>
      </c>
    </row>
    <row r="490" spans="1:4" x14ac:dyDescent="0.3">
      <c r="A490">
        <f>IF(AND(FORSIDE!$B$8&gt;=2,FORSIDE!$F$8&gt;=2,FORSIDE!$B$5&gt;=4),489,"")</f>
        <v>489</v>
      </c>
      <c r="B490">
        <f>IF(AND(FORSIDE!$B$8&gt;=2,FORSIDE!$F$8&gt;=2,FORSIDE!$B$5&gt;=4),354+2*FORSIDE!$F$9,"")</f>
        <v>24354</v>
      </c>
      <c r="C490">
        <f>IF(AND(FORSIDE!$B$8&gt;=2,FORSIDE!$F$8&gt;=2,FORSIDE!$B$5&gt;=4),2*FORSIDE!$B$9,"")</f>
        <v>16000</v>
      </c>
      <c r="D490">
        <f>IF(AND(FORSIDE!$B$8&gt;=2,FORSIDE!$F$8&gt;=2,FORSIDE!$B$5&gt;=4),FORSIDE!$B$6+(4-1)*FORSIDE!$B$7,"")</f>
        <v>12000</v>
      </c>
    </row>
    <row r="491" spans="1:4" x14ac:dyDescent="0.3">
      <c r="A491">
        <f>IF(AND(FORSIDE!$B$8&gt;=2,FORSIDE!$F$8&gt;=2,FORSIDE!$B$5&gt;=5),490,"")</f>
        <v>490</v>
      </c>
      <c r="B491">
        <f>IF(AND(FORSIDE!$B$8&gt;=2,FORSIDE!$F$8&gt;=2,FORSIDE!$B$5&gt;=5),354+2*FORSIDE!$F$9,"")</f>
        <v>24354</v>
      </c>
      <c r="C491">
        <f>IF(AND(FORSIDE!$B$8&gt;=2,FORSIDE!$F$8&gt;=2,FORSIDE!$B$5&gt;=5),2*FORSIDE!$B$9,"")</f>
        <v>16000</v>
      </c>
      <c r="D491">
        <f>IF(AND(FORSIDE!$B$8&gt;=2,FORSIDE!$F$8&gt;=2,FORSIDE!$B$5&gt;=5),FORSIDE!$B$6+(5-1)*FORSIDE!$B$7,"")</f>
        <v>15000</v>
      </c>
    </row>
    <row r="492" spans="1:4" x14ac:dyDescent="0.3">
      <c r="A492">
        <f>IF(AND(FORSIDE!$B$8&gt;=2,FORSIDE!$F$8&gt;=2,FORSIDE!$B$5&gt;=6),491,"")</f>
        <v>491</v>
      </c>
      <c r="B492">
        <f>IF(AND(FORSIDE!$B$8&gt;=2,FORSIDE!$F$8&gt;=2,FORSIDE!$B$5&gt;=6),354+2*FORSIDE!$F$9,"")</f>
        <v>24354</v>
      </c>
      <c r="C492">
        <f>IF(AND(FORSIDE!$B$8&gt;=2,FORSIDE!$F$8&gt;=2,FORSIDE!$B$5&gt;=6),2*FORSIDE!$B$9,"")</f>
        <v>16000</v>
      </c>
      <c r="D492">
        <f>IF(AND(FORSIDE!$B$8&gt;=2,FORSIDE!$F$8&gt;=2,FORSIDE!$B$5&gt;=6),FORSIDE!$B$6+(6-1)*FORSIDE!$B$7,"")</f>
        <v>18000</v>
      </c>
    </row>
    <row r="493" spans="1:4" x14ac:dyDescent="0.3">
      <c r="A493" t="str">
        <f>IF(AND(FORSIDE!$B$8&gt;=2,FORSIDE!$F$8&gt;=2,FORSIDE!$B$5&gt;=7),492,"")</f>
        <v/>
      </c>
      <c r="B493" t="str">
        <f>IF(AND(FORSIDE!$B$8&gt;=2,FORSIDE!$F$8&gt;=2,FORSIDE!$B$5&gt;=7),354+2*FORSIDE!$F$9,"")</f>
        <v/>
      </c>
      <c r="C493" t="str">
        <f>IF(AND(FORSIDE!$B$8&gt;=2,FORSIDE!$F$8&gt;=2,FORSIDE!$B$5&gt;=7),2*FORSIDE!$B$9,"")</f>
        <v/>
      </c>
      <c r="D493" t="str">
        <f>IF(AND(FORSIDE!$B$8&gt;=2,FORSIDE!$F$8&gt;=2,FORSIDE!$B$5&gt;=7),FORSIDE!$B$6+(7-1)*FORSIDE!$B$7,"")</f>
        <v/>
      </c>
    </row>
    <row r="494" spans="1:4" x14ac:dyDescent="0.3">
      <c r="A494" t="str">
        <f>IF(AND(FORSIDE!$B$8&gt;=2,FORSIDE!$F$8&gt;=2,FORSIDE!$B$5&gt;=8),493,"")</f>
        <v/>
      </c>
      <c r="B494" t="str">
        <f>IF(AND(FORSIDE!$B$8&gt;=2,FORSIDE!$F$8&gt;=2,FORSIDE!$B$5&gt;=8),354+2*FORSIDE!$F$9,"")</f>
        <v/>
      </c>
      <c r="C494" t="str">
        <f>IF(AND(FORSIDE!$B$8&gt;=2,FORSIDE!$F$8&gt;=2,FORSIDE!$B$5&gt;=8),2*FORSIDE!$B$9,"")</f>
        <v/>
      </c>
      <c r="D494" t="str">
        <f>IF(AND(FORSIDE!$B$8&gt;=2,FORSIDE!$F$8&gt;=2,FORSIDE!$B$5&gt;=8),FORSIDE!$B$6+(8-1)*FORSIDE!$B$7,"")</f>
        <v/>
      </c>
    </row>
    <row r="495" spans="1:4" x14ac:dyDescent="0.3">
      <c r="A495" t="str">
        <f>IF(AND(FORSIDE!$B$8&gt;=2,FORSIDE!$F$8&gt;=2,FORSIDE!$B$5&gt;=9),494,"")</f>
        <v/>
      </c>
      <c r="B495" t="str">
        <f>IF(AND(FORSIDE!$B$8&gt;=2,FORSIDE!$F$8&gt;=2,FORSIDE!$B$5&gt;=9),354+2*FORSIDE!$F$9,"")</f>
        <v/>
      </c>
      <c r="C495" t="str">
        <f>IF(AND(FORSIDE!$B$8&gt;=2,FORSIDE!$F$8&gt;=2,FORSIDE!$B$5&gt;=9),2*FORSIDE!$B$9,"")</f>
        <v/>
      </c>
      <c r="D495" t="str">
        <f>IF(AND(FORSIDE!$B$8&gt;=2,FORSIDE!$F$8&gt;=2,FORSIDE!$B$5&gt;=9),FORSIDE!$B$6+(9-1)*FORSIDE!$B$7,"")</f>
        <v/>
      </c>
    </row>
    <row r="496" spans="1:4" x14ac:dyDescent="0.3">
      <c r="A496" t="str">
        <f>IF(AND(FORSIDE!$B$8&gt;=2,FORSIDE!$F$8&gt;=2,FORSIDE!$B$5&gt;=10),495,"")</f>
        <v/>
      </c>
      <c r="B496" t="str">
        <f>IF(AND(FORSIDE!$B$8&gt;=2,FORSIDE!$F$8&gt;=2,FORSIDE!$B$5&gt;=10),354+2*FORSIDE!$F$9,"")</f>
        <v/>
      </c>
      <c r="C496" t="str">
        <f>IF(AND(FORSIDE!$B$8&gt;=2,FORSIDE!$F$8&gt;=2,FORSIDE!$B$5&gt;=10),2*FORSIDE!$B$9,"")</f>
        <v/>
      </c>
      <c r="D496" t="str">
        <f>IF(AND(FORSIDE!$B$8&gt;=2,FORSIDE!$F$8&gt;=2,FORSIDE!$B$5&gt;=10),FORSIDE!$B$6+(10-1)*FORSIDE!$B$7,"")</f>
        <v/>
      </c>
    </row>
    <row r="497" spans="1:4" x14ac:dyDescent="0.3">
      <c r="A497">
        <f>IF(AND(FORSIDE!$B$8&gt;=3,FORSIDE!$F$8&gt;=2,FORSIDE!$B$5&gt;=0),496,"")</f>
        <v>496</v>
      </c>
      <c r="B497">
        <f>IF(AND(FORSIDE!$B$8&gt;=3,FORSIDE!$F$8&gt;=2,FORSIDE!$B$5&gt;=0),354+2*FORSIDE!$F$9,"")</f>
        <v>24354</v>
      </c>
      <c r="C497">
        <f>IF(AND(FORSIDE!$B$8&gt;=3,FORSIDE!$F$8&gt;=2,FORSIDE!$B$5&gt;=0),3*FORSIDE!$B$9,"")</f>
        <v>24000</v>
      </c>
      <c r="D497">
        <f>IF(AND(FORSIDE!$B$8&gt;=3,FORSIDE!$F$8&gt;=2,FORSIDE!$B$5&gt;=0),0,"")</f>
        <v>0</v>
      </c>
    </row>
    <row r="498" spans="1:4" x14ac:dyDescent="0.3">
      <c r="A498">
        <f>IF(AND(FORSIDE!$B$8&gt;=3,FORSIDE!$F$8&gt;=2,FORSIDE!$B$5&gt;=1),497,"")</f>
        <v>497</v>
      </c>
      <c r="B498">
        <f>IF(AND(FORSIDE!$B$8&gt;=3,FORSIDE!$F$8&gt;=2,FORSIDE!$B$5&gt;=1),354+2*FORSIDE!$F$9,"")</f>
        <v>24354</v>
      </c>
      <c r="C498">
        <f>IF(AND(FORSIDE!$B$8&gt;=3,FORSIDE!$F$8&gt;=2,FORSIDE!$B$5&gt;=1),3*FORSIDE!$B$9,"")</f>
        <v>24000</v>
      </c>
      <c r="D498">
        <f>IF(AND(FORSIDE!$B$8&gt;=3,FORSIDE!$F$8&gt;=2,FORSIDE!$B$5&gt;=1),FORSIDE!$B$6+(1-1)*FORSIDE!$B$7,"")</f>
        <v>3000</v>
      </c>
    </row>
    <row r="499" spans="1:4" x14ac:dyDescent="0.3">
      <c r="A499">
        <f>IF(AND(FORSIDE!$B$8&gt;=3,FORSIDE!$F$8&gt;=2,FORSIDE!$B$5&gt;=2),498,"")</f>
        <v>498</v>
      </c>
      <c r="B499">
        <f>IF(AND(FORSIDE!$B$8&gt;=3,FORSIDE!$F$8&gt;=2,FORSIDE!$B$5&gt;=2),354+2*FORSIDE!$F$9,"")</f>
        <v>24354</v>
      </c>
      <c r="C499">
        <f>IF(AND(FORSIDE!$B$8&gt;=3,FORSIDE!$F$8&gt;=2,FORSIDE!$B$5&gt;=2),3*FORSIDE!$B$9,"")</f>
        <v>24000</v>
      </c>
      <c r="D499">
        <f>IF(AND(FORSIDE!$B$8&gt;=3,FORSIDE!$F$8&gt;=2,FORSIDE!$B$5&gt;=2),FORSIDE!$B$6+(2-1)*FORSIDE!$B$7,"")</f>
        <v>6000</v>
      </c>
    </row>
    <row r="500" spans="1:4" x14ac:dyDescent="0.3">
      <c r="A500">
        <f>IF(AND(FORSIDE!$B$8&gt;=3,FORSIDE!$F$8&gt;=2,FORSIDE!$B$5&gt;=3),499,"")</f>
        <v>499</v>
      </c>
      <c r="B500">
        <f>IF(AND(FORSIDE!$B$8&gt;=3,FORSIDE!$F$8&gt;=2,FORSIDE!$B$5&gt;=3),354+2*FORSIDE!$F$9,"")</f>
        <v>24354</v>
      </c>
      <c r="C500">
        <f>IF(AND(FORSIDE!$B$8&gt;=3,FORSIDE!$F$8&gt;=2,FORSIDE!$B$5&gt;=3),3*FORSIDE!$B$9,"")</f>
        <v>24000</v>
      </c>
      <c r="D500">
        <f>IF(AND(FORSIDE!$B$8&gt;=3,FORSIDE!$F$8&gt;=2,FORSIDE!$B$5&gt;=3),FORSIDE!$B$6+(3-1)*FORSIDE!$B$7,"")</f>
        <v>9000</v>
      </c>
    </row>
    <row r="501" spans="1:4" x14ac:dyDescent="0.3">
      <c r="A501">
        <f>IF(AND(FORSIDE!$B$8&gt;=3,FORSIDE!$F$8&gt;=2,FORSIDE!$B$5&gt;=4),500,"")</f>
        <v>500</v>
      </c>
      <c r="B501">
        <f>IF(AND(FORSIDE!$B$8&gt;=3,FORSIDE!$F$8&gt;=2,FORSIDE!$B$5&gt;=4),354+2*FORSIDE!$F$9,"")</f>
        <v>24354</v>
      </c>
      <c r="C501">
        <f>IF(AND(FORSIDE!$B$8&gt;=3,FORSIDE!$F$8&gt;=2,FORSIDE!$B$5&gt;=4),3*FORSIDE!$B$9,"")</f>
        <v>24000</v>
      </c>
      <c r="D501">
        <f>IF(AND(FORSIDE!$B$8&gt;=3,FORSIDE!$F$8&gt;=2,FORSIDE!$B$5&gt;=4),FORSIDE!$B$6+(4-1)*FORSIDE!$B$7,"")</f>
        <v>12000</v>
      </c>
    </row>
    <row r="502" spans="1:4" x14ac:dyDescent="0.3">
      <c r="A502">
        <f>IF(AND(FORSIDE!$B$8&gt;=3,FORSIDE!$F$8&gt;=2,FORSIDE!$B$5&gt;=5),501,"")</f>
        <v>501</v>
      </c>
      <c r="B502">
        <f>IF(AND(FORSIDE!$B$8&gt;=3,FORSIDE!$F$8&gt;=2,FORSIDE!$B$5&gt;=5),354+2*FORSIDE!$F$9,"")</f>
        <v>24354</v>
      </c>
      <c r="C502">
        <f>IF(AND(FORSIDE!$B$8&gt;=3,FORSIDE!$F$8&gt;=2,FORSIDE!$B$5&gt;=5),3*FORSIDE!$B$9,"")</f>
        <v>24000</v>
      </c>
      <c r="D502">
        <f>IF(AND(FORSIDE!$B$8&gt;=3,FORSIDE!$F$8&gt;=2,FORSIDE!$B$5&gt;=5),FORSIDE!$B$6+(5-1)*FORSIDE!$B$7,"")</f>
        <v>15000</v>
      </c>
    </row>
    <row r="503" spans="1:4" x14ac:dyDescent="0.3">
      <c r="A503">
        <f>IF(AND(FORSIDE!$B$8&gt;=3,FORSIDE!$F$8&gt;=2,FORSIDE!$B$5&gt;=6),502,"")</f>
        <v>502</v>
      </c>
      <c r="B503">
        <f>IF(AND(FORSIDE!$B$8&gt;=3,FORSIDE!$F$8&gt;=2,FORSIDE!$B$5&gt;=6),354+2*FORSIDE!$F$9,"")</f>
        <v>24354</v>
      </c>
      <c r="C503">
        <f>IF(AND(FORSIDE!$B$8&gt;=3,FORSIDE!$F$8&gt;=2,FORSIDE!$B$5&gt;=6),3*FORSIDE!$B$9,"")</f>
        <v>24000</v>
      </c>
      <c r="D503">
        <f>IF(AND(FORSIDE!$B$8&gt;=3,FORSIDE!$F$8&gt;=2,FORSIDE!$B$5&gt;=6),FORSIDE!$B$6+(6-1)*FORSIDE!$B$7,"")</f>
        <v>18000</v>
      </c>
    </row>
    <row r="504" spans="1:4" x14ac:dyDescent="0.3">
      <c r="A504" t="str">
        <f>IF(AND(FORSIDE!$B$8&gt;=3,FORSIDE!$F$8&gt;=2,FORSIDE!$B$5&gt;=7),503,"")</f>
        <v/>
      </c>
      <c r="B504" t="str">
        <f>IF(AND(FORSIDE!$B$8&gt;=3,FORSIDE!$F$8&gt;=2,FORSIDE!$B$5&gt;=7),354+2*FORSIDE!$F$9,"")</f>
        <v/>
      </c>
      <c r="C504" t="str">
        <f>IF(AND(FORSIDE!$B$8&gt;=3,FORSIDE!$F$8&gt;=2,FORSIDE!$B$5&gt;=7),3*FORSIDE!$B$9,"")</f>
        <v/>
      </c>
      <c r="D504" t="str">
        <f>IF(AND(FORSIDE!$B$8&gt;=3,FORSIDE!$F$8&gt;=2,FORSIDE!$B$5&gt;=7),FORSIDE!$B$6+(7-1)*FORSIDE!$B$7,"")</f>
        <v/>
      </c>
    </row>
    <row r="505" spans="1:4" x14ac:dyDescent="0.3">
      <c r="A505" t="str">
        <f>IF(AND(FORSIDE!$B$8&gt;=3,FORSIDE!$F$8&gt;=2,FORSIDE!$B$5&gt;=8),504,"")</f>
        <v/>
      </c>
      <c r="B505" t="str">
        <f>IF(AND(FORSIDE!$B$8&gt;=3,FORSIDE!$F$8&gt;=2,FORSIDE!$B$5&gt;=8),354+2*FORSIDE!$F$9,"")</f>
        <v/>
      </c>
      <c r="C505" t="str">
        <f>IF(AND(FORSIDE!$B$8&gt;=3,FORSIDE!$F$8&gt;=2,FORSIDE!$B$5&gt;=8),3*FORSIDE!$B$9,"")</f>
        <v/>
      </c>
      <c r="D505" t="str">
        <f>IF(AND(FORSIDE!$B$8&gt;=3,FORSIDE!$F$8&gt;=2,FORSIDE!$B$5&gt;=8),FORSIDE!$B$6+(8-1)*FORSIDE!$B$7,"")</f>
        <v/>
      </c>
    </row>
    <row r="506" spans="1:4" x14ac:dyDescent="0.3">
      <c r="A506" t="str">
        <f>IF(AND(FORSIDE!$B$8&gt;=3,FORSIDE!$F$8&gt;=2,FORSIDE!$B$5&gt;=9),505,"")</f>
        <v/>
      </c>
      <c r="B506" t="str">
        <f>IF(AND(FORSIDE!$B$8&gt;=3,FORSIDE!$F$8&gt;=2,FORSIDE!$B$5&gt;=9),354+2*FORSIDE!$F$9,"")</f>
        <v/>
      </c>
      <c r="C506" t="str">
        <f>IF(AND(FORSIDE!$B$8&gt;=3,FORSIDE!$F$8&gt;=2,FORSIDE!$B$5&gt;=9),3*FORSIDE!$B$9,"")</f>
        <v/>
      </c>
      <c r="D506" t="str">
        <f>IF(AND(FORSIDE!$B$8&gt;=3,FORSIDE!$F$8&gt;=2,FORSIDE!$B$5&gt;=9),FORSIDE!$B$6+(9-1)*FORSIDE!$B$7,"")</f>
        <v/>
      </c>
    </row>
    <row r="507" spans="1:4" x14ac:dyDescent="0.3">
      <c r="A507" t="str">
        <f>IF(AND(FORSIDE!$B$8&gt;=3,FORSIDE!$F$8&gt;=2,FORSIDE!$B$5&gt;=10),506,"")</f>
        <v/>
      </c>
      <c r="B507" t="str">
        <f>IF(AND(FORSIDE!$B$8&gt;=3,FORSIDE!$F$8&gt;=2,FORSIDE!$B$5&gt;=10),354+2*FORSIDE!$F$9,"")</f>
        <v/>
      </c>
      <c r="C507" t="str">
        <f>IF(AND(FORSIDE!$B$8&gt;=3,FORSIDE!$F$8&gt;=2,FORSIDE!$B$5&gt;=10),3*FORSIDE!$B$9,"")</f>
        <v/>
      </c>
      <c r="D507" t="str">
        <f>IF(AND(FORSIDE!$B$8&gt;=3,FORSIDE!$F$8&gt;=2,FORSIDE!$B$5&gt;=10),FORSIDE!$B$6+(10-1)*FORSIDE!$B$7,"")</f>
        <v/>
      </c>
    </row>
    <row r="508" spans="1:4" x14ac:dyDescent="0.3">
      <c r="A508">
        <f>IF(AND(FORSIDE!$B$8&gt;=4,FORSIDE!$F$8&gt;=2,FORSIDE!$B$5&gt;=0),507,"")</f>
        <v>507</v>
      </c>
      <c r="B508">
        <f>IF(AND(FORSIDE!$B$8&gt;=4,FORSIDE!$F$8&gt;=2,FORSIDE!$B$5&gt;=0),354+2*FORSIDE!$F$9,"")</f>
        <v>24354</v>
      </c>
      <c r="C508">
        <f>IF(AND(FORSIDE!$B$8&gt;=4,FORSIDE!$F$8&gt;=2,FORSIDE!$B$5&gt;=0),4*FORSIDE!$B$9,"")</f>
        <v>32000</v>
      </c>
      <c r="D508">
        <f>IF(AND(FORSIDE!$B$8&gt;=4,FORSIDE!$F$8&gt;=2,FORSIDE!$B$5&gt;=0),0,"")</f>
        <v>0</v>
      </c>
    </row>
    <row r="509" spans="1:4" x14ac:dyDescent="0.3">
      <c r="A509">
        <f>IF(AND(FORSIDE!$B$8&gt;=4,FORSIDE!$F$8&gt;=2,FORSIDE!$B$5&gt;=1),508,"")</f>
        <v>508</v>
      </c>
      <c r="B509">
        <f>IF(AND(FORSIDE!$B$8&gt;=4,FORSIDE!$F$8&gt;=2,FORSIDE!$B$5&gt;=1),354+2*FORSIDE!$F$9,"")</f>
        <v>24354</v>
      </c>
      <c r="C509">
        <f>IF(AND(FORSIDE!$B$8&gt;=4,FORSIDE!$F$8&gt;=2,FORSIDE!$B$5&gt;=1),4*FORSIDE!$B$9,"")</f>
        <v>32000</v>
      </c>
      <c r="D509">
        <f>IF(AND(FORSIDE!$B$8&gt;=4,FORSIDE!$F$8&gt;=2,FORSIDE!$B$5&gt;=1),FORSIDE!$B$6+(1-1)*FORSIDE!$B$7,"")</f>
        <v>3000</v>
      </c>
    </row>
    <row r="510" spans="1:4" x14ac:dyDescent="0.3">
      <c r="A510">
        <f>IF(AND(FORSIDE!$B$8&gt;=4,FORSIDE!$F$8&gt;=2,FORSIDE!$B$5&gt;=2),509,"")</f>
        <v>509</v>
      </c>
      <c r="B510">
        <f>IF(AND(FORSIDE!$B$8&gt;=4,FORSIDE!$F$8&gt;=2,FORSIDE!$B$5&gt;=2),354+2*FORSIDE!$F$9,"")</f>
        <v>24354</v>
      </c>
      <c r="C510">
        <f>IF(AND(FORSIDE!$B$8&gt;=4,FORSIDE!$F$8&gt;=2,FORSIDE!$B$5&gt;=2),4*FORSIDE!$B$9,"")</f>
        <v>32000</v>
      </c>
      <c r="D510">
        <f>IF(AND(FORSIDE!$B$8&gt;=4,FORSIDE!$F$8&gt;=2,FORSIDE!$B$5&gt;=2),FORSIDE!$B$6+(2-1)*FORSIDE!$B$7,"")</f>
        <v>6000</v>
      </c>
    </row>
    <row r="511" spans="1:4" x14ac:dyDescent="0.3">
      <c r="A511">
        <f>IF(AND(FORSIDE!$B$8&gt;=4,FORSIDE!$F$8&gt;=2,FORSIDE!$B$5&gt;=3),510,"")</f>
        <v>510</v>
      </c>
      <c r="B511">
        <f>IF(AND(FORSIDE!$B$8&gt;=4,FORSIDE!$F$8&gt;=2,FORSIDE!$B$5&gt;=3),354+2*FORSIDE!$F$9,"")</f>
        <v>24354</v>
      </c>
      <c r="C511">
        <f>IF(AND(FORSIDE!$B$8&gt;=4,FORSIDE!$F$8&gt;=2,FORSIDE!$B$5&gt;=3),4*FORSIDE!$B$9,"")</f>
        <v>32000</v>
      </c>
      <c r="D511">
        <f>IF(AND(FORSIDE!$B$8&gt;=4,FORSIDE!$F$8&gt;=2,FORSIDE!$B$5&gt;=3),FORSIDE!$B$6+(3-1)*FORSIDE!$B$7,"")</f>
        <v>9000</v>
      </c>
    </row>
    <row r="512" spans="1:4" x14ac:dyDescent="0.3">
      <c r="A512">
        <f>IF(AND(FORSIDE!$B$8&gt;=4,FORSIDE!$F$8&gt;=2,FORSIDE!$B$5&gt;=4),511,"")</f>
        <v>511</v>
      </c>
      <c r="B512">
        <f>IF(AND(FORSIDE!$B$8&gt;=4,FORSIDE!$F$8&gt;=2,FORSIDE!$B$5&gt;=4),354+2*FORSIDE!$F$9,"")</f>
        <v>24354</v>
      </c>
      <c r="C512">
        <f>IF(AND(FORSIDE!$B$8&gt;=4,FORSIDE!$F$8&gt;=2,FORSIDE!$B$5&gt;=4),4*FORSIDE!$B$9,"")</f>
        <v>32000</v>
      </c>
      <c r="D512">
        <f>IF(AND(FORSIDE!$B$8&gt;=4,FORSIDE!$F$8&gt;=2,FORSIDE!$B$5&gt;=4),FORSIDE!$B$6+(4-1)*FORSIDE!$B$7,"")</f>
        <v>12000</v>
      </c>
    </row>
    <row r="513" spans="1:4" x14ac:dyDescent="0.3">
      <c r="A513">
        <f>IF(AND(FORSIDE!$B$8&gt;=4,FORSIDE!$F$8&gt;=2,FORSIDE!$B$5&gt;=5),512,"")</f>
        <v>512</v>
      </c>
      <c r="B513">
        <f>IF(AND(FORSIDE!$B$8&gt;=4,FORSIDE!$F$8&gt;=2,FORSIDE!$B$5&gt;=5),354+2*FORSIDE!$F$9,"")</f>
        <v>24354</v>
      </c>
      <c r="C513">
        <f>IF(AND(FORSIDE!$B$8&gt;=4,FORSIDE!$F$8&gt;=2,FORSIDE!$B$5&gt;=5),4*FORSIDE!$B$9,"")</f>
        <v>32000</v>
      </c>
      <c r="D513">
        <f>IF(AND(FORSIDE!$B$8&gt;=4,FORSIDE!$F$8&gt;=2,FORSIDE!$B$5&gt;=5),FORSIDE!$B$6+(5-1)*FORSIDE!$B$7,"")</f>
        <v>15000</v>
      </c>
    </row>
    <row r="514" spans="1:4" x14ac:dyDescent="0.3">
      <c r="A514">
        <f>IF(AND(FORSIDE!$B$8&gt;=4,FORSIDE!$F$8&gt;=2,FORSIDE!$B$5&gt;=6),513,"")</f>
        <v>513</v>
      </c>
      <c r="B514">
        <f>IF(AND(FORSIDE!$B$8&gt;=4,FORSIDE!$F$8&gt;=2,FORSIDE!$B$5&gt;=6),354+2*FORSIDE!$F$9,"")</f>
        <v>24354</v>
      </c>
      <c r="C514">
        <f>IF(AND(FORSIDE!$B$8&gt;=4,FORSIDE!$F$8&gt;=2,FORSIDE!$B$5&gt;=6),4*FORSIDE!$B$9,"")</f>
        <v>32000</v>
      </c>
      <c r="D514">
        <f>IF(AND(FORSIDE!$B$8&gt;=4,FORSIDE!$F$8&gt;=2,FORSIDE!$B$5&gt;=6),FORSIDE!$B$6+(6-1)*FORSIDE!$B$7,"")</f>
        <v>18000</v>
      </c>
    </row>
    <row r="515" spans="1:4" x14ac:dyDescent="0.3">
      <c r="A515" t="str">
        <f>IF(AND(FORSIDE!$B$8&gt;=4,FORSIDE!$F$8&gt;=2,FORSIDE!$B$5&gt;=7),514,"")</f>
        <v/>
      </c>
      <c r="B515" t="str">
        <f>IF(AND(FORSIDE!$B$8&gt;=4,FORSIDE!$F$8&gt;=2,FORSIDE!$B$5&gt;=7),354+2*FORSIDE!$F$9,"")</f>
        <v/>
      </c>
      <c r="C515" t="str">
        <f>IF(AND(FORSIDE!$B$8&gt;=4,FORSIDE!$F$8&gt;=2,FORSIDE!$B$5&gt;=7),4*FORSIDE!$B$9,"")</f>
        <v/>
      </c>
      <c r="D515" t="str">
        <f>IF(AND(FORSIDE!$B$8&gt;=4,FORSIDE!$F$8&gt;=2,FORSIDE!$B$5&gt;=7),FORSIDE!$B$6+(7-1)*FORSIDE!$B$7,"")</f>
        <v/>
      </c>
    </row>
    <row r="516" spans="1:4" x14ac:dyDescent="0.3">
      <c r="A516" t="str">
        <f>IF(AND(FORSIDE!$B$8&gt;=4,FORSIDE!$F$8&gt;=2,FORSIDE!$B$5&gt;=8),515,"")</f>
        <v/>
      </c>
      <c r="B516" t="str">
        <f>IF(AND(FORSIDE!$B$8&gt;=4,FORSIDE!$F$8&gt;=2,FORSIDE!$B$5&gt;=8),354+2*FORSIDE!$F$9,"")</f>
        <v/>
      </c>
      <c r="C516" t="str">
        <f>IF(AND(FORSIDE!$B$8&gt;=4,FORSIDE!$F$8&gt;=2,FORSIDE!$B$5&gt;=8),4*FORSIDE!$B$9,"")</f>
        <v/>
      </c>
      <c r="D516" t="str">
        <f>IF(AND(FORSIDE!$B$8&gt;=4,FORSIDE!$F$8&gt;=2,FORSIDE!$B$5&gt;=8),FORSIDE!$B$6+(8-1)*FORSIDE!$B$7,"")</f>
        <v/>
      </c>
    </row>
    <row r="517" spans="1:4" x14ac:dyDescent="0.3">
      <c r="A517" t="str">
        <f>IF(AND(FORSIDE!$B$8&gt;=4,FORSIDE!$F$8&gt;=2,FORSIDE!$B$5&gt;=9),516,"")</f>
        <v/>
      </c>
      <c r="B517" t="str">
        <f>IF(AND(FORSIDE!$B$8&gt;=4,FORSIDE!$F$8&gt;=2,FORSIDE!$B$5&gt;=9),354+2*FORSIDE!$F$9,"")</f>
        <v/>
      </c>
      <c r="C517" t="str">
        <f>IF(AND(FORSIDE!$B$8&gt;=4,FORSIDE!$F$8&gt;=2,FORSIDE!$B$5&gt;=9),4*FORSIDE!$B$9,"")</f>
        <v/>
      </c>
      <c r="D517" t="str">
        <f>IF(AND(FORSIDE!$B$8&gt;=4,FORSIDE!$F$8&gt;=2,FORSIDE!$B$5&gt;=9),FORSIDE!$B$6+(9-1)*FORSIDE!$B$7,"")</f>
        <v/>
      </c>
    </row>
    <row r="518" spans="1:4" x14ac:dyDescent="0.3">
      <c r="A518" t="str">
        <f>IF(AND(FORSIDE!$B$8&gt;=4,FORSIDE!$F$8&gt;=2,FORSIDE!$B$5&gt;=10),517,"")</f>
        <v/>
      </c>
      <c r="B518" t="str">
        <f>IF(AND(FORSIDE!$B$8&gt;=4,FORSIDE!$F$8&gt;=2,FORSIDE!$B$5&gt;=10),354+2*FORSIDE!$F$9,"")</f>
        <v/>
      </c>
      <c r="C518" t="str">
        <f>IF(AND(FORSIDE!$B$8&gt;=4,FORSIDE!$F$8&gt;=2,FORSIDE!$B$5&gt;=10),4*FORSIDE!$B$9,"")</f>
        <v/>
      </c>
      <c r="D518" t="str">
        <f>IF(AND(FORSIDE!$B$8&gt;=4,FORSIDE!$F$8&gt;=2,FORSIDE!$B$5&gt;=10),FORSIDE!$B$6+(10-1)*FORSIDE!$B$7,"")</f>
        <v/>
      </c>
    </row>
    <row r="519" spans="1:4" x14ac:dyDescent="0.3">
      <c r="A519" t="str">
        <f>IF(AND(FORSIDE!$B$8&gt;=5,FORSIDE!$F$8&gt;=2,FORSIDE!$B$5&gt;=0),518,"")</f>
        <v/>
      </c>
      <c r="B519" t="str">
        <f>IF(AND(FORSIDE!$B$8&gt;=5,FORSIDE!$F$8&gt;=2,FORSIDE!$B$5&gt;=0),354+2*FORSIDE!$F$9,"")</f>
        <v/>
      </c>
      <c r="C519" t="str">
        <f>IF(AND(FORSIDE!$B$8&gt;=5,FORSIDE!$F$8&gt;=2,FORSIDE!$B$5&gt;=0),5*FORSIDE!$B$9,"")</f>
        <v/>
      </c>
      <c r="D519" t="str">
        <f>IF(AND(FORSIDE!$B$8&gt;=5,FORSIDE!$F$8&gt;=2,FORSIDE!$B$5&gt;=0),0,"")</f>
        <v/>
      </c>
    </row>
    <row r="520" spans="1:4" x14ac:dyDescent="0.3">
      <c r="A520" t="str">
        <f>IF(AND(FORSIDE!$B$8&gt;=5,FORSIDE!$F$8&gt;=2,FORSIDE!$B$5&gt;=1),519,"")</f>
        <v/>
      </c>
      <c r="B520" t="str">
        <f>IF(AND(FORSIDE!$B$8&gt;=5,FORSIDE!$F$8&gt;=2,FORSIDE!$B$5&gt;=1),354+2*FORSIDE!$F$9,"")</f>
        <v/>
      </c>
      <c r="C520" t="str">
        <f>IF(AND(FORSIDE!$B$8&gt;=5,FORSIDE!$F$8&gt;=2,FORSIDE!$B$5&gt;=1),5*FORSIDE!$B$9,"")</f>
        <v/>
      </c>
      <c r="D520" t="str">
        <f>IF(AND(FORSIDE!$B$8&gt;=5,FORSIDE!$F$8&gt;=2,FORSIDE!$B$5&gt;=1),FORSIDE!$B$6+(1-1)*FORSIDE!$B$7,"")</f>
        <v/>
      </c>
    </row>
    <row r="521" spans="1:4" x14ac:dyDescent="0.3">
      <c r="A521" t="str">
        <f>IF(AND(FORSIDE!$B$8&gt;=5,FORSIDE!$F$8&gt;=2,FORSIDE!$B$5&gt;=2),520,"")</f>
        <v/>
      </c>
      <c r="B521" t="str">
        <f>IF(AND(FORSIDE!$B$8&gt;=5,FORSIDE!$F$8&gt;=2,FORSIDE!$B$5&gt;=2),354+2*FORSIDE!$F$9,"")</f>
        <v/>
      </c>
      <c r="C521" t="str">
        <f>IF(AND(FORSIDE!$B$8&gt;=5,FORSIDE!$F$8&gt;=2,FORSIDE!$B$5&gt;=2),5*FORSIDE!$B$9,"")</f>
        <v/>
      </c>
      <c r="D521" t="str">
        <f>IF(AND(FORSIDE!$B$8&gt;=5,FORSIDE!$F$8&gt;=2,FORSIDE!$B$5&gt;=2),FORSIDE!$B$6+(2-1)*FORSIDE!$B$7,"")</f>
        <v/>
      </c>
    </row>
    <row r="522" spans="1:4" x14ac:dyDescent="0.3">
      <c r="A522" t="str">
        <f>IF(AND(FORSIDE!$B$8&gt;=5,FORSIDE!$F$8&gt;=2,FORSIDE!$B$5&gt;=3),521,"")</f>
        <v/>
      </c>
      <c r="B522" t="str">
        <f>IF(AND(FORSIDE!$B$8&gt;=5,FORSIDE!$F$8&gt;=2,FORSIDE!$B$5&gt;=3),354+2*FORSIDE!$F$9,"")</f>
        <v/>
      </c>
      <c r="C522" t="str">
        <f>IF(AND(FORSIDE!$B$8&gt;=5,FORSIDE!$F$8&gt;=2,FORSIDE!$B$5&gt;=3),5*FORSIDE!$B$9,"")</f>
        <v/>
      </c>
      <c r="D522" t="str">
        <f>IF(AND(FORSIDE!$B$8&gt;=5,FORSIDE!$F$8&gt;=2,FORSIDE!$B$5&gt;=3),FORSIDE!$B$6+(3-1)*FORSIDE!$B$7,"")</f>
        <v/>
      </c>
    </row>
    <row r="523" spans="1:4" x14ac:dyDescent="0.3">
      <c r="A523" t="str">
        <f>IF(AND(FORSIDE!$B$8&gt;=5,FORSIDE!$F$8&gt;=2,FORSIDE!$B$5&gt;=4),522,"")</f>
        <v/>
      </c>
      <c r="B523" t="str">
        <f>IF(AND(FORSIDE!$B$8&gt;=5,FORSIDE!$F$8&gt;=2,FORSIDE!$B$5&gt;=4),354+2*FORSIDE!$F$9,"")</f>
        <v/>
      </c>
      <c r="C523" t="str">
        <f>IF(AND(FORSIDE!$B$8&gt;=5,FORSIDE!$F$8&gt;=2,FORSIDE!$B$5&gt;=4),5*FORSIDE!$B$9,"")</f>
        <v/>
      </c>
      <c r="D523" t="str">
        <f>IF(AND(FORSIDE!$B$8&gt;=5,FORSIDE!$F$8&gt;=2,FORSIDE!$B$5&gt;=4),FORSIDE!$B$6+(4-1)*FORSIDE!$B$7,"")</f>
        <v/>
      </c>
    </row>
    <row r="524" spans="1:4" x14ac:dyDescent="0.3">
      <c r="A524" t="str">
        <f>IF(AND(FORSIDE!$B$8&gt;=5,FORSIDE!$F$8&gt;=2,FORSIDE!$B$5&gt;=5),523,"")</f>
        <v/>
      </c>
      <c r="B524" t="str">
        <f>IF(AND(FORSIDE!$B$8&gt;=5,FORSIDE!$F$8&gt;=2,FORSIDE!$B$5&gt;=5),354+2*FORSIDE!$F$9,"")</f>
        <v/>
      </c>
      <c r="C524" t="str">
        <f>IF(AND(FORSIDE!$B$8&gt;=5,FORSIDE!$F$8&gt;=2,FORSIDE!$B$5&gt;=5),5*FORSIDE!$B$9,"")</f>
        <v/>
      </c>
      <c r="D524" t="str">
        <f>IF(AND(FORSIDE!$B$8&gt;=5,FORSIDE!$F$8&gt;=2,FORSIDE!$B$5&gt;=5),FORSIDE!$B$6+(5-1)*FORSIDE!$B$7,"")</f>
        <v/>
      </c>
    </row>
    <row r="525" spans="1:4" x14ac:dyDescent="0.3">
      <c r="A525" t="str">
        <f>IF(AND(FORSIDE!$B$8&gt;=5,FORSIDE!$F$8&gt;=2,FORSIDE!$B$5&gt;=6),524,"")</f>
        <v/>
      </c>
      <c r="B525" t="str">
        <f>IF(AND(FORSIDE!$B$8&gt;=5,FORSIDE!$F$8&gt;=2,FORSIDE!$B$5&gt;=6),354+2*FORSIDE!$F$9,"")</f>
        <v/>
      </c>
      <c r="C525" t="str">
        <f>IF(AND(FORSIDE!$B$8&gt;=5,FORSIDE!$F$8&gt;=2,FORSIDE!$B$5&gt;=6),5*FORSIDE!$B$9,"")</f>
        <v/>
      </c>
      <c r="D525" t="str">
        <f>IF(AND(FORSIDE!$B$8&gt;=5,FORSIDE!$F$8&gt;=2,FORSIDE!$B$5&gt;=6),FORSIDE!$B$6+(6-1)*FORSIDE!$B$7,"")</f>
        <v/>
      </c>
    </row>
    <row r="526" spans="1:4" x14ac:dyDescent="0.3">
      <c r="A526" t="str">
        <f>IF(AND(FORSIDE!$B$8&gt;=5,FORSIDE!$F$8&gt;=2,FORSIDE!$B$5&gt;=7),525,"")</f>
        <v/>
      </c>
      <c r="B526" t="str">
        <f>IF(AND(FORSIDE!$B$8&gt;=5,FORSIDE!$F$8&gt;=2,FORSIDE!$B$5&gt;=7),354+2*FORSIDE!$F$9,"")</f>
        <v/>
      </c>
      <c r="C526" t="str">
        <f>IF(AND(FORSIDE!$B$8&gt;=5,FORSIDE!$F$8&gt;=2,FORSIDE!$B$5&gt;=7),5*FORSIDE!$B$9,"")</f>
        <v/>
      </c>
      <c r="D526" t="str">
        <f>IF(AND(FORSIDE!$B$8&gt;=5,FORSIDE!$F$8&gt;=2,FORSIDE!$B$5&gt;=7),FORSIDE!$B$6+(7-1)*FORSIDE!$B$7,"")</f>
        <v/>
      </c>
    </row>
    <row r="527" spans="1:4" x14ac:dyDescent="0.3">
      <c r="A527" t="str">
        <f>IF(AND(FORSIDE!$B$8&gt;=5,FORSIDE!$F$8&gt;=2,FORSIDE!$B$5&gt;=8),526,"")</f>
        <v/>
      </c>
      <c r="B527" t="str">
        <f>IF(AND(FORSIDE!$B$8&gt;=5,FORSIDE!$F$8&gt;=2,FORSIDE!$B$5&gt;=8),354+2*FORSIDE!$F$9,"")</f>
        <v/>
      </c>
      <c r="C527" t="str">
        <f>IF(AND(FORSIDE!$B$8&gt;=5,FORSIDE!$F$8&gt;=2,FORSIDE!$B$5&gt;=8),5*FORSIDE!$B$9,"")</f>
        <v/>
      </c>
      <c r="D527" t="str">
        <f>IF(AND(FORSIDE!$B$8&gt;=5,FORSIDE!$F$8&gt;=2,FORSIDE!$B$5&gt;=8),FORSIDE!$B$6+(8-1)*FORSIDE!$B$7,"")</f>
        <v/>
      </c>
    </row>
    <row r="528" spans="1:4" x14ac:dyDescent="0.3">
      <c r="A528" t="str">
        <f>IF(AND(FORSIDE!$B$8&gt;=5,FORSIDE!$F$8&gt;=2,FORSIDE!$B$5&gt;=9),527,"")</f>
        <v/>
      </c>
      <c r="B528" t="str">
        <f>IF(AND(FORSIDE!$B$8&gt;=5,FORSIDE!$F$8&gt;=2,FORSIDE!$B$5&gt;=9),354+2*FORSIDE!$F$9,"")</f>
        <v/>
      </c>
      <c r="C528" t="str">
        <f>IF(AND(FORSIDE!$B$8&gt;=5,FORSIDE!$F$8&gt;=2,FORSIDE!$B$5&gt;=9),5*FORSIDE!$B$9,"")</f>
        <v/>
      </c>
      <c r="D528" t="str">
        <f>IF(AND(FORSIDE!$B$8&gt;=5,FORSIDE!$F$8&gt;=2,FORSIDE!$B$5&gt;=9),FORSIDE!$B$6+(9-1)*FORSIDE!$B$7,"")</f>
        <v/>
      </c>
    </row>
    <row r="529" spans="1:4" x14ac:dyDescent="0.3">
      <c r="A529" t="str">
        <f>IF(AND(FORSIDE!$B$8&gt;=5,FORSIDE!$F$8&gt;=2,FORSIDE!$B$5&gt;=10),528,"")</f>
        <v/>
      </c>
      <c r="B529" t="str">
        <f>IF(AND(FORSIDE!$B$8&gt;=5,FORSIDE!$F$8&gt;=2,FORSIDE!$B$5&gt;=10),354+2*FORSIDE!$F$9,"")</f>
        <v/>
      </c>
      <c r="C529" t="str">
        <f>IF(AND(FORSIDE!$B$8&gt;=5,FORSIDE!$F$8&gt;=2,FORSIDE!$B$5&gt;=10),5*FORSIDE!$B$9,"")</f>
        <v/>
      </c>
      <c r="D529" t="str">
        <f>IF(AND(FORSIDE!$B$8&gt;=5,FORSIDE!$F$8&gt;=2,FORSIDE!$B$5&gt;=10),FORSIDE!$B$6+(10-1)*FORSIDE!$B$7,"")</f>
        <v/>
      </c>
    </row>
    <row r="530" spans="1:4" x14ac:dyDescent="0.3">
      <c r="A530" t="str">
        <f>IF(AND(FORSIDE!$B$8&gt;=6,FORSIDE!$F$8&gt;=2,FORSIDE!$B$5&gt;=0),529,"")</f>
        <v/>
      </c>
      <c r="B530" t="str">
        <f>IF(AND(FORSIDE!$B$8&gt;=6,FORSIDE!$F$8&gt;=2,FORSIDE!$B$5&gt;=0),354+2*FORSIDE!$F$9,"")</f>
        <v/>
      </c>
      <c r="C530" t="str">
        <f>IF(AND(FORSIDE!$B$8&gt;=6,FORSIDE!$F$8&gt;=2,FORSIDE!$B$5&gt;=0),6*FORSIDE!$B$9,"")</f>
        <v/>
      </c>
      <c r="D530" t="str">
        <f>IF(AND(FORSIDE!$B$8&gt;=6,FORSIDE!$F$8&gt;=2,FORSIDE!$B$5&gt;=0),0,"")</f>
        <v/>
      </c>
    </row>
    <row r="531" spans="1:4" x14ac:dyDescent="0.3">
      <c r="A531" t="str">
        <f>IF(AND(FORSIDE!$B$8&gt;=6,FORSIDE!$F$8&gt;=2,FORSIDE!$B$5&gt;=1),530,"")</f>
        <v/>
      </c>
      <c r="B531" t="str">
        <f>IF(AND(FORSIDE!$B$8&gt;=6,FORSIDE!$F$8&gt;=2,FORSIDE!$B$5&gt;=1),354+2*FORSIDE!$F$9,"")</f>
        <v/>
      </c>
      <c r="C531" t="str">
        <f>IF(AND(FORSIDE!$B$8&gt;=6,FORSIDE!$F$8&gt;=2,FORSIDE!$B$5&gt;=1),6*FORSIDE!$B$9,"")</f>
        <v/>
      </c>
      <c r="D531" t="str">
        <f>IF(AND(FORSIDE!$B$8&gt;=6,FORSIDE!$F$8&gt;=2,FORSIDE!$B$5&gt;=1),FORSIDE!$B$6+(1-1)*FORSIDE!$B$7,"")</f>
        <v/>
      </c>
    </row>
    <row r="532" spans="1:4" x14ac:dyDescent="0.3">
      <c r="A532" t="str">
        <f>IF(AND(FORSIDE!$B$8&gt;=6,FORSIDE!$F$8&gt;=2,FORSIDE!$B$5&gt;=2),531,"")</f>
        <v/>
      </c>
      <c r="B532" t="str">
        <f>IF(AND(FORSIDE!$B$8&gt;=6,FORSIDE!$F$8&gt;=2,FORSIDE!$B$5&gt;=2),354+2*FORSIDE!$F$9,"")</f>
        <v/>
      </c>
      <c r="C532" t="str">
        <f>IF(AND(FORSIDE!$B$8&gt;=6,FORSIDE!$F$8&gt;=2,FORSIDE!$B$5&gt;=2),6*FORSIDE!$B$9,"")</f>
        <v/>
      </c>
      <c r="D532" t="str">
        <f>IF(AND(FORSIDE!$B$8&gt;=6,FORSIDE!$F$8&gt;=2,FORSIDE!$B$5&gt;=2),FORSIDE!$B$6+(2-1)*FORSIDE!$B$7,"")</f>
        <v/>
      </c>
    </row>
    <row r="533" spans="1:4" x14ac:dyDescent="0.3">
      <c r="A533" t="str">
        <f>IF(AND(FORSIDE!$B$8&gt;=6,FORSIDE!$F$8&gt;=2,FORSIDE!$B$5&gt;=3),532,"")</f>
        <v/>
      </c>
      <c r="B533" t="str">
        <f>IF(AND(FORSIDE!$B$8&gt;=6,FORSIDE!$F$8&gt;=2,FORSIDE!$B$5&gt;=3),354+2*FORSIDE!$F$9,"")</f>
        <v/>
      </c>
      <c r="C533" t="str">
        <f>IF(AND(FORSIDE!$B$8&gt;=6,FORSIDE!$F$8&gt;=2,FORSIDE!$B$5&gt;=3),6*FORSIDE!$B$9,"")</f>
        <v/>
      </c>
      <c r="D533" t="str">
        <f>IF(AND(FORSIDE!$B$8&gt;=6,FORSIDE!$F$8&gt;=2,FORSIDE!$B$5&gt;=3),FORSIDE!$B$6+(3-1)*FORSIDE!$B$7,"")</f>
        <v/>
      </c>
    </row>
    <row r="534" spans="1:4" x14ac:dyDescent="0.3">
      <c r="A534" t="str">
        <f>IF(AND(FORSIDE!$B$8&gt;=6,FORSIDE!$F$8&gt;=2,FORSIDE!$B$5&gt;=4),533,"")</f>
        <v/>
      </c>
      <c r="B534" t="str">
        <f>IF(AND(FORSIDE!$B$8&gt;=6,FORSIDE!$F$8&gt;=2,FORSIDE!$B$5&gt;=4),354+2*FORSIDE!$F$9,"")</f>
        <v/>
      </c>
      <c r="C534" t="str">
        <f>IF(AND(FORSIDE!$B$8&gt;=6,FORSIDE!$F$8&gt;=2,FORSIDE!$B$5&gt;=4),6*FORSIDE!$B$9,"")</f>
        <v/>
      </c>
      <c r="D534" t="str">
        <f>IF(AND(FORSIDE!$B$8&gt;=6,FORSIDE!$F$8&gt;=2,FORSIDE!$B$5&gt;=4),FORSIDE!$B$6+(4-1)*FORSIDE!$B$7,"")</f>
        <v/>
      </c>
    </row>
    <row r="535" spans="1:4" x14ac:dyDescent="0.3">
      <c r="A535" t="str">
        <f>IF(AND(FORSIDE!$B$8&gt;=6,FORSIDE!$F$8&gt;=2,FORSIDE!$B$5&gt;=5),534,"")</f>
        <v/>
      </c>
      <c r="B535" t="str">
        <f>IF(AND(FORSIDE!$B$8&gt;=6,FORSIDE!$F$8&gt;=2,FORSIDE!$B$5&gt;=5),354+2*FORSIDE!$F$9,"")</f>
        <v/>
      </c>
      <c r="C535" t="str">
        <f>IF(AND(FORSIDE!$B$8&gt;=6,FORSIDE!$F$8&gt;=2,FORSIDE!$B$5&gt;=5),6*FORSIDE!$B$9,"")</f>
        <v/>
      </c>
      <c r="D535" t="str">
        <f>IF(AND(FORSIDE!$B$8&gt;=6,FORSIDE!$F$8&gt;=2,FORSIDE!$B$5&gt;=5),FORSIDE!$B$6+(5-1)*FORSIDE!$B$7,"")</f>
        <v/>
      </c>
    </row>
    <row r="536" spans="1:4" x14ac:dyDescent="0.3">
      <c r="A536" t="str">
        <f>IF(AND(FORSIDE!$B$8&gt;=6,FORSIDE!$F$8&gt;=2,FORSIDE!$B$5&gt;=6),535,"")</f>
        <v/>
      </c>
      <c r="B536" t="str">
        <f>IF(AND(FORSIDE!$B$8&gt;=6,FORSIDE!$F$8&gt;=2,FORSIDE!$B$5&gt;=6),354+2*FORSIDE!$F$9,"")</f>
        <v/>
      </c>
      <c r="C536" t="str">
        <f>IF(AND(FORSIDE!$B$8&gt;=6,FORSIDE!$F$8&gt;=2,FORSIDE!$B$5&gt;=6),6*FORSIDE!$B$9,"")</f>
        <v/>
      </c>
      <c r="D536" t="str">
        <f>IF(AND(FORSIDE!$B$8&gt;=6,FORSIDE!$F$8&gt;=2,FORSIDE!$B$5&gt;=6),FORSIDE!$B$6+(6-1)*FORSIDE!$B$7,"")</f>
        <v/>
      </c>
    </row>
    <row r="537" spans="1:4" x14ac:dyDescent="0.3">
      <c r="A537" t="str">
        <f>IF(AND(FORSIDE!$B$8&gt;=6,FORSIDE!$F$8&gt;=2,FORSIDE!$B$5&gt;=7),536,"")</f>
        <v/>
      </c>
      <c r="B537" t="str">
        <f>IF(AND(FORSIDE!$B$8&gt;=6,FORSIDE!$F$8&gt;=2,FORSIDE!$B$5&gt;=7),354+2*FORSIDE!$F$9,"")</f>
        <v/>
      </c>
      <c r="C537" t="str">
        <f>IF(AND(FORSIDE!$B$8&gt;=6,FORSIDE!$F$8&gt;=2,FORSIDE!$B$5&gt;=7),6*FORSIDE!$B$9,"")</f>
        <v/>
      </c>
      <c r="D537" t="str">
        <f>IF(AND(FORSIDE!$B$8&gt;=6,FORSIDE!$F$8&gt;=2,FORSIDE!$B$5&gt;=7),FORSIDE!$B$6+(7-1)*FORSIDE!$B$7,"")</f>
        <v/>
      </c>
    </row>
    <row r="538" spans="1:4" x14ac:dyDescent="0.3">
      <c r="A538" t="str">
        <f>IF(AND(FORSIDE!$B$8&gt;=6,FORSIDE!$F$8&gt;=2,FORSIDE!$B$5&gt;=8),537,"")</f>
        <v/>
      </c>
      <c r="B538" t="str">
        <f>IF(AND(FORSIDE!$B$8&gt;=6,FORSIDE!$F$8&gt;=2,FORSIDE!$B$5&gt;=8),354+2*FORSIDE!$F$9,"")</f>
        <v/>
      </c>
      <c r="C538" t="str">
        <f>IF(AND(FORSIDE!$B$8&gt;=6,FORSIDE!$F$8&gt;=2,FORSIDE!$B$5&gt;=8),6*FORSIDE!$B$9,"")</f>
        <v/>
      </c>
      <c r="D538" t="str">
        <f>IF(AND(FORSIDE!$B$8&gt;=6,FORSIDE!$F$8&gt;=2,FORSIDE!$B$5&gt;=8),FORSIDE!$B$6+(8-1)*FORSIDE!$B$7,"")</f>
        <v/>
      </c>
    </row>
    <row r="539" spans="1:4" x14ac:dyDescent="0.3">
      <c r="A539" t="str">
        <f>IF(AND(FORSIDE!$B$8&gt;=6,FORSIDE!$F$8&gt;=2,FORSIDE!$B$5&gt;=9),538,"")</f>
        <v/>
      </c>
      <c r="B539" t="str">
        <f>IF(AND(FORSIDE!$B$8&gt;=6,FORSIDE!$F$8&gt;=2,FORSIDE!$B$5&gt;=9),354+2*FORSIDE!$F$9,"")</f>
        <v/>
      </c>
      <c r="C539" t="str">
        <f>IF(AND(FORSIDE!$B$8&gt;=6,FORSIDE!$F$8&gt;=2,FORSIDE!$B$5&gt;=9),6*FORSIDE!$B$9,"")</f>
        <v/>
      </c>
      <c r="D539" t="str">
        <f>IF(AND(FORSIDE!$B$8&gt;=6,FORSIDE!$F$8&gt;=2,FORSIDE!$B$5&gt;=9),FORSIDE!$B$6+(9-1)*FORSIDE!$B$7,"")</f>
        <v/>
      </c>
    </row>
    <row r="540" spans="1:4" x14ac:dyDescent="0.3">
      <c r="A540" t="str">
        <f>IF(AND(FORSIDE!$B$8&gt;=6,FORSIDE!$F$8&gt;=2,FORSIDE!$B$5&gt;=10),539,"")</f>
        <v/>
      </c>
      <c r="B540" t="str">
        <f>IF(AND(FORSIDE!$B$8&gt;=6,FORSIDE!$F$8&gt;=2,FORSIDE!$B$5&gt;=10),354+2*FORSIDE!$F$9,"")</f>
        <v/>
      </c>
      <c r="C540" t="str">
        <f>IF(AND(FORSIDE!$B$8&gt;=6,FORSIDE!$F$8&gt;=2,FORSIDE!$B$5&gt;=10),6*FORSIDE!$B$9,"")</f>
        <v/>
      </c>
      <c r="D540" t="str">
        <f>IF(AND(FORSIDE!$B$8&gt;=6,FORSIDE!$F$8&gt;=2,FORSIDE!$B$5&gt;=10),FORSIDE!$B$6+(10-1)*FORSIDE!$B$7,"")</f>
        <v/>
      </c>
    </row>
    <row r="541" spans="1:4" x14ac:dyDescent="0.3">
      <c r="A541" t="str">
        <f>IF(AND(FORSIDE!$B$8&gt;=7,FORSIDE!$F$8&gt;=2,FORSIDE!$B$5&gt;=0),540,"")</f>
        <v/>
      </c>
      <c r="B541" t="str">
        <f>IF(AND(FORSIDE!$B$8&gt;=7,FORSIDE!$F$8&gt;=2,FORSIDE!$B$5&gt;=0),354+2*FORSIDE!$F$9,"")</f>
        <v/>
      </c>
      <c r="C541" t="str">
        <f>IF(AND(FORSIDE!$B$8&gt;=7,FORSIDE!$F$8&gt;=2,FORSIDE!$B$5&gt;=0),7*FORSIDE!$B$9,"")</f>
        <v/>
      </c>
      <c r="D541" t="str">
        <f>IF(AND(FORSIDE!$B$8&gt;=7,FORSIDE!$F$8&gt;=2,FORSIDE!$B$5&gt;=0),0,"")</f>
        <v/>
      </c>
    </row>
    <row r="542" spans="1:4" x14ac:dyDescent="0.3">
      <c r="A542" t="str">
        <f>IF(AND(FORSIDE!$B$8&gt;=7,FORSIDE!$F$8&gt;=2,FORSIDE!$B$5&gt;=1),541,"")</f>
        <v/>
      </c>
      <c r="B542" t="str">
        <f>IF(AND(FORSIDE!$B$8&gt;=7,FORSIDE!$F$8&gt;=2,FORSIDE!$B$5&gt;=1),354+2*FORSIDE!$F$9,"")</f>
        <v/>
      </c>
      <c r="C542" t="str">
        <f>IF(AND(FORSIDE!$B$8&gt;=7,FORSIDE!$F$8&gt;=2,FORSIDE!$B$5&gt;=1),7*FORSIDE!$B$9,"")</f>
        <v/>
      </c>
      <c r="D542" t="str">
        <f>IF(AND(FORSIDE!$B$8&gt;=7,FORSIDE!$F$8&gt;=2,FORSIDE!$B$5&gt;=1),FORSIDE!$B$6+(1-1)*FORSIDE!$B$7,"")</f>
        <v/>
      </c>
    </row>
    <row r="543" spans="1:4" x14ac:dyDescent="0.3">
      <c r="A543" t="str">
        <f>IF(AND(FORSIDE!$B$8&gt;=7,FORSIDE!$F$8&gt;=2,FORSIDE!$B$5&gt;=2),542,"")</f>
        <v/>
      </c>
      <c r="B543" t="str">
        <f>IF(AND(FORSIDE!$B$8&gt;=7,FORSIDE!$F$8&gt;=2,FORSIDE!$B$5&gt;=2),354+2*FORSIDE!$F$9,"")</f>
        <v/>
      </c>
      <c r="C543" t="str">
        <f>IF(AND(FORSIDE!$B$8&gt;=7,FORSIDE!$F$8&gt;=2,FORSIDE!$B$5&gt;=2),7*FORSIDE!$B$9,"")</f>
        <v/>
      </c>
      <c r="D543" t="str">
        <f>IF(AND(FORSIDE!$B$8&gt;=7,FORSIDE!$F$8&gt;=2,FORSIDE!$B$5&gt;=2),FORSIDE!$B$6+(2-1)*FORSIDE!$B$7,"")</f>
        <v/>
      </c>
    </row>
    <row r="544" spans="1:4" x14ac:dyDescent="0.3">
      <c r="A544" t="str">
        <f>IF(AND(FORSIDE!$B$8&gt;=7,FORSIDE!$F$8&gt;=2,FORSIDE!$B$5&gt;=3),543,"")</f>
        <v/>
      </c>
      <c r="B544" t="str">
        <f>IF(AND(FORSIDE!$B$8&gt;=7,FORSIDE!$F$8&gt;=2,FORSIDE!$B$5&gt;=3),354+2*FORSIDE!$F$9,"")</f>
        <v/>
      </c>
      <c r="C544" t="str">
        <f>IF(AND(FORSIDE!$B$8&gt;=7,FORSIDE!$F$8&gt;=2,FORSIDE!$B$5&gt;=3),7*FORSIDE!$B$9,"")</f>
        <v/>
      </c>
      <c r="D544" t="str">
        <f>IF(AND(FORSIDE!$B$8&gt;=7,FORSIDE!$F$8&gt;=2,FORSIDE!$B$5&gt;=3),FORSIDE!$B$6+(3-1)*FORSIDE!$B$7,"")</f>
        <v/>
      </c>
    </row>
    <row r="545" spans="1:4" x14ac:dyDescent="0.3">
      <c r="A545" t="str">
        <f>IF(AND(FORSIDE!$B$8&gt;=7,FORSIDE!$F$8&gt;=2,FORSIDE!$B$5&gt;=4),544,"")</f>
        <v/>
      </c>
      <c r="B545" t="str">
        <f>IF(AND(FORSIDE!$B$8&gt;=7,FORSIDE!$F$8&gt;=2,FORSIDE!$B$5&gt;=4),354+2*FORSIDE!$F$9,"")</f>
        <v/>
      </c>
      <c r="C545" t="str">
        <f>IF(AND(FORSIDE!$B$8&gt;=7,FORSIDE!$F$8&gt;=2,FORSIDE!$B$5&gt;=4),7*FORSIDE!$B$9,"")</f>
        <v/>
      </c>
      <c r="D545" t="str">
        <f>IF(AND(FORSIDE!$B$8&gt;=7,FORSIDE!$F$8&gt;=2,FORSIDE!$B$5&gt;=4),FORSIDE!$B$6+(4-1)*FORSIDE!$B$7,"")</f>
        <v/>
      </c>
    </row>
    <row r="546" spans="1:4" x14ac:dyDescent="0.3">
      <c r="A546" t="str">
        <f>IF(AND(FORSIDE!$B$8&gt;=7,FORSIDE!$F$8&gt;=2,FORSIDE!$B$5&gt;=5),545,"")</f>
        <v/>
      </c>
      <c r="B546" t="str">
        <f>IF(AND(FORSIDE!$B$8&gt;=7,FORSIDE!$F$8&gt;=2,FORSIDE!$B$5&gt;=5),354+2*FORSIDE!$F$9,"")</f>
        <v/>
      </c>
      <c r="C546" t="str">
        <f>IF(AND(FORSIDE!$B$8&gt;=7,FORSIDE!$F$8&gt;=2,FORSIDE!$B$5&gt;=5),7*FORSIDE!$B$9,"")</f>
        <v/>
      </c>
      <c r="D546" t="str">
        <f>IF(AND(FORSIDE!$B$8&gt;=7,FORSIDE!$F$8&gt;=2,FORSIDE!$B$5&gt;=5),FORSIDE!$B$6+(5-1)*FORSIDE!$B$7,"")</f>
        <v/>
      </c>
    </row>
    <row r="547" spans="1:4" x14ac:dyDescent="0.3">
      <c r="A547" t="str">
        <f>IF(AND(FORSIDE!$B$8&gt;=7,FORSIDE!$F$8&gt;=2,FORSIDE!$B$5&gt;=6),546,"")</f>
        <v/>
      </c>
      <c r="B547" t="str">
        <f>IF(AND(FORSIDE!$B$8&gt;=7,FORSIDE!$F$8&gt;=2,FORSIDE!$B$5&gt;=6),354+2*FORSIDE!$F$9,"")</f>
        <v/>
      </c>
      <c r="C547" t="str">
        <f>IF(AND(FORSIDE!$B$8&gt;=7,FORSIDE!$F$8&gt;=2,FORSIDE!$B$5&gt;=6),7*FORSIDE!$B$9,"")</f>
        <v/>
      </c>
      <c r="D547" t="str">
        <f>IF(AND(FORSIDE!$B$8&gt;=7,FORSIDE!$F$8&gt;=2,FORSIDE!$B$5&gt;=6),FORSIDE!$B$6+(6-1)*FORSIDE!$B$7,"")</f>
        <v/>
      </c>
    </row>
    <row r="548" spans="1:4" x14ac:dyDescent="0.3">
      <c r="A548" t="str">
        <f>IF(AND(FORSIDE!$B$8&gt;=7,FORSIDE!$F$8&gt;=2,FORSIDE!$B$5&gt;=7),547,"")</f>
        <v/>
      </c>
      <c r="B548" t="str">
        <f>IF(AND(FORSIDE!$B$8&gt;=7,FORSIDE!$F$8&gt;=2,FORSIDE!$B$5&gt;=7),354+2*FORSIDE!$F$9,"")</f>
        <v/>
      </c>
      <c r="C548" t="str">
        <f>IF(AND(FORSIDE!$B$8&gt;=7,FORSIDE!$F$8&gt;=2,FORSIDE!$B$5&gt;=7),7*FORSIDE!$B$9,"")</f>
        <v/>
      </c>
      <c r="D548" t="str">
        <f>IF(AND(FORSIDE!$B$8&gt;=7,FORSIDE!$F$8&gt;=2,FORSIDE!$B$5&gt;=7),FORSIDE!$B$6+(7-1)*FORSIDE!$B$7,"")</f>
        <v/>
      </c>
    </row>
    <row r="549" spans="1:4" x14ac:dyDescent="0.3">
      <c r="A549" t="str">
        <f>IF(AND(FORSIDE!$B$8&gt;=7,FORSIDE!$F$8&gt;=2,FORSIDE!$B$5&gt;=8),548,"")</f>
        <v/>
      </c>
      <c r="B549" t="str">
        <f>IF(AND(FORSIDE!$B$8&gt;=7,FORSIDE!$F$8&gt;=2,FORSIDE!$B$5&gt;=8),354+2*FORSIDE!$F$9,"")</f>
        <v/>
      </c>
      <c r="C549" t="str">
        <f>IF(AND(FORSIDE!$B$8&gt;=7,FORSIDE!$F$8&gt;=2,FORSIDE!$B$5&gt;=8),7*FORSIDE!$B$9,"")</f>
        <v/>
      </c>
      <c r="D549" t="str">
        <f>IF(AND(FORSIDE!$B$8&gt;=7,FORSIDE!$F$8&gt;=2,FORSIDE!$B$5&gt;=8),FORSIDE!$B$6+(8-1)*FORSIDE!$B$7,"")</f>
        <v/>
      </c>
    </row>
    <row r="550" spans="1:4" x14ac:dyDescent="0.3">
      <c r="A550" t="str">
        <f>IF(AND(FORSIDE!$B$8&gt;=7,FORSIDE!$F$8&gt;=2,FORSIDE!$B$5&gt;=9),549,"")</f>
        <v/>
      </c>
      <c r="B550" t="str">
        <f>IF(AND(FORSIDE!$B$8&gt;=7,FORSIDE!$F$8&gt;=2,FORSIDE!$B$5&gt;=9),354+2*FORSIDE!$F$9,"")</f>
        <v/>
      </c>
      <c r="C550" t="str">
        <f>IF(AND(FORSIDE!$B$8&gt;=7,FORSIDE!$F$8&gt;=2,FORSIDE!$B$5&gt;=9),7*FORSIDE!$B$9,"")</f>
        <v/>
      </c>
      <c r="D550" t="str">
        <f>IF(AND(FORSIDE!$B$8&gt;=7,FORSIDE!$F$8&gt;=2,FORSIDE!$B$5&gt;=9),FORSIDE!$B$6+(9-1)*FORSIDE!$B$7,"")</f>
        <v/>
      </c>
    </row>
    <row r="551" spans="1:4" x14ac:dyDescent="0.3">
      <c r="A551" t="str">
        <f>IF(AND(FORSIDE!$B$8&gt;=7,FORSIDE!$F$8&gt;=2,FORSIDE!$B$5&gt;=10),550,"")</f>
        <v/>
      </c>
      <c r="B551" t="str">
        <f>IF(AND(FORSIDE!$B$8&gt;=7,FORSIDE!$F$8&gt;=2,FORSIDE!$B$5&gt;=10),354+2*FORSIDE!$F$9,"")</f>
        <v/>
      </c>
      <c r="C551" t="str">
        <f>IF(AND(FORSIDE!$B$8&gt;=7,FORSIDE!$F$8&gt;=2,FORSIDE!$B$5&gt;=10),7*FORSIDE!$B$9,"")</f>
        <v/>
      </c>
      <c r="D551" t="str">
        <f>IF(AND(FORSIDE!$B$8&gt;=7,FORSIDE!$F$8&gt;=2,FORSIDE!$B$5&gt;=10),FORSIDE!$B$6+(10-1)*FORSIDE!$B$7,"")</f>
        <v/>
      </c>
    </row>
    <row r="552" spans="1:4" x14ac:dyDescent="0.3">
      <c r="A552" t="str">
        <f>IF(AND(FORSIDE!$B$8&gt;=8,FORSIDE!$F$8&gt;=2,FORSIDE!$B$5&gt;=0),551,"")</f>
        <v/>
      </c>
      <c r="B552" t="str">
        <f>IF(AND(FORSIDE!$B$8&gt;=8,FORSIDE!$F$8&gt;=2,FORSIDE!$B$5&gt;=0),354+2*FORSIDE!$F$9,"")</f>
        <v/>
      </c>
      <c r="C552" t="str">
        <f>IF(AND(FORSIDE!$B$8&gt;=8,FORSIDE!$F$8&gt;=2,FORSIDE!$B$5&gt;=0),8*FORSIDE!$B$9,"")</f>
        <v/>
      </c>
      <c r="D552" t="str">
        <f>IF(AND(FORSIDE!$B$8&gt;=8,FORSIDE!$F$8&gt;=2,FORSIDE!$B$5&gt;=0),0,"")</f>
        <v/>
      </c>
    </row>
    <row r="553" spans="1:4" x14ac:dyDescent="0.3">
      <c r="A553" t="str">
        <f>IF(AND(FORSIDE!$B$8&gt;=8,FORSIDE!$F$8&gt;=2,FORSIDE!$B$5&gt;=1),552,"")</f>
        <v/>
      </c>
      <c r="B553" t="str">
        <f>IF(AND(FORSIDE!$B$8&gt;=8,FORSIDE!$F$8&gt;=2,FORSIDE!$B$5&gt;=1),354+2*FORSIDE!$F$9,"")</f>
        <v/>
      </c>
      <c r="C553" t="str">
        <f>IF(AND(FORSIDE!$B$8&gt;=8,FORSIDE!$F$8&gt;=2,FORSIDE!$B$5&gt;=1),8*FORSIDE!$B$9,"")</f>
        <v/>
      </c>
      <c r="D553" t="str">
        <f>IF(AND(FORSIDE!$B$8&gt;=8,FORSIDE!$F$8&gt;=2,FORSIDE!$B$5&gt;=1),FORSIDE!$B$6+(1-1)*FORSIDE!$B$7,"")</f>
        <v/>
      </c>
    </row>
    <row r="554" spans="1:4" x14ac:dyDescent="0.3">
      <c r="A554" t="str">
        <f>IF(AND(FORSIDE!$B$8&gt;=8,FORSIDE!$F$8&gt;=2,FORSIDE!$B$5&gt;=2),553,"")</f>
        <v/>
      </c>
      <c r="B554" t="str">
        <f>IF(AND(FORSIDE!$B$8&gt;=8,FORSIDE!$F$8&gt;=2,FORSIDE!$B$5&gt;=2),354+2*FORSIDE!$F$9,"")</f>
        <v/>
      </c>
      <c r="C554" t="str">
        <f>IF(AND(FORSIDE!$B$8&gt;=8,FORSIDE!$F$8&gt;=2,FORSIDE!$B$5&gt;=2),8*FORSIDE!$B$9,"")</f>
        <v/>
      </c>
      <c r="D554" t="str">
        <f>IF(AND(FORSIDE!$B$8&gt;=8,FORSIDE!$F$8&gt;=2,FORSIDE!$B$5&gt;=2),FORSIDE!$B$6+(2-1)*FORSIDE!$B$7,"")</f>
        <v/>
      </c>
    </row>
    <row r="555" spans="1:4" x14ac:dyDescent="0.3">
      <c r="A555" t="str">
        <f>IF(AND(FORSIDE!$B$8&gt;=8,FORSIDE!$F$8&gt;=2,FORSIDE!$B$5&gt;=3),554,"")</f>
        <v/>
      </c>
      <c r="B555" t="str">
        <f>IF(AND(FORSIDE!$B$8&gt;=8,FORSIDE!$F$8&gt;=2,FORSIDE!$B$5&gt;=3),354+2*FORSIDE!$F$9,"")</f>
        <v/>
      </c>
      <c r="C555" t="str">
        <f>IF(AND(FORSIDE!$B$8&gt;=8,FORSIDE!$F$8&gt;=2,FORSIDE!$B$5&gt;=3),8*FORSIDE!$B$9,"")</f>
        <v/>
      </c>
      <c r="D555" t="str">
        <f>IF(AND(FORSIDE!$B$8&gt;=8,FORSIDE!$F$8&gt;=2,FORSIDE!$B$5&gt;=3),FORSIDE!$B$6+(3-1)*FORSIDE!$B$7,"")</f>
        <v/>
      </c>
    </row>
    <row r="556" spans="1:4" x14ac:dyDescent="0.3">
      <c r="A556" t="str">
        <f>IF(AND(FORSIDE!$B$8&gt;=8,FORSIDE!$F$8&gt;=2,FORSIDE!$B$5&gt;=4),555,"")</f>
        <v/>
      </c>
      <c r="B556" t="str">
        <f>IF(AND(FORSIDE!$B$8&gt;=8,FORSIDE!$F$8&gt;=2,FORSIDE!$B$5&gt;=4),354+2*FORSIDE!$F$9,"")</f>
        <v/>
      </c>
      <c r="C556" t="str">
        <f>IF(AND(FORSIDE!$B$8&gt;=8,FORSIDE!$F$8&gt;=2,FORSIDE!$B$5&gt;=4),8*FORSIDE!$B$9,"")</f>
        <v/>
      </c>
      <c r="D556" t="str">
        <f>IF(AND(FORSIDE!$B$8&gt;=8,FORSIDE!$F$8&gt;=2,FORSIDE!$B$5&gt;=4),FORSIDE!$B$6+(4-1)*FORSIDE!$B$7,"")</f>
        <v/>
      </c>
    </row>
    <row r="557" spans="1:4" x14ac:dyDescent="0.3">
      <c r="A557" t="str">
        <f>IF(AND(FORSIDE!$B$8&gt;=8,FORSIDE!$F$8&gt;=2,FORSIDE!$B$5&gt;=5),556,"")</f>
        <v/>
      </c>
      <c r="B557" t="str">
        <f>IF(AND(FORSIDE!$B$8&gt;=8,FORSIDE!$F$8&gt;=2,FORSIDE!$B$5&gt;=5),354+2*FORSIDE!$F$9,"")</f>
        <v/>
      </c>
      <c r="C557" t="str">
        <f>IF(AND(FORSIDE!$B$8&gt;=8,FORSIDE!$F$8&gt;=2,FORSIDE!$B$5&gt;=5),8*FORSIDE!$B$9,"")</f>
        <v/>
      </c>
      <c r="D557" t="str">
        <f>IF(AND(FORSIDE!$B$8&gt;=8,FORSIDE!$F$8&gt;=2,FORSIDE!$B$5&gt;=5),FORSIDE!$B$6+(5-1)*FORSIDE!$B$7,"")</f>
        <v/>
      </c>
    </row>
    <row r="558" spans="1:4" x14ac:dyDescent="0.3">
      <c r="A558" t="str">
        <f>IF(AND(FORSIDE!$B$8&gt;=8,FORSIDE!$F$8&gt;=2,FORSIDE!$B$5&gt;=6),557,"")</f>
        <v/>
      </c>
      <c r="B558" t="str">
        <f>IF(AND(FORSIDE!$B$8&gt;=8,FORSIDE!$F$8&gt;=2,FORSIDE!$B$5&gt;=6),354+2*FORSIDE!$F$9,"")</f>
        <v/>
      </c>
      <c r="C558" t="str">
        <f>IF(AND(FORSIDE!$B$8&gt;=8,FORSIDE!$F$8&gt;=2,FORSIDE!$B$5&gt;=6),8*FORSIDE!$B$9,"")</f>
        <v/>
      </c>
      <c r="D558" t="str">
        <f>IF(AND(FORSIDE!$B$8&gt;=8,FORSIDE!$F$8&gt;=2,FORSIDE!$B$5&gt;=6),FORSIDE!$B$6+(6-1)*FORSIDE!$B$7,"")</f>
        <v/>
      </c>
    </row>
    <row r="559" spans="1:4" x14ac:dyDescent="0.3">
      <c r="A559" t="str">
        <f>IF(AND(FORSIDE!$B$8&gt;=8,FORSIDE!$F$8&gt;=2,FORSIDE!$B$5&gt;=7),558,"")</f>
        <v/>
      </c>
      <c r="B559" t="str">
        <f>IF(AND(FORSIDE!$B$8&gt;=8,FORSIDE!$F$8&gt;=2,FORSIDE!$B$5&gt;=7),354+2*FORSIDE!$F$9,"")</f>
        <v/>
      </c>
      <c r="C559" t="str">
        <f>IF(AND(FORSIDE!$B$8&gt;=8,FORSIDE!$F$8&gt;=2,FORSIDE!$B$5&gt;=7),8*FORSIDE!$B$9,"")</f>
        <v/>
      </c>
      <c r="D559" t="str">
        <f>IF(AND(FORSIDE!$B$8&gt;=8,FORSIDE!$F$8&gt;=2,FORSIDE!$B$5&gt;=7),FORSIDE!$B$6+(7-1)*FORSIDE!$B$7,"")</f>
        <v/>
      </c>
    </row>
    <row r="560" spans="1:4" x14ac:dyDescent="0.3">
      <c r="A560" t="str">
        <f>IF(AND(FORSIDE!$B$8&gt;=8,FORSIDE!$F$8&gt;=2,FORSIDE!$B$5&gt;=8),559,"")</f>
        <v/>
      </c>
      <c r="B560" t="str">
        <f>IF(AND(FORSIDE!$B$8&gt;=8,FORSIDE!$F$8&gt;=2,FORSIDE!$B$5&gt;=8),354+2*FORSIDE!$F$9,"")</f>
        <v/>
      </c>
      <c r="C560" t="str">
        <f>IF(AND(FORSIDE!$B$8&gt;=8,FORSIDE!$F$8&gt;=2,FORSIDE!$B$5&gt;=8),8*FORSIDE!$B$9,"")</f>
        <v/>
      </c>
      <c r="D560" t="str">
        <f>IF(AND(FORSIDE!$B$8&gt;=8,FORSIDE!$F$8&gt;=2,FORSIDE!$B$5&gt;=8),FORSIDE!$B$6+(8-1)*FORSIDE!$B$7,"")</f>
        <v/>
      </c>
    </row>
    <row r="561" spans="1:4" x14ac:dyDescent="0.3">
      <c r="A561" t="str">
        <f>IF(AND(FORSIDE!$B$8&gt;=8,FORSIDE!$F$8&gt;=2,FORSIDE!$B$5&gt;=9),560,"")</f>
        <v/>
      </c>
      <c r="B561" t="str">
        <f>IF(AND(FORSIDE!$B$8&gt;=8,FORSIDE!$F$8&gt;=2,FORSIDE!$B$5&gt;=9),354+2*FORSIDE!$F$9,"")</f>
        <v/>
      </c>
      <c r="C561" t="str">
        <f>IF(AND(FORSIDE!$B$8&gt;=8,FORSIDE!$F$8&gt;=2,FORSIDE!$B$5&gt;=9),8*FORSIDE!$B$9,"")</f>
        <v/>
      </c>
      <c r="D561" t="str">
        <f>IF(AND(FORSIDE!$B$8&gt;=8,FORSIDE!$F$8&gt;=2,FORSIDE!$B$5&gt;=9),FORSIDE!$B$6+(9-1)*FORSIDE!$B$7,"")</f>
        <v/>
      </c>
    </row>
    <row r="562" spans="1:4" x14ac:dyDescent="0.3">
      <c r="A562" t="str">
        <f>IF(AND(FORSIDE!$B$8&gt;=8,FORSIDE!$F$8&gt;=2,FORSIDE!$B$5&gt;=10),561,"")</f>
        <v/>
      </c>
      <c r="B562" t="str">
        <f>IF(AND(FORSIDE!$B$8&gt;=8,FORSIDE!$F$8&gt;=2,FORSIDE!$B$5&gt;=10),354+2*FORSIDE!$F$9,"")</f>
        <v/>
      </c>
      <c r="C562" t="str">
        <f>IF(AND(FORSIDE!$B$8&gt;=8,FORSIDE!$F$8&gt;=2,FORSIDE!$B$5&gt;=10),8*FORSIDE!$B$9,"")</f>
        <v/>
      </c>
      <c r="D562" t="str">
        <f>IF(AND(FORSIDE!$B$8&gt;=8,FORSIDE!$F$8&gt;=2,FORSIDE!$B$5&gt;=10),FORSIDE!$B$6+(10-1)*FORSIDE!$B$7,"")</f>
        <v/>
      </c>
    </row>
    <row r="563" spans="1:4" x14ac:dyDescent="0.3">
      <c r="A563" t="str">
        <f>IF(AND(FORSIDE!$B$8&gt;=9,FORSIDE!$F$8&gt;=2,FORSIDE!$B$5&gt;=0),562,"")</f>
        <v/>
      </c>
      <c r="B563" t="str">
        <f>IF(AND(FORSIDE!$B$8&gt;=9,FORSIDE!$F$8&gt;=2,FORSIDE!$B$5&gt;=0),354+2*FORSIDE!$F$9,"")</f>
        <v/>
      </c>
      <c r="C563" t="str">
        <f>IF(AND(FORSIDE!$B$8&gt;=9,FORSIDE!$F$8&gt;=2,FORSIDE!$B$5&gt;=0),9*FORSIDE!$B$9,"")</f>
        <v/>
      </c>
      <c r="D563" t="str">
        <f>IF(AND(FORSIDE!$B$8&gt;=9,FORSIDE!$F$8&gt;=2,FORSIDE!$B$5&gt;=0),0,"")</f>
        <v/>
      </c>
    </row>
    <row r="564" spans="1:4" x14ac:dyDescent="0.3">
      <c r="A564" t="str">
        <f>IF(AND(FORSIDE!$B$8&gt;=9,FORSIDE!$F$8&gt;=2,FORSIDE!$B$5&gt;=1),563,"")</f>
        <v/>
      </c>
      <c r="B564" t="str">
        <f>IF(AND(FORSIDE!$B$8&gt;=9,FORSIDE!$F$8&gt;=2,FORSIDE!$B$5&gt;=1),354+2*FORSIDE!$F$9,"")</f>
        <v/>
      </c>
      <c r="C564" t="str">
        <f>IF(AND(FORSIDE!$B$8&gt;=9,FORSIDE!$F$8&gt;=2,FORSIDE!$B$5&gt;=1),9*FORSIDE!$B$9,"")</f>
        <v/>
      </c>
      <c r="D564" t="str">
        <f>IF(AND(FORSIDE!$B$8&gt;=9,FORSIDE!$F$8&gt;=2,FORSIDE!$B$5&gt;=1),FORSIDE!$B$6+(1-1)*FORSIDE!$B$7,"")</f>
        <v/>
      </c>
    </row>
    <row r="565" spans="1:4" x14ac:dyDescent="0.3">
      <c r="A565" t="str">
        <f>IF(AND(FORSIDE!$B$8&gt;=9,FORSIDE!$F$8&gt;=2,FORSIDE!$B$5&gt;=2),564,"")</f>
        <v/>
      </c>
      <c r="B565" t="str">
        <f>IF(AND(FORSIDE!$B$8&gt;=9,FORSIDE!$F$8&gt;=2,FORSIDE!$B$5&gt;=2),354+2*FORSIDE!$F$9,"")</f>
        <v/>
      </c>
      <c r="C565" t="str">
        <f>IF(AND(FORSIDE!$B$8&gt;=9,FORSIDE!$F$8&gt;=2,FORSIDE!$B$5&gt;=2),9*FORSIDE!$B$9,"")</f>
        <v/>
      </c>
      <c r="D565" t="str">
        <f>IF(AND(FORSIDE!$B$8&gt;=9,FORSIDE!$F$8&gt;=2,FORSIDE!$B$5&gt;=2),FORSIDE!$B$6+(2-1)*FORSIDE!$B$7,"")</f>
        <v/>
      </c>
    </row>
    <row r="566" spans="1:4" x14ac:dyDescent="0.3">
      <c r="A566" t="str">
        <f>IF(AND(FORSIDE!$B$8&gt;=9,FORSIDE!$F$8&gt;=2,FORSIDE!$B$5&gt;=3),565,"")</f>
        <v/>
      </c>
      <c r="B566" t="str">
        <f>IF(AND(FORSIDE!$B$8&gt;=9,FORSIDE!$F$8&gt;=2,FORSIDE!$B$5&gt;=3),354+2*FORSIDE!$F$9,"")</f>
        <v/>
      </c>
      <c r="C566" t="str">
        <f>IF(AND(FORSIDE!$B$8&gt;=9,FORSIDE!$F$8&gt;=2,FORSIDE!$B$5&gt;=3),9*FORSIDE!$B$9,"")</f>
        <v/>
      </c>
      <c r="D566" t="str">
        <f>IF(AND(FORSIDE!$B$8&gt;=9,FORSIDE!$F$8&gt;=2,FORSIDE!$B$5&gt;=3),FORSIDE!$B$6+(3-1)*FORSIDE!$B$7,"")</f>
        <v/>
      </c>
    </row>
    <row r="567" spans="1:4" x14ac:dyDescent="0.3">
      <c r="A567" t="str">
        <f>IF(AND(FORSIDE!$B$8&gt;=9,FORSIDE!$F$8&gt;=2,FORSIDE!$B$5&gt;=4),566,"")</f>
        <v/>
      </c>
      <c r="B567" t="str">
        <f>IF(AND(FORSIDE!$B$8&gt;=9,FORSIDE!$F$8&gt;=2,FORSIDE!$B$5&gt;=4),354+2*FORSIDE!$F$9,"")</f>
        <v/>
      </c>
      <c r="C567" t="str">
        <f>IF(AND(FORSIDE!$B$8&gt;=9,FORSIDE!$F$8&gt;=2,FORSIDE!$B$5&gt;=4),9*FORSIDE!$B$9,"")</f>
        <v/>
      </c>
      <c r="D567" t="str">
        <f>IF(AND(FORSIDE!$B$8&gt;=9,FORSIDE!$F$8&gt;=2,FORSIDE!$B$5&gt;=4),FORSIDE!$B$6+(4-1)*FORSIDE!$B$7,"")</f>
        <v/>
      </c>
    </row>
    <row r="568" spans="1:4" x14ac:dyDescent="0.3">
      <c r="A568" t="str">
        <f>IF(AND(FORSIDE!$B$8&gt;=9,FORSIDE!$F$8&gt;=2,FORSIDE!$B$5&gt;=5),567,"")</f>
        <v/>
      </c>
      <c r="B568" t="str">
        <f>IF(AND(FORSIDE!$B$8&gt;=9,FORSIDE!$F$8&gt;=2,FORSIDE!$B$5&gt;=5),354+2*FORSIDE!$F$9,"")</f>
        <v/>
      </c>
      <c r="C568" t="str">
        <f>IF(AND(FORSIDE!$B$8&gt;=9,FORSIDE!$F$8&gt;=2,FORSIDE!$B$5&gt;=5),9*FORSIDE!$B$9,"")</f>
        <v/>
      </c>
      <c r="D568" t="str">
        <f>IF(AND(FORSIDE!$B$8&gt;=9,FORSIDE!$F$8&gt;=2,FORSIDE!$B$5&gt;=5),FORSIDE!$B$6+(5-1)*FORSIDE!$B$7,"")</f>
        <v/>
      </c>
    </row>
    <row r="569" spans="1:4" x14ac:dyDescent="0.3">
      <c r="A569" t="str">
        <f>IF(AND(FORSIDE!$B$8&gt;=9,FORSIDE!$F$8&gt;=2,FORSIDE!$B$5&gt;=6),568,"")</f>
        <v/>
      </c>
      <c r="B569" t="str">
        <f>IF(AND(FORSIDE!$B$8&gt;=9,FORSIDE!$F$8&gt;=2,FORSIDE!$B$5&gt;=6),354+2*FORSIDE!$F$9,"")</f>
        <v/>
      </c>
      <c r="C569" t="str">
        <f>IF(AND(FORSIDE!$B$8&gt;=9,FORSIDE!$F$8&gt;=2,FORSIDE!$B$5&gt;=6),9*FORSIDE!$B$9,"")</f>
        <v/>
      </c>
      <c r="D569" t="str">
        <f>IF(AND(FORSIDE!$B$8&gt;=9,FORSIDE!$F$8&gt;=2,FORSIDE!$B$5&gt;=6),FORSIDE!$B$6+(6-1)*FORSIDE!$B$7,"")</f>
        <v/>
      </c>
    </row>
    <row r="570" spans="1:4" x14ac:dyDescent="0.3">
      <c r="A570" t="str">
        <f>IF(AND(FORSIDE!$B$8&gt;=9,FORSIDE!$F$8&gt;=2,FORSIDE!$B$5&gt;=7),569,"")</f>
        <v/>
      </c>
      <c r="B570" t="str">
        <f>IF(AND(FORSIDE!$B$8&gt;=9,FORSIDE!$F$8&gt;=2,FORSIDE!$B$5&gt;=7),354+2*FORSIDE!$F$9,"")</f>
        <v/>
      </c>
      <c r="C570" t="str">
        <f>IF(AND(FORSIDE!$B$8&gt;=9,FORSIDE!$F$8&gt;=2,FORSIDE!$B$5&gt;=7),9*FORSIDE!$B$9,"")</f>
        <v/>
      </c>
      <c r="D570" t="str">
        <f>IF(AND(FORSIDE!$B$8&gt;=9,FORSIDE!$F$8&gt;=2,FORSIDE!$B$5&gt;=7),FORSIDE!$B$6+(7-1)*FORSIDE!$B$7,"")</f>
        <v/>
      </c>
    </row>
    <row r="571" spans="1:4" x14ac:dyDescent="0.3">
      <c r="A571" t="str">
        <f>IF(AND(FORSIDE!$B$8&gt;=9,FORSIDE!$F$8&gt;=2,FORSIDE!$B$5&gt;=8),570,"")</f>
        <v/>
      </c>
      <c r="B571" t="str">
        <f>IF(AND(FORSIDE!$B$8&gt;=9,FORSIDE!$F$8&gt;=2,FORSIDE!$B$5&gt;=8),354+2*FORSIDE!$F$9,"")</f>
        <v/>
      </c>
      <c r="C571" t="str">
        <f>IF(AND(FORSIDE!$B$8&gt;=9,FORSIDE!$F$8&gt;=2,FORSIDE!$B$5&gt;=8),9*FORSIDE!$B$9,"")</f>
        <v/>
      </c>
      <c r="D571" t="str">
        <f>IF(AND(FORSIDE!$B$8&gt;=9,FORSIDE!$F$8&gt;=2,FORSIDE!$B$5&gt;=8),FORSIDE!$B$6+(8-1)*FORSIDE!$B$7,"")</f>
        <v/>
      </c>
    </row>
    <row r="572" spans="1:4" x14ac:dyDescent="0.3">
      <c r="A572" t="str">
        <f>IF(AND(FORSIDE!$B$8&gt;=9,FORSIDE!$F$8&gt;=2,FORSIDE!$B$5&gt;=9),571,"")</f>
        <v/>
      </c>
      <c r="B572" t="str">
        <f>IF(AND(FORSIDE!$B$8&gt;=9,FORSIDE!$F$8&gt;=2,FORSIDE!$B$5&gt;=9),354+2*FORSIDE!$F$9,"")</f>
        <v/>
      </c>
      <c r="C572" t="str">
        <f>IF(AND(FORSIDE!$B$8&gt;=9,FORSIDE!$F$8&gt;=2,FORSIDE!$B$5&gt;=9),9*FORSIDE!$B$9,"")</f>
        <v/>
      </c>
      <c r="D572" t="str">
        <f>IF(AND(FORSIDE!$B$8&gt;=9,FORSIDE!$F$8&gt;=2,FORSIDE!$B$5&gt;=9),FORSIDE!$B$6+(9-1)*FORSIDE!$B$7,"")</f>
        <v/>
      </c>
    </row>
    <row r="573" spans="1:4" x14ac:dyDescent="0.3">
      <c r="A573" t="str">
        <f>IF(AND(FORSIDE!$B$8&gt;=9,FORSIDE!$F$8&gt;=2,FORSIDE!$B$5&gt;=10),572,"")</f>
        <v/>
      </c>
      <c r="B573" t="str">
        <f>IF(AND(FORSIDE!$B$8&gt;=9,FORSIDE!$F$8&gt;=2,FORSIDE!$B$5&gt;=10),354+2*FORSIDE!$F$9,"")</f>
        <v/>
      </c>
      <c r="C573" t="str">
        <f>IF(AND(FORSIDE!$B$8&gt;=9,FORSIDE!$F$8&gt;=2,FORSIDE!$B$5&gt;=10),9*FORSIDE!$B$9,"")</f>
        <v/>
      </c>
      <c r="D573" t="str">
        <f>IF(AND(FORSIDE!$B$8&gt;=9,FORSIDE!$F$8&gt;=2,FORSIDE!$B$5&gt;=10),FORSIDE!$B$6+(10-1)*FORSIDE!$B$7,"")</f>
        <v/>
      </c>
    </row>
    <row r="574" spans="1:4" x14ac:dyDescent="0.3">
      <c r="A574" t="str">
        <f>IF(AND(FORSIDE!$B$8&gt;=10,FORSIDE!$F$8&gt;=2,FORSIDE!$B$5&gt;=0),573,"")</f>
        <v/>
      </c>
      <c r="B574" t="str">
        <f>IF(AND(FORSIDE!$B$8&gt;=10,FORSIDE!$F$8&gt;=2,FORSIDE!$B$5&gt;=0),354+2*FORSIDE!$F$9,"")</f>
        <v/>
      </c>
      <c r="C574" t="str">
        <f>IF(AND(FORSIDE!$B$8&gt;=10,FORSIDE!$F$8&gt;=2,FORSIDE!$B$5&gt;=0),10*FORSIDE!$B$9,"")</f>
        <v/>
      </c>
      <c r="D574" t="str">
        <f>IF(AND(FORSIDE!$B$8&gt;=10,FORSIDE!$F$8&gt;=2,FORSIDE!$B$5&gt;=0),0,"")</f>
        <v/>
      </c>
    </row>
    <row r="575" spans="1:4" x14ac:dyDescent="0.3">
      <c r="A575" t="str">
        <f>IF(AND(FORSIDE!$B$8&gt;=10,FORSIDE!$F$8&gt;=2,FORSIDE!$B$5&gt;=1),574,"")</f>
        <v/>
      </c>
      <c r="B575" t="str">
        <f>IF(AND(FORSIDE!$B$8&gt;=10,FORSIDE!$F$8&gt;=2,FORSIDE!$B$5&gt;=1),354+2*FORSIDE!$F$9,"")</f>
        <v/>
      </c>
      <c r="C575" t="str">
        <f>IF(AND(FORSIDE!$B$8&gt;=10,FORSIDE!$F$8&gt;=2,FORSIDE!$B$5&gt;=1),10*FORSIDE!$B$9,"")</f>
        <v/>
      </c>
      <c r="D575" t="str">
        <f>IF(AND(FORSIDE!$B$8&gt;=10,FORSIDE!$F$8&gt;=2,FORSIDE!$B$5&gt;=1),FORSIDE!$B$6+(1-1)*FORSIDE!$B$7,"")</f>
        <v/>
      </c>
    </row>
    <row r="576" spans="1:4" x14ac:dyDescent="0.3">
      <c r="A576" t="str">
        <f>IF(AND(FORSIDE!$B$8&gt;=10,FORSIDE!$F$8&gt;=2,FORSIDE!$B$5&gt;=2),575,"")</f>
        <v/>
      </c>
      <c r="B576" t="str">
        <f>IF(AND(FORSIDE!$B$8&gt;=10,FORSIDE!$F$8&gt;=2,FORSIDE!$B$5&gt;=2),354+2*FORSIDE!$F$9,"")</f>
        <v/>
      </c>
      <c r="C576" t="str">
        <f>IF(AND(FORSIDE!$B$8&gt;=10,FORSIDE!$F$8&gt;=2,FORSIDE!$B$5&gt;=2),10*FORSIDE!$B$9,"")</f>
        <v/>
      </c>
      <c r="D576" t="str">
        <f>IF(AND(FORSIDE!$B$8&gt;=10,FORSIDE!$F$8&gt;=2,FORSIDE!$B$5&gt;=2),FORSIDE!$B$6+(2-1)*FORSIDE!$B$7,"")</f>
        <v/>
      </c>
    </row>
    <row r="577" spans="1:4" x14ac:dyDescent="0.3">
      <c r="A577" t="str">
        <f>IF(AND(FORSIDE!$B$8&gt;=10,FORSIDE!$F$8&gt;=2,FORSIDE!$B$5&gt;=3),576,"")</f>
        <v/>
      </c>
      <c r="B577" t="str">
        <f>IF(AND(FORSIDE!$B$8&gt;=10,FORSIDE!$F$8&gt;=2,FORSIDE!$B$5&gt;=3),354+2*FORSIDE!$F$9,"")</f>
        <v/>
      </c>
      <c r="C577" t="str">
        <f>IF(AND(FORSIDE!$B$8&gt;=10,FORSIDE!$F$8&gt;=2,FORSIDE!$B$5&gt;=3),10*FORSIDE!$B$9,"")</f>
        <v/>
      </c>
      <c r="D577" t="str">
        <f>IF(AND(FORSIDE!$B$8&gt;=10,FORSIDE!$F$8&gt;=2,FORSIDE!$B$5&gt;=3),FORSIDE!$B$6+(3-1)*FORSIDE!$B$7,"")</f>
        <v/>
      </c>
    </row>
    <row r="578" spans="1:4" x14ac:dyDescent="0.3">
      <c r="A578" t="str">
        <f>IF(AND(FORSIDE!$B$8&gt;=10,FORSIDE!$F$8&gt;=2,FORSIDE!$B$5&gt;=4),577,"")</f>
        <v/>
      </c>
      <c r="B578" t="str">
        <f>IF(AND(FORSIDE!$B$8&gt;=10,FORSIDE!$F$8&gt;=2,FORSIDE!$B$5&gt;=4),354+2*FORSIDE!$F$9,"")</f>
        <v/>
      </c>
      <c r="C578" t="str">
        <f>IF(AND(FORSIDE!$B$8&gt;=10,FORSIDE!$F$8&gt;=2,FORSIDE!$B$5&gt;=4),10*FORSIDE!$B$9,"")</f>
        <v/>
      </c>
      <c r="D578" t="str">
        <f>IF(AND(FORSIDE!$B$8&gt;=10,FORSIDE!$F$8&gt;=2,FORSIDE!$B$5&gt;=4),FORSIDE!$B$6+(4-1)*FORSIDE!$B$7,"")</f>
        <v/>
      </c>
    </row>
    <row r="579" spans="1:4" x14ac:dyDescent="0.3">
      <c r="A579" t="str">
        <f>IF(AND(FORSIDE!$B$8&gt;=10,FORSIDE!$F$8&gt;=2,FORSIDE!$B$5&gt;=5),578,"")</f>
        <v/>
      </c>
      <c r="B579" t="str">
        <f>IF(AND(FORSIDE!$B$8&gt;=10,FORSIDE!$F$8&gt;=2,FORSIDE!$B$5&gt;=5),354+2*FORSIDE!$F$9,"")</f>
        <v/>
      </c>
      <c r="C579" t="str">
        <f>IF(AND(FORSIDE!$B$8&gt;=10,FORSIDE!$F$8&gt;=2,FORSIDE!$B$5&gt;=5),10*FORSIDE!$B$9,"")</f>
        <v/>
      </c>
      <c r="D579" t="str">
        <f>IF(AND(FORSIDE!$B$8&gt;=10,FORSIDE!$F$8&gt;=2,FORSIDE!$B$5&gt;=5),FORSIDE!$B$6+(5-1)*FORSIDE!$B$7,"")</f>
        <v/>
      </c>
    </row>
    <row r="580" spans="1:4" x14ac:dyDescent="0.3">
      <c r="A580" t="str">
        <f>IF(AND(FORSIDE!$B$8&gt;=10,FORSIDE!$F$8&gt;=2,FORSIDE!$B$5&gt;=6),579,"")</f>
        <v/>
      </c>
      <c r="B580" t="str">
        <f>IF(AND(FORSIDE!$B$8&gt;=10,FORSIDE!$F$8&gt;=2,FORSIDE!$B$5&gt;=6),354+2*FORSIDE!$F$9,"")</f>
        <v/>
      </c>
      <c r="C580" t="str">
        <f>IF(AND(FORSIDE!$B$8&gt;=10,FORSIDE!$F$8&gt;=2,FORSIDE!$B$5&gt;=6),10*FORSIDE!$B$9,"")</f>
        <v/>
      </c>
      <c r="D580" t="str">
        <f>IF(AND(FORSIDE!$B$8&gt;=10,FORSIDE!$F$8&gt;=2,FORSIDE!$B$5&gt;=6),FORSIDE!$B$6+(6-1)*FORSIDE!$B$7,"")</f>
        <v/>
      </c>
    </row>
    <row r="581" spans="1:4" x14ac:dyDescent="0.3">
      <c r="A581" t="str">
        <f>IF(AND(FORSIDE!$B$8&gt;=10,FORSIDE!$F$8&gt;=2,FORSIDE!$B$5&gt;=7),580,"")</f>
        <v/>
      </c>
      <c r="B581" t="str">
        <f>IF(AND(FORSIDE!$B$8&gt;=10,FORSIDE!$F$8&gt;=2,FORSIDE!$B$5&gt;=7),354+2*FORSIDE!$F$9,"")</f>
        <v/>
      </c>
      <c r="C581" t="str">
        <f>IF(AND(FORSIDE!$B$8&gt;=10,FORSIDE!$F$8&gt;=2,FORSIDE!$B$5&gt;=7),10*FORSIDE!$B$9,"")</f>
        <v/>
      </c>
      <c r="D581" t="str">
        <f>IF(AND(FORSIDE!$B$8&gt;=10,FORSIDE!$F$8&gt;=2,FORSIDE!$B$5&gt;=7),FORSIDE!$B$6+(7-1)*FORSIDE!$B$7,"")</f>
        <v/>
      </c>
    </row>
    <row r="582" spans="1:4" x14ac:dyDescent="0.3">
      <c r="A582" t="str">
        <f>IF(AND(FORSIDE!$B$8&gt;=10,FORSIDE!$F$8&gt;=2,FORSIDE!$B$5&gt;=8),581,"")</f>
        <v/>
      </c>
      <c r="B582" t="str">
        <f>IF(AND(FORSIDE!$B$8&gt;=10,FORSIDE!$F$8&gt;=2,FORSIDE!$B$5&gt;=8),354+2*FORSIDE!$F$9,"")</f>
        <v/>
      </c>
      <c r="C582" t="str">
        <f>IF(AND(FORSIDE!$B$8&gt;=10,FORSIDE!$F$8&gt;=2,FORSIDE!$B$5&gt;=8),10*FORSIDE!$B$9,"")</f>
        <v/>
      </c>
      <c r="D582" t="str">
        <f>IF(AND(FORSIDE!$B$8&gt;=10,FORSIDE!$F$8&gt;=2,FORSIDE!$B$5&gt;=8),FORSIDE!$B$6+(8-1)*FORSIDE!$B$7,"")</f>
        <v/>
      </c>
    </row>
    <row r="583" spans="1:4" x14ac:dyDescent="0.3">
      <c r="A583" t="str">
        <f>IF(AND(FORSIDE!$B$8&gt;=10,FORSIDE!$F$8&gt;=2,FORSIDE!$B$5&gt;=9),582,"")</f>
        <v/>
      </c>
      <c r="B583" t="str">
        <f>IF(AND(FORSIDE!$B$8&gt;=10,FORSIDE!$F$8&gt;=2,FORSIDE!$B$5&gt;=9),354+2*FORSIDE!$F$9,"")</f>
        <v/>
      </c>
      <c r="C583" t="str">
        <f>IF(AND(FORSIDE!$B$8&gt;=10,FORSIDE!$F$8&gt;=2,FORSIDE!$B$5&gt;=9),10*FORSIDE!$B$9,"")</f>
        <v/>
      </c>
      <c r="D583" t="str">
        <f>IF(AND(FORSIDE!$B$8&gt;=10,FORSIDE!$F$8&gt;=2,FORSIDE!$B$5&gt;=9),FORSIDE!$B$6+(9-1)*FORSIDE!$B$7,"")</f>
        <v/>
      </c>
    </row>
    <row r="584" spans="1:4" x14ac:dyDescent="0.3">
      <c r="A584" t="str">
        <f>IF(AND(FORSIDE!$B$8&gt;=10,FORSIDE!$F$8&gt;=2,FORSIDE!$B$5&gt;=10),583,"")</f>
        <v/>
      </c>
      <c r="B584" t="str">
        <f>IF(AND(FORSIDE!$B$8&gt;=10,FORSIDE!$F$8&gt;=2,FORSIDE!$B$5&gt;=10),354+2*FORSIDE!$F$9,"")</f>
        <v/>
      </c>
      <c r="C584" t="str">
        <f>IF(AND(FORSIDE!$B$8&gt;=10,FORSIDE!$F$8&gt;=2,FORSIDE!$B$5&gt;=10),10*FORSIDE!$B$9,"")</f>
        <v/>
      </c>
      <c r="D584" t="str">
        <f>IF(AND(FORSIDE!$B$8&gt;=10,FORSIDE!$F$8&gt;=2,FORSIDE!$B$5&gt;=10),FORSIDE!$B$6+(10-1)*FORSIDE!$B$7,"")</f>
        <v/>
      </c>
    </row>
    <row r="585" spans="1:4" x14ac:dyDescent="0.3">
      <c r="A585" t="str">
        <f>IF(AND(FORSIDE!$B$8&gt;=11,FORSIDE!$F$8&gt;=2,FORSIDE!$B$5&gt;=0),584,"")</f>
        <v/>
      </c>
      <c r="B585" t="str">
        <f>IF(AND(FORSIDE!$B$8&gt;=11,FORSIDE!$F$8&gt;=2,FORSIDE!$B$5&gt;=0),354+2*FORSIDE!$F$9,"")</f>
        <v/>
      </c>
      <c r="C585" t="str">
        <f>IF(AND(FORSIDE!$B$8&gt;=11,FORSIDE!$F$8&gt;=2,FORSIDE!$B$5&gt;=0),11*FORSIDE!$B$9,"")</f>
        <v/>
      </c>
      <c r="D585" t="str">
        <f>IF(AND(FORSIDE!$B$8&gt;=11,FORSIDE!$F$8&gt;=2,FORSIDE!$B$5&gt;=0),0,"")</f>
        <v/>
      </c>
    </row>
    <row r="586" spans="1:4" x14ac:dyDescent="0.3">
      <c r="A586" t="str">
        <f>IF(AND(FORSIDE!$B$8&gt;=11,FORSIDE!$F$8&gt;=2,FORSIDE!$B$5&gt;=1),585,"")</f>
        <v/>
      </c>
      <c r="B586" t="str">
        <f>IF(AND(FORSIDE!$B$8&gt;=11,FORSIDE!$F$8&gt;=2,FORSIDE!$B$5&gt;=1),354+2*FORSIDE!$F$9,"")</f>
        <v/>
      </c>
      <c r="C586" t="str">
        <f>IF(AND(FORSIDE!$B$8&gt;=11,FORSIDE!$F$8&gt;=2,FORSIDE!$B$5&gt;=1),11*FORSIDE!$B$9,"")</f>
        <v/>
      </c>
      <c r="D586" t="str">
        <f>IF(AND(FORSIDE!$B$8&gt;=11,FORSIDE!$F$8&gt;=2,FORSIDE!$B$5&gt;=1),FORSIDE!$B$6+(1-1)*FORSIDE!$B$7,"")</f>
        <v/>
      </c>
    </row>
    <row r="587" spans="1:4" x14ac:dyDescent="0.3">
      <c r="A587" t="str">
        <f>IF(AND(FORSIDE!$B$8&gt;=11,FORSIDE!$F$8&gt;=2,FORSIDE!$B$5&gt;=2),586,"")</f>
        <v/>
      </c>
      <c r="B587" t="str">
        <f>IF(AND(FORSIDE!$B$8&gt;=11,FORSIDE!$F$8&gt;=2,FORSIDE!$B$5&gt;=2),354+2*FORSIDE!$F$9,"")</f>
        <v/>
      </c>
      <c r="C587" t="str">
        <f>IF(AND(FORSIDE!$B$8&gt;=11,FORSIDE!$F$8&gt;=2,FORSIDE!$B$5&gt;=2),11*FORSIDE!$B$9,"")</f>
        <v/>
      </c>
      <c r="D587" t="str">
        <f>IF(AND(FORSIDE!$B$8&gt;=11,FORSIDE!$F$8&gt;=2,FORSIDE!$B$5&gt;=2),FORSIDE!$B$6+(2-1)*FORSIDE!$B$7,"")</f>
        <v/>
      </c>
    </row>
    <row r="588" spans="1:4" x14ac:dyDescent="0.3">
      <c r="A588" t="str">
        <f>IF(AND(FORSIDE!$B$8&gt;=11,FORSIDE!$F$8&gt;=2,FORSIDE!$B$5&gt;=3),587,"")</f>
        <v/>
      </c>
      <c r="B588" t="str">
        <f>IF(AND(FORSIDE!$B$8&gt;=11,FORSIDE!$F$8&gt;=2,FORSIDE!$B$5&gt;=3),354+2*FORSIDE!$F$9,"")</f>
        <v/>
      </c>
      <c r="C588" t="str">
        <f>IF(AND(FORSIDE!$B$8&gt;=11,FORSIDE!$F$8&gt;=2,FORSIDE!$B$5&gt;=3),11*FORSIDE!$B$9,"")</f>
        <v/>
      </c>
      <c r="D588" t="str">
        <f>IF(AND(FORSIDE!$B$8&gt;=11,FORSIDE!$F$8&gt;=2,FORSIDE!$B$5&gt;=3),FORSIDE!$B$6+(3-1)*FORSIDE!$B$7,"")</f>
        <v/>
      </c>
    </row>
    <row r="589" spans="1:4" x14ac:dyDescent="0.3">
      <c r="A589" t="str">
        <f>IF(AND(FORSIDE!$B$8&gt;=11,FORSIDE!$F$8&gt;=2,FORSIDE!$B$5&gt;=4),588,"")</f>
        <v/>
      </c>
      <c r="B589" t="str">
        <f>IF(AND(FORSIDE!$B$8&gt;=11,FORSIDE!$F$8&gt;=2,FORSIDE!$B$5&gt;=4),354+2*FORSIDE!$F$9,"")</f>
        <v/>
      </c>
      <c r="C589" t="str">
        <f>IF(AND(FORSIDE!$B$8&gt;=11,FORSIDE!$F$8&gt;=2,FORSIDE!$B$5&gt;=4),11*FORSIDE!$B$9,"")</f>
        <v/>
      </c>
      <c r="D589" t="str">
        <f>IF(AND(FORSIDE!$B$8&gt;=11,FORSIDE!$F$8&gt;=2,FORSIDE!$B$5&gt;=4),FORSIDE!$B$6+(4-1)*FORSIDE!$B$7,"")</f>
        <v/>
      </c>
    </row>
    <row r="590" spans="1:4" x14ac:dyDescent="0.3">
      <c r="A590" t="str">
        <f>IF(AND(FORSIDE!$B$8&gt;=11,FORSIDE!$F$8&gt;=2,FORSIDE!$B$5&gt;=5),589,"")</f>
        <v/>
      </c>
      <c r="B590" t="str">
        <f>IF(AND(FORSIDE!$B$8&gt;=11,FORSIDE!$F$8&gt;=2,FORSIDE!$B$5&gt;=5),354+2*FORSIDE!$F$9,"")</f>
        <v/>
      </c>
      <c r="C590" t="str">
        <f>IF(AND(FORSIDE!$B$8&gt;=11,FORSIDE!$F$8&gt;=2,FORSIDE!$B$5&gt;=5),11*FORSIDE!$B$9,"")</f>
        <v/>
      </c>
      <c r="D590" t="str">
        <f>IF(AND(FORSIDE!$B$8&gt;=11,FORSIDE!$F$8&gt;=2,FORSIDE!$B$5&gt;=5),FORSIDE!$B$6+(5-1)*FORSIDE!$B$7,"")</f>
        <v/>
      </c>
    </row>
    <row r="591" spans="1:4" x14ac:dyDescent="0.3">
      <c r="A591" t="str">
        <f>IF(AND(FORSIDE!$B$8&gt;=11,FORSIDE!$F$8&gt;=2,FORSIDE!$B$5&gt;=6),590,"")</f>
        <v/>
      </c>
      <c r="B591" t="str">
        <f>IF(AND(FORSIDE!$B$8&gt;=11,FORSIDE!$F$8&gt;=2,FORSIDE!$B$5&gt;=6),354+2*FORSIDE!$F$9,"")</f>
        <v/>
      </c>
      <c r="C591" t="str">
        <f>IF(AND(FORSIDE!$B$8&gt;=11,FORSIDE!$F$8&gt;=2,FORSIDE!$B$5&gt;=6),11*FORSIDE!$B$9,"")</f>
        <v/>
      </c>
      <c r="D591" t="str">
        <f>IF(AND(FORSIDE!$B$8&gt;=11,FORSIDE!$F$8&gt;=2,FORSIDE!$B$5&gt;=6),FORSIDE!$B$6+(6-1)*FORSIDE!$B$7,"")</f>
        <v/>
      </c>
    </row>
    <row r="592" spans="1:4" x14ac:dyDescent="0.3">
      <c r="A592" t="str">
        <f>IF(AND(FORSIDE!$B$8&gt;=11,FORSIDE!$F$8&gt;=2,FORSIDE!$B$5&gt;=7),591,"")</f>
        <v/>
      </c>
      <c r="B592" t="str">
        <f>IF(AND(FORSIDE!$B$8&gt;=11,FORSIDE!$F$8&gt;=2,FORSIDE!$B$5&gt;=7),354+2*FORSIDE!$F$9,"")</f>
        <v/>
      </c>
      <c r="C592" t="str">
        <f>IF(AND(FORSIDE!$B$8&gt;=11,FORSIDE!$F$8&gt;=2,FORSIDE!$B$5&gt;=7),11*FORSIDE!$B$9,"")</f>
        <v/>
      </c>
      <c r="D592" t="str">
        <f>IF(AND(FORSIDE!$B$8&gt;=11,FORSIDE!$F$8&gt;=2,FORSIDE!$B$5&gt;=7),FORSIDE!$B$6+(7-1)*FORSIDE!$B$7,"")</f>
        <v/>
      </c>
    </row>
    <row r="593" spans="1:4" x14ac:dyDescent="0.3">
      <c r="A593" t="str">
        <f>IF(AND(FORSIDE!$B$8&gt;=11,FORSIDE!$F$8&gt;=2,FORSIDE!$B$5&gt;=8),592,"")</f>
        <v/>
      </c>
      <c r="B593" t="str">
        <f>IF(AND(FORSIDE!$B$8&gt;=11,FORSIDE!$F$8&gt;=2,FORSIDE!$B$5&gt;=8),354+2*FORSIDE!$F$9,"")</f>
        <v/>
      </c>
      <c r="C593" t="str">
        <f>IF(AND(FORSIDE!$B$8&gt;=11,FORSIDE!$F$8&gt;=2,FORSIDE!$B$5&gt;=8),11*FORSIDE!$B$9,"")</f>
        <v/>
      </c>
      <c r="D593" t="str">
        <f>IF(AND(FORSIDE!$B$8&gt;=11,FORSIDE!$F$8&gt;=2,FORSIDE!$B$5&gt;=8),FORSIDE!$B$6+(8-1)*FORSIDE!$B$7,"")</f>
        <v/>
      </c>
    </row>
    <row r="594" spans="1:4" x14ac:dyDescent="0.3">
      <c r="A594" t="str">
        <f>IF(AND(FORSIDE!$B$8&gt;=11,FORSIDE!$F$8&gt;=2,FORSIDE!$B$5&gt;=9),593,"")</f>
        <v/>
      </c>
      <c r="B594" t="str">
        <f>IF(AND(FORSIDE!$B$8&gt;=11,FORSIDE!$F$8&gt;=2,FORSIDE!$B$5&gt;=9),354+2*FORSIDE!$F$9,"")</f>
        <v/>
      </c>
      <c r="C594" t="str">
        <f>IF(AND(FORSIDE!$B$8&gt;=11,FORSIDE!$F$8&gt;=2,FORSIDE!$B$5&gt;=9),11*FORSIDE!$B$9,"")</f>
        <v/>
      </c>
      <c r="D594" t="str">
        <f>IF(AND(FORSIDE!$B$8&gt;=11,FORSIDE!$F$8&gt;=2,FORSIDE!$B$5&gt;=9),FORSIDE!$B$6+(9-1)*FORSIDE!$B$7,"")</f>
        <v/>
      </c>
    </row>
    <row r="595" spans="1:4" x14ac:dyDescent="0.3">
      <c r="A595" t="str">
        <f>IF(AND(FORSIDE!$B$8&gt;=11,FORSIDE!$F$8&gt;=2,FORSIDE!$B$5&gt;=10),594,"")</f>
        <v/>
      </c>
      <c r="B595" t="str">
        <f>IF(AND(FORSIDE!$B$8&gt;=11,FORSIDE!$F$8&gt;=2,FORSIDE!$B$5&gt;=10),354+2*FORSIDE!$F$9,"")</f>
        <v/>
      </c>
      <c r="C595" t="str">
        <f>IF(AND(FORSIDE!$B$8&gt;=11,FORSIDE!$F$8&gt;=2,FORSIDE!$B$5&gt;=10),11*FORSIDE!$B$9,"")</f>
        <v/>
      </c>
      <c r="D595" t="str">
        <f>IF(AND(FORSIDE!$B$8&gt;=11,FORSIDE!$F$8&gt;=2,FORSIDE!$B$5&gt;=10),FORSIDE!$B$6+(10-1)*FORSIDE!$B$7,"")</f>
        <v/>
      </c>
    </row>
    <row r="596" spans="1:4" x14ac:dyDescent="0.3">
      <c r="A596" t="str">
        <f>IF(AND(FORSIDE!$B$8&gt;=12,FORSIDE!$F$8&gt;=2,FORSIDE!$B$5&gt;=0),595,"")</f>
        <v/>
      </c>
      <c r="B596" t="str">
        <f>IF(AND(FORSIDE!$B$8&gt;=12,FORSIDE!$F$8&gt;=2,FORSIDE!$B$5&gt;=0),354+2*FORSIDE!$F$9,"")</f>
        <v/>
      </c>
      <c r="C596" t="str">
        <f>IF(AND(FORSIDE!$B$8&gt;=12,FORSIDE!$F$8&gt;=2,FORSIDE!$B$5&gt;=0),12*FORSIDE!$B$9,"")</f>
        <v/>
      </c>
      <c r="D596" t="str">
        <f>IF(AND(FORSIDE!$B$8&gt;=12,FORSIDE!$F$8&gt;=2,FORSIDE!$B$5&gt;=0),0,"")</f>
        <v/>
      </c>
    </row>
    <row r="597" spans="1:4" x14ac:dyDescent="0.3">
      <c r="A597" t="str">
        <f>IF(AND(FORSIDE!$B$8&gt;=12,FORSIDE!$F$8&gt;=2,FORSIDE!$B$5&gt;=1),596,"")</f>
        <v/>
      </c>
      <c r="B597" t="str">
        <f>IF(AND(FORSIDE!$B$8&gt;=12,FORSIDE!$F$8&gt;=2,FORSIDE!$B$5&gt;=1),354+2*FORSIDE!$F$9,"")</f>
        <v/>
      </c>
      <c r="C597" t="str">
        <f>IF(AND(FORSIDE!$B$8&gt;=12,FORSIDE!$F$8&gt;=2,FORSIDE!$B$5&gt;=1),12*FORSIDE!$B$9,"")</f>
        <v/>
      </c>
      <c r="D597" t="str">
        <f>IF(AND(FORSIDE!$B$8&gt;=12,FORSIDE!$F$8&gt;=2,FORSIDE!$B$5&gt;=1),FORSIDE!$B$6+(1-1)*FORSIDE!$B$7,"")</f>
        <v/>
      </c>
    </row>
    <row r="598" spans="1:4" x14ac:dyDescent="0.3">
      <c r="A598" t="str">
        <f>IF(AND(FORSIDE!$B$8&gt;=12,FORSIDE!$F$8&gt;=2,FORSIDE!$B$5&gt;=2),597,"")</f>
        <v/>
      </c>
      <c r="B598" t="str">
        <f>IF(AND(FORSIDE!$B$8&gt;=12,FORSIDE!$F$8&gt;=2,FORSIDE!$B$5&gt;=2),354+2*FORSIDE!$F$9,"")</f>
        <v/>
      </c>
      <c r="C598" t="str">
        <f>IF(AND(FORSIDE!$B$8&gt;=12,FORSIDE!$F$8&gt;=2,FORSIDE!$B$5&gt;=2),12*FORSIDE!$B$9,"")</f>
        <v/>
      </c>
      <c r="D598" t="str">
        <f>IF(AND(FORSIDE!$B$8&gt;=12,FORSIDE!$F$8&gt;=2,FORSIDE!$B$5&gt;=2),FORSIDE!$B$6+(2-1)*FORSIDE!$B$7,"")</f>
        <v/>
      </c>
    </row>
    <row r="599" spans="1:4" x14ac:dyDescent="0.3">
      <c r="A599" t="str">
        <f>IF(AND(FORSIDE!$B$8&gt;=12,FORSIDE!$F$8&gt;=2,FORSIDE!$B$5&gt;=3),598,"")</f>
        <v/>
      </c>
      <c r="B599" t="str">
        <f>IF(AND(FORSIDE!$B$8&gt;=12,FORSIDE!$F$8&gt;=2,FORSIDE!$B$5&gt;=3),354+2*FORSIDE!$F$9,"")</f>
        <v/>
      </c>
      <c r="C599" t="str">
        <f>IF(AND(FORSIDE!$B$8&gt;=12,FORSIDE!$F$8&gt;=2,FORSIDE!$B$5&gt;=3),12*FORSIDE!$B$9,"")</f>
        <v/>
      </c>
      <c r="D599" t="str">
        <f>IF(AND(FORSIDE!$B$8&gt;=12,FORSIDE!$F$8&gt;=2,FORSIDE!$B$5&gt;=3),FORSIDE!$B$6+(3-1)*FORSIDE!$B$7,"")</f>
        <v/>
      </c>
    </row>
    <row r="600" spans="1:4" x14ac:dyDescent="0.3">
      <c r="A600" t="str">
        <f>IF(AND(FORSIDE!$B$8&gt;=12,FORSIDE!$F$8&gt;=2,FORSIDE!$B$5&gt;=4),599,"")</f>
        <v/>
      </c>
      <c r="B600" t="str">
        <f>IF(AND(FORSIDE!$B$8&gt;=12,FORSIDE!$F$8&gt;=2,FORSIDE!$B$5&gt;=4),354+2*FORSIDE!$F$9,"")</f>
        <v/>
      </c>
      <c r="C600" t="str">
        <f>IF(AND(FORSIDE!$B$8&gt;=12,FORSIDE!$F$8&gt;=2,FORSIDE!$B$5&gt;=4),12*FORSIDE!$B$9,"")</f>
        <v/>
      </c>
      <c r="D600" t="str">
        <f>IF(AND(FORSIDE!$B$8&gt;=12,FORSIDE!$F$8&gt;=2,FORSIDE!$B$5&gt;=4),FORSIDE!$B$6+(4-1)*FORSIDE!$B$7,"")</f>
        <v/>
      </c>
    </row>
    <row r="601" spans="1:4" x14ac:dyDescent="0.3">
      <c r="A601" t="str">
        <f>IF(AND(FORSIDE!$B$8&gt;=12,FORSIDE!$F$8&gt;=2,FORSIDE!$B$5&gt;=5),600,"")</f>
        <v/>
      </c>
      <c r="B601" t="str">
        <f>IF(AND(FORSIDE!$B$8&gt;=12,FORSIDE!$F$8&gt;=2,FORSIDE!$B$5&gt;=5),354+2*FORSIDE!$F$9,"")</f>
        <v/>
      </c>
      <c r="C601" t="str">
        <f>IF(AND(FORSIDE!$B$8&gt;=12,FORSIDE!$F$8&gt;=2,FORSIDE!$B$5&gt;=5),12*FORSIDE!$B$9,"")</f>
        <v/>
      </c>
      <c r="D601" t="str">
        <f>IF(AND(FORSIDE!$B$8&gt;=12,FORSIDE!$F$8&gt;=2,FORSIDE!$B$5&gt;=5),FORSIDE!$B$6+(5-1)*FORSIDE!$B$7,"")</f>
        <v/>
      </c>
    </row>
    <row r="602" spans="1:4" x14ac:dyDescent="0.3">
      <c r="A602" t="str">
        <f>IF(AND(FORSIDE!$B$8&gt;=12,FORSIDE!$F$8&gt;=2,FORSIDE!$B$5&gt;=6),601,"")</f>
        <v/>
      </c>
      <c r="B602" t="str">
        <f>IF(AND(FORSIDE!$B$8&gt;=12,FORSIDE!$F$8&gt;=2,FORSIDE!$B$5&gt;=6),354+2*FORSIDE!$F$9,"")</f>
        <v/>
      </c>
      <c r="C602" t="str">
        <f>IF(AND(FORSIDE!$B$8&gt;=12,FORSIDE!$F$8&gt;=2,FORSIDE!$B$5&gt;=6),12*FORSIDE!$B$9,"")</f>
        <v/>
      </c>
      <c r="D602" t="str">
        <f>IF(AND(FORSIDE!$B$8&gt;=12,FORSIDE!$F$8&gt;=2,FORSIDE!$B$5&gt;=6),FORSIDE!$B$6+(6-1)*FORSIDE!$B$7,"")</f>
        <v/>
      </c>
    </row>
    <row r="603" spans="1:4" x14ac:dyDescent="0.3">
      <c r="A603" t="str">
        <f>IF(AND(FORSIDE!$B$8&gt;=12,FORSIDE!$F$8&gt;=2,FORSIDE!$B$5&gt;=7),602,"")</f>
        <v/>
      </c>
      <c r="B603" t="str">
        <f>IF(AND(FORSIDE!$B$8&gt;=12,FORSIDE!$F$8&gt;=2,FORSIDE!$B$5&gt;=7),354+2*FORSIDE!$F$9,"")</f>
        <v/>
      </c>
      <c r="C603" t="str">
        <f>IF(AND(FORSIDE!$B$8&gt;=12,FORSIDE!$F$8&gt;=2,FORSIDE!$B$5&gt;=7),12*FORSIDE!$B$9,"")</f>
        <v/>
      </c>
      <c r="D603" t="str">
        <f>IF(AND(FORSIDE!$B$8&gt;=12,FORSIDE!$F$8&gt;=2,FORSIDE!$B$5&gt;=7),FORSIDE!$B$6+(7-1)*FORSIDE!$B$7,"")</f>
        <v/>
      </c>
    </row>
    <row r="604" spans="1:4" x14ac:dyDescent="0.3">
      <c r="A604" t="str">
        <f>IF(AND(FORSIDE!$B$8&gt;=12,FORSIDE!$F$8&gt;=2,FORSIDE!$B$5&gt;=8),603,"")</f>
        <v/>
      </c>
      <c r="B604" t="str">
        <f>IF(AND(FORSIDE!$B$8&gt;=12,FORSIDE!$F$8&gt;=2,FORSIDE!$B$5&gt;=8),354+2*FORSIDE!$F$9,"")</f>
        <v/>
      </c>
      <c r="C604" t="str">
        <f>IF(AND(FORSIDE!$B$8&gt;=12,FORSIDE!$F$8&gt;=2,FORSIDE!$B$5&gt;=8),12*FORSIDE!$B$9,"")</f>
        <v/>
      </c>
      <c r="D604" t="str">
        <f>IF(AND(FORSIDE!$B$8&gt;=12,FORSIDE!$F$8&gt;=2,FORSIDE!$B$5&gt;=8),FORSIDE!$B$6+(8-1)*FORSIDE!$B$7,"")</f>
        <v/>
      </c>
    </row>
    <row r="605" spans="1:4" x14ac:dyDescent="0.3">
      <c r="A605" t="str">
        <f>IF(AND(FORSIDE!$B$8&gt;=12,FORSIDE!$F$8&gt;=2,FORSIDE!$B$5&gt;=9),604,"")</f>
        <v/>
      </c>
      <c r="B605" t="str">
        <f>IF(AND(FORSIDE!$B$8&gt;=12,FORSIDE!$F$8&gt;=2,FORSIDE!$B$5&gt;=9),354+2*FORSIDE!$F$9,"")</f>
        <v/>
      </c>
      <c r="C605" t="str">
        <f>IF(AND(FORSIDE!$B$8&gt;=12,FORSIDE!$F$8&gt;=2,FORSIDE!$B$5&gt;=9),12*FORSIDE!$B$9,"")</f>
        <v/>
      </c>
      <c r="D605" t="str">
        <f>IF(AND(FORSIDE!$B$8&gt;=12,FORSIDE!$F$8&gt;=2,FORSIDE!$B$5&gt;=9),FORSIDE!$B$6+(9-1)*FORSIDE!$B$7,"")</f>
        <v/>
      </c>
    </row>
    <row r="606" spans="1:4" x14ac:dyDescent="0.3">
      <c r="A606" t="str">
        <f>IF(AND(FORSIDE!$B$8&gt;=12,FORSIDE!$F$8&gt;=2,FORSIDE!$B$5&gt;=10),605,"")</f>
        <v/>
      </c>
      <c r="B606" t="str">
        <f>IF(AND(FORSIDE!$B$8&gt;=12,FORSIDE!$F$8&gt;=2,FORSIDE!$B$5&gt;=10),354+2*FORSIDE!$F$9,"")</f>
        <v/>
      </c>
      <c r="C606" t="str">
        <f>IF(AND(FORSIDE!$B$8&gt;=12,FORSIDE!$F$8&gt;=2,FORSIDE!$B$5&gt;=10),12*FORSIDE!$B$9,"")</f>
        <v/>
      </c>
      <c r="D606" t="str">
        <f>IF(AND(FORSIDE!$B$8&gt;=12,FORSIDE!$F$8&gt;=2,FORSIDE!$B$5&gt;=10),FORSIDE!$B$6+(10-1)*FORSIDE!$B$7,"")</f>
        <v/>
      </c>
    </row>
    <row r="607" spans="1:4" x14ac:dyDescent="0.3">
      <c r="A607" t="str">
        <f>IF(AND(FORSIDE!$B$8&gt;=13,FORSIDE!$F$8&gt;=2,FORSIDE!$B$5&gt;=0),606,"")</f>
        <v/>
      </c>
      <c r="B607" t="str">
        <f>IF(AND(FORSIDE!$B$8&gt;=13,FORSIDE!$F$8&gt;=2,FORSIDE!$B$5&gt;=0),354+2*FORSIDE!$F$9,"")</f>
        <v/>
      </c>
      <c r="C607" t="str">
        <f>IF(AND(FORSIDE!$B$8&gt;=13,FORSIDE!$F$8&gt;=2,FORSIDE!$B$5&gt;=0),13*FORSIDE!$B$9,"")</f>
        <v/>
      </c>
      <c r="D607" t="str">
        <f>IF(AND(FORSIDE!$B$8&gt;=13,FORSIDE!$F$8&gt;=2,FORSIDE!$B$5&gt;=0),0,"")</f>
        <v/>
      </c>
    </row>
    <row r="608" spans="1:4" x14ac:dyDescent="0.3">
      <c r="A608" t="str">
        <f>IF(AND(FORSIDE!$B$8&gt;=13,FORSIDE!$F$8&gt;=2,FORSIDE!$B$5&gt;=1),607,"")</f>
        <v/>
      </c>
      <c r="B608" t="str">
        <f>IF(AND(FORSIDE!$B$8&gt;=13,FORSIDE!$F$8&gt;=2,FORSIDE!$B$5&gt;=1),354+2*FORSIDE!$F$9,"")</f>
        <v/>
      </c>
      <c r="C608" t="str">
        <f>IF(AND(FORSIDE!$B$8&gt;=13,FORSIDE!$F$8&gt;=2,FORSIDE!$B$5&gt;=1),13*FORSIDE!$B$9,"")</f>
        <v/>
      </c>
      <c r="D608" t="str">
        <f>IF(AND(FORSIDE!$B$8&gt;=13,FORSIDE!$F$8&gt;=2,FORSIDE!$B$5&gt;=1),FORSIDE!$B$6+(1-1)*FORSIDE!$B$7,"")</f>
        <v/>
      </c>
    </row>
    <row r="609" spans="1:4" x14ac:dyDescent="0.3">
      <c r="A609" t="str">
        <f>IF(AND(FORSIDE!$B$8&gt;=13,FORSIDE!$F$8&gt;=2,FORSIDE!$B$5&gt;=2),608,"")</f>
        <v/>
      </c>
      <c r="B609" t="str">
        <f>IF(AND(FORSIDE!$B$8&gt;=13,FORSIDE!$F$8&gt;=2,FORSIDE!$B$5&gt;=2),354+2*FORSIDE!$F$9,"")</f>
        <v/>
      </c>
      <c r="C609" t="str">
        <f>IF(AND(FORSIDE!$B$8&gt;=13,FORSIDE!$F$8&gt;=2,FORSIDE!$B$5&gt;=2),13*FORSIDE!$B$9,"")</f>
        <v/>
      </c>
      <c r="D609" t="str">
        <f>IF(AND(FORSIDE!$B$8&gt;=13,FORSIDE!$F$8&gt;=2,FORSIDE!$B$5&gt;=2),FORSIDE!$B$6+(2-1)*FORSIDE!$B$7,"")</f>
        <v/>
      </c>
    </row>
    <row r="610" spans="1:4" x14ac:dyDescent="0.3">
      <c r="A610" t="str">
        <f>IF(AND(FORSIDE!$B$8&gt;=13,FORSIDE!$F$8&gt;=2,FORSIDE!$B$5&gt;=3),609,"")</f>
        <v/>
      </c>
      <c r="B610" t="str">
        <f>IF(AND(FORSIDE!$B$8&gt;=13,FORSIDE!$F$8&gt;=2,FORSIDE!$B$5&gt;=3),354+2*FORSIDE!$F$9,"")</f>
        <v/>
      </c>
      <c r="C610" t="str">
        <f>IF(AND(FORSIDE!$B$8&gt;=13,FORSIDE!$F$8&gt;=2,FORSIDE!$B$5&gt;=3),13*FORSIDE!$B$9,"")</f>
        <v/>
      </c>
      <c r="D610" t="str">
        <f>IF(AND(FORSIDE!$B$8&gt;=13,FORSIDE!$F$8&gt;=2,FORSIDE!$B$5&gt;=3),FORSIDE!$B$6+(3-1)*FORSIDE!$B$7,"")</f>
        <v/>
      </c>
    </row>
    <row r="611" spans="1:4" x14ac:dyDescent="0.3">
      <c r="A611" t="str">
        <f>IF(AND(FORSIDE!$B$8&gt;=13,FORSIDE!$F$8&gt;=2,FORSIDE!$B$5&gt;=4),610,"")</f>
        <v/>
      </c>
      <c r="B611" t="str">
        <f>IF(AND(FORSIDE!$B$8&gt;=13,FORSIDE!$F$8&gt;=2,FORSIDE!$B$5&gt;=4),354+2*FORSIDE!$F$9,"")</f>
        <v/>
      </c>
      <c r="C611" t="str">
        <f>IF(AND(FORSIDE!$B$8&gt;=13,FORSIDE!$F$8&gt;=2,FORSIDE!$B$5&gt;=4),13*FORSIDE!$B$9,"")</f>
        <v/>
      </c>
      <c r="D611" t="str">
        <f>IF(AND(FORSIDE!$B$8&gt;=13,FORSIDE!$F$8&gt;=2,FORSIDE!$B$5&gt;=4),FORSIDE!$B$6+(4-1)*FORSIDE!$B$7,"")</f>
        <v/>
      </c>
    </row>
    <row r="612" spans="1:4" x14ac:dyDescent="0.3">
      <c r="A612" t="str">
        <f>IF(AND(FORSIDE!$B$8&gt;=13,FORSIDE!$F$8&gt;=2,FORSIDE!$B$5&gt;=5),611,"")</f>
        <v/>
      </c>
      <c r="B612" t="str">
        <f>IF(AND(FORSIDE!$B$8&gt;=13,FORSIDE!$F$8&gt;=2,FORSIDE!$B$5&gt;=5),354+2*FORSIDE!$F$9,"")</f>
        <v/>
      </c>
      <c r="C612" t="str">
        <f>IF(AND(FORSIDE!$B$8&gt;=13,FORSIDE!$F$8&gt;=2,FORSIDE!$B$5&gt;=5),13*FORSIDE!$B$9,"")</f>
        <v/>
      </c>
      <c r="D612" t="str">
        <f>IF(AND(FORSIDE!$B$8&gt;=13,FORSIDE!$F$8&gt;=2,FORSIDE!$B$5&gt;=5),FORSIDE!$B$6+(5-1)*FORSIDE!$B$7,"")</f>
        <v/>
      </c>
    </row>
    <row r="613" spans="1:4" x14ac:dyDescent="0.3">
      <c r="A613" t="str">
        <f>IF(AND(FORSIDE!$B$8&gt;=13,FORSIDE!$F$8&gt;=2,FORSIDE!$B$5&gt;=6),612,"")</f>
        <v/>
      </c>
      <c r="B613" t="str">
        <f>IF(AND(FORSIDE!$B$8&gt;=13,FORSIDE!$F$8&gt;=2,FORSIDE!$B$5&gt;=6),354+2*FORSIDE!$F$9,"")</f>
        <v/>
      </c>
      <c r="C613" t="str">
        <f>IF(AND(FORSIDE!$B$8&gt;=13,FORSIDE!$F$8&gt;=2,FORSIDE!$B$5&gt;=6),13*FORSIDE!$B$9,"")</f>
        <v/>
      </c>
      <c r="D613" t="str">
        <f>IF(AND(FORSIDE!$B$8&gt;=13,FORSIDE!$F$8&gt;=2,FORSIDE!$B$5&gt;=6),FORSIDE!$B$6+(6-1)*FORSIDE!$B$7,"")</f>
        <v/>
      </c>
    </row>
    <row r="614" spans="1:4" x14ac:dyDescent="0.3">
      <c r="A614" t="str">
        <f>IF(AND(FORSIDE!$B$8&gt;=13,FORSIDE!$F$8&gt;=2,FORSIDE!$B$5&gt;=7),613,"")</f>
        <v/>
      </c>
      <c r="B614" t="str">
        <f>IF(AND(FORSIDE!$B$8&gt;=13,FORSIDE!$F$8&gt;=2,FORSIDE!$B$5&gt;=7),354+2*FORSIDE!$F$9,"")</f>
        <v/>
      </c>
      <c r="C614" t="str">
        <f>IF(AND(FORSIDE!$B$8&gt;=13,FORSIDE!$F$8&gt;=2,FORSIDE!$B$5&gt;=7),13*FORSIDE!$B$9,"")</f>
        <v/>
      </c>
      <c r="D614" t="str">
        <f>IF(AND(FORSIDE!$B$8&gt;=13,FORSIDE!$F$8&gt;=2,FORSIDE!$B$5&gt;=7),FORSIDE!$B$6+(7-1)*FORSIDE!$B$7,"")</f>
        <v/>
      </c>
    </row>
    <row r="615" spans="1:4" x14ac:dyDescent="0.3">
      <c r="A615" t="str">
        <f>IF(AND(FORSIDE!$B$8&gt;=13,FORSIDE!$F$8&gt;=2,FORSIDE!$B$5&gt;=8),614,"")</f>
        <v/>
      </c>
      <c r="B615" t="str">
        <f>IF(AND(FORSIDE!$B$8&gt;=13,FORSIDE!$F$8&gt;=2,FORSIDE!$B$5&gt;=8),354+2*FORSIDE!$F$9,"")</f>
        <v/>
      </c>
      <c r="C615" t="str">
        <f>IF(AND(FORSIDE!$B$8&gt;=13,FORSIDE!$F$8&gt;=2,FORSIDE!$B$5&gt;=8),13*FORSIDE!$B$9,"")</f>
        <v/>
      </c>
      <c r="D615" t="str">
        <f>IF(AND(FORSIDE!$B$8&gt;=13,FORSIDE!$F$8&gt;=2,FORSIDE!$B$5&gt;=8),FORSIDE!$B$6+(8-1)*FORSIDE!$B$7,"")</f>
        <v/>
      </c>
    </row>
    <row r="616" spans="1:4" x14ac:dyDescent="0.3">
      <c r="A616" t="str">
        <f>IF(AND(FORSIDE!$B$8&gt;=13,FORSIDE!$F$8&gt;=2,FORSIDE!$B$5&gt;=9),615,"")</f>
        <v/>
      </c>
      <c r="B616" t="str">
        <f>IF(AND(FORSIDE!$B$8&gt;=13,FORSIDE!$F$8&gt;=2,FORSIDE!$B$5&gt;=9),354+2*FORSIDE!$F$9,"")</f>
        <v/>
      </c>
      <c r="C616" t="str">
        <f>IF(AND(FORSIDE!$B$8&gt;=13,FORSIDE!$F$8&gt;=2,FORSIDE!$B$5&gt;=9),13*FORSIDE!$B$9,"")</f>
        <v/>
      </c>
      <c r="D616" t="str">
        <f>IF(AND(FORSIDE!$B$8&gt;=13,FORSIDE!$F$8&gt;=2,FORSIDE!$B$5&gt;=9),FORSIDE!$B$6+(9-1)*FORSIDE!$B$7,"")</f>
        <v/>
      </c>
    </row>
    <row r="617" spans="1:4" x14ac:dyDescent="0.3">
      <c r="A617" t="str">
        <f>IF(AND(FORSIDE!$B$8&gt;=13,FORSIDE!$F$8&gt;=2,FORSIDE!$B$5&gt;=10),616,"")</f>
        <v/>
      </c>
      <c r="B617" t="str">
        <f>IF(AND(FORSIDE!$B$8&gt;=13,FORSIDE!$F$8&gt;=2,FORSIDE!$B$5&gt;=10),354+2*FORSIDE!$F$9,"")</f>
        <v/>
      </c>
      <c r="C617" t="str">
        <f>IF(AND(FORSIDE!$B$8&gt;=13,FORSIDE!$F$8&gt;=2,FORSIDE!$B$5&gt;=10),13*FORSIDE!$B$9,"")</f>
        <v/>
      </c>
      <c r="D617" t="str">
        <f>IF(AND(FORSIDE!$B$8&gt;=13,FORSIDE!$F$8&gt;=2,FORSIDE!$B$5&gt;=10),FORSIDE!$B$6+(10-1)*FORSIDE!$B$7,"")</f>
        <v/>
      </c>
    </row>
    <row r="618" spans="1:4" x14ac:dyDescent="0.3">
      <c r="A618" t="str">
        <f>IF(AND(FORSIDE!$B$8&gt;=14,FORSIDE!$F$8&gt;=2,FORSIDE!$B$5&gt;=0),617,"")</f>
        <v/>
      </c>
      <c r="B618" t="str">
        <f>IF(AND(FORSIDE!$B$8&gt;=14,FORSIDE!$F$8&gt;=2,FORSIDE!$B$5&gt;=0),354+2*FORSIDE!$F$9,"")</f>
        <v/>
      </c>
      <c r="C618" t="str">
        <f>IF(AND(FORSIDE!$B$8&gt;=14,FORSIDE!$F$8&gt;=2,FORSIDE!$B$5&gt;=0),14*FORSIDE!$B$9,"")</f>
        <v/>
      </c>
      <c r="D618" t="str">
        <f>IF(AND(FORSIDE!$B$8&gt;=14,FORSIDE!$F$8&gt;=2,FORSIDE!$B$5&gt;=0),0,"")</f>
        <v/>
      </c>
    </row>
    <row r="619" spans="1:4" x14ac:dyDescent="0.3">
      <c r="A619" t="str">
        <f>IF(AND(FORSIDE!$B$8&gt;=14,FORSIDE!$F$8&gt;=2,FORSIDE!$B$5&gt;=1),618,"")</f>
        <v/>
      </c>
      <c r="B619" t="str">
        <f>IF(AND(FORSIDE!$B$8&gt;=14,FORSIDE!$F$8&gt;=2,FORSIDE!$B$5&gt;=1),354+2*FORSIDE!$F$9,"")</f>
        <v/>
      </c>
      <c r="C619" t="str">
        <f>IF(AND(FORSIDE!$B$8&gt;=14,FORSIDE!$F$8&gt;=2,FORSIDE!$B$5&gt;=1),14*FORSIDE!$B$9,"")</f>
        <v/>
      </c>
      <c r="D619" t="str">
        <f>IF(AND(FORSIDE!$B$8&gt;=14,FORSIDE!$F$8&gt;=2,FORSIDE!$B$5&gt;=1),FORSIDE!$B$6+(1-1)*FORSIDE!$B$7,"")</f>
        <v/>
      </c>
    </row>
    <row r="620" spans="1:4" x14ac:dyDescent="0.3">
      <c r="A620" t="str">
        <f>IF(AND(FORSIDE!$B$8&gt;=14,FORSIDE!$F$8&gt;=2,FORSIDE!$B$5&gt;=2),619,"")</f>
        <v/>
      </c>
      <c r="B620" t="str">
        <f>IF(AND(FORSIDE!$B$8&gt;=14,FORSIDE!$F$8&gt;=2,FORSIDE!$B$5&gt;=2),354+2*FORSIDE!$F$9,"")</f>
        <v/>
      </c>
      <c r="C620" t="str">
        <f>IF(AND(FORSIDE!$B$8&gt;=14,FORSIDE!$F$8&gt;=2,FORSIDE!$B$5&gt;=2),14*FORSIDE!$B$9,"")</f>
        <v/>
      </c>
      <c r="D620" t="str">
        <f>IF(AND(FORSIDE!$B$8&gt;=14,FORSIDE!$F$8&gt;=2,FORSIDE!$B$5&gt;=2),FORSIDE!$B$6+(2-1)*FORSIDE!$B$7,"")</f>
        <v/>
      </c>
    </row>
    <row r="621" spans="1:4" x14ac:dyDescent="0.3">
      <c r="A621" t="str">
        <f>IF(AND(FORSIDE!$B$8&gt;=14,FORSIDE!$F$8&gt;=2,FORSIDE!$B$5&gt;=3),620,"")</f>
        <v/>
      </c>
      <c r="B621" t="str">
        <f>IF(AND(FORSIDE!$B$8&gt;=14,FORSIDE!$F$8&gt;=2,FORSIDE!$B$5&gt;=3),354+2*FORSIDE!$F$9,"")</f>
        <v/>
      </c>
      <c r="C621" t="str">
        <f>IF(AND(FORSIDE!$B$8&gt;=14,FORSIDE!$F$8&gt;=2,FORSIDE!$B$5&gt;=3),14*FORSIDE!$B$9,"")</f>
        <v/>
      </c>
      <c r="D621" t="str">
        <f>IF(AND(FORSIDE!$B$8&gt;=14,FORSIDE!$F$8&gt;=2,FORSIDE!$B$5&gt;=3),FORSIDE!$B$6+(3-1)*FORSIDE!$B$7,"")</f>
        <v/>
      </c>
    </row>
    <row r="622" spans="1:4" x14ac:dyDescent="0.3">
      <c r="A622" t="str">
        <f>IF(AND(FORSIDE!$B$8&gt;=14,FORSIDE!$F$8&gt;=2,FORSIDE!$B$5&gt;=4),621,"")</f>
        <v/>
      </c>
      <c r="B622" t="str">
        <f>IF(AND(FORSIDE!$B$8&gt;=14,FORSIDE!$F$8&gt;=2,FORSIDE!$B$5&gt;=4),354+2*FORSIDE!$F$9,"")</f>
        <v/>
      </c>
      <c r="C622" t="str">
        <f>IF(AND(FORSIDE!$B$8&gt;=14,FORSIDE!$F$8&gt;=2,FORSIDE!$B$5&gt;=4),14*FORSIDE!$B$9,"")</f>
        <v/>
      </c>
      <c r="D622" t="str">
        <f>IF(AND(FORSIDE!$B$8&gt;=14,FORSIDE!$F$8&gt;=2,FORSIDE!$B$5&gt;=4),FORSIDE!$B$6+(4-1)*FORSIDE!$B$7,"")</f>
        <v/>
      </c>
    </row>
    <row r="623" spans="1:4" x14ac:dyDescent="0.3">
      <c r="A623" t="str">
        <f>IF(AND(FORSIDE!$B$8&gt;=14,FORSIDE!$F$8&gt;=2,FORSIDE!$B$5&gt;=5),622,"")</f>
        <v/>
      </c>
      <c r="B623" t="str">
        <f>IF(AND(FORSIDE!$B$8&gt;=14,FORSIDE!$F$8&gt;=2,FORSIDE!$B$5&gt;=5),354+2*FORSIDE!$F$9,"")</f>
        <v/>
      </c>
      <c r="C623" t="str">
        <f>IF(AND(FORSIDE!$B$8&gt;=14,FORSIDE!$F$8&gt;=2,FORSIDE!$B$5&gt;=5),14*FORSIDE!$B$9,"")</f>
        <v/>
      </c>
      <c r="D623" t="str">
        <f>IF(AND(FORSIDE!$B$8&gt;=14,FORSIDE!$F$8&gt;=2,FORSIDE!$B$5&gt;=5),FORSIDE!$B$6+(5-1)*FORSIDE!$B$7,"")</f>
        <v/>
      </c>
    </row>
    <row r="624" spans="1:4" x14ac:dyDescent="0.3">
      <c r="A624" t="str">
        <f>IF(AND(FORSIDE!$B$8&gt;=14,FORSIDE!$F$8&gt;=2,FORSIDE!$B$5&gt;=6),623,"")</f>
        <v/>
      </c>
      <c r="B624" t="str">
        <f>IF(AND(FORSIDE!$B$8&gt;=14,FORSIDE!$F$8&gt;=2,FORSIDE!$B$5&gt;=6),354+2*FORSIDE!$F$9,"")</f>
        <v/>
      </c>
      <c r="C624" t="str">
        <f>IF(AND(FORSIDE!$B$8&gt;=14,FORSIDE!$F$8&gt;=2,FORSIDE!$B$5&gt;=6),14*FORSIDE!$B$9,"")</f>
        <v/>
      </c>
      <c r="D624" t="str">
        <f>IF(AND(FORSIDE!$B$8&gt;=14,FORSIDE!$F$8&gt;=2,FORSIDE!$B$5&gt;=6),FORSIDE!$B$6+(6-1)*FORSIDE!$B$7,"")</f>
        <v/>
      </c>
    </row>
    <row r="625" spans="1:4" x14ac:dyDescent="0.3">
      <c r="A625" t="str">
        <f>IF(AND(FORSIDE!$B$8&gt;=14,FORSIDE!$F$8&gt;=2,FORSIDE!$B$5&gt;=7),624,"")</f>
        <v/>
      </c>
      <c r="B625" t="str">
        <f>IF(AND(FORSIDE!$B$8&gt;=14,FORSIDE!$F$8&gt;=2,FORSIDE!$B$5&gt;=7),354+2*FORSIDE!$F$9,"")</f>
        <v/>
      </c>
      <c r="C625" t="str">
        <f>IF(AND(FORSIDE!$B$8&gt;=14,FORSIDE!$F$8&gt;=2,FORSIDE!$B$5&gt;=7),14*FORSIDE!$B$9,"")</f>
        <v/>
      </c>
      <c r="D625" t="str">
        <f>IF(AND(FORSIDE!$B$8&gt;=14,FORSIDE!$F$8&gt;=2,FORSIDE!$B$5&gt;=7),FORSIDE!$B$6+(7-1)*FORSIDE!$B$7,"")</f>
        <v/>
      </c>
    </row>
    <row r="626" spans="1:4" x14ac:dyDescent="0.3">
      <c r="A626" t="str">
        <f>IF(AND(FORSIDE!$B$8&gt;=14,FORSIDE!$F$8&gt;=2,FORSIDE!$B$5&gt;=8),625,"")</f>
        <v/>
      </c>
      <c r="B626" t="str">
        <f>IF(AND(FORSIDE!$B$8&gt;=14,FORSIDE!$F$8&gt;=2,FORSIDE!$B$5&gt;=8),354+2*FORSIDE!$F$9,"")</f>
        <v/>
      </c>
      <c r="C626" t="str">
        <f>IF(AND(FORSIDE!$B$8&gt;=14,FORSIDE!$F$8&gt;=2,FORSIDE!$B$5&gt;=8),14*FORSIDE!$B$9,"")</f>
        <v/>
      </c>
      <c r="D626" t="str">
        <f>IF(AND(FORSIDE!$B$8&gt;=14,FORSIDE!$F$8&gt;=2,FORSIDE!$B$5&gt;=8),FORSIDE!$B$6+(8-1)*FORSIDE!$B$7,"")</f>
        <v/>
      </c>
    </row>
    <row r="627" spans="1:4" x14ac:dyDescent="0.3">
      <c r="A627" t="str">
        <f>IF(AND(FORSIDE!$B$8&gt;=14,FORSIDE!$F$8&gt;=2,FORSIDE!$B$5&gt;=9),626,"")</f>
        <v/>
      </c>
      <c r="B627" t="str">
        <f>IF(AND(FORSIDE!$B$8&gt;=14,FORSIDE!$F$8&gt;=2,FORSIDE!$B$5&gt;=9),354+2*FORSIDE!$F$9,"")</f>
        <v/>
      </c>
      <c r="C627" t="str">
        <f>IF(AND(FORSIDE!$B$8&gt;=14,FORSIDE!$F$8&gt;=2,FORSIDE!$B$5&gt;=9),14*FORSIDE!$B$9,"")</f>
        <v/>
      </c>
      <c r="D627" t="str">
        <f>IF(AND(FORSIDE!$B$8&gt;=14,FORSIDE!$F$8&gt;=2,FORSIDE!$B$5&gt;=9),FORSIDE!$B$6+(9-1)*FORSIDE!$B$7,"")</f>
        <v/>
      </c>
    </row>
    <row r="628" spans="1:4" x14ac:dyDescent="0.3">
      <c r="A628" t="str">
        <f>IF(AND(FORSIDE!$B$8&gt;=14,FORSIDE!$F$8&gt;=2,FORSIDE!$B$5&gt;=10),627,"")</f>
        <v/>
      </c>
      <c r="B628" t="str">
        <f>IF(AND(FORSIDE!$B$8&gt;=14,FORSIDE!$F$8&gt;=2,FORSIDE!$B$5&gt;=10),354+2*FORSIDE!$F$9,"")</f>
        <v/>
      </c>
      <c r="C628" t="str">
        <f>IF(AND(FORSIDE!$B$8&gt;=14,FORSIDE!$F$8&gt;=2,FORSIDE!$B$5&gt;=10),14*FORSIDE!$B$9,"")</f>
        <v/>
      </c>
      <c r="D628" t="str">
        <f>IF(AND(FORSIDE!$B$8&gt;=14,FORSIDE!$F$8&gt;=2,FORSIDE!$B$5&gt;=10),FORSIDE!$B$6+(10-1)*FORSIDE!$B$7,"")</f>
        <v/>
      </c>
    </row>
    <row r="629" spans="1:4" x14ac:dyDescent="0.3">
      <c r="A629" t="str">
        <f>IF(AND(FORSIDE!$B$8&gt;=15,FORSIDE!$F$8&gt;=2,FORSIDE!$B$5&gt;=0),628,"")</f>
        <v/>
      </c>
      <c r="B629" t="str">
        <f>IF(AND(FORSIDE!$B$8&gt;=15,FORSIDE!$F$8&gt;=2,FORSIDE!$B$5&gt;=0),354+2*FORSIDE!$F$9,"")</f>
        <v/>
      </c>
      <c r="C629" t="str">
        <f>IF(AND(FORSIDE!$B$8&gt;=15,FORSIDE!$F$8&gt;=2,FORSIDE!$B$5&gt;=0),15*FORSIDE!$B$9,"")</f>
        <v/>
      </c>
      <c r="D629" t="str">
        <f>IF(AND(FORSIDE!$B$8&gt;=15,FORSIDE!$F$8&gt;=2,FORSIDE!$B$5&gt;=0),0,"")</f>
        <v/>
      </c>
    </row>
    <row r="630" spans="1:4" x14ac:dyDescent="0.3">
      <c r="A630" t="str">
        <f>IF(AND(FORSIDE!$B$8&gt;=15,FORSIDE!$F$8&gt;=2,FORSIDE!$B$5&gt;=1),629,"")</f>
        <v/>
      </c>
      <c r="B630" t="str">
        <f>IF(AND(FORSIDE!$B$8&gt;=15,FORSIDE!$F$8&gt;=2,FORSIDE!$B$5&gt;=1),354+2*FORSIDE!$F$9,"")</f>
        <v/>
      </c>
      <c r="C630" t="str">
        <f>IF(AND(FORSIDE!$B$8&gt;=15,FORSIDE!$F$8&gt;=2,FORSIDE!$B$5&gt;=1),15*FORSIDE!$B$9,"")</f>
        <v/>
      </c>
      <c r="D630" t="str">
        <f>IF(AND(FORSIDE!$B$8&gt;=15,FORSIDE!$F$8&gt;=2,FORSIDE!$B$5&gt;=1),FORSIDE!$B$6+(1-1)*FORSIDE!$B$7,"")</f>
        <v/>
      </c>
    </row>
    <row r="631" spans="1:4" x14ac:dyDescent="0.3">
      <c r="A631" t="str">
        <f>IF(AND(FORSIDE!$B$8&gt;=15,FORSIDE!$F$8&gt;=2,FORSIDE!$B$5&gt;=2),630,"")</f>
        <v/>
      </c>
      <c r="B631" t="str">
        <f>IF(AND(FORSIDE!$B$8&gt;=15,FORSIDE!$F$8&gt;=2,FORSIDE!$B$5&gt;=2),354+2*FORSIDE!$F$9,"")</f>
        <v/>
      </c>
      <c r="C631" t="str">
        <f>IF(AND(FORSIDE!$B$8&gt;=15,FORSIDE!$F$8&gt;=2,FORSIDE!$B$5&gt;=2),15*FORSIDE!$B$9,"")</f>
        <v/>
      </c>
      <c r="D631" t="str">
        <f>IF(AND(FORSIDE!$B$8&gt;=15,FORSIDE!$F$8&gt;=2,FORSIDE!$B$5&gt;=2),FORSIDE!$B$6+(2-1)*FORSIDE!$B$7,"")</f>
        <v/>
      </c>
    </row>
    <row r="632" spans="1:4" x14ac:dyDescent="0.3">
      <c r="A632" t="str">
        <f>IF(AND(FORSIDE!$B$8&gt;=15,FORSIDE!$F$8&gt;=2,FORSIDE!$B$5&gt;=3),631,"")</f>
        <v/>
      </c>
      <c r="B632" t="str">
        <f>IF(AND(FORSIDE!$B$8&gt;=15,FORSIDE!$F$8&gt;=2,FORSIDE!$B$5&gt;=3),354+2*FORSIDE!$F$9,"")</f>
        <v/>
      </c>
      <c r="C632" t="str">
        <f>IF(AND(FORSIDE!$B$8&gt;=15,FORSIDE!$F$8&gt;=2,FORSIDE!$B$5&gt;=3),15*FORSIDE!$B$9,"")</f>
        <v/>
      </c>
      <c r="D632" t="str">
        <f>IF(AND(FORSIDE!$B$8&gt;=15,FORSIDE!$F$8&gt;=2,FORSIDE!$B$5&gt;=3),FORSIDE!$B$6+(3-1)*FORSIDE!$B$7,"")</f>
        <v/>
      </c>
    </row>
    <row r="633" spans="1:4" x14ac:dyDescent="0.3">
      <c r="A633" t="str">
        <f>IF(AND(FORSIDE!$B$8&gt;=15,FORSIDE!$F$8&gt;=2,FORSIDE!$B$5&gt;=4),632,"")</f>
        <v/>
      </c>
      <c r="B633" t="str">
        <f>IF(AND(FORSIDE!$B$8&gt;=15,FORSIDE!$F$8&gt;=2,FORSIDE!$B$5&gt;=4),354+2*FORSIDE!$F$9,"")</f>
        <v/>
      </c>
      <c r="C633" t="str">
        <f>IF(AND(FORSIDE!$B$8&gt;=15,FORSIDE!$F$8&gt;=2,FORSIDE!$B$5&gt;=4),15*FORSIDE!$B$9,"")</f>
        <v/>
      </c>
      <c r="D633" t="str">
        <f>IF(AND(FORSIDE!$B$8&gt;=15,FORSIDE!$F$8&gt;=2,FORSIDE!$B$5&gt;=4),FORSIDE!$B$6+(4-1)*FORSIDE!$B$7,"")</f>
        <v/>
      </c>
    </row>
    <row r="634" spans="1:4" x14ac:dyDescent="0.3">
      <c r="A634" t="str">
        <f>IF(AND(FORSIDE!$B$8&gt;=15,FORSIDE!$F$8&gt;=2,FORSIDE!$B$5&gt;=5),633,"")</f>
        <v/>
      </c>
      <c r="B634" t="str">
        <f>IF(AND(FORSIDE!$B$8&gt;=15,FORSIDE!$F$8&gt;=2,FORSIDE!$B$5&gt;=5),354+2*FORSIDE!$F$9,"")</f>
        <v/>
      </c>
      <c r="C634" t="str">
        <f>IF(AND(FORSIDE!$B$8&gt;=15,FORSIDE!$F$8&gt;=2,FORSIDE!$B$5&gt;=5),15*FORSIDE!$B$9,"")</f>
        <v/>
      </c>
      <c r="D634" t="str">
        <f>IF(AND(FORSIDE!$B$8&gt;=15,FORSIDE!$F$8&gt;=2,FORSIDE!$B$5&gt;=5),FORSIDE!$B$6+(5-1)*FORSIDE!$B$7,"")</f>
        <v/>
      </c>
    </row>
    <row r="635" spans="1:4" x14ac:dyDescent="0.3">
      <c r="A635" t="str">
        <f>IF(AND(FORSIDE!$B$8&gt;=15,FORSIDE!$F$8&gt;=2,FORSIDE!$B$5&gt;=6),634,"")</f>
        <v/>
      </c>
      <c r="B635" t="str">
        <f>IF(AND(FORSIDE!$B$8&gt;=15,FORSIDE!$F$8&gt;=2,FORSIDE!$B$5&gt;=6),354+2*FORSIDE!$F$9,"")</f>
        <v/>
      </c>
      <c r="C635" t="str">
        <f>IF(AND(FORSIDE!$B$8&gt;=15,FORSIDE!$F$8&gt;=2,FORSIDE!$B$5&gt;=6),15*FORSIDE!$B$9,"")</f>
        <v/>
      </c>
      <c r="D635" t="str">
        <f>IF(AND(FORSIDE!$B$8&gt;=15,FORSIDE!$F$8&gt;=2,FORSIDE!$B$5&gt;=6),FORSIDE!$B$6+(6-1)*FORSIDE!$B$7,"")</f>
        <v/>
      </c>
    </row>
    <row r="636" spans="1:4" x14ac:dyDescent="0.3">
      <c r="A636" t="str">
        <f>IF(AND(FORSIDE!$B$8&gt;=15,FORSIDE!$F$8&gt;=2,FORSIDE!$B$5&gt;=7),635,"")</f>
        <v/>
      </c>
      <c r="B636" t="str">
        <f>IF(AND(FORSIDE!$B$8&gt;=15,FORSIDE!$F$8&gt;=2,FORSIDE!$B$5&gt;=7),354+2*FORSIDE!$F$9,"")</f>
        <v/>
      </c>
      <c r="C636" t="str">
        <f>IF(AND(FORSIDE!$B$8&gt;=15,FORSIDE!$F$8&gt;=2,FORSIDE!$B$5&gt;=7),15*FORSIDE!$B$9,"")</f>
        <v/>
      </c>
      <c r="D636" t="str">
        <f>IF(AND(FORSIDE!$B$8&gt;=15,FORSIDE!$F$8&gt;=2,FORSIDE!$B$5&gt;=7),FORSIDE!$B$6+(7-1)*FORSIDE!$B$7,"")</f>
        <v/>
      </c>
    </row>
    <row r="637" spans="1:4" x14ac:dyDescent="0.3">
      <c r="A637" t="str">
        <f>IF(AND(FORSIDE!$B$8&gt;=15,FORSIDE!$F$8&gt;=2,FORSIDE!$B$5&gt;=8),636,"")</f>
        <v/>
      </c>
      <c r="B637" t="str">
        <f>IF(AND(FORSIDE!$B$8&gt;=15,FORSIDE!$F$8&gt;=2,FORSIDE!$B$5&gt;=8),354+2*FORSIDE!$F$9,"")</f>
        <v/>
      </c>
      <c r="C637" t="str">
        <f>IF(AND(FORSIDE!$B$8&gt;=15,FORSIDE!$F$8&gt;=2,FORSIDE!$B$5&gt;=8),15*FORSIDE!$B$9,"")</f>
        <v/>
      </c>
      <c r="D637" t="str">
        <f>IF(AND(FORSIDE!$B$8&gt;=15,FORSIDE!$F$8&gt;=2,FORSIDE!$B$5&gt;=8),FORSIDE!$B$6+(8-1)*FORSIDE!$B$7,"")</f>
        <v/>
      </c>
    </row>
    <row r="638" spans="1:4" x14ac:dyDescent="0.3">
      <c r="A638" t="str">
        <f>IF(AND(FORSIDE!$B$8&gt;=15,FORSIDE!$F$8&gt;=2,FORSIDE!$B$5&gt;=9),637,"")</f>
        <v/>
      </c>
      <c r="B638" t="str">
        <f>IF(AND(FORSIDE!$B$8&gt;=15,FORSIDE!$F$8&gt;=2,FORSIDE!$B$5&gt;=9),354+2*FORSIDE!$F$9,"")</f>
        <v/>
      </c>
      <c r="C638" t="str">
        <f>IF(AND(FORSIDE!$B$8&gt;=15,FORSIDE!$F$8&gt;=2,FORSIDE!$B$5&gt;=9),15*FORSIDE!$B$9,"")</f>
        <v/>
      </c>
      <c r="D638" t="str">
        <f>IF(AND(FORSIDE!$B$8&gt;=15,FORSIDE!$F$8&gt;=2,FORSIDE!$B$5&gt;=9),FORSIDE!$B$6+(9-1)*FORSIDE!$B$7,"")</f>
        <v/>
      </c>
    </row>
    <row r="639" spans="1:4" x14ac:dyDescent="0.3">
      <c r="A639" t="str">
        <f>IF(AND(FORSIDE!$B$8&gt;=15,FORSIDE!$F$8&gt;=2,FORSIDE!$B$5&gt;=10),638,"")</f>
        <v/>
      </c>
      <c r="B639" t="str">
        <f>IF(AND(FORSIDE!$B$8&gt;=15,FORSIDE!$F$8&gt;=2,FORSIDE!$B$5&gt;=10),354+2*FORSIDE!$F$9,"")</f>
        <v/>
      </c>
      <c r="C639" t="str">
        <f>IF(AND(FORSIDE!$B$8&gt;=15,FORSIDE!$F$8&gt;=2,FORSIDE!$B$5&gt;=10),15*FORSIDE!$B$9,"")</f>
        <v/>
      </c>
      <c r="D639" t="str">
        <f>IF(AND(FORSIDE!$B$8&gt;=15,FORSIDE!$F$8&gt;=2,FORSIDE!$B$5&gt;=10),FORSIDE!$B$6+(10-1)*FORSIDE!$B$7,"")</f>
        <v/>
      </c>
    </row>
    <row r="640" spans="1:4" x14ac:dyDescent="0.3">
      <c r="A640" t="str">
        <f>IF(AND(FORSIDE!$B$8&gt;=16,FORSIDE!$F$8&gt;=2,FORSIDE!$B$5&gt;=0),639,"")</f>
        <v/>
      </c>
      <c r="B640" t="str">
        <f>IF(AND(FORSIDE!$B$8&gt;=16,FORSIDE!$F$8&gt;=2,FORSIDE!$B$5&gt;=0),354+2*FORSIDE!$F$9,"")</f>
        <v/>
      </c>
      <c r="C640" t="str">
        <f>IF(AND(FORSIDE!$B$8&gt;=16,FORSIDE!$F$8&gt;=2,FORSIDE!$B$5&gt;=0),16*FORSIDE!$B$9,"")</f>
        <v/>
      </c>
      <c r="D640" t="str">
        <f>IF(AND(FORSIDE!$B$8&gt;=16,FORSIDE!$F$8&gt;=2,FORSIDE!$B$5&gt;=0),0,"")</f>
        <v/>
      </c>
    </row>
    <row r="641" spans="1:4" x14ac:dyDescent="0.3">
      <c r="A641" t="str">
        <f>IF(AND(FORSIDE!$B$8&gt;=16,FORSIDE!$F$8&gt;=2,FORSIDE!$B$5&gt;=1),640,"")</f>
        <v/>
      </c>
      <c r="B641" t="str">
        <f>IF(AND(FORSIDE!$B$8&gt;=16,FORSIDE!$F$8&gt;=2,FORSIDE!$B$5&gt;=1),354+2*FORSIDE!$F$9,"")</f>
        <v/>
      </c>
      <c r="C641" t="str">
        <f>IF(AND(FORSIDE!$B$8&gt;=16,FORSIDE!$F$8&gt;=2,FORSIDE!$B$5&gt;=1),16*FORSIDE!$B$9,"")</f>
        <v/>
      </c>
      <c r="D641" t="str">
        <f>IF(AND(FORSIDE!$B$8&gt;=16,FORSIDE!$F$8&gt;=2,FORSIDE!$B$5&gt;=1),FORSIDE!$B$6+(1-1)*FORSIDE!$B$7,"")</f>
        <v/>
      </c>
    </row>
    <row r="642" spans="1:4" x14ac:dyDescent="0.3">
      <c r="A642" t="str">
        <f>IF(AND(FORSIDE!$B$8&gt;=16,FORSIDE!$F$8&gt;=2,FORSIDE!$B$5&gt;=2),641,"")</f>
        <v/>
      </c>
      <c r="B642" t="str">
        <f>IF(AND(FORSIDE!$B$8&gt;=16,FORSIDE!$F$8&gt;=2,FORSIDE!$B$5&gt;=2),354+2*FORSIDE!$F$9,"")</f>
        <v/>
      </c>
      <c r="C642" t="str">
        <f>IF(AND(FORSIDE!$B$8&gt;=16,FORSIDE!$F$8&gt;=2,FORSIDE!$B$5&gt;=2),16*FORSIDE!$B$9,"")</f>
        <v/>
      </c>
      <c r="D642" t="str">
        <f>IF(AND(FORSIDE!$B$8&gt;=16,FORSIDE!$F$8&gt;=2,FORSIDE!$B$5&gt;=2),FORSIDE!$B$6+(2-1)*FORSIDE!$B$7,"")</f>
        <v/>
      </c>
    </row>
    <row r="643" spans="1:4" x14ac:dyDescent="0.3">
      <c r="A643" t="str">
        <f>IF(AND(FORSIDE!$B$8&gt;=16,FORSIDE!$F$8&gt;=2,FORSIDE!$B$5&gt;=3),642,"")</f>
        <v/>
      </c>
      <c r="B643" t="str">
        <f>IF(AND(FORSIDE!$B$8&gt;=16,FORSIDE!$F$8&gt;=2,FORSIDE!$B$5&gt;=3),354+2*FORSIDE!$F$9,"")</f>
        <v/>
      </c>
      <c r="C643" t="str">
        <f>IF(AND(FORSIDE!$B$8&gt;=16,FORSIDE!$F$8&gt;=2,FORSIDE!$B$5&gt;=3),16*FORSIDE!$B$9,"")</f>
        <v/>
      </c>
      <c r="D643" t="str">
        <f>IF(AND(FORSIDE!$B$8&gt;=16,FORSIDE!$F$8&gt;=2,FORSIDE!$B$5&gt;=3),FORSIDE!$B$6+(3-1)*FORSIDE!$B$7,"")</f>
        <v/>
      </c>
    </row>
    <row r="644" spans="1:4" x14ac:dyDescent="0.3">
      <c r="A644" t="str">
        <f>IF(AND(FORSIDE!$B$8&gt;=16,FORSIDE!$F$8&gt;=2,FORSIDE!$B$5&gt;=4),643,"")</f>
        <v/>
      </c>
      <c r="B644" t="str">
        <f>IF(AND(FORSIDE!$B$8&gt;=16,FORSIDE!$F$8&gt;=2,FORSIDE!$B$5&gt;=4),354+2*FORSIDE!$F$9,"")</f>
        <v/>
      </c>
      <c r="C644" t="str">
        <f>IF(AND(FORSIDE!$B$8&gt;=16,FORSIDE!$F$8&gt;=2,FORSIDE!$B$5&gt;=4),16*FORSIDE!$B$9,"")</f>
        <v/>
      </c>
      <c r="D644" t="str">
        <f>IF(AND(FORSIDE!$B$8&gt;=16,FORSIDE!$F$8&gt;=2,FORSIDE!$B$5&gt;=4),FORSIDE!$B$6+(4-1)*FORSIDE!$B$7,"")</f>
        <v/>
      </c>
    </row>
    <row r="645" spans="1:4" x14ac:dyDescent="0.3">
      <c r="A645" t="str">
        <f>IF(AND(FORSIDE!$B$8&gt;=16,FORSIDE!$F$8&gt;=2,FORSIDE!$B$5&gt;=5),644,"")</f>
        <v/>
      </c>
      <c r="B645" t="str">
        <f>IF(AND(FORSIDE!$B$8&gt;=16,FORSIDE!$F$8&gt;=2,FORSIDE!$B$5&gt;=5),354+2*FORSIDE!$F$9,"")</f>
        <v/>
      </c>
      <c r="C645" t="str">
        <f>IF(AND(FORSIDE!$B$8&gt;=16,FORSIDE!$F$8&gt;=2,FORSIDE!$B$5&gt;=5),16*FORSIDE!$B$9,"")</f>
        <v/>
      </c>
      <c r="D645" t="str">
        <f>IF(AND(FORSIDE!$B$8&gt;=16,FORSIDE!$F$8&gt;=2,FORSIDE!$B$5&gt;=5),FORSIDE!$B$6+(5-1)*FORSIDE!$B$7,"")</f>
        <v/>
      </c>
    </row>
    <row r="646" spans="1:4" x14ac:dyDescent="0.3">
      <c r="A646" t="str">
        <f>IF(AND(FORSIDE!$B$8&gt;=16,FORSIDE!$F$8&gt;=2,FORSIDE!$B$5&gt;=6),645,"")</f>
        <v/>
      </c>
      <c r="B646" t="str">
        <f>IF(AND(FORSIDE!$B$8&gt;=16,FORSIDE!$F$8&gt;=2,FORSIDE!$B$5&gt;=6),354+2*FORSIDE!$F$9,"")</f>
        <v/>
      </c>
      <c r="C646" t="str">
        <f>IF(AND(FORSIDE!$B$8&gt;=16,FORSIDE!$F$8&gt;=2,FORSIDE!$B$5&gt;=6),16*FORSIDE!$B$9,"")</f>
        <v/>
      </c>
      <c r="D646" t="str">
        <f>IF(AND(FORSIDE!$B$8&gt;=16,FORSIDE!$F$8&gt;=2,FORSIDE!$B$5&gt;=6),FORSIDE!$B$6+(6-1)*FORSIDE!$B$7,"")</f>
        <v/>
      </c>
    </row>
    <row r="647" spans="1:4" x14ac:dyDescent="0.3">
      <c r="A647" t="str">
        <f>IF(AND(FORSIDE!$B$8&gt;=16,FORSIDE!$F$8&gt;=2,FORSIDE!$B$5&gt;=7),646,"")</f>
        <v/>
      </c>
      <c r="B647" t="str">
        <f>IF(AND(FORSIDE!$B$8&gt;=16,FORSIDE!$F$8&gt;=2,FORSIDE!$B$5&gt;=7),354+2*FORSIDE!$F$9,"")</f>
        <v/>
      </c>
      <c r="C647" t="str">
        <f>IF(AND(FORSIDE!$B$8&gt;=16,FORSIDE!$F$8&gt;=2,FORSIDE!$B$5&gt;=7),16*FORSIDE!$B$9,"")</f>
        <v/>
      </c>
      <c r="D647" t="str">
        <f>IF(AND(FORSIDE!$B$8&gt;=16,FORSIDE!$F$8&gt;=2,FORSIDE!$B$5&gt;=7),FORSIDE!$B$6+(7-1)*FORSIDE!$B$7,"")</f>
        <v/>
      </c>
    </row>
    <row r="648" spans="1:4" x14ac:dyDescent="0.3">
      <c r="A648" t="str">
        <f>IF(AND(FORSIDE!$B$8&gt;=16,FORSIDE!$F$8&gt;=2,FORSIDE!$B$5&gt;=8),647,"")</f>
        <v/>
      </c>
      <c r="B648" t="str">
        <f>IF(AND(FORSIDE!$B$8&gt;=16,FORSIDE!$F$8&gt;=2,FORSIDE!$B$5&gt;=8),354+2*FORSIDE!$F$9,"")</f>
        <v/>
      </c>
      <c r="C648" t="str">
        <f>IF(AND(FORSIDE!$B$8&gt;=16,FORSIDE!$F$8&gt;=2,FORSIDE!$B$5&gt;=8),16*FORSIDE!$B$9,"")</f>
        <v/>
      </c>
      <c r="D648" t="str">
        <f>IF(AND(FORSIDE!$B$8&gt;=16,FORSIDE!$F$8&gt;=2,FORSIDE!$B$5&gt;=8),FORSIDE!$B$6+(8-1)*FORSIDE!$B$7,"")</f>
        <v/>
      </c>
    </row>
    <row r="649" spans="1:4" x14ac:dyDescent="0.3">
      <c r="A649" t="str">
        <f>IF(AND(FORSIDE!$B$8&gt;=16,FORSIDE!$F$8&gt;=2,FORSIDE!$B$5&gt;=9),648,"")</f>
        <v/>
      </c>
      <c r="B649" t="str">
        <f>IF(AND(FORSIDE!$B$8&gt;=16,FORSIDE!$F$8&gt;=2,FORSIDE!$B$5&gt;=9),354+2*FORSIDE!$F$9,"")</f>
        <v/>
      </c>
      <c r="C649" t="str">
        <f>IF(AND(FORSIDE!$B$8&gt;=16,FORSIDE!$F$8&gt;=2,FORSIDE!$B$5&gt;=9),16*FORSIDE!$B$9,"")</f>
        <v/>
      </c>
      <c r="D649" t="str">
        <f>IF(AND(FORSIDE!$B$8&gt;=16,FORSIDE!$F$8&gt;=2,FORSIDE!$B$5&gt;=9),FORSIDE!$B$6+(9-1)*FORSIDE!$B$7,"")</f>
        <v/>
      </c>
    </row>
    <row r="650" spans="1:4" x14ac:dyDescent="0.3">
      <c r="A650" t="str">
        <f>IF(AND(FORSIDE!$B$8&gt;=16,FORSIDE!$F$8&gt;=2,FORSIDE!$B$5&gt;=10),649,"")</f>
        <v/>
      </c>
      <c r="B650" t="str">
        <f>IF(AND(FORSIDE!$B$8&gt;=16,FORSIDE!$F$8&gt;=2,FORSIDE!$B$5&gt;=10),354+2*FORSIDE!$F$9,"")</f>
        <v/>
      </c>
      <c r="C650" t="str">
        <f>IF(AND(FORSIDE!$B$8&gt;=16,FORSIDE!$F$8&gt;=2,FORSIDE!$B$5&gt;=10),16*FORSIDE!$B$9,"")</f>
        <v/>
      </c>
      <c r="D650" t="str">
        <f>IF(AND(FORSIDE!$B$8&gt;=16,FORSIDE!$F$8&gt;=2,FORSIDE!$B$5&gt;=10),FORSIDE!$B$6+(10-1)*FORSIDE!$B$7,"")</f>
        <v/>
      </c>
    </row>
    <row r="651" spans="1:4" x14ac:dyDescent="0.3">
      <c r="A651" t="str">
        <f>IF(AND(FORSIDE!$B$8&gt;=17,FORSIDE!$F$8&gt;=2,FORSIDE!$B$5&gt;=0),650,"")</f>
        <v/>
      </c>
      <c r="B651" t="str">
        <f>IF(AND(FORSIDE!$B$8&gt;=17,FORSIDE!$F$8&gt;=2,FORSIDE!$B$5&gt;=0),354+2*FORSIDE!$F$9,"")</f>
        <v/>
      </c>
      <c r="C651" t="str">
        <f>IF(AND(FORSIDE!$B$8&gt;=17,FORSIDE!$F$8&gt;=2,FORSIDE!$B$5&gt;=0),17*FORSIDE!$B$9,"")</f>
        <v/>
      </c>
      <c r="D651" t="str">
        <f>IF(AND(FORSIDE!$B$8&gt;=17,FORSIDE!$F$8&gt;=2,FORSIDE!$B$5&gt;=0),0,"")</f>
        <v/>
      </c>
    </row>
    <row r="652" spans="1:4" x14ac:dyDescent="0.3">
      <c r="A652" t="str">
        <f>IF(AND(FORSIDE!$B$8&gt;=17,FORSIDE!$F$8&gt;=2,FORSIDE!$B$5&gt;=1),651,"")</f>
        <v/>
      </c>
      <c r="B652" t="str">
        <f>IF(AND(FORSIDE!$B$8&gt;=17,FORSIDE!$F$8&gt;=2,FORSIDE!$B$5&gt;=1),354+2*FORSIDE!$F$9,"")</f>
        <v/>
      </c>
      <c r="C652" t="str">
        <f>IF(AND(FORSIDE!$B$8&gt;=17,FORSIDE!$F$8&gt;=2,FORSIDE!$B$5&gt;=1),17*FORSIDE!$B$9,"")</f>
        <v/>
      </c>
      <c r="D652" t="str">
        <f>IF(AND(FORSIDE!$B$8&gt;=17,FORSIDE!$F$8&gt;=2,FORSIDE!$B$5&gt;=1),FORSIDE!$B$6+(1-1)*FORSIDE!$B$7,"")</f>
        <v/>
      </c>
    </row>
    <row r="653" spans="1:4" x14ac:dyDescent="0.3">
      <c r="A653" t="str">
        <f>IF(AND(FORSIDE!$B$8&gt;=17,FORSIDE!$F$8&gt;=2,FORSIDE!$B$5&gt;=2),652,"")</f>
        <v/>
      </c>
      <c r="B653" t="str">
        <f>IF(AND(FORSIDE!$B$8&gt;=17,FORSIDE!$F$8&gt;=2,FORSIDE!$B$5&gt;=2),354+2*FORSIDE!$F$9,"")</f>
        <v/>
      </c>
      <c r="C653" t="str">
        <f>IF(AND(FORSIDE!$B$8&gt;=17,FORSIDE!$F$8&gt;=2,FORSIDE!$B$5&gt;=2),17*FORSIDE!$B$9,"")</f>
        <v/>
      </c>
      <c r="D653" t="str">
        <f>IF(AND(FORSIDE!$B$8&gt;=17,FORSIDE!$F$8&gt;=2,FORSIDE!$B$5&gt;=2),FORSIDE!$B$6+(2-1)*FORSIDE!$B$7,"")</f>
        <v/>
      </c>
    </row>
    <row r="654" spans="1:4" x14ac:dyDescent="0.3">
      <c r="A654" t="str">
        <f>IF(AND(FORSIDE!$B$8&gt;=17,FORSIDE!$F$8&gt;=2,FORSIDE!$B$5&gt;=3),653,"")</f>
        <v/>
      </c>
      <c r="B654" t="str">
        <f>IF(AND(FORSIDE!$B$8&gt;=17,FORSIDE!$F$8&gt;=2,FORSIDE!$B$5&gt;=3),354+2*FORSIDE!$F$9,"")</f>
        <v/>
      </c>
      <c r="C654" t="str">
        <f>IF(AND(FORSIDE!$B$8&gt;=17,FORSIDE!$F$8&gt;=2,FORSIDE!$B$5&gt;=3),17*FORSIDE!$B$9,"")</f>
        <v/>
      </c>
      <c r="D654" t="str">
        <f>IF(AND(FORSIDE!$B$8&gt;=17,FORSIDE!$F$8&gt;=2,FORSIDE!$B$5&gt;=3),FORSIDE!$B$6+(3-1)*FORSIDE!$B$7,"")</f>
        <v/>
      </c>
    </row>
    <row r="655" spans="1:4" x14ac:dyDescent="0.3">
      <c r="A655" t="str">
        <f>IF(AND(FORSIDE!$B$8&gt;=17,FORSIDE!$F$8&gt;=2,FORSIDE!$B$5&gt;=4),654,"")</f>
        <v/>
      </c>
      <c r="B655" t="str">
        <f>IF(AND(FORSIDE!$B$8&gt;=17,FORSIDE!$F$8&gt;=2,FORSIDE!$B$5&gt;=4),354+2*FORSIDE!$F$9,"")</f>
        <v/>
      </c>
      <c r="C655" t="str">
        <f>IF(AND(FORSIDE!$B$8&gt;=17,FORSIDE!$F$8&gt;=2,FORSIDE!$B$5&gt;=4),17*FORSIDE!$B$9,"")</f>
        <v/>
      </c>
      <c r="D655" t="str">
        <f>IF(AND(FORSIDE!$B$8&gt;=17,FORSIDE!$F$8&gt;=2,FORSIDE!$B$5&gt;=4),FORSIDE!$B$6+(4-1)*FORSIDE!$B$7,"")</f>
        <v/>
      </c>
    </row>
    <row r="656" spans="1:4" x14ac:dyDescent="0.3">
      <c r="A656" t="str">
        <f>IF(AND(FORSIDE!$B$8&gt;=17,FORSIDE!$F$8&gt;=2,FORSIDE!$B$5&gt;=5),655,"")</f>
        <v/>
      </c>
      <c r="B656" t="str">
        <f>IF(AND(FORSIDE!$B$8&gt;=17,FORSIDE!$F$8&gt;=2,FORSIDE!$B$5&gt;=5),354+2*FORSIDE!$F$9,"")</f>
        <v/>
      </c>
      <c r="C656" t="str">
        <f>IF(AND(FORSIDE!$B$8&gt;=17,FORSIDE!$F$8&gt;=2,FORSIDE!$B$5&gt;=5),17*FORSIDE!$B$9,"")</f>
        <v/>
      </c>
      <c r="D656" t="str">
        <f>IF(AND(FORSIDE!$B$8&gt;=17,FORSIDE!$F$8&gt;=2,FORSIDE!$B$5&gt;=5),FORSIDE!$B$6+(5-1)*FORSIDE!$B$7,"")</f>
        <v/>
      </c>
    </row>
    <row r="657" spans="1:4" x14ac:dyDescent="0.3">
      <c r="A657" t="str">
        <f>IF(AND(FORSIDE!$B$8&gt;=17,FORSIDE!$F$8&gt;=2,FORSIDE!$B$5&gt;=6),656,"")</f>
        <v/>
      </c>
      <c r="B657" t="str">
        <f>IF(AND(FORSIDE!$B$8&gt;=17,FORSIDE!$F$8&gt;=2,FORSIDE!$B$5&gt;=6),354+2*FORSIDE!$F$9,"")</f>
        <v/>
      </c>
      <c r="C657" t="str">
        <f>IF(AND(FORSIDE!$B$8&gt;=17,FORSIDE!$F$8&gt;=2,FORSIDE!$B$5&gt;=6),17*FORSIDE!$B$9,"")</f>
        <v/>
      </c>
      <c r="D657" t="str">
        <f>IF(AND(FORSIDE!$B$8&gt;=17,FORSIDE!$F$8&gt;=2,FORSIDE!$B$5&gt;=6),FORSIDE!$B$6+(6-1)*FORSIDE!$B$7,"")</f>
        <v/>
      </c>
    </row>
    <row r="658" spans="1:4" x14ac:dyDescent="0.3">
      <c r="A658" t="str">
        <f>IF(AND(FORSIDE!$B$8&gt;=17,FORSIDE!$F$8&gt;=2,FORSIDE!$B$5&gt;=7),657,"")</f>
        <v/>
      </c>
      <c r="B658" t="str">
        <f>IF(AND(FORSIDE!$B$8&gt;=17,FORSIDE!$F$8&gt;=2,FORSIDE!$B$5&gt;=7),354+2*FORSIDE!$F$9,"")</f>
        <v/>
      </c>
      <c r="C658" t="str">
        <f>IF(AND(FORSIDE!$B$8&gt;=17,FORSIDE!$F$8&gt;=2,FORSIDE!$B$5&gt;=7),17*FORSIDE!$B$9,"")</f>
        <v/>
      </c>
      <c r="D658" t="str">
        <f>IF(AND(FORSIDE!$B$8&gt;=17,FORSIDE!$F$8&gt;=2,FORSIDE!$B$5&gt;=7),FORSIDE!$B$6+(7-1)*FORSIDE!$B$7,"")</f>
        <v/>
      </c>
    </row>
    <row r="659" spans="1:4" x14ac:dyDescent="0.3">
      <c r="A659" t="str">
        <f>IF(AND(FORSIDE!$B$8&gt;=17,FORSIDE!$F$8&gt;=2,FORSIDE!$B$5&gt;=8),658,"")</f>
        <v/>
      </c>
      <c r="B659" t="str">
        <f>IF(AND(FORSIDE!$B$8&gt;=17,FORSIDE!$F$8&gt;=2,FORSIDE!$B$5&gt;=8),354+2*FORSIDE!$F$9,"")</f>
        <v/>
      </c>
      <c r="C659" t="str">
        <f>IF(AND(FORSIDE!$B$8&gt;=17,FORSIDE!$F$8&gt;=2,FORSIDE!$B$5&gt;=8),17*FORSIDE!$B$9,"")</f>
        <v/>
      </c>
      <c r="D659" t="str">
        <f>IF(AND(FORSIDE!$B$8&gt;=17,FORSIDE!$F$8&gt;=2,FORSIDE!$B$5&gt;=8),FORSIDE!$B$6+(8-1)*FORSIDE!$B$7,"")</f>
        <v/>
      </c>
    </row>
    <row r="660" spans="1:4" x14ac:dyDescent="0.3">
      <c r="A660" t="str">
        <f>IF(AND(FORSIDE!$B$8&gt;=17,FORSIDE!$F$8&gt;=2,FORSIDE!$B$5&gt;=9),659,"")</f>
        <v/>
      </c>
      <c r="B660" t="str">
        <f>IF(AND(FORSIDE!$B$8&gt;=17,FORSIDE!$F$8&gt;=2,FORSIDE!$B$5&gt;=9),354+2*FORSIDE!$F$9,"")</f>
        <v/>
      </c>
      <c r="C660" t="str">
        <f>IF(AND(FORSIDE!$B$8&gt;=17,FORSIDE!$F$8&gt;=2,FORSIDE!$B$5&gt;=9),17*FORSIDE!$B$9,"")</f>
        <v/>
      </c>
      <c r="D660" t="str">
        <f>IF(AND(FORSIDE!$B$8&gt;=17,FORSIDE!$F$8&gt;=2,FORSIDE!$B$5&gt;=9),FORSIDE!$B$6+(9-1)*FORSIDE!$B$7,"")</f>
        <v/>
      </c>
    </row>
    <row r="661" spans="1:4" x14ac:dyDescent="0.3">
      <c r="A661" t="str">
        <f>IF(AND(FORSIDE!$B$8&gt;=17,FORSIDE!$F$8&gt;=2,FORSIDE!$B$5&gt;=10),660,"")</f>
        <v/>
      </c>
      <c r="B661" t="str">
        <f>IF(AND(FORSIDE!$B$8&gt;=17,FORSIDE!$F$8&gt;=2,FORSIDE!$B$5&gt;=10),354+2*FORSIDE!$F$9,"")</f>
        <v/>
      </c>
      <c r="C661" t="str">
        <f>IF(AND(FORSIDE!$B$8&gt;=17,FORSIDE!$F$8&gt;=2,FORSIDE!$B$5&gt;=10),17*FORSIDE!$B$9,"")</f>
        <v/>
      </c>
      <c r="D661" t="str">
        <f>IF(AND(FORSIDE!$B$8&gt;=17,FORSIDE!$F$8&gt;=2,FORSIDE!$B$5&gt;=10),FORSIDE!$B$6+(10-1)*FORSIDE!$B$7,"")</f>
        <v/>
      </c>
    </row>
    <row r="662" spans="1:4" x14ac:dyDescent="0.3">
      <c r="A662" t="str">
        <f>IF(AND(FORSIDE!$B$8&gt;=18,FORSIDE!$F$8&gt;=2,FORSIDE!$B$5&gt;=0),661,"")</f>
        <v/>
      </c>
      <c r="B662" t="str">
        <f>IF(AND(FORSIDE!$B$8&gt;=18,FORSIDE!$F$8&gt;=2,FORSIDE!$B$5&gt;=0),354+2*FORSIDE!$F$9,"")</f>
        <v/>
      </c>
      <c r="C662" t="str">
        <f>IF(AND(FORSIDE!$B$8&gt;=18,FORSIDE!$F$8&gt;=2,FORSIDE!$B$5&gt;=0),18*FORSIDE!$B$9,"")</f>
        <v/>
      </c>
      <c r="D662" t="str">
        <f>IF(AND(FORSIDE!$B$8&gt;=18,FORSIDE!$F$8&gt;=2,FORSIDE!$B$5&gt;=0),0,"")</f>
        <v/>
      </c>
    </row>
    <row r="663" spans="1:4" x14ac:dyDescent="0.3">
      <c r="A663" t="str">
        <f>IF(AND(FORSIDE!$B$8&gt;=18,FORSIDE!$F$8&gt;=2,FORSIDE!$B$5&gt;=1),662,"")</f>
        <v/>
      </c>
      <c r="B663" t="str">
        <f>IF(AND(FORSIDE!$B$8&gt;=18,FORSIDE!$F$8&gt;=2,FORSIDE!$B$5&gt;=1),354+2*FORSIDE!$F$9,"")</f>
        <v/>
      </c>
      <c r="C663" t="str">
        <f>IF(AND(FORSIDE!$B$8&gt;=18,FORSIDE!$F$8&gt;=2,FORSIDE!$B$5&gt;=1),18*FORSIDE!$B$9,"")</f>
        <v/>
      </c>
      <c r="D663" t="str">
        <f>IF(AND(FORSIDE!$B$8&gt;=18,FORSIDE!$F$8&gt;=2,FORSIDE!$B$5&gt;=1),FORSIDE!$B$6+(1-1)*FORSIDE!$B$7,"")</f>
        <v/>
      </c>
    </row>
    <row r="664" spans="1:4" x14ac:dyDescent="0.3">
      <c r="A664" t="str">
        <f>IF(AND(FORSIDE!$B$8&gt;=18,FORSIDE!$F$8&gt;=2,FORSIDE!$B$5&gt;=2),663,"")</f>
        <v/>
      </c>
      <c r="B664" t="str">
        <f>IF(AND(FORSIDE!$B$8&gt;=18,FORSIDE!$F$8&gt;=2,FORSIDE!$B$5&gt;=2),354+2*FORSIDE!$F$9,"")</f>
        <v/>
      </c>
      <c r="C664" t="str">
        <f>IF(AND(FORSIDE!$B$8&gt;=18,FORSIDE!$F$8&gt;=2,FORSIDE!$B$5&gt;=2),18*FORSIDE!$B$9,"")</f>
        <v/>
      </c>
      <c r="D664" t="str">
        <f>IF(AND(FORSIDE!$B$8&gt;=18,FORSIDE!$F$8&gt;=2,FORSIDE!$B$5&gt;=2),FORSIDE!$B$6+(2-1)*FORSIDE!$B$7,"")</f>
        <v/>
      </c>
    </row>
    <row r="665" spans="1:4" x14ac:dyDescent="0.3">
      <c r="A665" t="str">
        <f>IF(AND(FORSIDE!$B$8&gt;=18,FORSIDE!$F$8&gt;=2,FORSIDE!$B$5&gt;=3),664,"")</f>
        <v/>
      </c>
      <c r="B665" t="str">
        <f>IF(AND(FORSIDE!$B$8&gt;=18,FORSIDE!$F$8&gt;=2,FORSIDE!$B$5&gt;=3),354+2*FORSIDE!$F$9,"")</f>
        <v/>
      </c>
      <c r="C665" t="str">
        <f>IF(AND(FORSIDE!$B$8&gt;=18,FORSIDE!$F$8&gt;=2,FORSIDE!$B$5&gt;=3),18*FORSIDE!$B$9,"")</f>
        <v/>
      </c>
      <c r="D665" t="str">
        <f>IF(AND(FORSIDE!$B$8&gt;=18,FORSIDE!$F$8&gt;=2,FORSIDE!$B$5&gt;=3),FORSIDE!$B$6+(3-1)*FORSIDE!$B$7,"")</f>
        <v/>
      </c>
    </row>
    <row r="666" spans="1:4" x14ac:dyDescent="0.3">
      <c r="A666" t="str">
        <f>IF(AND(FORSIDE!$B$8&gt;=18,FORSIDE!$F$8&gt;=2,FORSIDE!$B$5&gt;=4),665,"")</f>
        <v/>
      </c>
      <c r="B666" t="str">
        <f>IF(AND(FORSIDE!$B$8&gt;=18,FORSIDE!$F$8&gt;=2,FORSIDE!$B$5&gt;=4),354+2*FORSIDE!$F$9,"")</f>
        <v/>
      </c>
      <c r="C666" t="str">
        <f>IF(AND(FORSIDE!$B$8&gt;=18,FORSIDE!$F$8&gt;=2,FORSIDE!$B$5&gt;=4),18*FORSIDE!$B$9,"")</f>
        <v/>
      </c>
      <c r="D666" t="str">
        <f>IF(AND(FORSIDE!$B$8&gt;=18,FORSIDE!$F$8&gt;=2,FORSIDE!$B$5&gt;=4),FORSIDE!$B$6+(4-1)*FORSIDE!$B$7,"")</f>
        <v/>
      </c>
    </row>
    <row r="667" spans="1:4" x14ac:dyDescent="0.3">
      <c r="A667" t="str">
        <f>IF(AND(FORSIDE!$B$8&gt;=18,FORSIDE!$F$8&gt;=2,FORSIDE!$B$5&gt;=5),666,"")</f>
        <v/>
      </c>
      <c r="B667" t="str">
        <f>IF(AND(FORSIDE!$B$8&gt;=18,FORSIDE!$F$8&gt;=2,FORSIDE!$B$5&gt;=5),354+2*FORSIDE!$F$9,"")</f>
        <v/>
      </c>
      <c r="C667" t="str">
        <f>IF(AND(FORSIDE!$B$8&gt;=18,FORSIDE!$F$8&gt;=2,FORSIDE!$B$5&gt;=5),18*FORSIDE!$B$9,"")</f>
        <v/>
      </c>
      <c r="D667" t="str">
        <f>IF(AND(FORSIDE!$B$8&gt;=18,FORSIDE!$F$8&gt;=2,FORSIDE!$B$5&gt;=5),FORSIDE!$B$6+(5-1)*FORSIDE!$B$7,"")</f>
        <v/>
      </c>
    </row>
    <row r="668" spans="1:4" x14ac:dyDescent="0.3">
      <c r="A668" t="str">
        <f>IF(AND(FORSIDE!$B$8&gt;=18,FORSIDE!$F$8&gt;=2,FORSIDE!$B$5&gt;=6),667,"")</f>
        <v/>
      </c>
      <c r="B668" t="str">
        <f>IF(AND(FORSIDE!$B$8&gt;=18,FORSIDE!$F$8&gt;=2,FORSIDE!$B$5&gt;=6),354+2*FORSIDE!$F$9,"")</f>
        <v/>
      </c>
      <c r="C668" t="str">
        <f>IF(AND(FORSIDE!$B$8&gt;=18,FORSIDE!$F$8&gt;=2,FORSIDE!$B$5&gt;=6),18*FORSIDE!$B$9,"")</f>
        <v/>
      </c>
      <c r="D668" t="str">
        <f>IF(AND(FORSIDE!$B$8&gt;=18,FORSIDE!$F$8&gt;=2,FORSIDE!$B$5&gt;=6),FORSIDE!$B$6+(6-1)*FORSIDE!$B$7,"")</f>
        <v/>
      </c>
    </row>
    <row r="669" spans="1:4" x14ac:dyDescent="0.3">
      <c r="A669" t="str">
        <f>IF(AND(FORSIDE!$B$8&gt;=18,FORSIDE!$F$8&gt;=2,FORSIDE!$B$5&gt;=7),668,"")</f>
        <v/>
      </c>
      <c r="B669" t="str">
        <f>IF(AND(FORSIDE!$B$8&gt;=18,FORSIDE!$F$8&gt;=2,FORSIDE!$B$5&gt;=7),354+2*FORSIDE!$F$9,"")</f>
        <v/>
      </c>
      <c r="C669" t="str">
        <f>IF(AND(FORSIDE!$B$8&gt;=18,FORSIDE!$F$8&gt;=2,FORSIDE!$B$5&gt;=7),18*FORSIDE!$B$9,"")</f>
        <v/>
      </c>
      <c r="D669" t="str">
        <f>IF(AND(FORSIDE!$B$8&gt;=18,FORSIDE!$F$8&gt;=2,FORSIDE!$B$5&gt;=7),FORSIDE!$B$6+(7-1)*FORSIDE!$B$7,"")</f>
        <v/>
      </c>
    </row>
    <row r="670" spans="1:4" x14ac:dyDescent="0.3">
      <c r="A670" t="str">
        <f>IF(AND(FORSIDE!$B$8&gt;=18,FORSIDE!$F$8&gt;=2,FORSIDE!$B$5&gt;=8),669,"")</f>
        <v/>
      </c>
      <c r="B670" t="str">
        <f>IF(AND(FORSIDE!$B$8&gt;=18,FORSIDE!$F$8&gt;=2,FORSIDE!$B$5&gt;=8),354+2*FORSIDE!$F$9,"")</f>
        <v/>
      </c>
      <c r="C670" t="str">
        <f>IF(AND(FORSIDE!$B$8&gt;=18,FORSIDE!$F$8&gt;=2,FORSIDE!$B$5&gt;=8),18*FORSIDE!$B$9,"")</f>
        <v/>
      </c>
      <c r="D670" t="str">
        <f>IF(AND(FORSIDE!$B$8&gt;=18,FORSIDE!$F$8&gt;=2,FORSIDE!$B$5&gt;=8),FORSIDE!$B$6+(8-1)*FORSIDE!$B$7,"")</f>
        <v/>
      </c>
    </row>
    <row r="671" spans="1:4" x14ac:dyDescent="0.3">
      <c r="A671" t="str">
        <f>IF(AND(FORSIDE!$B$8&gt;=18,FORSIDE!$F$8&gt;=2,FORSIDE!$B$5&gt;=9),670,"")</f>
        <v/>
      </c>
      <c r="B671" t="str">
        <f>IF(AND(FORSIDE!$B$8&gt;=18,FORSIDE!$F$8&gt;=2,FORSIDE!$B$5&gt;=9),354+2*FORSIDE!$F$9,"")</f>
        <v/>
      </c>
      <c r="C671" t="str">
        <f>IF(AND(FORSIDE!$B$8&gt;=18,FORSIDE!$F$8&gt;=2,FORSIDE!$B$5&gt;=9),18*FORSIDE!$B$9,"")</f>
        <v/>
      </c>
      <c r="D671" t="str">
        <f>IF(AND(FORSIDE!$B$8&gt;=18,FORSIDE!$F$8&gt;=2,FORSIDE!$B$5&gt;=9),FORSIDE!$B$6+(9-1)*FORSIDE!$B$7,"")</f>
        <v/>
      </c>
    </row>
    <row r="672" spans="1:4" x14ac:dyDescent="0.3">
      <c r="A672" t="str">
        <f>IF(AND(FORSIDE!$B$8&gt;=18,FORSIDE!$F$8&gt;=2,FORSIDE!$B$5&gt;=10),671,"")</f>
        <v/>
      </c>
      <c r="B672" t="str">
        <f>IF(AND(FORSIDE!$B$8&gt;=18,FORSIDE!$F$8&gt;=2,FORSIDE!$B$5&gt;=10),354+2*FORSIDE!$F$9,"")</f>
        <v/>
      </c>
      <c r="C672" t="str">
        <f>IF(AND(FORSIDE!$B$8&gt;=18,FORSIDE!$F$8&gt;=2,FORSIDE!$B$5&gt;=10),18*FORSIDE!$B$9,"")</f>
        <v/>
      </c>
      <c r="D672" t="str">
        <f>IF(AND(FORSIDE!$B$8&gt;=18,FORSIDE!$F$8&gt;=2,FORSIDE!$B$5&gt;=10),FORSIDE!$B$6+(10-1)*FORSIDE!$B$7,"")</f>
        <v/>
      </c>
    </row>
    <row r="673" spans="1:4" x14ac:dyDescent="0.3">
      <c r="A673" t="str">
        <f>IF(AND(FORSIDE!$B$8&gt;=19,FORSIDE!$F$8&gt;=2,FORSIDE!$B$5&gt;=0),672,"")</f>
        <v/>
      </c>
      <c r="B673" t="str">
        <f>IF(AND(FORSIDE!$B$8&gt;=19,FORSIDE!$F$8&gt;=2,FORSIDE!$B$5&gt;=0),354+2*FORSIDE!$F$9,"")</f>
        <v/>
      </c>
      <c r="C673" t="str">
        <f>IF(AND(FORSIDE!$B$8&gt;=19,FORSIDE!$F$8&gt;=2,FORSIDE!$B$5&gt;=0),19*FORSIDE!$B$9,"")</f>
        <v/>
      </c>
      <c r="D673" t="str">
        <f>IF(AND(FORSIDE!$B$8&gt;=19,FORSIDE!$F$8&gt;=2,FORSIDE!$B$5&gt;=0),0,"")</f>
        <v/>
      </c>
    </row>
    <row r="674" spans="1:4" x14ac:dyDescent="0.3">
      <c r="A674" t="str">
        <f>IF(AND(FORSIDE!$B$8&gt;=19,FORSIDE!$F$8&gt;=2,FORSIDE!$B$5&gt;=1),673,"")</f>
        <v/>
      </c>
      <c r="B674" t="str">
        <f>IF(AND(FORSIDE!$B$8&gt;=19,FORSIDE!$F$8&gt;=2,FORSIDE!$B$5&gt;=1),354+2*FORSIDE!$F$9,"")</f>
        <v/>
      </c>
      <c r="C674" t="str">
        <f>IF(AND(FORSIDE!$B$8&gt;=19,FORSIDE!$F$8&gt;=2,FORSIDE!$B$5&gt;=1),19*FORSIDE!$B$9,"")</f>
        <v/>
      </c>
      <c r="D674" t="str">
        <f>IF(AND(FORSIDE!$B$8&gt;=19,FORSIDE!$F$8&gt;=2,FORSIDE!$B$5&gt;=1),FORSIDE!$B$6+(1-1)*FORSIDE!$B$7,"")</f>
        <v/>
      </c>
    </row>
    <row r="675" spans="1:4" x14ac:dyDescent="0.3">
      <c r="A675" t="str">
        <f>IF(AND(FORSIDE!$B$8&gt;=19,FORSIDE!$F$8&gt;=2,FORSIDE!$B$5&gt;=2),674,"")</f>
        <v/>
      </c>
      <c r="B675" t="str">
        <f>IF(AND(FORSIDE!$B$8&gt;=19,FORSIDE!$F$8&gt;=2,FORSIDE!$B$5&gt;=2),354+2*FORSIDE!$F$9,"")</f>
        <v/>
      </c>
      <c r="C675" t="str">
        <f>IF(AND(FORSIDE!$B$8&gt;=19,FORSIDE!$F$8&gt;=2,FORSIDE!$B$5&gt;=2),19*FORSIDE!$B$9,"")</f>
        <v/>
      </c>
      <c r="D675" t="str">
        <f>IF(AND(FORSIDE!$B$8&gt;=19,FORSIDE!$F$8&gt;=2,FORSIDE!$B$5&gt;=2),FORSIDE!$B$6+(2-1)*FORSIDE!$B$7,"")</f>
        <v/>
      </c>
    </row>
    <row r="676" spans="1:4" x14ac:dyDescent="0.3">
      <c r="A676" t="str">
        <f>IF(AND(FORSIDE!$B$8&gt;=19,FORSIDE!$F$8&gt;=2,FORSIDE!$B$5&gt;=3),675,"")</f>
        <v/>
      </c>
      <c r="B676" t="str">
        <f>IF(AND(FORSIDE!$B$8&gt;=19,FORSIDE!$F$8&gt;=2,FORSIDE!$B$5&gt;=3),354+2*FORSIDE!$F$9,"")</f>
        <v/>
      </c>
      <c r="C676" t="str">
        <f>IF(AND(FORSIDE!$B$8&gt;=19,FORSIDE!$F$8&gt;=2,FORSIDE!$B$5&gt;=3),19*FORSIDE!$B$9,"")</f>
        <v/>
      </c>
      <c r="D676" t="str">
        <f>IF(AND(FORSIDE!$B$8&gt;=19,FORSIDE!$F$8&gt;=2,FORSIDE!$B$5&gt;=3),FORSIDE!$B$6+(3-1)*FORSIDE!$B$7,"")</f>
        <v/>
      </c>
    </row>
    <row r="677" spans="1:4" x14ac:dyDescent="0.3">
      <c r="A677" t="str">
        <f>IF(AND(FORSIDE!$B$8&gt;=19,FORSIDE!$F$8&gt;=2,FORSIDE!$B$5&gt;=4),676,"")</f>
        <v/>
      </c>
      <c r="B677" t="str">
        <f>IF(AND(FORSIDE!$B$8&gt;=19,FORSIDE!$F$8&gt;=2,FORSIDE!$B$5&gt;=4),354+2*FORSIDE!$F$9,"")</f>
        <v/>
      </c>
      <c r="C677" t="str">
        <f>IF(AND(FORSIDE!$B$8&gt;=19,FORSIDE!$F$8&gt;=2,FORSIDE!$B$5&gt;=4),19*FORSIDE!$B$9,"")</f>
        <v/>
      </c>
      <c r="D677" t="str">
        <f>IF(AND(FORSIDE!$B$8&gt;=19,FORSIDE!$F$8&gt;=2,FORSIDE!$B$5&gt;=4),FORSIDE!$B$6+(4-1)*FORSIDE!$B$7,"")</f>
        <v/>
      </c>
    </row>
    <row r="678" spans="1:4" x14ac:dyDescent="0.3">
      <c r="A678" t="str">
        <f>IF(AND(FORSIDE!$B$8&gt;=19,FORSIDE!$F$8&gt;=2,FORSIDE!$B$5&gt;=5),677,"")</f>
        <v/>
      </c>
      <c r="B678" t="str">
        <f>IF(AND(FORSIDE!$B$8&gt;=19,FORSIDE!$F$8&gt;=2,FORSIDE!$B$5&gt;=5),354+2*FORSIDE!$F$9,"")</f>
        <v/>
      </c>
      <c r="C678" t="str">
        <f>IF(AND(FORSIDE!$B$8&gt;=19,FORSIDE!$F$8&gt;=2,FORSIDE!$B$5&gt;=5),19*FORSIDE!$B$9,"")</f>
        <v/>
      </c>
      <c r="D678" t="str">
        <f>IF(AND(FORSIDE!$B$8&gt;=19,FORSIDE!$F$8&gt;=2,FORSIDE!$B$5&gt;=5),FORSIDE!$B$6+(5-1)*FORSIDE!$B$7,"")</f>
        <v/>
      </c>
    </row>
    <row r="679" spans="1:4" x14ac:dyDescent="0.3">
      <c r="A679" t="str">
        <f>IF(AND(FORSIDE!$B$8&gt;=19,FORSIDE!$F$8&gt;=2,FORSIDE!$B$5&gt;=6),678,"")</f>
        <v/>
      </c>
      <c r="B679" t="str">
        <f>IF(AND(FORSIDE!$B$8&gt;=19,FORSIDE!$F$8&gt;=2,FORSIDE!$B$5&gt;=6),354+2*FORSIDE!$F$9,"")</f>
        <v/>
      </c>
      <c r="C679" t="str">
        <f>IF(AND(FORSIDE!$B$8&gt;=19,FORSIDE!$F$8&gt;=2,FORSIDE!$B$5&gt;=6),19*FORSIDE!$B$9,"")</f>
        <v/>
      </c>
      <c r="D679" t="str">
        <f>IF(AND(FORSIDE!$B$8&gt;=19,FORSIDE!$F$8&gt;=2,FORSIDE!$B$5&gt;=6),FORSIDE!$B$6+(6-1)*FORSIDE!$B$7,"")</f>
        <v/>
      </c>
    </row>
    <row r="680" spans="1:4" x14ac:dyDescent="0.3">
      <c r="A680" t="str">
        <f>IF(AND(FORSIDE!$B$8&gt;=19,FORSIDE!$F$8&gt;=2,FORSIDE!$B$5&gt;=7),679,"")</f>
        <v/>
      </c>
      <c r="B680" t="str">
        <f>IF(AND(FORSIDE!$B$8&gt;=19,FORSIDE!$F$8&gt;=2,FORSIDE!$B$5&gt;=7),354+2*FORSIDE!$F$9,"")</f>
        <v/>
      </c>
      <c r="C680" t="str">
        <f>IF(AND(FORSIDE!$B$8&gt;=19,FORSIDE!$F$8&gt;=2,FORSIDE!$B$5&gt;=7),19*FORSIDE!$B$9,"")</f>
        <v/>
      </c>
      <c r="D680" t="str">
        <f>IF(AND(FORSIDE!$B$8&gt;=19,FORSIDE!$F$8&gt;=2,FORSIDE!$B$5&gt;=7),FORSIDE!$B$6+(7-1)*FORSIDE!$B$7,"")</f>
        <v/>
      </c>
    </row>
    <row r="681" spans="1:4" x14ac:dyDescent="0.3">
      <c r="A681" t="str">
        <f>IF(AND(FORSIDE!$B$8&gt;=19,FORSIDE!$F$8&gt;=2,FORSIDE!$B$5&gt;=8),680,"")</f>
        <v/>
      </c>
      <c r="B681" t="str">
        <f>IF(AND(FORSIDE!$B$8&gt;=19,FORSIDE!$F$8&gt;=2,FORSIDE!$B$5&gt;=8),354+2*FORSIDE!$F$9,"")</f>
        <v/>
      </c>
      <c r="C681" t="str">
        <f>IF(AND(FORSIDE!$B$8&gt;=19,FORSIDE!$F$8&gt;=2,FORSIDE!$B$5&gt;=8),19*FORSIDE!$B$9,"")</f>
        <v/>
      </c>
      <c r="D681" t="str">
        <f>IF(AND(FORSIDE!$B$8&gt;=19,FORSIDE!$F$8&gt;=2,FORSIDE!$B$5&gt;=8),FORSIDE!$B$6+(8-1)*FORSIDE!$B$7,"")</f>
        <v/>
      </c>
    </row>
    <row r="682" spans="1:4" x14ac:dyDescent="0.3">
      <c r="A682" t="str">
        <f>IF(AND(FORSIDE!$B$8&gt;=19,FORSIDE!$F$8&gt;=2,FORSIDE!$B$5&gt;=9),681,"")</f>
        <v/>
      </c>
      <c r="B682" t="str">
        <f>IF(AND(FORSIDE!$B$8&gt;=19,FORSIDE!$F$8&gt;=2,FORSIDE!$B$5&gt;=9),354+2*FORSIDE!$F$9,"")</f>
        <v/>
      </c>
      <c r="C682" t="str">
        <f>IF(AND(FORSIDE!$B$8&gt;=19,FORSIDE!$F$8&gt;=2,FORSIDE!$B$5&gt;=9),19*FORSIDE!$B$9,"")</f>
        <v/>
      </c>
      <c r="D682" t="str">
        <f>IF(AND(FORSIDE!$B$8&gt;=19,FORSIDE!$F$8&gt;=2,FORSIDE!$B$5&gt;=9),FORSIDE!$B$6+(9-1)*FORSIDE!$B$7,"")</f>
        <v/>
      </c>
    </row>
    <row r="683" spans="1:4" x14ac:dyDescent="0.3">
      <c r="A683" t="str">
        <f>IF(AND(FORSIDE!$B$8&gt;=19,FORSIDE!$F$8&gt;=2,FORSIDE!$B$5&gt;=10),682,"")</f>
        <v/>
      </c>
      <c r="B683" t="str">
        <f>IF(AND(FORSIDE!$B$8&gt;=19,FORSIDE!$F$8&gt;=2,FORSIDE!$B$5&gt;=10),354+2*FORSIDE!$F$9,"")</f>
        <v/>
      </c>
      <c r="C683" t="str">
        <f>IF(AND(FORSIDE!$B$8&gt;=19,FORSIDE!$F$8&gt;=2,FORSIDE!$B$5&gt;=10),19*FORSIDE!$B$9,"")</f>
        <v/>
      </c>
      <c r="D683" t="str">
        <f>IF(AND(FORSIDE!$B$8&gt;=19,FORSIDE!$F$8&gt;=2,FORSIDE!$B$5&gt;=10),FORSIDE!$B$6+(10-1)*FORSIDE!$B$7,"")</f>
        <v/>
      </c>
    </row>
    <row r="684" spans="1:4" x14ac:dyDescent="0.3">
      <c r="A684" t="str">
        <f>IF(AND(FORSIDE!$B$8&gt;=20,FORSIDE!$F$8&gt;=2,FORSIDE!$B$5&gt;=0),683,"")</f>
        <v/>
      </c>
      <c r="B684" t="str">
        <f>IF(AND(FORSIDE!$B$8&gt;=20,FORSIDE!$F$8&gt;=2,FORSIDE!$B$5&gt;=0),354+2*FORSIDE!$F$9,"")</f>
        <v/>
      </c>
      <c r="C684" t="str">
        <f>IF(AND(FORSIDE!$B$8&gt;=20,FORSIDE!$F$8&gt;=2,FORSIDE!$B$5&gt;=0),20*FORSIDE!$B$9,"")</f>
        <v/>
      </c>
      <c r="D684" t="str">
        <f>IF(AND(FORSIDE!$B$8&gt;=20,FORSIDE!$F$8&gt;=2,FORSIDE!$B$5&gt;=0),0,"")</f>
        <v/>
      </c>
    </row>
    <row r="685" spans="1:4" x14ac:dyDescent="0.3">
      <c r="A685" t="str">
        <f>IF(AND(FORSIDE!$B$8&gt;=20,FORSIDE!$F$8&gt;=2,FORSIDE!$B$5&gt;=1),684,"")</f>
        <v/>
      </c>
      <c r="B685" t="str">
        <f>IF(AND(FORSIDE!$B$8&gt;=20,FORSIDE!$F$8&gt;=2,FORSIDE!$B$5&gt;=1),354+2*FORSIDE!$F$9,"")</f>
        <v/>
      </c>
      <c r="C685" t="str">
        <f>IF(AND(FORSIDE!$B$8&gt;=20,FORSIDE!$F$8&gt;=2,FORSIDE!$B$5&gt;=1),20*FORSIDE!$B$9,"")</f>
        <v/>
      </c>
      <c r="D685" t="str">
        <f>IF(AND(FORSIDE!$B$8&gt;=20,FORSIDE!$F$8&gt;=2,FORSIDE!$B$5&gt;=1),FORSIDE!$B$6+(1-1)*FORSIDE!$B$7,"")</f>
        <v/>
      </c>
    </row>
    <row r="686" spans="1:4" x14ac:dyDescent="0.3">
      <c r="A686" t="str">
        <f>IF(AND(FORSIDE!$B$8&gt;=20,FORSIDE!$F$8&gt;=2,FORSIDE!$B$5&gt;=2),685,"")</f>
        <v/>
      </c>
      <c r="B686" t="str">
        <f>IF(AND(FORSIDE!$B$8&gt;=20,FORSIDE!$F$8&gt;=2,FORSIDE!$B$5&gt;=2),354+2*FORSIDE!$F$9,"")</f>
        <v/>
      </c>
      <c r="C686" t="str">
        <f>IF(AND(FORSIDE!$B$8&gt;=20,FORSIDE!$F$8&gt;=2,FORSIDE!$B$5&gt;=2),20*FORSIDE!$B$9,"")</f>
        <v/>
      </c>
      <c r="D686" t="str">
        <f>IF(AND(FORSIDE!$B$8&gt;=20,FORSIDE!$F$8&gt;=2,FORSIDE!$B$5&gt;=2),FORSIDE!$B$6+(2-1)*FORSIDE!$B$7,"")</f>
        <v/>
      </c>
    </row>
    <row r="687" spans="1:4" x14ac:dyDescent="0.3">
      <c r="A687" t="str">
        <f>IF(AND(FORSIDE!$B$8&gt;=20,FORSIDE!$F$8&gt;=2,FORSIDE!$B$5&gt;=3),686,"")</f>
        <v/>
      </c>
      <c r="B687" t="str">
        <f>IF(AND(FORSIDE!$B$8&gt;=20,FORSIDE!$F$8&gt;=2,FORSIDE!$B$5&gt;=3),354+2*FORSIDE!$F$9,"")</f>
        <v/>
      </c>
      <c r="C687" t="str">
        <f>IF(AND(FORSIDE!$B$8&gt;=20,FORSIDE!$F$8&gt;=2,FORSIDE!$B$5&gt;=3),20*FORSIDE!$B$9,"")</f>
        <v/>
      </c>
      <c r="D687" t="str">
        <f>IF(AND(FORSIDE!$B$8&gt;=20,FORSIDE!$F$8&gt;=2,FORSIDE!$B$5&gt;=3),FORSIDE!$B$6+(3-1)*FORSIDE!$B$7,"")</f>
        <v/>
      </c>
    </row>
    <row r="688" spans="1:4" x14ac:dyDescent="0.3">
      <c r="A688" t="str">
        <f>IF(AND(FORSIDE!$B$8&gt;=20,FORSIDE!$F$8&gt;=2,FORSIDE!$B$5&gt;=4),687,"")</f>
        <v/>
      </c>
      <c r="B688" t="str">
        <f>IF(AND(FORSIDE!$B$8&gt;=20,FORSIDE!$F$8&gt;=2,FORSIDE!$B$5&gt;=4),354+2*FORSIDE!$F$9,"")</f>
        <v/>
      </c>
      <c r="C688" t="str">
        <f>IF(AND(FORSIDE!$B$8&gt;=20,FORSIDE!$F$8&gt;=2,FORSIDE!$B$5&gt;=4),20*FORSIDE!$B$9,"")</f>
        <v/>
      </c>
      <c r="D688" t="str">
        <f>IF(AND(FORSIDE!$B$8&gt;=20,FORSIDE!$F$8&gt;=2,FORSIDE!$B$5&gt;=4),FORSIDE!$B$6+(4-1)*FORSIDE!$B$7,"")</f>
        <v/>
      </c>
    </row>
    <row r="689" spans="1:4" x14ac:dyDescent="0.3">
      <c r="A689" t="str">
        <f>IF(AND(FORSIDE!$B$8&gt;=20,FORSIDE!$F$8&gt;=2,FORSIDE!$B$5&gt;=5),688,"")</f>
        <v/>
      </c>
      <c r="B689" t="str">
        <f>IF(AND(FORSIDE!$B$8&gt;=20,FORSIDE!$F$8&gt;=2,FORSIDE!$B$5&gt;=5),354+2*FORSIDE!$F$9,"")</f>
        <v/>
      </c>
      <c r="C689" t="str">
        <f>IF(AND(FORSIDE!$B$8&gt;=20,FORSIDE!$F$8&gt;=2,FORSIDE!$B$5&gt;=5),20*FORSIDE!$B$9,"")</f>
        <v/>
      </c>
      <c r="D689" t="str">
        <f>IF(AND(FORSIDE!$B$8&gt;=20,FORSIDE!$F$8&gt;=2,FORSIDE!$B$5&gt;=5),FORSIDE!$B$6+(5-1)*FORSIDE!$B$7,"")</f>
        <v/>
      </c>
    </row>
    <row r="690" spans="1:4" x14ac:dyDescent="0.3">
      <c r="A690" t="str">
        <f>IF(AND(FORSIDE!$B$8&gt;=20,FORSIDE!$F$8&gt;=2,FORSIDE!$B$5&gt;=6),689,"")</f>
        <v/>
      </c>
      <c r="B690" t="str">
        <f>IF(AND(FORSIDE!$B$8&gt;=20,FORSIDE!$F$8&gt;=2,FORSIDE!$B$5&gt;=6),354+2*FORSIDE!$F$9,"")</f>
        <v/>
      </c>
      <c r="C690" t="str">
        <f>IF(AND(FORSIDE!$B$8&gt;=20,FORSIDE!$F$8&gt;=2,FORSIDE!$B$5&gt;=6),20*FORSIDE!$B$9,"")</f>
        <v/>
      </c>
      <c r="D690" t="str">
        <f>IF(AND(FORSIDE!$B$8&gt;=20,FORSIDE!$F$8&gt;=2,FORSIDE!$B$5&gt;=6),FORSIDE!$B$6+(6-1)*FORSIDE!$B$7,"")</f>
        <v/>
      </c>
    </row>
    <row r="691" spans="1:4" x14ac:dyDescent="0.3">
      <c r="A691" t="str">
        <f>IF(AND(FORSIDE!$B$8&gt;=20,FORSIDE!$F$8&gt;=2,FORSIDE!$B$5&gt;=7),690,"")</f>
        <v/>
      </c>
      <c r="B691" t="str">
        <f>IF(AND(FORSIDE!$B$8&gt;=20,FORSIDE!$F$8&gt;=2,FORSIDE!$B$5&gt;=7),354+2*FORSIDE!$F$9,"")</f>
        <v/>
      </c>
      <c r="C691" t="str">
        <f>IF(AND(FORSIDE!$B$8&gt;=20,FORSIDE!$F$8&gt;=2,FORSIDE!$B$5&gt;=7),20*FORSIDE!$B$9,"")</f>
        <v/>
      </c>
      <c r="D691" t="str">
        <f>IF(AND(FORSIDE!$B$8&gt;=20,FORSIDE!$F$8&gt;=2,FORSIDE!$B$5&gt;=7),FORSIDE!$B$6+(7-1)*FORSIDE!$B$7,"")</f>
        <v/>
      </c>
    </row>
    <row r="692" spans="1:4" x14ac:dyDescent="0.3">
      <c r="A692" t="str">
        <f>IF(AND(FORSIDE!$B$8&gt;=20,FORSIDE!$F$8&gt;=2,FORSIDE!$B$5&gt;=8),691,"")</f>
        <v/>
      </c>
      <c r="B692" t="str">
        <f>IF(AND(FORSIDE!$B$8&gt;=20,FORSIDE!$F$8&gt;=2,FORSIDE!$B$5&gt;=8),354+2*FORSIDE!$F$9,"")</f>
        <v/>
      </c>
      <c r="C692" t="str">
        <f>IF(AND(FORSIDE!$B$8&gt;=20,FORSIDE!$F$8&gt;=2,FORSIDE!$B$5&gt;=8),20*FORSIDE!$B$9,"")</f>
        <v/>
      </c>
      <c r="D692" t="str">
        <f>IF(AND(FORSIDE!$B$8&gt;=20,FORSIDE!$F$8&gt;=2,FORSIDE!$B$5&gt;=8),FORSIDE!$B$6+(8-1)*FORSIDE!$B$7,"")</f>
        <v/>
      </c>
    </row>
    <row r="693" spans="1:4" x14ac:dyDescent="0.3">
      <c r="A693" t="str">
        <f>IF(AND(FORSIDE!$B$8&gt;=20,FORSIDE!$F$8&gt;=2,FORSIDE!$B$5&gt;=9),692,"")</f>
        <v/>
      </c>
      <c r="B693" t="str">
        <f>IF(AND(FORSIDE!$B$8&gt;=20,FORSIDE!$F$8&gt;=2,FORSIDE!$B$5&gt;=9),354+2*FORSIDE!$F$9,"")</f>
        <v/>
      </c>
      <c r="C693" t="str">
        <f>IF(AND(FORSIDE!$B$8&gt;=20,FORSIDE!$F$8&gt;=2,FORSIDE!$B$5&gt;=9),20*FORSIDE!$B$9,"")</f>
        <v/>
      </c>
      <c r="D693" t="str">
        <f>IF(AND(FORSIDE!$B$8&gt;=20,FORSIDE!$F$8&gt;=2,FORSIDE!$B$5&gt;=9),FORSIDE!$B$6+(9-1)*FORSIDE!$B$7,"")</f>
        <v/>
      </c>
    </row>
    <row r="694" spans="1:4" x14ac:dyDescent="0.3">
      <c r="A694" t="str">
        <f>IF(AND(FORSIDE!$B$8&gt;=20,FORSIDE!$F$8&gt;=2,FORSIDE!$B$5&gt;=10),693,"")</f>
        <v/>
      </c>
      <c r="B694" t="str">
        <f>IF(AND(FORSIDE!$B$8&gt;=20,FORSIDE!$F$8&gt;=2,FORSIDE!$B$5&gt;=10),354+2*FORSIDE!$F$9,"")</f>
        <v/>
      </c>
      <c r="C694" t="str">
        <f>IF(AND(FORSIDE!$B$8&gt;=20,FORSIDE!$F$8&gt;=2,FORSIDE!$B$5&gt;=10),20*FORSIDE!$B$9,"")</f>
        <v/>
      </c>
      <c r="D694" t="str">
        <f>IF(AND(FORSIDE!$B$8&gt;=20,FORSIDE!$F$8&gt;=2,FORSIDE!$B$5&gt;=10),FORSIDE!$B$6+(10-1)*FORSIDE!$B$7,"")</f>
        <v/>
      </c>
    </row>
    <row r="695" spans="1:4" x14ac:dyDescent="0.3">
      <c r="A695" t="str">
        <f>IF(AND(FORSIDE!$B$8&gt;=0,FORSIDE!$F$8&gt;=3,FORSIDE!$B$5&gt;=0),694,"")</f>
        <v/>
      </c>
      <c r="B695" t="str">
        <f>IF(AND(FORSIDE!$B$8&gt;=0,FORSIDE!$F$8&gt;=3,FORSIDE!$B$5&gt;=0),354+3*FORSIDE!$F$9,"")</f>
        <v/>
      </c>
      <c r="C695" t="str">
        <f>IF(AND(FORSIDE!$B$8&gt;=0,FORSIDE!$F$8&gt;=3,FORSIDE!$B$5&gt;=0),0*FORSIDE!$B$9,"")</f>
        <v/>
      </c>
      <c r="D695" t="str">
        <f>IF(AND(FORSIDE!$B$8&gt;=0,FORSIDE!$F$8&gt;=3,FORSIDE!$B$5&gt;=0),0,"")</f>
        <v/>
      </c>
    </row>
    <row r="696" spans="1:4" x14ac:dyDescent="0.3">
      <c r="A696" t="str">
        <f>IF(AND(FORSIDE!$B$8&gt;=0,FORSIDE!$F$8&gt;=3,FORSIDE!$B$5&gt;=1),695,"")</f>
        <v/>
      </c>
      <c r="B696" t="str">
        <f>IF(AND(FORSIDE!$B$8&gt;=0,FORSIDE!$F$8&gt;=3,FORSIDE!$B$5&gt;=1),354+3*FORSIDE!$F$9,"")</f>
        <v/>
      </c>
      <c r="C696" t="str">
        <f>IF(AND(FORSIDE!$B$8&gt;=0,FORSIDE!$F$8&gt;=3,FORSIDE!$B$5&gt;=1),0*FORSIDE!$B$9,"")</f>
        <v/>
      </c>
      <c r="D696" t="str">
        <f>IF(AND(FORSIDE!$B$8&gt;=0,FORSIDE!$F$8&gt;=3,FORSIDE!$B$5&gt;=1),FORSIDE!$B$6+(1-1)*FORSIDE!$B$7,"")</f>
        <v/>
      </c>
    </row>
    <row r="697" spans="1:4" x14ac:dyDescent="0.3">
      <c r="A697" t="str">
        <f>IF(AND(FORSIDE!$B$8&gt;=0,FORSIDE!$F$8&gt;=3,FORSIDE!$B$5&gt;=2),696,"")</f>
        <v/>
      </c>
      <c r="B697" t="str">
        <f>IF(AND(FORSIDE!$B$8&gt;=0,FORSIDE!$F$8&gt;=3,FORSIDE!$B$5&gt;=2),354+3*FORSIDE!$F$9,"")</f>
        <v/>
      </c>
      <c r="C697" t="str">
        <f>IF(AND(FORSIDE!$B$8&gt;=0,FORSIDE!$F$8&gt;=3,FORSIDE!$B$5&gt;=2),0*FORSIDE!$B$9,"")</f>
        <v/>
      </c>
      <c r="D697" t="str">
        <f>IF(AND(FORSIDE!$B$8&gt;=0,FORSIDE!$F$8&gt;=3,FORSIDE!$B$5&gt;=2),FORSIDE!$B$6+(2-1)*FORSIDE!$B$7,"")</f>
        <v/>
      </c>
    </row>
    <row r="698" spans="1:4" x14ac:dyDescent="0.3">
      <c r="A698" t="str">
        <f>IF(AND(FORSIDE!$B$8&gt;=0,FORSIDE!$F$8&gt;=3,FORSIDE!$B$5&gt;=3),697,"")</f>
        <v/>
      </c>
      <c r="B698" t="str">
        <f>IF(AND(FORSIDE!$B$8&gt;=0,FORSIDE!$F$8&gt;=3,FORSIDE!$B$5&gt;=3),354+3*FORSIDE!$F$9,"")</f>
        <v/>
      </c>
      <c r="C698" t="str">
        <f>IF(AND(FORSIDE!$B$8&gt;=0,FORSIDE!$F$8&gt;=3,FORSIDE!$B$5&gt;=3),0*FORSIDE!$B$9,"")</f>
        <v/>
      </c>
      <c r="D698" t="str">
        <f>IF(AND(FORSIDE!$B$8&gt;=0,FORSIDE!$F$8&gt;=3,FORSIDE!$B$5&gt;=3),FORSIDE!$B$6+(3-1)*FORSIDE!$B$7,"")</f>
        <v/>
      </c>
    </row>
    <row r="699" spans="1:4" x14ac:dyDescent="0.3">
      <c r="A699" t="str">
        <f>IF(AND(FORSIDE!$B$8&gt;=0,FORSIDE!$F$8&gt;=3,FORSIDE!$B$5&gt;=4),698,"")</f>
        <v/>
      </c>
      <c r="B699" t="str">
        <f>IF(AND(FORSIDE!$B$8&gt;=0,FORSIDE!$F$8&gt;=3,FORSIDE!$B$5&gt;=4),354+3*FORSIDE!$F$9,"")</f>
        <v/>
      </c>
      <c r="C699" t="str">
        <f>IF(AND(FORSIDE!$B$8&gt;=0,FORSIDE!$F$8&gt;=3,FORSIDE!$B$5&gt;=4),0*FORSIDE!$B$9,"")</f>
        <v/>
      </c>
      <c r="D699" t="str">
        <f>IF(AND(FORSIDE!$B$8&gt;=0,FORSIDE!$F$8&gt;=3,FORSIDE!$B$5&gt;=4),FORSIDE!$B$6+(4-1)*FORSIDE!$B$7,"")</f>
        <v/>
      </c>
    </row>
    <row r="700" spans="1:4" x14ac:dyDescent="0.3">
      <c r="A700" t="str">
        <f>IF(AND(FORSIDE!$B$8&gt;=0,FORSIDE!$F$8&gt;=3,FORSIDE!$B$5&gt;=5),699,"")</f>
        <v/>
      </c>
      <c r="B700" t="str">
        <f>IF(AND(FORSIDE!$B$8&gt;=0,FORSIDE!$F$8&gt;=3,FORSIDE!$B$5&gt;=5),354+3*FORSIDE!$F$9,"")</f>
        <v/>
      </c>
      <c r="C700" t="str">
        <f>IF(AND(FORSIDE!$B$8&gt;=0,FORSIDE!$F$8&gt;=3,FORSIDE!$B$5&gt;=5),0*FORSIDE!$B$9,"")</f>
        <v/>
      </c>
      <c r="D700" t="str">
        <f>IF(AND(FORSIDE!$B$8&gt;=0,FORSIDE!$F$8&gt;=3,FORSIDE!$B$5&gt;=5),FORSIDE!$B$6+(5-1)*FORSIDE!$B$7,"")</f>
        <v/>
      </c>
    </row>
    <row r="701" spans="1:4" x14ac:dyDescent="0.3">
      <c r="A701" t="str">
        <f>IF(AND(FORSIDE!$B$8&gt;=0,FORSIDE!$F$8&gt;=3,FORSIDE!$B$5&gt;=6),700,"")</f>
        <v/>
      </c>
      <c r="B701" t="str">
        <f>IF(AND(FORSIDE!$B$8&gt;=0,FORSIDE!$F$8&gt;=3,FORSIDE!$B$5&gt;=6),354+3*FORSIDE!$F$9,"")</f>
        <v/>
      </c>
      <c r="C701" t="str">
        <f>IF(AND(FORSIDE!$B$8&gt;=0,FORSIDE!$F$8&gt;=3,FORSIDE!$B$5&gt;=6),0*FORSIDE!$B$9,"")</f>
        <v/>
      </c>
      <c r="D701" t="str">
        <f>IF(AND(FORSIDE!$B$8&gt;=0,FORSIDE!$F$8&gt;=3,FORSIDE!$B$5&gt;=6),FORSIDE!$B$6+(6-1)*FORSIDE!$B$7,"")</f>
        <v/>
      </c>
    </row>
    <row r="702" spans="1:4" x14ac:dyDescent="0.3">
      <c r="A702" t="str">
        <f>IF(AND(FORSIDE!$B$8&gt;=0,FORSIDE!$F$8&gt;=3,FORSIDE!$B$5&gt;=7),701,"")</f>
        <v/>
      </c>
      <c r="B702" t="str">
        <f>IF(AND(FORSIDE!$B$8&gt;=0,FORSIDE!$F$8&gt;=3,FORSIDE!$B$5&gt;=7),354+3*FORSIDE!$F$9,"")</f>
        <v/>
      </c>
      <c r="C702" t="str">
        <f>IF(AND(FORSIDE!$B$8&gt;=0,FORSIDE!$F$8&gt;=3,FORSIDE!$B$5&gt;=7),0*FORSIDE!$B$9,"")</f>
        <v/>
      </c>
      <c r="D702" t="str">
        <f>IF(AND(FORSIDE!$B$8&gt;=0,FORSIDE!$F$8&gt;=3,FORSIDE!$B$5&gt;=7),FORSIDE!$B$6+(7-1)*FORSIDE!$B$7,"")</f>
        <v/>
      </c>
    </row>
    <row r="703" spans="1:4" x14ac:dyDescent="0.3">
      <c r="A703" t="str">
        <f>IF(AND(FORSIDE!$B$8&gt;=0,FORSIDE!$F$8&gt;=3,FORSIDE!$B$5&gt;=8),702,"")</f>
        <v/>
      </c>
      <c r="B703" t="str">
        <f>IF(AND(FORSIDE!$B$8&gt;=0,FORSIDE!$F$8&gt;=3,FORSIDE!$B$5&gt;=8),354+3*FORSIDE!$F$9,"")</f>
        <v/>
      </c>
      <c r="C703" t="str">
        <f>IF(AND(FORSIDE!$B$8&gt;=0,FORSIDE!$F$8&gt;=3,FORSIDE!$B$5&gt;=8),0*FORSIDE!$B$9,"")</f>
        <v/>
      </c>
      <c r="D703" t="str">
        <f>IF(AND(FORSIDE!$B$8&gt;=0,FORSIDE!$F$8&gt;=3,FORSIDE!$B$5&gt;=8),FORSIDE!$B$6+(8-1)*FORSIDE!$B$7,"")</f>
        <v/>
      </c>
    </row>
    <row r="704" spans="1:4" x14ac:dyDescent="0.3">
      <c r="A704" t="str">
        <f>IF(AND(FORSIDE!$B$8&gt;=0,FORSIDE!$F$8&gt;=3,FORSIDE!$B$5&gt;=9),703,"")</f>
        <v/>
      </c>
      <c r="B704" t="str">
        <f>IF(AND(FORSIDE!$B$8&gt;=0,FORSIDE!$F$8&gt;=3,FORSIDE!$B$5&gt;=9),354+3*FORSIDE!$F$9,"")</f>
        <v/>
      </c>
      <c r="C704" t="str">
        <f>IF(AND(FORSIDE!$B$8&gt;=0,FORSIDE!$F$8&gt;=3,FORSIDE!$B$5&gt;=9),0*FORSIDE!$B$9,"")</f>
        <v/>
      </c>
      <c r="D704" t="str">
        <f>IF(AND(FORSIDE!$B$8&gt;=0,FORSIDE!$F$8&gt;=3,FORSIDE!$B$5&gt;=9),FORSIDE!$B$6+(9-1)*FORSIDE!$B$7,"")</f>
        <v/>
      </c>
    </row>
    <row r="705" spans="1:4" x14ac:dyDescent="0.3">
      <c r="A705" t="str">
        <f>IF(AND(FORSIDE!$B$8&gt;=0,FORSIDE!$F$8&gt;=3,FORSIDE!$B$5&gt;=10),704,"")</f>
        <v/>
      </c>
      <c r="B705" t="str">
        <f>IF(AND(FORSIDE!$B$8&gt;=0,FORSIDE!$F$8&gt;=3,FORSIDE!$B$5&gt;=10),354+3*FORSIDE!$F$9,"")</f>
        <v/>
      </c>
      <c r="C705" t="str">
        <f>IF(AND(FORSIDE!$B$8&gt;=0,FORSIDE!$F$8&gt;=3,FORSIDE!$B$5&gt;=10),0*FORSIDE!$B$9,"")</f>
        <v/>
      </c>
      <c r="D705" t="str">
        <f>IF(AND(FORSIDE!$B$8&gt;=0,FORSIDE!$F$8&gt;=3,FORSIDE!$B$5&gt;=10),FORSIDE!$B$6+(10-1)*FORSIDE!$B$7,"")</f>
        <v/>
      </c>
    </row>
    <row r="706" spans="1:4" x14ac:dyDescent="0.3">
      <c r="A706" t="str">
        <f>IF(AND(FORSIDE!$B$8&gt;=1,FORSIDE!$F$8&gt;=3,FORSIDE!$B$5&gt;=0),705,"")</f>
        <v/>
      </c>
      <c r="B706" t="str">
        <f>IF(AND(FORSIDE!$B$8&gt;=1,FORSIDE!$F$8&gt;=3,FORSIDE!$B$5&gt;=0),354+3*FORSIDE!$F$9,"")</f>
        <v/>
      </c>
      <c r="C706" t="str">
        <f>IF(AND(FORSIDE!$B$8&gt;=1,FORSIDE!$F$8&gt;=3,FORSIDE!$B$5&gt;=0),1*FORSIDE!$B$9,"")</f>
        <v/>
      </c>
      <c r="D706" t="str">
        <f>IF(AND(FORSIDE!$B$8&gt;=1,FORSIDE!$F$8&gt;=3,FORSIDE!$B$5&gt;=0),0,"")</f>
        <v/>
      </c>
    </row>
    <row r="707" spans="1:4" x14ac:dyDescent="0.3">
      <c r="A707" t="str">
        <f>IF(AND(FORSIDE!$B$8&gt;=1,FORSIDE!$F$8&gt;=3,FORSIDE!$B$5&gt;=1),706,"")</f>
        <v/>
      </c>
      <c r="B707" t="str">
        <f>IF(AND(FORSIDE!$B$8&gt;=1,FORSIDE!$F$8&gt;=3,FORSIDE!$B$5&gt;=1),354+3*FORSIDE!$F$9,"")</f>
        <v/>
      </c>
      <c r="C707" t="str">
        <f>IF(AND(FORSIDE!$B$8&gt;=1,FORSIDE!$F$8&gt;=3,FORSIDE!$B$5&gt;=1),1*FORSIDE!$B$9,"")</f>
        <v/>
      </c>
      <c r="D707" t="str">
        <f>IF(AND(FORSIDE!$B$8&gt;=1,FORSIDE!$F$8&gt;=3,FORSIDE!$B$5&gt;=1),FORSIDE!$B$6+(1-1)*FORSIDE!$B$7,"")</f>
        <v/>
      </c>
    </row>
    <row r="708" spans="1:4" x14ac:dyDescent="0.3">
      <c r="A708" t="str">
        <f>IF(AND(FORSIDE!$B$8&gt;=1,FORSIDE!$F$8&gt;=3,FORSIDE!$B$5&gt;=2),707,"")</f>
        <v/>
      </c>
      <c r="B708" t="str">
        <f>IF(AND(FORSIDE!$B$8&gt;=1,FORSIDE!$F$8&gt;=3,FORSIDE!$B$5&gt;=2),354+3*FORSIDE!$F$9,"")</f>
        <v/>
      </c>
      <c r="C708" t="str">
        <f>IF(AND(FORSIDE!$B$8&gt;=1,FORSIDE!$F$8&gt;=3,FORSIDE!$B$5&gt;=2),1*FORSIDE!$B$9,"")</f>
        <v/>
      </c>
      <c r="D708" t="str">
        <f>IF(AND(FORSIDE!$B$8&gt;=1,FORSIDE!$F$8&gt;=3,FORSIDE!$B$5&gt;=2),FORSIDE!$B$6+(2-1)*FORSIDE!$B$7,"")</f>
        <v/>
      </c>
    </row>
    <row r="709" spans="1:4" x14ac:dyDescent="0.3">
      <c r="A709" t="str">
        <f>IF(AND(FORSIDE!$B$8&gt;=1,FORSIDE!$F$8&gt;=3,FORSIDE!$B$5&gt;=3),708,"")</f>
        <v/>
      </c>
      <c r="B709" t="str">
        <f>IF(AND(FORSIDE!$B$8&gt;=1,FORSIDE!$F$8&gt;=3,FORSIDE!$B$5&gt;=3),354+3*FORSIDE!$F$9,"")</f>
        <v/>
      </c>
      <c r="C709" t="str">
        <f>IF(AND(FORSIDE!$B$8&gt;=1,FORSIDE!$F$8&gt;=3,FORSIDE!$B$5&gt;=3),1*FORSIDE!$B$9,"")</f>
        <v/>
      </c>
      <c r="D709" t="str">
        <f>IF(AND(FORSIDE!$B$8&gt;=1,FORSIDE!$F$8&gt;=3,FORSIDE!$B$5&gt;=3),FORSIDE!$B$6+(3-1)*FORSIDE!$B$7,"")</f>
        <v/>
      </c>
    </row>
    <row r="710" spans="1:4" x14ac:dyDescent="0.3">
      <c r="A710" t="str">
        <f>IF(AND(FORSIDE!$B$8&gt;=1,FORSIDE!$F$8&gt;=3,FORSIDE!$B$5&gt;=4),709,"")</f>
        <v/>
      </c>
      <c r="B710" t="str">
        <f>IF(AND(FORSIDE!$B$8&gt;=1,FORSIDE!$F$8&gt;=3,FORSIDE!$B$5&gt;=4),354+3*FORSIDE!$F$9,"")</f>
        <v/>
      </c>
      <c r="C710" t="str">
        <f>IF(AND(FORSIDE!$B$8&gt;=1,FORSIDE!$F$8&gt;=3,FORSIDE!$B$5&gt;=4),1*FORSIDE!$B$9,"")</f>
        <v/>
      </c>
      <c r="D710" t="str">
        <f>IF(AND(FORSIDE!$B$8&gt;=1,FORSIDE!$F$8&gt;=3,FORSIDE!$B$5&gt;=4),FORSIDE!$B$6+(4-1)*FORSIDE!$B$7,"")</f>
        <v/>
      </c>
    </row>
    <row r="711" spans="1:4" x14ac:dyDescent="0.3">
      <c r="A711" t="str">
        <f>IF(AND(FORSIDE!$B$8&gt;=1,FORSIDE!$F$8&gt;=3,FORSIDE!$B$5&gt;=5),710,"")</f>
        <v/>
      </c>
      <c r="B711" t="str">
        <f>IF(AND(FORSIDE!$B$8&gt;=1,FORSIDE!$F$8&gt;=3,FORSIDE!$B$5&gt;=5),354+3*FORSIDE!$F$9,"")</f>
        <v/>
      </c>
      <c r="C711" t="str">
        <f>IF(AND(FORSIDE!$B$8&gt;=1,FORSIDE!$F$8&gt;=3,FORSIDE!$B$5&gt;=5),1*FORSIDE!$B$9,"")</f>
        <v/>
      </c>
      <c r="D711" t="str">
        <f>IF(AND(FORSIDE!$B$8&gt;=1,FORSIDE!$F$8&gt;=3,FORSIDE!$B$5&gt;=5),FORSIDE!$B$6+(5-1)*FORSIDE!$B$7,"")</f>
        <v/>
      </c>
    </row>
    <row r="712" spans="1:4" x14ac:dyDescent="0.3">
      <c r="A712" t="str">
        <f>IF(AND(FORSIDE!$B$8&gt;=1,FORSIDE!$F$8&gt;=3,FORSIDE!$B$5&gt;=6),711,"")</f>
        <v/>
      </c>
      <c r="B712" t="str">
        <f>IF(AND(FORSIDE!$B$8&gt;=1,FORSIDE!$F$8&gt;=3,FORSIDE!$B$5&gt;=6),354+3*FORSIDE!$F$9,"")</f>
        <v/>
      </c>
      <c r="C712" t="str">
        <f>IF(AND(FORSIDE!$B$8&gt;=1,FORSIDE!$F$8&gt;=3,FORSIDE!$B$5&gt;=6),1*FORSIDE!$B$9,"")</f>
        <v/>
      </c>
      <c r="D712" t="str">
        <f>IF(AND(FORSIDE!$B$8&gt;=1,FORSIDE!$F$8&gt;=3,FORSIDE!$B$5&gt;=6),FORSIDE!$B$6+(6-1)*FORSIDE!$B$7,"")</f>
        <v/>
      </c>
    </row>
    <row r="713" spans="1:4" x14ac:dyDescent="0.3">
      <c r="A713" t="str">
        <f>IF(AND(FORSIDE!$B$8&gt;=1,FORSIDE!$F$8&gt;=3,FORSIDE!$B$5&gt;=7),712,"")</f>
        <v/>
      </c>
      <c r="B713" t="str">
        <f>IF(AND(FORSIDE!$B$8&gt;=1,FORSIDE!$F$8&gt;=3,FORSIDE!$B$5&gt;=7),354+3*FORSIDE!$F$9,"")</f>
        <v/>
      </c>
      <c r="C713" t="str">
        <f>IF(AND(FORSIDE!$B$8&gt;=1,FORSIDE!$F$8&gt;=3,FORSIDE!$B$5&gt;=7),1*FORSIDE!$B$9,"")</f>
        <v/>
      </c>
      <c r="D713" t="str">
        <f>IF(AND(FORSIDE!$B$8&gt;=1,FORSIDE!$F$8&gt;=3,FORSIDE!$B$5&gt;=7),FORSIDE!$B$6+(7-1)*FORSIDE!$B$7,"")</f>
        <v/>
      </c>
    </row>
    <row r="714" spans="1:4" x14ac:dyDescent="0.3">
      <c r="A714" t="str">
        <f>IF(AND(FORSIDE!$B$8&gt;=1,FORSIDE!$F$8&gt;=3,FORSIDE!$B$5&gt;=8),713,"")</f>
        <v/>
      </c>
      <c r="B714" t="str">
        <f>IF(AND(FORSIDE!$B$8&gt;=1,FORSIDE!$F$8&gt;=3,FORSIDE!$B$5&gt;=8),354+3*FORSIDE!$F$9,"")</f>
        <v/>
      </c>
      <c r="C714" t="str">
        <f>IF(AND(FORSIDE!$B$8&gt;=1,FORSIDE!$F$8&gt;=3,FORSIDE!$B$5&gt;=8),1*FORSIDE!$B$9,"")</f>
        <v/>
      </c>
      <c r="D714" t="str">
        <f>IF(AND(FORSIDE!$B$8&gt;=1,FORSIDE!$F$8&gt;=3,FORSIDE!$B$5&gt;=8),FORSIDE!$B$6+(8-1)*FORSIDE!$B$7,"")</f>
        <v/>
      </c>
    </row>
    <row r="715" spans="1:4" x14ac:dyDescent="0.3">
      <c r="A715" t="str">
        <f>IF(AND(FORSIDE!$B$8&gt;=1,FORSIDE!$F$8&gt;=3,FORSIDE!$B$5&gt;=9),714,"")</f>
        <v/>
      </c>
      <c r="B715" t="str">
        <f>IF(AND(FORSIDE!$B$8&gt;=1,FORSIDE!$F$8&gt;=3,FORSIDE!$B$5&gt;=9),354+3*FORSIDE!$F$9,"")</f>
        <v/>
      </c>
      <c r="C715" t="str">
        <f>IF(AND(FORSIDE!$B$8&gt;=1,FORSIDE!$F$8&gt;=3,FORSIDE!$B$5&gt;=9),1*FORSIDE!$B$9,"")</f>
        <v/>
      </c>
      <c r="D715" t="str">
        <f>IF(AND(FORSIDE!$B$8&gt;=1,FORSIDE!$F$8&gt;=3,FORSIDE!$B$5&gt;=9),FORSIDE!$B$6+(9-1)*FORSIDE!$B$7,"")</f>
        <v/>
      </c>
    </row>
    <row r="716" spans="1:4" x14ac:dyDescent="0.3">
      <c r="A716" t="str">
        <f>IF(AND(FORSIDE!$B$8&gt;=1,FORSIDE!$F$8&gt;=3,FORSIDE!$B$5&gt;=10),715,"")</f>
        <v/>
      </c>
      <c r="B716" t="str">
        <f>IF(AND(FORSIDE!$B$8&gt;=1,FORSIDE!$F$8&gt;=3,FORSIDE!$B$5&gt;=10),354+3*FORSIDE!$F$9,"")</f>
        <v/>
      </c>
      <c r="C716" t="str">
        <f>IF(AND(FORSIDE!$B$8&gt;=1,FORSIDE!$F$8&gt;=3,FORSIDE!$B$5&gt;=10),1*FORSIDE!$B$9,"")</f>
        <v/>
      </c>
      <c r="D716" t="str">
        <f>IF(AND(FORSIDE!$B$8&gt;=1,FORSIDE!$F$8&gt;=3,FORSIDE!$B$5&gt;=10),FORSIDE!$B$6+(10-1)*FORSIDE!$B$7,"")</f>
        <v/>
      </c>
    </row>
    <row r="717" spans="1:4" x14ac:dyDescent="0.3">
      <c r="A717" t="str">
        <f>IF(AND(FORSIDE!$B$8&gt;=2,FORSIDE!$F$8&gt;=3,FORSIDE!$B$5&gt;=0),716,"")</f>
        <v/>
      </c>
      <c r="B717" t="str">
        <f>IF(AND(FORSIDE!$B$8&gt;=2,FORSIDE!$F$8&gt;=3,FORSIDE!$B$5&gt;=0),354+3*FORSIDE!$F$9,"")</f>
        <v/>
      </c>
      <c r="C717" t="str">
        <f>IF(AND(FORSIDE!$B$8&gt;=2,FORSIDE!$F$8&gt;=3,FORSIDE!$B$5&gt;=0),2*FORSIDE!$B$9,"")</f>
        <v/>
      </c>
      <c r="D717" t="str">
        <f>IF(AND(FORSIDE!$B$8&gt;=2,FORSIDE!$F$8&gt;=3,FORSIDE!$B$5&gt;=0),0,"")</f>
        <v/>
      </c>
    </row>
    <row r="718" spans="1:4" x14ac:dyDescent="0.3">
      <c r="A718" t="str">
        <f>IF(AND(FORSIDE!$B$8&gt;=2,FORSIDE!$F$8&gt;=3,FORSIDE!$B$5&gt;=1),717,"")</f>
        <v/>
      </c>
      <c r="B718" t="str">
        <f>IF(AND(FORSIDE!$B$8&gt;=2,FORSIDE!$F$8&gt;=3,FORSIDE!$B$5&gt;=1),354+3*FORSIDE!$F$9,"")</f>
        <v/>
      </c>
      <c r="C718" t="str">
        <f>IF(AND(FORSIDE!$B$8&gt;=2,FORSIDE!$F$8&gt;=3,FORSIDE!$B$5&gt;=1),2*FORSIDE!$B$9,"")</f>
        <v/>
      </c>
      <c r="D718" t="str">
        <f>IF(AND(FORSIDE!$B$8&gt;=2,FORSIDE!$F$8&gt;=3,FORSIDE!$B$5&gt;=1),FORSIDE!$B$6+(1-1)*FORSIDE!$B$7,"")</f>
        <v/>
      </c>
    </row>
    <row r="719" spans="1:4" x14ac:dyDescent="0.3">
      <c r="A719" t="str">
        <f>IF(AND(FORSIDE!$B$8&gt;=2,FORSIDE!$F$8&gt;=3,FORSIDE!$B$5&gt;=2),718,"")</f>
        <v/>
      </c>
      <c r="B719" t="str">
        <f>IF(AND(FORSIDE!$B$8&gt;=2,FORSIDE!$F$8&gt;=3,FORSIDE!$B$5&gt;=2),354+3*FORSIDE!$F$9,"")</f>
        <v/>
      </c>
      <c r="C719" t="str">
        <f>IF(AND(FORSIDE!$B$8&gt;=2,FORSIDE!$F$8&gt;=3,FORSIDE!$B$5&gt;=2),2*FORSIDE!$B$9,"")</f>
        <v/>
      </c>
      <c r="D719" t="str">
        <f>IF(AND(FORSIDE!$B$8&gt;=2,FORSIDE!$F$8&gt;=3,FORSIDE!$B$5&gt;=2),FORSIDE!$B$6+(2-1)*FORSIDE!$B$7,"")</f>
        <v/>
      </c>
    </row>
    <row r="720" spans="1:4" x14ac:dyDescent="0.3">
      <c r="A720" t="str">
        <f>IF(AND(FORSIDE!$B$8&gt;=2,FORSIDE!$F$8&gt;=3,FORSIDE!$B$5&gt;=3),719,"")</f>
        <v/>
      </c>
      <c r="B720" t="str">
        <f>IF(AND(FORSIDE!$B$8&gt;=2,FORSIDE!$F$8&gt;=3,FORSIDE!$B$5&gt;=3),354+3*FORSIDE!$F$9,"")</f>
        <v/>
      </c>
      <c r="C720" t="str">
        <f>IF(AND(FORSIDE!$B$8&gt;=2,FORSIDE!$F$8&gt;=3,FORSIDE!$B$5&gt;=3),2*FORSIDE!$B$9,"")</f>
        <v/>
      </c>
      <c r="D720" t="str">
        <f>IF(AND(FORSIDE!$B$8&gt;=2,FORSIDE!$F$8&gt;=3,FORSIDE!$B$5&gt;=3),FORSIDE!$B$6+(3-1)*FORSIDE!$B$7,"")</f>
        <v/>
      </c>
    </row>
    <row r="721" spans="1:4" x14ac:dyDescent="0.3">
      <c r="A721" t="str">
        <f>IF(AND(FORSIDE!$B$8&gt;=2,FORSIDE!$F$8&gt;=3,FORSIDE!$B$5&gt;=4),720,"")</f>
        <v/>
      </c>
      <c r="B721" t="str">
        <f>IF(AND(FORSIDE!$B$8&gt;=2,FORSIDE!$F$8&gt;=3,FORSIDE!$B$5&gt;=4),354+3*FORSIDE!$F$9,"")</f>
        <v/>
      </c>
      <c r="C721" t="str">
        <f>IF(AND(FORSIDE!$B$8&gt;=2,FORSIDE!$F$8&gt;=3,FORSIDE!$B$5&gt;=4),2*FORSIDE!$B$9,"")</f>
        <v/>
      </c>
      <c r="D721" t="str">
        <f>IF(AND(FORSIDE!$B$8&gt;=2,FORSIDE!$F$8&gt;=3,FORSIDE!$B$5&gt;=4),FORSIDE!$B$6+(4-1)*FORSIDE!$B$7,"")</f>
        <v/>
      </c>
    </row>
    <row r="722" spans="1:4" x14ac:dyDescent="0.3">
      <c r="A722" t="str">
        <f>IF(AND(FORSIDE!$B$8&gt;=2,FORSIDE!$F$8&gt;=3,FORSIDE!$B$5&gt;=5),721,"")</f>
        <v/>
      </c>
      <c r="B722" t="str">
        <f>IF(AND(FORSIDE!$B$8&gt;=2,FORSIDE!$F$8&gt;=3,FORSIDE!$B$5&gt;=5),354+3*FORSIDE!$F$9,"")</f>
        <v/>
      </c>
      <c r="C722" t="str">
        <f>IF(AND(FORSIDE!$B$8&gt;=2,FORSIDE!$F$8&gt;=3,FORSIDE!$B$5&gt;=5),2*FORSIDE!$B$9,"")</f>
        <v/>
      </c>
      <c r="D722" t="str">
        <f>IF(AND(FORSIDE!$B$8&gt;=2,FORSIDE!$F$8&gt;=3,FORSIDE!$B$5&gt;=5),FORSIDE!$B$6+(5-1)*FORSIDE!$B$7,"")</f>
        <v/>
      </c>
    </row>
    <row r="723" spans="1:4" x14ac:dyDescent="0.3">
      <c r="A723" t="str">
        <f>IF(AND(FORSIDE!$B$8&gt;=2,FORSIDE!$F$8&gt;=3,FORSIDE!$B$5&gt;=6),722,"")</f>
        <v/>
      </c>
      <c r="B723" t="str">
        <f>IF(AND(FORSIDE!$B$8&gt;=2,FORSIDE!$F$8&gt;=3,FORSIDE!$B$5&gt;=6),354+3*FORSIDE!$F$9,"")</f>
        <v/>
      </c>
      <c r="C723" t="str">
        <f>IF(AND(FORSIDE!$B$8&gt;=2,FORSIDE!$F$8&gt;=3,FORSIDE!$B$5&gt;=6),2*FORSIDE!$B$9,"")</f>
        <v/>
      </c>
      <c r="D723" t="str">
        <f>IF(AND(FORSIDE!$B$8&gt;=2,FORSIDE!$F$8&gt;=3,FORSIDE!$B$5&gt;=6),FORSIDE!$B$6+(6-1)*FORSIDE!$B$7,"")</f>
        <v/>
      </c>
    </row>
    <row r="724" spans="1:4" x14ac:dyDescent="0.3">
      <c r="A724" t="str">
        <f>IF(AND(FORSIDE!$B$8&gt;=2,FORSIDE!$F$8&gt;=3,FORSIDE!$B$5&gt;=7),723,"")</f>
        <v/>
      </c>
      <c r="B724" t="str">
        <f>IF(AND(FORSIDE!$B$8&gt;=2,FORSIDE!$F$8&gt;=3,FORSIDE!$B$5&gt;=7),354+3*FORSIDE!$F$9,"")</f>
        <v/>
      </c>
      <c r="C724" t="str">
        <f>IF(AND(FORSIDE!$B$8&gt;=2,FORSIDE!$F$8&gt;=3,FORSIDE!$B$5&gt;=7),2*FORSIDE!$B$9,"")</f>
        <v/>
      </c>
      <c r="D724" t="str">
        <f>IF(AND(FORSIDE!$B$8&gt;=2,FORSIDE!$F$8&gt;=3,FORSIDE!$B$5&gt;=7),FORSIDE!$B$6+(7-1)*FORSIDE!$B$7,"")</f>
        <v/>
      </c>
    </row>
    <row r="725" spans="1:4" x14ac:dyDescent="0.3">
      <c r="A725" t="str">
        <f>IF(AND(FORSIDE!$B$8&gt;=2,FORSIDE!$F$8&gt;=3,FORSIDE!$B$5&gt;=8),724,"")</f>
        <v/>
      </c>
      <c r="B725" t="str">
        <f>IF(AND(FORSIDE!$B$8&gt;=2,FORSIDE!$F$8&gt;=3,FORSIDE!$B$5&gt;=8),354+3*FORSIDE!$F$9,"")</f>
        <v/>
      </c>
      <c r="C725" t="str">
        <f>IF(AND(FORSIDE!$B$8&gt;=2,FORSIDE!$F$8&gt;=3,FORSIDE!$B$5&gt;=8),2*FORSIDE!$B$9,"")</f>
        <v/>
      </c>
      <c r="D725" t="str">
        <f>IF(AND(FORSIDE!$B$8&gt;=2,FORSIDE!$F$8&gt;=3,FORSIDE!$B$5&gt;=8),FORSIDE!$B$6+(8-1)*FORSIDE!$B$7,"")</f>
        <v/>
      </c>
    </row>
    <row r="726" spans="1:4" x14ac:dyDescent="0.3">
      <c r="A726" t="str">
        <f>IF(AND(FORSIDE!$B$8&gt;=2,FORSIDE!$F$8&gt;=3,FORSIDE!$B$5&gt;=9),725,"")</f>
        <v/>
      </c>
      <c r="B726" t="str">
        <f>IF(AND(FORSIDE!$B$8&gt;=2,FORSIDE!$F$8&gt;=3,FORSIDE!$B$5&gt;=9),354+3*FORSIDE!$F$9,"")</f>
        <v/>
      </c>
      <c r="C726" t="str">
        <f>IF(AND(FORSIDE!$B$8&gt;=2,FORSIDE!$F$8&gt;=3,FORSIDE!$B$5&gt;=9),2*FORSIDE!$B$9,"")</f>
        <v/>
      </c>
      <c r="D726" t="str">
        <f>IF(AND(FORSIDE!$B$8&gt;=2,FORSIDE!$F$8&gt;=3,FORSIDE!$B$5&gt;=9),FORSIDE!$B$6+(9-1)*FORSIDE!$B$7,"")</f>
        <v/>
      </c>
    </row>
    <row r="727" spans="1:4" x14ac:dyDescent="0.3">
      <c r="A727" t="str">
        <f>IF(AND(FORSIDE!$B$8&gt;=2,FORSIDE!$F$8&gt;=3,FORSIDE!$B$5&gt;=10),726,"")</f>
        <v/>
      </c>
      <c r="B727" t="str">
        <f>IF(AND(FORSIDE!$B$8&gt;=2,FORSIDE!$F$8&gt;=3,FORSIDE!$B$5&gt;=10),354+3*FORSIDE!$F$9,"")</f>
        <v/>
      </c>
      <c r="C727" t="str">
        <f>IF(AND(FORSIDE!$B$8&gt;=2,FORSIDE!$F$8&gt;=3,FORSIDE!$B$5&gt;=10),2*FORSIDE!$B$9,"")</f>
        <v/>
      </c>
      <c r="D727" t="str">
        <f>IF(AND(FORSIDE!$B$8&gt;=2,FORSIDE!$F$8&gt;=3,FORSIDE!$B$5&gt;=10),FORSIDE!$B$6+(10-1)*FORSIDE!$B$7,"")</f>
        <v/>
      </c>
    </row>
    <row r="728" spans="1:4" x14ac:dyDescent="0.3">
      <c r="A728" t="str">
        <f>IF(AND(FORSIDE!$B$8&gt;=3,FORSIDE!$F$8&gt;=3,FORSIDE!$B$5&gt;=0),727,"")</f>
        <v/>
      </c>
      <c r="B728" t="str">
        <f>IF(AND(FORSIDE!$B$8&gt;=3,FORSIDE!$F$8&gt;=3,FORSIDE!$B$5&gt;=0),354+3*FORSIDE!$F$9,"")</f>
        <v/>
      </c>
      <c r="C728" t="str">
        <f>IF(AND(FORSIDE!$B$8&gt;=3,FORSIDE!$F$8&gt;=3,FORSIDE!$B$5&gt;=0),3*FORSIDE!$B$9,"")</f>
        <v/>
      </c>
      <c r="D728" t="str">
        <f>IF(AND(FORSIDE!$B$8&gt;=3,FORSIDE!$F$8&gt;=3,FORSIDE!$B$5&gt;=0),0,"")</f>
        <v/>
      </c>
    </row>
    <row r="729" spans="1:4" x14ac:dyDescent="0.3">
      <c r="A729" t="str">
        <f>IF(AND(FORSIDE!$B$8&gt;=3,FORSIDE!$F$8&gt;=3,FORSIDE!$B$5&gt;=1),728,"")</f>
        <v/>
      </c>
      <c r="B729" t="str">
        <f>IF(AND(FORSIDE!$B$8&gt;=3,FORSIDE!$F$8&gt;=3,FORSIDE!$B$5&gt;=1),354+3*FORSIDE!$F$9,"")</f>
        <v/>
      </c>
      <c r="C729" t="str">
        <f>IF(AND(FORSIDE!$B$8&gt;=3,FORSIDE!$F$8&gt;=3,FORSIDE!$B$5&gt;=1),3*FORSIDE!$B$9,"")</f>
        <v/>
      </c>
      <c r="D729" t="str">
        <f>IF(AND(FORSIDE!$B$8&gt;=3,FORSIDE!$F$8&gt;=3,FORSIDE!$B$5&gt;=1),FORSIDE!$B$6+(1-1)*FORSIDE!$B$7,"")</f>
        <v/>
      </c>
    </row>
    <row r="730" spans="1:4" x14ac:dyDescent="0.3">
      <c r="A730" t="str">
        <f>IF(AND(FORSIDE!$B$8&gt;=3,FORSIDE!$F$8&gt;=3,FORSIDE!$B$5&gt;=2),729,"")</f>
        <v/>
      </c>
      <c r="B730" t="str">
        <f>IF(AND(FORSIDE!$B$8&gt;=3,FORSIDE!$F$8&gt;=3,FORSIDE!$B$5&gt;=2),354+3*FORSIDE!$F$9,"")</f>
        <v/>
      </c>
      <c r="C730" t="str">
        <f>IF(AND(FORSIDE!$B$8&gt;=3,FORSIDE!$F$8&gt;=3,FORSIDE!$B$5&gt;=2),3*FORSIDE!$B$9,"")</f>
        <v/>
      </c>
      <c r="D730" t="str">
        <f>IF(AND(FORSIDE!$B$8&gt;=3,FORSIDE!$F$8&gt;=3,FORSIDE!$B$5&gt;=2),FORSIDE!$B$6+(2-1)*FORSIDE!$B$7,"")</f>
        <v/>
      </c>
    </row>
    <row r="731" spans="1:4" x14ac:dyDescent="0.3">
      <c r="A731" t="str">
        <f>IF(AND(FORSIDE!$B$8&gt;=3,FORSIDE!$F$8&gt;=3,FORSIDE!$B$5&gt;=3),730,"")</f>
        <v/>
      </c>
      <c r="B731" t="str">
        <f>IF(AND(FORSIDE!$B$8&gt;=3,FORSIDE!$F$8&gt;=3,FORSIDE!$B$5&gt;=3),354+3*FORSIDE!$F$9,"")</f>
        <v/>
      </c>
      <c r="C731" t="str">
        <f>IF(AND(FORSIDE!$B$8&gt;=3,FORSIDE!$F$8&gt;=3,FORSIDE!$B$5&gt;=3),3*FORSIDE!$B$9,"")</f>
        <v/>
      </c>
      <c r="D731" t="str">
        <f>IF(AND(FORSIDE!$B$8&gt;=3,FORSIDE!$F$8&gt;=3,FORSIDE!$B$5&gt;=3),FORSIDE!$B$6+(3-1)*FORSIDE!$B$7,"")</f>
        <v/>
      </c>
    </row>
    <row r="732" spans="1:4" x14ac:dyDescent="0.3">
      <c r="A732" t="str">
        <f>IF(AND(FORSIDE!$B$8&gt;=3,FORSIDE!$F$8&gt;=3,FORSIDE!$B$5&gt;=4),731,"")</f>
        <v/>
      </c>
      <c r="B732" t="str">
        <f>IF(AND(FORSIDE!$B$8&gt;=3,FORSIDE!$F$8&gt;=3,FORSIDE!$B$5&gt;=4),354+3*FORSIDE!$F$9,"")</f>
        <v/>
      </c>
      <c r="C732" t="str">
        <f>IF(AND(FORSIDE!$B$8&gt;=3,FORSIDE!$F$8&gt;=3,FORSIDE!$B$5&gt;=4),3*FORSIDE!$B$9,"")</f>
        <v/>
      </c>
      <c r="D732" t="str">
        <f>IF(AND(FORSIDE!$B$8&gt;=3,FORSIDE!$F$8&gt;=3,FORSIDE!$B$5&gt;=4),FORSIDE!$B$6+(4-1)*FORSIDE!$B$7,"")</f>
        <v/>
      </c>
    </row>
    <row r="733" spans="1:4" x14ac:dyDescent="0.3">
      <c r="A733" t="str">
        <f>IF(AND(FORSIDE!$B$8&gt;=3,FORSIDE!$F$8&gt;=3,FORSIDE!$B$5&gt;=5),732,"")</f>
        <v/>
      </c>
      <c r="B733" t="str">
        <f>IF(AND(FORSIDE!$B$8&gt;=3,FORSIDE!$F$8&gt;=3,FORSIDE!$B$5&gt;=5),354+3*FORSIDE!$F$9,"")</f>
        <v/>
      </c>
      <c r="C733" t="str">
        <f>IF(AND(FORSIDE!$B$8&gt;=3,FORSIDE!$F$8&gt;=3,FORSIDE!$B$5&gt;=5),3*FORSIDE!$B$9,"")</f>
        <v/>
      </c>
      <c r="D733" t="str">
        <f>IF(AND(FORSIDE!$B$8&gt;=3,FORSIDE!$F$8&gt;=3,FORSIDE!$B$5&gt;=5),FORSIDE!$B$6+(5-1)*FORSIDE!$B$7,"")</f>
        <v/>
      </c>
    </row>
    <row r="734" spans="1:4" x14ac:dyDescent="0.3">
      <c r="A734" t="str">
        <f>IF(AND(FORSIDE!$B$8&gt;=3,FORSIDE!$F$8&gt;=3,FORSIDE!$B$5&gt;=6),733,"")</f>
        <v/>
      </c>
      <c r="B734" t="str">
        <f>IF(AND(FORSIDE!$B$8&gt;=3,FORSIDE!$F$8&gt;=3,FORSIDE!$B$5&gt;=6),354+3*FORSIDE!$F$9,"")</f>
        <v/>
      </c>
      <c r="C734" t="str">
        <f>IF(AND(FORSIDE!$B$8&gt;=3,FORSIDE!$F$8&gt;=3,FORSIDE!$B$5&gt;=6),3*FORSIDE!$B$9,"")</f>
        <v/>
      </c>
      <c r="D734" t="str">
        <f>IF(AND(FORSIDE!$B$8&gt;=3,FORSIDE!$F$8&gt;=3,FORSIDE!$B$5&gt;=6),FORSIDE!$B$6+(6-1)*FORSIDE!$B$7,"")</f>
        <v/>
      </c>
    </row>
    <row r="735" spans="1:4" x14ac:dyDescent="0.3">
      <c r="A735" t="str">
        <f>IF(AND(FORSIDE!$B$8&gt;=3,FORSIDE!$F$8&gt;=3,FORSIDE!$B$5&gt;=7),734,"")</f>
        <v/>
      </c>
      <c r="B735" t="str">
        <f>IF(AND(FORSIDE!$B$8&gt;=3,FORSIDE!$F$8&gt;=3,FORSIDE!$B$5&gt;=7),354+3*FORSIDE!$F$9,"")</f>
        <v/>
      </c>
      <c r="C735" t="str">
        <f>IF(AND(FORSIDE!$B$8&gt;=3,FORSIDE!$F$8&gt;=3,FORSIDE!$B$5&gt;=7),3*FORSIDE!$B$9,"")</f>
        <v/>
      </c>
      <c r="D735" t="str">
        <f>IF(AND(FORSIDE!$B$8&gt;=3,FORSIDE!$F$8&gt;=3,FORSIDE!$B$5&gt;=7),FORSIDE!$B$6+(7-1)*FORSIDE!$B$7,"")</f>
        <v/>
      </c>
    </row>
    <row r="736" spans="1:4" x14ac:dyDescent="0.3">
      <c r="A736" t="str">
        <f>IF(AND(FORSIDE!$B$8&gt;=3,FORSIDE!$F$8&gt;=3,FORSIDE!$B$5&gt;=8),735,"")</f>
        <v/>
      </c>
      <c r="B736" t="str">
        <f>IF(AND(FORSIDE!$B$8&gt;=3,FORSIDE!$F$8&gt;=3,FORSIDE!$B$5&gt;=8),354+3*FORSIDE!$F$9,"")</f>
        <v/>
      </c>
      <c r="C736" t="str">
        <f>IF(AND(FORSIDE!$B$8&gt;=3,FORSIDE!$F$8&gt;=3,FORSIDE!$B$5&gt;=8),3*FORSIDE!$B$9,"")</f>
        <v/>
      </c>
      <c r="D736" t="str">
        <f>IF(AND(FORSIDE!$B$8&gt;=3,FORSIDE!$F$8&gt;=3,FORSIDE!$B$5&gt;=8),FORSIDE!$B$6+(8-1)*FORSIDE!$B$7,"")</f>
        <v/>
      </c>
    </row>
    <row r="737" spans="1:4" x14ac:dyDescent="0.3">
      <c r="A737" t="str">
        <f>IF(AND(FORSIDE!$B$8&gt;=3,FORSIDE!$F$8&gt;=3,FORSIDE!$B$5&gt;=9),736,"")</f>
        <v/>
      </c>
      <c r="B737" t="str">
        <f>IF(AND(FORSIDE!$B$8&gt;=3,FORSIDE!$F$8&gt;=3,FORSIDE!$B$5&gt;=9),354+3*FORSIDE!$F$9,"")</f>
        <v/>
      </c>
      <c r="C737" t="str">
        <f>IF(AND(FORSIDE!$B$8&gt;=3,FORSIDE!$F$8&gt;=3,FORSIDE!$B$5&gt;=9),3*FORSIDE!$B$9,"")</f>
        <v/>
      </c>
      <c r="D737" t="str">
        <f>IF(AND(FORSIDE!$B$8&gt;=3,FORSIDE!$F$8&gt;=3,FORSIDE!$B$5&gt;=9),FORSIDE!$B$6+(9-1)*FORSIDE!$B$7,"")</f>
        <v/>
      </c>
    </row>
    <row r="738" spans="1:4" x14ac:dyDescent="0.3">
      <c r="A738" t="str">
        <f>IF(AND(FORSIDE!$B$8&gt;=3,FORSIDE!$F$8&gt;=3,FORSIDE!$B$5&gt;=10),737,"")</f>
        <v/>
      </c>
      <c r="B738" t="str">
        <f>IF(AND(FORSIDE!$B$8&gt;=3,FORSIDE!$F$8&gt;=3,FORSIDE!$B$5&gt;=10),354+3*FORSIDE!$F$9,"")</f>
        <v/>
      </c>
      <c r="C738" t="str">
        <f>IF(AND(FORSIDE!$B$8&gt;=3,FORSIDE!$F$8&gt;=3,FORSIDE!$B$5&gt;=10),3*FORSIDE!$B$9,"")</f>
        <v/>
      </c>
      <c r="D738" t="str">
        <f>IF(AND(FORSIDE!$B$8&gt;=3,FORSIDE!$F$8&gt;=3,FORSIDE!$B$5&gt;=10),FORSIDE!$B$6+(10-1)*FORSIDE!$B$7,"")</f>
        <v/>
      </c>
    </row>
    <row r="739" spans="1:4" x14ac:dyDescent="0.3">
      <c r="A739" t="str">
        <f>IF(AND(FORSIDE!$B$8&gt;=4,FORSIDE!$F$8&gt;=3,FORSIDE!$B$5&gt;=0),738,"")</f>
        <v/>
      </c>
      <c r="B739" t="str">
        <f>IF(AND(FORSIDE!$B$8&gt;=4,FORSIDE!$F$8&gt;=3,FORSIDE!$B$5&gt;=0),354+3*FORSIDE!$F$9,"")</f>
        <v/>
      </c>
      <c r="C739" t="str">
        <f>IF(AND(FORSIDE!$B$8&gt;=4,FORSIDE!$F$8&gt;=3,FORSIDE!$B$5&gt;=0),4*FORSIDE!$B$9,"")</f>
        <v/>
      </c>
      <c r="D739" t="str">
        <f>IF(AND(FORSIDE!$B$8&gt;=4,FORSIDE!$F$8&gt;=3,FORSIDE!$B$5&gt;=0),0,"")</f>
        <v/>
      </c>
    </row>
    <row r="740" spans="1:4" x14ac:dyDescent="0.3">
      <c r="A740" t="str">
        <f>IF(AND(FORSIDE!$B$8&gt;=4,FORSIDE!$F$8&gt;=3,FORSIDE!$B$5&gt;=1),739,"")</f>
        <v/>
      </c>
      <c r="B740" t="str">
        <f>IF(AND(FORSIDE!$B$8&gt;=4,FORSIDE!$F$8&gt;=3,FORSIDE!$B$5&gt;=1),354+3*FORSIDE!$F$9,"")</f>
        <v/>
      </c>
      <c r="C740" t="str">
        <f>IF(AND(FORSIDE!$B$8&gt;=4,FORSIDE!$F$8&gt;=3,FORSIDE!$B$5&gt;=1),4*FORSIDE!$B$9,"")</f>
        <v/>
      </c>
      <c r="D740" t="str">
        <f>IF(AND(FORSIDE!$B$8&gt;=4,FORSIDE!$F$8&gt;=3,FORSIDE!$B$5&gt;=1),FORSIDE!$B$6+(1-1)*FORSIDE!$B$7,"")</f>
        <v/>
      </c>
    </row>
    <row r="741" spans="1:4" x14ac:dyDescent="0.3">
      <c r="A741" t="str">
        <f>IF(AND(FORSIDE!$B$8&gt;=4,FORSIDE!$F$8&gt;=3,FORSIDE!$B$5&gt;=2),740,"")</f>
        <v/>
      </c>
      <c r="B741" t="str">
        <f>IF(AND(FORSIDE!$B$8&gt;=4,FORSIDE!$F$8&gt;=3,FORSIDE!$B$5&gt;=2),354+3*FORSIDE!$F$9,"")</f>
        <v/>
      </c>
      <c r="C741" t="str">
        <f>IF(AND(FORSIDE!$B$8&gt;=4,FORSIDE!$F$8&gt;=3,FORSIDE!$B$5&gt;=2),4*FORSIDE!$B$9,"")</f>
        <v/>
      </c>
      <c r="D741" t="str">
        <f>IF(AND(FORSIDE!$B$8&gt;=4,FORSIDE!$F$8&gt;=3,FORSIDE!$B$5&gt;=2),FORSIDE!$B$6+(2-1)*FORSIDE!$B$7,"")</f>
        <v/>
      </c>
    </row>
    <row r="742" spans="1:4" x14ac:dyDescent="0.3">
      <c r="A742" t="str">
        <f>IF(AND(FORSIDE!$B$8&gt;=4,FORSIDE!$F$8&gt;=3,FORSIDE!$B$5&gt;=3),741,"")</f>
        <v/>
      </c>
      <c r="B742" t="str">
        <f>IF(AND(FORSIDE!$B$8&gt;=4,FORSIDE!$F$8&gt;=3,FORSIDE!$B$5&gt;=3),354+3*FORSIDE!$F$9,"")</f>
        <v/>
      </c>
      <c r="C742" t="str">
        <f>IF(AND(FORSIDE!$B$8&gt;=4,FORSIDE!$F$8&gt;=3,FORSIDE!$B$5&gt;=3),4*FORSIDE!$B$9,"")</f>
        <v/>
      </c>
      <c r="D742" t="str">
        <f>IF(AND(FORSIDE!$B$8&gt;=4,FORSIDE!$F$8&gt;=3,FORSIDE!$B$5&gt;=3),FORSIDE!$B$6+(3-1)*FORSIDE!$B$7,"")</f>
        <v/>
      </c>
    </row>
    <row r="743" spans="1:4" x14ac:dyDescent="0.3">
      <c r="A743" t="str">
        <f>IF(AND(FORSIDE!$B$8&gt;=4,FORSIDE!$F$8&gt;=3,FORSIDE!$B$5&gt;=4),742,"")</f>
        <v/>
      </c>
      <c r="B743" t="str">
        <f>IF(AND(FORSIDE!$B$8&gt;=4,FORSIDE!$F$8&gt;=3,FORSIDE!$B$5&gt;=4),354+3*FORSIDE!$F$9,"")</f>
        <v/>
      </c>
      <c r="C743" t="str">
        <f>IF(AND(FORSIDE!$B$8&gt;=4,FORSIDE!$F$8&gt;=3,FORSIDE!$B$5&gt;=4),4*FORSIDE!$B$9,"")</f>
        <v/>
      </c>
      <c r="D743" t="str">
        <f>IF(AND(FORSIDE!$B$8&gt;=4,FORSIDE!$F$8&gt;=3,FORSIDE!$B$5&gt;=4),FORSIDE!$B$6+(4-1)*FORSIDE!$B$7,"")</f>
        <v/>
      </c>
    </row>
    <row r="744" spans="1:4" x14ac:dyDescent="0.3">
      <c r="A744" t="str">
        <f>IF(AND(FORSIDE!$B$8&gt;=4,FORSIDE!$F$8&gt;=3,FORSIDE!$B$5&gt;=5),743,"")</f>
        <v/>
      </c>
      <c r="B744" t="str">
        <f>IF(AND(FORSIDE!$B$8&gt;=4,FORSIDE!$F$8&gt;=3,FORSIDE!$B$5&gt;=5),354+3*FORSIDE!$F$9,"")</f>
        <v/>
      </c>
      <c r="C744" t="str">
        <f>IF(AND(FORSIDE!$B$8&gt;=4,FORSIDE!$F$8&gt;=3,FORSIDE!$B$5&gt;=5),4*FORSIDE!$B$9,"")</f>
        <v/>
      </c>
      <c r="D744" t="str">
        <f>IF(AND(FORSIDE!$B$8&gt;=4,FORSIDE!$F$8&gt;=3,FORSIDE!$B$5&gt;=5),FORSIDE!$B$6+(5-1)*FORSIDE!$B$7,"")</f>
        <v/>
      </c>
    </row>
    <row r="745" spans="1:4" x14ac:dyDescent="0.3">
      <c r="A745" t="str">
        <f>IF(AND(FORSIDE!$B$8&gt;=4,FORSIDE!$F$8&gt;=3,FORSIDE!$B$5&gt;=6),744,"")</f>
        <v/>
      </c>
      <c r="B745" t="str">
        <f>IF(AND(FORSIDE!$B$8&gt;=4,FORSIDE!$F$8&gt;=3,FORSIDE!$B$5&gt;=6),354+3*FORSIDE!$F$9,"")</f>
        <v/>
      </c>
      <c r="C745" t="str">
        <f>IF(AND(FORSIDE!$B$8&gt;=4,FORSIDE!$F$8&gt;=3,FORSIDE!$B$5&gt;=6),4*FORSIDE!$B$9,"")</f>
        <v/>
      </c>
      <c r="D745" t="str">
        <f>IF(AND(FORSIDE!$B$8&gt;=4,FORSIDE!$F$8&gt;=3,FORSIDE!$B$5&gt;=6),FORSIDE!$B$6+(6-1)*FORSIDE!$B$7,"")</f>
        <v/>
      </c>
    </row>
    <row r="746" spans="1:4" x14ac:dyDescent="0.3">
      <c r="A746" t="str">
        <f>IF(AND(FORSIDE!$B$8&gt;=4,FORSIDE!$F$8&gt;=3,FORSIDE!$B$5&gt;=7),745,"")</f>
        <v/>
      </c>
      <c r="B746" t="str">
        <f>IF(AND(FORSIDE!$B$8&gt;=4,FORSIDE!$F$8&gt;=3,FORSIDE!$B$5&gt;=7),354+3*FORSIDE!$F$9,"")</f>
        <v/>
      </c>
      <c r="C746" t="str">
        <f>IF(AND(FORSIDE!$B$8&gt;=4,FORSIDE!$F$8&gt;=3,FORSIDE!$B$5&gt;=7),4*FORSIDE!$B$9,"")</f>
        <v/>
      </c>
      <c r="D746" t="str">
        <f>IF(AND(FORSIDE!$B$8&gt;=4,FORSIDE!$F$8&gt;=3,FORSIDE!$B$5&gt;=7),FORSIDE!$B$6+(7-1)*FORSIDE!$B$7,"")</f>
        <v/>
      </c>
    </row>
    <row r="747" spans="1:4" x14ac:dyDescent="0.3">
      <c r="A747" t="str">
        <f>IF(AND(FORSIDE!$B$8&gt;=4,FORSIDE!$F$8&gt;=3,FORSIDE!$B$5&gt;=8),746,"")</f>
        <v/>
      </c>
      <c r="B747" t="str">
        <f>IF(AND(FORSIDE!$B$8&gt;=4,FORSIDE!$F$8&gt;=3,FORSIDE!$B$5&gt;=8),354+3*FORSIDE!$F$9,"")</f>
        <v/>
      </c>
      <c r="C747" t="str">
        <f>IF(AND(FORSIDE!$B$8&gt;=4,FORSIDE!$F$8&gt;=3,FORSIDE!$B$5&gt;=8),4*FORSIDE!$B$9,"")</f>
        <v/>
      </c>
      <c r="D747" t="str">
        <f>IF(AND(FORSIDE!$B$8&gt;=4,FORSIDE!$F$8&gt;=3,FORSIDE!$B$5&gt;=8),FORSIDE!$B$6+(8-1)*FORSIDE!$B$7,"")</f>
        <v/>
      </c>
    </row>
    <row r="748" spans="1:4" x14ac:dyDescent="0.3">
      <c r="A748" t="str">
        <f>IF(AND(FORSIDE!$B$8&gt;=4,FORSIDE!$F$8&gt;=3,FORSIDE!$B$5&gt;=9),747,"")</f>
        <v/>
      </c>
      <c r="B748" t="str">
        <f>IF(AND(FORSIDE!$B$8&gt;=4,FORSIDE!$F$8&gt;=3,FORSIDE!$B$5&gt;=9),354+3*FORSIDE!$F$9,"")</f>
        <v/>
      </c>
      <c r="C748" t="str">
        <f>IF(AND(FORSIDE!$B$8&gt;=4,FORSIDE!$F$8&gt;=3,FORSIDE!$B$5&gt;=9),4*FORSIDE!$B$9,"")</f>
        <v/>
      </c>
      <c r="D748" t="str">
        <f>IF(AND(FORSIDE!$B$8&gt;=4,FORSIDE!$F$8&gt;=3,FORSIDE!$B$5&gt;=9),FORSIDE!$B$6+(9-1)*FORSIDE!$B$7,"")</f>
        <v/>
      </c>
    </row>
    <row r="749" spans="1:4" x14ac:dyDescent="0.3">
      <c r="A749" t="str">
        <f>IF(AND(FORSIDE!$B$8&gt;=4,FORSIDE!$F$8&gt;=3,FORSIDE!$B$5&gt;=10),748,"")</f>
        <v/>
      </c>
      <c r="B749" t="str">
        <f>IF(AND(FORSIDE!$B$8&gt;=4,FORSIDE!$F$8&gt;=3,FORSIDE!$B$5&gt;=10),354+3*FORSIDE!$F$9,"")</f>
        <v/>
      </c>
      <c r="C749" t="str">
        <f>IF(AND(FORSIDE!$B$8&gt;=4,FORSIDE!$F$8&gt;=3,FORSIDE!$B$5&gt;=10),4*FORSIDE!$B$9,"")</f>
        <v/>
      </c>
      <c r="D749" t="str">
        <f>IF(AND(FORSIDE!$B$8&gt;=4,FORSIDE!$F$8&gt;=3,FORSIDE!$B$5&gt;=10),FORSIDE!$B$6+(10-1)*FORSIDE!$B$7,"")</f>
        <v/>
      </c>
    </row>
    <row r="750" spans="1:4" x14ac:dyDescent="0.3">
      <c r="A750" t="str">
        <f>IF(AND(FORSIDE!$B$8&gt;=5,FORSIDE!$F$8&gt;=3,FORSIDE!$B$5&gt;=0),749,"")</f>
        <v/>
      </c>
      <c r="B750" t="str">
        <f>IF(AND(FORSIDE!$B$8&gt;=5,FORSIDE!$F$8&gt;=3,FORSIDE!$B$5&gt;=0),354+3*FORSIDE!$F$9,"")</f>
        <v/>
      </c>
      <c r="C750" t="str">
        <f>IF(AND(FORSIDE!$B$8&gt;=5,FORSIDE!$F$8&gt;=3,FORSIDE!$B$5&gt;=0),5*FORSIDE!$B$9,"")</f>
        <v/>
      </c>
      <c r="D750" t="str">
        <f>IF(AND(FORSIDE!$B$8&gt;=5,FORSIDE!$F$8&gt;=3,FORSIDE!$B$5&gt;=0),0,"")</f>
        <v/>
      </c>
    </row>
    <row r="751" spans="1:4" x14ac:dyDescent="0.3">
      <c r="A751" t="str">
        <f>IF(AND(FORSIDE!$B$8&gt;=5,FORSIDE!$F$8&gt;=3,FORSIDE!$B$5&gt;=1),750,"")</f>
        <v/>
      </c>
      <c r="B751" t="str">
        <f>IF(AND(FORSIDE!$B$8&gt;=5,FORSIDE!$F$8&gt;=3,FORSIDE!$B$5&gt;=1),354+3*FORSIDE!$F$9,"")</f>
        <v/>
      </c>
      <c r="C751" t="str">
        <f>IF(AND(FORSIDE!$B$8&gt;=5,FORSIDE!$F$8&gt;=3,FORSIDE!$B$5&gt;=1),5*FORSIDE!$B$9,"")</f>
        <v/>
      </c>
      <c r="D751" t="str">
        <f>IF(AND(FORSIDE!$B$8&gt;=5,FORSIDE!$F$8&gt;=3,FORSIDE!$B$5&gt;=1),FORSIDE!$B$6+(1-1)*FORSIDE!$B$7,"")</f>
        <v/>
      </c>
    </row>
    <row r="752" spans="1:4" x14ac:dyDescent="0.3">
      <c r="A752" t="str">
        <f>IF(AND(FORSIDE!$B$8&gt;=5,FORSIDE!$F$8&gt;=3,FORSIDE!$B$5&gt;=2),751,"")</f>
        <v/>
      </c>
      <c r="B752" t="str">
        <f>IF(AND(FORSIDE!$B$8&gt;=5,FORSIDE!$F$8&gt;=3,FORSIDE!$B$5&gt;=2),354+3*FORSIDE!$F$9,"")</f>
        <v/>
      </c>
      <c r="C752" t="str">
        <f>IF(AND(FORSIDE!$B$8&gt;=5,FORSIDE!$F$8&gt;=3,FORSIDE!$B$5&gt;=2),5*FORSIDE!$B$9,"")</f>
        <v/>
      </c>
      <c r="D752" t="str">
        <f>IF(AND(FORSIDE!$B$8&gt;=5,FORSIDE!$F$8&gt;=3,FORSIDE!$B$5&gt;=2),FORSIDE!$B$6+(2-1)*FORSIDE!$B$7,"")</f>
        <v/>
      </c>
    </row>
    <row r="753" spans="1:4" x14ac:dyDescent="0.3">
      <c r="A753" t="str">
        <f>IF(AND(FORSIDE!$B$8&gt;=5,FORSIDE!$F$8&gt;=3,FORSIDE!$B$5&gt;=3),752,"")</f>
        <v/>
      </c>
      <c r="B753" t="str">
        <f>IF(AND(FORSIDE!$B$8&gt;=5,FORSIDE!$F$8&gt;=3,FORSIDE!$B$5&gt;=3),354+3*FORSIDE!$F$9,"")</f>
        <v/>
      </c>
      <c r="C753" t="str">
        <f>IF(AND(FORSIDE!$B$8&gt;=5,FORSIDE!$F$8&gt;=3,FORSIDE!$B$5&gt;=3),5*FORSIDE!$B$9,"")</f>
        <v/>
      </c>
      <c r="D753" t="str">
        <f>IF(AND(FORSIDE!$B$8&gt;=5,FORSIDE!$F$8&gt;=3,FORSIDE!$B$5&gt;=3),FORSIDE!$B$6+(3-1)*FORSIDE!$B$7,"")</f>
        <v/>
      </c>
    </row>
    <row r="754" spans="1:4" x14ac:dyDescent="0.3">
      <c r="A754" t="str">
        <f>IF(AND(FORSIDE!$B$8&gt;=5,FORSIDE!$F$8&gt;=3,FORSIDE!$B$5&gt;=4),753,"")</f>
        <v/>
      </c>
      <c r="B754" t="str">
        <f>IF(AND(FORSIDE!$B$8&gt;=5,FORSIDE!$F$8&gt;=3,FORSIDE!$B$5&gt;=4),354+3*FORSIDE!$F$9,"")</f>
        <v/>
      </c>
      <c r="C754" t="str">
        <f>IF(AND(FORSIDE!$B$8&gt;=5,FORSIDE!$F$8&gt;=3,FORSIDE!$B$5&gt;=4),5*FORSIDE!$B$9,"")</f>
        <v/>
      </c>
      <c r="D754" t="str">
        <f>IF(AND(FORSIDE!$B$8&gt;=5,FORSIDE!$F$8&gt;=3,FORSIDE!$B$5&gt;=4),FORSIDE!$B$6+(4-1)*FORSIDE!$B$7,"")</f>
        <v/>
      </c>
    </row>
    <row r="755" spans="1:4" x14ac:dyDescent="0.3">
      <c r="A755" t="str">
        <f>IF(AND(FORSIDE!$B$8&gt;=5,FORSIDE!$F$8&gt;=3,FORSIDE!$B$5&gt;=5),754,"")</f>
        <v/>
      </c>
      <c r="B755" t="str">
        <f>IF(AND(FORSIDE!$B$8&gt;=5,FORSIDE!$F$8&gt;=3,FORSIDE!$B$5&gt;=5),354+3*FORSIDE!$F$9,"")</f>
        <v/>
      </c>
      <c r="C755" t="str">
        <f>IF(AND(FORSIDE!$B$8&gt;=5,FORSIDE!$F$8&gt;=3,FORSIDE!$B$5&gt;=5),5*FORSIDE!$B$9,"")</f>
        <v/>
      </c>
      <c r="D755" t="str">
        <f>IF(AND(FORSIDE!$B$8&gt;=5,FORSIDE!$F$8&gt;=3,FORSIDE!$B$5&gt;=5),FORSIDE!$B$6+(5-1)*FORSIDE!$B$7,"")</f>
        <v/>
      </c>
    </row>
    <row r="756" spans="1:4" x14ac:dyDescent="0.3">
      <c r="A756" t="str">
        <f>IF(AND(FORSIDE!$B$8&gt;=5,FORSIDE!$F$8&gt;=3,FORSIDE!$B$5&gt;=6),755,"")</f>
        <v/>
      </c>
      <c r="B756" t="str">
        <f>IF(AND(FORSIDE!$B$8&gt;=5,FORSIDE!$F$8&gt;=3,FORSIDE!$B$5&gt;=6),354+3*FORSIDE!$F$9,"")</f>
        <v/>
      </c>
      <c r="C756" t="str">
        <f>IF(AND(FORSIDE!$B$8&gt;=5,FORSIDE!$F$8&gt;=3,FORSIDE!$B$5&gt;=6),5*FORSIDE!$B$9,"")</f>
        <v/>
      </c>
      <c r="D756" t="str">
        <f>IF(AND(FORSIDE!$B$8&gt;=5,FORSIDE!$F$8&gt;=3,FORSIDE!$B$5&gt;=6),FORSIDE!$B$6+(6-1)*FORSIDE!$B$7,"")</f>
        <v/>
      </c>
    </row>
    <row r="757" spans="1:4" x14ac:dyDescent="0.3">
      <c r="A757" t="str">
        <f>IF(AND(FORSIDE!$B$8&gt;=5,FORSIDE!$F$8&gt;=3,FORSIDE!$B$5&gt;=7),756,"")</f>
        <v/>
      </c>
      <c r="B757" t="str">
        <f>IF(AND(FORSIDE!$B$8&gt;=5,FORSIDE!$F$8&gt;=3,FORSIDE!$B$5&gt;=7),354+3*FORSIDE!$F$9,"")</f>
        <v/>
      </c>
      <c r="C757" t="str">
        <f>IF(AND(FORSIDE!$B$8&gt;=5,FORSIDE!$F$8&gt;=3,FORSIDE!$B$5&gt;=7),5*FORSIDE!$B$9,"")</f>
        <v/>
      </c>
      <c r="D757" t="str">
        <f>IF(AND(FORSIDE!$B$8&gt;=5,FORSIDE!$F$8&gt;=3,FORSIDE!$B$5&gt;=7),FORSIDE!$B$6+(7-1)*FORSIDE!$B$7,"")</f>
        <v/>
      </c>
    </row>
    <row r="758" spans="1:4" x14ac:dyDescent="0.3">
      <c r="A758" t="str">
        <f>IF(AND(FORSIDE!$B$8&gt;=5,FORSIDE!$F$8&gt;=3,FORSIDE!$B$5&gt;=8),757,"")</f>
        <v/>
      </c>
      <c r="B758" t="str">
        <f>IF(AND(FORSIDE!$B$8&gt;=5,FORSIDE!$F$8&gt;=3,FORSIDE!$B$5&gt;=8),354+3*FORSIDE!$F$9,"")</f>
        <v/>
      </c>
      <c r="C758" t="str">
        <f>IF(AND(FORSIDE!$B$8&gt;=5,FORSIDE!$F$8&gt;=3,FORSIDE!$B$5&gt;=8),5*FORSIDE!$B$9,"")</f>
        <v/>
      </c>
      <c r="D758" t="str">
        <f>IF(AND(FORSIDE!$B$8&gt;=5,FORSIDE!$F$8&gt;=3,FORSIDE!$B$5&gt;=8),FORSIDE!$B$6+(8-1)*FORSIDE!$B$7,"")</f>
        <v/>
      </c>
    </row>
    <row r="759" spans="1:4" x14ac:dyDescent="0.3">
      <c r="A759" t="str">
        <f>IF(AND(FORSIDE!$B$8&gt;=5,FORSIDE!$F$8&gt;=3,FORSIDE!$B$5&gt;=9),758,"")</f>
        <v/>
      </c>
      <c r="B759" t="str">
        <f>IF(AND(FORSIDE!$B$8&gt;=5,FORSIDE!$F$8&gt;=3,FORSIDE!$B$5&gt;=9),354+3*FORSIDE!$F$9,"")</f>
        <v/>
      </c>
      <c r="C759" t="str">
        <f>IF(AND(FORSIDE!$B$8&gt;=5,FORSIDE!$F$8&gt;=3,FORSIDE!$B$5&gt;=9),5*FORSIDE!$B$9,"")</f>
        <v/>
      </c>
      <c r="D759" t="str">
        <f>IF(AND(FORSIDE!$B$8&gt;=5,FORSIDE!$F$8&gt;=3,FORSIDE!$B$5&gt;=9),FORSIDE!$B$6+(9-1)*FORSIDE!$B$7,"")</f>
        <v/>
      </c>
    </row>
    <row r="760" spans="1:4" x14ac:dyDescent="0.3">
      <c r="A760" t="str">
        <f>IF(AND(FORSIDE!$B$8&gt;=5,FORSIDE!$F$8&gt;=3,FORSIDE!$B$5&gt;=10),759,"")</f>
        <v/>
      </c>
      <c r="B760" t="str">
        <f>IF(AND(FORSIDE!$B$8&gt;=5,FORSIDE!$F$8&gt;=3,FORSIDE!$B$5&gt;=10),354+3*FORSIDE!$F$9,"")</f>
        <v/>
      </c>
      <c r="C760" t="str">
        <f>IF(AND(FORSIDE!$B$8&gt;=5,FORSIDE!$F$8&gt;=3,FORSIDE!$B$5&gt;=10),5*FORSIDE!$B$9,"")</f>
        <v/>
      </c>
      <c r="D760" t="str">
        <f>IF(AND(FORSIDE!$B$8&gt;=5,FORSIDE!$F$8&gt;=3,FORSIDE!$B$5&gt;=10),FORSIDE!$B$6+(10-1)*FORSIDE!$B$7,"")</f>
        <v/>
      </c>
    </row>
    <row r="761" spans="1:4" x14ac:dyDescent="0.3">
      <c r="A761" t="str">
        <f>IF(AND(FORSIDE!$B$8&gt;=6,FORSIDE!$F$8&gt;=3,FORSIDE!$B$5&gt;=0),760,"")</f>
        <v/>
      </c>
      <c r="B761" t="str">
        <f>IF(AND(FORSIDE!$B$8&gt;=6,FORSIDE!$F$8&gt;=3,FORSIDE!$B$5&gt;=0),354+3*FORSIDE!$F$9,"")</f>
        <v/>
      </c>
      <c r="C761" t="str">
        <f>IF(AND(FORSIDE!$B$8&gt;=6,FORSIDE!$F$8&gt;=3,FORSIDE!$B$5&gt;=0),6*FORSIDE!$B$9,"")</f>
        <v/>
      </c>
      <c r="D761" t="str">
        <f>IF(AND(FORSIDE!$B$8&gt;=6,FORSIDE!$F$8&gt;=3,FORSIDE!$B$5&gt;=0),0,"")</f>
        <v/>
      </c>
    </row>
    <row r="762" spans="1:4" x14ac:dyDescent="0.3">
      <c r="A762" t="str">
        <f>IF(AND(FORSIDE!$B$8&gt;=6,FORSIDE!$F$8&gt;=3,FORSIDE!$B$5&gt;=1),761,"")</f>
        <v/>
      </c>
      <c r="B762" t="str">
        <f>IF(AND(FORSIDE!$B$8&gt;=6,FORSIDE!$F$8&gt;=3,FORSIDE!$B$5&gt;=1),354+3*FORSIDE!$F$9,"")</f>
        <v/>
      </c>
      <c r="C762" t="str">
        <f>IF(AND(FORSIDE!$B$8&gt;=6,FORSIDE!$F$8&gt;=3,FORSIDE!$B$5&gt;=1),6*FORSIDE!$B$9,"")</f>
        <v/>
      </c>
      <c r="D762" t="str">
        <f>IF(AND(FORSIDE!$B$8&gt;=6,FORSIDE!$F$8&gt;=3,FORSIDE!$B$5&gt;=1),FORSIDE!$B$6+(1-1)*FORSIDE!$B$7,"")</f>
        <v/>
      </c>
    </row>
    <row r="763" spans="1:4" x14ac:dyDescent="0.3">
      <c r="A763" t="str">
        <f>IF(AND(FORSIDE!$B$8&gt;=6,FORSIDE!$F$8&gt;=3,FORSIDE!$B$5&gt;=2),762,"")</f>
        <v/>
      </c>
      <c r="B763" t="str">
        <f>IF(AND(FORSIDE!$B$8&gt;=6,FORSIDE!$F$8&gt;=3,FORSIDE!$B$5&gt;=2),354+3*FORSIDE!$F$9,"")</f>
        <v/>
      </c>
      <c r="C763" t="str">
        <f>IF(AND(FORSIDE!$B$8&gt;=6,FORSIDE!$F$8&gt;=3,FORSIDE!$B$5&gt;=2),6*FORSIDE!$B$9,"")</f>
        <v/>
      </c>
      <c r="D763" t="str">
        <f>IF(AND(FORSIDE!$B$8&gt;=6,FORSIDE!$F$8&gt;=3,FORSIDE!$B$5&gt;=2),FORSIDE!$B$6+(2-1)*FORSIDE!$B$7,"")</f>
        <v/>
      </c>
    </row>
    <row r="764" spans="1:4" x14ac:dyDescent="0.3">
      <c r="A764" t="str">
        <f>IF(AND(FORSIDE!$B$8&gt;=6,FORSIDE!$F$8&gt;=3,FORSIDE!$B$5&gt;=3),763,"")</f>
        <v/>
      </c>
      <c r="B764" t="str">
        <f>IF(AND(FORSIDE!$B$8&gt;=6,FORSIDE!$F$8&gt;=3,FORSIDE!$B$5&gt;=3),354+3*FORSIDE!$F$9,"")</f>
        <v/>
      </c>
      <c r="C764" t="str">
        <f>IF(AND(FORSIDE!$B$8&gt;=6,FORSIDE!$F$8&gt;=3,FORSIDE!$B$5&gt;=3),6*FORSIDE!$B$9,"")</f>
        <v/>
      </c>
      <c r="D764" t="str">
        <f>IF(AND(FORSIDE!$B$8&gt;=6,FORSIDE!$F$8&gt;=3,FORSIDE!$B$5&gt;=3),FORSIDE!$B$6+(3-1)*FORSIDE!$B$7,"")</f>
        <v/>
      </c>
    </row>
    <row r="765" spans="1:4" x14ac:dyDescent="0.3">
      <c r="A765" t="str">
        <f>IF(AND(FORSIDE!$B$8&gt;=6,FORSIDE!$F$8&gt;=3,FORSIDE!$B$5&gt;=4),764,"")</f>
        <v/>
      </c>
      <c r="B765" t="str">
        <f>IF(AND(FORSIDE!$B$8&gt;=6,FORSIDE!$F$8&gt;=3,FORSIDE!$B$5&gt;=4),354+3*FORSIDE!$F$9,"")</f>
        <v/>
      </c>
      <c r="C765" t="str">
        <f>IF(AND(FORSIDE!$B$8&gt;=6,FORSIDE!$F$8&gt;=3,FORSIDE!$B$5&gt;=4),6*FORSIDE!$B$9,"")</f>
        <v/>
      </c>
      <c r="D765" t="str">
        <f>IF(AND(FORSIDE!$B$8&gt;=6,FORSIDE!$F$8&gt;=3,FORSIDE!$B$5&gt;=4),FORSIDE!$B$6+(4-1)*FORSIDE!$B$7,"")</f>
        <v/>
      </c>
    </row>
    <row r="766" spans="1:4" x14ac:dyDescent="0.3">
      <c r="A766" t="str">
        <f>IF(AND(FORSIDE!$B$8&gt;=6,FORSIDE!$F$8&gt;=3,FORSIDE!$B$5&gt;=5),765,"")</f>
        <v/>
      </c>
      <c r="B766" t="str">
        <f>IF(AND(FORSIDE!$B$8&gt;=6,FORSIDE!$F$8&gt;=3,FORSIDE!$B$5&gt;=5),354+3*FORSIDE!$F$9,"")</f>
        <v/>
      </c>
      <c r="C766" t="str">
        <f>IF(AND(FORSIDE!$B$8&gt;=6,FORSIDE!$F$8&gt;=3,FORSIDE!$B$5&gt;=5),6*FORSIDE!$B$9,"")</f>
        <v/>
      </c>
      <c r="D766" t="str">
        <f>IF(AND(FORSIDE!$B$8&gt;=6,FORSIDE!$F$8&gt;=3,FORSIDE!$B$5&gt;=5),FORSIDE!$B$6+(5-1)*FORSIDE!$B$7,"")</f>
        <v/>
      </c>
    </row>
    <row r="767" spans="1:4" x14ac:dyDescent="0.3">
      <c r="A767" t="str">
        <f>IF(AND(FORSIDE!$B$8&gt;=6,FORSIDE!$F$8&gt;=3,FORSIDE!$B$5&gt;=6),766,"")</f>
        <v/>
      </c>
      <c r="B767" t="str">
        <f>IF(AND(FORSIDE!$B$8&gt;=6,FORSIDE!$F$8&gt;=3,FORSIDE!$B$5&gt;=6),354+3*FORSIDE!$F$9,"")</f>
        <v/>
      </c>
      <c r="C767" t="str">
        <f>IF(AND(FORSIDE!$B$8&gt;=6,FORSIDE!$F$8&gt;=3,FORSIDE!$B$5&gt;=6),6*FORSIDE!$B$9,"")</f>
        <v/>
      </c>
      <c r="D767" t="str">
        <f>IF(AND(FORSIDE!$B$8&gt;=6,FORSIDE!$F$8&gt;=3,FORSIDE!$B$5&gt;=6),FORSIDE!$B$6+(6-1)*FORSIDE!$B$7,"")</f>
        <v/>
      </c>
    </row>
    <row r="768" spans="1:4" x14ac:dyDescent="0.3">
      <c r="A768" t="str">
        <f>IF(AND(FORSIDE!$B$8&gt;=6,FORSIDE!$F$8&gt;=3,FORSIDE!$B$5&gt;=7),767,"")</f>
        <v/>
      </c>
      <c r="B768" t="str">
        <f>IF(AND(FORSIDE!$B$8&gt;=6,FORSIDE!$F$8&gt;=3,FORSIDE!$B$5&gt;=7),354+3*FORSIDE!$F$9,"")</f>
        <v/>
      </c>
      <c r="C768" t="str">
        <f>IF(AND(FORSIDE!$B$8&gt;=6,FORSIDE!$F$8&gt;=3,FORSIDE!$B$5&gt;=7),6*FORSIDE!$B$9,"")</f>
        <v/>
      </c>
      <c r="D768" t="str">
        <f>IF(AND(FORSIDE!$B$8&gt;=6,FORSIDE!$F$8&gt;=3,FORSIDE!$B$5&gt;=7),FORSIDE!$B$6+(7-1)*FORSIDE!$B$7,"")</f>
        <v/>
      </c>
    </row>
    <row r="769" spans="1:4" x14ac:dyDescent="0.3">
      <c r="A769" t="str">
        <f>IF(AND(FORSIDE!$B$8&gt;=6,FORSIDE!$F$8&gt;=3,FORSIDE!$B$5&gt;=8),768,"")</f>
        <v/>
      </c>
      <c r="B769" t="str">
        <f>IF(AND(FORSIDE!$B$8&gt;=6,FORSIDE!$F$8&gt;=3,FORSIDE!$B$5&gt;=8),354+3*FORSIDE!$F$9,"")</f>
        <v/>
      </c>
      <c r="C769" t="str">
        <f>IF(AND(FORSIDE!$B$8&gt;=6,FORSIDE!$F$8&gt;=3,FORSIDE!$B$5&gt;=8),6*FORSIDE!$B$9,"")</f>
        <v/>
      </c>
      <c r="D769" t="str">
        <f>IF(AND(FORSIDE!$B$8&gt;=6,FORSIDE!$F$8&gt;=3,FORSIDE!$B$5&gt;=8),FORSIDE!$B$6+(8-1)*FORSIDE!$B$7,"")</f>
        <v/>
      </c>
    </row>
    <row r="770" spans="1:4" x14ac:dyDescent="0.3">
      <c r="A770" t="str">
        <f>IF(AND(FORSIDE!$B$8&gt;=6,FORSIDE!$F$8&gt;=3,FORSIDE!$B$5&gt;=9),769,"")</f>
        <v/>
      </c>
      <c r="B770" t="str">
        <f>IF(AND(FORSIDE!$B$8&gt;=6,FORSIDE!$F$8&gt;=3,FORSIDE!$B$5&gt;=9),354+3*FORSIDE!$F$9,"")</f>
        <v/>
      </c>
      <c r="C770" t="str">
        <f>IF(AND(FORSIDE!$B$8&gt;=6,FORSIDE!$F$8&gt;=3,FORSIDE!$B$5&gt;=9),6*FORSIDE!$B$9,"")</f>
        <v/>
      </c>
      <c r="D770" t="str">
        <f>IF(AND(FORSIDE!$B$8&gt;=6,FORSIDE!$F$8&gt;=3,FORSIDE!$B$5&gt;=9),FORSIDE!$B$6+(9-1)*FORSIDE!$B$7,"")</f>
        <v/>
      </c>
    </row>
    <row r="771" spans="1:4" x14ac:dyDescent="0.3">
      <c r="A771" t="str">
        <f>IF(AND(FORSIDE!$B$8&gt;=6,FORSIDE!$F$8&gt;=3,FORSIDE!$B$5&gt;=10),770,"")</f>
        <v/>
      </c>
      <c r="B771" t="str">
        <f>IF(AND(FORSIDE!$B$8&gt;=6,FORSIDE!$F$8&gt;=3,FORSIDE!$B$5&gt;=10),354+3*FORSIDE!$F$9,"")</f>
        <v/>
      </c>
      <c r="C771" t="str">
        <f>IF(AND(FORSIDE!$B$8&gt;=6,FORSIDE!$F$8&gt;=3,FORSIDE!$B$5&gt;=10),6*FORSIDE!$B$9,"")</f>
        <v/>
      </c>
      <c r="D771" t="str">
        <f>IF(AND(FORSIDE!$B$8&gt;=6,FORSIDE!$F$8&gt;=3,FORSIDE!$B$5&gt;=10),FORSIDE!$B$6+(10-1)*FORSIDE!$B$7,"")</f>
        <v/>
      </c>
    </row>
    <row r="772" spans="1:4" x14ac:dyDescent="0.3">
      <c r="A772" t="str">
        <f>IF(AND(FORSIDE!$B$8&gt;=7,FORSIDE!$F$8&gt;=3,FORSIDE!$B$5&gt;=0),771,"")</f>
        <v/>
      </c>
      <c r="B772" t="str">
        <f>IF(AND(FORSIDE!$B$8&gt;=7,FORSIDE!$F$8&gt;=3,FORSIDE!$B$5&gt;=0),354+3*FORSIDE!$F$9,"")</f>
        <v/>
      </c>
      <c r="C772" t="str">
        <f>IF(AND(FORSIDE!$B$8&gt;=7,FORSIDE!$F$8&gt;=3,FORSIDE!$B$5&gt;=0),7*FORSIDE!$B$9,"")</f>
        <v/>
      </c>
      <c r="D772" t="str">
        <f>IF(AND(FORSIDE!$B$8&gt;=7,FORSIDE!$F$8&gt;=3,FORSIDE!$B$5&gt;=0),0,"")</f>
        <v/>
      </c>
    </row>
    <row r="773" spans="1:4" x14ac:dyDescent="0.3">
      <c r="A773" t="str">
        <f>IF(AND(FORSIDE!$B$8&gt;=7,FORSIDE!$F$8&gt;=3,FORSIDE!$B$5&gt;=1),772,"")</f>
        <v/>
      </c>
      <c r="B773" t="str">
        <f>IF(AND(FORSIDE!$B$8&gt;=7,FORSIDE!$F$8&gt;=3,FORSIDE!$B$5&gt;=1),354+3*FORSIDE!$F$9,"")</f>
        <v/>
      </c>
      <c r="C773" t="str">
        <f>IF(AND(FORSIDE!$B$8&gt;=7,FORSIDE!$F$8&gt;=3,FORSIDE!$B$5&gt;=1),7*FORSIDE!$B$9,"")</f>
        <v/>
      </c>
      <c r="D773" t="str">
        <f>IF(AND(FORSIDE!$B$8&gt;=7,FORSIDE!$F$8&gt;=3,FORSIDE!$B$5&gt;=1),FORSIDE!$B$6+(1-1)*FORSIDE!$B$7,"")</f>
        <v/>
      </c>
    </row>
    <row r="774" spans="1:4" x14ac:dyDescent="0.3">
      <c r="A774" t="str">
        <f>IF(AND(FORSIDE!$B$8&gt;=7,FORSIDE!$F$8&gt;=3,FORSIDE!$B$5&gt;=2),773,"")</f>
        <v/>
      </c>
      <c r="B774" t="str">
        <f>IF(AND(FORSIDE!$B$8&gt;=7,FORSIDE!$F$8&gt;=3,FORSIDE!$B$5&gt;=2),354+3*FORSIDE!$F$9,"")</f>
        <v/>
      </c>
      <c r="C774" t="str">
        <f>IF(AND(FORSIDE!$B$8&gt;=7,FORSIDE!$F$8&gt;=3,FORSIDE!$B$5&gt;=2),7*FORSIDE!$B$9,"")</f>
        <v/>
      </c>
      <c r="D774" t="str">
        <f>IF(AND(FORSIDE!$B$8&gt;=7,FORSIDE!$F$8&gt;=3,FORSIDE!$B$5&gt;=2),FORSIDE!$B$6+(2-1)*FORSIDE!$B$7,"")</f>
        <v/>
      </c>
    </row>
    <row r="775" spans="1:4" x14ac:dyDescent="0.3">
      <c r="A775" t="str">
        <f>IF(AND(FORSIDE!$B$8&gt;=7,FORSIDE!$F$8&gt;=3,FORSIDE!$B$5&gt;=3),774,"")</f>
        <v/>
      </c>
      <c r="B775" t="str">
        <f>IF(AND(FORSIDE!$B$8&gt;=7,FORSIDE!$F$8&gt;=3,FORSIDE!$B$5&gt;=3),354+3*FORSIDE!$F$9,"")</f>
        <v/>
      </c>
      <c r="C775" t="str">
        <f>IF(AND(FORSIDE!$B$8&gt;=7,FORSIDE!$F$8&gt;=3,FORSIDE!$B$5&gt;=3),7*FORSIDE!$B$9,"")</f>
        <v/>
      </c>
      <c r="D775" t="str">
        <f>IF(AND(FORSIDE!$B$8&gt;=7,FORSIDE!$F$8&gt;=3,FORSIDE!$B$5&gt;=3),FORSIDE!$B$6+(3-1)*FORSIDE!$B$7,"")</f>
        <v/>
      </c>
    </row>
    <row r="776" spans="1:4" x14ac:dyDescent="0.3">
      <c r="A776" t="str">
        <f>IF(AND(FORSIDE!$B$8&gt;=7,FORSIDE!$F$8&gt;=3,FORSIDE!$B$5&gt;=4),775,"")</f>
        <v/>
      </c>
      <c r="B776" t="str">
        <f>IF(AND(FORSIDE!$B$8&gt;=7,FORSIDE!$F$8&gt;=3,FORSIDE!$B$5&gt;=4),354+3*FORSIDE!$F$9,"")</f>
        <v/>
      </c>
      <c r="C776" t="str">
        <f>IF(AND(FORSIDE!$B$8&gt;=7,FORSIDE!$F$8&gt;=3,FORSIDE!$B$5&gt;=4),7*FORSIDE!$B$9,"")</f>
        <v/>
      </c>
      <c r="D776" t="str">
        <f>IF(AND(FORSIDE!$B$8&gt;=7,FORSIDE!$F$8&gt;=3,FORSIDE!$B$5&gt;=4),FORSIDE!$B$6+(4-1)*FORSIDE!$B$7,"")</f>
        <v/>
      </c>
    </row>
    <row r="777" spans="1:4" x14ac:dyDescent="0.3">
      <c r="A777" t="str">
        <f>IF(AND(FORSIDE!$B$8&gt;=7,FORSIDE!$F$8&gt;=3,FORSIDE!$B$5&gt;=5),776,"")</f>
        <v/>
      </c>
      <c r="B777" t="str">
        <f>IF(AND(FORSIDE!$B$8&gt;=7,FORSIDE!$F$8&gt;=3,FORSIDE!$B$5&gt;=5),354+3*FORSIDE!$F$9,"")</f>
        <v/>
      </c>
      <c r="C777" t="str">
        <f>IF(AND(FORSIDE!$B$8&gt;=7,FORSIDE!$F$8&gt;=3,FORSIDE!$B$5&gt;=5),7*FORSIDE!$B$9,"")</f>
        <v/>
      </c>
      <c r="D777" t="str">
        <f>IF(AND(FORSIDE!$B$8&gt;=7,FORSIDE!$F$8&gt;=3,FORSIDE!$B$5&gt;=5),FORSIDE!$B$6+(5-1)*FORSIDE!$B$7,"")</f>
        <v/>
      </c>
    </row>
    <row r="778" spans="1:4" x14ac:dyDescent="0.3">
      <c r="A778" t="str">
        <f>IF(AND(FORSIDE!$B$8&gt;=7,FORSIDE!$F$8&gt;=3,FORSIDE!$B$5&gt;=6),777,"")</f>
        <v/>
      </c>
      <c r="B778" t="str">
        <f>IF(AND(FORSIDE!$B$8&gt;=7,FORSIDE!$F$8&gt;=3,FORSIDE!$B$5&gt;=6),354+3*FORSIDE!$F$9,"")</f>
        <v/>
      </c>
      <c r="C778" t="str">
        <f>IF(AND(FORSIDE!$B$8&gt;=7,FORSIDE!$F$8&gt;=3,FORSIDE!$B$5&gt;=6),7*FORSIDE!$B$9,"")</f>
        <v/>
      </c>
      <c r="D778" t="str">
        <f>IF(AND(FORSIDE!$B$8&gt;=7,FORSIDE!$F$8&gt;=3,FORSIDE!$B$5&gt;=6),FORSIDE!$B$6+(6-1)*FORSIDE!$B$7,"")</f>
        <v/>
      </c>
    </row>
    <row r="779" spans="1:4" x14ac:dyDescent="0.3">
      <c r="A779" t="str">
        <f>IF(AND(FORSIDE!$B$8&gt;=7,FORSIDE!$F$8&gt;=3,FORSIDE!$B$5&gt;=7),778,"")</f>
        <v/>
      </c>
      <c r="B779" t="str">
        <f>IF(AND(FORSIDE!$B$8&gt;=7,FORSIDE!$F$8&gt;=3,FORSIDE!$B$5&gt;=7),354+3*FORSIDE!$F$9,"")</f>
        <v/>
      </c>
      <c r="C779" t="str">
        <f>IF(AND(FORSIDE!$B$8&gt;=7,FORSIDE!$F$8&gt;=3,FORSIDE!$B$5&gt;=7),7*FORSIDE!$B$9,"")</f>
        <v/>
      </c>
      <c r="D779" t="str">
        <f>IF(AND(FORSIDE!$B$8&gt;=7,FORSIDE!$F$8&gt;=3,FORSIDE!$B$5&gt;=7),FORSIDE!$B$6+(7-1)*FORSIDE!$B$7,"")</f>
        <v/>
      </c>
    </row>
    <row r="780" spans="1:4" x14ac:dyDescent="0.3">
      <c r="A780" t="str">
        <f>IF(AND(FORSIDE!$B$8&gt;=7,FORSIDE!$F$8&gt;=3,FORSIDE!$B$5&gt;=8),779,"")</f>
        <v/>
      </c>
      <c r="B780" t="str">
        <f>IF(AND(FORSIDE!$B$8&gt;=7,FORSIDE!$F$8&gt;=3,FORSIDE!$B$5&gt;=8),354+3*FORSIDE!$F$9,"")</f>
        <v/>
      </c>
      <c r="C780" t="str">
        <f>IF(AND(FORSIDE!$B$8&gt;=7,FORSIDE!$F$8&gt;=3,FORSIDE!$B$5&gt;=8),7*FORSIDE!$B$9,"")</f>
        <v/>
      </c>
      <c r="D780" t="str">
        <f>IF(AND(FORSIDE!$B$8&gt;=7,FORSIDE!$F$8&gt;=3,FORSIDE!$B$5&gt;=8),FORSIDE!$B$6+(8-1)*FORSIDE!$B$7,"")</f>
        <v/>
      </c>
    </row>
    <row r="781" spans="1:4" x14ac:dyDescent="0.3">
      <c r="A781" t="str">
        <f>IF(AND(FORSIDE!$B$8&gt;=7,FORSIDE!$F$8&gt;=3,FORSIDE!$B$5&gt;=9),780,"")</f>
        <v/>
      </c>
      <c r="B781" t="str">
        <f>IF(AND(FORSIDE!$B$8&gt;=7,FORSIDE!$F$8&gt;=3,FORSIDE!$B$5&gt;=9),354+3*FORSIDE!$F$9,"")</f>
        <v/>
      </c>
      <c r="C781" t="str">
        <f>IF(AND(FORSIDE!$B$8&gt;=7,FORSIDE!$F$8&gt;=3,FORSIDE!$B$5&gt;=9),7*FORSIDE!$B$9,"")</f>
        <v/>
      </c>
      <c r="D781" t="str">
        <f>IF(AND(FORSIDE!$B$8&gt;=7,FORSIDE!$F$8&gt;=3,FORSIDE!$B$5&gt;=9),FORSIDE!$B$6+(9-1)*FORSIDE!$B$7,"")</f>
        <v/>
      </c>
    </row>
    <row r="782" spans="1:4" x14ac:dyDescent="0.3">
      <c r="A782" t="str">
        <f>IF(AND(FORSIDE!$B$8&gt;=7,FORSIDE!$F$8&gt;=3,FORSIDE!$B$5&gt;=10),781,"")</f>
        <v/>
      </c>
      <c r="B782" t="str">
        <f>IF(AND(FORSIDE!$B$8&gt;=7,FORSIDE!$F$8&gt;=3,FORSIDE!$B$5&gt;=10),354+3*FORSIDE!$F$9,"")</f>
        <v/>
      </c>
      <c r="C782" t="str">
        <f>IF(AND(FORSIDE!$B$8&gt;=7,FORSIDE!$F$8&gt;=3,FORSIDE!$B$5&gt;=10),7*FORSIDE!$B$9,"")</f>
        <v/>
      </c>
      <c r="D782" t="str">
        <f>IF(AND(FORSIDE!$B$8&gt;=7,FORSIDE!$F$8&gt;=3,FORSIDE!$B$5&gt;=10),FORSIDE!$B$6+(10-1)*FORSIDE!$B$7,"")</f>
        <v/>
      </c>
    </row>
    <row r="783" spans="1:4" x14ac:dyDescent="0.3">
      <c r="A783" t="str">
        <f>IF(AND(FORSIDE!$B$8&gt;=8,FORSIDE!$F$8&gt;=3,FORSIDE!$B$5&gt;=0),782,"")</f>
        <v/>
      </c>
      <c r="B783" t="str">
        <f>IF(AND(FORSIDE!$B$8&gt;=8,FORSIDE!$F$8&gt;=3,FORSIDE!$B$5&gt;=0),354+3*FORSIDE!$F$9,"")</f>
        <v/>
      </c>
      <c r="C783" t="str">
        <f>IF(AND(FORSIDE!$B$8&gt;=8,FORSIDE!$F$8&gt;=3,FORSIDE!$B$5&gt;=0),8*FORSIDE!$B$9,"")</f>
        <v/>
      </c>
      <c r="D783" t="str">
        <f>IF(AND(FORSIDE!$B$8&gt;=8,FORSIDE!$F$8&gt;=3,FORSIDE!$B$5&gt;=0),0,"")</f>
        <v/>
      </c>
    </row>
    <row r="784" spans="1:4" x14ac:dyDescent="0.3">
      <c r="A784" t="str">
        <f>IF(AND(FORSIDE!$B$8&gt;=8,FORSIDE!$F$8&gt;=3,FORSIDE!$B$5&gt;=1),783,"")</f>
        <v/>
      </c>
      <c r="B784" t="str">
        <f>IF(AND(FORSIDE!$B$8&gt;=8,FORSIDE!$F$8&gt;=3,FORSIDE!$B$5&gt;=1),354+3*FORSIDE!$F$9,"")</f>
        <v/>
      </c>
      <c r="C784" t="str">
        <f>IF(AND(FORSIDE!$B$8&gt;=8,FORSIDE!$F$8&gt;=3,FORSIDE!$B$5&gt;=1),8*FORSIDE!$B$9,"")</f>
        <v/>
      </c>
      <c r="D784" t="str">
        <f>IF(AND(FORSIDE!$B$8&gt;=8,FORSIDE!$F$8&gt;=3,FORSIDE!$B$5&gt;=1),FORSIDE!$B$6+(1-1)*FORSIDE!$B$7,"")</f>
        <v/>
      </c>
    </row>
    <row r="785" spans="1:4" x14ac:dyDescent="0.3">
      <c r="A785" t="str">
        <f>IF(AND(FORSIDE!$B$8&gt;=8,FORSIDE!$F$8&gt;=3,FORSIDE!$B$5&gt;=2),784,"")</f>
        <v/>
      </c>
      <c r="B785" t="str">
        <f>IF(AND(FORSIDE!$B$8&gt;=8,FORSIDE!$F$8&gt;=3,FORSIDE!$B$5&gt;=2),354+3*FORSIDE!$F$9,"")</f>
        <v/>
      </c>
      <c r="C785" t="str">
        <f>IF(AND(FORSIDE!$B$8&gt;=8,FORSIDE!$F$8&gt;=3,FORSIDE!$B$5&gt;=2),8*FORSIDE!$B$9,"")</f>
        <v/>
      </c>
      <c r="D785" t="str">
        <f>IF(AND(FORSIDE!$B$8&gt;=8,FORSIDE!$F$8&gt;=3,FORSIDE!$B$5&gt;=2),FORSIDE!$B$6+(2-1)*FORSIDE!$B$7,"")</f>
        <v/>
      </c>
    </row>
    <row r="786" spans="1:4" x14ac:dyDescent="0.3">
      <c r="A786" t="str">
        <f>IF(AND(FORSIDE!$B$8&gt;=8,FORSIDE!$F$8&gt;=3,FORSIDE!$B$5&gt;=3),785,"")</f>
        <v/>
      </c>
      <c r="B786" t="str">
        <f>IF(AND(FORSIDE!$B$8&gt;=8,FORSIDE!$F$8&gt;=3,FORSIDE!$B$5&gt;=3),354+3*FORSIDE!$F$9,"")</f>
        <v/>
      </c>
      <c r="C786" t="str">
        <f>IF(AND(FORSIDE!$B$8&gt;=8,FORSIDE!$F$8&gt;=3,FORSIDE!$B$5&gt;=3),8*FORSIDE!$B$9,"")</f>
        <v/>
      </c>
      <c r="D786" t="str">
        <f>IF(AND(FORSIDE!$B$8&gt;=8,FORSIDE!$F$8&gt;=3,FORSIDE!$B$5&gt;=3),FORSIDE!$B$6+(3-1)*FORSIDE!$B$7,"")</f>
        <v/>
      </c>
    </row>
    <row r="787" spans="1:4" x14ac:dyDescent="0.3">
      <c r="A787" t="str">
        <f>IF(AND(FORSIDE!$B$8&gt;=8,FORSIDE!$F$8&gt;=3,FORSIDE!$B$5&gt;=4),786,"")</f>
        <v/>
      </c>
      <c r="B787" t="str">
        <f>IF(AND(FORSIDE!$B$8&gt;=8,FORSIDE!$F$8&gt;=3,FORSIDE!$B$5&gt;=4),354+3*FORSIDE!$F$9,"")</f>
        <v/>
      </c>
      <c r="C787" t="str">
        <f>IF(AND(FORSIDE!$B$8&gt;=8,FORSIDE!$F$8&gt;=3,FORSIDE!$B$5&gt;=4),8*FORSIDE!$B$9,"")</f>
        <v/>
      </c>
      <c r="D787" t="str">
        <f>IF(AND(FORSIDE!$B$8&gt;=8,FORSIDE!$F$8&gt;=3,FORSIDE!$B$5&gt;=4),FORSIDE!$B$6+(4-1)*FORSIDE!$B$7,"")</f>
        <v/>
      </c>
    </row>
    <row r="788" spans="1:4" x14ac:dyDescent="0.3">
      <c r="A788" t="str">
        <f>IF(AND(FORSIDE!$B$8&gt;=8,FORSIDE!$F$8&gt;=3,FORSIDE!$B$5&gt;=5),787,"")</f>
        <v/>
      </c>
      <c r="B788" t="str">
        <f>IF(AND(FORSIDE!$B$8&gt;=8,FORSIDE!$F$8&gt;=3,FORSIDE!$B$5&gt;=5),354+3*FORSIDE!$F$9,"")</f>
        <v/>
      </c>
      <c r="C788" t="str">
        <f>IF(AND(FORSIDE!$B$8&gt;=8,FORSIDE!$F$8&gt;=3,FORSIDE!$B$5&gt;=5),8*FORSIDE!$B$9,"")</f>
        <v/>
      </c>
      <c r="D788" t="str">
        <f>IF(AND(FORSIDE!$B$8&gt;=8,FORSIDE!$F$8&gt;=3,FORSIDE!$B$5&gt;=5),FORSIDE!$B$6+(5-1)*FORSIDE!$B$7,"")</f>
        <v/>
      </c>
    </row>
    <row r="789" spans="1:4" x14ac:dyDescent="0.3">
      <c r="A789" t="str">
        <f>IF(AND(FORSIDE!$B$8&gt;=8,FORSIDE!$F$8&gt;=3,FORSIDE!$B$5&gt;=6),788,"")</f>
        <v/>
      </c>
      <c r="B789" t="str">
        <f>IF(AND(FORSIDE!$B$8&gt;=8,FORSIDE!$F$8&gt;=3,FORSIDE!$B$5&gt;=6),354+3*FORSIDE!$F$9,"")</f>
        <v/>
      </c>
      <c r="C789" t="str">
        <f>IF(AND(FORSIDE!$B$8&gt;=8,FORSIDE!$F$8&gt;=3,FORSIDE!$B$5&gt;=6),8*FORSIDE!$B$9,"")</f>
        <v/>
      </c>
      <c r="D789" t="str">
        <f>IF(AND(FORSIDE!$B$8&gt;=8,FORSIDE!$F$8&gt;=3,FORSIDE!$B$5&gt;=6),FORSIDE!$B$6+(6-1)*FORSIDE!$B$7,"")</f>
        <v/>
      </c>
    </row>
    <row r="790" spans="1:4" x14ac:dyDescent="0.3">
      <c r="A790" t="str">
        <f>IF(AND(FORSIDE!$B$8&gt;=8,FORSIDE!$F$8&gt;=3,FORSIDE!$B$5&gt;=7),789,"")</f>
        <v/>
      </c>
      <c r="B790" t="str">
        <f>IF(AND(FORSIDE!$B$8&gt;=8,FORSIDE!$F$8&gt;=3,FORSIDE!$B$5&gt;=7),354+3*FORSIDE!$F$9,"")</f>
        <v/>
      </c>
      <c r="C790" t="str">
        <f>IF(AND(FORSIDE!$B$8&gt;=8,FORSIDE!$F$8&gt;=3,FORSIDE!$B$5&gt;=7),8*FORSIDE!$B$9,"")</f>
        <v/>
      </c>
      <c r="D790" t="str">
        <f>IF(AND(FORSIDE!$B$8&gt;=8,FORSIDE!$F$8&gt;=3,FORSIDE!$B$5&gt;=7),FORSIDE!$B$6+(7-1)*FORSIDE!$B$7,"")</f>
        <v/>
      </c>
    </row>
    <row r="791" spans="1:4" x14ac:dyDescent="0.3">
      <c r="A791" t="str">
        <f>IF(AND(FORSIDE!$B$8&gt;=8,FORSIDE!$F$8&gt;=3,FORSIDE!$B$5&gt;=8),790,"")</f>
        <v/>
      </c>
      <c r="B791" t="str">
        <f>IF(AND(FORSIDE!$B$8&gt;=8,FORSIDE!$F$8&gt;=3,FORSIDE!$B$5&gt;=8),354+3*FORSIDE!$F$9,"")</f>
        <v/>
      </c>
      <c r="C791" t="str">
        <f>IF(AND(FORSIDE!$B$8&gt;=8,FORSIDE!$F$8&gt;=3,FORSIDE!$B$5&gt;=8),8*FORSIDE!$B$9,"")</f>
        <v/>
      </c>
      <c r="D791" t="str">
        <f>IF(AND(FORSIDE!$B$8&gt;=8,FORSIDE!$F$8&gt;=3,FORSIDE!$B$5&gt;=8),FORSIDE!$B$6+(8-1)*FORSIDE!$B$7,"")</f>
        <v/>
      </c>
    </row>
    <row r="792" spans="1:4" x14ac:dyDescent="0.3">
      <c r="A792" t="str">
        <f>IF(AND(FORSIDE!$B$8&gt;=8,FORSIDE!$F$8&gt;=3,FORSIDE!$B$5&gt;=9),791,"")</f>
        <v/>
      </c>
      <c r="B792" t="str">
        <f>IF(AND(FORSIDE!$B$8&gt;=8,FORSIDE!$F$8&gt;=3,FORSIDE!$B$5&gt;=9),354+3*FORSIDE!$F$9,"")</f>
        <v/>
      </c>
      <c r="C792" t="str">
        <f>IF(AND(FORSIDE!$B$8&gt;=8,FORSIDE!$F$8&gt;=3,FORSIDE!$B$5&gt;=9),8*FORSIDE!$B$9,"")</f>
        <v/>
      </c>
      <c r="D792" t="str">
        <f>IF(AND(FORSIDE!$B$8&gt;=8,FORSIDE!$F$8&gt;=3,FORSIDE!$B$5&gt;=9),FORSIDE!$B$6+(9-1)*FORSIDE!$B$7,"")</f>
        <v/>
      </c>
    </row>
    <row r="793" spans="1:4" x14ac:dyDescent="0.3">
      <c r="A793" t="str">
        <f>IF(AND(FORSIDE!$B$8&gt;=8,FORSIDE!$F$8&gt;=3,FORSIDE!$B$5&gt;=10),792,"")</f>
        <v/>
      </c>
      <c r="B793" t="str">
        <f>IF(AND(FORSIDE!$B$8&gt;=8,FORSIDE!$F$8&gt;=3,FORSIDE!$B$5&gt;=10),354+3*FORSIDE!$F$9,"")</f>
        <v/>
      </c>
      <c r="C793" t="str">
        <f>IF(AND(FORSIDE!$B$8&gt;=8,FORSIDE!$F$8&gt;=3,FORSIDE!$B$5&gt;=10),8*FORSIDE!$B$9,"")</f>
        <v/>
      </c>
      <c r="D793" t="str">
        <f>IF(AND(FORSIDE!$B$8&gt;=8,FORSIDE!$F$8&gt;=3,FORSIDE!$B$5&gt;=10),FORSIDE!$B$6+(10-1)*FORSIDE!$B$7,"")</f>
        <v/>
      </c>
    </row>
    <row r="794" spans="1:4" x14ac:dyDescent="0.3">
      <c r="A794" t="str">
        <f>IF(AND(FORSIDE!$B$8&gt;=9,FORSIDE!$F$8&gt;=3,FORSIDE!$B$5&gt;=0),793,"")</f>
        <v/>
      </c>
      <c r="B794" t="str">
        <f>IF(AND(FORSIDE!$B$8&gt;=9,FORSIDE!$F$8&gt;=3,FORSIDE!$B$5&gt;=0),354+3*FORSIDE!$F$9,"")</f>
        <v/>
      </c>
      <c r="C794" t="str">
        <f>IF(AND(FORSIDE!$B$8&gt;=9,FORSIDE!$F$8&gt;=3,FORSIDE!$B$5&gt;=0),9*FORSIDE!$B$9,"")</f>
        <v/>
      </c>
      <c r="D794" t="str">
        <f>IF(AND(FORSIDE!$B$8&gt;=9,FORSIDE!$F$8&gt;=3,FORSIDE!$B$5&gt;=0),0,"")</f>
        <v/>
      </c>
    </row>
    <row r="795" spans="1:4" x14ac:dyDescent="0.3">
      <c r="A795" t="str">
        <f>IF(AND(FORSIDE!$B$8&gt;=9,FORSIDE!$F$8&gt;=3,FORSIDE!$B$5&gt;=1),794,"")</f>
        <v/>
      </c>
      <c r="B795" t="str">
        <f>IF(AND(FORSIDE!$B$8&gt;=9,FORSIDE!$F$8&gt;=3,FORSIDE!$B$5&gt;=1),354+3*FORSIDE!$F$9,"")</f>
        <v/>
      </c>
      <c r="C795" t="str">
        <f>IF(AND(FORSIDE!$B$8&gt;=9,FORSIDE!$F$8&gt;=3,FORSIDE!$B$5&gt;=1),9*FORSIDE!$B$9,"")</f>
        <v/>
      </c>
      <c r="D795" t="str">
        <f>IF(AND(FORSIDE!$B$8&gt;=9,FORSIDE!$F$8&gt;=3,FORSIDE!$B$5&gt;=1),FORSIDE!$B$6+(1-1)*FORSIDE!$B$7,"")</f>
        <v/>
      </c>
    </row>
    <row r="796" spans="1:4" x14ac:dyDescent="0.3">
      <c r="A796" t="str">
        <f>IF(AND(FORSIDE!$B$8&gt;=9,FORSIDE!$F$8&gt;=3,FORSIDE!$B$5&gt;=2),795,"")</f>
        <v/>
      </c>
      <c r="B796" t="str">
        <f>IF(AND(FORSIDE!$B$8&gt;=9,FORSIDE!$F$8&gt;=3,FORSIDE!$B$5&gt;=2),354+3*FORSIDE!$F$9,"")</f>
        <v/>
      </c>
      <c r="C796" t="str">
        <f>IF(AND(FORSIDE!$B$8&gt;=9,FORSIDE!$F$8&gt;=3,FORSIDE!$B$5&gt;=2),9*FORSIDE!$B$9,"")</f>
        <v/>
      </c>
      <c r="D796" t="str">
        <f>IF(AND(FORSIDE!$B$8&gt;=9,FORSIDE!$F$8&gt;=3,FORSIDE!$B$5&gt;=2),FORSIDE!$B$6+(2-1)*FORSIDE!$B$7,"")</f>
        <v/>
      </c>
    </row>
    <row r="797" spans="1:4" x14ac:dyDescent="0.3">
      <c r="A797" t="str">
        <f>IF(AND(FORSIDE!$B$8&gt;=9,FORSIDE!$F$8&gt;=3,FORSIDE!$B$5&gt;=3),796,"")</f>
        <v/>
      </c>
      <c r="B797" t="str">
        <f>IF(AND(FORSIDE!$B$8&gt;=9,FORSIDE!$F$8&gt;=3,FORSIDE!$B$5&gt;=3),354+3*FORSIDE!$F$9,"")</f>
        <v/>
      </c>
      <c r="C797" t="str">
        <f>IF(AND(FORSIDE!$B$8&gt;=9,FORSIDE!$F$8&gt;=3,FORSIDE!$B$5&gt;=3),9*FORSIDE!$B$9,"")</f>
        <v/>
      </c>
      <c r="D797" t="str">
        <f>IF(AND(FORSIDE!$B$8&gt;=9,FORSIDE!$F$8&gt;=3,FORSIDE!$B$5&gt;=3),FORSIDE!$B$6+(3-1)*FORSIDE!$B$7,"")</f>
        <v/>
      </c>
    </row>
    <row r="798" spans="1:4" x14ac:dyDescent="0.3">
      <c r="A798" t="str">
        <f>IF(AND(FORSIDE!$B$8&gt;=9,FORSIDE!$F$8&gt;=3,FORSIDE!$B$5&gt;=4),797,"")</f>
        <v/>
      </c>
      <c r="B798" t="str">
        <f>IF(AND(FORSIDE!$B$8&gt;=9,FORSIDE!$F$8&gt;=3,FORSIDE!$B$5&gt;=4),354+3*FORSIDE!$F$9,"")</f>
        <v/>
      </c>
      <c r="C798" t="str">
        <f>IF(AND(FORSIDE!$B$8&gt;=9,FORSIDE!$F$8&gt;=3,FORSIDE!$B$5&gt;=4),9*FORSIDE!$B$9,"")</f>
        <v/>
      </c>
      <c r="D798" t="str">
        <f>IF(AND(FORSIDE!$B$8&gt;=9,FORSIDE!$F$8&gt;=3,FORSIDE!$B$5&gt;=4),FORSIDE!$B$6+(4-1)*FORSIDE!$B$7,"")</f>
        <v/>
      </c>
    </row>
    <row r="799" spans="1:4" x14ac:dyDescent="0.3">
      <c r="A799" t="str">
        <f>IF(AND(FORSIDE!$B$8&gt;=9,FORSIDE!$F$8&gt;=3,FORSIDE!$B$5&gt;=5),798,"")</f>
        <v/>
      </c>
      <c r="B799" t="str">
        <f>IF(AND(FORSIDE!$B$8&gt;=9,FORSIDE!$F$8&gt;=3,FORSIDE!$B$5&gt;=5),354+3*FORSIDE!$F$9,"")</f>
        <v/>
      </c>
      <c r="C799" t="str">
        <f>IF(AND(FORSIDE!$B$8&gt;=9,FORSIDE!$F$8&gt;=3,FORSIDE!$B$5&gt;=5),9*FORSIDE!$B$9,"")</f>
        <v/>
      </c>
      <c r="D799" t="str">
        <f>IF(AND(FORSIDE!$B$8&gt;=9,FORSIDE!$F$8&gt;=3,FORSIDE!$B$5&gt;=5),FORSIDE!$B$6+(5-1)*FORSIDE!$B$7,"")</f>
        <v/>
      </c>
    </row>
    <row r="800" spans="1:4" x14ac:dyDescent="0.3">
      <c r="A800" t="str">
        <f>IF(AND(FORSIDE!$B$8&gt;=9,FORSIDE!$F$8&gt;=3,FORSIDE!$B$5&gt;=6),799,"")</f>
        <v/>
      </c>
      <c r="B800" t="str">
        <f>IF(AND(FORSIDE!$B$8&gt;=9,FORSIDE!$F$8&gt;=3,FORSIDE!$B$5&gt;=6),354+3*FORSIDE!$F$9,"")</f>
        <v/>
      </c>
      <c r="C800" t="str">
        <f>IF(AND(FORSIDE!$B$8&gt;=9,FORSIDE!$F$8&gt;=3,FORSIDE!$B$5&gt;=6),9*FORSIDE!$B$9,"")</f>
        <v/>
      </c>
      <c r="D800" t="str">
        <f>IF(AND(FORSIDE!$B$8&gt;=9,FORSIDE!$F$8&gt;=3,FORSIDE!$B$5&gt;=6),FORSIDE!$B$6+(6-1)*FORSIDE!$B$7,"")</f>
        <v/>
      </c>
    </row>
    <row r="801" spans="1:4" x14ac:dyDescent="0.3">
      <c r="A801" t="str">
        <f>IF(AND(FORSIDE!$B$8&gt;=9,FORSIDE!$F$8&gt;=3,FORSIDE!$B$5&gt;=7),800,"")</f>
        <v/>
      </c>
      <c r="B801" t="str">
        <f>IF(AND(FORSIDE!$B$8&gt;=9,FORSIDE!$F$8&gt;=3,FORSIDE!$B$5&gt;=7),354+3*FORSIDE!$F$9,"")</f>
        <v/>
      </c>
      <c r="C801" t="str">
        <f>IF(AND(FORSIDE!$B$8&gt;=9,FORSIDE!$F$8&gt;=3,FORSIDE!$B$5&gt;=7),9*FORSIDE!$B$9,"")</f>
        <v/>
      </c>
      <c r="D801" t="str">
        <f>IF(AND(FORSIDE!$B$8&gt;=9,FORSIDE!$F$8&gt;=3,FORSIDE!$B$5&gt;=7),FORSIDE!$B$6+(7-1)*FORSIDE!$B$7,"")</f>
        <v/>
      </c>
    </row>
    <row r="802" spans="1:4" x14ac:dyDescent="0.3">
      <c r="A802" t="str">
        <f>IF(AND(FORSIDE!$B$8&gt;=9,FORSIDE!$F$8&gt;=3,FORSIDE!$B$5&gt;=8),801,"")</f>
        <v/>
      </c>
      <c r="B802" t="str">
        <f>IF(AND(FORSIDE!$B$8&gt;=9,FORSIDE!$F$8&gt;=3,FORSIDE!$B$5&gt;=8),354+3*FORSIDE!$F$9,"")</f>
        <v/>
      </c>
      <c r="C802" t="str">
        <f>IF(AND(FORSIDE!$B$8&gt;=9,FORSIDE!$F$8&gt;=3,FORSIDE!$B$5&gt;=8),9*FORSIDE!$B$9,"")</f>
        <v/>
      </c>
      <c r="D802" t="str">
        <f>IF(AND(FORSIDE!$B$8&gt;=9,FORSIDE!$F$8&gt;=3,FORSIDE!$B$5&gt;=8),FORSIDE!$B$6+(8-1)*FORSIDE!$B$7,"")</f>
        <v/>
      </c>
    </row>
    <row r="803" spans="1:4" x14ac:dyDescent="0.3">
      <c r="A803" t="str">
        <f>IF(AND(FORSIDE!$B$8&gt;=9,FORSIDE!$F$8&gt;=3,FORSIDE!$B$5&gt;=9),802,"")</f>
        <v/>
      </c>
      <c r="B803" t="str">
        <f>IF(AND(FORSIDE!$B$8&gt;=9,FORSIDE!$F$8&gt;=3,FORSIDE!$B$5&gt;=9),354+3*FORSIDE!$F$9,"")</f>
        <v/>
      </c>
      <c r="C803" t="str">
        <f>IF(AND(FORSIDE!$B$8&gt;=9,FORSIDE!$F$8&gt;=3,FORSIDE!$B$5&gt;=9),9*FORSIDE!$B$9,"")</f>
        <v/>
      </c>
      <c r="D803" t="str">
        <f>IF(AND(FORSIDE!$B$8&gt;=9,FORSIDE!$F$8&gt;=3,FORSIDE!$B$5&gt;=9),FORSIDE!$B$6+(9-1)*FORSIDE!$B$7,"")</f>
        <v/>
      </c>
    </row>
    <row r="804" spans="1:4" x14ac:dyDescent="0.3">
      <c r="A804" t="str">
        <f>IF(AND(FORSIDE!$B$8&gt;=9,FORSIDE!$F$8&gt;=3,FORSIDE!$B$5&gt;=10),803,"")</f>
        <v/>
      </c>
      <c r="B804" t="str">
        <f>IF(AND(FORSIDE!$B$8&gt;=9,FORSIDE!$F$8&gt;=3,FORSIDE!$B$5&gt;=10),354+3*FORSIDE!$F$9,"")</f>
        <v/>
      </c>
      <c r="C804" t="str">
        <f>IF(AND(FORSIDE!$B$8&gt;=9,FORSIDE!$F$8&gt;=3,FORSIDE!$B$5&gt;=10),9*FORSIDE!$B$9,"")</f>
        <v/>
      </c>
      <c r="D804" t="str">
        <f>IF(AND(FORSIDE!$B$8&gt;=9,FORSIDE!$F$8&gt;=3,FORSIDE!$B$5&gt;=10),FORSIDE!$B$6+(10-1)*FORSIDE!$B$7,"")</f>
        <v/>
      </c>
    </row>
    <row r="805" spans="1:4" x14ac:dyDescent="0.3">
      <c r="A805" t="str">
        <f>IF(AND(FORSIDE!$B$8&gt;=10,FORSIDE!$F$8&gt;=3,FORSIDE!$B$5&gt;=0),804,"")</f>
        <v/>
      </c>
      <c r="B805" t="str">
        <f>IF(AND(FORSIDE!$B$8&gt;=10,FORSIDE!$F$8&gt;=3,FORSIDE!$B$5&gt;=0),354+3*FORSIDE!$F$9,"")</f>
        <v/>
      </c>
      <c r="C805" t="str">
        <f>IF(AND(FORSIDE!$B$8&gt;=10,FORSIDE!$F$8&gt;=3,FORSIDE!$B$5&gt;=0),10*FORSIDE!$B$9,"")</f>
        <v/>
      </c>
      <c r="D805" t="str">
        <f>IF(AND(FORSIDE!$B$8&gt;=10,FORSIDE!$F$8&gt;=3,FORSIDE!$B$5&gt;=0),0,"")</f>
        <v/>
      </c>
    </row>
    <row r="806" spans="1:4" x14ac:dyDescent="0.3">
      <c r="A806" t="str">
        <f>IF(AND(FORSIDE!$B$8&gt;=10,FORSIDE!$F$8&gt;=3,FORSIDE!$B$5&gt;=1),805,"")</f>
        <v/>
      </c>
      <c r="B806" t="str">
        <f>IF(AND(FORSIDE!$B$8&gt;=10,FORSIDE!$F$8&gt;=3,FORSIDE!$B$5&gt;=1),354+3*FORSIDE!$F$9,"")</f>
        <v/>
      </c>
      <c r="C806" t="str">
        <f>IF(AND(FORSIDE!$B$8&gt;=10,FORSIDE!$F$8&gt;=3,FORSIDE!$B$5&gt;=1),10*FORSIDE!$B$9,"")</f>
        <v/>
      </c>
      <c r="D806" t="str">
        <f>IF(AND(FORSIDE!$B$8&gt;=10,FORSIDE!$F$8&gt;=3,FORSIDE!$B$5&gt;=1),FORSIDE!$B$6+(1-1)*FORSIDE!$B$7,"")</f>
        <v/>
      </c>
    </row>
    <row r="807" spans="1:4" x14ac:dyDescent="0.3">
      <c r="A807" t="str">
        <f>IF(AND(FORSIDE!$B$8&gt;=10,FORSIDE!$F$8&gt;=3,FORSIDE!$B$5&gt;=2),806,"")</f>
        <v/>
      </c>
      <c r="B807" t="str">
        <f>IF(AND(FORSIDE!$B$8&gt;=10,FORSIDE!$F$8&gt;=3,FORSIDE!$B$5&gt;=2),354+3*FORSIDE!$F$9,"")</f>
        <v/>
      </c>
      <c r="C807" t="str">
        <f>IF(AND(FORSIDE!$B$8&gt;=10,FORSIDE!$F$8&gt;=3,FORSIDE!$B$5&gt;=2),10*FORSIDE!$B$9,"")</f>
        <v/>
      </c>
      <c r="D807" t="str">
        <f>IF(AND(FORSIDE!$B$8&gt;=10,FORSIDE!$F$8&gt;=3,FORSIDE!$B$5&gt;=2),FORSIDE!$B$6+(2-1)*FORSIDE!$B$7,"")</f>
        <v/>
      </c>
    </row>
    <row r="808" spans="1:4" x14ac:dyDescent="0.3">
      <c r="A808" t="str">
        <f>IF(AND(FORSIDE!$B$8&gt;=10,FORSIDE!$F$8&gt;=3,FORSIDE!$B$5&gt;=3),807,"")</f>
        <v/>
      </c>
      <c r="B808" t="str">
        <f>IF(AND(FORSIDE!$B$8&gt;=10,FORSIDE!$F$8&gt;=3,FORSIDE!$B$5&gt;=3),354+3*FORSIDE!$F$9,"")</f>
        <v/>
      </c>
      <c r="C808" t="str">
        <f>IF(AND(FORSIDE!$B$8&gt;=10,FORSIDE!$F$8&gt;=3,FORSIDE!$B$5&gt;=3),10*FORSIDE!$B$9,"")</f>
        <v/>
      </c>
      <c r="D808" t="str">
        <f>IF(AND(FORSIDE!$B$8&gt;=10,FORSIDE!$F$8&gt;=3,FORSIDE!$B$5&gt;=3),FORSIDE!$B$6+(3-1)*FORSIDE!$B$7,"")</f>
        <v/>
      </c>
    </row>
    <row r="809" spans="1:4" x14ac:dyDescent="0.3">
      <c r="A809" t="str">
        <f>IF(AND(FORSIDE!$B$8&gt;=10,FORSIDE!$F$8&gt;=3,FORSIDE!$B$5&gt;=4),808,"")</f>
        <v/>
      </c>
      <c r="B809" t="str">
        <f>IF(AND(FORSIDE!$B$8&gt;=10,FORSIDE!$F$8&gt;=3,FORSIDE!$B$5&gt;=4),354+3*FORSIDE!$F$9,"")</f>
        <v/>
      </c>
      <c r="C809" t="str">
        <f>IF(AND(FORSIDE!$B$8&gt;=10,FORSIDE!$F$8&gt;=3,FORSIDE!$B$5&gt;=4),10*FORSIDE!$B$9,"")</f>
        <v/>
      </c>
      <c r="D809" t="str">
        <f>IF(AND(FORSIDE!$B$8&gt;=10,FORSIDE!$F$8&gt;=3,FORSIDE!$B$5&gt;=4),FORSIDE!$B$6+(4-1)*FORSIDE!$B$7,"")</f>
        <v/>
      </c>
    </row>
    <row r="810" spans="1:4" x14ac:dyDescent="0.3">
      <c r="A810" t="str">
        <f>IF(AND(FORSIDE!$B$8&gt;=10,FORSIDE!$F$8&gt;=3,FORSIDE!$B$5&gt;=5),809,"")</f>
        <v/>
      </c>
      <c r="B810" t="str">
        <f>IF(AND(FORSIDE!$B$8&gt;=10,FORSIDE!$F$8&gt;=3,FORSIDE!$B$5&gt;=5),354+3*FORSIDE!$F$9,"")</f>
        <v/>
      </c>
      <c r="C810" t="str">
        <f>IF(AND(FORSIDE!$B$8&gt;=10,FORSIDE!$F$8&gt;=3,FORSIDE!$B$5&gt;=5),10*FORSIDE!$B$9,"")</f>
        <v/>
      </c>
      <c r="D810" t="str">
        <f>IF(AND(FORSIDE!$B$8&gt;=10,FORSIDE!$F$8&gt;=3,FORSIDE!$B$5&gt;=5),FORSIDE!$B$6+(5-1)*FORSIDE!$B$7,"")</f>
        <v/>
      </c>
    </row>
    <row r="811" spans="1:4" x14ac:dyDescent="0.3">
      <c r="A811" t="str">
        <f>IF(AND(FORSIDE!$B$8&gt;=10,FORSIDE!$F$8&gt;=3,FORSIDE!$B$5&gt;=6),810,"")</f>
        <v/>
      </c>
      <c r="B811" t="str">
        <f>IF(AND(FORSIDE!$B$8&gt;=10,FORSIDE!$F$8&gt;=3,FORSIDE!$B$5&gt;=6),354+3*FORSIDE!$F$9,"")</f>
        <v/>
      </c>
      <c r="C811" t="str">
        <f>IF(AND(FORSIDE!$B$8&gt;=10,FORSIDE!$F$8&gt;=3,FORSIDE!$B$5&gt;=6),10*FORSIDE!$B$9,"")</f>
        <v/>
      </c>
      <c r="D811" t="str">
        <f>IF(AND(FORSIDE!$B$8&gt;=10,FORSIDE!$F$8&gt;=3,FORSIDE!$B$5&gt;=6),FORSIDE!$B$6+(6-1)*FORSIDE!$B$7,"")</f>
        <v/>
      </c>
    </row>
    <row r="812" spans="1:4" x14ac:dyDescent="0.3">
      <c r="A812" t="str">
        <f>IF(AND(FORSIDE!$B$8&gt;=10,FORSIDE!$F$8&gt;=3,FORSIDE!$B$5&gt;=7),811,"")</f>
        <v/>
      </c>
      <c r="B812" t="str">
        <f>IF(AND(FORSIDE!$B$8&gt;=10,FORSIDE!$F$8&gt;=3,FORSIDE!$B$5&gt;=7),354+3*FORSIDE!$F$9,"")</f>
        <v/>
      </c>
      <c r="C812" t="str">
        <f>IF(AND(FORSIDE!$B$8&gt;=10,FORSIDE!$F$8&gt;=3,FORSIDE!$B$5&gt;=7),10*FORSIDE!$B$9,"")</f>
        <v/>
      </c>
      <c r="D812" t="str">
        <f>IF(AND(FORSIDE!$B$8&gt;=10,FORSIDE!$F$8&gt;=3,FORSIDE!$B$5&gt;=7),FORSIDE!$B$6+(7-1)*FORSIDE!$B$7,"")</f>
        <v/>
      </c>
    </row>
    <row r="813" spans="1:4" x14ac:dyDescent="0.3">
      <c r="A813" t="str">
        <f>IF(AND(FORSIDE!$B$8&gt;=10,FORSIDE!$F$8&gt;=3,FORSIDE!$B$5&gt;=8),812,"")</f>
        <v/>
      </c>
      <c r="B813" t="str">
        <f>IF(AND(FORSIDE!$B$8&gt;=10,FORSIDE!$F$8&gt;=3,FORSIDE!$B$5&gt;=8),354+3*FORSIDE!$F$9,"")</f>
        <v/>
      </c>
      <c r="C813" t="str">
        <f>IF(AND(FORSIDE!$B$8&gt;=10,FORSIDE!$F$8&gt;=3,FORSIDE!$B$5&gt;=8),10*FORSIDE!$B$9,"")</f>
        <v/>
      </c>
      <c r="D813" t="str">
        <f>IF(AND(FORSIDE!$B$8&gt;=10,FORSIDE!$F$8&gt;=3,FORSIDE!$B$5&gt;=8),FORSIDE!$B$6+(8-1)*FORSIDE!$B$7,"")</f>
        <v/>
      </c>
    </row>
    <row r="814" spans="1:4" x14ac:dyDescent="0.3">
      <c r="A814" t="str">
        <f>IF(AND(FORSIDE!$B$8&gt;=10,FORSIDE!$F$8&gt;=3,FORSIDE!$B$5&gt;=9),813,"")</f>
        <v/>
      </c>
      <c r="B814" t="str">
        <f>IF(AND(FORSIDE!$B$8&gt;=10,FORSIDE!$F$8&gt;=3,FORSIDE!$B$5&gt;=9),354+3*FORSIDE!$F$9,"")</f>
        <v/>
      </c>
      <c r="C814" t="str">
        <f>IF(AND(FORSIDE!$B$8&gt;=10,FORSIDE!$F$8&gt;=3,FORSIDE!$B$5&gt;=9),10*FORSIDE!$B$9,"")</f>
        <v/>
      </c>
      <c r="D814" t="str">
        <f>IF(AND(FORSIDE!$B$8&gt;=10,FORSIDE!$F$8&gt;=3,FORSIDE!$B$5&gt;=9),FORSIDE!$B$6+(9-1)*FORSIDE!$B$7,"")</f>
        <v/>
      </c>
    </row>
    <row r="815" spans="1:4" x14ac:dyDescent="0.3">
      <c r="A815" t="str">
        <f>IF(AND(FORSIDE!$B$8&gt;=10,FORSIDE!$F$8&gt;=3,FORSIDE!$B$5&gt;=10),814,"")</f>
        <v/>
      </c>
      <c r="B815" t="str">
        <f>IF(AND(FORSIDE!$B$8&gt;=10,FORSIDE!$F$8&gt;=3,FORSIDE!$B$5&gt;=10),354+3*FORSIDE!$F$9,"")</f>
        <v/>
      </c>
      <c r="C815" t="str">
        <f>IF(AND(FORSIDE!$B$8&gt;=10,FORSIDE!$F$8&gt;=3,FORSIDE!$B$5&gt;=10),10*FORSIDE!$B$9,"")</f>
        <v/>
      </c>
      <c r="D815" t="str">
        <f>IF(AND(FORSIDE!$B$8&gt;=10,FORSIDE!$F$8&gt;=3,FORSIDE!$B$5&gt;=10),FORSIDE!$B$6+(10-1)*FORSIDE!$B$7,"")</f>
        <v/>
      </c>
    </row>
    <row r="816" spans="1:4" x14ac:dyDescent="0.3">
      <c r="A816" t="str">
        <f>IF(AND(FORSIDE!$B$8&gt;=11,FORSIDE!$F$8&gt;=3,FORSIDE!$B$5&gt;=0),815,"")</f>
        <v/>
      </c>
      <c r="B816" t="str">
        <f>IF(AND(FORSIDE!$B$8&gt;=11,FORSIDE!$F$8&gt;=3,FORSIDE!$B$5&gt;=0),354+3*FORSIDE!$F$9,"")</f>
        <v/>
      </c>
      <c r="C816" t="str">
        <f>IF(AND(FORSIDE!$B$8&gt;=11,FORSIDE!$F$8&gt;=3,FORSIDE!$B$5&gt;=0),11*FORSIDE!$B$9,"")</f>
        <v/>
      </c>
      <c r="D816" t="str">
        <f>IF(AND(FORSIDE!$B$8&gt;=11,FORSIDE!$F$8&gt;=3,FORSIDE!$B$5&gt;=0),0,"")</f>
        <v/>
      </c>
    </row>
    <row r="817" spans="1:4" x14ac:dyDescent="0.3">
      <c r="A817" t="str">
        <f>IF(AND(FORSIDE!$B$8&gt;=11,FORSIDE!$F$8&gt;=3,FORSIDE!$B$5&gt;=1),816,"")</f>
        <v/>
      </c>
      <c r="B817" t="str">
        <f>IF(AND(FORSIDE!$B$8&gt;=11,FORSIDE!$F$8&gt;=3,FORSIDE!$B$5&gt;=1),354+3*FORSIDE!$F$9,"")</f>
        <v/>
      </c>
      <c r="C817" t="str">
        <f>IF(AND(FORSIDE!$B$8&gt;=11,FORSIDE!$F$8&gt;=3,FORSIDE!$B$5&gt;=1),11*FORSIDE!$B$9,"")</f>
        <v/>
      </c>
      <c r="D817" t="str">
        <f>IF(AND(FORSIDE!$B$8&gt;=11,FORSIDE!$F$8&gt;=3,FORSIDE!$B$5&gt;=1),FORSIDE!$B$6+(1-1)*FORSIDE!$B$7,"")</f>
        <v/>
      </c>
    </row>
    <row r="818" spans="1:4" x14ac:dyDescent="0.3">
      <c r="A818" t="str">
        <f>IF(AND(FORSIDE!$B$8&gt;=11,FORSIDE!$F$8&gt;=3,FORSIDE!$B$5&gt;=2),817,"")</f>
        <v/>
      </c>
      <c r="B818" t="str">
        <f>IF(AND(FORSIDE!$B$8&gt;=11,FORSIDE!$F$8&gt;=3,FORSIDE!$B$5&gt;=2),354+3*FORSIDE!$F$9,"")</f>
        <v/>
      </c>
      <c r="C818" t="str">
        <f>IF(AND(FORSIDE!$B$8&gt;=11,FORSIDE!$F$8&gt;=3,FORSIDE!$B$5&gt;=2),11*FORSIDE!$B$9,"")</f>
        <v/>
      </c>
      <c r="D818" t="str">
        <f>IF(AND(FORSIDE!$B$8&gt;=11,FORSIDE!$F$8&gt;=3,FORSIDE!$B$5&gt;=2),FORSIDE!$B$6+(2-1)*FORSIDE!$B$7,"")</f>
        <v/>
      </c>
    </row>
    <row r="819" spans="1:4" x14ac:dyDescent="0.3">
      <c r="A819" t="str">
        <f>IF(AND(FORSIDE!$B$8&gt;=11,FORSIDE!$F$8&gt;=3,FORSIDE!$B$5&gt;=3),818,"")</f>
        <v/>
      </c>
      <c r="B819" t="str">
        <f>IF(AND(FORSIDE!$B$8&gt;=11,FORSIDE!$F$8&gt;=3,FORSIDE!$B$5&gt;=3),354+3*FORSIDE!$F$9,"")</f>
        <v/>
      </c>
      <c r="C819" t="str">
        <f>IF(AND(FORSIDE!$B$8&gt;=11,FORSIDE!$F$8&gt;=3,FORSIDE!$B$5&gt;=3),11*FORSIDE!$B$9,"")</f>
        <v/>
      </c>
      <c r="D819" t="str">
        <f>IF(AND(FORSIDE!$B$8&gt;=11,FORSIDE!$F$8&gt;=3,FORSIDE!$B$5&gt;=3),FORSIDE!$B$6+(3-1)*FORSIDE!$B$7,"")</f>
        <v/>
      </c>
    </row>
    <row r="820" spans="1:4" x14ac:dyDescent="0.3">
      <c r="A820" t="str">
        <f>IF(AND(FORSIDE!$B$8&gt;=11,FORSIDE!$F$8&gt;=3,FORSIDE!$B$5&gt;=4),819,"")</f>
        <v/>
      </c>
      <c r="B820" t="str">
        <f>IF(AND(FORSIDE!$B$8&gt;=11,FORSIDE!$F$8&gt;=3,FORSIDE!$B$5&gt;=4),354+3*FORSIDE!$F$9,"")</f>
        <v/>
      </c>
      <c r="C820" t="str">
        <f>IF(AND(FORSIDE!$B$8&gt;=11,FORSIDE!$F$8&gt;=3,FORSIDE!$B$5&gt;=4),11*FORSIDE!$B$9,"")</f>
        <v/>
      </c>
      <c r="D820" t="str">
        <f>IF(AND(FORSIDE!$B$8&gt;=11,FORSIDE!$F$8&gt;=3,FORSIDE!$B$5&gt;=4),FORSIDE!$B$6+(4-1)*FORSIDE!$B$7,"")</f>
        <v/>
      </c>
    </row>
    <row r="821" spans="1:4" x14ac:dyDescent="0.3">
      <c r="A821" t="str">
        <f>IF(AND(FORSIDE!$B$8&gt;=11,FORSIDE!$F$8&gt;=3,FORSIDE!$B$5&gt;=5),820,"")</f>
        <v/>
      </c>
      <c r="B821" t="str">
        <f>IF(AND(FORSIDE!$B$8&gt;=11,FORSIDE!$F$8&gt;=3,FORSIDE!$B$5&gt;=5),354+3*FORSIDE!$F$9,"")</f>
        <v/>
      </c>
      <c r="C821" t="str">
        <f>IF(AND(FORSIDE!$B$8&gt;=11,FORSIDE!$F$8&gt;=3,FORSIDE!$B$5&gt;=5),11*FORSIDE!$B$9,"")</f>
        <v/>
      </c>
      <c r="D821" t="str">
        <f>IF(AND(FORSIDE!$B$8&gt;=11,FORSIDE!$F$8&gt;=3,FORSIDE!$B$5&gt;=5),FORSIDE!$B$6+(5-1)*FORSIDE!$B$7,"")</f>
        <v/>
      </c>
    </row>
    <row r="822" spans="1:4" x14ac:dyDescent="0.3">
      <c r="A822" t="str">
        <f>IF(AND(FORSIDE!$B$8&gt;=11,FORSIDE!$F$8&gt;=3,FORSIDE!$B$5&gt;=6),821,"")</f>
        <v/>
      </c>
      <c r="B822" t="str">
        <f>IF(AND(FORSIDE!$B$8&gt;=11,FORSIDE!$F$8&gt;=3,FORSIDE!$B$5&gt;=6),354+3*FORSIDE!$F$9,"")</f>
        <v/>
      </c>
      <c r="C822" t="str">
        <f>IF(AND(FORSIDE!$B$8&gt;=11,FORSIDE!$F$8&gt;=3,FORSIDE!$B$5&gt;=6),11*FORSIDE!$B$9,"")</f>
        <v/>
      </c>
      <c r="D822" t="str">
        <f>IF(AND(FORSIDE!$B$8&gt;=11,FORSIDE!$F$8&gt;=3,FORSIDE!$B$5&gt;=6),FORSIDE!$B$6+(6-1)*FORSIDE!$B$7,"")</f>
        <v/>
      </c>
    </row>
    <row r="823" spans="1:4" x14ac:dyDescent="0.3">
      <c r="A823" t="str">
        <f>IF(AND(FORSIDE!$B$8&gt;=11,FORSIDE!$F$8&gt;=3,FORSIDE!$B$5&gt;=7),822,"")</f>
        <v/>
      </c>
      <c r="B823" t="str">
        <f>IF(AND(FORSIDE!$B$8&gt;=11,FORSIDE!$F$8&gt;=3,FORSIDE!$B$5&gt;=7),354+3*FORSIDE!$F$9,"")</f>
        <v/>
      </c>
      <c r="C823" t="str">
        <f>IF(AND(FORSIDE!$B$8&gt;=11,FORSIDE!$F$8&gt;=3,FORSIDE!$B$5&gt;=7),11*FORSIDE!$B$9,"")</f>
        <v/>
      </c>
      <c r="D823" t="str">
        <f>IF(AND(FORSIDE!$B$8&gt;=11,FORSIDE!$F$8&gt;=3,FORSIDE!$B$5&gt;=7),FORSIDE!$B$6+(7-1)*FORSIDE!$B$7,"")</f>
        <v/>
      </c>
    </row>
    <row r="824" spans="1:4" x14ac:dyDescent="0.3">
      <c r="A824" t="str">
        <f>IF(AND(FORSIDE!$B$8&gt;=11,FORSIDE!$F$8&gt;=3,FORSIDE!$B$5&gt;=8),823,"")</f>
        <v/>
      </c>
      <c r="B824" t="str">
        <f>IF(AND(FORSIDE!$B$8&gt;=11,FORSIDE!$F$8&gt;=3,FORSIDE!$B$5&gt;=8),354+3*FORSIDE!$F$9,"")</f>
        <v/>
      </c>
      <c r="C824" t="str">
        <f>IF(AND(FORSIDE!$B$8&gt;=11,FORSIDE!$F$8&gt;=3,FORSIDE!$B$5&gt;=8),11*FORSIDE!$B$9,"")</f>
        <v/>
      </c>
      <c r="D824" t="str">
        <f>IF(AND(FORSIDE!$B$8&gt;=11,FORSIDE!$F$8&gt;=3,FORSIDE!$B$5&gt;=8),FORSIDE!$B$6+(8-1)*FORSIDE!$B$7,"")</f>
        <v/>
      </c>
    </row>
    <row r="825" spans="1:4" x14ac:dyDescent="0.3">
      <c r="A825" t="str">
        <f>IF(AND(FORSIDE!$B$8&gt;=11,FORSIDE!$F$8&gt;=3,FORSIDE!$B$5&gt;=9),824,"")</f>
        <v/>
      </c>
      <c r="B825" t="str">
        <f>IF(AND(FORSIDE!$B$8&gt;=11,FORSIDE!$F$8&gt;=3,FORSIDE!$B$5&gt;=9),354+3*FORSIDE!$F$9,"")</f>
        <v/>
      </c>
      <c r="C825" t="str">
        <f>IF(AND(FORSIDE!$B$8&gt;=11,FORSIDE!$F$8&gt;=3,FORSIDE!$B$5&gt;=9),11*FORSIDE!$B$9,"")</f>
        <v/>
      </c>
      <c r="D825" t="str">
        <f>IF(AND(FORSIDE!$B$8&gt;=11,FORSIDE!$F$8&gt;=3,FORSIDE!$B$5&gt;=9),FORSIDE!$B$6+(9-1)*FORSIDE!$B$7,"")</f>
        <v/>
      </c>
    </row>
    <row r="826" spans="1:4" x14ac:dyDescent="0.3">
      <c r="A826" t="str">
        <f>IF(AND(FORSIDE!$B$8&gt;=11,FORSIDE!$F$8&gt;=3,FORSIDE!$B$5&gt;=10),825,"")</f>
        <v/>
      </c>
      <c r="B826" t="str">
        <f>IF(AND(FORSIDE!$B$8&gt;=11,FORSIDE!$F$8&gt;=3,FORSIDE!$B$5&gt;=10),354+3*FORSIDE!$F$9,"")</f>
        <v/>
      </c>
      <c r="C826" t="str">
        <f>IF(AND(FORSIDE!$B$8&gt;=11,FORSIDE!$F$8&gt;=3,FORSIDE!$B$5&gt;=10),11*FORSIDE!$B$9,"")</f>
        <v/>
      </c>
      <c r="D826" t="str">
        <f>IF(AND(FORSIDE!$B$8&gt;=11,FORSIDE!$F$8&gt;=3,FORSIDE!$B$5&gt;=10),FORSIDE!$B$6+(10-1)*FORSIDE!$B$7,"")</f>
        <v/>
      </c>
    </row>
    <row r="827" spans="1:4" x14ac:dyDescent="0.3">
      <c r="A827" t="str">
        <f>IF(AND(FORSIDE!$B$8&gt;=12,FORSIDE!$F$8&gt;=3,FORSIDE!$B$5&gt;=0),826,"")</f>
        <v/>
      </c>
      <c r="B827" t="str">
        <f>IF(AND(FORSIDE!$B$8&gt;=12,FORSIDE!$F$8&gt;=3,FORSIDE!$B$5&gt;=0),354+3*FORSIDE!$F$9,"")</f>
        <v/>
      </c>
      <c r="C827" t="str">
        <f>IF(AND(FORSIDE!$B$8&gt;=12,FORSIDE!$F$8&gt;=3,FORSIDE!$B$5&gt;=0),12*FORSIDE!$B$9,"")</f>
        <v/>
      </c>
      <c r="D827" t="str">
        <f>IF(AND(FORSIDE!$B$8&gt;=12,FORSIDE!$F$8&gt;=3,FORSIDE!$B$5&gt;=0),0,"")</f>
        <v/>
      </c>
    </row>
    <row r="828" spans="1:4" x14ac:dyDescent="0.3">
      <c r="A828" t="str">
        <f>IF(AND(FORSIDE!$B$8&gt;=12,FORSIDE!$F$8&gt;=3,FORSIDE!$B$5&gt;=1),827,"")</f>
        <v/>
      </c>
      <c r="B828" t="str">
        <f>IF(AND(FORSIDE!$B$8&gt;=12,FORSIDE!$F$8&gt;=3,FORSIDE!$B$5&gt;=1),354+3*FORSIDE!$F$9,"")</f>
        <v/>
      </c>
      <c r="C828" t="str">
        <f>IF(AND(FORSIDE!$B$8&gt;=12,FORSIDE!$F$8&gt;=3,FORSIDE!$B$5&gt;=1),12*FORSIDE!$B$9,"")</f>
        <v/>
      </c>
      <c r="D828" t="str">
        <f>IF(AND(FORSIDE!$B$8&gt;=12,FORSIDE!$F$8&gt;=3,FORSIDE!$B$5&gt;=1),FORSIDE!$B$6+(1-1)*FORSIDE!$B$7,"")</f>
        <v/>
      </c>
    </row>
    <row r="829" spans="1:4" x14ac:dyDescent="0.3">
      <c r="A829" t="str">
        <f>IF(AND(FORSIDE!$B$8&gt;=12,FORSIDE!$F$8&gt;=3,FORSIDE!$B$5&gt;=2),828,"")</f>
        <v/>
      </c>
      <c r="B829" t="str">
        <f>IF(AND(FORSIDE!$B$8&gt;=12,FORSIDE!$F$8&gt;=3,FORSIDE!$B$5&gt;=2),354+3*FORSIDE!$F$9,"")</f>
        <v/>
      </c>
      <c r="C829" t="str">
        <f>IF(AND(FORSIDE!$B$8&gt;=12,FORSIDE!$F$8&gt;=3,FORSIDE!$B$5&gt;=2),12*FORSIDE!$B$9,"")</f>
        <v/>
      </c>
      <c r="D829" t="str">
        <f>IF(AND(FORSIDE!$B$8&gt;=12,FORSIDE!$F$8&gt;=3,FORSIDE!$B$5&gt;=2),FORSIDE!$B$6+(2-1)*FORSIDE!$B$7,"")</f>
        <v/>
      </c>
    </row>
    <row r="830" spans="1:4" x14ac:dyDescent="0.3">
      <c r="A830" t="str">
        <f>IF(AND(FORSIDE!$B$8&gt;=12,FORSIDE!$F$8&gt;=3,FORSIDE!$B$5&gt;=3),829,"")</f>
        <v/>
      </c>
      <c r="B830" t="str">
        <f>IF(AND(FORSIDE!$B$8&gt;=12,FORSIDE!$F$8&gt;=3,FORSIDE!$B$5&gt;=3),354+3*FORSIDE!$F$9,"")</f>
        <v/>
      </c>
      <c r="C830" t="str">
        <f>IF(AND(FORSIDE!$B$8&gt;=12,FORSIDE!$F$8&gt;=3,FORSIDE!$B$5&gt;=3),12*FORSIDE!$B$9,"")</f>
        <v/>
      </c>
      <c r="D830" t="str">
        <f>IF(AND(FORSIDE!$B$8&gt;=12,FORSIDE!$F$8&gt;=3,FORSIDE!$B$5&gt;=3),FORSIDE!$B$6+(3-1)*FORSIDE!$B$7,"")</f>
        <v/>
      </c>
    </row>
    <row r="831" spans="1:4" x14ac:dyDescent="0.3">
      <c r="A831" t="str">
        <f>IF(AND(FORSIDE!$B$8&gt;=12,FORSIDE!$F$8&gt;=3,FORSIDE!$B$5&gt;=4),830,"")</f>
        <v/>
      </c>
      <c r="B831" t="str">
        <f>IF(AND(FORSIDE!$B$8&gt;=12,FORSIDE!$F$8&gt;=3,FORSIDE!$B$5&gt;=4),354+3*FORSIDE!$F$9,"")</f>
        <v/>
      </c>
      <c r="C831" t="str">
        <f>IF(AND(FORSIDE!$B$8&gt;=12,FORSIDE!$F$8&gt;=3,FORSIDE!$B$5&gt;=4),12*FORSIDE!$B$9,"")</f>
        <v/>
      </c>
      <c r="D831" t="str">
        <f>IF(AND(FORSIDE!$B$8&gt;=12,FORSIDE!$F$8&gt;=3,FORSIDE!$B$5&gt;=4),FORSIDE!$B$6+(4-1)*FORSIDE!$B$7,"")</f>
        <v/>
      </c>
    </row>
    <row r="832" spans="1:4" x14ac:dyDescent="0.3">
      <c r="A832" t="str">
        <f>IF(AND(FORSIDE!$B$8&gt;=12,FORSIDE!$F$8&gt;=3,FORSIDE!$B$5&gt;=5),831,"")</f>
        <v/>
      </c>
      <c r="B832" t="str">
        <f>IF(AND(FORSIDE!$B$8&gt;=12,FORSIDE!$F$8&gt;=3,FORSIDE!$B$5&gt;=5),354+3*FORSIDE!$F$9,"")</f>
        <v/>
      </c>
      <c r="C832" t="str">
        <f>IF(AND(FORSIDE!$B$8&gt;=12,FORSIDE!$F$8&gt;=3,FORSIDE!$B$5&gt;=5),12*FORSIDE!$B$9,"")</f>
        <v/>
      </c>
      <c r="D832" t="str">
        <f>IF(AND(FORSIDE!$B$8&gt;=12,FORSIDE!$F$8&gt;=3,FORSIDE!$B$5&gt;=5),FORSIDE!$B$6+(5-1)*FORSIDE!$B$7,"")</f>
        <v/>
      </c>
    </row>
    <row r="833" spans="1:4" x14ac:dyDescent="0.3">
      <c r="A833" t="str">
        <f>IF(AND(FORSIDE!$B$8&gt;=12,FORSIDE!$F$8&gt;=3,FORSIDE!$B$5&gt;=6),832,"")</f>
        <v/>
      </c>
      <c r="B833" t="str">
        <f>IF(AND(FORSIDE!$B$8&gt;=12,FORSIDE!$F$8&gt;=3,FORSIDE!$B$5&gt;=6),354+3*FORSIDE!$F$9,"")</f>
        <v/>
      </c>
      <c r="C833" t="str">
        <f>IF(AND(FORSIDE!$B$8&gt;=12,FORSIDE!$F$8&gt;=3,FORSIDE!$B$5&gt;=6),12*FORSIDE!$B$9,"")</f>
        <v/>
      </c>
      <c r="D833" t="str">
        <f>IF(AND(FORSIDE!$B$8&gt;=12,FORSIDE!$F$8&gt;=3,FORSIDE!$B$5&gt;=6),FORSIDE!$B$6+(6-1)*FORSIDE!$B$7,"")</f>
        <v/>
      </c>
    </row>
    <row r="834" spans="1:4" x14ac:dyDescent="0.3">
      <c r="A834" t="str">
        <f>IF(AND(FORSIDE!$B$8&gt;=12,FORSIDE!$F$8&gt;=3,FORSIDE!$B$5&gt;=7),833,"")</f>
        <v/>
      </c>
      <c r="B834" t="str">
        <f>IF(AND(FORSIDE!$B$8&gt;=12,FORSIDE!$F$8&gt;=3,FORSIDE!$B$5&gt;=7),354+3*FORSIDE!$F$9,"")</f>
        <v/>
      </c>
      <c r="C834" t="str">
        <f>IF(AND(FORSIDE!$B$8&gt;=12,FORSIDE!$F$8&gt;=3,FORSIDE!$B$5&gt;=7),12*FORSIDE!$B$9,"")</f>
        <v/>
      </c>
      <c r="D834" t="str">
        <f>IF(AND(FORSIDE!$B$8&gt;=12,FORSIDE!$F$8&gt;=3,FORSIDE!$B$5&gt;=7),FORSIDE!$B$6+(7-1)*FORSIDE!$B$7,"")</f>
        <v/>
      </c>
    </row>
    <row r="835" spans="1:4" x14ac:dyDescent="0.3">
      <c r="A835" t="str">
        <f>IF(AND(FORSIDE!$B$8&gt;=12,FORSIDE!$F$8&gt;=3,FORSIDE!$B$5&gt;=8),834,"")</f>
        <v/>
      </c>
      <c r="B835" t="str">
        <f>IF(AND(FORSIDE!$B$8&gt;=12,FORSIDE!$F$8&gt;=3,FORSIDE!$B$5&gt;=8),354+3*FORSIDE!$F$9,"")</f>
        <v/>
      </c>
      <c r="C835" t="str">
        <f>IF(AND(FORSIDE!$B$8&gt;=12,FORSIDE!$F$8&gt;=3,FORSIDE!$B$5&gt;=8),12*FORSIDE!$B$9,"")</f>
        <v/>
      </c>
      <c r="D835" t="str">
        <f>IF(AND(FORSIDE!$B$8&gt;=12,FORSIDE!$F$8&gt;=3,FORSIDE!$B$5&gt;=8),FORSIDE!$B$6+(8-1)*FORSIDE!$B$7,"")</f>
        <v/>
      </c>
    </row>
    <row r="836" spans="1:4" x14ac:dyDescent="0.3">
      <c r="A836" t="str">
        <f>IF(AND(FORSIDE!$B$8&gt;=12,FORSIDE!$F$8&gt;=3,FORSIDE!$B$5&gt;=9),835,"")</f>
        <v/>
      </c>
      <c r="B836" t="str">
        <f>IF(AND(FORSIDE!$B$8&gt;=12,FORSIDE!$F$8&gt;=3,FORSIDE!$B$5&gt;=9),354+3*FORSIDE!$F$9,"")</f>
        <v/>
      </c>
      <c r="C836" t="str">
        <f>IF(AND(FORSIDE!$B$8&gt;=12,FORSIDE!$F$8&gt;=3,FORSIDE!$B$5&gt;=9),12*FORSIDE!$B$9,"")</f>
        <v/>
      </c>
      <c r="D836" t="str">
        <f>IF(AND(FORSIDE!$B$8&gt;=12,FORSIDE!$F$8&gt;=3,FORSIDE!$B$5&gt;=9),FORSIDE!$B$6+(9-1)*FORSIDE!$B$7,"")</f>
        <v/>
      </c>
    </row>
    <row r="837" spans="1:4" x14ac:dyDescent="0.3">
      <c r="A837" t="str">
        <f>IF(AND(FORSIDE!$B$8&gt;=12,FORSIDE!$F$8&gt;=3,FORSIDE!$B$5&gt;=10),836,"")</f>
        <v/>
      </c>
      <c r="B837" t="str">
        <f>IF(AND(FORSIDE!$B$8&gt;=12,FORSIDE!$F$8&gt;=3,FORSIDE!$B$5&gt;=10),354+3*FORSIDE!$F$9,"")</f>
        <v/>
      </c>
      <c r="C837" t="str">
        <f>IF(AND(FORSIDE!$B$8&gt;=12,FORSIDE!$F$8&gt;=3,FORSIDE!$B$5&gt;=10),12*FORSIDE!$B$9,"")</f>
        <v/>
      </c>
      <c r="D837" t="str">
        <f>IF(AND(FORSIDE!$B$8&gt;=12,FORSIDE!$F$8&gt;=3,FORSIDE!$B$5&gt;=10),FORSIDE!$B$6+(10-1)*FORSIDE!$B$7,"")</f>
        <v/>
      </c>
    </row>
    <row r="838" spans="1:4" x14ac:dyDescent="0.3">
      <c r="A838" t="str">
        <f>IF(AND(FORSIDE!$B$8&gt;=13,FORSIDE!$F$8&gt;=3,FORSIDE!$B$5&gt;=0),837,"")</f>
        <v/>
      </c>
      <c r="B838" t="str">
        <f>IF(AND(FORSIDE!$B$8&gt;=13,FORSIDE!$F$8&gt;=3,FORSIDE!$B$5&gt;=0),354+3*FORSIDE!$F$9,"")</f>
        <v/>
      </c>
      <c r="C838" t="str">
        <f>IF(AND(FORSIDE!$B$8&gt;=13,FORSIDE!$F$8&gt;=3,FORSIDE!$B$5&gt;=0),13*FORSIDE!$B$9,"")</f>
        <v/>
      </c>
      <c r="D838" t="str">
        <f>IF(AND(FORSIDE!$B$8&gt;=13,FORSIDE!$F$8&gt;=3,FORSIDE!$B$5&gt;=0),0,"")</f>
        <v/>
      </c>
    </row>
    <row r="839" spans="1:4" x14ac:dyDescent="0.3">
      <c r="A839" t="str">
        <f>IF(AND(FORSIDE!$B$8&gt;=13,FORSIDE!$F$8&gt;=3,FORSIDE!$B$5&gt;=1),838,"")</f>
        <v/>
      </c>
      <c r="B839" t="str">
        <f>IF(AND(FORSIDE!$B$8&gt;=13,FORSIDE!$F$8&gt;=3,FORSIDE!$B$5&gt;=1),354+3*FORSIDE!$F$9,"")</f>
        <v/>
      </c>
      <c r="C839" t="str">
        <f>IF(AND(FORSIDE!$B$8&gt;=13,FORSIDE!$F$8&gt;=3,FORSIDE!$B$5&gt;=1),13*FORSIDE!$B$9,"")</f>
        <v/>
      </c>
      <c r="D839" t="str">
        <f>IF(AND(FORSIDE!$B$8&gt;=13,FORSIDE!$F$8&gt;=3,FORSIDE!$B$5&gt;=1),FORSIDE!$B$6+(1-1)*FORSIDE!$B$7,"")</f>
        <v/>
      </c>
    </row>
    <row r="840" spans="1:4" x14ac:dyDescent="0.3">
      <c r="A840" t="str">
        <f>IF(AND(FORSIDE!$B$8&gt;=13,FORSIDE!$F$8&gt;=3,FORSIDE!$B$5&gt;=2),839,"")</f>
        <v/>
      </c>
      <c r="B840" t="str">
        <f>IF(AND(FORSIDE!$B$8&gt;=13,FORSIDE!$F$8&gt;=3,FORSIDE!$B$5&gt;=2),354+3*FORSIDE!$F$9,"")</f>
        <v/>
      </c>
      <c r="C840" t="str">
        <f>IF(AND(FORSIDE!$B$8&gt;=13,FORSIDE!$F$8&gt;=3,FORSIDE!$B$5&gt;=2),13*FORSIDE!$B$9,"")</f>
        <v/>
      </c>
      <c r="D840" t="str">
        <f>IF(AND(FORSIDE!$B$8&gt;=13,FORSIDE!$F$8&gt;=3,FORSIDE!$B$5&gt;=2),FORSIDE!$B$6+(2-1)*FORSIDE!$B$7,"")</f>
        <v/>
      </c>
    </row>
    <row r="841" spans="1:4" x14ac:dyDescent="0.3">
      <c r="A841" t="str">
        <f>IF(AND(FORSIDE!$B$8&gt;=13,FORSIDE!$F$8&gt;=3,FORSIDE!$B$5&gt;=3),840,"")</f>
        <v/>
      </c>
      <c r="B841" t="str">
        <f>IF(AND(FORSIDE!$B$8&gt;=13,FORSIDE!$F$8&gt;=3,FORSIDE!$B$5&gt;=3),354+3*FORSIDE!$F$9,"")</f>
        <v/>
      </c>
      <c r="C841" t="str">
        <f>IF(AND(FORSIDE!$B$8&gt;=13,FORSIDE!$F$8&gt;=3,FORSIDE!$B$5&gt;=3),13*FORSIDE!$B$9,"")</f>
        <v/>
      </c>
      <c r="D841" t="str">
        <f>IF(AND(FORSIDE!$B$8&gt;=13,FORSIDE!$F$8&gt;=3,FORSIDE!$B$5&gt;=3),FORSIDE!$B$6+(3-1)*FORSIDE!$B$7,"")</f>
        <v/>
      </c>
    </row>
    <row r="842" spans="1:4" x14ac:dyDescent="0.3">
      <c r="A842" t="str">
        <f>IF(AND(FORSIDE!$B$8&gt;=13,FORSIDE!$F$8&gt;=3,FORSIDE!$B$5&gt;=4),841,"")</f>
        <v/>
      </c>
      <c r="B842" t="str">
        <f>IF(AND(FORSIDE!$B$8&gt;=13,FORSIDE!$F$8&gt;=3,FORSIDE!$B$5&gt;=4),354+3*FORSIDE!$F$9,"")</f>
        <v/>
      </c>
      <c r="C842" t="str">
        <f>IF(AND(FORSIDE!$B$8&gt;=13,FORSIDE!$F$8&gt;=3,FORSIDE!$B$5&gt;=4),13*FORSIDE!$B$9,"")</f>
        <v/>
      </c>
      <c r="D842" t="str">
        <f>IF(AND(FORSIDE!$B$8&gt;=13,FORSIDE!$F$8&gt;=3,FORSIDE!$B$5&gt;=4),FORSIDE!$B$6+(4-1)*FORSIDE!$B$7,"")</f>
        <v/>
      </c>
    </row>
    <row r="843" spans="1:4" x14ac:dyDescent="0.3">
      <c r="A843" t="str">
        <f>IF(AND(FORSIDE!$B$8&gt;=13,FORSIDE!$F$8&gt;=3,FORSIDE!$B$5&gt;=5),842,"")</f>
        <v/>
      </c>
      <c r="B843" t="str">
        <f>IF(AND(FORSIDE!$B$8&gt;=13,FORSIDE!$F$8&gt;=3,FORSIDE!$B$5&gt;=5),354+3*FORSIDE!$F$9,"")</f>
        <v/>
      </c>
      <c r="C843" t="str">
        <f>IF(AND(FORSIDE!$B$8&gt;=13,FORSIDE!$F$8&gt;=3,FORSIDE!$B$5&gt;=5),13*FORSIDE!$B$9,"")</f>
        <v/>
      </c>
      <c r="D843" t="str">
        <f>IF(AND(FORSIDE!$B$8&gt;=13,FORSIDE!$F$8&gt;=3,FORSIDE!$B$5&gt;=5),FORSIDE!$B$6+(5-1)*FORSIDE!$B$7,"")</f>
        <v/>
      </c>
    </row>
    <row r="844" spans="1:4" x14ac:dyDescent="0.3">
      <c r="A844" t="str">
        <f>IF(AND(FORSIDE!$B$8&gt;=13,FORSIDE!$F$8&gt;=3,FORSIDE!$B$5&gt;=6),843,"")</f>
        <v/>
      </c>
      <c r="B844" t="str">
        <f>IF(AND(FORSIDE!$B$8&gt;=13,FORSIDE!$F$8&gt;=3,FORSIDE!$B$5&gt;=6),354+3*FORSIDE!$F$9,"")</f>
        <v/>
      </c>
      <c r="C844" t="str">
        <f>IF(AND(FORSIDE!$B$8&gt;=13,FORSIDE!$F$8&gt;=3,FORSIDE!$B$5&gt;=6),13*FORSIDE!$B$9,"")</f>
        <v/>
      </c>
      <c r="D844" t="str">
        <f>IF(AND(FORSIDE!$B$8&gt;=13,FORSIDE!$F$8&gt;=3,FORSIDE!$B$5&gt;=6),FORSIDE!$B$6+(6-1)*FORSIDE!$B$7,"")</f>
        <v/>
      </c>
    </row>
    <row r="845" spans="1:4" x14ac:dyDescent="0.3">
      <c r="A845" t="str">
        <f>IF(AND(FORSIDE!$B$8&gt;=13,FORSIDE!$F$8&gt;=3,FORSIDE!$B$5&gt;=7),844,"")</f>
        <v/>
      </c>
      <c r="B845" t="str">
        <f>IF(AND(FORSIDE!$B$8&gt;=13,FORSIDE!$F$8&gt;=3,FORSIDE!$B$5&gt;=7),354+3*FORSIDE!$F$9,"")</f>
        <v/>
      </c>
      <c r="C845" t="str">
        <f>IF(AND(FORSIDE!$B$8&gt;=13,FORSIDE!$F$8&gt;=3,FORSIDE!$B$5&gt;=7),13*FORSIDE!$B$9,"")</f>
        <v/>
      </c>
      <c r="D845" t="str">
        <f>IF(AND(FORSIDE!$B$8&gt;=13,FORSIDE!$F$8&gt;=3,FORSIDE!$B$5&gt;=7),FORSIDE!$B$6+(7-1)*FORSIDE!$B$7,"")</f>
        <v/>
      </c>
    </row>
    <row r="846" spans="1:4" x14ac:dyDescent="0.3">
      <c r="A846" t="str">
        <f>IF(AND(FORSIDE!$B$8&gt;=13,FORSIDE!$F$8&gt;=3,FORSIDE!$B$5&gt;=8),845,"")</f>
        <v/>
      </c>
      <c r="B846" t="str">
        <f>IF(AND(FORSIDE!$B$8&gt;=13,FORSIDE!$F$8&gt;=3,FORSIDE!$B$5&gt;=8),354+3*FORSIDE!$F$9,"")</f>
        <v/>
      </c>
      <c r="C846" t="str">
        <f>IF(AND(FORSIDE!$B$8&gt;=13,FORSIDE!$F$8&gt;=3,FORSIDE!$B$5&gt;=8),13*FORSIDE!$B$9,"")</f>
        <v/>
      </c>
      <c r="D846" t="str">
        <f>IF(AND(FORSIDE!$B$8&gt;=13,FORSIDE!$F$8&gt;=3,FORSIDE!$B$5&gt;=8),FORSIDE!$B$6+(8-1)*FORSIDE!$B$7,"")</f>
        <v/>
      </c>
    </row>
    <row r="847" spans="1:4" x14ac:dyDescent="0.3">
      <c r="A847" t="str">
        <f>IF(AND(FORSIDE!$B$8&gt;=13,FORSIDE!$F$8&gt;=3,FORSIDE!$B$5&gt;=9),846,"")</f>
        <v/>
      </c>
      <c r="B847" t="str">
        <f>IF(AND(FORSIDE!$B$8&gt;=13,FORSIDE!$F$8&gt;=3,FORSIDE!$B$5&gt;=9),354+3*FORSIDE!$F$9,"")</f>
        <v/>
      </c>
      <c r="C847" t="str">
        <f>IF(AND(FORSIDE!$B$8&gt;=13,FORSIDE!$F$8&gt;=3,FORSIDE!$B$5&gt;=9),13*FORSIDE!$B$9,"")</f>
        <v/>
      </c>
      <c r="D847" t="str">
        <f>IF(AND(FORSIDE!$B$8&gt;=13,FORSIDE!$F$8&gt;=3,FORSIDE!$B$5&gt;=9),FORSIDE!$B$6+(9-1)*FORSIDE!$B$7,"")</f>
        <v/>
      </c>
    </row>
    <row r="848" spans="1:4" x14ac:dyDescent="0.3">
      <c r="A848" t="str">
        <f>IF(AND(FORSIDE!$B$8&gt;=13,FORSIDE!$F$8&gt;=3,FORSIDE!$B$5&gt;=10),847,"")</f>
        <v/>
      </c>
      <c r="B848" t="str">
        <f>IF(AND(FORSIDE!$B$8&gt;=13,FORSIDE!$F$8&gt;=3,FORSIDE!$B$5&gt;=10),354+3*FORSIDE!$F$9,"")</f>
        <v/>
      </c>
      <c r="C848" t="str">
        <f>IF(AND(FORSIDE!$B$8&gt;=13,FORSIDE!$F$8&gt;=3,FORSIDE!$B$5&gt;=10),13*FORSIDE!$B$9,"")</f>
        <v/>
      </c>
      <c r="D848" t="str">
        <f>IF(AND(FORSIDE!$B$8&gt;=13,FORSIDE!$F$8&gt;=3,FORSIDE!$B$5&gt;=10),FORSIDE!$B$6+(10-1)*FORSIDE!$B$7,"")</f>
        <v/>
      </c>
    </row>
    <row r="849" spans="1:4" x14ac:dyDescent="0.3">
      <c r="A849" t="str">
        <f>IF(AND(FORSIDE!$B$8&gt;=14,FORSIDE!$F$8&gt;=3,FORSIDE!$B$5&gt;=0),848,"")</f>
        <v/>
      </c>
      <c r="B849" t="str">
        <f>IF(AND(FORSIDE!$B$8&gt;=14,FORSIDE!$F$8&gt;=3,FORSIDE!$B$5&gt;=0),354+3*FORSIDE!$F$9,"")</f>
        <v/>
      </c>
      <c r="C849" t="str">
        <f>IF(AND(FORSIDE!$B$8&gt;=14,FORSIDE!$F$8&gt;=3,FORSIDE!$B$5&gt;=0),14*FORSIDE!$B$9,"")</f>
        <v/>
      </c>
      <c r="D849" t="str">
        <f>IF(AND(FORSIDE!$B$8&gt;=14,FORSIDE!$F$8&gt;=3,FORSIDE!$B$5&gt;=0),0,"")</f>
        <v/>
      </c>
    </row>
    <row r="850" spans="1:4" x14ac:dyDescent="0.3">
      <c r="A850" t="str">
        <f>IF(AND(FORSIDE!$B$8&gt;=14,FORSIDE!$F$8&gt;=3,FORSIDE!$B$5&gt;=1),849,"")</f>
        <v/>
      </c>
      <c r="B850" t="str">
        <f>IF(AND(FORSIDE!$B$8&gt;=14,FORSIDE!$F$8&gt;=3,FORSIDE!$B$5&gt;=1),354+3*FORSIDE!$F$9,"")</f>
        <v/>
      </c>
      <c r="C850" t="str">
        <f>IF(AND(FORSIDE!$B$8&gt;=14,FORSIDE!$F$8&gt;=3,FORSIDE!$B$5&gt;=1),14*FORSIDE!$B$9,"")</f>
        <v/>
      </c>
      <c r="D850" t="str">
        <f>IF(AND(FORSIDE!$B$8&gt;=14,FORSIDE!$F$8&gt;=3,FORSIDE!$B$5&gt;=1),FORSIDE!$B$6+(1-1)*FORSIDE!$B$7,"")</f>
        <v/>
      </c>
    </row>
    <row r="851" spans="1:4" x14ac:dyDescent="0.3">
      <c r="A851" t="str">
        <f>IF(AND(FORSIDE!$B$8&gt;=14,FORSIDE!$F$8&gt;=3,FORSIDE!$B$5&gt;=2),850,"")</f>
        <v/>
      </c>
      <c r="B851" t="str">
        <f>IF(AND(FORSIDE!$B$8&gt;=14,FORSIDE!$F$8&gt;=3,FORSIDE!$B$5&gt;=2),354+3*FORSIDE!$F$9,"")</f>
        <v/>
      </c>
      <c r="C851" t="str">
        <f>IF(AND(FORSIDE!$B$8&gt;=14,FORSIDE!$F$8&gt;=3,FORSIDE!$B$5&gt;=2),14*FORSIDE!$B$9,"")</f>
        <v/>
      </c>
      <c r="D851" t="str">
        <f>IF(AND(FORSIDE!$B$8&gt;=14,FORSIDE!$F$8&gt;=3,FORSIDE!$B$5&gt;=2),FORSIDE!$B$6+(2-1)*FORSIDE!$B$7,"")</f>
        <v/>
      </c>
    </row>
    <row r="852" spans="1:4" x14ac:dyDescent="0.3">
      <c r="A852" t="str">
        <f>IF(AND(FORSIDE!$B$8&gt;=14,FORSIDE!$F$8&gt;=3,FORSIDE!$B$5&gt;=3),851,"")</f>
        <v/>
      </c>
      <c r="B852" t="str">
        <f>IF(AND(FORSIDE!$B$8&gt;=14,FORSIDE!$F$8&gt;=3,FORSIDE!$B$5&gt;=3),354+3*FORSIDE!$F$9,"")</f>
        <v/>
      </c>
      <c r="C852" t="str">
        <f>IF(AND(FORSIDE!$B$8&gt;=14,FORSIDE!$F$8&gt;=3,FORSIDE!$B$5&gt;=3),14*FORSIDE!$B$9,"")</f>
        <v/>
      </c>
      <c r="D852" t="str">
        <f>IF(AND(FORSIDE!$B$8&gt;=14,FORSIDE!$F$8&gt;=3,FORSIDE!$B$5&gt;=3),FORSIDE!$B$6+(3-1)*FORSIDE!$B$7,"")</f>
        <v/>
      </c>
    </row>
    <row r="853" spans="1:4" x14ac:dyDescent="0.3">
      <c r="A853" t="str">
        <f>IF(AND(FORSIDE!$B$8&gt;=14,FORSIDE!$F$8&gt;=3,FORSIDE!$B$5&gt;=4),852,"")</f>
        <v/>
      </c>
      <c r="B853" t="str">
        <f>IF(AND(FORSIDE!$B$8&gt;=14,FORSIDE!$F$8&gt;=3,FORSIDE!$B$5&gt;=4),354+3*FORSIDE!$F$9,"")</f>
        <v/>
      </c>
      <c r="C853" t="str">
        <f>IF(AND(FORSIDE!$B$8&gt;=14,FORSIDE!$F$8&gt;=3,FORSIDE!$B$5&gt;=4),14*FORSIDE!$B$9,"")</f>
        <v/>
      </c>
      <c r="D853" t="str">
        <f>IF(AND(FORSIDE!$B$8&gt;=14,FORSIDE!$F$8&gt;=3,FORSIDE!$B$5&gt;=4),FORSIDE!$B$6+(4-1)*FORSIDE!$B$7,"")</f>
        <v/>
      </c>
    </row>
    <row r="854" spans="1:4" x14ac:dyDescent="0.3">
      <c r="A854" t="str">
        <f>IF(AND(FORSIDE!$B$8&gt;=14,FORSIDE!$F$8&gt;=3,FORSIDE!$B$5&gt;=5),853,"")</f>
        <v/>
      </c>
      <c r="B854" t="str">
        <f>IF(AND(FORSIDE!$B$8&gt;=14,FORSIDE!$F$8&gt;=3,FORSIDE!$B$5&gt;=5),354+3*FORSIDE!$F$9,"")</f>
        <v/>
      </c>
      <c r="C854" t="str">
        <f>IF(AND(FORSIDE!$B$8&gt;=14,FORSIDE!$F$8&gt;=3,FORSIDE!$B$5&gt;=5),14*FORSIDE!$B$9,"")</f>
        <v/>
      </c>
      <c r="D854" t="str">
        <f>IF(AND(FORSIDE!$B$8&gt;=14,FORSIDE!$F$8&gt;=3,FORSIDE!$B$5&gt;=5),FORSIDE!$B$6+(5-1)*FORSIDE!$B$7,"")</f>
        <v/>
      </c>
    </row>
    <row r="855" spans="1:4" x14ac:dyDescent="0.3">
      <c r="A855" t="str">
        <f>IF(AND(FORSIDE!$B$8&gt;=14,FORSIDE!$F$8&gt;=3,FORSIDE!$B$5&gt;=6),854,"")</f>
        <v/>
      </c>
      <c r="B855" t="str">
        <f>IF(AND(FORSIDE!$B$8&gt;=14,FORSIDE!$F$8&gt;=3,FORSIDE!$B$5&gt;=6),354+3*FORSIDE!$F$9,"")</f>
        <v/>
      </c>
      <c r="C855" t="str">
        <f>IF(AND(FORSIDE!$B$8&gt;=14,FORSIDE!$F$8&gt;=3,FORSIDE!$B$5&gt;=6),14*FORSIDE!$B$9,"")</f>
        <v/>
      </c>
      <c r="D855" t="str">
        <f>IF(AND(FORSIDE!$B$8&gt;=14,FORSIDE!$F$8&gt;=3,FORSIDE!$B$5&gt;=6),FORSIDE!$B$6+(6-1)*FORSIDE!$B$7,"")</f>
        <v/>
      </c>
    </row>
    <row r="856" spans="1:4" x14ac:dyDescent="0.3">
      <c r="A856" t="str">
        <f>IF(AND(FORSIDE!$B$8&gt;=14,FORSIDE!$F$8&gt;=3,FORSIDE!$B$5&gt;=7),855,"")</f>
        <v/>
      </c>
      <c r="B856" t="str">
        <f>IF(AND(FORSIDE!$B$8&gt;=14,FORSIDE!$F$8&gt;=3,FORSIDE!$B$5&gt;=7),354+3*FORSIDE!$F$9,"")</f>
        <v/>
      </c>
      <c r="C856" t="str">
        <f>IF(AND(FORSIDE!$B$8&gt;=14,FORSIDE!$F$8&gt;=3,FORSIDE!$B$5&gt;=7),14*FORSIDE!$B$9,"")</f>
        <v/>
      </c>
      <c r="D856" t="str">
        <f>IF(AND(FORSIDE!$B$8&gt;=14,FORSIDE!$F$8&gt;=3,FORSIDE!$B$5&gt;=7),FORSIDE!$B$6+(7-1)*FORSIDE!$B$7,"")</f>
        <v/>
      </c>
    </row>
    <row r="857" spans="1:4" x14ac:dyDescent="0.3">
      <c r="A857" t="str">
        <f>IF(AND(FORSIDE!$B$8&gt;=14,FORSIDE!$F$8&gt;=3,FORSIDE!$B$5&gt;=8),856,"")</f>
        <v/>
      </c>
      <c r="B857" t="str">
        <f>IF(AND(FORSIDE!$B$8&gt;=14,FORSIDE!$F$8&gt;=3,FORSIDE!$B$5&gt;=8),354+3*FORSIDE!$F$9,"")</f>
        <v/>
      </c>
      <c r="C857" t="str">
        <f>IF(AND(FORSIDE!$B$8&gt;=14,FORSIDE!$F$8&gt;=3,FORSIDE!$B$5&gt;=8),14*FORSIDE!$B$9,"")</f>
        <v/>
      </c>
      <c r="D857" t="str">
        <f>IF(AND(FORSIDE!$B$8&gt;=14,FORSIDE!$F$8&gt;=3,FORSIDE!$B$5&gt;=8),FORSIDE!$B$6+(8-1)*FORSIDE!$B$7,"")</f>
        <v/>
      </c>
    </row>
    <row r="858" spans="1:4" x14ac:dyDescent="0.3">
      <c r="A858" t="str">
        <f>IF(AND(FORSIDE!$B$8&gt;=14,FORSIDE!$F$8&gt;=3,FORSIDE!$B$5&gt;=9),857,"")</f>
        <v/>
      </c>
      <c r="B858" t="str">
        <f>IF(AND(FORSIDE!$B$8&gt;=14,FORSIDE!$F$8&gt;=3,FORSIDE!$B$5&gt;=9),354+3*FORSIDE!$F$9,"")</f>
        <v/>
      </c>
      <c r="C858" t="str">
        <f>IF(AND(FORSIDE!$B$8&gt;=14,FORSIDE!$F$8&gt;=3,FORSIDE!$B$5&gt;=9),14*FORSIDE!$B$9,"")</f>
        <v/>
      </c>
      <c r="D858" t="str">
        <f>IF(AND(FORSIDE!$B$8&gt;=14,FORSIDE!$F$8&gt;=3,FORSIDE!$B$5&gt;=9),FORSIDE!$B$6+(9-1)*FORSIDE!$B$7,"")</f>
        <v/>
      </c>
    </row>
    <row r="859" spans="1:4" x14ac:dyDescent="0.3">
      <c r="A859" t="str">
        <f>IF(AND(FORSIDE!$B$8&gt;=14,FORSIDE!$F$8&gt;=3,FORSIDE!$B$5&gt;=10),858,"")</f>
        <v/>
      </c>
      <c r="B859" t="str">
        <f>IF(AND(FORSIDE!$B$8&gt;=14,FORSIDE!$F$8&gt;=3,FORSIDE!$B$5&gt;=10),354+3*FORSIDE!$F$9,"")</f>
        <v/>
      </c>
      <c r="C859" t="str">
        <f>IF(AND(FORSIDE!$B$8&gt;=14,FORSIDE!$F$8&gt;=3,FORSIDE!$B$5&gt;=10),14*FORSIDE!$B$9,"")</f>
        <v/>
      </c>
      <c r="D859" t="str">
        <f>IF(AND(FORSIDE!$B$8&gt;=14,FORSIDE!$F$8&gt;=3,FORSIDE!$B$5&gt;=10),FORSIDE!$B$6+(10-1)*FORSIDE!$B$7,"")</f>
        <v/>
      </c>
    </row>
    <row r="860" spans="1:4" x14ac:dyDescent="0.3">
      <c r="A860" t="str">
        <f>IF(AND(FORSIDE!$B$8&gt;=15,FORSIDE!$F$8&gt;=3,FORSIDE!$B$5&gt;=0),859,"")</f>
        <v/>
      </c>
      <c r="B860" t="str">
        <f>IF(AND(FORSIDE!$B$8&gt;=15,FORSIDE!$F$8&gt;=3,FORSIDE!$B$5&gt;=0),354+3*FORSIDE!$F$9,"")</f>
        <v/>
      </c>
      <c r="C860" t="str">
        <f>IF(AND(FORSIDE!$B$8&gt;=15,FORSIDE!$F$8&gt;=3,FORSIDE!$B$5&gt;=0),15*FORSIDE!$B$9,"")</f>
        <v/>
      </c>
      <c r="D860" t="str">
        <f>IF(AND(FORSIDE!$B$8&gt;=15,FORSIDE!$F$8&gt;=3,FORSIDE!$B$5&gt;=0),0,"")</f>
        <v/>
      </c>
    </row>
    <row r="861" spans="1:4" x14ac:dyDescent="0.3">
      <c r="A861" t="str">
        <f>IF(AND(FORSIDE!$B$8&gt;=15,FORSIDE!$F$8&gt;=3,FORSIDE!$B$5&gt;=1),860,"")</f>
        <v/>
      </c>
      <c r="B861" t="str">
        <f>IF(AND(FORSIDE!$B$8&gt;=15,FORSIDE!$F$8&gt;=3,FORSIDE!$B$5&gt;=1),354+3*FORSIDE!$F$9,"")</f>
        <v/>
      </c>
      <c r="C861" t="str">
        <f>IF(AND(FORSIDE!$B$8&gt;=15,FORSIDE!$F$8&gt;=3,FORSIDE!$B$5&gt;=1),15*FORSIDE!$B$9,"")</f>
        <v/>
      </c>
      <c r="D861" t="str">
        <f>IF(AND(FORSIDE!$B$8&gt;=15,FORSIDE!$F$8&gt;=3,FORSIDE!$B$5&gt;=1),FORSIDE!$B$6+(1-1)*FORSIDE!$B$7,"")</f>
        <v/>
      </c>
    </row>
    <row r="862" spans="1:4" x14ac:dyDescent="0.3">
      <c r="A862" t="str">
        <f>IF(AND(FORSIDE!$B$8&gt;=15,FORSIDE!$F$8&gt;=3,FORSIDE!$B$5&gt;=2),861,"")</f>
        <v/>
      </c>
      <c r="B862" t="str">
        <f>IF(AND(FORSIDE!$B$8&gt;=15,FORSIDE!$F$8&gt;=3,FORSIDE!$B$5&gt;=2),354+3*FORSIDE!$F$9,"")</f>
        <v/>
      </c>
      <c r="C862" t="str">
        <f>IF(AND(FORSIDE!$B$8&gt;=15,FORSIDE!$F$8&gt;=3,FORSIDE!$B$5&gt;=2),15*FORSIDE!$B$9,"")</f>
        <v/>
      </c>
      <c r="D862" t="str">
        <f>IF(AND(FORSIDE!$B$8&gt;=15,FORSIDE!$F$8&gt;=3,FORSIDE!$B$5&gt;=2),FORSIDE!$B$6+(2-1)*FORSIDE!$B$7,"")</f>
        <v/>
      </c>
    </row>
    <row r="863" spans="1:4" x14ac:dyDescent="0.3">
      <c r="A863" t="str">
        <f>IF(AND(FORSIDE!$B$8&gt;=15,FORSIDE!$F$8&gt;=3,FORSIDE!$B$5&gt;=3),862,"")</f>
        <v/>
      </c>
      <c r="B863" t="str">
        <f>IF(AND(FORSIDE!$B$8&gt;=15,FORSIDE!$F$8&gt;=3,FORSIDE!$B$5&gt;=3),354+3*FORSIDE!$F$9,"")</f>
        <v/>
      </c>
      <c r="C863" t="str">
        <f>IF(AND(FORSIDE!$B$8&gt;=15,FORSIDE!$F$8&gt;=3,FORSIDE!$B$5&gt;=3),15*FORSIDE!$B$9,"")</f>
        <v/>
      </c>
      <c r="D863" t="str">
        <f>IF(AND(FORSIDE!$B$8&gt;=15,FORSIDE!$F$8&gt;=3,FORSIDE!$B$5&gt;=3),FORSIDE!$B$6+(3-1)*FORSIDE!$B$7,"")</f>
        <v/>
      </c>
    </row>
    <row r="864" spans="1:4" x14ac:dyDescent="0.3">
      <c r="A864" t="str">
        <f>IF(AND(FORSIDE!$B$8&gt;=15,FORSIDE!$F$8&gt;=3,FORSIDE!$B$5&gt;=4),863,"")</f>
        <v/>
      </c>
      <c r="B864" t="str">
        <f>IF(AND(FORSIDE!$B$8&gt;=15,FORSIDE!$F$8&gt;=3,FORSIDE!$B$5&gt;=4),354+3*FORSIDE!$F$9,"")</f>
        <v/>
      </c>
      <c r="C864" t="str">
        <f>IF(AND(FORSIDE!$B$8&gt;=15,FORSIDE!$F$8&gt;=3,FORSIDE!$B$5&gt;=4),15*FORSIDE!$B$9,"")</f>
        <v/>
      </c>
      <c r="D864" t="str">
        <f>IF(AND(FORSIDE!$B$8&gt;=15,FORSIDE!$F$8&gt;=3,FORSIDE!$B$5&gt;=4),FORSIDE!$B$6+(4-1)*FORSIDE!$B$7,"")</f>
        <v/>
      </c>
    </row>
    <row r="865" spans="1:4" x14ac:dyDescent="0.3">
      <c r="A865" t="str">
        <f>IF(AND(FORSIDE!$B$8&gt;=15,FORSIDE!$F$8&gt;=3,FORSIDE!$B$5&gt;=5),864,"")</f>
        <v/>
      </c>
      <c r="B865" t="str">
        <f>IF(AND(FORSIDE!$B$8&gt;=15,FORSIDE!$F$8&gt;=3,FORSIDE!$B$5&gt;=5),354+3*FORSIDE!$F$9,"")</f>
        <v/>
      </c>
      <c r="C865" t="str">
        <f>IF(AND(FORSIDE!$B$8&gt;=15,FORSIDE!$F$8&gt;=3,FORSIDE!$B$5&gt;=5),15*FORSIDE!$B$9,"")</f>
        <v/>
      </c>
      <c r="D865" t="str">
        <f>IF(AND(FORSIDE!$B$8&gt;=15,FORSIDE!$F$8&gt;=3,FORSIDE!$B$5&gt;=5),FORSIDE!$B$6+(5-1)*FORSIDE!$B$7,"")</f>
        <v/>
      </c>
    </row>
    <row r="866" spans="1:4" x14ac:dyDescent="0.3">
      <c r="A866" t="str">
        <f>IF(AND(FORSIDE!$B$8&gt;=15,FORSIDE!$F$8&gt;=3,FORSIDE!$B$5&gt;=6),865,"")</f>
        <v/>
      </c>
      <c r="B866" t="str">
        <f>IF(AND(FORSIDE!$B$8&gt;=15,FORSIDE!$F$8&gt;=3,FORSIDE!$B$5&gt;=6),354+3*FORSIDE!$F$9,"")</f>
        <v/>
      </c>
      <c r="C866" t="str">
        <f>IF(AND(FORSIDE!$B$8&gt;=15,FORSIDE!$F$8&gt;=3,FORSIDE!$B$5&gt;=6),15*FORSIDE!$B$9,"")</f>
        <v/>
      </c>
      <c r="D866" t="str">
        <f>IF(AND(FORSIDE!$B$8&gt;=15,FORSIDE!$F$8&gt;=3,FORSIDE!$B$5&gt;=6),FORSIDE!$B$6+(6-1)*FORSIDE!$B$7,"")</f>
        <v/>
      </c>
    </row>
    <row r="867" spans="1:4" x14ac:dyDescent="0.3">
      <c r="A867" t="str">
        <f>IF(AND(FORSIDE!$B$8&gt;=15,FORSIDE!$F$8&gt;=3,FORSIDE!$B$5&gt;=7),866,"")</f>
        <v/>
      </c>
      <c r="B867" t="str">
        <f>IF(AND(FORSIDE!$B$8&gt;=15,FORSIDE!$F$8&gt;=3,FORSIDE!$B$5&gt;=7),354+3*FORSIDE!$F$9,"")</f>
        <v/>
      </c>
      <c r="C867" t="str">
        <f>IF(AND(FORSIDE!$B$8&gt;=15,FORSIDE!$F$8&gt;=3,FORSIDE!$B$5&gt;=7),15*FORSIDE!$B$9,"")</f>
        <v/>
      </c>
      <c r="D867" t="str">
        <f>IF(AND(FORSIDE!$B$8&gt;=15,FORSIDE!$F$8&gt;=3,FORSIDE!$B$5&gt;=7),FORSIDE!$B$6+(7-1)*FORSIDE!$B$7,"")</f>
        <v/>
      </c>
    </row>
    <row r="868" spans="1:4" x14ac:dyDescent="0.3">
      <c r="A868" t="str">
        <f>IF(AND(FORSIDE!$B$8&gt;=15,FORSIDE!$F$8&gt;=3,FORSIDE!$B$5&gt;=8),867,"")</f>
        <v/>
      </c>
      <c r="B868" t="str">
        <f>IF(AND(FORSIDE!$B$8&gt;=15,FORSIDE!$F$8&gt;=3,FORSIDE!$B$5&gt;=8),354+3*FORSIDE!$F$9,"")</f>
        <v/>
      </c>
      <c r="C868" t="str">
        <f>IF(AND(FORSIDE!$B$8&gt;=15,FORSIDE!$F$8&gt;=3,FORSIDE!$B$5&gt;=8),15*FORSIDE!$B$9,"")</f>
        <v/>
      </c>
      <c r="D868" t="str">
        <f>IF(AND(FORSIDE!$B$8&gt;=15,FORSIDE!$F$8&gt;=3,FORSIDE!$B$5&gt;=8),FORSIDE!$B$6+(8-1)*FORSIDE!$B$7,"")</f>
        <v/>
      </c>
    </row>
    <row r="869" spans="1:4" x14ac:dyDescent="0.3">
      <c r="A869" t="str">
        <f>IF(AND(FORSIDE!$B$8&gt;=15,FORSIDE!$F$8&gt;=3,FORSIDE!$B$5&gt;=9),868,"")</f>
        <v/>
      </c>
      <c r="B869" t="str">
        <f>IF(AND(FORSIDE!$B$8&gt;=15,FORSIDE!$F$8&gt;=3,FORSIDE!$B$5&gt;=9),354+3*FORSIDE!$F$9,"")</f>
        <v/>
      </c>
      <c r="C869" t="str">
        <f>IF(AND(FORSIDE!$B$8&gt;=15,FORSIDE!$F$8&gt;=3,FORSIDE!$B$5&gt;=9),15*FORSIDE!$B$9,"")</f>
        <v/>
      </c>
      <c r="D869" t="str">
        <f>IF(AND(FORSIDE!$B$8&gt;=15,FORSIDE!$F$8&gt;=3,FORSIDE!$B$5&gt;=9),FORSIDE!$B$6+(9-1)*FORSIDE!$B$7,"")</f>
        <v/>
      </c>
    </row>
    <row r="870" spans="1:4" x14ac:dyDescent="0.3">
      <c r="A870" t="str">
        <f>IF(AND(FORSIDE!$B$8&gt;=15,FORSIDE!$F$8&gt;=3,FORSIDE!$B$5&gt;=10),869,"")</f>
        <v/>
      </c>
      <c r="B870" t="str">
        <f>IF(AND(FORSIDE!$B$8&gt;=15,FORSIDE!$F$8&gt;=3,FORSIDE!$B$5&gt;=10),354+3*FORSIDE!$F$9,"")</f>
        <v/>
      </c>
      <c r="C870" t="str">
        <f>IF(AND(FORSIDE!$B$8&gt;=15,FORSIDE!$F$8&gt;=3,FORSIDE!$B$5&gt;=10),15*FORSIDE!$B$9,"")</f>
        <v/>
      </c>
      <c r="D870" t="str">
        <f>IF(AND(FORSIDE!$B$8&gt;=15,FORSIDE!$F$8&gt;=3,FORSIDE!$B$5&gt;=10),FORSIDE!$B$6+(10-1)*FORSIDE!$B$7,"")</f>
        <v/>
      </c>
    </row>
    <row r="871" spans="1:4" x14ac:dyDescent="0.3">
      <c r="A871" t="str">
        <f>IF(AND(FORSIDE!$B$8&gt;=16,FORSIDE!$F$8&gt;=3,FORSIDE!$B$5&gt;=0),870,"")</f>
        <v/>
      </c>
      <c r="B871" t="str">
        <f>IF(AND(FORSIDE!$B$8&gt;=16,FORSIDE!$F$8&gt;=3,FORSIDE!$B$5&gt;=0),354+3*FORSIDE!$F$9,"")</f>
        <v/>
      </c>
      <c r="C871" t="str">
        <f>IF(AND(FORSIDE!$B$8&gt;=16,FORSIDE!$F$8&gt;=3,FORSIDE!$B$5&gt;=0),16*FORSIDE!$B$9,"")</f>
        <v/>
      </c>
      <c r="D871" t="str">
        <f>IF(AND(FORSIDE!$B$8&gt;=16,FORSIDE!$F$8&gt;=3,FORSIDE!$B$5&gt;=0),0,"")</f>
        <v/>
      </c>
    </row>
    <row r="872" spans="1:4" x14ac:dyDescent="0.3">
      <c r="A872" t="str">
        <f>IF(AND(FORSIDE!$B$8&gt;=16,FORSIDE!$F$8&gt;=3,FORSIDE!$B$5&gt;=1),871,"")</f>
        <v/>
      </c>
      <c r="B872" t="str">
        <f>IF(AND(FORSIDE!$B$8&gt;=16,FORSIDE!$F$8&gt;=3,FORSIDE!$B$5&gt;=1),354+3*FORSIDE!$F$9,"")</f>
        <v/>
      </c>
      <c r="C872" t="str">
        <f>IF(AND(FORSIDE!$B$8&gt;=16,FORSIDE!$F$8&gt;=3,FORSIDE!$B$5&gt;=1),16*FORSIDE!$B$9,"")</f>
        <v/>
      </c>
      <c r="D872" t="str">
        <f>IF(AND(FORSIDE!$B$8&gt;=16,FORSIDE!$F$8&gt;=3,FORSIDE!$B$5&gt;=1),FORSIDE!$B$6+(1-1)*FORSIDE!$B$7,"")</f>
        <v/>
      </c>
    </row>
    <row r="873" spans="1:4" x14ac:dyDescent="0.3">
      <c r="A873" t="str">
        <f>IF(AND(FORSIDE!$B$8&gt;=16,FORSIDE!$F$8&gt;=3,FORSIDE!$B$5&gt;=2),872,"")</f>
        <v/>
      </c>
      <c r="B873" t="str">
        <f>IF(AND(FORSIDE!$B$8&gt;=16,FORSIDE!$F$8&gt;=3,FORSIDE!$B$5&gt;=2),354+3*FORSIDE!$F$9,"")</f>
        <v/>
      </c>
      <c r="C873" t="str">
        <f>IF(AND(FORSIDE!$B$8&gt;=16,FORSIDE!$F$8&gt;=3,FORSIDE!$B$5&gt;=2),16*FORSIDE!$B$9,"")</f>
        <v/>
      </c>
      <c r="D873" t="str">
        <f>IF(AND(FORSIDE!$B$8&gt;=16,FORSIDE!$F$8&gt;=3,FORSIDE!$B$5&gt;=2),FORSIDE!$B$6+(2-1)*FORSIDE!$B$7,"")</f>
        <v/>
      </c>
    </row>
    <row r="874" spans="1:4" x14ac:dyDescent="0.3">
      <c r="A874" t="str">
        <f>IF(AND(FORSIDE!$B$8&gt;=16,FORSIDE!$F$8&gt;=3,FORSIDE!$B$5&gt;=3),873,"")</f>
        <v/>
      </c>
      <c r="B874" t="str">
        <f>IF(AND(FORSIDE!$B$8&gt;=16,FORSIDE!$F$8&gt;=3,FORSIDE!$B$5&gt;=3),354+3*FORSIDE!$F$9,"")</f>
        <v/>
      </c>
      <c r="C874" t="str">
        <f>IF(AND(FORSIDE!$B$8&gt;=16,FORSIDE!$F$8&gt;=3,FORSIDE!$B$5&gt;=3),16*FORSIDE!$B$9,"")</f>
        <v/>
      </c>
      <c r="D874" t="str">
        <f>IF(AND(FORSIDE!$B$8&gt;=16,FORSIDE!$F$8&gt;=3,FORSIDE!$B$5&gt;=3),FORSIDE!$B$6+(3-1)*FORSIDE!$B$7,"")</f>
        <v/>
      </c>
    </row>
    <row r="875" spans="1:4" x14ac:dyDescent="0.3">
      <c r="A875" t="str">
        <f>IF(AND(FORSIDE!$B$8&gt;=16,FORSIDE!$F$8&gt;=3,FORSIDE!$B$5&gt;=4),874,"")</f>
        <v/>
      </c>
      <c r="B875" t="str">
        <f>IF(AND(FORSIDE!$B$8&gt;=16,FORSIDE!$F$8&gt;=3,FORSIDE!$B$5&gt;=4),354+3*FORSIDE!$F$9,"")</f>
        <v/>
      </c>
      <c r="C875" t="str">
        <f>IF(AND(FORSIDE!$B$8&gt;=16,FORSIDE!$F$8&gt;=3,FORSIDE!$B$5&gt;=4),16*FORSIDE!$B$9,"")</f>
        <v/>
      </c>
      <c r="D875" t="str">
        <f>IF(AND(FORSIDE!$B$8&gt;=16,FORSIDE!$F$8&gt;=3,FORSIDE!$B$5&gt;=4),FORSIDE!$B$6+(4-1)*FORSIDE!$B$7,"")</f>
        <v/>
      </c>
    </row>
    <row r="876" spans="1:4" x14ac:dyDescent="0.3">
      <c r="A876" t="str">
        <f>IF(AND(FORSIDE!$B$8&gt;=16,FORSIDE!$F$8&gt;=3,FORSIDE!$B$5&gt;=5),875,"")</f>
        <v/>
      </c>
      <c r="B876" t="str">
        <f>IF(AND(FORSIDE!$B$8&gt;=16,FORSIDE!$F$8&gt;=3,FORSIDE!$B$5&gt;=5),354+3*FORSIDE!$F$9,"")</f>
        <v/>
      </c>
      <c r="C876" t="str">
        <f>IF(AND(FORSIDE!$B$8&gt;=16,FORSIDE!$F$8&gt;=3,FORSIDE!$B$5&gt;=5),16*FORSIDE!$B$9,"")</f>
        <v/>
      </c>
      <c r="D876" t="str">
        <f>IF(AND(FORSIDE!$B$8&gt;=16,FORSIDE!$F$8&gt;=3,FORSIDE!$B$5&gt;=5),FORSIDE!$B$6+(5-1)*FORSIDE!$B$7,"")</f>
        <v/>
      </c>
    </row>
    <row r="877" spans="1:4" x14ac:dyDescent="0.3">
      <c r="A877" t="str">
        <f>IF(AND(FORSIDE!$B$8&gt;=16,FORSIDE!$F$8&gt;=3,FORSIDE!$B$5&gt;=6),876,"")</f>
        <v/>
      </c>
      <c r="B877" t="str">
        <f>IF(AND(FORSIDE!$B$8&gt;=16,FORSIDE!$F$8&gt;=3,FORSIDE!$B$5&gt;=6),354+3*FORSIDE!$F$9,"")</f>
        <v/>
      </c>
      <c r="C877" t="str">
        <f>IF(AND(FORSIDE!$B$8&gt;=16,FORSIDE!$F$8&gt;=3,FORSIDE!$B$5&gt;=6),16*FORSIDE!$B$9,"")</f>
        <v/>
      </c>
      <c r="D877" t="str">
        <f>IF(AND(FORSIDE!$B$8&gt;=16,FORSIDE!$F$8&gt;=3,FORSIDE!$B$5&gt;=6),FORSIDE!$B$6+(6-1)*FORSIDE!$B$7,"")</f>
        <v/>
      </c>
    </row>
    <row r="878" spans="1:4" x14ac:dyDescent="0.3">
      <c r="A878" t="str">
        <f>IF(AND(FORSIDE!$B$8&gt;=16,FORSIDE!$F$8&gt;=3,FORSIDE!$B$5&gt;=7),877,"")</f>
        <v/>
      </c>
      <c r="B878" t="str">
        <f>IF(AND(FORSIDE!$B$8&gt;=16,FORSIDE!$F$8&gt;=3,FORSIDE!$B$5&gt;=7),354+3*FORSIDE!$F$9,"")</f>
        <v/>
      </c>
      <c r="C878" t="str">
        <f>IF(AND(FORSIDE!$B$8&gt;=16,FORSIDE!$F$8&gt;=3,FORSIDE!$B$5&gt;=7),16*FORSIDE!$B$9,"")</f>
        <v/>
      </c>
      <c r="D878" t="str">
        <f>IF(AND(FORSIDE!$B$8&gt;=16,FORSIDE!$F$8&gt;=3,FORSIDE!$B$5&gt;=7),FORSIDE!$B$6+(7-1)*FORSIDE!$B$7,"")</f>
        <v/>
      </c>
    </row>
    <row r="879" spans="1:4" x14ac:dyDescent="0.3">
      <c r="A879" t="str">
        <f>IF(AND(FORSIDE!$B$8&gt;=16,FORSIDE!$F$8&gt;=3,FORSIDE!$B$5&gt;=8),878,"")</f>
        <v/>
      </c>
      <c r="B879" t="str">
        <f>IF(AND(FORSIDE!$B$8&gt;=16,FORSIDE!$F$8&gt;=3,FORSIDE!$B$5&gt;=8),354+3*FORSIDE!$F$9,"")</f>
        <v/>
      </c>
      <c r="C879" t="str">
        <f>IF(AND(FORSIDE!$B$8&gt;=16,FORSIDE!$F$8&gt;=3,FORSIDE!$B$5&gt;=8),16*FORSIDE!$B$9,"")</f>
        <v/>
      </c>
      <c r="D879" t="str">
        <f>IF(AND(FORSIDE!$B$8&gt;=16,FORSIDE!$F$8&gt;=3,FORSIDE!$B$5&gt;=8),FORSIDE!$B$6+(8-1)*FORSIDE!$B$7,"")</f>
        <v/>
      </c>
    </row>
    <row r="880" spans="1:4" x14ac:dyDescent="0.3">
      <c r="A880" t="str">
        <f>IF(AND(FORSIDE!$B$8&gt;=16,FORSIDE!$F$8&gt;=3,FORSIDE!$B$5&gt;=9),879,"")</f>
        <v/>
      </c>
      <c r="B880" t="str">
        <f>IF(AND(FORSIDE!$B$8&gt;=16,FORSIDE!$F$8&gt;=3,FORSIDE!$B$5&gt;=9),354+3*FORSIDE!$F$9,"")</f>
        <v/>
      </c>
      <c r="C880" t="str">
        <f>IF(AND(FORSIDE!$B$8&gt;=16,FORSIDE!$F$8&gt;=3,FORSIDE!$B$5&gt;=9),16*FORSIDE!$B$9,"")</f>
        <v/>
      </c>
      <c r="D880" t="str">
        <f>IF(AND(FORSIDE!$B$8&gt;=16,FORSIDE!$F$8&gt;=3,FORSIDE!$B$5&gt;=9),FORSIDE!$B$6+(9-1)*FORSIDE!$B$7,"")</f>
        <v/>
      </c>
    </row>
    <row r="881" spans="1:4" x14ac:dyDescent="0.3">
      <c r="A881" t="str">
        <f>IF(AND(FORSIDE!$B$8&gt;=16,FORSIDE!$F$8&gt;=3,FORSIDE!$B$5&gt;=10),880,"")</f>
        <v/>
      </c>
      <c r="B881" t="str">
        <f>IF(AND(FORSIDE!$B$8&gt;=16,FORSIDE!$F$8&gt;=3,FORSIDE!$B$5&gt;=10),354+3*FORSIDE!$F$9,"")</f>
        <v/>
      </c>
      <c r="C881" t="str">
        <f>IF(AND(FORSIDE!$B$8&gt;=16,FORSIDE!$F$8&gt;=3,FORSIDE!$B$5&gt;=10),16*FORSIDE!$B$9,"")</f>
        <v/>
      </c>
      <c r="D881" t="str">
        <f>IF(AND(FORSIDE!$B$8&gt;=16,FORSIDE!$F$8&gt;=3,FORSIDE!$B$5&gt;=10),FORSIDE!$B$6+(10-1)*FORSIDE!$B$7,"")</f>
        <v/>
      </c>
    </row>
    <row r="882" spans="1:4" x14ac:dyDescent="0.3">
      <c r="A882" t="str">
        <f>IF(AND(FORSIDE!$B$8&gt;=17,FORSIDE!$F$8&gt;=3,FORSIDE!$B$5&gt;=0),881,"")</f>
        <v/>
      </c>
      <c r="B882" t="str">
        <f>IF(AND(FORSIDE!$B$8&gt;=17,FORSIDE!$F$8&gt;=3,FORSIDE!$B$5&gt;=0),354+3*FORSIDE!$F$9,"")</f>
        <v/>
      </c>
      <c r="C882" t="str">
        <f>IF(AND(FORSIDE!$B$8&gt;=17,FORSIDE!$F$8&gt;=3,FORSIDE!$B$5&gt;=0),17*FORSIDE!$B$9,"")</f>
        <v/>
      </c>
      <c r="D882" t="str">
        <f>IF(AND(FORSIDE!$B$8&gt;=17,FORSIDE!$F$8&gt;=3,FORSIDE!$B$5&gt;=0),0,"")</f>
        <v/>
      </c>
    </row>
    <row r="883" spans="1:4" x14ac:dyDescent="0.3">
      <c r="A883" t="str">
        <f>IF(AND(FORSIDE!$B$8&gt;=17,FORSIDE!$F$8&gt;=3,FORSIDE!$B$5&gt;=1),882,"")</f>
        <v/>
      </c>
      <c r="B883" t="str">
        <f>IF(AND(FORSIDE!$B$8&gt;=17,FORSIDE!$F$8&gt;=3,FORSIDE!$B$5&gt;=1),354+3*FORSIDE!$F$9,"")</f>
        <v/>
      </c>
      <c r="C883" t="str">
        <f>IF(AND(FORSIDE!$B$8&gt;=17,FORSIDE!$F$8&gt;=3,FORSIDE!$B$5&gt;=1),17*FORSIDE!$B$9,"")</f>
        <v/>
      </c>
      <c r="D883" t="str">
        <f>IF(AND(FORSIDE!$B$8&gt;=17,FORSIDE!$F$8&gt;=3,FORSIDE!$B$5&gt;=1),FORSIDE!$B$6+(1-1)*FORSIDE!$B$7,"")</f>
        <v/>
      </c>
    </row>
    <row r="884" spans="1:4" x14ac:dyDescent="0.3">
      <c r="A884" t="str">
        <f>IF(AND(FORSIDE!$B$8&gt;=17,FORSIDE!$F$8&gt;=3,FORSIDE!$B$5&gt;=2),883,"")</f>
        <v/>
      </c>
      <c r="B884" t="str">
        <f>IF(AND(FORSIDE!$B$8&gt;=17,FORSIDE!$F$8&gt;=3,FORSIDE!$B$5&gt;=2),354+3*FORSIDE!$F$9,"")</f>
        <v/>
      </c>
      <c r="C884" t="str">
        <f>IF(AND(FORSIDE!$B$8&gt;=17,FORSIDE!$F$8&gt;=3,FORSIDE!$B$5&gt;=2),17*FORSIDE!$B$9,"")</f>
        <v/>
      </c>
      <c r="D884" t="str">
        <f>IF(AND(FORSIDE!$B$8&gt;=17,FORSIDE!$F$8&gt;=3,FORSIDE!$B$5&gt;=2),FORSIDE!$B$6+(2-1)*FORSIDE!$B$7,"")</f>
        <v/>
      </c>
    </row>
    <row r="885" spans="1:4" x14ac:dyDescent="0.3">
      <c r="A885" t="str">
        <f>IF(AND(FORSIDE!$B$8&gt;=17,FORSIDE!$F$8&gt;=3,FORSIDE!$B$5&gt;=3),884,"")</f>
        <v/>
      </c>
      <c r="B885" t="str">
        <f>IF(AND(FORSIDE!$B$8&gt;=17,FORSIDE!$F$8&gt;=3,FORSIDE!$B$5&gt;=3),354+3*FORSIDE!$F$9,"")</f>
        <v/>
      </c>
      <c r="C885" t="str">
        <f>IF(AND(FORSIDE!$B$8&gt;=17,FORSIDE!$F$8&gt;=3,FORSIDE!$B$5&gt;=3),17*FORSIDE!$B$9,"")</f>
        <v/>
      </c>
      <c r="D885" t="str">
        <f>IF(AND(FORSIDE!$B$8&gt;=17,FORSIDE!$F$8&gt;=3,FORSIDE!$B$5&gt;=3),FORSIDE!$B$6+(3-1)*FORSIDE!$B$7,"")</f>
        <v/>
      </c>
    </row>
    <row r="886" spans="1:4" x14ac:dyDescent="0.3">
      <c r="A886" t="str">
        <f>IF(AND(FORSIDE!$B$8&gt;=17,FORSIDE!$F$8&gt;=3,FORSIDE!$B$5&gt;=4),885,"")</f>
        <v/>
      </c>
      <c r="B886" t="str">
        <f>IF(AND(FORSIDE!$B$8&gt;=17,FORSIDE!$F$8&gt;=3,FORSIDE!$B$5&gt;=4),354+3*FORSIDE!$F$9,"")</f>
        <v/>
      </c>
      <c r="C886" t="str">
        <f>IF(AND(FORSIDE!$B$8&gt;=17,FORSIDE!$F$8&gt;=3,FORSIDE!$B$5&gt;=4),17*FORSIDE!$B$9,"")</f>
        <v/>
      </c>
      <c r="D886" t="str">
        <f>IF(AND(FORSIDE!$B$8&gt;=17,FORSIDE!$F$8&gt;=3,FORSIDE!$B$5&gt;=4),FORSIDE!$B$6+(4-1)*FORSIDE!$B$7,"")</f>
        <v/>
      </c>
    </row>
    <row r="887" spans="1:4" x14ac:dyDescent="0.3">
      <c r="A887" t="str">
        <f>IF(AND(FORSIDE!$B$8&gt;=17,FORSIDE!$F$8&gt;=3,FORSIDE!$B$5&gt;=5),886,"")</f>
        <v/>
      </c>
      <c r="B887" t="str">
        <f>IF(AND(FORSIDE!$B$8&gt;=17,FORSIDE!$F$8&gt;=3,FORSIDE!$B$5&gt;=5),354+3*FORSIDE!$F$9,"")</f>
        <v/>
      </c>
      <c r="C887" t="str">
        <f>IF(AND(FORSIDE!$B$8&gt;=17,FORSIDE!$F$8&gt;=3,FORSIDE!$B$5&gt;=5),17*FORSIDE!$B$9,"")</f>
        <v/>
      </c>
      <c r="D887" t="str">
        <f>IF(AND(FORSIDE!$B$8&gt;=17,FORSIDE!$F$8&gt;=3,FORSIDE!$B$5&gt;=5),FORSIDE!$B$6+(5-1)*FORSIDE!$B$7,"")</f>
        <v/>
      </c>
    </row>
    <row r="888" spans="1:4" x14ac:dyDescent="0.3">
      <c r="A888" t="str">
        <f>IF(AND(FORSIDE!$B$8&gt;=17,FORSIDE!$F$8&gt;=3,FORSIDE!$B$5&gt;=6),887,"")</f>
        <v/>
      </c>
      <c r="B888" t="str">
        <f>IF(AND(FORSIDE!$B$8&gt;=17,FORSIDE!$F$8&gt;=3,FORSIDE!$B$5&gt;=6),354+3*FORSIDE!$F$9,"")</f>
        <v/>
      </c>
      <c r="C888" t="str">
        <f>IF(AND(FORSIDE!$B$8&gt;=17,FORSIDE!$F$8&gt;=3,FORSIDE!$B$5&gt;=6),17*FORSIDE!$B$9,"")</f>
        <v/>
      </c>
      <c r="D888" t="str">
        <f>IF(AND(FORSIDE!$B$8&gt;=17,FORSIDE!$F$8&gt;=3,FORSIDE!$B$5&gt;=6),FORSIDE!$B$6+(6-1)*FORSIDE!$B$7,"")</f>
        <v/>
      </c>
    </row>
    <row r="889" spans="1:4" x14ac:dyDescent="0.3">
      <c r="A889" t="str">
        <f>IF(AND(FORSIDE!$B$8&gt;=17,FORSIDE!$F$8&gt;=3,FORSIDE!$B$5&gt;=7),888,"")</f>
        <v/>
      </c>
      <c r="B889" t="str">
        <f>IF(AND(FORSIDE!$B$8&gt;=17,FORSIDE!$F$8&gt;=3,FORSIDE!$B$5&gt;=7),354+3*FORSIDE!$F$9,"")</f>
        <v/>
      </c>
      <c r="C889" t="str">
        <f>IF(AND(FORSIDE!$B$8&gt;=17,FORSIDE!$F$8&gt;=3,FORSIDE!$B$5&gt;=7),17*FORSIDE!$B$9,"")</f>
        <v/>
      </c>
      <c r="D889" t="str">
        <f>IF(AND(FORSIDE!$B$8&gt;=17,FORSIDE!$F$8&gt;=3,FORSIDE!$B$5&gt;=7),FORSIDE!$B$6+(7-1)*FORSIDE!$B$7,"")</f>
        <v/>
      </c>
    </row>
    <row r="890" spans="1:4" x14ac:dyDescent="0.3">
      <c r="A890" t="str">
        <f>IF(AND(FORSIDE!$B$8&gt;=17,FORSIDE!$F$8&gt;=3,FORSIDE!$B$5&gt;=8),889,"")</f>
        <v/>
      </c>
      <c r="B890" t="str">
        <f>IF(AND(FORSIDE!$B$8&gt;=17,FORSIDE!$F$8&gt;=3,FORSIDE!$B$5&gt;=8),354+3*FORSIDE!$F$9,"")</f>
        <v/>
      </c>
      <c r="C890" t="str">
        <f>IF(AND(FORSIDE!$B$8&gt;=17,FORSIDE!$F$8&gt;=3,FORSIDE!$B$5&gt;=8),17*FORSIDE!$B$9,"")</f>
        <v/>
      </c>
      <c r="D890" t="str">
        <f>IF(AND(FORSIDE!$B$8&gt;=17,FORSIDE!$F$8&gt;=3,FORSIDE!$B$5&gt;=8),FORSIDE!$B$6+(8-1)*FORSIDE!$B$7,"")</f>
        <v/>
      </c>
    </row>
    <row r="891" spans="1:4" x14ac:dyDescent="0.3">
      <c r="A891" t="str">
        <f>IF(AND(FORSIDE!$B$8&gt;=17,FORSIDE!$F$8&gt;=3,FORSIDE!$B$5&gt;=9),890,"")</f>
        <v/>
      </c>
      <c r="B891" t="str">
        <f>IF(AND(FORSIDE!$B$8&gt;=17,FORSIDE!$F$8&gt;=3,FORSIDE!$B$5&gt;=9),354+3*FORSIDE!$F$9,"")</f>
        <v/>
      </c>
      <c r="C891" t="str">
        <f>IF(AND(FORSIDE!$B$8&gt;=17,FORSIDE!$F$8&gt;=3,FORSIDE!$B$5&gt;=9),17*FORSIDE!$B$9,"")</f>
        <v/>
      </c>
      <c r="D891" t="str">
        <f>IF(AND(FORSIDE!$B$8&gt;=17,FORSIDE!$F$8&gt;=3,FORSIDE!$B$5&gt;=9),FORSIDE!$B$6+(9-1)*FORSIDE!$B$7,"")</f>
        <v/>
      </c>
    </row>
    <row r="892" spans="1:4" x14ac:dyDescent="0.3">
      <c r="A892" t="str">
        <f>IF(AND(FORSIDE!$B$8&gt;=17,FORSIDE!$F$8&gt;=3,FORSIDE!$B$5&gt;=10),891,"")</f>
        <v/>
      </c>
      <c r="B892" t="str">
        <f>IF(AND(FORSIDE!$B$8&gt;=17,FORSIDE!$F$8&gt;=3,FORSIDE!$B$5&gt;=10),354+3*FORSIDE!$F$9,"")</f>
        <v/>
      </c>
      <c r="C892" t="str">
        <f>IF(AND(FORSIDE!$B$8&gt;=17,FORSIDE!$F$8&gt;=3,FORSIDE!$B$5&gt;=10),17*FORSIDE!$B$9,"")</f>
        <v/>
      </c>
      <c r="D892" t="str">
        <f>IF(AND(FORSIDE!$B$8&gt;=17,FORSIDE!$F$8&gt;=3,FORSIDE!$B$5&gt;=10),FORSIDE!$B$6+(10-1)*FORSIDE!$B$7,"")</f>
        <v/>
      </c>
    </row>
    <row r="893" spans="1:4" x14ac:dyDescent="0.3">
      <c r="A893" t="str">
        <f>IF(AND(FORSIDE!$B$8&gt;=18,FORSIDE!$F$8&gt;=3,FORSIDE!$B$5&gt;=0),892,"")</f>
        <v/>
      </c>
      <c r="B893" t="str">
        <f>IF(AND(FORSIDE!$B$8&gt;=18,FORSIDE!$F$8&gt;=3,FORSIDE!$B$5&gt;=0),354+3*FORSIDE!$F$9,"")</f>
        <v/>
      </c>
      <c r="C893" t="str">
        <f>IF(AND(FORSIDE!$B$8&gt;=18,FORSIDE!$F$8&gt;=3,FORSIDE!$B$5&gt;=0),18*FORSIDE!$B$9,"")</f>
        <v/>
      </c>
      <c r="D893" t="str">
        <f>IF(AND(FORSIDE!$B$8&gt;=18,FORSIDE!$F$8&gt;=3,FORSIDE!$B$5&gt;=0),0,"")</f>
        <v/>
      </c>
    </row>
    <row r="894" spans="1:4" x14ac:dyDescent="0.3">
      <c r="A894" t="str">
        <f>IF(AND(FORSIDE!$B$8&gt;=18,FORSIDE!$F$8&gt;=3,FORSIDE!$B$5&gt;=1),893,"")</f>
        <v/>
      </c>
      <c r="B894" t="str">
        <f>IF(AND(FORSIDE!$B$8&gt;=18,FORSIDE!$F$8&gt;=3,FORSIDE!$B$5&gt;=1),354+3*FORSIDE!$F$9,"")</f>
        <v/>
      </c>
      <c r="C894" t="str">
        <f>IF(AND(FORSIDE!$B$8&gt;=18,FORSIDE!$F$8&gt;=3,FORSIDE!$B$5&gt;=1),18*FORSIDE!$B$9,"")</f>
        <v/>
      </c>
      <c r="D894" t="str">
        <f>IF(AND(FORSIDE!$B$8&gt;=18,FORSIDE!$F$8&gt;=3,FORSIDE!$B$5&gt;=1),FORSIDE!$B$6+(1-1)*FORSIDE!$B$7,"")</f>
        <v/>
      </c>
    </row>
    <row r="895" spans="1:4" x14ac:dyDescent="0.3">
      <c r="A895" t="str">
        <f>IF(AND(FORSIDE!$B$8&gt;=18,FORSIDE!$F$8&gt;=3,FORSIDE!$B$5&gt;=2),894,"")</f>
        <v/>
      </c>
      <c r="B895" t="str">
        <f>IF(AND(FORSIDE!$B$8&gt;=18,FORSIDE!$F$8&gt;=3,FORSIDE!$B$5&gt;=2),354+3*FORSIDE!$F$9,"")</f>
        <v/>
      </c>
      <c r="C895" t="str">
        <f>IF(AND(FORSIDE!$B$8&gt;=18,FORSIDE!$F$8&gt;=3,FORSIDE!$B$5&gt;=2),18*FORSIDE!$B$9,"")</f>
        <v/>
      </c>
      <c r="D895" t="str">
        <f>IF(AND(FORSIDE!$B$8&gt;=18,FORSIDE!$F$8&gt;=3,FORSIDE!$B$5&gt;=2),FORSIDE!$B$6+(2-1)*FORSIDE!$B$7,"")</f>
        <v/>
      </c>
    </row>
    <row r="896" spans="1:4" x14ac:dyDescent="0.3">
      <c r="A896" t="str">
        <f>IF(AND(FORSIDE!$B$8&gt;=18,FORSIDE!$F$8&gt;=3,FORSIDE!$B$5&gt;=3),895,"")</f>
        <v/>
      </c>
      <c r="B896" t="str">
        <f>IF(AND(FORSIDE!$B$8&gt;=18,FORSIDE!$F$8&gt;=3,FORSIDE!$B$5&gt;=3),354+3*FORSIDE!$F$9,"")</f>
        <v/>
      </c>
      <c r="C896" t="str">
        <f>IF(AND(FORSIDE!$B$8&gt;=18,FORSIDE!$F$8&gt;=3,FORSIDE!$B$5&gt;=3),18*FORSIDE!$B$9,"")</f>
        <v/>
      </c>
      <c r="D896" t="str">
        <f>IF(AND(FORSIDE!$B$8&gt;=18,FORSIDE!$F$8&gt;=3,FORSIDE!$B$5&gt;=3),FORSIDE!$B$6+(3-1)*FORSIDE!$B$7,"")</f>
        <v/>
      </c>
    </row>
    <row r="897" spans="1:4" x14ac:dyDescent="0.3">
      <c r="A897" t="str">
        <f>IF(AND(FORSIDE!$B$8&gt;=18,FORSIDE!$F$8&gt;=3,FORSIDE!$B$5&gt;=4),896,"")</f>
        <v/>
      </c>
      <c r="B897" t="str">
        <f>IF(AND(FORSIDE!$B$8&gt;=18,FORSIDE!$F$8&gt;=3,FORSIDE!$B$5&gt;=4),354+3*FORSIDE!$F$9,"")</f>
        <v/>
      </c>
      <c r="C897" t="str">
        <f>IF(AND(FORSIDE!$B$8&gt;=18,FORSIDE!$F$8&gt;=3,FORSIDE!$B$5&gt;=4),18*FORSIDE!$B$9,"")</f>
        <v/>
      </c>
      <c r="D897" t="str">
        <f>IF(AND(FORSIDE!$B$8&gt;=18,FORSIDE!$F$8&gt;=3,FORSIDE!$B$5&gt;=4),FORSIDE!$B$6+(4-1)*FORSIDE!$B$7,"")</f>
        <v/>
      </c>
    </row>
    <row r="898" spans="1:4" x14ac:dyDescent="0.3">
      <c r="A898" t="str">
        <f>IF(AND(FORSIDE!$B$8&gt;=18,FORSIDE!$F$8&gt;=3,FORSIDE!$B$5&gt;=5),897,"")</f>
        <v/>
      </c>
      <c r="B898" t="str">
        <f>IF(AND(FORSIDE!$B$8&gt;=18,FORSIDE!$F$8&gt;=3,FORSIDE!$B$5&gt;=5),354+3*FORSIDE!$F$9,"")</f>
        <v/>
      </c>
      <c r="C898" t="str">
        <f>IF(AND(FORSIDE!$B$8&gt;=18,FORSIDE!$F$8&gt;=3,FORSIDE!$B$5&gt;=5),18*FORSIDE!$B$9,"")</f>
        <v/>
      </c>
      <c r="D898" t="str">
        <f>IF(AND(FORSIDE!$B$8&gt;=18,FORSIDE!$F$8&gt;=3,FORSIDE!$B$5&gt;=5),FORSIDE!$B$6+(5-1)*FORSIDE!$B$7,"")</f>
        <v/>
      </c>
    </row>
    <row r="899" spans="1:4" x14ac:dyDescent="0.3">
      <c r="A899" t="str">
        <f>IF(AND(FORSIDE!$B$8&gt;=18,FORSIDE!$F$8&gt;=3,FORSIDE!$B$5&gt;=6),898,"")</f>
        <v/>
      </c>
      <c r="B899" t="str">
        <f>IF(AND(FORSIDE!$B$8&gt;=18,FORSIDE!$F$8&gt;=3,FORSIDE!$B$5&gt;=6),354+3*FORSIDE!$F$9,"")</f>
        <v/>
      </c>
      <c r="C899" t="str">
        <f>IF(AND(FORSIDE!$B$8&gt;=18,FORSIDE!$F$8&gt;=3,FORSIDE!$B$5&gt;=6),18*FORSIDE!$B$9,"")</f>
        <v/>
      </c>
      <c r="D899" t="str">
        <f>IF(AND(FORSIDE!$B$8&gt;=18,FORSIDE!$F$8&gt;=3,FORSIDE!$B$5&gt;=6),FORSIDE!$B$6+(6-1)*FORSIDE!$B$7,"")</f>
        <v/>
      </c>
    </row>
    <row r="900" spans="1:4" x14ac:dyDescent="0.3">
      <c r="A900" t="str">
        <f>IF(AND(FORSIDE!$B$8&gt;=18,FORSIDE!$F$8&gt;=3,FORSIDE!$B$5&gt;=7),899,"")</f>
        <v/>
      </c>
      <c r="B900" t="str">
        <f>IF(AND(FORSIDE!$B$8&gt;=18,FORSIDE!$F$8&gt;=3,FORSIDE!$B$5&gt;=7),354+3*FORSIDE!$F$9,"")</f>
        <v/>
      </c>
      <c r="C900" t="str">
        <f>IF(AND(FORSIDE!$B$8&gt;=18,FORSIDE!$F$8&gt;=3,FORSIDE!$B$5&gt;=7),18*FORSIDE!$B$9,"")</f>
        <v/>
      </c>
      <c r="D900" t="str">
        <f>IF(AND(FORSIDE!$B$8&gt;=18,FORSIDE!$F$8&gt;=3,FORSIDE!$B$5&gt;=7),FORSIDE!$B$6+(7-1)*FORSIDE!$B$7,"")</f>
        <v/>
      </c>
    </row>
    <row r="901" spans="1:4" x14ac:dyDescent="0.3">
      <c r="A901" t="str">
        <f>IF(AND(FORSIDE!$B$8&gt;=18,FORSIDE!$F$8&gt;=3,FORSIDE!$B$5&gt;=8),900,"")</f>
        <v/>
      </c>
      <c r="B901" t="str">
        <f>IF(AND(FORSIDE!$B$8&gt;=18,FORSIDE!$F$8&gt;=3,FORSIDE!$B$5&gt;=8),354+3*FORSIDE!$F$9,"")</f>
        <v/>
      </c>
      <c r="C901" t="str">
        <f>IF(AND(FORSIDE!$B$8&gt;=18,FORSIDE!$F$8&gt;=3,FORSIDE!$B$5&gt;=8),18*FORSIDE!$B$9,"")</f>
        <v/>
      </c>
      <c r="D901" t="str">
        <f>IF(AND(FORSIDE!$B$8&gt;=18,FORSIDE!$F$8&gt;=3,FORSIDE!$B$5&gt;=8),FORSIDE!$B$6+(8-1)*FORSIDE!$B$7,"")</f>
        <v/>
      </c>
    </row>
    <row r="902" spans="1:4" x14ac:dyDescent="0.3">
      <c r="A902" t="str">
        <f>IF(AND(FORSIDE!$B$8&gt;=18,FORSIDE!$F$8&gt;=3,FORSIDE!$B$5&gt;=9),901,"")</f>
        <v/>
      </c>
      <c r="B902" t="str">
        <f>IF(AND(FORSIDE!$B$8&gt;=18,FORSIDE!$F$8&gt;=3,FORSIDE!$B$5&gt;=9),354+3*FORSIDE!$F$9,"")</f>
        <v/>
      </c>
      <c r="C902" t="str">
        <f>IF(AND(FORSIDE!$B$8&gt;=18,FORSIDE!$F$8&gt;=3,FORSIDE!$B$5&gt;=9),18*FORSIDE!$B$9,"")</f>
        <v/>
      </c>
      <c r="D902" t="str">
        <f>IF(AND(FORSIDE!$B$8&gt;=18,FORSIDE!$F$8&gt;=3,FORSIDE!$B$5&gt;=9),FORSIDE!$B$6+(9-1)*FORSIDE!$B$7,"")</f>
        <v/>
      </c>
    </row>
    <row r="903" spans="1:4" x14ac:dyDescent="0.3">
      <c r="A903" t="str">
        <f>IF(AND(FORSIDE!$B$8&gt;=18,FORSIDE!$F$8&gt;=3,FORSIDE!$B$5&gt;=10),902,"")</f>
        <v/>
      </c>
      <c r="B903" t="str">
        <f>IF(AND(FORSIDE!$B$8&gt;=18,FORSIDE!$F$8&gt;=3,FORSIDE!$B$5&gt;=10),354+3*FORSIDE!$F$9,"")</f>
        <v/>
      </c>
      <c r="C903" t="str">
        <f>IF(AND(FORSIDE!$B$8&gt;=18,FORSIDE!$F$8&gt;=3,FORSIDE!$B$5&gt;=10),18*FORSIDE!$B$9,"")</f>
        <v/>
      </c>
      <c r="D903" t="str">
        <f>IF(AND(FORSIDE!$B$8&gt;=18,FORSIDE!$F$8&gt;=3,FORSIDE!$B$5&gt;=10),FORSIDE!$B$6+(10-1)*FORSIDE!$B$7,"")</f>
        <v/>
      </c>
    </row>
    <row r="904" spans="1:4" x14ac:dyDescent="0.3">
      <c r="A904" t="str">
        <f>IF(AND(FORSIDE!$B$8&gt;=19,FORSIDE!$F$8&gt;=3,FORSIDE!$B$5&gt;=0),903,"")</f>
        <v/>
      </c>
      <c r="B904" t="str">
        <f>IF(AND(FORSIDE!$B$8&gt;=19,FORSIDE!$F$8&gt;=3,FORSIDE!$B$5&gt;=0),354+3*FORSIDE!$F$9,"")</f>
        <v/>
      </c>
      <c r="C904" t="str">
        <f>IF(AND(FORSIDE!$B$8&gt;=19,FORSIDE!$F$8&gt;=3,FORSIDE!$B$5&gt;=0),19*FORSIDE!$B$9,"")</f>
        <v/>
      </c>
      <c r="D904" t="str">
        <f>IF(AND(FORSIDE!$B$8&gt;=19,FORSIDE!$F$8&gt;=3,FORSIDE!$B$5&gt;=0),0,"")</f>
        <v/>
      </c>
    </row>
    <row r="905" spans="1:4" x14ac:dyDescent="0.3">
      <c r="A905" t="str">
        <f>IF(AND(FORSIDE!$B$8&gt;=19,FORSIDE!$F$8&gt;=3,FORSIDE!$B$5&gt;=1),904,"")</f>
        <v/>
      </c>
      <c r="B905" t="str">
        <f>IF(AND(FORSIDE!$B$8&gt;=19,FORSIDE!$F$8&gt;=3,FORSIDE!$B$5&gt;=1),354+3*FORSIDE!$F$9,"")</f>
        <v/>
      </c>
      <c r="C905" t="str">
        <f>IF(AND(FORSIDE!$B$8&gt;=19,FORSIDE!$F$8&gt;=3,FORSIDE!$B$5&gt;=1),19*FORSIDE!$B$9,"")</f>
        <v/>
      </c>
      <c r="D905" t="str">
        <f>IF(AND(FORSIDE!$B$8&gt;=19,FORSIDE!$F$8&gt;=3,FORSIDE!$B$5&gt;=1),FORSIDE!$B$6+(1-1)*FORSIDE!$B$7,"")</f>
        <v/>
      </c>
    </row>
    <row r="906" spans="1:4" x14ac:dyDescent="0.3">
      <c r="A906" t="str">
        <f>IF(AND(FORSIDE!$B$8&gt;=19,FORSIDE!$F$8&gt;=3,FORSIDE!$B$5&gt;=2),905,"")</f>
        <v/>
      </c>
      <c r="B906" t="str">
        <f>IF(AND(FORSIDE!$B$8&gt;=19,FORSIDE!$F$8&gt;=3,FORSIDE!$B$5&gt;=2),354+3*FORSIDE!$F$9,"")</f>
        <v/>
      </c>
      <c r="C906" t="str">
        <f>IF(AND(FORSIDE!$B$8&gt;=19,FORSIDE!$F$8&gt;=3,FORSIDE!$B$5&gt;=2),19*FORSIDE!$B$9,"")</f>
        <v/>
      </c>
      <c r="D906" t="str">
        <f>IF(AND(FORSIDE!$B$8&gt;=19,FORSIDE!$F$8&gt;=3,FORSIDE!$B$5&gt;=2),FORSIDE!$B$6+(2-1)*FORSIDE!$B$7,"")</f>
        <v/>
      </c>
    </row>
    <row r="907" spans="1:4" x14ac:dyDescent="0.3">
      <c r="A907" t="str">
        <f>IF(AND(FORSIDE!$B$8&gt;=19,FORSIDE!$F$8&gt;=3,FORSIDE!$B$5&gt;=3),906,"")</f>
        <v/>
      </c>
      <c r="B907" t="str">
        <f>IF(AND(FORSIDE!$B$8&gt;=19,FORSIDE!$F$8&gt;=3,FORSIDE!$B$5&gt;=3),354+3*FORSIDE!$F$9,"")</f>
        <v/>
      </c>
      <c r="C907" t="str">
        <f>IF(AND(FORSIDE!$B$8&gt;=19,FORSIDE!$F$8&gt;=3,FORSIDE!$B$5&gt;=3),19*FORSIDE!$B$9,"")</f>
        <v/>
      </c>
      <c r="D907" t="str">
        <f>IF(AND(FORSIDE!$B$8&gt;=19,FORSIDE!$F$8&gt;=3,FORSIDE!$B$5&gt;=3),FORSIDE!$B$6+(3-1)*FORSIDE!$B$7,"")</f>
        <v/>
      </c>
    </row>
    <row r="908" spans="1:4" x14ac:dyDescent="0.3">
      <c r="A908" t="str">
        <f>IF(AND(FORSIDE!$B$8&gt;=19,FORSIDE!$F$8&gt;=3,FORSIDE!$B$5&gt;=4),907,"")</f>
        <v/>
      </c>
      <c r="B908" t="str">
        <f>IF(AND(FORSIDE!$B$8&gt;=19,FORSIDE!$F$8&gt;=3,FORSIDE!$B$5&gt;=4),354+3*FORSIDE!$F$9,"")</f>
        <v/>
      </c>
      <c r="C908" t="str">
        <f>IF(AND(FORSIDE!$B$8&gt;=19,FORSIDE!$F$8&gt;=3,FORSIDE!$B$5&gt;=4),19*FORSIDE!$B$9,"")</f>
        <v/>
      </c>
      <c r="D908" t="str">
        <f>IF(AND(FORSIDE!$B$8&gt;=19,FORSIDE!$F$8&gt;=3,FORSIDE!$B$5&gt;=4),FORSIDE!$B$6+(4-1)*FORSIDE!$B$7,"")</f>
        <v/>
      </c>
    </row>
    <row r="909" spans="1:4" x14ac:dyDescent="0.3">
      <c r="A909" t="str">
        <f>IF(AND(FORSIDE!$B$8&gt;=19,FORSIDE!$F$8&gt;=3,FORSIDE!$B$5&gt;=5),908,"")</f>
        <v/>
      </c>
      <c r="B909" t="str">
        <f>IF(AND(FORSIDE!$B$8&gt;=19,FORSIDE!$F$8&gt;=3,FORSIDE!$B$5&gt;=5),354+3*FORSIDE!$F$9,"")</f>
        <v/>
      </c>
      <c r="C909" t="str">
        <f>IF(AND(FORSIDE!$B$8&gt;=19,FORSIDE!$F$8&gt;=3,FORSIDE!$B$5&gt;=5),19*FORSIDE!$B$9,"")</f>
        <v/>
      </c>
      <c r="D909" t="str">
        <f>IF(AND(FORSIDE!$B$8&gt;=19,FORSIDE!$F$8&gt;=3,FORSIDE!$B$5&gt;=5),FORSIDE!$B$6+(5-1)*FORSIDE!$B$7,"")</f>
        <v/>
      </c>
    </row>
    <row r="910" spans="1:4" x14ac:dyDescent="0.3">
      <c r="A910" t="str">
        <f>IF(AND(FORSIDE!$B$8&gt;=19,FORSIDE!$F$8&gt;=3,FORSIDE!$B$5&gt;=6),909,"")</f>
        <v/>
      </c>
      <c r="B910" t="str">
        <f>IF(AND(FORSIDE!$B$8&gt;=19,FORSIDE!$F$8&gt;=3,FORSIDE!$B$5&gt;=6),354+3*FORSIDE!$F$9,"")</f>
        <v/>
      </c>
      <c r="C910" t="str">
        <f>IF(AND(FORSIDE!$B$8&gt;=19,FORSIDE!$F$8&gt;=3,FORSIDE!$B$5&gt;=6),19*FORSIDE!$B$9,"")</f>
        <v/>
      </c>
      <c r="D910" t="str">
        <f>IF(AND(FORSIDE!$B$8&gt;=19,FORSIDE!$F$8&gt;=3,FORSIDE!$B$5&gt;=6),FORSIDE!$B$6+(6-1)*FORSIDE!$B$7,"")</f>
        <v/>
      </c>
    </row>
    <row r="911" spans="1:4" x14ac:dyDescent="0.3">
      <c r="A911" t="str">
        <f>IF(AND(FORSIDE!$B$8&gt;=19,FORSIDE!$F$8&gt;=3,FORSIDE!$B$5&gt;=7),910,"")</f>
        <v/>
      </c>
      <c r="B911" t="str">
        <f>IF(AND(FORSIDE!$B$8&gt;=19,FORSIDE!$F$8&gt;=3,FORSIDE!$B$5&gt;=7),354+3*FORSIDE!$F$9,"")</f>
        <v/>
      </c>
      <c r="C911" t="str">
        <f>IF(AND(FORSIDE!$B$8&gt;=19,FORSIDE!$F$8&gt;=3,FORSIDE!$B$5&gt;=7),19*FORSIDE!$B$9,"")</f>
        <v/>
      </c>
      <c r="D911" t="str">
        <f>IF(AND(FORSIDE!$B$8&gt;=19,FORSIDE!$F$8&gt;=3,FORSIDE!$B$5&gt;=7),FORSIDE!$B$6+(7-1)*FORSIDE!$B$7,"")</f>
        <v/>
      </c>
    </row>
    <row r="912" spans="1:4" x14ac:dyDescent="0.3">
      <c r="A912" t="str">
        <f>IF(AND(FORSIDE!$B$8&gt;=19,FORSIDE!$F$8&gt;=3,FORSIDE!$B$5&gt;=8),911,"")</f>
        <v/>
      </c>
      <c r="B912" t="str">
        <f>IF(AND(FORSIDE!$B$8&gt;=19,FORSIDE!$F$8&gt;=3,FORSIDE!$B$5&gt;=8),354+3*FORSIDE!$F$9,"")</f>
        <v/>
      </c>
      <c r="C912" t="str">
        <f>IF(AND(FORSIDE!$B$8&gt;=19,FORSIDE!$F$8&gt;=3,FORSIDE!$B$5&gt;=8),19*FORSIDE!$B$9,"")</f>
        <v/>
      </c>
      <c r="D912" t="str">
        <f>IF(AND(FORSIDE!$B$8&gt;=19,FORSIDE!$F$8&gt;=3,FORSIDE!$B$5&gt;=8),FORSIDE!$B$6+(8-1)*FORSIDE!$B$7,"")</f>
        <v/>
      </c>
    </row>
    <row r="913" spans="1:4" x14ac:dyDescent="0.3">
      <c r="A913" t="str">
        <f>IF(AND(FORSIDE!$B$8&gt;=19,FORSIDE!$F$8&gt;=3,FORSIDE!$B$5&gt;=9),912,"")</f>
        <v/>
      </c>
      <c r="B913" t="str">
        <f>IF(AND(FORSIDE!$B$8&gt;=19,FORSIDE!$F$8&gt;=3,FORSIDE!$B$5&gt;=9),354+3*FORSIDE!$F$9,"")</f>
        <v/>
      </c>
      <c r="C913" t="str">
        <f>IF(AND(FORSIDE!$B$8&gt;=19,FORSIDE!$F$8&gt;=3,FORSIDE!$B$5&gt;=9),19*FORSIDE!$B$9,"")</f>
        <v/>
      </c>
      <c r="D913" t="str">
        <f>IF(AND(FORSIDE!$B$8&gt;=19,FORSIDE!$F$8&gt;=3,FORSIDE!$B$5&gt;=9),FORSIDE!$B$6+(9-1)*FORSIDE!$B$7,"")</f>
        <v/>
      </c>
    </row>
    <row r="914" spans="1:4" x14ac:dyDescent="0.3">
      <c r="A914" t="str">
        <f>IF(AND(FORSIDE!$B$8&gt;=19,FORSIDE!$F$8&gt;=3,FORSIDE!$B$5&gt;=10),913,"")</f>
        <v/>
      </c>
      <c r="B914" t="str">
        <f>IF(AND(FORSIDE!$B$8&gt;=19,FORSIDE!$F$8&gt;=3,FORSIDE!$B$5&gt;=10),354+3*FORSIDE!$F$9,"")</f>
        <v/>
      </c>
      <c r="C914" t="str">
        <f>IF(AND(FORSIDE!$B$8&gt;=19,FORSIDE!$F$8&gt;=3,FORSIDE!$B$5&gt;=10),19*FORSIDE!$B$9,"")</f>
        <v/>
      </c>
      <c r="D914" t="str">
        <f>IF(AND(FORSIDE!$B$8&gt;=19,FORSIDE!$F$8&gt;=3,FORSIDE!$B$5&gt;=10),FORSIDE!$B$6+(10-1)*FORSIDE!$B$7,"")</f>
        <v/>
      </c>
    </row>
    <row r="915" spans="1:4" x14ac:dyDescent="0.3">
      <c r="A915" t="str">
        <f>IF(AND(FORSIDE!$B$8&gt;=20,FORSIDE!$F$8&gt;=3,FORSIDE!$B$5&gt;=0),914,"")</f>
        <v/>
      </c>
      <c r="B915" t="str">
        <f>IF(AND(FORSIDE!$B$8&gt;=20,FORSIDE!$F$8&gt;=3,FORSIDE!$B$5&gt;=0),354+3*FORSIDE!$F$9,"")</f>
        <v/>
      </c>
      <c r="C915" t="str">
        <f>IF(AND(FORSIDE!$B$8&gt;=20,FORSIDE!$F$8&gt;=3,FORSIDE!$B$5&gt;=0),20*FORSIDE!$B$9,"")</f>
        <v/>
      </c>
      <c r="D915" t="str">
        <f>IF(AND(FORSIDE!$B$8&gt;=20,FORSIDE!$F$8&gt;=3,FORSIDE!$B$5&gt;=0),0,"")</f>
        <v/>
      </c>
    </row>
    <row r="916" spans="1:4" x14ac:dyDescent="0.3">
      <c r="A916" t="str">
        <f>IF(AND(FORSIDE!$B$8&gt;=20,FORSIDE!$F$8&gt;=3,FORSIDE!$B$5&gt;=1),915,"")</f>
        <v/>
      </c>
      <c r="B916" t="str">
        <f>IF(AND(FORSIDE!$B$8&gt;=20,FORSIDE!$F$8&gt;=3,FORSIDE!$B$5&gt;=1),354+3*FORSIDE!$F$9,"")</f>
        <v/>
      </c>
      <c r="C916" t="str">
        <f>IF(AND(FORSIDE!$B$8&gt;=20,FORSIDE!$F$8&gt;=3,FORSIDE!$B$5&gt;=1),20*FORSIDE!$B$9,"")</f>
        <v/>
      </c>
      <c r="D916" t="str">
        <f>IF(AND(FORSIDE!$B$8&gt;=20,FORSIDE!$F$8&gt;=3,FORSIDE!$B$5&gt;=1),FORSIDE!$B$6+(1-1)*FORSIDE!$B$7,"")</f>
        <v/>
      </c>
    </row>
    <row r="917" spans="1:4" x14ac:dyDescent="0.3">
      <c r="A917" t="str">
        <f>IF(AND(FORSIDE!$B$8&gt;=20,FORSIDE!$F$8&gt;=3,FORSIDE!$B$5&gt;=2),916,"")</f>
        <v/>
      </c>
      <c r="B917" t="str">
        <f>IF(AND(FORSIDE!$B$8&gt;=20,FORSIDE!$F$8&gt;=3,FORSIDE!$B$5&gt;=2),354+3*FORSIDE!$F$9,"")</f>
        <v/>
      </c>
      <c r="C917" t="str">
        <f>IF(AND(FORSIDE!$B$8&gt;=20,FORSIDE!$F$8&gt;=3,FORSIDE!$B$5&gt;=2),20*FORSIDE!$B$9,"")</f>
        <v/>
      </c>
      <c r="D917" t="str">
        <f>IF(AND(FORSIDE!$B$8&gt;=20,FORSIDE!$F$8&gt;=3,FORSIDE!$B$5&gt;=2),FORSIDE!$B$6+(2-1)*FORSIDE!$B$7,"")</f>
        <v/>
      </c>
    </row>
    <row r="918" spans="1:4" x14ac:dyDescent="0.3">
      <c r="A918" t="str">
        <f>IF(AND(FORSIDE!$B$8&gt;=20,FORSIDE!$F$8&gt;=3,FORSIDE!$B$5&gt;=3),917,"")</f>
        <v/>
      </c>
      <c r="B918" t="str">
        <f>IF(AND(FORSIDE!$B$8&gt;=20,FORSIDE!$F$8&gt;=3,FORSIDE!$B$5&gt;=3),354+3*FORSIDE!$F$9,"")</f>
        <v/>
      </c>
      <c r="C918" t="str">
        <f>IF(AND(FORSIDE!$B$8&gt;=20,FORSIDE!$F$8&gt;=3,FORSIDE!$B$5&gt;=3),20*FORSIDE!$B$9,"")</f>
        <v/>
      </c>
      <c r="D918" t="str">
        <f>IF(AND(FORSIDE!$B$8&gt;=20,FORSIDE!$F$8&gt;=3,FORSIDE!$B$5&gt;=3),FORSIDE!$B$6+(3-1)*FORSIDE!$B$7,"")</f>
        <v/>
      </c>
    </row>
    <row r="919" spans="1:4" x14ac:dyDescent="0.3">
      <c r="A919" t="str">
        <f>IF(AND(FORSIDE!$B$8&gt;=20,FORSIDE!$F$8&gt;=3,FORSIDE!$B$5&gt;=4),918,"")</f>
        <v/>
      </c>
      <c r="B919" t="str">
        <f>IF(AND(FORSIDE!$B$8&gt;=20,FORSIDE!$F$8&gt;=3,FORSIDE!$B$5&gt;=4),354+3*FORSIDE!$F$9,"")</f>
        <v/>
      </c>
      <c r="C919" t="str">
        <f>IF(AND(FORSIDE!$B$8&gt;=20,FORSIDE!$F$8&gt;=3,FORSIDE!$B$5&gt;=4),20*FORSIDE!$B$9,"")</f>
        <v/>
      </c>
      <c r="D919" t="str">
        <f>IF(AND(FORSIDE!$B$8&gt;=20,FORSIDE!$F$8&gt;=3,FORSIDE!$B$5&gt;=4),FORSIDE!$B$6+(4-1)*FORSIDE!$B$7,"")</f>
        <v/>
      </c>
    </row>
    <row r="920" spans="1:4" x14ac:dyDescent="0.3">
      <c r="A920" t="str">
        <f>IF(AND(FORSIDE!$B$8&gt;=20,FORSIDE!$F$8&gt;=3,FORSIDE!$B$5&gt;=5),919,"")</f>
        <v/>
      </c>
      <c r="B920" t="str">
        <f>IF(AND(FORSIDE!$B$8&gt;=20,FORSIDE!$F$8&gt;=3,FORSIDE!$B$5&gt;=5),354+3*FORSIDE!$F$9,"")</f>
        <v/>
      </c>
      <c r="C920" t="str">
        <f>IF(AND(FORSIDE!$B$8&gt;=20,FORSIDE!$F$8&gt;=3,FORSIDE!$B$5&gt;=5),20*FORSIDE!$B$9,"")</f>
        <v/>
      </c>
      <c r="D920" t="str">
        <f>IF(AND(FORSIDE!$B$8&gt;=20,FORSIDE!$F$8&gt;=3,FORSIDE!$B$5&gt;=5),FORSIDE!$B$6+(5-1)*FORSIDE!$B$7,"")</f>
        <v/>
      </c>
    </row>
    <row r="921" spans="1:4" x14ac:dyDescent="0.3">
      <c r="A921" t="str">
        <f>IF(AND(FORSIDE!$B$8&gt;=20,FORSIDE!$F$8&gt;=3,FORSIDE!$B$5&gt;=6),920,"")</f>
        <v/>
      </c>
      <c r="B921" t="str">
        <f>IF(AND(FORSIDE!$B$8&gt;=20,FORSIDE!$F$8&gt;=3,FORSIDE!$B$5&gt;=6),354+3*FORSIDE!$F$9,"")</f>
        <v/>
      </c>
      <c r="C921" t="str">
        <f>IF(AND(FORSIDE!$B$8&gt;=20,FORSIDE!$F$8&gt;=3,FORSIDE!$B$5&gt;=6),20*FORSIDE!$B$9,"")</f>
        <v/>
      </c>
      <c r="D921" t="str">
        <f>IF(AND(FORSIDE!$B$8&gt;=20,FORSIDE!$F$8&gt;=3,FORSIDE!$B$5&gt;=6),FORSIDE!$B$6+(6-1)*FORSIDE!$B$7,"")</f>
        <v/>
      </c>
    </row>
    <row r="922" spans="1:4" x14ac:dyDescent="0.3">
      <c r="A922" t="str">
        <f>IF(AND(FORSIDE!$B$8&gt;=20,FORSIDE!$F$8&gt;=3,FORSIDE!$B$5&gt;=7),921,"")</f>
        <v/>
      </c>
      <c r="B922" t="str">
        <f>IF(AND(FORSIDE!$B$8&gt;=20,FORSIDE!$F$8&gt;=3,FORSIDE!$B$5&gt;=7),354+3*FORSIDE!$F$9,"")</f>
        <v/>
      </c>
      <c r="C922" t="str">
        <f>IF(AND(FORSIDE!$B$8&gt;=20,FORSIDE!$F$8&gt;=3,FORSIDE!$B$5&gt;=7),20*FORSIDE!$B$9,"")</f>
        <v/>
      </c>
      <c r="D922" t="str">
        <f>IF(AND(FORSIDE!$B$8&gt;=20,FORSIDE!$F$8&gt;=3,FORSIDE!$B$5&gt;=7),FORSIDE!$B$6+(7-1)*FORSIDE!$B$7,"")</f>
        <v/>
      </c>
    </row>
    <row r="923" spans="1:4" x14ac:dyDescent="0.3">
      <c r="A923" t="str">
        <f>IF(AND(FORSIDE!$B$8&gt;=20,FORSIDE!$F$8&gt;=3,FORSIDE!$B$5&gt;=8),922,"")</f>
        <v/>
      </c>
      <c r="B923" t="str">
        <f>IF(AND(FORSIDE!$B$8&gt;=20,FORSIDE!$F$8&gt;=3,FORSIDE!$B$5&gt;=8),354+3*FORSIDE!$F$9,"")</f>
        <v/>
      </c>
      <c r="C923" t="str">
        <f>IF(AND(FORSIDE!$B$8&gt;=20,FORSIDE!$F$8&gt;=3,FORSIDE!$B$5&gt;=8),20*FORSIDE!$B$9,"")</f>
        <v/>
      </c>
      <c r="D923" t="str">
        <f>IF(AND(FORSIDE!$B$8&gt;=20,FORSIDE!$F$8&gt;=3,FORSIDE!$B$5&gt;=8),FORSIDE!$B$6+(8-1)*FORSIDE!$B$7,"")</f>
        <v/>
      </c>
    </row>
    <row r="924" spans="1:4" x14ac:dyDescent="0.3">
      <c r="A924" t="str">
        <f>IF(AND(FORSIDE!$B$8&gt;=20,FORSIDE!$F$8&gt;=3,FORSIDE!$B$5&gt;=9),923,"")</f>
        <v/>
      </c>
      <c r="B924" t="str">
        <f>IF(AND(FORSIDE!$B$8&gt;=20,FORSIDE!$F$8&gt;=3,FORSIDE!$B$5&gt;=9),354+3*FORSIDE!$F$9,"")</f>
        <v/>
      </c>
      <c r="C924" t="str">
        <f>IF(AND(FORSIDE!$B$8&gt;=20,FORSIDE!$F$8&gt;=3,FORSIDE!$B$5&gt;=9),20*FORSIDE!$B$9,"")</f>
        <v/>
      </c>
      <c r="D924" t="str">
        <f>IF(AND(FORSIDE!$B$8&gt;=20,FORSIDE!$F$8&gt;=3,FORSIDE!$B$5&gt;=9),FORSIDE!$B$6+(9-1)*FORSIDE!$B$7,"")</f>
        <v/>
      </c>
    </row>
    <row r="925" spans="1:4" x14ac:dyDescent="0.3">
      <c r="A925" t="str">
        <f>IF(AND(FORSIDE!$B$8&gt;=20,FORSIDE!$F$8&gt;=3,FORSIDE!$B$5&gt;=10),924,"")</f>
        <v/>
      </c>
      <c r="B925" t="str">
        <f>IF(AND(FORSIDE!$B$8&gt;=20,FORSIDE!$F$8&gt;=3,FORSIDE!$B$5&gt;=10),354+3*FORSIDE!$F$9,"")</f>
        <v/>
      </c>
      <c r="C925" t="str">
        <f>IF(AND(FORSIDE!$B$8&gt;=20,FORSIDE!$F$8&gt;=3,FORSIDE!$B$5&gt;=10),20*FORSIDE!$B$9,"")</f>
        <v/>
      </c>
      <c r="D925" t="str">
        <f>IF(AND(FORSIDE!$B$8&gt;=20,FORSIDE!$F$8&gt;=3,FORSIDE!$B$5&gt;=10),FORSIDE!$B$6+(10-1)*FORSIDE!$B$7,"")</f>
        <v/>
      </c>
    </row>
    <row r="926" spans="1:4" x14ac:dyDescent="0.3">
      <c r="A926" t="str">
        <f>IF(AND(FORSIDE!$B$8&gt;=0,FORSIDE!$F$8&gt;=4,FORSIDE!$B$5&gt;=0),925,"")</f>
        <v/>
      </c>
      <c r="B926" t="str">
        <f>IF(AND(FORSIDE!$B$8&gt;=0,FORSIDE!$F$8&gt;=4,FORSIDE!$B$5&gt;=0),354+4*FORSIDE!$F$9,"")</f>
        <v/>
      </c>
      <c r="C926" t="str">
        <f>IF(AND(FORSIDE!$B$8&gt;=0,FORSIDE!$F$8&gt;=4,FORSIDE!$B$5&gt;=0),0*FORSIDE!$B$9,"")</f>
        <v/>
      </c>
      <c r="D926" t="str">
        <f>IF(AND(FORSIDE!$B$8&gt;=0,FORSIDE!$F$8&gt;=4,FORSIDE!$B$5&gt;=0),0,"")</f>
        <v/>
      </c>
    </row>
    <row r="927" spans="1:4" x14ac:dyDescent="0.3">
      <c r="A927" t="str">
        <f>IF(AND(FORSIDE!$B$8&gt;=0,FORSIDE!$F$8&gt;=4,FORSIDE!$B$5&gt;=1),926,"")</f>
        <v/>
      </c>
      <c r="B927" t="str">
        <f>IF(AND(FORSIDE!$B$8&gt;=0,FORSIDE!$F$8&gt;=4,FORSIDE!$B$5&gt;=1),354+4*FORSIDE!$F$9,"")</f>
        <v/>
      </c>
      <c r="C927" t="str">
        <f>IF(AND(FORSIDE!$B$8&gt;=0,FORSIDE!$F$8&gt;=4,FORSIDE!$B$5&gt;=1),0*FORSIDE!$B$9,"")</f>
        <v/>
      </c>
      <c r="D927" t="str">
        <f>IF(AND(FORSIDE!$B$8&gt;=0,FORSIDE!$F$8&gt;=4,FORSIDE!$B$5&gt;=1),FORSIDE!$B$6+(1-1)*FORSIDE!$B$7,"")</f>
        <v/>
      </c>
    </row>
    <row r="928" spans="1:4" x14ac:dyDescent="0.3">
      <c r="A928" t="str">
        <f>IF(AND(FORSIDE!$B$8&gt;=0,FORSIDE!$F$8&gt;=4,FORSIDE!$B$5&gt;=2),927,"")</f>
        <v/>
      </c>
      <c r="B928" t="str">
        <f>IF(AND(FORSIDE!$B$8&gt;=0,FORSIDE!$F$8&gt;=4,FORSIDE!$B$5&gt;=2),354+4*FORSIDE!$F$9,"")</f>
        <v/>
      </c>
      <c r="C928" t="str">
        <f>IF(AND(FORSIDE!$B$8&gt;=0,FORSIDE!$F$8&gt;=4,FORSIDE!$B$5&gt;=2),0*FORSIDE!$B$9,"")</f>
        <v/>
      </c>
      <c r="D928" t="str">
        <f>IF(AND(FORSIDE!$B$8&gt;=0,FORSIDE!$F$8&gt;=4,FORSIDE!$B$5&gt;=2),FORSIDE!$B$6+(2-1)*FORSIDE!$B$7,"")</f>
        <v/>
      </c>
    </row>
    <row r="929" spans="1:4" x14ac:dyDescent="0.3">
      <c r="A929" t="str">
        <f>IF(AND(FORSIDE!$B$8&gt;=0,FORSIDE!$F$8&gt;=4,FORSIDE!$B$5&gt;=3),928,"")</f>
        <v/>
      </c>
      <c r="B929" t="str">
        <f>IF(AND(FORSIDE!$B$8&gt;=0,FORSIDE!$F$8&gt;=4,FORSIDE!$B$5&gt;=3),354+4*FORSIDE!$F$9,"")</f>
        <v/>
      </c>
      <c r="C929" t="str">
        <f>IF(AND(FORSIDE!$B$8&gt;=0,FORSIDE!$F$8&gt;=4,FORSIDE!$B$5&gt;=3),0*FORSIDE!$B$9,"")</f>
        <v/>
      </c>
      <c r="D929" t="str">
        <f>IF(AND(FORSIDE!$B$8&gt;=0,FORSIDE!$F$8&gt;=4,FORSIDE!$B$5&gt;=3),FORSIDE!$B$6+(3-1)*FORSIDE!$B$7,"")</f>
        <v/>
      </c>
    </row>
    <row r="930" spans="1:4" x14ac:dyDescent="0.3">
      <c r="A930" t="str">
        <f>IF(AND(FORSIDE!$B$8&gt;=0,FORSIDE!$F$8&gt;=4,FORSIDE!$B$5&gt;=4),929,"")</f>
        <v/>
      </c>
      <c r="B930" t="str">
        <f>IF(AND(FORSIDE!$B$8&gt;=0,FORSIDE!$F$8&gt;=4,FORSIDE!$B$5&gt;=4),354+4*FORSIDE!$F$9,"")</f>
        <v/>
      </c>
      <c r="C930" t="str">
        <f>IF(AND(FORSIDE!$B$8&gt;=0,FORSIDE!$F$8&gt;=4,FORSIDE!$B$5&gt;=4),0*FORSIDE!$B$9,"")</f>
        <v/>
      </c>
      <c r="D930" t="str">
        <f>IF(AND(FORSIDE!$B$8&gt;=0,FORSIDE!$F$8&gt;=4,FORSIDE!$B$5&gt;=4),FORSIDE!$B$6+(4-1)*FORSIDE!$B$7,"")</f>
        <v/>
      </c>
    </row>
    <row r="931" spans="1:4" x14ac:dyDescent="0.3">
      <c r="A931" t="str">
        <f>IF(AND(FORSIDE!$B$8&gt;=0,FORSIDE!$F$8&gt;=4,FORSIDE!$B$5&gt;=5),930,"")</f>
        <v/>
      </c>
      <c r="B931" t="str">
        <f>IF(AND(FORSIDE!$B$8&gt;=0,FORSIDE!$F$8&gt;=4,FORSIDE!$B$5&gt;=5),354+4*FORSIDE!$F$9,"")</f>
        <v/>
      </c>
      <c r="C931" t="str">
        <f>IF(AND(FORSIDE!$B$8&gt;=0,FORSIDE!$F$8&gt;=4,FORSIDE!$B$5&gt;=5),0*FORSIDE!$B$9,"")</f>
        <v/>
      </c>
      <c r="D931" t="str">
        <f>IF(AND(FORSIDE!$B$8&gt;=0,FORSIDE!$F$8&gt;=4,FORSIDE!$B$5&gt;=5),FORSIDE!$B$6+(5-1)*FORSIDE!$B$7,"")</f>
        <v/>
      </c>
    </row>
    <row r="932" spans="1:4" x14ac:dyDescent="0.3">
      <c r="A932" t="str">
        <f>IF(AND(FORSIDE!$B$8&gt;=0,FORSIDE!$F$8&gt;=4,FORSIDE!$B$5&gt;=6),931,"")</f>
        <v/>
      </c>
      <c r="B932" t="str">
        <f>IF(AND(FORSIDE!$B$8&gt;=0,FORSIDE!$F$8&gt;=4,FORSIDE!$B$5&gt;=6),354+4*FORSIDE!$F$9,"")</f>
        <v/>
      </c>
      <c r="C932" t="str">
        <f>IF(AND(FORSIDE!$B$8&gt;=0,FORSIDE!$F$8&gt;=4,FORSIDE!$B$5&gt;=6),0*FORSIDE!$B$9,"")</f>
        <v/>
      </c>
      <c r="D932" t="str">
        <f>IF(AND(FORSIDE!$B$8&gt;=0,FORSIDE!$F$8&gt;=4,FORSIDE!$B$5&gt;=6),FORSIDE!$B$6+(6-1)*FORSIDE!$B$7,"")</f>
        <v/>
      </c>
    </row>
    <row r="933" spans="1:4" x14ac:dyDescent="0.3">
      <c r="A933" t="str">
        <f>IF(AND(FORSIDE!$B$8&gt;=0,FORSIDE!$F$8&gt;=4,FORSIDE!$B$5&gt;=7),932,"")</f>
        <v/>
      </c>
      <c r="B933" t="str">
        <f>IF(AND(FORSIDE!$B$8&gt;=0,FORSIDE!$F$8&gt;=4,FORSIDE!$B$5&gt;=7),354+4*FORSIDE!$F$9,"")</f>
        <v/>
      </c>
      <c r="C933" t="str">
        <f>IF(AND(FORSIDE!$B$8&gt;=0,FORSIDE!$F$8&gt;=4,FORSIDE!$B$5&gt;=7),0*FORSIDE!$B$9,"")</f>
        <v/>
      </c>
      <c r="D933" t="str">
        <f>IF(AND(FORSIDE!$B$8&gt;=0,FORSIDE!$F$8&gt;=4,FORSIDE!$B$5&gt;=7),FORSIDE!$B$6+(7-1)*FORSIDE!$B$7,"")</f>
        <v/>
      </c>
    </row>
    <row r="934" spans="1:4" x14ac:dyDescent="0.3">
      <c r="A934" t="str">
        <f>IF(AND(FORSIDE!$B$8&gt;=0,FORSIDE!$F$8&gt;=4,FORSIDE!$B$5&gt;=8),933,"")</f>
        <v/>
      </c>
      <c r="B934" t="str">
        <f>IF(AND(FORSIDE!$B$8&gt;=0,FORSIDE!$F$8&gt;=4,FORSIDE!$B$5&gt;=8),354+4*FORSIDE!$F$9,"")</f>
        <v/>
      </c>
      <c r="C934" t="str">
        <f>IF(AND(FORSIDE!$B$8&gt;=0,FORSIDE!$F$8&gt;=4,FORSIDE!$B$5&gt;=8),0*FORSIDE!$B$9,"")</f>
        <v/>
      </c>
      <c r="D934" t="str">
        <f>IF(AND(FORSIDE!$B$8&gt;=0,FORSIDE!$F$8&gt;=4,FORSIDE!$B$5&gt;=8),FORSIDE!$B$6+(8-1)*FORSIDE!$B$7,"")</f>
        <v/>
      </c>
    </row>
    <row r="935" spans="1:4" x14ac:dyDescent="0.3">
      <c r="A935" t="str">
        <f>IF(AND(FORSIDE!$B$8&gt;=0,FORSIDE!$F$8&gt;=4,FORSIDE!$B$5&gt;=9),934,"")</f>
        <v/>
      </c>
      <c r="B935" t="str">
        <f>IF(AND(FORSIDE!$B$8&gt;=0,FORSIDE!$F$8&gt;=4,FORSIDE!$B$5&gt;=9),354+4*FORSIDE!$F$9,"")</f>
        <v/>
      </c>
      <c r="C935" t="str">
        <f>IF(AND(FORSIDE!$B$8&gt;=0,FORSIDE!$F$8&gt;=4,FORSIDE!$B$5&gt;=9),0*FORSIDE!$B$9,"")</f>
        <v/>
      </c>
      <c r="D935" t="str">
        <f>IF(AND(FORSIDE!$B$8&gt;=0,FORSIDE!$F$8&gt;=4,FORSIDE!$B$5&gt;=9),FORSIDE!$B$6+(9-1)*FORSIDE!$B$7,"")</f>
        <v/>
      </c>
    </row>
    <row r="936" spans="1:4" x14ac:dyDescent="0.3">
      <c r="A936" t="str">
        <f>IF(AND(FORSIDE!$B$8&gt;=0,FORSIDE!$F$8&gt;=4,FORSIDE!$B$5&gt;=10),935,"")</f>
        <v/>
      </c>
      <c r="B936" t="str">
        <f>IF(AND(FORSIDE!$B$8&gt;=0,FORSIDE!$F$8&gt;=4,FORSIDE!$B$5&gt;=10),354+4*FORSIDE!$F$9,"")</f>
        <v/>
      </c>
      <c r="C936" t="str">
        <f>IF(AND(FORSIDE!$B$8&gt;=0,FORSIDE!$F$8&gt;=4,FORSIDE!$B$5&gt;=10),0*FORSIDE!$B$9,"")</f>
        <v/>
      </c>
      <c r="D936" t="str">
        <f>IF(AND(FORSIDE!$B$8&gt;=0,FORSIDE!$F$8&gt;=4,FORSIDE!$B$5&gt;=10),FORSIDE!$B$6+(10-1)*FORSIDE!$B$7,"")</f>
        <v/>
      </c>
    </row>
    <row r="937" spans="1:4" x14ac:dyDescent="0.3">
      <c r="A937" t="str">
        <f>IF(AND(FORSIDE!$B$8&gt;=1,FORSIDE!$F$8&gt;=4,FORSIDE!$B$5&gt;=0),936,"")</f>
        <v/>
      </c>
      <c r="B937" t="str">
        <f>IF(AND(FORSIDE!$B$8&gt;=1,FORSIDE!$F$8&gt;=4,FORSIDE!$B$5&gt;=0),354+4*FORSIDE!$F$9,"")</f>
        <v/>
      </c>
      <c r="C937" t="str">
        <f>IF(AND(FORSIDE!$B$8&gt;=1,FORSIDE!$F$8&gt;=4,FORSIDE!$B$5&gt;=0),1*FORSIDE!$B$9,"")</f>
        <v/>
      </c>
      <c r="D937" t="str">
        <f>IF(AND(FORSIDE!$B$8&gt;=1,FORSIDE!$F$8&gt;=4,FORSIDE!$B$5&gt;=0),0,"")</f>
        <v/>
      </c>
    </row>
    <row r="938" spans="1:4" x14ac:dyDescent="0.3">
      <c r="A938" t="str">
        <f>IF(AND(FORSIDE!$B$8&gt;=1,FORSIDE!$F$8&gt;=4,FORSIDE!$B$5&gt;=1),937,"")</f>
        <v/>
      </c>
      <c r="B938" t="str">
        <f>IF(AND(FORSIDE!$B$8&gt;=1,FORSIDE!$F$8&gt;=4,FORSIDE!$B$5&gt;=1),354+4*FORSIDE!$F$9,"")</f>
        <v/>
      </c>
      <c r="C938" t="str">
        <f>IF(AND(FORSIDE!$B$8&gt;=1,FORSIDE!$F$8&gt;=4,FORSIDE!$B$5&gt;=1),1*FORSIDE!$B$9,"")</f>
        <v/>
      </c>
      <c r="D938" t="str">
        <f>IF(AND(FORSIDE!$B$8&gt;=1,FORSIDE!$F$8&gt;=4,FORSIDE!$B$5&gt;=1),FORSIDE!$B$6+(1-1)*FORSIDE!$B$7,"")</f>
        <v/>
      </c>
    </row>
    <row r="939" spans="1:4" x14ac:dyDescent="0.3">
      <c r="A939" t="str">
        <f>IF(AND(FORSIDE!$B$8&gt;=1,FORSIDE!$F$8&gt;=4,FORSIDE!$B$5&gt;=2),938,"")</f>
        <v/>
      </c>
      <c r="B939" t="str">
        <f>IF(AND(FORSIDE!$B$8&gt;=1,FORSIDE!$F$8&gt;=4,FORSIDE!$B$5&gt;=2),354+4*FORSIDE!$F$9,"")</f>
        <v/>
      </c>
      <c r="C939" t="str">
        <f>IF(AND(FORSIDE!$B$8&gt;=1,FORSIDE!$F$8&gt;=4,FORSIDE!$B$5&gt;=2),1*FORSIDE!$B$9,"")</f>
        <v/>
      </c>
      <c r="D939" t="str">
        <f>IF(AND(FORSIDE!$B$8&gt;=1,FORSIDE!$F$8&gt;=4,FORSIDE!$B$5&gt;=2),FORSIDE!$B$6+(2-1)*FORSIDE!$B$7,"")</f>
        <v/>
      </c>
    </row>
    <row r="940" spans="1:4" x14ac:dyDescent="0.3">
      <c r="A940" t="str">
        <f>IF(AND(FORSIDE!$B$8&gt;=1,FORSIDE!$F$8&gt;=4,FORSIDE!$B$5&gt;=3),939,"")</f>
        <v/>
      </c>
      <c r="B940" t="str">
        <f>IF(AND(FORSIDE!$B$8&gt;=1,FORSIDE!$F$8&gt;=4,FORSIDE!$B$5&gt;=3),354+4*FORSIDE!$F$9,"")</f>
        <v/>
      </c>
      <c r="C940" t="str">
        <f>IF(AND(FORSIDE!$B$8&gt;=1,FORSIDE!$F$8&gt;=4,FORSIDE!$B$5&gt;=3),1*FORSIDE!$B$9,"")</f>
        <v/>
      </c>
      <c r="D940" t="str">
        <f>IF(AND(FORSIDE!$B$8&gt;=1,FORSIDE!$F$8&gt;=4,FORSIDE!$B$5&gt;=3),FORSIDE!$B$6+(3-1)*FORSIDE!$B$7,"")</f>
        <v/>
      </c>
    </row>
    <row r="941" spans="1:4" x14ac:dyDescent="0.3">
      <c r="A941" t="str">
        <f>IF(AND(FORSIDE!$B$8&gt;=1,FORSIDE!$F$8&gt;=4,FORSIDE!$B$5&gt;=4),940,"")</f>
        <v/>
      </c>
      <c r="B941" t="str">
        <f>IF(AND(FORSIDE!$B$8&gt;=1,FORSIDE!$F$8&gt;=4,FORSIDE!$B$5&gt;=4),354+4*FORSIDE!$F$9,"")</f>
        <v/>
      </c>
      <c r="C941" t="str">
        <f>IF(AND(FORSIDE!$B$8&gt;=1,FORSIDE!$F$8&gt;=4,FORSIDE!$B$5&gt;=4),1*FORSIDE!$B$9,"")</f>
        <v/>
      </c>
      <c r="D941" t="str">
        <f>IF(AND(FORSIDE!$B$8&gt;=1,FORSIDE!$F$8&gt;=4,FORSIDE!$B$5&gt;=4),FORSIDE!$B$6+(4-1)*FORSIDE!$B$7,"")</f>
        <v/>
      </c>
    </row>
    <row r="942" spans="1:4" x14ac:dyDescent="0.3">
      <c r="A942" t="str">
        <f>IF(AND(FORSIDE!$B$8&gt;=1,FORSIDE!$F$8&gt;=4,FORSIDE!$B$5&gt;=5),941,"")</f>
        <v/>
      </c>
      <c r="B942" t="str">
        <f>IF(AND(FORSIDE!$B$8&gt;=1,FORSIDE!$F$8&gt;=4,FORSIDE!$B$5&gt;=5),354+4*FORSIDE!$F$9,"")</f>
        <v/>
      </c>
      <c r="C942" t="str">
        <f>IF(AND(FORSIDE!$B$8&gt;=1,FORSIDE!$F$8&gt;=4,FORSIDE!$B$5&gt;=5),1*FORSIDE!$B$9,"")</f>
        <v/>
      </c>
      <c r="D942" t="str">
        <f>IF(AND(FORSIDE!$B$8&gt;=1,FORSIDE!$F$8&gt;=4,FORSIDE!$B$5&gt;=5),FORSIDE!$B$6+(5-1)*FORSIDE!$B$7,"")</f>
        <v/>
      </c>
    </row>
    <row r="943" spans="1:4" x14ac:dyDescent="0.3">
      <c r="A943" t="str">
        <f>IF(AND(FORSIDE!$B$8&gt;=1,FORSIDE!$F$8&gt;=4,FORSIDE!$B$5&gt;=6),942,"")</f>
        <v/>
      </c>
      <c r="B943" t="str">
        <f>IF(AND(FORSIDE!$B$8&gt;=1,FORSIDE!$F$8&gt;=4,FORSIDE!$B$5&gt;=6),354+4*FORSIDE!$F$9,"")</f>
        <v/>
      </c>
      <c r="C943" t="str">
        <f>IF(AND(FORSIDE!$B$8&gt;=1,FORSIDE!$F$8&gt;=4,FORSIDE!$B$5&gt;=6),1*FORSIDE!$B$9,"")</f>
        <v/>
      </c>
      <c r="D943" t="str">
        <f>IF(AND(FORSIDE!$B$8&gt;=1,FORSIDE!$F$8&gt;=4,FORSIDE!$B$5&gt;=6),FORSIDE!$B$6+(6-1)*FORSIDE!$B$7,"")</f>
        <v/>
      </c>
    </row>
    <row r="944" spans="1:4" x14ac:dyDescent="0.3">
      <c r="A944" t="str">
        <f>IF(AND(FORSIDE!$B$8&gt;=1,FORSIDE!$F$8&gt;=4,FORSIDE!$B$5&gt;=7),943,"")</f>
        <v/>
      </c>
      <c r="B944" t="str">
        <f>IF(AND(FORSIDE!$B$8&gt;=1,FORSIDE!$F$8&gt;=4,FORSIDE!$B$5&gt;=7),354+4*FORSIDE!$F$9,"")</f>
        <v/>
      </c>
      <c r="C944" t="str">
        <f>IF(AND(FORSIDE!$B$8&gt;=1,FORSIDE!$F$8&gt;=4,FORSIDE!$B$5&gt;=7),1*FORSIDE!$B$9,"")</f>
        <v/>
      </c>
      <c r="D944" t="str">
        <f>IF(AND(FORSIDE!$B$8&gt;=1,FORSIDE!$F$8&gt;=4,FORSIDE!$B$5&gt;=7),FORSIDE!$B$6+(7-1)*FORSIDE!$B$7,"")</f>
        <v/>
      </c>
    </row>
    <row r="945" spans="1:4" x14ac:dyDescent="0.3">
      <c r="A945" t="str">
        <f>IF(AND(FORSIDE!$B$8&gt;=1,FORSIDE!$F$8&gt;=4,FORSIDE!$B$5&gt;=8),944,"")</f>
        <v/>
      </c>
      <c r="B945" t="str">
        <f>IF(AND(FORSIDE!$B$8&gt;=1,FORSIDE!$F$8&gt;=4,FORSIDE!$B$5&gt;=8),354+4*FORSIDE!$F$9,"")</f>
        <v/>
      </c>
      <c r="C945" t="str">
        <f>IF(AND(FORSIDE!$B$8&gt;=1,FORSIDE!$F$8&gt;=4,FORSIDE!$B$5&gt;=8),1*FORSIDE!$B$9,"")</f>
        <v/>
      </c>
      <c r="D945" t="str">
        <f>IF(AND(FORSIDE!$B$8&gt;=1,FORSIDE!$F$8&gt;=4,FORSIDE!$B$5&gt;=8),FORSIDE!$B$6+(8-1)*FORSIDE!$B$7,"")</f>
        <v/>
      </c>
    </row>
    <row r="946" spans="1:4" x14ac:dyDescent="0.3">
      <c r="A946" t="str">
        <f>IF(AND(FORSIDE!$B$8&gt;=1,FORSIDE!$F$8&gt;=4,FORSIDE!$B$5&gt;=9),945,"")</f>
        <v/>
      </c>
      <c r="B946" t="str">
        <f>IF(AND(FORSIDE!$B$8&gt;=1,FORSIDE!$F$8&gt;=4,FORSIDE!$B$5&gt;=9),354+4*FORSIDE!$F$9,"")</f>
        <v/>
      </c>
      <c r="C946" t="str">
        <f>IF(AND(FORSIDE!$B$8&gt;=1,FORSIDE!$F$8&gt;=4,FORSIDE!$B$5&gt;=9),1*FORSIDE!$B$9,"")</f>
        <v/>
      </c>
      <c r="D946" t="str">
        <f>IF(AND(FORSIDE!$B$8&gt;=1,FORSIDE!$F$8&gt;=4,FORSIDE!$B$5&gt;=9),FORSIDE!$B$6+(9-1)*FORSIDE!$B$7,"")</f>
        <v/>
      </c>
    </row>
    <row r="947" spans="1:4" x14ac:dyDescent="0.3">
      <c r="A947" t="str">
        <f>IF(AND(FORSIDE!$B$8&gt;=1,FORSIDE!$F$8&gt;=4,FORSIDE!$B$5&gt;=10),946,"")</f>
        <v/>
      </c>
      <c r="B947" t="str">
        <f>IF(AND(FORSIDE!$B$8&gt;=1,FORSIDE!$F$8&gt;=4,FORSIDE!$B$5&gt;=10),354+4*FORSIDE!$F$9,"")</f>
        <v/>
      </c>
      <c r="C947" t="str">
        <f>IF(AND(FORSIDE!$B$8&gt;=1,FORSIDE!$F$8&gt;=4,FORSIDE!$B$5&gt;=10),1*FORSIDE!$B$9,"")</f>
        <v/>
      </c>
      <c r="D947" t="str">
        <f>IF(AND(FORSIDE!$B$8&gt;=1,FORSIDE!$F$8&gt;=4,FORSIDE!$B$5&gt;=10),FORSIDE!$B$6+(10-1)*FORSIDE!$B$7,"")</f>
        <v/>
      </c>
    </row>
    <row r="948" spans="1:4" x14ac:dyDescent="0.3">
      <c r="A948" t="str">
        <f>IF(AND(FORSIDE!$B$8&gt;=2,FORSIDE!$F$8&gt;=4,FORSIDE!$B$5&gt;=0),947,"")</f>
        <v/>
      </c>
      <c r="B948" t="str">
        <f>IF(AND(FORSIDE!$B$8&gt;=2,FORSIDE!$F$8&gt;=4,FORSIDE!$B$5&gt;=0),354+4*FORSIDE!$F$9,"")</f>
        <v/>
      </c>
      <c r="C948" t="str">
        <f>IF(AND(FORSIDE!$B$8&gt;=2,FORSIDE!$F$8&gt;=4,FORSIDE!$B$5&gt;=0),2*FORSIDE!$B$9,"")</f>
        <v/>
      </c>
      <c r="D948" t="str">
        <f>IF(AND(FORSIDE!$B$8&gt;=2,FORSIDE!$F$8&gt;=4,FORSIDE!$B$5&gt;=0),0,"")</f>
        <v/>
      </c>
    </row>
    <row r="949" spans="1:4" x14ac:dyDescent="0.3">
      <c r="A949" t="str">
        <f>IF(AND(FORSIDE!$B$8&gt;=2,FORSIDE!$F$8&gt;=4,FORSIDE!$B$5&gt;=1),948,"")</f>
        <v/>
      </c>
      <c r="B949" t="str">
        <f>IF(AND(FORSIDE!$B$8&gt;=2,FORSIDE!$F$8&gt;=4,FORSIDE!$B$5&gt;=1),354+4*FORSIDE!$F$9,"")</f>
        <v/>
      </c>
      <c r="C949" t="str">
        <f>IF(AND(FORSIDE!$B$8&gt;=2,FORSIDE!$F$8&gt;=4,FORSIDE!$B$5&gt;=1),2*FORSIDE!$B$9,"")</f>
        <v/>
      </c>
      <c r="D949" t="str">
        <f>IF(AND(FORSIDE!$B$8&gt;=2,FORSIDE!$F$8&gt;=4,FORSIDE!$B$5&gt;=1),FORSIDE!$B$6+(1-1)*FORSIDE!$B$7,"")</f>
        <v/>
      </c>
    </row>
    <row r="950" spans="1:4" x14ac:dyDescent="0.3">
      <c r="A950" t="str">
        <f>IF(AND(FORSIDE!$B$8&gt;=2,FORSIDE!$F$8&gt;=4,FORSIDE!$B$5&gt;=2),949,"")</f>
        <v/>
      </c>
      <c r="B950" t="str">
        <f>IF(AND(FORSIDE!$B$8&gt;=2,FORSIDE!$F$8&gt;=4,FORSIDE!$B$5&gt;=2),354+4*FORSIDE!$F$9,"")</f>
        <v/>
      </c>
      <c r="C950" t="str">
        <f>IF(AND(FORSIDE!$B$8&gt;=2,FORSIDE!$F$8&gt;=4,FORSIDE!$B$5&gt;=2),2*FORSIDE!$B$9,"")</f>
        <v/>
      </c>
      <c r="D950" t="str">
        <f>IF(AND(FORSIDE!$B$8&gt;=2,FORSIDE!$F$8&gt;=4,FORSIDE!$B$5&gt;=2),FORSIDE!$B$6+(2-1)*FORSIDE!$B$7,"")</f>
        <v/>
      </c>
    </row>
    <row r="951" spans="1:4" x14ac:dyDescent="0.3">
      <c r="A951" t="str">
        <f>IF(AND(FORSIDE!$B$8&gt;=2,FORSIDE!$F$8&gt;=4,FORSIDE!$B$5&gt;=3),950,"")</f>
        <v/>
      </c>
      <c r="B951" t="str">
        <f>IF(AND(FORSIDE!$B$8&gt;=2,FORSIDE!$F$8&gt;=4,FORSIDE!$B$5&gt;=3),354+4*FORSIDE!$F$9,"")</f>
        <v/>
      </c>
      <c r="C951" t="str">
        <f>IF(AND(FORSIDE!$B$8&gt;=2,FORSIDE!$F$8&gt;=4,FORSIDE!$B$5&gt;=3),2*FORSIDE!$B$9,"")</f>
        <v/>
      </c>
      <c r="D951" t="str">
        <f>IF(AND(FORSIDE!$B$8&gt;=2,FORSIDE!$F$8&gt;=4,FORSIDE!$B$5&gt;=3),FORSIDE!$B$6+(3-1)*FORSIDE!$B$7,"")</f>
        <v/>
      </c>
    </row>
    <row r="952" spans="1:4" x14ac:dyDescent="0.3">
      <c r="A952" t="str">
        <f>IF(AND(FORSIDE!$B$8&gt;=2,FORSIDE!$F$8&gt;=4,FORSIDE!$B$5&gt;=4),951,"")</f>
        <v/>
      </c>
      <c r="B952" t="str">
        <f>IF(AND(FORSIDE!$B$8&gt;=2,FORSIDE!$F$8&gt;=4,FORSIDE!$B$5&gt;=4),354+4*FORSIDE!$F$9,"")</f>
        <v/>
      </c>
      <c r="C952" t="str">
        <f>IF(AND(FORSIDE!$B$8&gt;=2,FORSIDE!$F$8&gt;=4,FORSIDE!$B$5&gt;=4),2*FORSIDE!$B$9,"")</f>
        <v/>
      </c>
      <c r="D952" t="str">
        <f>IF(AND(FORSIDE!$B$8&gt;=2,FORSIDE!$F$8&gt;=4,FORSIDE!$B$5&gt;=4),FORSIDE!$B$6+(4-1)*FORSIDE!$B$7,"")</f>
        <v/>
      </c>
    </row>
    <row r="953" spans="1:4" x14ac:dyDescent="0.3">
      <c r="A953" t="str">
        <f>IF(AND(FORSIDE!$B$8&gt;=2,FORSIDE!$F$8&gt;=4,FORSIDE!$B$5&gt;=5),952,"")</f>
        <v/>
      </c>
      <c r="B953" t="str">
        <f>IF(AND(FORSIDE!$B$8&gt;=2,FORSIDE!$F$8&gt;=4,FORSIDE!$B$5&gt;=5),354+4*FORSIDE!$F$9,"")</f>
        <v/>
      </c>
      <c r="C953" t="str">
        <f>IF(AND(FORSIDE!$B$8&gt;=2,FORSIDE!$F$8&gt;=4,FORSIDE!$B$5&gt;=5),2*FORSIDE!$B$9,"")</f>
        <v/>
      </c>
      <c r="D953" t="str">
        <f>IF(AND(FORSIDE!$B$8&gt;=2,FORSIDE!$F$8&gt;=4,FORSIDE!$B$5&gt;=5),FORSIDE!$B$6+(5-1)*FORSIDE!$B$7,"")</f>
        <v/>
      </c>
    </row>
    <row r="954" spans="1:4" x14ac:dyDescent="0.3">
      <c r="A954" t="str">
        <f>IF(AND(FORSIDE!$B$8&gt;=2,FORSIDE!$F$8&gt;=4,FORSIDE!$B$5&gt;=6),953,"")</f>
        <v/>
      </c>
      <c r="B954" t="str">
        <f>IF(AND(FORSIDE!$B$8&gt;=2,FORSIDE!$F$8&gt;=4,FORSIDE!$B$5&gt;=6),354+4*FORSIDE!$F$9,"")</f>
        <v/>
      </c>
      <c r="C954" t="str">
        <f>IF(AND(FORSIDE!$B$8&gt;=2,FORSIDE!$F$8&gt;=4,FORSIDE!$B$5&gt;=6),2*FORSIDE!$B$9,"")</f>
        <v/>
      </c>
      <c r="D954" t="str">
        <f>IF(AND(FORSIDE!$B$8&gt;=2,FORSIDE!$F$8&gt;=4,FORSIDE!$B$5&gt;=6),FORSIDE!$B$6+(6-1)*FORSIDE!$B$7,"")</f>
        <v/>
      </c>
    </row>
    <row r="955" spans="1:4" x14ac:dyDescent="0.3">
      <c r="A955" t="str">
        <f>IF(AND(FORSIDE!$B$8&gt;=2,FORSIDE!$F$8&gt;=4,FORSIDE!$B$5&gt;=7),954,"")</f>
        <v/>
      </c>
      <c r="B955" t="str">
        <f>IF(AND(FORSIDE!$B$8&gt;=2,FORSIDE!$F$8&gt;=4,FORSIDE!$B$5&gt;=7),354+4*FORSIDE!$F$9,"")</f>
        <v/>
      </c>
      <c r="C955" t="str">
        <f>IF(AND(FORSIDE!$B$8&gt;=2,FORSIDE!$F$8&gt;=4,FORSIDE!$B$5&gt;=7),2*FORSIDE!$B$9,"")</f>
        <v/>
      </c>
      <c r="D955" t="str">
        <f>IF(AND(FORSIDE!$B$8&gt;=2,FORSIDE!$F$8&gt;=4,FORSIDE!$B$5&gt;=7),FORSIDE!$B$6+(7-1)*FORSIDE!$B$7,"")</f>
        <v/>
      </c>
    </row>
    <row r="956" spans="1:4" x14ac:dyDescent="0.3">
      <c r="A956" t="str">
        <f>IF(AND(FORSIDE!$B$8&gt;=2,FORSIDE!$F$8&gt;=4,FORSIDE!$B$5&gt;=8),955,"")</f>
        <v/>
      </c>
      <c r="B956" t="str">
        <f>IF(AND(FORSIDE!$B$8&gt;=2,FORSIDE!$F$8&gt;=4,FORSIDE!$B$5&gt;=8),354+4*FORSIDE!$F$9,"")</f>
        <v/>
      </c>
      <c r="C956" t="str">
        <f>IF(AND(FORSIDE!$B$8&gt;=2,FORSIDE!$F$8&gt;=4,FORSIDE!$B$5&gt;=8),2*FORSIDE!$B$9,"")</f>
        <v/>
      </c>
      <c r="D956" t="str">
        <f>IF(AND(FORSIDE!$B$8&gt;=2,FORSIDE!$F$8&gt;=4,FORSIDE!$B$5&gt;=8),FORSIDE!$B$6+(8-1)*FORSIDE!$B$7,"")</f>
        <v/>
      </c>
    </row>
    <row r="957" spans="1:4" x14ac:dyDescent="0.3">
      <c r="A957" t="str">
        <f>IF(AND(FORSIDE!$B$8&gt;=2,FORSIDE!$F$8&gt;=4,FORSIDE!$B$5&gt;=9),956,"")</f>
        <v/>
      </c>
      <c r="B957" t="str">
        <f>IF(AND(FORSIDE!$B$8&gt;=2,FORSIDE!$F$8&gt;=4,FORSIDE!$B$5&gt;=9),354+4*FORSIDE!$F$9,"")</f>
        <v/>
      </c>
      <c r="C957" t="str">
        <f>IF(AND(FORSIDE!$B$8&gt;=2,FORSIDE!$F$8&gt;=4,FORSIDE!$B$5&gt;=9),2*FORSIDE!$B$9,"")</f>
        <v/>
      </c>
      <c r="D957" t="str">
        <f>IF(AND(FORSIDE!$B$8&gt;=2,FORSIDE!$F$8&gt;=4,FORSIDE!$B$5&gt;=9),FORSIDE!$B$6+(9-1)*FORSIDE!$B$7,"")</f>
        <v/>
      </c>
    </row>
    <row r="958" spans="1:4" x14ac:dyDescent="0.3">
      <c r="A958" t="str">
        <f>IF(AND(FORSIDE!$B$8&gt;=2,FORSIDE!$F$8&gt;=4,FORSIDE!$B$5&gt;=10),957,"")</f>
        <v/>
      </c>
      <c r="B958" t="str">
        <f>IF(AND(FORSIDE!$B$8&gt;=2,FORSIDE!$F$8&gt;=4,FORSIDE!$B$5&gt;=10),354+4*FORSIDE!$F$9,"")</f>
        <v/>
      </c>
      <c r="C958" t="str">
        <f>IF(AND(FORSIDE!$B$8&gt;=2,FORSIDE!$F$8&gt;=4,FORSIDE!$B$5&gt;=10),2*FORSIDE!$B$9,"")</f>
        <v/>
      </c>
      <c r="D958" t="str">
        <f>IF(AND(FORSIDE!$B$8&gt;=2,FORSIDE!$F$8&gt;=4,FORSIDE!$B$5&gt;=10),FORSIDE!$B$6+(10-1)*FORSIDE!$B$7,"")</f>
        <v/>
      </c>
    </row>
    <row r="959" spans="1:4" x14ac:dyDescent="0.3">
      <c r="A959" t="str">
        <f>IF(AND(FORSIDE!$B$8&gt;=3,FORSIDE!$F$8&gt;=4,FORSIDE!$B$5&gt;=0),958,"")</f>
        <v/>
      </c>
      <c r="B959" t="str">
        <f>IF(AND(FORSIDE!$B$8&gt;=3,FORSIDE!$F$8&gt;=4,FORSIDE!$B$5&gt;=0),354+4*FORSIDE!$F$9,"")</f>
        <v/>
      </c>
      <c r="C959" t="str">
        <f>IF(AND(FORSIDE!$B$8&gt;=3,FORSIDE!$F$8&gt;=4,FORSIDE!$B$5&gt;=0),3*FORSIDE!$B$9,"")</f>
        <v/>
      </c>
      <c r="D959" t="str">
        <f>IF(AND(FORSIDE!$B$8&gt;=3,FORSIDE!$F$8&gt;=4,FORSIDE!$B$5&gt;=0),0,"")</f>
        <v/>
      </c>
    </row>
    <row r="960" spans="1:4" x14ac:dyDescent="0.3">
      <c r="A960" t="str">
        <f>IF(AND(FORSIDE!$B$8&gt;=3,FORSIDE!$F$8&gt;=4,FORSIDE!$B$5&gt;=1),959,"")</f>
        <v/>
      </c>
      <c r="B960" t="str">
        <f>IF(AND(FORSIDE!$B$8&gt;=3,FORSIDE!$F$8&gt;=4,FORSIDE!$B$5&gt;=1),354+4*FORSIDE!$F$9,"")</f>
        <v/>
      </c>
      <c r="C960" t="str">
        <f>IF(AND(FORSIDE!$B$8&gt;=3,FORSIDE!$F$8&gt;=4,FORSIDE!$B$5&gt;=1),3*FORSIDE!$B$9,"")</f>
        <v/>
      </c>
      <c r="D960" t="str">
        <f>IF(AND(FORSIDE!$B$8&gt;=3,FORSIDE!$F$8&gt;=4,FORSIDE!$B$5&gt;=1),FORSIDE!$B$6+(1-1)*FORSIDE!$B$7,"")</f>
        <v/>
      </c>
    </row>
    <row r="961" spans="1:4" x14ac:dyDescent="0.3">
      <c r="A961" t="str">
        <f>IF(AND(FORSIDE!$B$8&gt;=3,FORSIDE!$F$8&gt;=4,FORSIDE!$B$5&gt;=2),960,"")</f>
        <v/>
      </c>
      <c r="B961" t="str">
        <f>IF(AND(FORSIDE!$B$8&gt;=3,FORSIDE!$F$8&gt;=4,FORSIDE!$B$5&gt;=2),354+4*FORSIDE!$F$9,"")</f>
        <v/>
      </c>
      <c r="C961" t="str">
        <f>IF(AND(FORSIDE!$B$8&gt;=3,FORSIDE!$F$8&gt;=4,FORSIDE!$B$5&gt;=2),3*FORSIDE!$B$9,"")</f>
        <v/>
      </c>
      <c r="D961" t="str">
        <f>IF(AND(FORSIDE!$B$8&gt;=3,FORSIDE!$F$8&gt;=4,FORSIDE!$B$5&gt;=2),FORSIDE!$B$6+(2-1)*FORSIDE!$B$7,"")</f>
        <v/>
      </c>
    </row>
    <row r="962" spans="1:4" x14ac:dyDescent="0.3">
      <c r="A962" t="str">
        <f>IF(AND(FORSIDE!$B$8&gt;=3,FORSIDE!$F$8&gt;=4,FORSIDE!$B$5&gt;=3),961,"")</f>
        <v/>
      </c>
      <c r="B962" t="str">
        <f>IF(AND(FORSIDE!$B$8&gt;=3,FORSIDE!$F$8&gt;=4,FORSIDE!$B$5&gt;=3),354+4*FORSIDE!$F$9,"")</f>
        <v/>
      </c>
      <c r="C962" t="str">
        <f>IF(AND(FORSIDE!$B$8&gt;=3,FORSIDE!$F$8&gt;=4,FORSIDE!$B$5&gt;=3),3*FORSIDE!$B$9,"")</f>
        <v/>
      </c>
      <c r="D962" t="str">
        <f>IF(AND(FORSIDE!$B$8&gt;=3,FORSIDE!$F$8&gt;=4,FORSIDE!$B$5&gt;=3),FORSIDE!$B$6+(3-1)*FORSIDE!$B$7,"")</f>
        <v/>
      </c>
    </row>
    <row r="963" spans="1:4" x14ac:dyDescent="0.3">
      <c r="A963" t="str">
        <f>IF(AND(FORSIDE!$B$8&gt;=3,FORSIDE!$F$8&gt;=4,FORSIDE!$B$5&gt;=4),962,"")</f>
        <v/>
      </c>
      <c r="B963" t="str">
        <f>IF(AND(FORSIDE!$B$8&gt;=3,FORSIDE!$F$8&gt;=4,FORSIDE!$B$5&gt;=4),354+4*FORSIDE!$F$9,"")</f>
        <v/>
      </c>
      <c r="C963" t="str">
        <f>IF(AND(FORSIDE!$B$8&gt;=3,FORSIDE!$F$8&gt;=4,FORSIDE!$B$5&gt;=4),3*FORSIDE!$B$9,"")</f>
        <v/>
      </c>
      <c r="D963" t="str">
        <f>IF(AND(FORSIDE!$B$8&gt;=3,FORSIDE!$F$8&gt;=4,FORSIDE!$B$5&gt;=4),FORSIDE!$B$6+(4-1)*FORSIDE!$B$7,"")</f>
        <v/>
      </c>
    </row>
    <row r="964" spans="1:4" x14ac:dyDescent="0.3">
      <c r="A964" t="str">
        <f>IF(AND(FORSIDE!$B$8&gt;=3,FORSIDE!$F$8&gt;=4,FORSIDE!$B$5&gt;=5),963,"")</f>
        <v/>
      </c>
      <c r="B964" t="str">
        <f>IF(AND(FORSIDE!$B$8&gt;=3,FORSIDE!$F$8&gt;=4,FORSIDE!$B$5&gt;=5),354+4*FORSIDE!$F$9,"")</f>
        <v/>
      </c>
      <c r="C964" t="str">
        <f>IF(AND(FORSIDE!$B$8&gt;=3,FORSIDE!$F$8&gt;=4,FORSIDE!$B$5&gt;=5),3*FORSIDE!$B$9,"")</f>
        <v/>
      </c>
      <c r="D964" t="str">
        <f>IF(AND(FORSIDE!$B$8&gt;=3,FORSIDE!$F$8&gt;=4,FORSIDE!$B$5&gt;=5),FORSIDE!$B$6+(5-1)*FORSIDE!$B$7,"")</f>
        <v/>
      </c>
    </row>
    <row r="965" spans="1:4" x14ac:dyDescent="0.3">
      <c r="A965" t="str">
        <f>IF(AND(FORSIDE!$B$8&gt;=3,FORSIDE!$F$8&gt;=4,FORSIDE!$B$5&gt;=6),964,"")</f>
        <v/>
      </c>
      <c r="B965" t="str">
        <f>IF(AND(FORSIDE!$B$8&gt;=3,FORSIDE!$F$8&gt;=4,FORSIDE!$B$5&gt;=6),354+4*FORSIDE!$F$9,"")</f>
        <v/>
      </c>
      <c r="C965" t="str">
        <f>IF(AND(FORSIDE!$B$8&gt;=3,FORSIDE!$F$8&gt;=4,FORSIDE!$B$5&gt;=6),3*FORSIDE!$B$9,"")</f>
        <v/>
      </c>
      <c r="D965" t="str">
        <f>IF(AND(FORSIDE!$B$8&gt;=3,FORSIDE!$F$8&gt;=4,FORSIDE!$B$5&gt;=6),FORSIDE!$B$6+(6-1)*FORSIDE!$B$7,"")</f>
        <v/>
      </c>
    </row>
    <row r="966" spans="1:4" x14ac:dyDescent="0.3">
      <c r="A966" t="str">
        <f>IF(AND(FORSIDE!$B$8&gt;=3,FORSIDE!$F$8&gt;=4,FORSIDE!$B$5&gt;=7),965,"")</f>
        <v/>
      </c>
      <c r="B966" t="str">
        <f>IF(AND(FORSIDE!$B$8&gt;=3,FORSIDE!$F$8&gt;=4,FORSIDE!$B$5&gt;=7),354+4*FORSIDE!$F$9,"")</f>
        <v/>
      </c>
      <c r="C966" t="str">
        <f>IF(AND(FORSIDE!$B$8&gt;=3,FORSIDE!$F$8&gt;=4,FORSIDE!$B$5&gt;=7),3*FORSIDE!$B$9,"")</f>
        <v/>
      </c>
      <c r="D966" t="str">
        <f>IF(AND(FORSIDE!$B$8&gt;=3,FORSIDE!$F$8&gt;=4,FORSIDE!$B$5&gt;=7),FORSIDE!$B$6+(7-1)*FORSIDE!$B$7,"")</f>
        <v/>
      </c>
    </row>
    <row r="967" spans="1:4" x14ac:dyDescent="0.3">
      <c r="A967" t="str">
        <f>IF(AND(FORSIDE!$B$8&gt;=3,FORSIDE!$F$8&gt;=4,FORSIDE!$B$5&gt;=8),966,"")</f>
        <v/>
      </c>
      <c r="B967" t="str">
        <f>IF(AND(FORSIDE!$B$8&gt;=3,FORSIDE!$F$8&gt;=4,FORSIDE!$B$5&gt;=8),354+4*FORSIDE!$F$9,"")</f>
        <v/>
      </c>
      <c r="C967" t="str">
        <f>IF(AND(FORSIDE!$B$8&gt;=3,FORSIDE!$F$8&gt;=4,FORSIDE!$B$5&gt;=8),3*FORSIDE!$B$9,"")</f>
        <v/>
      </c>
      <c r="D967" t="str">
        <f>IF(AND(FORSIDE!$B$8&gt;=3,FORSIDE!$F$8&gt;=4,FORSIDE!$B$5&gt;=8),FORSIDE!$B$6+(8-1)*FORSIDE!$B$7,"")</f>
        <v/>
      </c>
    </row>
    <row r="968" spans="1:4" x14ac:dyDescent="0.3">
      <c r="A968" t="str">
        <f>IF(AND(FORSIDE!$B$8&gt;=3,FORSIDE!$F$8&gt;=4,FORSIDE!$B$5&gt;=9),967,"")</f>
        <v/>
      </c>
      <c r="B968" t="str">
        <f>IF(AND(FORSIDE!$B$8&gt;=3,FORSIDE!$F$8&gt;=4,FORSIDE!$B$5&gt;=9),354+4*FORSIDE!$F$9,"")</f>
        <v/>
      </c>
      <c r="C968" t="str">
        <f>IF(AND(FORSIDE!$B$8&gt;=3,FORSIDE!$F$8&gt;=4,FORSIDE!$B$5&gt;=9),3*FORSIDE!$B$9,"")</f>
        <v/>
      </c>
      <c r="D968" t="str">
        <f>IF(AND(FORSIDE!$B$8&gt;=3,FORSIDE!$F$8&gt;=4,FORSIDE!$B$5&gt;=9),FORSIDE!$B$6+(9-1)*FORSIDE!$B$7,"")</f>
        <v/>
      </c>
    </row>
    <row r="969" spans="1:4" x14ac:dyDescent="0.3">
      <c r="A969" t="str">
        <f>IF(AND(FORSIDE!$B$8&gt;=3,FORSIDE!$F$8&gt;=4,FORSIDE!$B$5&gt;=10),968,"")</f>
        <v/>
      </c>
      <c r="B969" t="str">
        <f>IF(AND(FORSIDE!$B$8&gt;=3,FORSIDE!$F$8&gt;=4,FORSIDE!$B$5&gt;=10),354+4*FORSIDE!$F$9,"")</f>
        <v/>
      </c>
      <c r="C969" t="str">
        <f>IF(AND(FORSIDE!$B$8&gt;=3,FORSIDE!$F$8&gt;=4,FORSIDE!$B$5&gt;=10),3*FORSIDE!$B$9,"")</f>
        <v/>
      </c>
      <c r="D969" t="str">
        <f>IF(AND(FORSIDE!$B$8&gt;=3,FORSIDE!$F$8&gt;=4,FORSIDE!$B$5&gt;=10),FORSIDE!$B$6+(10-1)*FORSIDE!$B$7,"")</f>
        <v/>
      </c>
    </row>
    <row r="970" spans="1:4" x14ac:dyDescent="0.3">
      <c r="A970" t="str">
        <f>IF(AND(FORSIDE!$B$8&gt;=4,FORSIDE!$F$8&gt;=4,FORSIDE!$B$5&gt;=0),969,"")</f>
        <v/>
      </c>
      <c r="B970" t="str">
        <f>IF(AND(FORSIDE!$B$8&gt;=4,FORSIDE!$F$8&gt;=4,FORSIDE!$B$5&gt;=0),354+4*FORSIDE!$F$9,"")</f>
        <v/>
      </c>
      <c r="C970" t="str">
        <f>IF(AND(FORSIDE!$B$8&gt;=4,FORSIDE!$F$8&gt;=4,FORSIDE!$B$5&gt;=0),4*FORSIDE!$B$9,"")</f>
        <v/>
      </c>
      <c r="D970" t="str">
        <f>IF(AND(FORSIDE!$B$8&gt;=4,FORSIDE!$F$8&gt;=4,FORSIDE!$B$5&gt;=0),0,"")</f>
        <v/>
      </c>
    </row>
    <row r="971" spans="1:4" x14ac:dyDescent="0.3">
      <c r="A971" t="str">
        <f>IF(AND(FORSIDE!$B$8&gt;=4,FORSIDE!$F$8&gt;=4,FORSIDE!$B$5&gt;=1),970,"")</f>
        <v/>
      </c>
      <c r="B971" t="str">
        <f>IF(AND(FORSIDE!$B$8&gt;=4,FORSIDE!$F$8&gt;=4,FORSIDE!$B$5&gt;=1),354+4*FORSIDE!$F$9,"")</f>
        <v/>
      </c>
      <c r="C971" t="str">
        <f>IF(AND(FORSIDE!$B$8&gt;=4,FORSIDE!$F$8&gt;=4,FORSIDE!$B$5&gt;=1),4*FORSIDE!$B$9,"")</f>
        <v/>
      </c>
      <c r="D971" t="str">
        <f>IF(AND(FORSIDE!$B$8&gt;=4,FORSIDE!$F$8&gt;=4,FORSIDE!$B$5&gt;=1),FORSIDE!$B$6+(1-1)*FORSIDE!$B$7,"")</f>
        <v/>
      </c>
    </row>
    <row r="972" spans="1:4" x14ac:dyDescent="0.3">
      <c r="A972" t="str">
        <f>IF(AND(FORSIDE!$B$8&gt;=4,FORSIDE!$F$8&gt;=4,FORSIDE!$B$5&gt;=2),971,"")</f>
        <v/>
      </c>
      <c r="B972" t="str">
        <f>IF(AND(FORSIDE!$B$8&gt;=4,FORSIDE!$F$8&gt;=4,FORSIDE!$B$5&gt;=2),354+4*FORSIDE!$F$9,"")</f>
        <v/>
      </c>
      <c r="C972" t="str">
        <f>IF(AND(FORSIDE!$B$8&gt;=4,FORSIDE!$F$8&gt;=4,FORSIDE!$B$5&gt;=2),4*FORSIDE!$B$9,"")</f>
        <v/>
      </c>
      <c r="D972" t="str">
        <f>IF(AND(FORSIDE!$B$8&gt;=4,FORSIDE!$F$8&gt;=4,FORSIDE!$B$5&gt;=2),FORSIDE!$B$6+(2-1)*FORSIDE!$B$7,"")</f>
        <v/>
      </c>
    </row>
    <row r="973" spans="1:4" x14ac:dyDescent="0.3">
      <c r="A973" t="str">
        <f>IF(AND(FORSIDE!$B$8&gt;=4,FORSIDE!$F$8&gt;=4,FORSIDE!$B$5&gt;=3),972,"")</f>
        <v/>
      </c>
      <c r="B973" t="str">
        <f>IF(AND(FORSIDE!$B$8&gt;=4,FORSIDE!$F$8&gt;=4,FORSIDE!$B$5&gt;=3),354+4*FORSIDE!$F$9,"")</f>
        <v/>
      </c>
      <c r="C973" t="str">
        <f>IF(AND(FORSIDE!$B$8&gt;=4,FORSIDE!$F$8&gt;=4,FORSIDE!$B$5&gt;=3),4*FORSIDE!$B$9,"")</f>
        <v/>
      </c>
      <c r="D973" t="str">
        <f>IF(AND(FORSIDE!$B$8&gt;=4,FORSIDE!$F$8&gt;=4,FORSIDE!$B$5&gt;=3),FORSIDE!$B$6+(3-1)*FORSIDE!$B$7,"")</f>
        <v/>
      </c>
    </row>
    <row r="974" spans="1:4" x14ac:dyDescent="0.3">
      <c r="A974" t="str">
        <f>IF(AND(FORSIDE!$B$8&gt;=4,FORSIDE!$F$8&gt;=4,FORSIDE!$B$5&gt;=4),973,"")</f>
        <v/>
      </c>
      <c r="B974" t="str">
        <f>IF(AND(FORSIDE!$B$8&gt;=4,FORSIDE!$F$8&gt;=4,FORSIDE!$B$5&gt;=4),354+4*FORSIDE!$F$9,"")</f>
        <v/>
      </c>
      <c r="C974" t="str">
        <f>IF(AND(FORSIDE!$B$8&gt;=4,FORSIDE!$F$8&gt;=4,FORSIDE!$B$5&gt;=4),4*FORSIDE!$B$9,"")</f>
        <v/>
      </c>
      <c r="D974" t="str">
        <f>IF(AND(FORSIDE!$B$8&gt;=4,FORSIDE!$F$8&gt;=4,FORSIDE!$B$5&gt;=4),FORSIDE!$B$6+(4-1)*FORSIDE!$B$7,"")</f>
        <v/>
      </c>
    </row>
    <row r="975" spans="1:4" x14ac:dyDescent="0.3">
      <c r="A975" t="str">
        <f>IF(AND(FORSIDE!$B$8&gt;=4,FORSIDE!$F$8&gt;=4,FORSIDE!$B$5&gt;=5),974,"")</f>
        <v/>
      </c>
      <c r="B975" t="str">
        <f>IF(AND(FORSIDE!$B$8&gt;=4,FORSIDE!$F$8&gt;=4,FORSIDE!$B$5&gt;=5),354+4*FORSIDE!$F$9,"")</f>
        <v/>
      </c>
      <c r="C975" t="str">
        <f>IF(AND(FORSIDE!$B$8&gt;=4,FORSIDE!$F$8&gt;=4,FORSIDE!$B$5&gt;=5),4*FORSIDE!$B$9,"")</f>
        <v/>
      </c>
      <c r="D975" t="str">
        <f>IF(AND(FORSIDE!$B$8&gt;=4,FORSIDE!$F$8&gt;=4,FORSIDE!$B$5&gt;=5),FORSIDE!$B$6+(5-1)*FORSIDE!$B$7,"")</f>
        <v/>
      </c>
    </row>
    <row r="976" spans="1:4" x14ac:dyDescent="0.3">
      <c r="A976" t="str">
        <f>IF(AND(FORSIDE!$B$8&gt;=4,FORSIDE!$F$8&gt;=4,FORSIDE!$B$5&gt;=6),975,"")</f>
        <v/>
      </c>
      <c r="B976" t="str">
        <f>IF(AND(FORSIDE!$B$8&gt;=4,FORSIDE!$F$8&gt;=4,FORSIDE!$B$5&gt;=6),354+4*FORSIDE!$F$9,"")</f>
        <v/>
      </c>
      <c r="C976" t="str">
        <f>IF(AND(FORSIDE!$B$8&gt;=4,FORSIDE!$F$8&gt;=4,FORSIDE!$B$5&gt;=6),4*FORSIDE!$B$9,"")</f>
        <v/>
      </c>
      <c r="D976" t="str">
        <f>IF(AND(FORSIDE!$B$8&gt;=4,FORSIDE!$F$8&gt;=4,FORSIDE!$B$5&gt;=6),FORSIDE!$B$6+(6-1)*FORSIDE!$B$7,"")</f>
        <v/>
      </c>
    </row>
    <row r="977" spans="1:4" x14ac:dyDescent="0.3">
      <c r="A977" t="str">
        <f>IF(AND(FORSIDE!$B$8&gt;=4,FORSIDE!$F$8&gt;=4,FORSIDE!$B$5&gt;=7),976,"")</f>
        <v/>
      </c>
      <c r="B977" t="str">
        <f>IF(AND(FORSIDE!$B$8&gt;=4,FORSIDE!$F$8&gt;=4,FORSIDE!$B$5&gt;=7),354+4*FORSIDE!$F$9,"")</f>
        <v/>
      </c>
      <c r="C977" t="str">
        <f>IF(AND(FORSIDE!$B$8&gt;=4,FORSIDE!$F$8&gt;=4,FORSIDE!$B$5&gt;=7),4*FORSIDE!$B$9,"")</f>
        <v/>
      </c>
      <c r="D977" t="str">
        <f>IF(AND(FORSIDE!$B$8&gt;=4,FORSIDE!$F$8&gt;=4,FORSIDE!$B$5&gt;=7),FORSIDE!$B$6+(7-1)*FORSIDE!$B$7,"")</f>
        <v/>
      </c>
    </row>
    <row r="978" spans="1:4" x14ac:dyDescent="0.3">
      <c r="A978" t="str">
        <f>IF(AND(FORSIDE!$B$8&gt;=4,FORSIDE!$F$8&gt;=4,FORSIDE!$B$5&gt;=8),977,"")</f>
        <v/>
      </c>
      <c r="B978" t="str">
        <f>IF(AND(FORSIDE!$B$8&gt;=4,FORSIDE!$F$8&gt;=4,FORSIDE!$B$5&gt;=8),354+4*FORSIDE!$F$9,"")</f>
        <v/>
      </c>
      <c r="C978" t="str">
        <f>IF(AND(FORSIDE!$B$8&gt;=4,FORSIDE!$F$8&gt;=4,FORSIDE!$B$5&gt;=8),4*FORSIDE!$B$9,"")</f>
        <v/>
      </c>
      <c r="D978" t="str">
        <f>IF(AND(FORSIDE!$B$8&gt;=4,FORSIDE!$F$8&gt;=4,FORSIDE!$B$5&gt;=8),FORSIDE!$B$6+(8-1)*FORSIDE!$B$7,"")</f>
        <v/>
      </c>
    </row>
    <row r="979" spans="1:4" x14ac:dyDescent="0.3">
      <c r="A979" t="str">
        <f>IF(AND(FORSIDE!$B$8&gt;=4,FORSIDE!$F$8&gt;=4,FORSIDE!$B$5&gt;=9),978,"")</f>
        <v/>
      </c>
      <c r="B979" t="str">
        <f>IF(AND(FORSIDE!$B$8&gt;=4,FORSIDE!$F$8&gt;=4,FORSIDE!$B$5&gt;=9),354+4*FORSIDE!$F$9,"")</f>
        <v/>
      </c>
      <c r="C979" t="str">
        <f>IF(AND(FORSIDE!$B$8&gt;=4,FORSIDE!$F$8&gt;=4,FORSIDE!$B$5&gt;=9),4*FORSIDE!$B$9,"")</f>
        <v/>
      </c>
      <c r="D979" t="str">
        <f>IF(AND(FORSIDE!$B$8&gt;=4,FORSIDE!$F$8&gt;=4,FORSIDE!$B$5&gt;=9),FORSIDE!$B$6+(9-1)*FORSIDE!$B$7,"")</f>
        <v/>
      </c>
    </row>
    <row r="980" spans="1:4" x14ac:dyDescent="0.3">
      <c r="A980" t="str">
        <f>IF(AND(FORSIDE!$B$8&gt;=4,FORSIDE!$F$8&gt;=4,FORSIDE!$B$5&gt;=10),979,"")</f>
        <v/>
      </c>
      <c r="B980" t="str">
        <f>IF(AND(FORSIDE!$B$8&gt;=4,FORSIDE!$F$8&gt;=4,FORSIDE!$B$5&gt;=10),354+4*FORSIDE!$F$9,"")</f>
        <v/>
      </c>
      <c r="C980" t="str">
        <f>IF(AND(FORSIDE!$B$8&gt;=4,FORSIDE!$F$8&gt;=4,FORSIDE!$B$5&gt;=10),4*FORSIDE!$B$9,"")</f>
        <v/>
      </c>
      <c r="D980" t="str">
        <f>IF(AND(FORSIDE!$B$8&gt;=4,FORSIDE!$F$8&gt;=4,FORSIDE!$B$5&gt;=10),FORSIDE!$B$6+(10-1)*FORSIDE!$B$7,"")</f>
        <v/>
      </c>
    </row>
    <row r="981" spans="1:4" x14ac:dyDescent="0.3">
      <c r="A981" t="str">
        <f>IF(AND(FORSIDE!$B$8&gt;=5,FORSIDE!$F$8&gt;=4,FORSIDE!$B$5&gt;=0),980,"")</f>
        <v/>
      </c>
      <c r="B981" t="str">
        <f>IF(AND(FORSIDE!$B$8&gt;=5,FORSIDE!$F$8&gt;=4,FORSIDE!$B$5&gt;=0),354+4*FORSIDE!$F$9,"")</f>
        <v/>
      </c>
      <c r="C981" t="str">
        <f>IF(AND(FORSIDE!$B$8&gt;=5,FORSIDE!$F$8&gt;=4,FORSIDE!$B$5&gt;=0),5*FORSIDE!$B$9,"")</f>
        <v/>
      </c>
      <c r="D981" t="str">
        <f>IF(AND(FORSIDE!$B$8&gt;=5,FORSIDE!$F$8&gt;=4,FORSIDE!$B$5&gt;=0),0,"")</f>
        <v/>
      </c>
    </row>
    <row r="982" spans="1:4" x14ac:dyDescent="0.3">
      <c r="A982" t="str">
        <f>IF(AND(FORSIDE!$B$8&gt;=5,FORSIDE!$F$8&gt;=4,FORSIDE!$B$5&gt;=1),981,"")</f>
        <v/>
      </c>
      <c r="B982" t="str">
        <f>IF(AND(FORSIDE!$B$8&gt;=5,FORSIDE!$F$8&gt;=4,FORSIDE!$B$5&gt;=1),354+4*FORSIDE!$F$9,"")</f>
        <v/>
      </c>
      <c r="C982" t="str">
        <f>IF(AND(FORSIDE!$B$8&gt;=5,FORSIDE!$F$8&gt;=4,FORSIDE!$B$5&gt;=1),5*FORSIDE!$B$9,"")</f>
        <v/>
      </c>
      <c r="D982" t="str">
        <f>IF(AND(FORSIDE!$B$8&gt;=5,FORSIDE!$F$8&gt;=4,FORSIDE!$B$5&gt;=1),FORSIDE!$B$6+(1-1)*FORSIDE!$B$7,"")</f>
        <v/>
      </c>
    </row>
    <row r="983" spans="1:4" x14ac:dyDescent="0.3">
      <c r="A983" t="str">
        <f>IF(AND(FORSIDE!$B$8&gt;=5,FORSIDE!$F$8&gt;=4,FORSIDE!$B$5&gt;=2),982,"")</f>
        <v/>
      </c>
      <c r="B983" t="str">
        <f>IF(AND(FORSIDE!$B$8&gt;=5,FORSIDE!$F$8&gt;=4,FORSIDE!$B$5&gt;=2),354+4*FORSIDE!$F$9,"")</f>
        <v/>
      </c>
      <c r="C983" t="str">
        <f>IF(AND(FORSIDE!$B$8&gt;=5,FORSIDE!$F$8&gt;=4,FORSIDE!$B$5&gt;=2),5*FORSIDE!$B$9,"")</f>
        <v/>
      </c>
      <c r="D983" t="str">
        <f>IF(AND(FORSIDE!$B$8&gt;=5,FORSIDE!$F$8&gt;=4,FORSIDE!$B$5&gt;=2),FORSIDE!$B$6+(2-1)*FORSIDE!$B$7,"")</f>
        <v/>
      </c>
    </row>
    <row r="984" spans="1:4" x14ac:dyDescent="0.3">
      <c r="A984" t="str">
        <f>IF(AND(FORSIDE!$B$8&gt;=5,FORSIDE!$F$8&gt;=4,FORSIDE!$B$5&gt;=3),983,"")</f>
        <v/>
      </c>
      <c r="B984" t="str">
        <f>IF(AND(FORSIDE!$B$8&gt;=5,FORSIDE!$F$8&gt;=4,FORSIDE!$B$5&gt;=3),354+4*FORSIDE!$F$9,"")</f>
        <v/>
      </c>
      <c r="C984" t="str">
        <f>IF(AND(FORSIDE!$B$8&gt;=5,FORSIDE!$F$8&gt;=4,FORSIDE!$B$5&gt;=3),5*FORSIDE!$B$9,"")</f>
        <v/>
      </c>
      <c r="D984" t="str">
        <f>IF(AND(FORSIDE!$B$8&gt;=5,FORSIDE!$F$8&gt;=4,FORSIDE!$B$5&gt;=3),FORSIDE!$B$6+(3-1)*FORSIDE!$B$7,"")</f>
        <v/>
      </c>
    </row>
    <row r="985" spans="1:4" x14ac:dyDescent="0.3">
      <c r="A985" t="str">
        <f>IF(AND(FORSIDE!$B$8&gt;=5,FORSIDE!$F$8&gt;=4,FORSIDE!$B$5&gt;=4),984,"")</f>
        <v/>
      </c>
      <c r="B985" t="str">
        <f>IF(AND(FORSIDE!$B$8&gt;=5,FORSIDE!$F$8&gt;=4,FORSIDE!$B$5&gt;=4),354+4*FORSIDE!$F$9,"")</f>
        <v/>
      </c>
      <c r="C985" t="str">
        <f>IF(AND(FORSIDE!$B$8&gt;=5,FORSIDE!$F$8&gt;=4,FORSIDE!$B$5&gt;=4),5*FORSIDE!$B$9,"")</f>
        <v/>
      </c>
      <c r="D985" t="str">
        <f>IF(AND(FORSIDE!$B$8&gt;=5,FORSIDE!$F$8&gt;=4,FORSIDE!$B$5&gt;=4),FORSIDE!$B$6+(4-1)*FORSIDE!$B$7,"")</f>
        <v/>
      </c>
    </row>
    <row r="986" spans="1:4" x14ac:dyDescent="0.3">
      <c r="A986" t="str">
        <f>IF(AND(FORSIDE!$B$8&gt;=5,FORSIDE!$F$8&gt;=4,FORSIDE!$B$5&gt;=5),985,"")</f>
        <v/>
      </c>
      <c r="B986" t="str">
        <f>IF(AND(FORSIDE!$B$8&gt;=5,FORSIDE!$F$8&gt;=4,FORSIDE!$B$5&gt;=5),354+4*FORSIDE!$F$9,"")</f>
        <v/>
      </c>
      <c r="C986" t="str">
        <f>IF(AND(FORSIDE!$B$8&gt;=5,FORSIDE!$F$8&gt;=4,FORSIDE!$B$5&gt;=5),5*FORSIDE!$B$9,"")</f>
        <v/>
      </c>
      <c r="D986" t="str">
        <f>IF(AND(FORSIDE!$B$8&gt;=5,FORSIDE!$F$8&gt;=4,FORSIDE!$B$5&gt;=5),FORSIDE!$B$6+(5-1)*FORSIDE!$B$7,"")</f>
        <v/>
      </c>
    </row>
    <row r="987" spans="1:4" x14ac:dyDescent="0.3">
      <c r="A987" t="str">
        <f>IF(AND(FORSIDE!$B$8&gt;=5,FORSIDE!$F$8&gt;=4,FORSIDE!$B$5&gt;=6),986,"")</f>
        <v/>
      </c>
      <c r="B987" t="str">
        <f>IF(AND(FORSIDE!$B$8&gt;=5,FORSIDE!$F$8&gt;=4,FORSIDE!$B$5&gt;=6),354+4*FORSIDE!$F$9,"")</f>
        <v/>
      </c>
      <c r="C987" t="str">
        <f>IF(AND(FORSIDE!$B$8&gt;=5,FORSIDE!$F$8&gt;=4,FORSIDE!$B$5&gt;=6),5*FORSIDE!$B$9,"")</f>
        <v/>
      </c>
      <c r="D987" t="str">
        <f>IF(AND(FORSIDE!$B$8&gt;=5,FORSIDE!$F$8&gt;=4,FORSIDE!$B$5&gt;=6),FORSIDE!$B$6+(6-1)*FORSIDE!$B$7,"")</f>
        <v/>
      </c>
    </row>
    <row r="988" spans="1:4" x14ac:dyDescent="0.3">
      <c r="A988" t="str">
        <f>IF(AND(FORSIDE!$B$8&gt;=5,FORSIDE!$F$8&gt;=4,FORSIDE!$B$5&gt;=7),987,"")</f>
        <v/>
      </c>
      <c r="B988" t="str">
        <f>IF(AND(FORSIDE!$B$8&gt;=5,FORSIDE!$F$8&gt;=4,FORSIDE!$B$5&gt;=7),354+4*FORSIDE!$F$9,"")</f>
        <v/>
      </c>
      <c r="C988" t="str">
        <f>IF(AND(FORSIDE!$B$8&gt;=5,FORSIDE!$F$8&gt;=4,FORSIDE!$B$5&gt;=7),5*FORSIDE!$B$9,"")</f>
        <v/>
      </c>
      <c r="D988" t="str">
        <f>IF(AND(FORSIDE!$B$8&gt;=5,FORSIDE!$F$8&gt;=4,FORSIDE!$B$5&gt;=7),FORSIDE!$B$6+(7-1)*FORSIDE!$B$7,"")</f>
        <v/>
      </c>
    </row>
    <row r="989" spans="1:4" x14ac:dyDescent="0.3">
      <c r="A989" t="str">
        <f>IF(AND(FORSIDE!$B$8&gt;=5,FORSIDE!$F$8&gt;=4,FORSIDE!$B$5&gt;=8),988,"")</f>
        <v/>
      </c>
      <c r="B989" t="str">
        <f>IF(AND(FORSIDE!$B$8&gt;=5,FORSIDE!$F$8&gt;=4,FORSIDE!$B$5&gt;=8),354+4*FORSIDE!$F$9,"")</f>
        <v/>
      </c>
      <c r="C989" t="str">
        <f>IF(AND(FORSIDE!$B$8&gt;=5,FORSIDE!$F$8&gt;=4,FORSIDE!$B$5&gt;=8),5*FORSIDE!$B$9,"")</f>
        <v/>
      </c>
      <c r="D989" t="str">
        <f>IF(AND(FORSIDE!$B$8&gt;=5,FORSIDE!$F$8&gt;=4,FORSIDE!$B$5&gt;=8),FORSIDE!$B$6+(8-1)*FORSIDE!$B$7,"")</f>
        <v/>
      </c>
    </row>
    <row r="990" spans="1:4" x14ac:dyDescent="0.3">
      <c r="A990" t="str">
        <f>IF(AND(FORSIDE!$B$8&gt;=5,FORSIDE!$F$8&gt;=4,FORSIDE!$B$5&gt;=9),989,"")</f>
        <v/>
      </c>
      <c r="B990" t="str">
        <f>IF(AND(FORSIDE!$B$8&gt;=5,FORSIDE!$F$8&gt;=4,FORSIDE!$B$5&gt;=9),354+4*FORSIDE!$F$9,"")</f>
        <v/>
      </c>
      <c r="C990" t="str">
        <f>IF(AND(FORSIDE!$B$8&gt;=5,FORSIDE!$F$8&gt;=4,FORSIDE!$B$5&gt;=9),5*FORSIDE!$B$9,"")</f>
        <v/>
      </c>
      <c r="D990" t="str">
        <f>IF(AND(FORSIDE!$B$8&gt;=5,FORSIDE!$F$8&gt;=4,FORSIDE!$B$5&gt;=9),FORSIDE!$B$6+(9-1)*FORSIDE!$B$7,"")</f>
        <v/>
      </c>
    </row>
    <row r="991" spans="1:4" x14ac:dyDescent="0.3">
      <c r="A991" t="str">
        <f>IF(AND(FORSIDE!$B$8&gt;=5,FORSIDE!$F$8&gt;=4,FORSIDE!$B$5&gt;=10),990,"")</f>
        <v/>
      </c>
      <c r="B991" t="str">
        <f>IF(AND(FORSIDE!$B$8&gt;=5,FORSIDE!$F$8&gt;=4,FORSIDE!$B$5&gt;=10),354+4*FORSIDE!$F$9,"")</f>
        <v/>
      </c>
      <c r="C991" t="str">
        <f>IF(AND(FORSIDE!$B$8&gt;=5,FORSIDE!$F$8&gt;=4,FORSIDE!$B$5&gt;=10),5*FORSIDE!$B$9,"")</f>
        <v/>
      </c>
      <c r="D991" t="str">
        <f>IF(AND(FORSIDE!$B$8&gt;=5,FORSIDE!$F$8&gt;=4,FORSIDE!$B$5&gt;=10),FORSIDE!$B$6+(10-1)*FORSIDE!$B$7,"")</f>
        <v/>
      </c>
    </row>
    <row r="992" spans="1:4" x14ac:dyDescent="0.3">
      <c r="A992" t="str">
        <f>IF(AND(FORSIDE!$B$8&gt;=6,FORSIDE!$F$8&gt;=4,FORSIDE!$B$5&gt;=0),991,"")</f>
        <v/>
      </c>
      <c r="B992" t="str">
        <f>IF(AND(FORSIDE!$B$8&gt;=6,FORSIDE!$F$8&gt;=4,FORSIDE!$B$5&gt;=0),354+4*FORSIDE!$F$9,"")</f>
        <v/>
      </c>
      <c r="C992" t="str">
        <f>IF(AND(FORSIDE!$B$8&gt;=6,FORSIDE!$F$8&gt;=4,FORSIDE!$B$5&gt;=0),6*FORSIDE!$B$9,"")</f>
        <v/>
      </c>
      <c r="D992" t="str">
        <f>IF(AND(FORSIDE!$B$8&gt;=6,FORSIDE!$F$8&gt;=4,FORSIDE!$B$5&gt;=0),0,"")</f>
        <v/>
      </c>
    </row>
    <row r="993" spans="1:4" x14ac:dyDescent="0.3">
      <c r="A993" t="str">
        <f>IF(AND(FORSIDE!$B$8&gt;=6,FORSIDE!$F$8&gt;=4,FORSIDE!$B$5&gt;=1),992,"")</f>
        <v/>
      </c>
      <c r="B993" t="str">
        <f>IF(AND(FORSIDE!$B$8&gt;=6,FORSIDE!$F$8&gt;=4,FORSIDE!$B$5&gt;=1),354+4*FORSIDE!$F$9,"")</f>
        <v/>
      </c>
      <c r="C993" t="str">
        <f>IF(AND(FORSIDE!$B$8&gt;=6,FORSIDE!$F$8&gt;=4,FORSIDE!$B$5&gt;=1),6*FORSIDE!$B$9,"")</f>
        <v/>
      </c>
      <c r="D993" t="str">
        <f>IF(AND(FORSIDE!$B$8&gt;=6,FORSIDE!$F$8&gt;=4,FORSIDE!$B$5&gt;=1),FORSIDE!$B$6+(1-1)*FORSIDE!$B$7,"")</f>
        <v/>
      </c>
    </row>
    <row r="994" spans="1:4" x14ac:dyDescent="0.3">
      <c r="A994" t="str">
        <f>IF(AND(FORSIDE!$B$8&gt;=6,FORSIDE!$F$8&gt;=4,FORSIDE!$B$5&gt;=2),993,"")</f>
        <v/>
      </c>
      <c r="B994" t="str">
        <f>IF(AND(FORSIDE!$B$8&gt;=6,FORSIDE!$F$8&gt;=4,FORSIDE!$B$5&gt;=2),354+4*FORSIDE!$F$9,"")</f>
        <v/>
      </c>
      <c r="C994" t="str">
        <f>IF(AND(FORSIDE!$B$8&gt;=6,FORSIDE!$F$8&gt;=4,FORSIDE!$B$5&gt;=2),6*FORSIDE!$B$9,"")</f>
        <v/>
      </c>
      <c r="D994" t="str">
        <f>IF(AND(FORSIDE!$B$8&gt;=6,FORSIDE!$F$8&gt;=4,FORSIDE!$B$5&gt;=2),FORSIDE!$B$6+(2-1)*FORSIDE!$B$7,"")</f>
        <v/>
      </c>
    </row>
    <row r="995" spans="1:4" x14ac:dyDescent="0.3">
      <c r="A995" t="str">
        <f>IF(AND(FORSIDE!$B$8&gt;=6,FORSIDE!$F$8&gt;=4,FORSIDE!$B$5&gt;=3),994,"")</f>
        <v/>
      </c>
      <c r="B995" t="str">
        <f>IF(AND(FORSIDE!$B$8&gt;=6,FORSIDE!$F$8&gt;=4,FORSIDE!$B$5&gt;=3),354+4*FORSIDE!$F$9,"")</f>
        <v/>
      </c>
      <c r="C995" t="str">
        <f>IF(AND(FORSIDE!$B$8&gt;=6,FORSIDE!$F$8&gt;=4,FORSIDE!$B$5&gt;=3),6*FORSIDE!$B$9,"")</f>
        <v/>
      </c>
      <c r="D995" t="str">
        <f>IF(AND(FORSIDE!$B$8&gt;=6,FORSIDE!$F$8&gt;=4,FORSIDE!$B$5&gt;=3),FORSIDE!$B$6+(3-1)*FORSIDE!$B$7,"")</f>
        <v/>
      </c>
    </row>
    <row r="996" spans="1:4" x14ac:dyDescent="0.3">
      <c r="A996" t="str">
        <f>IF(AND(FORSIDE!$B$8&gt;=6,FORSIDE!$F$8&gt;=4,FORSIDE!$B$5&gt;=4),995,"")</f>
        <v/>
      </c>
      <c r="B996" t="str">
        <f>IF(AND(FORSIDE!$B$8&gt;=6,FORSIDE!$F$8&gt;=4,FORSIDE!$B$5&gt;=4),354+4*FORSIDE!$F$9,"")</f>
        <v/>
      </c>
      <c r="C996" t="str">
        <f>IF(AND(FORSIDE!$B$8&gt;=6,FORSIDE!$F$8&gt;=4,FORSIDE!$B$5&gt;=4),6*FORSIDE!$B$9,"")</f>
        <v/>
      </c>
      <c r="D996" t="str">
        <f>IF(AND(FORSIDE!$B$8&gt;=6,FORSIDE!$F$8&gt;=4,FORSIDE!$B$5&gt;=4),FORSIDE!$B$6+(4-1)*FORSIDE!$B$7,"")</f>
        <v/>
      </c>
    </row>
    <row r="997" spans="1:4" x14ac:dyDescent="0.3">
      <c r="A997" t="str">
        <f>IF(AND(FORSIDE!$B$8&gt;=6,FORSIDE!$F$8&gt;=4,FORSIDE!$B$5&gt;=5),996,"")</f>
        <v/>
      </c>
      <c r="B997" t="str">
        <f>IF(AND(FORSIDE!$B$8&gt;=6,FORSIDE!$F$8&gt;=4,FORSIDE!$B$5&gt;=5),354+4*FORSIDE!$F$9,"")</f>
        <v/>
      </c>
      <c r="C997" t="str">
        <f>IF(AND(FORSIDE!$B$8&gt;=6,FORSIDE!$F$8&gt;=4,FORSIDE!$B$5&gt;=5),6*FORSIDE!$B$9,"")</f>
        <v/>
      </c>
      <c r="D997" t="str">
        <f>IF(AND(FORSIDE!$B$8&gt;=6,FORSIDE!$F$8&gt;=4,FORSIDE!$B$5&gt;=5),FORSIDE!$B$6+(5-1)*FORSIDE!$B$7,"")</f>
        <v/>
      </c>
    </row>
    <row r="998" spans="1:4" x14ac:dyDescent="0.3">
      <c r="A998" t="str">
        <f>IF(AND(FORSIDE!$B$8&gt;=6,FORSIDE!$F$8&gt;=4,FORSIDE!$B$5&gt;=6),997,"")</f>
        <v/>
      </c>
      <c r="B998" t="str">
        <f>IF(AND(FORSIDE!$B$8&gt;=6,FORSIDE!$F$8&gt;=4,FORSIDE!$B$5&gt;=6),354+4*FORSIDE!$F$9,"")</f>
        <v/>
      </c>
      <c r="C998" t="str">
        <f>IF(AND(FORSIDE!$B$8&gt;=6,FORSIDE!$F$8&gt;=4,FORSIDE!$B$5&gt;=6),6*FORSIDE!$B$9,"")</f>
        <v/>
      </c>
      <c r="D998" t="str">
        <f>IF(AND(FORSIDE!$B$8&gt;=6,FORSIDE!$F$8&gt;=4,FORSIDE!$B$5&gt;=6),FORSIDE!$B$6+(6-1)*FORSIDE!$B$7,"")</f>
        <v/>
      </c>
    </row>
    <row r="999" spans="1:4" x14ac:dyDescent="0.3">
      <c r="A999" t="str">
        <f>IF(AND(FORSIDE!$B$8&gt;=6,FORSIDE!$F$8&gt;=4,FORSIDE!$B$5&gt;=7),998,"")</f>
        <v/>
      </c>
      <c r="B999" t="str">
        <f>IF(AND(FORSIDE!$B$8&gt;=6,FORSIDE!$F$8&gt;=4,FORSIDE!$B$5&gt;=7),354+4*FORSIDE!$F$9,"")</f>
        <v/>
      </c>
      <c r="C999" t="str">
        <f>IF(AND(FORSIDE!$B$8&gt;=6,FORSIDE!$F$8&gt;=4,FORSIDE!$B$5&gt;=7),6*FORSIDE!$B$9,"")</f>
        <v/>
      </c>
      <c r="D999" t="str">
        <f>IF(AND(FORSIDE!$B$8&gt;=6,FORSIDE!$F$8&gt;=4,FORSIDE!$B$5&gt;=7),FORSIDE!$B$6+(7-1)*FORSIDE!$B$7,"")</f>
        <v/>
      </c>
    </row>
    <row r="1000" spans="1:4" x14ac:dyDescent="0.3">
      <c r="A1000" t="str">
        <f>IF(AND(FORSIDE!$B$8&gt;=6,FORSIDE!$F$8&gt;=4,FORSIDE!$B$5&gt;=8),999,"")</f>
        <v/>
      </c>
      <c r="B1000" t="str">
        <f>IF(AND(FORSIDE!$B$8&gt;=6,FORSIDE!$F$8&gt;=4,FORSIDE!$B$5&gt;=8),354+4*FORSIDE!$F$9,"")</f>
        <v/>
      </c>
      <c r="C1000" t="str">
        <f>IF(AND(FORSIDE!$B$8&gt;=6,FORSIDE!$F$8&gt;=4,FORSIDE!$B$5&gt;=8),6*FORSIDE!$B$9,"")</f>
        <v/>
      </c>
      <c r="D1000" t="str">
        <f>IF(AND(FORSIDE!$B$8&gt;=6,FORSIDE!$F$8&gt;=4,FORSIDE!$B$5&gt;=8),FORSIDE!$B$6+(8-1)*FORSIDE!$B$7,"")</f>
        <v/>
      </c>
    </row>
    <row r="1001" spans="1:4" x14ac:dyDescent="0.3">
      <c r="A1001" t="str">
        <f>IF(AND(FORSIDE!$B$8&gt;=6,FORSIDE!$F$8&gt;=4,FORSIDE!$B$5&gt;=9),1000,"")</f>
        <v/>
      </c>
      <c r="B1001" t="str">
        <f>IF(AND(FORSIDE!$B$8&gt;=6,FORSIDE!$F$8&gt;=4,FORSIDE!$B$5&gt;=9),354+4*FORSIDE!$F$9,"")</f>
        <v/>
      </c>
      <c r="C1001" t="str">
        <f>IF(AND(FORSIDE!$B$8&gt;=6,FORSIDE!$F$8&gt;=4,FORSIDE!$B$5&gt;=9),6*FORSIDE!$B$9,"")</f>
        <v/>
      </c>
      <c r="D1001" t="str">
        <f>IF(AND(FORSIDE!$B$8&gt;=6,FORSIDE!$F$8&gt;=4,FORSIDE!$B$5&gt;=9),FORSIDE!$B$6+(9-1)*FORSIDE!$B$7,"")</f>
        <v/>
      </c>
    </row>
    <row r="1002" spans="1:4" x14ac:dyDescent="0.3">
      <c r="A1002" t="str">
        <f>IF(AND(FORSIDE!$B$8&gt;=6,FORSIDE!$F$8&gt;=4,FORSIDE!$B$5&gt;=10),1001,"")</f>
        <v/>
      </c>
      <c r="B1002" t="str">
        <f>IF(AND(FORSIDE!$B$8&gt;=6,FORSIDE!$F$8&gt;=4,FORSIDE!$B$5&gt;=10),354+4*FORSIDE!$F$9,"")</f>
        <v/>
      </c>
      <c r="C1002" t="str">
        <f>IF(AND(FORSIDE!$B$8&gt;=6,FORSIDE!$F$8&gt;=4,FORSIDE!$B$5&gt;=10),6*FORSIDE!$B$9,"")</f>
        <v/>
      </c>
      <c r="D1002" t="str">
        <f>IF(AND(FORSIDE!$B$8&gt;=6,FORSIDE!$F$8&gt;=4,FORSIDE!$B$5&gt;=10),FORSIDE!$B$6+(10-1)*FORSIDE!$B$7,"")</f>
        <v/>
      </c>
    </row>
    <row r="1003" spans="1:4" x14ac:dyDescent="0.3">
      <c r="A1003" t="str">
        <f>IF(AND(FORSIDE!$B$8&gt;=7,FORSIDE!$F$8&gt;=4,FORSIDE!$B$5&gt;=0),1002,"")</f>
        <v/>
      </c>
      <c r="B1003" t="str">
        <f>IF(AND(FORSIDE!$B$8&gt;=7,FORSIDE!$F$8&gt;=4,FORSIDE!$B$5&gt;=0),354+4*FORSIDE!$F$9,"")</f>
        <v/>
      </c>
      <c r="C1003" t="str">
        <f>IF(AND(FORSIDE!$B$8&gt;=7,FORSIDE!$F$8&gt;=4,FORSIDE!$B$5&gt;=0),7*FORSIDE!$B$9,"")</f>
        <v/>
      </c>
      <c r="D1003" t="str">
        <f>IF(AND(FORSIDE!$B$8&gt;=7,FORSIDE!$F$8&gt;=4,FORSIDE!$B$5&gt;=0),0,"")</f>
        <v/>
      </c>
    </row>
    <row r="1004" spans="1:4" x14ac:dyDescent="0.3">
      <c r="A1004" t="str">
        <f>IF(AND(FORSIDE!$B$8&gt;=7,FORSIDE!$F$8&gt;=4,FORSIDE!$B$5&gt;=1),1003,"")</f>
        <v/>
      </c>
      <c r="B1004" t="str">
        <f>IF(AND(FORSIDE!$B$8&gt;=7,FORSIDE!$F$8&gt;=4,FORSIDE!$B$5&gt;=1),354+4*FORSIDE!$F$9,"")</f>
        <v/>
      </c>
      <c r="C1004" t="str">
        <f>IF(AND(FORSIDE!$B$8&gt;=7,FORSIDE!$F$8&gt;=4,FORSIDE!$B$5&gt;=1),7*FORSIDE!$B$9,"")</f>
        <v/>
      </c>
      <c r="D1004" t="str">
        <f>IF(AND(FORSIDE!$B$8&gt;=7,FORSIDE!$F$8&gt;=4,FORSIDE!$B$5&gt;=1),FORSIDE!$B$6+(1-1)*FORSIDE!$B$7,"")</f>
        <v/>
      </c>
    </row>
    <row r="1005" spans="1:4" x14ac:dyDescent="0.3">
      <c r="A1005" t="str">
        <f>IF(AND(FORSIDE!$B$8&gt;=7,FORSIDE!$F$8&gt;=4,FORSIDE!$B$5&gt;=2),1004,"")</f>
        <v/>
      </c>
      <c r="B1005" t="str">
        <f>IF(AND(FORSIDE!$B$8&gt;=7,FORSIDE!$F$8&gt;=4,FORSIDE!$B$5&gt;=2),354+4*FORSIDE!$F$9,"")</f>
        <v/>
      </c>
      <c r="C1005" t="str">
        <f>IF(AND(FORSIDE!$B$8&gt;=7,FORSIDE!$F$8&gt;=4,FORSIDE!$B$5&gt;=2),7*FORSIDE!$B$9,"")</f>
        <v/>
      </c>
      <c r="D1005" t="str">
        <f>IF(AND(FORSIDE!$B$8&gt;=7,FORSIDE!$F$8&gt;=4,FORSIDE!$B$5&gt;=2),FORSIDE!$B$6+(2-1)*FORSIDE!$B$7,"")</f>
        <v/>
      </c>
    </row>
    <row r="1006" spans="1:4" x14ac:dyDescent="0.3">
      <c r="A1006" t="str">
        <f>IF(AND(FORSIDE!$B$8&gt;=7,FORSIDE!$F$8&gt;=4,FORSIDE!$B$5&gt;=3),1005,"")</f>
        <v/>
      </c>
      <c r="B1006" t="str">
        <f>IF(AND(FORSIDE!$B$8&gt;=7,FORSIDE!$F$8&gt;=4,FORSIDE!$B$5&gt;=3),354+4*FORSIDE!$F$9,"")</f>
        <v/>
      </c>
      <c r="C1006" t="str">
        <f>IF(AND(FORSIDE!$B$8&gt;=7,FORSIDE!$F$8&gt;=4,FORSIDE!$B$5&gt;=3),7*FORSIDE!$B$9,"")</f>
        <v/>
      </c>
      <c r="D1006" t="str">
        <f>IF(AND(FORSIDE!$B$8&gt;=7,FORSIDE!$F$8&gt;=4,FORSIDE!$B$5&gt;=3),FORSIDE!$B$6+(3-1)*FORSIDE!$B$7,"")</f>
        <v/>
      </c>
    </row>
    <row r="1007" spans="1:4" x14ac:dyDescent="0.3">
      <c r="A1007" t="str">
        <f>IF(AND(FORSIDE!$B$8&gt;=7,FORSIDE!$F$8&gt;=4,FORSIDE!$B$5&gt;=4),1006,"")</f>
        <v/>
      </c>
      <c r="B1007" t="str">
        <f>IF(AND(FORSIDE!$B$8&gt;=7,FORSIDE!$F$8&gt;=4,FORSIDE!$B$5&gt;=4),354+4*FORSIDE!$F$9,"")</f>
        <v/>
      </c>
      <c r="C1007" t="str">
        <f>IF(AND(FORSIDE!$B$8&gt;=7,FORSIDE!$F$8&gt;=4,FORSIDE!$B$5&gt;=4),7*FORSIDE!$B$9,"")</f>
        <v/>
      </c>
      <c r="D1007" t="str">
        <f>IF(AND(FORSIDE!$B$8&gt;=7,FORSIDE!$F$8&gt;=4,FORSIDE!$B$5&gt;=4),FORSIDE!$B$6+(4-1)*FORSIDE!$B$7,"")</f>
        <v/>
      </c>
    </row>
    <row r="1008" spans="1:4" x14ac:dyDescent="0.3">
      <c r="A1008" t="str">
        <f>IF(AND(FORSIDE!$B$8&gt;=7,FORSIDE!$F$8&gt;=4,FORSIDE!$B$5&gt;=5),1007,"")</f>
        <v/>
      </c>
      <c r="B1008" t="str">
        <f>IF(AND(FORSIDE!$B$8&gt;=7,FORSIDE!$F$8&gt;=4,FORSIDE!$B$5&gt;=5),354+4*FORSIDE!$F$9,"")</f>
        <v/>
      </c>
      <c r="C1008" t="str">
        <f>IF(AND(FORSIDE!$B$8&gt;=7,FORSIDE!$F$8&gt;=4,FORSIDE!$B$5&gt;=5),7*FORSIDE!$B$9,"")</f>
        <v/>
      </c>
      <c r="D1008" t="str">
        <f>IF(AND(FORSIDE!$B$8&gt;=7,FORSIDE!$F$8&gt;=4,FORSIDE!$B$5&gt;=5),FORSIDE!$B$6+(5-1)*FORSIDE!$B$7,"")</f>
        <v/>
      </c>
    </row>
    <row r="1009" spans="1:4" x14ac:dyDescent="0.3">
      <c r="A1009" t="str">
        <f>IF(AND(FORSIDE!$B$8&gt;=7,FORSIDE!$F$8&gt;=4,FORSIDE!$B$5&gt;=6),1008,"")</f>
        <v/>
      </c>
      <c r="B1009" t="str">
        <f>IF(AND(FORSIDE!$B$8&gt;=7,FORSIDE!$F$8&gt;=4,FORSIDE!$B$5&gt;=6),354+4*FORSIDE!$F$9,"")</f>
        <v/>
      </c>
      <c r="C1009" t="str">
        <f>IF(AND(FORSIDE!$B$8&gt;=7,FORSIDE!$F$8&gt;=4,FORSIDE!$B$5&gt;=6),7*FORSIDE!$B$9,"")</f>
        <v/>
      </c>
      <c r="D1009" t="str">
        <f>IF(AND(FORSIDE!$B$8&gt;=7,FORSIDE!$F$8&gt;=4,FORSIDE!$B$5&gt;=6),FORSIDE!$B$6+(6-1)*FORSIDE!$B$7,"")</f>
        <v/>
      </c>
    </row>
    <row r="1010" spans="1:4" x14ac:dyDescent="0.3">
      <c r="A1010" t="str">
        <f>IF(AND(FORSIDE!$B$8&gt;=7,FORSIDE!$F$8&gt;=4,FORSIDE!$B$5&gt;=7),1009,"")</f>
        <v/>
      </c>
      <c r="B1010" t="str">
        <f>IF(AND(FORSIDE!$B$8&gt;=7,FORSIDE!$F$8&gt;=4,FORSIDE!$B$5&gt;=7),354+4*FORSIDE!$F$9,"")</f>
        <v/>
      </c>
      <c r="C1010" t="str">
        <f>IF(AND(FORSIDE!$B$8&gt;=7,FORSIDE!$F$8&gt;=4,FORSIDE!$B$5&gt;=7),7*FORSIDE!$B$9,"")</f>
        <v/>
      </c>
      <c r="D1010" t="str">
        <f>IF(AND(FORSIDE!$B$8&gt;=7,FORSIDE!$F$8&gt;=4,FORSIDE!$B$5&gt;=7),FORSIDE!$B$6+(7-1)*FORSIDE!$B$7,"")</f>
        <v/>
      </c>
    </row>
    <row r="1011" spans="1:4" x14ac:dyDescent="0.3">
      <c r="A1011" t="str">
        <f>IF(AND(FORSIDE!$B$8&gt;=7,FORSIDE!$F$8&gt;=4,FORSIDE!$B$5&gt;=8),1010,"")</f>
        <v/>
      </c>
      <c r="B1011" t="str">
        <f>IF(AND(FORSIDE!$B$8&gt;=7,FORSIDE!$F$8&gt;=4,FORSIDE!$B$5&gt;=8),354+4*FORSIDE!$F$9,"")</f>
        <v/>
      </c>
      <c r="C1011" t="str">
        <f>IF(AND(FORSIDE!$B$8&gt;=7,FORSIDE!$F$8&gt;=4,FORSIDE!$B$5&gt;=8),7*FORSIDE!$B$9,"")</f>
        <v/>
      </c>
      <c r="D1011" t="str">
        <f>IF(AND(FORSIDE!$B$8&gt;=7,FORSIDE!$F$8&gt;=4,FORSIDE!$B$5&gt;=8),FORSIDE!$B$6+(8-1)*FORSIDE!$B$7,"")</f>
        <v/>
      </c>
    </row>
    <row r="1012" spans="1:4" x14ac:dyDescent="0.3">
      <c r="A1012" t="str">
        <f>IF(AND(FORSIDE!$B$8&gt;=7,FORSIDE!$F$8&gt;=4,FORSIDE!$B$5&gt;=9),1011,"")</f>
        <v/>
      </c>
      <c r="B1012" t="str">
        <f>IF(AND(FORSIDE!$B$8&gt;=7,FORSIDE!$F$8&gt;=4,FORSIDE!$B$5&gt;=9),354+4*FORSIDE!$F$9,"")</f>
        <v/>
      </c>
      <c r="C1012" t="str">
        <f>IF(AND(FORSIDE!$B$8&gt;=7,FORSIDE!$F$8&gt;=4,FORSIDE!$B$5&gt;=9),7*FORSIDE!$B$9,"")</f>
        <v/>
      </c>
      <c r="D1012" t="str">
        <f>IF(AND(FORSIDE!$B$8&gt;=7,FORSIDE!$F$8&gt;=4,FORSIDE!$B$5&gt;=9),FORSIDE!$B$6+(9-1)*FORSIDE!$B$7,"")</f>
        <v/>
      </c>
    </row>
    <row r="1013" spans="1:4" x14ac:dyDescent="0.3">
      <c r="A1013" t="str">
        <f>IF(AND(FORSIDE!$B$8&gt;=7,FORSIDE!$F$8&gt;=4,FORSIDE!$B$5&gt;=10),1012,"")</f>
        <v/>
      </c>
      <c r="B1013" t="str">
        <f>IF(AND(FORSIDE!$B$8&gt;=7,FORSIDE!$F$8&gt;=4,FORSIDE!$B$5&gt;=10),354+4*FORSIDE!$F$9,"")</f>
        <v/>
      </c>
      <c r="C1013" t="str">
        <f>IF(AND(FORSIDE!$B$8&gt;=7,FORSIDE!$F$8&gt;=4,FORSIDE!$B$5&gt;=10),7*FORSIDE!$B$9,"")</f>
        <v/>
      </c>
      <c r="D1013" t="str">
        <f>IF(AND(FORSIDE!$B$8&gt;=7,FORSIDE!$F$8&gt;=4,FORSIDE!$B$5&gt;=10),FORSIDE!$B$6+(10-1)*FORSIDE!$B$7,"")</f>
        <v/>
      </c>
    </row>
    <row r="1014" spans="1:4" x14ac:dyDescent="0.3">
      <c r="A1014" t="str">
        <f>IF(AND(FORSIDE!$B$8&gt;=8,FORSIDE!$F$8&gt;=4,FORSIDE!$B$5&gt;=0),1013,"")</f>
        <v/>
      </c>
      <c r="B1014" t="str">
        <f>IF(AND(FORSIDE!$B$8&gt;=8,FORSIDE!$F$8&gt;=4,FORSIDE!$B$5&gt;=0),354+4*FORSIDE!$F$9,"")</f>
        <v/>
      </c>
      <c r="C1014" t="str">
        <f>IF(AND(FORSIDE!$B$8&gt;=8,FORSIDE!$F$8&gt;=4,FORSIDE!$B$5&gt;=0),8*FORSIDE!$B$9,"")</f>
        <v/>
      </c>
      <c r="D1014" t="str">
        <f>IF(AND(FORSIDE!$B$8&gt;=8,FORSIDE!$F$8&gt;=4,FORSIDE!$B$5&gt;=0),0,"")</f>
        <v/>
      </c>
    </row>
    <row r="1015" spans="1:4" x14ac:dyDescent="0.3">
      <c r="A1015" t="str">
        <f>IF(AND(FORSIDE!$B$8&gt;=8,FORSIDE!$F$8&gt;=4,FORSIDE!$B$5&gt;=1),1014,"")</f>
        <v/>
      </c>
      <c r="B1015" t="str">
        <f>IF(AND(FORSIDE!$B$8&gt;=8,FORSIDE!$F$8&gt;=4,FORSIDE!$B$5&gt;=1),354+4*FORSIDE!$F$9,"")</f>
        <v/>
      </c>
      <c r="C1015" t="str">
        <f>IF(AND(FORSIDE!$B$8&gt;=8,FORSIDE!$F$8&gt;=4,FORSIDE!$B$5&gt;=1),8*FORSIDE!$B$9,"")</f>
        <v/>
      </c>
      <c r="D1015" t="str">
        <f>IF(AND(FORSIDE!$B$8&gt;=8,FORSIDE!$F$8&gt;=4,FORSIDE!$B$5&gt;=1),FORSIDE!$B$6+(1-1)*FORSIDE!$B$7,"")</f>
        <v/>
      </c>
    </row>
    <row r="1016" spans="1:4" x14ac:dyDescent="0.3">
      <c r="A1016" t="str">
        <f>IF(AND(FORSIDE!$B$8&gt;=8,FORSIDE!$F$8&gt;=4,FORSIDE!$B$5&gt;=2),1015,"")</f>
        <v/>
      </c>
      <c r="B1016" t="str">
        <f>IF(AND(FORSIDE!$B$8&gt;=8,FORSIDE!$F$8&gt;=4,FORSIDE!$B$5&gt;=2),354+4*FORSIDE!$F$9,"")</f>
        <v/>
      </c>
      <c r="C1016" t="str">
        <f>IF(AND(FORSIDE!$B$8&gt;=8,FORSIDE!$F$8&gt;=4,FORSIDE!$B$5&gt;=2),8*FORSIDE!$B$9,"")</f>
        <v/>
      </c>
      <c r="D1016" t="str">
        <f>IF(AND(FORSIDE!$B$8&gt;=8,FORSIDE!$F$8&gt;=4,FORSIDE!$B$5&gt;=2),FORSIDE!$B$6+(2-1)*FORSIDE!$B$7,"")</f>
        <v/>
      </c>
    </row>
    <row r="1017" spans="1:4" x14ac:dyDescent="0.3">
      <c r="A1017" t="str">
        <f>IF(AND(FORSIDE!$B$8&gt;=8,FORSIDE!$F$8&gt;=4,FORSIDE!$B$5&gt;=3),1016,"")</f>
        <v/>
      </c>
      <c r="B1017" t="str">
        <f>IF(AND(FORSIDE!$B$8&gt;=8,FORSIDE!$F$8&gt;=4,FORSIDE!$B$5&gt;=3),354+4*FORSIDE!$F$9,"")</f>
        <v/>
      </c>
      <c r="C1017" t="str">
        <f>IF(AND(FORSIDE!$B$8&gt;=8,FORSIDE!$F$8&gt;=4,FORSIDE!$B$5&gt;=3),8*FORSIDE!$B$9,"")</f>
        <v/>
      </c>
      <c r="D1017" t="str">
        <f>IF(AND(FORSIDE!$B$8&gt;=8,FORSIDE!$F$8&gt;=4,FORSIDE!$B$5&gt;=3),FORSIDE!$B$6+(3-1)*FORSIDE!$B$7,"")</f>
        <v/>
      </c>
    </row>
    <row r="1018" spans="1:4" x14ac:dyDescent="0.3">
      <c r="A1018" t="str">
        <f>IF(AND(FORSIDE!$B$8&gt;=8,FORSIDE!$F$8&gt;=4,FORSIDE!$B$5&gt;=4),1017,"")</f>
        <v/>
      </c>
      <c r="B1018" t="str">
        <f>IF(AND(FORSIDE!$B$8&gt;=8,FORSIDE!$F$8&gt;=4,FORSIDE!$B$5&gt;=4),354+4*FORSIDE!$F$9,"")</f>
        <v/>
      </c>
      <c r="C1018" t="str">
        <f>IF(AND(FORSIDE!$B$8&gt;=8,FORSIDE!$F$8&gt;=4,FORSIDE!$B$5&gt;=4),8*FORSIDE!$B$9,"")</f>
        <v/>
      </c>
      <c r="D1018" t="str">
        <f>IF(AND(FORSIDE!$B$8&gt;=8,FORSIDE!$F$8&gt;=4,FORSIDE!$B$5&gt;=4),FORSIDE!$B$6+(4-1)*FORSIDE!$B$7,"")</f>
        <v/>
      </c>
    </row>
    <row r="1019" spans="1:4" x14ac:dyDescent="0.3">
      <c r="A1019" t="str">
        <f>IF(AND(FORSIDE!$B$8&gt;=8,FORSIDE!$F$8&gt;=4,FORSIDE!$B$5&gt;=5),1018,"")</f>
        <v/>
      </c>
      <c r="B1019" t="str">
        <f>IF(AND(FORSIDE!$B$8&gt;=8,FORSIDE!$F$8&gt;=4,FORSIDE!$B$5&gt;=5),354+4*FORSIDE!$F$9,"")</f>
        <v/>
      </c>
      <c r="C1019" t="str">
        <f>IF(AND(FORSIDE!$B$8&gt;=8,FORSIDE!$F$8&gt;=4,FORSIDE!$B$5&gt;=5),8*FORSIDE!$B$9,"")</f>
        <v/>
      </c>
      <c r="D1019" t="str">
        <f>IF(AND(FORSIDE!$B$8&gt;=8,FORSIDE!$F$8&gt;=4,FORSIDE!$B$5&gt;=5),FORSIDE!$B$6+(5-1)*FORSIDE!$B$7,"")</f>
        <v/>
      </c>
    </row>
    <row r="1020" spans="1:4" x14ac:dyDescent="0.3">
      <c r="A1020" t="str">
        <f>IF(AND(FORSIDE!$B$8&gt;=8,FORSIDE!$F$8&gt;=4,FORSIDE!$B$5&gt;=6),1019,"")</f>
        <v/>
      </c>
      <c r="B1020" t="str">
        <f>IF(AND(FORSIDE!$B$8&gt;=8,FORSIDE!$F$8&gt;=4,FORSIDE!$B$5&gt;=6),354+4*FORSIDE!$F$9,"")</f>
        <v/>
      </c>
      <c r="C1020" t="str">
        <f>IF(AND(FORSIDE!$B$8&gt;=8,FORSIDE!$F$8&gt;=4,FORSIDE!$B$5&gt;=6),8*FORSIDE!$B$9,"")</f>
        <v/>
      </c>
      <c r="D1020" t="str">
        <f>IF(AND(FORSIDE!$B$8&gt;=8,FORSIDE!$F$8&gt;=4,FORSIDE!$B$5&gt;=6),FORSIDE!$B$6+(6-1)*FORSIDE!$B$7,"")</f>
        <v/>
      </c>
    </row>
    <row r="1021" spans="1:4" x14ac:dyDescent="0.3">
      <c r="A1021" t="str">
        <f>IF(AND(FORSIDE!$B$8&gt;=8,FORSIDE!$F$8&gt;=4,FORSIDE!$B$5&gt;=7),1020,"")</f>
        <v/>
      </c>
      <c r="B1021" t="str">
        <f>IF(AND(FORSIDE!$B$8&gt;=8,FORSIDE!$F$8&gt;=4,FORSIDE!$B$5&gt;=7),354+4*FORSIDE!$F$9,"")</f>
        <v/>
      </c>
      <c r="C1021" t="str">
        <f>IF(AND(FORSIDE!$B$8&gt;=8,FORSIDE!$F$8&gt;=4,FORSIDE!$B$5&gt;=7),8*FORSIDE!$B$9,"")</f>
        <v/>
      </c>
      <c r="D1021" t="str">
        <f>IF(AND(FORSIDE!$B$8&gt;=8,FORSIDE!$F$8&gt;=4,FORSIDE!$B$5&gt;=7),FORSIDE!$B$6+(7-1)*FORSIDE!$B$7,"")</f>
        <v/>
      </c>
    </row>
    <row r="1022" spans="1:4" x14ac:dyDescent="0.3">
      <c r="A1022" t="str">
        <f>IF(AND(FORSIDE!$B$8&gt;=8,FORSIDE!$F$8&gt;=4,FORSIDE!$B$5&gt;=8),1021,"")</f>
        <v/>
      </c>
      <c r="B1022" t="str">
        <f>IF(AND(FORSIDE!$B$8&gt;=8,FORSIDE!$F$8&gt;=4,FORSIDE!$B$5&gt;=8),354+4*FORSIDE!$F$9,"")</f>
        <v/>
      </c>
      <c r="C1022" t="str">
        <f>IF(AND(FORSIDE!$B$8&gt;=8,FORSIDE!$F$8&gt;=4,FORSIDE!$B$5&gt;=8),8*FORSIDE!$B$9,"")</f>
        <v/>
      </c>
      <c r="D1022" t="str">
        <f>IF(AND(FORSIDE!$B$8&gt;=8,FORSIDE!$F$8&gt;=4,FORSIDE!$B$5&gt;=8),FORSIDE!$B$6+(8-1)*FORSIDE!$B$7,"")</f>
        <v/>
      </c>
    </row>
    <row r="1023" spans="1:4" x14ac:dyDescent="0.3">
      <c r="A1023" t="str">
        <f>IF(AND(FORSIDE!$B$8&gt;=8,FORSIDE!$F$8&gt;=4,FORSIDE!$B$5&gt;=9),1022,"")</f>
        <v/>
      </c>
      <c r="B1023" t="str">
        <f>IF(AND(FORSIDE!$B$8&gt;=8,FORSIDE!$F$8&gt;=4,FORSIDE!$B$5&gt;=9),354+4*FORSIDE!$F$9,"")</f>
        <v/>
      </c>
      <c r="C1023" t="str">
        <f>IF(AND(FORSIDE!$B$8&gt;=8,FORSIDE!$F$8&gt;=4,FORSIDE!$B$5&gt;=9),8*FORSIDE!$B$9,"")</f>
        <v/>
      </c>
      <c r="D1023" t="str">
        <f>IF(AND(FORSIDE!$B$8&gt;=8,FORSIDE!$F$8&gt;=4,FORSIDE!$B$5&gt;=9),FORSIDE!$B$6+(9-1)*FORSIDE!$B$7,"")</f>
        <v/>
      </c>
    </row>
    <row r="1024" spans="1:4" x14ac:dyDescent="0.3">
      <c r="A1024" t="str">
        <f>IF(AND(FORSIDE!$B$8&gt;=8,FORSIDE!$F$8&gt;=4,FORSIDE!$B$5&gt;=10),1023,"")</f>
        <v/>
      </c>
      <c r="B1024" t="str">
        <f>IF(AND(FORSIDE!$B$8&gt;=8,FORSIDE!$F$8&gt;=4,FORSIDE!$B$5&gt;=10),354+4*FORSIDE!$F$9,"")</f>
        <v/>
      </c>
      <c r="C1024" t="str">
        <f>IF(AND(FORSIDE!$B$8&gt;=8,FORSIDE!$F$8&gt;=4,FORSIDE!$B$5&gt;=10),8*FORSIDE!$B$9,"")</f>
        <v/>
      </c>
      <c r="D1024" t="str">
        <f>IF(AND(FORSIDE!$B$8&gt;=8,FORSIDE!$F$8&gt;=4,FORSIDE!$B$5&gt;=10),FORSIDE!$B$6+(10-1)*FORSIDE!$B$7,"")</f>
        <v/>
      </c>
    </row>
    <row r="1025" spans="1:4" x14ac:dyDescent="0.3">
      <c r="A1025" t="str">
        <f>IF(AND(FORSIDE!$B$8&gt;=9,FORSIDE!$F$8&gt;=4,FORSIDE!$B$5&gt;=0),1024,"")</f>
        <v/>
      </c>
      <c r="B1025" t="str">
        <f>IF(AND(FORSIDE!$B$8&gt;=9,FORSIDE!$F$8&gt;=4,FORSIDE!$B$5&gt;=0),354+4*FORSIDE!$F$9,"")</f>
        <v/>
      </c>
      <c r="C1025" t="str">
        <f>IF(AND(FORSIDE!$B$8&gt;=9,FORSIDE!$F$8&gt;=4,FORSIDE!$B$5&gt;=0),9*FORSIDE!$B$9,"")</f>
        <v/>
      </c>
      <c r="D1025" t="str">
        <f>IF(AND(FORSIDE!$B$8&gt;=9,FORSIDE!$F$8&gt;=4,FORSIDE!$B$5&gt;=0),0,"")</f>
        <v/>
      </c>
    </row>
    <row r="1026" spans="1:4" x14ac:dyDescent="0.3">
      <c r="A1026" t="str">
        <f>IF(AND(FORSIDE!$B$8&gt;=9,FORSIDE!$F$8&gt;=4,FORSIDE!$B$5&gt;=1),1025,"")</f>
        <v/>
      </c>
      <c r="B1026" t="str">
        <f>IF(AND(FORSIDE!$B$8&gt;=9,FORSIDE!$F$8&gt;=4,FORSIDE!$B$5&gt;=1),354+4*FORSIDE!$F$9,"")</f>
        <v/>
      </c>
      <c r="C1026" t="str">
        <f>IF(AND(FORSIDE!$B$8&gt;=9,FORSIDE!$F$8&gt;=4,FORSIDE!$B$5&gt;=1),9*FORSIDE!$B$9,"")</f>
        <v/>
      </c>
      <c r="D1026" t="str">
        <f>IF(AND(FORSIDE!$B$8&gt;=9,FORSIDE!$F$8&gt;=4,FORSIDE!$B$5&gt;=1),FORSIDE!$B$6+(1-1)*FORSIDE!$B$7,"")</f>
        <v/>
      </c>
    </row>
    <row r="1027" spans="1:4" x14ac:dyDescent="0.3">
      <c r="A1027" t="str">
        <f>IF(AND(FORSIDE!$B$8&gt;=9,FORSIDE!$F$8&gt;=4,FORSIDE!$B$5&gt;=2),1026,"")</f>
        <v/>
      </c>
      <c r="B1027" t="str">
        <f>IF(AND(FORSIDE!$B$8&gt;=9,FORSIDE!$F$8&gt;=4,FORSIDE!$B$5&gt;=2),354+4*FORSIDE!$F$9,"")</f>
        <v/>
      </c>
      <c r="C1027" t="str">
        <f>IF(AND(FORSIDE!$B$8&gt;=9,FORSIDE!$F$8&gt;=4,FORSIDE!$B$5&gt;=2),9*FORSIDE!$B$9,"")</f>
        <v/>
      </c>
      <c r="D1027" t="str">
        <f>IF(AND(FORSIDE!$B$8&gt;=9,FORSIDE!$F$8&gt;=4,FORSIDE!$B$5&gt;=2),FORSIDE!$B$6+(2-1)*FORSIDE!$B$7,"")</f>
        <v/>
      </c>
    </row>
    <row r="1028" spans="1:4" x14ac:dyDescent="0.3">
      <c r="A1028" t="str">
        <f>IF(AND(FORSIDE!$B$8&gt;=9,FORSIDE!$F$8&gt;=4,FORSIDE!$B$5&gt;=3),1027,"")</f>
        <v/>
      </c>
      <c r="B1028" t="str">
        <f>IF(AND(FORSIDE!$B$8&gt;=9,FORSIDE!$F$8&gt;=4,FORSIDE!$B$5&gt;=3),354+4*FORSIDE!$F$9,"")</f>
        <v/>
      </c>
      <c r="C1028" t="str">
        <f>IF(AND(FORSIDE!$B$8&gt;=9,FORSIDE!$F$8&gt;=4,FORSIDE!$B$5&gt;=3),9*FORSIDE!$B$9,"")</f>
        <v/>
      </c>
      <c r="D1028" t="str">
        <f>IF(AND(FORSIDE!$B$8&gt;=9,FORSIDE!$F$8&gt;=4,FORSIDE!$B$5&gt;=3),FORSIDE!$B$6+(3-1)*FORSIDE!$B$7,"")</f>
        <v/>
      </c>
    </row>
    <row r="1029" spans="1:4" x14ac:dyDescent="0.3">
      <c r="A1029" t="str">
        <f>IF(AND(FORSIDE!$B$8&gt;=9,FORSIDE!$F$8&gt;=4,FORSIDE!$B$5&gt;=4),1028,"")</f>
        <v/>
      </c>
      <c r="B1029" t="str">
        <f>IF(AND(FORSIDE!$B$8&gt;=9,FORSIDE!$F$8&gt;=4,FORSIDE!$B$5&gt;=4),354+4*FORSIDE!$F$9,"")</f>
        <v/>
      </c>
      <c r="C1029" t="str">
        <f>IF(AND(FORSIDE!$B$8&gt;=9,FORSIDE!$F$8&gt;=4,FORSIDE!$B$5&gt;=4),9*FORSIDE!$B$9,"")</f>
        <v/>
      </c>
      <c r="D1029" t="str">
        <f>IF(AND(FORSIDE!$B$8&gt;=9,FORSIDE!$F$8&gt;=4,FORSIDE!$B$5&gt;=4),FORSIDE!$B$6+(4-1)*FORSIDE!$B$7,"")</f>
        <v/>
      </c>
    </row>
    <row r="1030" spans="1:4" x14ac:dyDescent="0.3">
      <c r="A1030" t="str">
        <f>IF(AND(FORSIDE!$B$8&gt;=9,FORSIDE!$F$8&gt;=4,FORSIDE!$B$5&gt;=5),1029,"")</f>
        <v/>
      </c>
      <c r="B1030" t="str">
        <f>IF(AND(FORSIDE!$B$8&gt;=9,FORSIDE!$F$8&gt;=4,FORSIDE!$B$5&gt;=5),354+4*FORSIDE!$F$9,"")</f>
        <v/>
      </c>
      <c r="C1030" t="str">
        <f>IF(AND(FORSIDE!$B$8&gt;=9,FORSIDE!$F$8&gt;=4,FORSIDE!$B$5&gt;=5),9*FORSIDE!$B$9,"")</f>
        <v/>
      </c>
      <c r="D1030" t="str">
        <f>IF(AND(FORSIDE!$B$8&gt;=9,FORSIDE!$F$8&gt;=4,FORSIDE!$B$5&gt;=5),FORSIDE!$B$6+(5-1)*FORSIDE!$B$7,"")</f>
        <v/>
      </c>
    </row>
    <row r="1031" spans="1:4" x14ac:dyDescent="0.3">
      <c r="A1031" t="str">
        <f>IF(AND(FORSIDE!$B$8&gt;=9,FORSIDE!$F$8&gt;=4,FORSIDE!$B$5&gt;=6),1030,"")</f>
        <v/>
      </c>
      <c r="B1031" t="str">
        <f>IF(AND(FORSIDE!$B$8&gt;=9,FORSIDE!$F$8&gt;=4,FORSIDE!$B$5&gt;=6),354+4*FORSIDE!$F$9,"")</f>
        <v/>
      </c>
      <c r="C1031" t="str">
        <f>IF(AND(FORSIDE!$B$8&gt;=9,FORSIDE!$F$8&gt;=4,FORSIDE!$B$5&gt;=6),9*FORSIDE!$B$9,"")</f>
        <v/>
      </c>
      <c r="D1031" t="str">
        <f>IF(AND(FORSIDE!$B$8&gt;=9,FORSIDE!$F$8&gt;=4,FORSIDE!$B$5&gt;=6),FORSIDE!$B$6+(6-1)*FORSIDE!$B$7,"")</f>
        <v/>
      </c>
    </row>
    <row r="1032" spans="1:4" x14ac:dyDescent="0.3">
      <c r="A1032" t="str">
        <f>IF(AND(FORSIDE!$B$8&gt;=9,FORSIDE!$F$8&gt;=4,FORSIDE!$B$5&gt;=7),1031,"")</f>
        <v/>
      </c>
      <c r="B1032" t="str">
        <f>IF(AND(FORSIDE!$B$8&gt;=9,FORSIDE!$F$8&gt;=4,FORSIDE!$B$5&gt;=7),354+4*FORSIDE!$F$9,"")</f>
        <v/>
      </c>
      <c r="C1032" t="str">
        <f>IF(AND(FORSIDE!$B$8&gt;=9,FORSIDE!$F$8&gt;=4,FORSIDE!$B$5&gt;=7),9*FORSIDE!$B$9,"")</f>
        <v/>
      </c>
      <c r="D1032" t="str">
        <f>IF(AND(FORSIDE!$B$8&gt;=9,FORSIDE!$F$8&gt;=4,FORSIDE!$B$5&gt;=7),FORSIDE!$B$6+(7-1)*FORSIDE!$B$7,"")</f>
        <v/>
      </c>
    </row>
    <row r="1033" spans="1:4" x14ac:dyDescent="0.3">
      <c r="A1033" t="str">
        <f>IF(AND(FORSIDE!$B$8&gt;=9,FORSIDE!$F$8&gt;=4,FORSIDE!$B$5&gt;=8),1032,"")</f>
        <v/>
      </c>
      <c r="B1033" t="str">
        <f>IF(AND(FORSIDE!$B$8&gt;=9,FORSIDE!$F$8&gt;=4,FORSIDE!$B$5&gt;=8),354+4*FORSIDE!$F$9,"")</f>
        <v/>
      </c>
      <c r="C1033" t="str">
        <f>IF(AND(FORSIDE!$B$8&gt;=9,FORSIDE!$F$8&gt;=4,FORSIDE!$B$5&gt;=8),9*FORSIDE!$B$9,"")</f>
        <v/>
      </c>
      <c r="D1033" t="str">
        <f>IF(AND(FORSIDE!$B$8&gt;=9,FORSIDE!$F$8&gt;=4,FORSIDE!$B$5&gt;=8),FORSIDE!$B$6+(8-1)*FORSIDE!$B$7,"")</f>
        <v/>
      </c>
    </row>
    <row r="1034" spans="1:4" x14ac:dyDescent="0.3">
      <c r="A1034" t="str">
        <f>IF(AND(FORSIDE!$B$8&gt;=9,FORSIDE!$F$8&gt;=4,FORSIDE!$B$5&gt;=9),1033,"")</f>
        <v/>
      </c>
      <c r="B1034" t="str">
        <f>IF(AND(FORSIDE!$B$8&gt;=9,FORSIDE!$F$8&gt;=4,FORSIDE!$B$5&gt;=9),354+4*FORSIDE!$F$9,"")</f>
        <v/>
      </c>
      <c r="C1034" t="str">
        <f>IF(AND(FORSIDE!$B$8&gt;=9,FORSIDE!$F$8&gt;=4,FORSIDE!$B$5&gt;=9),9*FORSIDE!$B$9,"")</f>
        <v/>
      </c>
      <c r="D1034" t="str">
        <f>IF(AND(FORSIDE!$B$8&gt;=9,FORSIDE!$F$8&gt;=4,FORSIDE!$B$5&gt;=9),FORSIDE!$B$6+(9-1)*FORSIDE!$B$7,"")</f>
        <v/>
      </c>
    </row>
    <row r="1035" spans="1:4" x14ac:dyDescent="0.3">
      <c r="A1035" t="str">
        <f>IF(AND(FORSIDE!$B$8&gt;=9,FORSIDE!$F$8&gt;=4,FORSIDE!$B$5&gt;=10),1034,"")</f>
        <v/>
      </c>
      <c r="B1035" t="str">
        <f>IF(AND(FORSIDE!$B$8&gt;=9,FORSIDE!$F$8&gt;=4,FORSIDE!$B$5&gt;=10),354+4*FORSIDE!$F$9,"")</f>
        <v/>
      </c>
      <c r="C1035" t="str">
        <f>IF(AND(FORSIDE!$B$8&gt;=9,FORSIDE!$F$8&gt;=4,FORSIDE!$B$5&gt;=10),9*FORSIDE!$B$9,"")</f>
        <v/>
      </c>
      <c r="D1035" t="str">
        <f>IF(AND(FORSIDE!$B$8&gt;=9,FORSIDE!$F$8&gt;=4,FORSIDE!$B$5&gt;=10),FORSIDE!$B$6+(10-1)*FORSIDE!$B$7,"")</f>
        <v/>
      </c>
    </row>
    <row r="1036" spans="1:4" x14ac:dyDescent="0.3">
      <c r="A1036" t="str">
        <f>IF(AND(FORSIDE!$B$8&gt;=10,FORSIDE!$F$8&gt;=4,FORSIDE!$B$5&gt;=0),1035,"")</f>
        <v/>
      </c>
      <c r="B1036" t="str">
        <f>IF(AND(FORSIDE!$B$8&gt;=10,FORSIDE!$F$8&gt;=4,FORSIDE!$B$5&gt;=0),354+4*FORSIDE!$F$9,"")</f>
        <v/>
      </c>
      <c r="C1036" t="str">
        <f>IF(AND(FORSIDE!$B$8&gt;=10,FORSIDE!$F$8&gt;=4,FORSIDE!$B$5&gt;=0),10*FORSIDE!$B$9,"")</f>
        <v/>
      </c>
      <c r="D1036" t="str">
        <f>IF(AND(FORSIDE!$B$8&gt;=10,FORSIDE!$F$8&gt;=4,FORSIDE!$B$5&gt;=0),0,"")</f>
        <v/>
      </c>
    </row>
    <row r="1037" spans="1:4" x14ac:dyDescent="0.3">
      <c r="A1037" t="str">
        <f>IF(AND(FORSIDE!$B$8&gt;=10,FORSIDE!$F$8&gt;=4,FORSIDE!$B$5&gt;=1),1036,"")</f>
        <v/>
      </c>
      <c r="B1037" t="str">
        <f>IF(AND(FORSIDE!$B$8&gt;=10,FORSIDE!$F$8&gt;=4,FORSIDE!$B$5&gt;=1),354+4*FORSIDE!$F$9,"")</f>
        <v/>
      </c>
      <c r="C1037" t="str">
        <f>IF(AND(FORSIDE!$B$8&gt;=10,FORSIDE!$F$8&gt;=4,FORSIDE!$B$5&gt;=1),10*FORSIDE!$B$9,"")</f>
        <v/>
      </c>
      <c r="D1037" t="str">
        <f>IF(AND(FORSIDE!$B$8&gt;=10,FORSIDE!$F$8&gt;=4,FORSIDE!$B$5&gt;=1),FORSIDE!$B$6+(1-1)*FORSIDE!$B$7,"")</f>
        <v/>
      </c>
    </row>
    <row r="1038" spans="1:4" x14ac:dyDescent="0.3">
      <c r="A1038" t="str">
        <f>IF(AND(FORSIDE!$B$8&gt;=10,FORSIDE!$F$8&gt;=4,FORSIDE!$B$5&gt;=2),1037,"")</f>
        <v/>
      </c>
      <c r="B1038" t="str">
        <f>IF(AND(FORSIDE!$B$8&gt;=10,FORSIDE!$F$8&gt;=4,FORSIDE!$B$5&gt;=2),354+4*FORSIDE!$F$9,"")</f>
        <v/>
      </c>
      <c r="C1038" t="str">
        <f>IF(AND(FORSIDE!$B$8&gt;=10,FORSIDE!$F$8&gt;=4,FORSIDE!$B$5&gt;=2),10*FORSIDE!$B$9,"")</f>
        <v/>
      </c>
      <c r="D1038" t="str">
        <f>IF(AND(FORSIDE!$B$8&gt;=10,FORSIDE!$F$8&gt;=4,FORSIDE!$B$5&gt;=2),FORSIDE!$B$6+(2-1)*FORSIDE!$B$7,"")</f>
        <v/>
      </c>
    </row>
    <row r="1039" spans="1:4" x14ac:dyDescent="0.3">
      <c r="A1039" t="str">
        <f>IF(AND(FORSIDE!$B$8&gt;=10,FORSIDE!$F$8&gt;=4,FORSIDE!$B$5&gt;=3),1038,"")</f>
        <v/>
      </c>
      <c r="B1039" t="str">
        <f>IF(AND(FORSIDE!$B$8&gt;=10,FORSIDE!$F$8&gt;=4,FORSIDE!$B$5&gt;=3),354+4*FORSIDE!$F$9,"")</f>
        <v/>
      </c>
      <c r="C1039" t="str">
        <f>IF(AND(FORSIDE!$B$8&gt;=10,FORSIDE!$F$8&gt;=4,FORSIDE!$B$5&gt;=3),10*FORSIDE!$B$9,"")</f>
        <v/>
      </c>
      <c r="D1039" t="str">
        <f>IF(AND(FORSIDE!$B$8&gt;=10,FORSIDE!$F$8&gt;=4,FORSIDE!$B$5&gt;=3),FORSIDE!$B$6+(3-1)*FORSIDE!$B$7,"")</f>
        <v/>
      </c>
    </row>
    <row r="1040" spans="1:4" x14ac:dyDescent="0.3">
      <c r="A1040" t="str">
        <f>IF(AND(FORSIDE!$B$8&gt;=10,FORSIDE!$F$8&gt;=4,FORSIDE!$B$5&gt;=4),1039,"")</f>
        <v/>
      </c>
      <c r="B1040" t="str">
        <f>IF(AND(FORSIDE!$B$8&gt;=10,FORSIDE!$F$8&gt;=4,FORSIDE!$B$5&gt;=4),354+4*FORSIDE!$F$9,"")</f>
        <v/>
      </c>
      <c r="C1040" t="str">
        <f>IF(AND(FORSIDE!$B$8&gt;=10,FORSIDE!$F$8&gt;=4,FORSIDE!$B$5&gt;=4),10*FORSIDE!$B$9,"")</f>
        <v/>
      </c>
      <c r="D1040" t="str">
        <f>IF(AND(FORSIDE!$B$8&gt;=10,FORSIDE!$F$8&gt;=4,FORSIDE!$B$5&gt;=4),FORSIDE!$B$6+(4-1)*FORSIDE!$B$7,"")</f>
        <v/>
      </c>
    </row>
    <row r="1041" spans="1:4" x14ac:dyDescent="0.3">
      <c r="A1041" t="str">
        <f>IF(AND(FORSIDE!$B$8&gt;=10,FORSIDE!$F$8&gt;=4,FORSIDE!$B$5&gt;=5),1040,"")</f>
        <v/>
      </c>
      <c r="B1041" t="str">
        <f>IF(AND(FORSIDE!$B$8&gt;=10,FORSIDE!$F$8&gt;=4,FORSIDE!$B$5&gt;=5),354+4*FORSIDE!$F$9,"")</f>
        <v/>
      </c>
      <c r="C1041" t="str">
        <f>IF(AND(FORSIDE!$B$8&gt;=10,FORSIDE!$F$8&gt;=4,FORSIDE!$B$5&gt;=5),10*FORSIDE!$B$9,"")</f>
        <v/>
      </c>
      <c r="D1041" t="str">
        <f>IF(AND(FORSIDE!$B$8&gt;=10,FORSIDE!$F$8&gt;=4,FORSIDE!$B$5&gt;=5),FORSIDE!$B$6+(5-1)*FORSIDE!$B$7,"")</f>
        <v/>
      </c>
    </row>
    <row r="1042" spans="1:4" x14ac:dyDescent="0.3">
      <c r="A1042" t="str">
        <f>IF(AND(FORSIDE!$B$8&gt;=10,FORSIDE!$F$8&gt;=4,FORSIDE!$B$5&gt;=6),1041,"")</f>
        <v/>
      </c>
      <c r="B1042" t="str">
        <f>IF(AND(FORSIDE!$B$8&gt;=10,FORSIDE!$F$8&gt;=4,FORSIDE!$B$5&gt;=6),354+4*FORSIDE!$F$9,"")</f>
        <v/>
      </c>
      <c r="C1042" t="str">
        <f>IF(AND(FORSIDE!$B$8&gt;=10,FORSIDE!$F$8&gt;=4,FORSIDE!$B$5&gt;=6),10*FORSIDE!$B$9,"")</f>
        <v/>
      </c>
      <c r="D1042" t="str">
        <f>IF(AND(FORSIDE!$B$8&gt;=10,FORSIDE!$F$8&gt;=4,FORSIDE!$B$5&gt;=6),FORSIDE!$B$6+(6-1)*FORSIDE!$B$7,"")</f>
        <v/>
      </c>
    </row>
    <row r="1043" spans="1:4" x14ac:dyDescent="0.3">
      <c r="A1043" t="str">
        <f>IF(AND(FORSIDE!$B$8&gt;=10,FORSIDE!$F$8&gt;=4,FORSIDE!$B$5&gt;=7),1042,"")</f>
        <v/>
      </c>
      <c r="B1043" t="str">
        <f>IF(AND(FORSIDE!$B$8&gt;=10,FORSIDE!$F$8&gt;=4,FORSIDE!$B$5&gt;=7),354+4*FORSIDE!$F$9,"")</f>
        <v/>
      </c>
      <c r="C1043" t="str">
        <f>IF(AND(FORSIDE!$B$8&gt;=10,FORSIDE!$F$8&gt;=4,FORSIDE!$B$5&gt;=7),10*FORSIDE!$B$9,"")</f>
        <v/>
      </c>
      <c r="D1043" t="str">
        <f>IF(AND(FORSIDE!$B$8&gt;=10,FORSIDE!$F$8&gt;=4,FORSIDE!$B$5&gt;=7),FORSIDE!$B$6+(7-1)*FORSIDE!$B$7,"")</f>
        <v/>
      </c>
    </row>
    <row r="1044" spans="1:4" x14ac:dyDescent="0.3">
      <c r="A1044" t="str">
        <f>IF(AND(FORSIDE!$B$8&gt;=10,FORSIDE!$F$8&gt;=4,FORSIDE!$B$5&gt;=8),1043,"")</f>
        <v/>
      </c>
      <c r="B1044" t="str">
        <f>IF(AND(FORSIDE!$B$8&gt;=10,FORSIDE!$F$8&gt;=4,FORSIDE!$B$5&gt;=8),354+4*FORSIDE!$F$9,"")</f>
        <v/>
      </c>
      <c r="C1044" t="str">
        <f>IF(AND(FORSIDE!$B$8&gt;=10,FORSIDE!$F$8&gt;=4,FORSIDE!$B$5&gt;=8),10*FORSIDE!$B$9,"")</f>
        <v/>
      </c>
      <c r="D1044" t="str">
        <f>IF(AND(FORSIDE!$B$8&gt;=10,FORSIDE!$F$8&gt;=4,FORSIDE!$B$5&gt;=8),FORSIDE!$B$6+(8-1)*FORSIDE!$B$7,"")</f>
        <v/>
      </c>
    </row>
    <row r="1045" spans="1:4" x14ac:dyDescent="0.3">
      <c r="A1045" t="str">
        <f>IF(AND(FORSIDE!$B$8&gt;=10,FORSIDE!$F$8&gt;=4,FORSIDE!$B$5&gt;=9),1044,"")</f>
        <v/>
      </c>
      <c r="B1045" t="str">
        <f>IF(AND(FORSIDE!$B$8&gt;=10,FORSIDE!$F$8&gt;=4,FORSIDE!$B$5&gt;=9),354+4*FORSIDE!$F$9,"")</f>
        <v/>
      </c>
      <c r="C1045" t="str">
        <f>IF(AND(FORSIDE!$B$8&gt;=10,FORSIDE!$F$8&gt;=4,FORSIDE!$B$5&gt;=9),10*FORSIDE!$B$9,"")</f>
        <v/>
      </c>
      <c r="D1045" t="str">
        <f>IF(AND(FORSIDE!$B$8&gt;=10,FORSIDE!$F$8&gt;=4,FORSIDE!$B$5&gt;=9),FORSIDE!$B$6+(9-1)*FORSIDE!$B$7,"")</f>
        <v/>
      </c>
    </row>
    <row r="1046" spans="1:4" x14ac:dyDescent="0.3">
      <c r="A1046" t="str">
        <f>IF(AND(FORSIDE!$B$8&gt;=10,FORSIDE!$F$8&gt;=4,FORSIDE!$B$5&gt;=10),1045,"")</f>
        <v/>
      </c>
      <c r="B1046" t="str">
        <f>IF(AND(FORSIDE!$B$8&gt;=10,FORSIDE!$F$8&gt;=4,FORSIDE!$B$5&gt;=10),354+4*FORSIDE!$F$9,"")</f>
        <v/>
      </c>
      <c r="C1046" t="str">
        <f>IF(AND(FORSIDE!$B$8&gt;=10,FORSIDE!$F$8&gt;=4,FORSIDE!$B$5&gt;=10),10*FORSIDE!$B$9,"")</f>
        <v/>
      </c>
      <c r="D1046" t="str">
        <f>IF(AND(FORSIDE!$B$8&gt;=10,FORSIDE!$F$8&gt;=4,FORSIDE!$B$5&gt;=10),FORSIDE!$B$6+(10-1)*FORSIDE!$B$7,"")</f>
        <v/>
      </c>
    </row>
    <row r="1047" spans="1:4" x14ac:dyDescent="0.3">
      <c r="A1047" t="str">
        <f>IF(AND(FORSIDE!$B$8&gt;=11,FORSIDE!$F$8&gt;=4,FORSIDE!$B$5&gt;=0),1046,"")</f>
        <v/>
      </c>
      <c r="B1047" t="str">
        <f>IF(AND(FORSIDE!$B$8&gt;=11,FORSIDE!$F$8&gt;=4,FORSIDE!$B$5&gt;=0),354+4*FORSIDE!$F$9,"")</f>
        <v/>
      </c>
      <c r="C1047" t="str">
        <f>IF(AND(FORSIDE!$B$8&gt;=11,FORSIDE!$F$8&gt;=4,FORSIDE!$B$5&gt;=0),11*FORSIDE!$B$9,"")</f>
        <v/>
      </c>
      <c r="D1047" t="str">
        <f>IF(AND(FORSIDE!$B$8&gt;=11,FORSIDE!$F$8&gt;=4,FORSIDE!$B$5&gt;=0),0,"")</f>
        <v/>
      </c>
    </row>
    <row r="1048" spans="1:4" x14ac:dyDescent="0.3">
      <c r="A1048" t="str">
        <f>IF(AND(FORSIDE!$B$8&gt;=11,FORSIDE!$F$8&gt;=4,FORSIDE!$B$5&gt;=1),1047,"")</f>
        <v/>
      </c>
      <c r="B1048" t="str">
        <f>IF(AND(FORSIDE!$B$8&gt;=11,FORSIDE!$F$8&gt;=4,FORSIDE!$B$5&gt;=1),354+4*FORSIDE!$F$9,"")</f>
        <v/>
      </c>
      <c r="C1048" t="str">
        <f>IF(AND(FORSIDE!$B$8&gt;=11,FORSIDE!$F$8&gt;=4,FORSIDE!$B$5&gt;=1),11*FORSIDE!$B$9,"")</f>
        <v/>
      </c>
      <c r="D1048" t="str">
        <f>IF(AND(FORSIDE!$B$8&gt;=11,FORSIDE!$F$8&gt;=4,FORSIDE!$B$5&gt;=1),FORSIDE!$B$6+(1-1)*FORSIDE!$B$7,"")</f>
        <v/>
      </c>
    </row>
    <row r="1049" spans="1:4" x14ac:dyDescent="0.3">
      <c r="A1049" t="str">
        <f>IF(AND(FORSIDE!$B$8&gt;=11,FORSIDE!$F$8&gt;=4,FORSIDE!$B$5&gt;=2),1048,"")</f>
        <v/>
      </c>
      <c r="B1049" t="str">
        <f>IF(AND(FORSIDE!$B$8&gt;=11,FORSIDE!$F$8&gt;=4,FORSIDE!$B$5&gt;=2),354+4*FORSIDE!$F$9,"")</f>
        <v/>
      </c>
      <c r="C1049" t="str">
        <f>IF(AND(FORSIDE!$B$8&gt;=11,FORSIDE!$F$8&gt;=4,FORSIDE!$B$5&gt;=2),11*FORSIDE!$B$9,"")</f>
        <v/>
      </c>
      <c r="D1049" t="str">
        <f>IF(AND(FORSIDE!$B$8&gt;=11,FORSIDE!$F$8&gt;=4,FORSIDE!$B$5&gt;=2),FORSIDE!$B$6+(2-1)*FORSIDE!$B$7,"")</f>
        <v/>
      </c>
    </row>
    <row r="1050" spans="1:4" x14ac:dyDescent="0.3">
      <c r="A1050" t="str">
        <f>IF(AND(FORSIDE!$B$8&gt;=11,FORSIDE!$F$8&gt;=4,FORSIDE!$B$5&gt;=3),1049,"")</f>
        <v/>
      </c>
      <c r="B1050" t="str">
        <f>IF(AND(FORSIDE!$B$8&gt;=11,FORSIDE!$F$8&gt;=4,FORSIDE!$B$5&gt;=3),354+4*FORSIDE!$F$9,"")</f>
        <v/>
      </c>
      <c r="C1050" t="str">
        <f>IF(AND(FORSIDE!$B$8&gt;=11,FORSIDE!$F$8&gt;=4,FORSIDE!$B$5&gt;=3),11*FORSIDE!$B$9,"")</f>
        <v/>
      </c>
      <c r="D1050" t="str">
        <f>IF(AND(FORSIDE!$B$8&gt;=11,FORSIDE!$F$8&gt;=4,FORSIDE!$B$5&gt;=3),FORSIDE!$B$6+(3-1)*FORSIDE!$B$7,"")</f>
        <v/>
      </c>
    </row>
    <row r="1051" spans="1:4" x14ac:dyDescent="0.3">
      <c r="A1051" t="str">
        <f>IF(AND(FORSIDE!$B$8&gt;=11,FORSIDE!$F$8&gt;=4,FORSIDE!$B$5&gt;=4),1050,"")</f>
        <v/>
      </c>
      <c r="B1051" t="str">
        <f>IF(AND(FORSIDE!$B$8&gt;=11,FORSIDE!$F$8&gt;=4,FORSIDE!$B$5&gt;=4),354+4*FORSIDE!$F$9,"")</f>
        <v/>
      </c>
      <c r="C1051" t="str">
        <f>IF(AND(FORSIDE!$B$8&gt;=11,FORSIDE!$F$8&gt;=4,FORSIDE!$B$5&gt;=4),11*FORSIDE!$B$9,"")</f>
        <v/>
      </c>
      <c r="D1051" t="str">
        <f>IF(AND(FORSIDE!$B$8&gt;=11,FORSIDE!$F$8&gt;=4,FORSIDE!$B$5&gt;=4),FORSIDE!$B$6+(4-1)*FORSIDE!$B$7,"")</f>
        <v/>
      </c>
    </row>
    <row r="1052" spans="1:4" x14ac:dyDescent="0.3">
      <c r="A1052" t="str">
        <f>IF(AND(FORSIDE!$B$8&gt;=11,FORSIDE!$F$8&gt;=4,FORSIDE!$B$5&gt;=5),1051,"")</f>
        <v/>
      </c>
      <c r="B1052" t="str">
        <f>IF(AND(FORSIDE!$B$8&gt;=11,FORSIDE!$F$8&gt;=4,FORSIDE!$B$5&gt;=5),354+4*FORSIDE!$F$9,"")</f>
        <v/>
      </c>
      <c r="C1052" t="str">
        <f>IF(AND(FORSIDE!$B$8&gt;=11,FORSIDE!$F$8&gt;=4,FORSIDE!$B$5&gt;=5),11*FORSIDE!$B$9,"")</f>
        <v/>
      </c>
      <c r="D1052" t="str">
        <f>IF(AND(FORSIDE!$B$8&gt;=11,FORSIDE!$F$8&gt;=4,FORSIDE!$B$5&gt;=5),FORSIDE!$B$6+(5-1)*FORSIDE!$B$7,"")</f>
        <v/>
      </c>
    </row>
    <row r="1053" spans="1:4" x14ac:dyDescent="0.3">
      <c r="A1053" t="str">
        <f>IF(AND(FORSIDE!$B$8&gt;=11,FORSIDE!$F$8&gt;=4,FORSIDE!$B$5&gt;=6),1052,"")</f>
        <v/>
      </c>
      <c r="B1053" t="str">
        <f>IF(AND(FORSIDE!$B$8&gt;=11,FORSIDE!$F$8&gt;=4,FORSIDE!$B$5&gt;=6),354+4*FORSIDE!$F$9,"")</f>
        <v/>
      </c>
      <c r="C1053" t="str">
        <f>IF(AND(FORSIDE!$B$8&gt;=11,FORSIDE!$F$8&gt;=4,FORSIDE!$B$5&gt;=6),11*FORSIDE!$B$9,"")</f>
        <v/>
      </c>
      <c r="D1053" t="str">
        <f>IF(AND(FORSIDE!$B$8&gt;=11,FORSIDE!$F$8&gt;=4,FORSIDE!$B$5&gt;=6),FORSIDE!$B$6+(6-1)*FORSIDE!$B$7,"")</f>
        <v/>
      </c>
    </row>
    <row r="1054" spans="1:4" x14ac:dyDescent="0.3">
      <c r="A1054" t="str">
        <f>IF(AND(FORSIDE!$B$8&gt;=11,FORSIDE!$F$8&gt;=4,FORSIDE!$B$5&gt;=7),1053,"")</f>
        <v/>
      </c>
      <c r="B1054" t="str">
        <f>IF(AND(FORSIDE!$B$8&gt;=11,FORSIDE!$F$8&gt;=4,FORSIDE!$B$5&gt;=7),354+4*FORSIDE!$F$9,"")</f>
        <v/>
      </c>
      <c r="C1054" t="str">
        <f>IF(AND(FORSIDE!$B$8&gt;=11,FORSIDE!$F$8&gt;=4,FORSIDE!$B$5&gt;=7),11*FORSIDE!$B$9,"")</f>
        <v/>
      </c>
      <c r="D1054" t="str">
        <f>IF(AND(FORSIDE!$B$8&gt;=11,FORSIDE!$F$8&gt;=4,FORSIDE!$B$5&gt;=7),FORSIDE!$B$6+(7-1)*FORSIDE!$B$7,"")</f>
        <v/>
      </c>
    </row>
    <row r="1055" spans="1:4" x14ac:dyDescent="0.3">
      <c r="A1055" t="str">
        <f>IF(AND(FORSIDE!$B$8&gt;=11,FORSIDE!$F$8&gt;=4,FORSIDE!$B$5&gt;=8),1054,"")</f>
        <v/>
      </c>
      <c r="B1055" t="str">
        <f>IF(AND(FORSIDE!$B$8&gt;=11,FORSIDE!$F$8&gt;=4,FORSIDE!$B$5&gt;=8),354+4*FORSIDE!$F$9,"")</f>
        <v/>
      </c>
      <c r="C1055" t="str">
        <f>IF(AND(FORSIDE!$B$8&gt;=11,FORSIDE!$F$8&gt;=4,FORSIDE!$B$5&gt;=8),11*FORSIDE!$B$9,"")</f>
        <v/>
      </c>
      <c r="D1055" t="str">
        <f>IF(AND(FORSIDE!$B$8&gt;=11,FORSIDE!$F$8&gt;=4,FORSIDE!$B$5&gt;=8),FORSIDE!$B$6+(8-1)*FORSIDE!$B$7,"")</f>
        <v/>
      </c>
    </row>
    <row r="1056" spans="1:4" x14ac:dyDescent="0.3">
      <c r="A1056" t="str">
        <f>IF(AND(FORSIDE!$B$8&gt;=11,FORSIDE!$F$8&gt;=4,FORSIDE!$B$5&gt;=9),1055,"")</f>
        <v/>
      </c>
      <c r="B1056" t="str">
        <f>IF(AND(FORSIDE!$B$8&gt;=11,FORSIDE!$F$8&gt;=4,FORSIDE!$B$5&gt;=9),354+4*FORSIDE!$F$9,"")</f>
        <v/>
      </c>
      <c r="C1056" t="str">
        <f>IF(AND(FORSIDE!$B$8&gt;=11,FORSIDE!$F$8&gt;=4,FORSIDE!$B$5&gt;=9),11*FORSIDE!$B$9,"")</f>
        <v/>
      </c>
      <c r="D1056" t="str">
        <f>IF(AND(FORSIDE!$B$8&gt;=11,FORSIDE!$F$8&gt;=4,FORSIDE!$B$5&gt;=9),FORSIDE!$B$6+(9-1)*FORSIDE!$B$7,"")</f>
        <v/>
      </c>
    </row>
    <row r="1057" spans="1:4" x14ac:dyDescent="0.3">
      <c r="A1057" t="str">
        <f>IF(AND(FORSIDE!$B$8&gt;=11,FORSIDE!$F$8&gt;=4,FORSIDE!$B$5&gt;=10),1056,"")</f>
        <v/>
      </c>
      <c r="B1057" t="str">
        <f>IF(AND(FORSIDE!$B$8&gt;=11,FORSIDE!$F$8&gt;=4,FORSIDE!$B$5&gt;=10),354+4*FORSIDE!$F$9,"")</f>
        <v/>
      </c>
      <c r="C1057" t="str">
        <f>IF(AND(FORSIDE!$B$8&gt;=11,FORSIDE!$F$8&gt;=4,FORSIDE!$B$5&gt;=10),11*FORSIDE!$B$9,"")</f>
        <v/>
      </c>
      <c r="D1057" t="str">
        <f>IF(AND(FORSIDE!$B$8&gt;=11,FORSIDE!$F$8&gt;=4,FORSIDE!$B$5&gt;=10),FORSIDE!$B$6+(10-1)*FORSIDE!$B$7,"")</f>
        <v/>
      </c>
    </row>
    <row r="1058" spans="1:4" x14ac:dyDescent="0.3">
      <c r="A1058" t="str">
        <f>IF(AND(FORSIDE!$B$8&gt;=12,FORSIDE!$F$8&gt;=4,FORSIDE!$B$5&gt;=0),1057,"")</f>
        <v/>
      </c>
      <c r="B1058" t="str">
        <f>IF(AND(FORSIDE!$B$8&gt;=12,FORSIDE!$F$8&gt;=4,FORSIDE!$B$5&gt;=0),354+4*FORSIDE!$F$9,"")</f>
        <v/>
      </c>
      <c r="C1058" t="str">
        <f>IF(AND(FORSIDE!$B$8&gt;=12,FORSIDE!$F$8&gt;=4,FORSIDE!$B$5&gt;=0),12*FORSIDE!$B$9,"")</f>
        <v/>
      </c>
      <c r="D1058" t="str">
        <f>IF(AND(FORSIDE!$B$8&gt;=12,FORSIDE!$F$8&gt;=4,FORSIDE!$B$5&gt;=0),0,"")</f>
        <v/>
      </c>
    </row>
    <row r="1059" spans="1:4" x14ac:dyDescent="0.3">
      <c r="A1059" t="str">
        <f>IF(AND(FORSIDE!$B$8&gt;=12,FORSIDE!$F$8&gt;=4,FORSIDE!$B$5&gt;=1),1058,"")</f>
        <v/>
      </c>
      <c r="B1059" t="str">
        <f>IF(AND(FORSIDE!$B$8&gt;=12,FORSIDE!$F$8&gt;=4,FORSIDE!$B$5&gt;=1),354+4*FORSIDE!$F$9,"")</f>
        <v/>
      </c>
      <c r="C1059" t="str">
        <f>IF(AND(FORSIDE!$B$8&gt;=12,FORSIDE!$F$8&gt;=4,FORSIDE!$B$5&gt;=1),12*FORSIDE!$B$9,"")</f>
        <v/>
      </c>
      <c r="D1059" t="str">
        <f>IF(AND(FORSIDE!$B$8&gt;=12,FORSIDE!$F$8&gt;=4,FORSIDE!$B$5&gt;=1),FORSIDE!$B$6+(1-1)*FORSIDE!$B$7,"")</f>
        <v/>
      </c>
    </row>
    <row r="1060" spans="1:4" x14ac:dyDescent="0.3">
      <c r="A1060" t="str">
        <f>IF(AND(FORSIDE!$B$8&gt;=12,FORSIDE!$F$8&gt;=4,FORSIDE!$B$5&gt;=2),1059,"")</f>
        <v/>
      </c>
      <c r="B1060" t="str">
        <f>IF(AND(FORSIDE!$B$8&gt;=12,FORSIDE!$F$8&gt;=4,FORSIDE!$B$5&gt;=2),354+4*FORSIDE!$F$9,"")</f>
        <v/>
      </c>
      <c r="C1060" t="str">
        <f>IF(AND(FORSIDE!$B$8&gt;=12,FORSIDE!$F$8&gt;=4,FORSIDE!$B$5&gt;=2),12*FORSIDE!$B$9,"")</f>
        <v/>
      </c>
      <c r="D1060" t="str">
        <f>IF(AND(FORSIDE!$B$8&gt;=12,FORSIDE!$F$8&gt;=4,FORSIDE!$B$5&gt;=2),FORSIDE!$B$6+(2-1)*FORSIDE!$B$7,"")</f>
        <v/>
      </c>
    </row>
    <row r="1061" spans="1:4" x14ac:dyDescent="0.3">
      <c r="A1061" t="str">
        <f>IF(AND(FORSIDE!$B$8&gt;=12,FORSIDE!$F$8&gt;=4,FORSIDE!$B$5&gt;=3),1060,"")</f>
        <v/>
      </c>
      <c r="B1061" t="str">
        <f>IF(AND(FORSIDE!$B$8&gt;=12,FORSIDE!$F$8&gt;=4,FORSIDE!$B$5&gt;=3),354+4*FORSIDE!$F$9,"")</f>
        <v/>
      </c>
      <c r="C1061" t="str">
        <f>IF(AND(FORSIDE!$B$8&gt;=12,FORSIDE!$F$8&gt;=4,FORSIDE!$B$5&gt;=3),12*FORSIDE!$B$9,"")</f>
        <v/>
      </c>
      <c r="D1061" t="str">
        <f>IF(AND(FORSIDE!$B$8&gt;=12,FORSIDE!$F$8&gt;=4,FORSIDE!$B$5&gt;=3),FORSIDE!$B$6+(3-1)*FORSIDE!$B$7,"")</f>
        <v/>
      </c>
    </row>
    <row r="1062" spans="1:4" x14ac:dyDescent="0.3">
      <c r="A1062" t="str">
        <f>IF(AND(FORSIDE!$B$8&gt;=12,FORSIDE!$F$8&gt;=4,FORSIDE!$B$5&gt;=4),1061,"")</f>
        <v/>
      </c>
      <c r="B1062" t="str">
        <f>IF(AND(FORSIDE!$B$8&gt;=12,FORSIDE!$F$8&gt;=4,FORSIDE!$B$5&gt;=4),354+4*FORSIDE!$F$9,"")</f>
        <v/>
      </c>
      <c r="C1062" t="str">
        <f>IF(AND(FORSIDE!$B$8&gt;=12,FORSIDE!$F$8&gt;=4,FORSIDE!$B$5&gt;=4),12*FORSIDE!$B$9,"")</f>
        <v/>
      </c>
      <c r="D1062" t="str">
        <f>IF(AND(FORSIDE!$B$8&gt;=12,FORSIDE!$F$8&gt;=4,FORSIDE!$B$5&gt;=4),FORSIDE!$B$6+(4-1)*FORSIDE!$B$7,"")</f>
        <v/>
      </c>
    </row>
    <row r="1063" spans="1:4" x14ac:dyDescent="0.3">
      <c r="A1063" t="str">
        <f>IF(AND(FORSIDE!$B$8&gt;=12,FORSIDE!$F$8&gt;=4,FORSIDE!$B$5&gt;=5),1062,"")</f>
        <v/>
      </c>
      <c r="B1063" t="str">
        <f>IF(AND(FORSIDE!$B$8&gt;=12,FORSIDE!$F$8&gt;=4,FORSIDE!$B$5&gt;=5),354+4*FORSIDE!$F$9,"")</f>
        <v/>
      </c>
      <c r="C1063" t="str">
        <f>IF(AND(FORSIDE!$B$8&gt;=12,FORSIDE!$F$8&gt;=4,FORSIDE!$B$5&gt;=5),12*FORSIDE!$B$9,"")</f>
        <v/>
      </c>
      <c r="D1063" t="str">
        <f>IF(AND(FORSIDE!$B$8&gt;=12,FORSIDE!$F$8&gt;=4,FORSIDE!$B$5&gt;=5),FORSIDE!$B$6+(5-1)*FORSIDE!$B$7,"")</f>
        <v/>
      </c>
    </row>
    <row r="1064" spans="1:4" x14ac:dyDescent="0.3">
      <c r="A1064" t="str">
        <f>IF(AND(FORSIDE!$B$8&gt;=12,FORSIDE!$F$8&gt;=4,FORSIDE!$B$5&gt;=6),1063,"")</f>
        <v/>
      </c>
      <c r="B1064" t="str">
        <f>IF(AND(FORSIDE!$B$8&gt;=12,FORSIDE!$F$8&gt;=4,FORSIDE!$B$5&gt;=6),354+4*FORSIDE!$F$9,"")</f>
        <v/>
      </c>
      <c r="C1064" t="str">
        <f>IF(AND(FORSIDE!$B$8&gt;=12,FORSIDE!$F$8&gt;=4,FORSIDE!$B$5&gt;=6),12*FORSIDE!$B$9,"")</f>
        <v/>
      </c>
      <c r="D1064" t="str">
        <f>IF(AND(FORSIDE!$B$8&gt;=12,FORSIDE!$F$8&gt;=4,FORSIDE!$B$5&gt;=6),FORSIDE!$B$6+(6-1)*FORSIDE!$B$7,"")</f>
        <v/>
      </c>
    </row>
    <row r="1065" spans="1:4" x14ac:dyDescent="0.3">
      <c r="A1065" t="str">
        <f>IF(AND(FORSIDE!$B$8&gt;=12,FORSIDE!$F$8&gt;=4,FORSIDE!$B$5&gt;=7),1064,"")</f>
        <v/>
      </c>
      <c r="B1065" t="str">
        <f>IF(AND(FORSIDE!$B$8&gt;=12,FORSIDE!$F$8&gt;=4,FORSIDE!$B$5&gt;=7),354+4*FORSIDE!$F$9,"")</f>
        <v/>
      </c>
      <c r="C1065" t="str">
        <f>IF(AND(FORSIDE!$B$8&gt;=12,FORSIDE!$F$8&gt;=4,FORSIDE!$B$5&gt;=7),12*FORSIDE!$B$9,"")</f>
        <v/>
      </c>
      <c r="D1065" t="str">
        <f>IF(AND(FORSIDE!$B$8&gt;=12,FORSIDE!$F$8&gt;=4,FORSIDE!$B$5&gt;=7),FORSIDE!$B$6+(7-1)*FORSIDE!$B$7,"")</f>
        <v/>
      </c>
    </row>
    <row r="1066" spans="1:4" x14ac:dyDescent="0.3">
      <c r="A1066" t="str">
        <f>IF(AND(FORSIDE!$B$8&gt;=12,FORSIDE!$F$8&gt;=4,FORSIDE!$B$5&gt;=8),1065,"")</f>
        <v/>
      </c>
      <c r="B1066" t="str">
        <f>IF(AND(FORSIDE!$B$8&gt;=12,FORSIDE!$F$8&gt;=4,FORSIDE!$B$5&gt;=8),354+4*FORSIDE!$F$9,"")</f>
        <v/>
      </c>
      <c r="C1066" t="str">
        <f>IF(AND(FORSIDE!$B$8&gt;=12,FORSIDE!$F$8&gt;=4,FORSIDE!$B$5&gt;=8),12*FORSIDE!$B$9,"")</f>
        <v/>
      </c>
      <c r="D1066" t="str">
        <f>IF(AND(FORSIDE!$B$8&gt;=12,FORSIDE!$F$8&gt;=4,FORSIDE!$B$5&gt;=8),FORSIDE!$B$6+(8-1)*FORSIDE!$B$7,"")</f>
        <v/>
      </c>
    </row>
    <row r="1067" spans="1:4" x14ac:dyDescent="0.3">
      <c r="A1067" t="str">
        <f>IF(AND(FORSIDE!$B$8&gt;=12,FORSIDE!$F$8&gt;=4,FORSIDE!$B$5&gt;=9),1066,"")</f>
        <v/>
      </c>
      <c r="B1067" t="str">
        <f>IF(AND(FORSIDE!$B$8&gt;=12,FORSIDE!$F$8&gt;=4,FORSIDE!$B$5&gt;=9),354+4*FORSIDE!$F$9,"")</f>
        <v/>
      </c>
      <c r="C1067" t="str">
        <f>IF(AND(FORSIDE!$B$8&gt;=12,FORSIDE!$F$8&gt;=4,FORSIDE!$B$5&gt;=9),12*FORSIDE!$B$9,"")</f>
        <v/>
      </c>
      <c r="D1067" t="str">
        <f>IF(AND(FORSIDE!$B$8&gt;=12,FORSIDE!$F$8&gt;=4,FORSIDE!$B$5&gt;=9),FORSIDE!$B$6+(9-1)*FORSIDE!$B$7,"")</f>
        <v/>
      </c>
    </row>
    <row r="1068" spans="1:4" x14ac:dyDescent="0.3">
      <c r="A1068" t="str">
        <f>IF(AND(FORSIDE!$B$8&gt;=12,FORSIDE!$F$8&gt;=4,FORSIDE!$B$5&gt;=10),1067,"")</f>
        <v/>
      </c>
      <c r="B1068" t="str">
        <f>IF(AND(FORSIDE!$B$8&gt;=12,FORSIDE!$F$8&gt;=4,FORSIDE!$B$5&gt;=10),354+4*FORSIDE!$F$9,"")</f>
        <v/>
      </c>
      <c r="C1068" t="str">
        <f>IF(AND(FORSIDE!$B$8&gt;=12,FORSIDE!$F$8&gt;=4,FORSIDE!$B$5&gt;=10),12*FORSIDE!$B$9,"")</f>
        <v/>
      </c>
      <c r="D1068" t="str">
        <f>IF(AND(FORSIDE!$B$8&gt;=12,FORSIDE!$F$8&gt;=4,FORSIDE!$B$5&gt;=10),FORSIDE!$B$6+(10-1)*FORSIDE!$B$7,"")</f>
        <v/>
      </c>
    </row>
    <row r="1069" spans="1:4" x14ac:dyDescent="0.3">
      <c r="A1069" t="str">
        <f>IF(AND(FORSIDE!$B$8&gt;=13,FORSIDE!$F$8&gt;=4,FORSIDE!$B$5&gt;=0),1068,"")</f>
        <v/>
      </c>
      <c r="B1069" t="str">
        <f>IF(AND(FORSIDE!$B$8&gt;=13,FORSIDE!$F$8&gt;=4,FORSIDE!$B$5&gt;=0),354+4*FORSIDE!$F$9,"")</f>
        <v/>
      </c>
      <c r="C1069" t="str">
        <f>IF(AND(FORSIDE!$B$8&gt;=13,FORSIDE!$F$8&gt;=4,FORSIDE!$B$5&gt;=0),13*FORSIDE!$B$9,"")</f>
        <v/>
      </c>
      <c r="D1069" t="str">
        <f>IF(AND(FORSIDE!$B$8&gt;=13,FORSIDE!$F$8&gt;=4,FORSIDE!$B$5&gt;=0),0,"")</f>
        <v/>
      </c>
    </row>
    <row r="1070" spans="1:4" x14ac:dyDescent="0.3">
      <c r="A1070" t="str">
        <f>IF(AND(FORSIDE!$B$8&gt;=13,FORSIDE!$F$8&gt;=4,FORSIDE!$B$5&gt;=1),1069,"")</f>
        <v/>
      </c>
      <c r="B1070" t="str">
        <f>IF(AND(FORSIDE!$B$8&gt;=13,FORSIDE!$F$8&gt;=4,FORSIDE!$B$5&gt;=1),354+4*FORSIDE!$F$9,"")</f>
        <v/>
      </c>
      <c r="C1070" t="str">
        <f>IF(AND(FORSIDE!$B$8&gt;=13,FORSIDE!$F$8&gt;=4,FORSIDE!$B$5&gt;=1),13*FORSIDE!$B$9,"")</f>
        <v/>
      </c>
      <c r="D1070" t="str">
        <f>IF(AND(FORSIDE!$B$8&gt;=13,FORSIDE!$F$8&gt;=4,FORSIDE!$B$5&gt;=1),FORSIDE!$B$6+(1-1)*FORSIDE!$B$7,"")</f>
        <v/>
      </c>
    </row>
    <row r="1071" spans="1:4" x14ac:dyDescent="0.3">
      <c r="A1071" t="str">
        <f>IF(AND(FORSIDE!$B$8&gt;=13,FORSIDE!$F$8&gt;=4,FORSIDE!$B$5&gt;=2),1070,"")</f>
        <v/>
      </c>
      <c r="B1071" t="str">
        <f>IF(AND(FORSIDE!$B$8&gt;=13,FORSIDE!$F$8&gt;=4,FORSIDE!$B$5&gt;=2),354+4*FORSIDE!$F$9,"")</f>
        <v/>
      </c>
      <c r="C1071" t="str">
        <f>IF(AND(FORSIDE!$B$8&gt;=13,FORSIDE!$F$8&gt;=4,FORSIDE!$B$5&gt;=2),13*FORSIDE!$B$9,"")</f>
        <v/>
      </c>
      <c r="D1071" t="str">
        <f>IF(AND(FORSIDE!$B$8&gt;=13,FORSIDE!$F$8&gt;=4,FORSIDE!$B$5&gt;=2),FORSIDE!$B$6+(2-1)*FORSIDE!$B$7,"")</f>
        <v/>
      </c>
    </row>
    <row r="1072" spans="1:4" x14ac:dyDescent="0.3">
      <c r="A1072" t="str">
        <f>IF(AND(FORSIDE!$B$8&gt;=13,FORSIDE!$F$8&gt;=4,FORSIDE!$B$5&gt;=3),1071,"")</f>
        <v/>
      </c>
      <c r="B1072" t="str">
        <f>IF(AND(FORSIDE!$B$8&gt;=13,FORSIDE!$F$8&gt;=4,FORSIDE!$B$5&gt;=3),354+4*FORSIDE!$F$9,"")</f>
        <v/>
      </c>
      <c r="C1072" t="str">
        <f>IF(AND(FORSIDE!$B$8&gt;=13,FORSIDE!$F$8&gt;=4,FORSIDE!$B$5&gt;=3),13*FORSIDE!$B$9,"")</f>
        <v/>
      </c>
      <c r="D1072" t="str">
        <f>IF(AND(FORSIDE!$B$8&gt;=13,FORSIDE!$F$8&gt;=4,FORSIDE!$B$5&gt;=3),FORSIDE!$B$6+(3-1)*FORSIDE!$B$7,"")</f>
        <v/>
      </c>
    </row>
    <row r="1073" spans="1:4" x14ac:dyDescent="0.3">
      <c r="A1073" t="str">
        <f>IF(AND(FORSIDE!$B$8&gt;=13,FORSIDE!$F$8&gt;=4,FORSIDE!$B$5&gt;=4),1072,"")</f>
        <v/>
      </c>
      <c r="B1073" t="str">
        <f>IF(AND(FORSIDE!$B$8&gt;=13,FORSIDE!$F$8&gt;=4,FORSIDE!$B$5&gt;=4),354+4*FORSIDE!$F$9,"")</f>
        <v/>
      </c>
      <c r="C1073" t="str">
        <f>IF(AND(FORSIDE!$B$8&gt;=13,FORSIDE!$F$8&gt;=4,FORSIDE!$B$5&gt;=4),13*FORSIDE!$B$9,"")</f>
        <v/>
      </c>
      <c r="D1073" t="str">
        <f>IF(AND(FORSIDE!$B$8&gt;=13,FORSIDE!$F$8&gt;=4,FORSIDE!$B$5&gt;=4),FORSIDE!$B$6+(4-1)*FORSIDE!$B$7,"")</f>
        <v/>
      </c>
    </row>
    <row r="1074" spans="1:4" x14ac:dyDescent="0.3">
      <c r="A1074" t="str">
        <f>IF(AND(FORSIDE!$B$8&gt;=13,FORSIDE!$F$8&gt;=4,FORSIDE!$B$5&gt;=5),1073,"")</f>
        <v/>
      </c>
      <c r="B1074" t="str">
        <f>IF(AND(FORSIDE!$B$8&gt;=13,FORSIDE!$F$8&gt;=4,FORSIDE!$B$5&gt;=5),354+4*FORSIDE!$F$9,"")</f>
        <v/>
      </c>
      <c r="C1074" t="str">
        <f>IF(AND(FORSIDE!$B$8&gt;=13,FORSIDE!$F$8&gt;=4,FORSIDE!$B$5&gt;=5),13*FORSIDE!$B$9,"")</f>
        <v/>
      </c>
      <c r="D1074" t="str">
        <f>IF(AND(FORSIDE!$B$8&gt;=13,FORSIDE!$F$8&gt;=4,FORSIDE!$B$5&gt;=5),FORSIDE!$B$6+(5-1)*FORSIDE!$B$7,"")</f>
        <v/>
      </c>
    </row>
    <row r="1075" spans="1:4" x14ac:dyDescent="0.3">
      <c r="A1075" t="str">
        <f>IF(AND(FORSIDE!$B$8&gt;=13,FORSIDE!$F$8&gt;=4,FORSIDE!$B$5&gt;=6),1074,"")</f>
        <v/>
      </c>
      <c r="B1075" t="str">
        <f>IF(AND(FORSIDE!$B$8&gt;=13,FORSIDE!$F$8&gt;=4,FORSIDE!$B$5&gt;=6),354+4*FORSIDE!$F$9,"")</f>
        <v/>
      </c>
      <c r="C1075" t="str">
        <f>IF(AND(FORSIDE!$B$8&gt;=13,FORSIDE!$F$8&gt;=4,FORSIDE!$B$5&gt;=6),13*FORSIDE!$B$9,"")</f>
        <v/>
      </c>
      <c r="D1075" t="str">
        <f>IF(AND(FORSIDE!$B$8&gt;=13,FORSIDE!$F$8&gt;=4,FORSIDE!$B$5&gt;=6),FORSIDE!$B$6+(6-1)*FORSIDE!$B$7,"")</f>
        <v/>
      </c>
    </row>
    <row r="1076" spans="1:4" x14ac:dyDescent="0.3">
      <c r="A1076" t="str">
        <f>IF(AND(FORSIDE!$B$8&gt;=13,FORSIDE!$F$8&gt;=4,FORSIDE!$B$5&gt;=7),1075,"")</f>
        <v/>
      </c>
      <c r="B1076" t="str">
        <f>IF(AND(FORSIDE!$B$8&gt;=13,FORSIDE!$F$8&gt;=4,FORSIDE!$B$5&gt;=7),354+4*FORSIDE!$F$9,"")</f>
        <v/>
      </c>
      <c r="C1076" t="str">
        <f>IF(AND(FORSIDE!$B$8&gt;=13,FORSIDE!$F$8&gt;=4,FORSIDE!$B$5&gt;=7),13*FORSIDE!$B$9,"")</f>
        <v/>
      </c>
      <c r="D1076" t="str">
        <f>IF(AND(FORSIDE!$B$8&gt;=13,FORSIDE!$F$8&gt;=4,FORSIDE!$B$5&gt;=7),FORSIDE!$B$6+(7-1)*FORSIDE!$B$7,"")</f>
        <v/>
      </c>
    </row>
    <row r="1077" spans="1:4" x14ac:dyDescent="0.3">
      <c r="A1077" t="str">
        <f>IF(AND(FORSIDE!$B$8&gt;=13,FORSIDE!$F$8&gt;=4,FORSIDE!$B$5&gt;=8),1076,"")</f>
        <v/>
      </c>
      <c r="B1077" t="str">
        <f>IF(AND(FORSIDE!$B$8&gt;=13,FORSIDE!$F$8&gt;=4,FORSIDE!$B$5&gt;=8),354+4*FORSIDE!$F$9,"")</f>
        <v/>
      </c>
      <c r="C1077" t="str">
        <f>IF(AND(FORSIDE!$B$8&gt;=13,FORSIDE!$F$8&gt;=4,FORSIDE!$B$5&gt;=8),13*FORSIDE!$B$9,"")</f>
        <v/>
      </c>
      <c r="D1077" t="str">
        <f>IF(AND(FORSIDE!$B$8&gt;=13,FORSIDE!$F$8&gt;=4,FORSIDE!$B$5&gt;=8),FORSIDE!$B$6+(8-1)*FORSIDE!$B$7,"")</f>
        <v/>
      </c>
    </row>
    <row r="1078" spans="1:4" x14ac:dyDescent="0.3">
      <c r="A1078" t="str">
        <f>IF(AND(FORSIDE!$B$8&gt;=13,FORSIDE!$F$8&gt;=4,FORSIDE!$B$5&gt;=9),1077,"")</f>
        <v/>
      </c>
      <c r="B1078" t="str">
        <f>IF(AND(FORSIDE!$B$8&gt;=13,FORSIDE!$F$8&gt;=4,FORSIDE!$B$5&gt;=9),354+4*FORSIDE!$F$9,"")</f>
        <v/>
      </c>
      <c r="C1078" t="str">
        <f>IF(AND(FORSIDE!$B$8&gt;=13,FORSIDE!$F$8&gt;=4,FORSIDE!$B$5&gt;=9),13*FORSIDE!$B$9,"")</f>
        <v/>
      </c>
      <c r="D1078" t="str">
        <f>IF(AND(FORSIDE!$B$8&gt;=13,FORSIDE!$F$8&gt;=4,FORSIDE!$B$5&gt;=9),FORSIDE!$B$6+(9-1)*FORSIDE!$B$7,"")</f>
        <v/>
      </c>
    </row>
    <row r="1079" spans="1:4" x14ac:dyDescent="0.3">
      <c r="A1079" t="str">
        <f>IF(AND(FORSIDE!$B$8&gt;=13,FORSIDE!$F$8&gt;=4,FORSIDE!$B$5&gt;=10),1078,"")</f>
        <v/>
      </c>
      <c r="B1079" t="str">
        <f>IF(AND(FORSIDE!$B$8&gt;=13,FORSIDE!$F$8&gt;=4,FORSIDE!$B$5&gt;=10),354+4*FORSIDE!$F$9,"")</f>
        <v/>
      </c>
      <c r="C1079" t="str">
        <f>IF(AND(FORSIDE!$B$8&gt;=13,FORSIDE!$F$8&gt;=4,FORSIDE!$B$5&gt;=10),13*FORSIDE!$B$9,"")</f>
        <v/>
      </c>
      <c r="D1079" t="str">
        <f>IF(AND(FORSIDE!$B$8&gt;=13,FORSIDE!$F$8&gt;=4,FORSIDE!$B$5&gt;=10),FORSIDE!$B$6+(10-1)*FORSIDE!$B$7,"")</f>
        <v/>
      </c>
    </row>
    <row r="1080" spans="1:4" x14ac:dyDescent="0.3">
      <c r="A1080" t="str">
        <f>IF(AND(FORSIDE!$B$8&gt;=14,FORSIDE!$F$8&gt;=4,FORSIDE!$B$5&gt;=0),1079,"")</f>
        <v/>
      </c>
      <c r="B1080" t="str">
        <f>IF(AND(FORSIDE!$B$8&gt;=14,FORSIDE!$F$8&gt;=4,FORSIDE!$B$5&gt;=0),354+4*FORSIDE!$F$9,"")</f>
        <v/>
      </c>
      <c r="C1080" t="str">
        <f>IF(AND(FORSIDE!$B$8&gt;=14,FORSIDE!$F$8&gt;=4,FORSIDE!$B$5&gt;=0),14*FORSIDE!$B$9,"")</f>
        <v/>
      </c>
      <c r="D1080" t="str">
        <f>IF(AND(FORSIDE!$B$8&gt;=14,FORSIDE!$F$8&gt;=4,FORSIDE!$B$5&gt;=0),0,"")</f>
        <v/>
      </c>
    </row>
    <row r="1081" spans="1:4" x14ac:dyDescent="0.3">
      <c r="A1081" t="str">
        <f>IF(AND(FORSIDE!$B$8&gt;=14,FORSIDE!$F$8&gt;=4,FORSIDE!$B$5&gt;=1),1080,"")</f>
        <v/>
      </c>
      <c r="B1081" t="str">
        <f>IF(AND(FORSIDE!$B$8&gt;=14,FORSIDE!$F$8&gt;=4,FORSIDE!$B$5&gt;=1),354+4*FORSIDE!$F$9,"")</f>
        <v/>
      </c>
      <c r="C1081" t="str">
        <f>IF(AND(FORSIDE!$B$8&gt;=14,FORSIDE!$F$8&gt;=4,FORSIDE!$B$5&gt;=1),14*FORSIDE!$B$9,"")</f>
        <v/>
      </c>
      <c r="D1081" t="str">
        <f>IF(AND(FORSIDE!$B$8&gt;=14,FORSIDE!$F$8&gt;=4,FORSIDE!$B$5&gt;=1),FORSIDE!$B$6+(1-1)*FORSIDE!$B$7,"")</f>
        <v/>
      </c>
    </row>
    <row r="1082" spans="1:4" x14ac:dyDescent="0.3">
      <c r="A1082" t="str">
        <f>IF(AND(FORSIDE!$B$8&gt;=14,FORSIDE!$F$8&gt;=4,FORSIDE!$B$5&gt;=2),1081,"")</f>
        <v/>
      </c>
      <c r="B1082" t="str">
        <f>IF(AND(FORSIDE!$B$8&gt;=14,FORSIDE!$F$8&gt;=4,FORSIDE!$B$5&gt;=2),354+4*FORSIDE!$F$9,"")</f>
        <v/>
      </c>
      <c r="C1082" t="str">
        <f>IF(AND(FORSIDE!$B$8&gt;=14,FORSIDE!$F$8&gt;=4,FORSIDE!$B$5&gt;=2),14*FORSIDE!$B$9,"")</f>
        <v/>
      </c>
      <c r="D1082" t="str">
        <f>IF(AND(FORSIDE!$B$8&gt;=14,FORSIDE!$F$8&gt;=4,FORSIDE!$B$5&gt;=2),FORSIDE!$B$6+(2-1)*FORSIDE!$B$7,"")</f>
        <v/>
      </c>
    </row>
    <row r="1083" spans="1:4" x14ac:dyDescent="0.3">
      <c r="A1083" t="str">
        <f>IF(AND(FORSIDE!$B$8&gt;=14,FORSIDE!$F$8&gt;=4,FORSIDE!$B$5&gt;=3),1082,"")</f>
        <v/>
      </c>
      <c r="B1083" t="str">
        <f>IF(AND(FORSIDE!$B$8&gt;=14,FORSIDE!$F$8&gt;=4,FORSIDE!$B$5&gt;=3),354+4*FORSIDE!$F$9,"")</f>
        <v/>
      </c>
      <c r="C1083" t="str">
        <f>IF(AND(FORSIDE!$B$8&gt;=14,FORSIDE!$F$8&gt;=4,FORSIDE!$B$5&gt;=3),14*FORSIDE!$B$9,"")</f>
        <v/>
      </c>
      <c r="D1083" t="str">
        <f>IF(AND(FORSIDE!$B$8&gt;=14,FORSIDE!$F$8&gt;=4,FORSIDE!$B$5&gt;=3),FORSIDE!$B$6+(3-1)*FORSIDE!$B$7,"")</f>
        <v/>
      </c>
    </row>
    <row r="1084" spans="1:4" x14ac:dyDescent="0.3">
      <c r="A1084" t="str">
        <f>IF(AND(FORSIDE!$B$8&gt;=14,FORSIDE!$F$8&gt;=4,FORSIDE!$B$5&gt;=4),1083,"")</f>
        <v/>
      </c>
      <c r="B1084" t="str">
        <f>IF(AND(FORSIDE!$B$8&gt;=14,FORSIDE!$F$8&gt;=4,FORSIDE!$B$5&gt;=4),354+4*FORSIDE!$F$9,"")</f>
        <v/>
      </c>
      <c r="C1084" t="str">
        <f>IF(AND(FORSIDE!$B$8&gt;=14,FORSIDE!$F$8&gt;=4,FORSIDE!$B$5&gt;=4),14*FORSIDE!$B$9,"")</f>
        <v/>
      </c>
      <c r="D1084" t="str">
        <f>IF(AND(FORSIDE!$B$8&gt;=14,FORSIDE!$F$8&gt;=4,FORSIDE!$B$5&gt;=4),FORSIDE!$B$6+(4-1)*FORSIDE!$B$7,"")</f>
        <v/>
      </c>
    </row>
    <row r="1085" spans="1:4" x14ac:dyDescent="0.3">
      <c r="A1085" t="str">
        <f>IF(AND(FORSIDE!$B$8&gt;=14,FORSIDE!$F$8&gt;=4,FORSIDE!$B$5&gt;=5),1084,"")</f>
        <v/>
      </c>
      <c r="B1085" t="str">
        <f>IF(AND(FORSIDE!$B$8&gt;=14,FORSIDE!$F$8&gt;=4,FORSIDE!$B$5&gt;=5),354+4*FORSIDE!$F$9,"")</f>
        <v/>
      </c>
      <c r="C1085" t="str">
        <f>IF(AND(FORSIDE!$B$8&gt;=14,FORSIDE!$F$8&gt;=4,FORSIDE!$B$5&gt;=5),14*FORSIDE!$B$9,"")</f>
        <v/>
      </c>
      <c r="D1085" t="str">
        <f>IF(AND(FORSIDE!$B$8&gt;=14,FORSIDE!$F$8&gt;=4,FORSIDE!$B$5&gt;=5),FORSIDE!$B$6+(5-1)*FORSIDE!$B$7,"")</f>
        <v/>
      </c>
    </row>
    <row r="1086" spans="1:4" x14ac:dyDescent="0.3">
      <c r="A1086" t="str">
        <f>IF(AND(FORSIDE!$B$8&gt;=14,FORSIDE!$F$8&gt;=4,FORSIDE!$B$5&gt;=6),1085,"")</f>
        <v/>
      </c>
      <c r="B1086" t="str">
        <f>IF(AND(FORSIDE!$B$8&gt;=14,FORSIDE!$F$8&gt;=4,FORSIDE!$B$5&gt;=6),354+4*FORSIDE!$F$9,"")</f>
        <v/>
      </c>
      <c r="C1086" t="str">
        <f>IF(AND(FORSIDE!$B$8&gt;=14,FORSIDE!$F$8&gt;=4,FORSIDE!$B$5&gt;=6),14*FORSIDE!$B$9,"")</f>
        <v/>
      </c>
      <c r="D1086" t="str">
        <f>IF(AND(FORSIDE!$B$8&gt;=14,FORSIDE!$F$8&gt;=4,FORSIDE!$B$5&gt;=6),FORSIDE!$B$6+(6-1)*FORSIDE!$B$7,"")</f>
        <v/>
      </c>
    </row>
    <row r="1087" spans="1:4" x14ac:dyDescent="0.3">
      <c r="A1087" t="str">
        <f>IF(AND(FORSIDE!$B$8&gt;=14,FORSIDE!$F$8&gt;=4,FORSIDE!$B$5&gt;=7),1086,"")</f>
        <v/>
      </c>
      <c r="B1087" t="str">
        <f>IF(AND(FORSIDE!$B$8&gt;=14,FORSIDE!$F$8&gt;=4,FORSIDE!$B$5&gt;=7),354+4*FORSIDE!$F$9,"")</f>
        <v/>
      </c>
      <c r="C1087" t="str">
        <f>IF(AND(FORSIDE!$B$8&gt;=14,FORSIDE!$F$8&gt;=4,FORSIDE!$B$5&gt;=7),14*FORSIDE!$B$9,"")</f>
        <v/>
      </c>
      <c r="D1087" t="str">
        <f>IF(AND(FORSIDE!$B$8&gt;=14,FORSIDE!$F$8&gt;=4,FORSIDE!$B$5&gt;=7),FORSIDE!$B$6+(7-1)*FORSIDE!$B$7,"")</f>
        <v/>
      </c>
    </row>
    <row r="1088" spans="1:4" x14ac:dyDescent="0.3">
      <c r="A1088" t="str">
        <f>IF(AND(FORSIDE!$B$8&gt;=14,FORSIDE!$F$8&gt;=4,FORSIDE!$B$5&gt;=8),1087,"")</f>
        <v/>
      </c>
      <c r="B1088" t="str">
        <f>IF(AND(FORSIDE!$B$8&gt;=14,FORSIDE!$F$8&gt;=4,FORSIDE!$B$5&gt;=8),354+4*FORSIDE!$F$9,"")</f>
        <v/>
      </c>
      <c r="C1088" t="str">
        <f>IF(AND(FORSIDE!$B$8&gt;=14,FORSIDE!$F$8&gt;=4,FORSIDE!$B$5&gt;=8),14*FORSIDE!$B$9,"")</f>
        <v/>
      </c>
      <c r="D1088" t="str">
        <f>IF(AND(FORSIDE!$B$8&gt;=14,FORSIDE!$F$8&gt;=4,FORSIDE!$B$5&gt;=8),FORSIDE!$B$6+(8-1)*FORSIDE!$B$7,"")</f>
        <v/>
      </c>
    </row>
    <row r="1089" spans="1:4" x14ac:dyDescent="0.3">
      <c r="A1089" t="str">
        <f>IF(AND(FORSIDE!$B$8&gt;=14,FORSIDE!$F$8&gt;=4,FORSIDE!$B$5&gt;=9),1088,"")</f>
        <v/>
      </c>
      <c r="B1089" t="str">
        <f>IF(AND(FORSIDE!$B$8&gt;=14,FORSIDE!$F$8&gt;=4,FORSIDE!$B$5&gt;=9),354+4*FORSIDE!$F$9,"")</f>
        <v/>
      </c>
      <c r="C1089" t="str">
        <f>IF(AND(FORSIDE!$B$8&gt;=14,FORSIDE!$F$8&gt;=4,FORSIDE!$B$5&gt;=9),14*FORSIDE!$B$9,"")</f>
        <v/>
      </c>
      <c r="D1089" t="str">
        <f>IF(AND(FORSIDE!$B$8&gt;=14,FORSIDE!$F$8&gt;=4,FORSIDE!$B$5&gt;=9),FORSIDE!$B$6+(9-1)*FORSIDE!$B$7,"")</f>
        <v/>
      </c>
    </row>
    <row r="1090" spans="1:4" x14ac:dyDescent="0.3">
      <c r="A1090" t="str">
        <f>IF(AND(FORSIDE!$B$8&gt;=14,FORSIDE!$F$8&gt;=4,FORSIDE!$B$5&gt;=10),1089,"")</f>
        <v/>
      </c>
      <c r="B1090" t="str">
        <f>IF(AND(FORSIDE!$B$8&gt;=14,FORSIDE!$F$8&gt;=4,FORSIDE!$B$5&gt;=10),354+4*FORSIDE!$F$9,"")</f>
        <v/>
      </c>
      <c r="C1090" t="str">
        <f>IF(AND(FORSIDE!$B$8&gt;=14,FORSIDE!$F$8&gt;=4,FORSIDE!$B$5&gt;=10),14*FORSIDE!$B$9,"")</f>
        <v/>
      </c>
      <c r="D1090" t="str">
        <f>IF(AND(FORSIDE!$B$8&gt;=14,FORSIDE!$F$8&gt;=4,FORSIDE!$B$5&gt;=10),FORSIDE!$B$6+(10-1)*FORSIDE!$B$7,"")</f>
        <v/>
      </c>
    </row>
    <row r="1091" spans="1:4" x14ac:dyDescent="0.3">
      <c r="A1091" t="str">
        <f>IF(AND(FORSIDE!$B$8&gt;=15,FORSIDE!$F$8&gt;=4,FORSIDE!$B$5&gt;=0),1090,"")</f>
        <v/>
      </c>
      <c r="B1091" t="str">
        <f>IF(AND(FORSIDE!$B$8&gt;=15,FORSIDE!$F$8&gt;=4,FORSIDE!$B$5&gt;=0),354+4*FORSIDE!$F$9,"")</f>
        <v/>
      </c>
      <c r="C1091" t="str">
        <f>IF(AND(FORSIDE!$B$8&gt;=15,FORSIDE!$F$8&gt;=4,FORSIDE!$B$5&gt;=0),15*FORSIDE!$B$9,"")</f>
        <v/>
      </c>
      <c r="D1091" t="str">
        <f>IF(AND(FORSIDE!$B$8&gt;=15,FORSIDE!$F$8&gt;=4,FORSIDE!$B$5&gt;=0),0,"")</f>
        <v/>
      </c>
    </row>
    <row r="1092" spans="1:4" x14ac:dyDescent="0.3">
      <c r="A1092" t="str">
        <f>IF(AND(FORSIDE!$B$8&gt;=15,FORSIDE!$F$8&gt;=4,FORSIDE!$B$5&gt;=1),1091,"")</f>
        <v/>
      </c>
      <c r="B1092" t="str">
        <f>IF(AND(FORSIDE!$B$8&gt;=15,FORSIDE!$F$8&gt;=4,FORSIDE!$B$5&gt;=1),354+4*FORSIDE!$F$9,"")</f>
        <v/>
      </c>
      <c r="C1092" t="str">
        <f>IF(AND(FORSIDE!$B$8&gt;=15,FORSIDE!$F$8&gt;=4,FORSIDE!$B$5&gt;=1),15*FORSIDE!$B$9,"")</f>
        <v/>
      </c>
      <c r="D1092" t="str">
        <f>IF(AND(FORSIDE!$B$8&gt;=15,FORSIDE!$F$8&gt;=4,FORSIDE!$B$5&gt;=1),FORSIDE!$B$6+(1-1)*FORSIDE!$B$7,"")</f>
        <v/>
      </c>
    </row>
    <row r="1093" spans="1:4" x14ac:dyDescent="0.3">
      <c r="A1093" t="str">
        <f>IF(AND(FORSIDE!$B$8&gt;=15,FORSIDE!$F$8&gt;=4,FORSIDE!$B$5&gt;=2),1092,"")</f>
        <v/>
      </c>
      <c r="B1093" t="str">
        <f>IF(AND(FORSIDE!$B$8&gt;=15,FORSIDE!$F$8&gt;=4,FORSIDE!$B$5&gt;=2),354+4*FORSIDE!$F$9,"")</f>
        <v/>
      </c>
      <c r="C1093" t="str">
        <f>IF(AND(FORSIDE!$B$8&gt;=15,FORSIDE!$F$8&gt;=4,FORSIDE!$B$5&gt;=2),15*FORSIDE!$B$9,"")</f>
        <v/>
      </c>
      <c r="D1093" t="str">
        <f>IF(AND(FORSIDE!$B$8&gt;=15,FORSIDE!$F$8&gt;=4,FORSIDE!$B$5&gt;=2),FORSIDE!$B$6+(2-1)*FORSIDE!$B$7,"")</f>
        <v/>
      </c>
    </row>
    <row r="1094" spans="1:4" x14ac:dyDescent="0.3">
      <c r="A1094" t="str">
        <f>IF(AND(FORSIDE!$B$8&gt;=15,FORSIDE!$F$8&gt;=4,FORSIDE!$B$5&gt;=3),1093,"")</f>
        <v/>
      </c>
      <c r="B1094" t="str">
        <f>IF(AND(FORSIDE!$B$8&gt;=15,FORSIDE!$F$8&gt;=4,FORSIDE!$B$5&gt;=3),354+4*FORSIDE!$F$9,"")</f>
        <v/>
      </c>
      <c r="C1094" t="str">
        <f>IF(AND(FORSIDE!$B$8&gt;=15,FORSIDE!$F$8&gt;=4,FORSIDE!$B$5&gt;=3),15*FORSIDE!$B$9,"")</f>
        <v/>
      </c>
      <c r="D1094" t="str">
        <f>IF(AND(FORSIDE!$B$8&gt;=15,FORSIDE!$F$8&gt;=4,FORSIDE!$B$5&gt;=3),FORSIDE!$B$6+(3-1)*FORSIDE!$B$7,"")</f>
        <v/>
      </c>
    </row>
    <row r="1095" spans="1:4" x14ac:dyDescent="0.3">
      <c r="A1095" t="str">
        <f>IF(AND(FORSIDE!$B$8&gt;=15,FORSIDE!$F$8&gt;=4,FORSIDE!$B$5&gt;=4),1094,"")</f>
        <v/>
      </c>
      <c r="B1095" t="str">
        <f>IF(AND(FORSIDE!$B$8&gt;=15,FORSIDE!$F$8&gt;=4,FORSIDE!$B$5&gt;=4),354+4*FORSIDE!$F$9,"")</f>
        <v/>
      </c>
      <c r="C1095" t="str">
        <f>IF(AND(FORSIDE!$B$8&gt;=15,FORSIDE!$F$8&gt;=4,FORSIDE!$B$5&gt;=4),15*FORSIDE!$B$9,"")</f>
        <v/>
      </c>
      <c r="D1095" t="str">
        <f>IF(AND(FORSIDE!$B$8&gt;=15,FORSIDE!$F$8&gt;=4,FORSIDE!$B$5&gt;=4),FORSIDE!$B$6+(4-1)*FORSIDE!$B$7,"")</f>
        <v/>
      </c>
    </row>
    <row r="1096" spans="1:4" x14ac:dyDescent="0.3">
      <c r="A1096" t="str">
        <f>IF(AND(FORSIDE!$B$8&gt;=15,FORSIDE!$F$8&gt;=4,FORSIDE!$B$5&gt;=5),1095,"")</f>
        <v/>
      </c>
      <c r="B1096" t="str">
        <f>IF(AND(FORSIDE!$B$8&gt;=15,FORSIDE!$F$8&gt;=4,FORSIDE!$B$5&gt;=5),354+4*FORSIDE!$F$9,"")</f>
        <v/>
      </c>
      <c r="C1096" t="str">
        <f>IF(AND(FORSIDE!$B$8&gt;=15,FORSIDE!$F$8&gt;=4,FORSIDE!$B$5&gt;=5),15*FORSIDE!$B$9,"")</f>
        <v/>
      </c>
      <c r="D1096" t="str">
        <f>IF(AND(FORSIDE!$B$8&gt;=15,FORSIDE!$F$8&gt;=4,FORSIDE!$B$5&gt;=5),FORSIDE!$B$6+(5-1)*FORSIDE!$B$7,"")</f>
        <v/>
      </c>
    </row>
    <row r="1097" spans="1:4" x14ac:dyDescent="0.3">
      <c r="A1097" t="str">
        <f>IF(AND(FORSIDE!$B$8&gt;=15,FORSIDE!$F$8&gt;=4,FORSIDE!$B$5&gt;=6),1096,"")</f>
        <v/>
      </c>
      <c r="B1097" t="str">
        <f>IF(AND(FORSIDE!$B$8&gt;=15,FORSIDE!$F$8&gt;=4,FORSIDE!$B$5&gt;=6),354+4*FORSIDE!$F$9,"")</f>
        <v/>
      </c>
      <c r="C1097" t="str">
        <f>IF(AND(FORSIDE!$B$8&gt;=15,FORSIDE!$F$8&gt;=4,FORSIDE!$B$5&gt;=6),15*FORSIDE!$B$9,"")</f>
        <v/>
      </c>
      <c r="D1097" t="str">
        <f>IF(AND(FORSIDE!$B$8&gt;=15,FORSIDE!$F$8&gt;=4,FORSIDE!$B$5&gt;=6),FORSIDE!$B$6+(6-1)*FORSIDE!$B$7,"")</f>
        <v/>
      </c>
    </row>
    <row r="1098" spans="1:4" x14ac:dyDescent="0.3">
      <c r="A1098" t="str">
        <f>IF(AND(FORSIDE!$B$8&gt;=15,FORSIDE!$F$8&gt;=4,FORSIDE!$B$5&gt;=7),1097,"")</f>
        <v/>
      </c>
      <c r="B1098" t="str">
        <f>IF(AND(FORSIDE!$B$8&gt;=15,FORSIDE!$F$8&gt;=4,FORSIDE!$B$5&gt;=7),354+4*FORSIDE!$F$9,"")</f>
        <v/>
      </c>
      <c r="C1098" t="str">
        <f>IF(AND(FORSIDE!$B$8&gt;=15,FORSIDE!$F$8&gt;=4,FORSIDE!$B$5&gt;=7),15*FORSIDE!$B$9,"")</f>
        <v/>
      </c>
      <c r="D1098" t="str">
        <f>IF(AND(FORSIDE!$B$8&gt;=15,FORSIDE!$F$8&gt;=4,FORSIDE!$B$5&gt;=7),FORSIDE!$B$6+(7-1)*FORSIDE!$B$7,"")</f>
        <v/>
      </c>
    </row>
    <row r="1099" spans="1:4" x14ac:dyDescent="0.3">
      <c r="A1099" t="str">
        <f>IF(AND(FORSIDE!$B$8&gt;=15,FORSIDE!$F$8&gt;=4,FORSIDE!$B$5&gt;=8),1098,"")</f>
        <v/>
      </c>
      <c r="B1099" t="str">
        <f>IF(AND(FORSIDE!$B$8&gt;=15,FORSIDE!$F$8&gt;=4,FORSIDE!$B$5&gt;=8),354+4*FORSIDE!$F$9,"")</f>
        <v/>
      </c>
      <c r="C1099" t="str">
        <f>IF(AND(FORSIDE!$B$8&gt;=15,FORSIDE!$F$8&gt;=4,FORSIDE!$B$5&gt;=8),15*FORSIDE!$B$9,"")</f>
        <v/>
      </c>
      <c r="D1099" t="str">
        <f>IF(AND(FORSIDE!$B$8&gt;=15,FORSIDE!$F$8&gt;=4,FORSIDE!$B$5&gt;=8),FORSIDE!$B$6+(8-1)*FORSIDE!$B$7,"")</f>
        <v/>
      </c>
    </row>
    <row r="1100" spans="1:4" x14ac:dyDescent="0.3">
      <c r="A1100" t="str">
        <f>IF(AND(FORSIDE!$B$8&gt;=15,FORSIDE!$F$8&gt;=4,FORSIDE!$B$5&gt;=9),1099,"")</f>
        <v/>
      </c>
      <c r="B1100" t="str">
        <f>IF(AND(FORSIDE!$B$8&gt;=15,FORSIDE!$F$8&gt;=4,FORSIDE!$B$5&gt;=9),354+4*FORSIDE!$F$9,"")</f>
        <v/>
      </c>
      <c r="C1100" t="str">
        <f>IF(AND(FORSIDE!$B$8&gt;=15,FORSIDE!$F$8&gt;=4,FORSIDE!$B$5&gt;=9),15*FORSIDE!$B$9,"")</f>
        <v/>
      </c>
      <c r="D1100" t="str">
        <f>IF(AND(FORSIDE!$B$8&gt;=15,FORSIDE!$F$8&gt;=4,FORSIDE!$B$5&gt;=9),FORSIDE!$B$6+(9-1)*FORSIDE!$B$7,"")</f>
        <v/>
      </c>
    </row>
    <row r="1101" spans="1:4" x14ac:dyDescent="0.3">
      <c r="A1101" t="str">
        <f>IF(AND(FORSIDE!$B$8&gt;=15,FORSIDE!$F$8&gt;=4,FORSIDE!$B$5&gt;=10),1100,"")</f>
        <v/>
      </c>
      <c r="B1101" t="str">
        <f>IF(AND(FORSIDE!$B$8&gt;=15,FORSIDE!$F$8&gt;=4,FORSIDE!$B$5&gt;=10),354+4*FORSIDE!$F$9,"")</f>
        <v/>
      </c>
      <c r="C1101" t="str">
        <f>IF(AND(FORSIDE!$B$8&gt;=15,FORSIDE!$F$8&gt;=4,FORSIDE!$B$5&gt;=10),15*FORSIDE!$B$9,"")</f>
        <v/>
      </c>
      <c r="D1101" t="str">
        <f>IF(AND(FORSIDE!$B$8&gt;=15,FORSIDE!$F$8&gt;=4,FORSIDE!$B$5&gt;=10),FORSIDE!$B$6+(10-1)*FORSIDE!$B$7,"")</f>
        <v/>
      </c>
    </row>
    <row r="1102" spans="1:4" x14ac:dyDescent="0.3">
      <c r="A1102" t="str">
        <f>IF(AND(FORSIDE!$B$8&gt;=16,FORSIDE!$F$8&gt;=4,FORSIDE!$B$5&gt;=0),1101,"")</f>
        <v/>
      </c>
      <c r="B1102" t="str">
        <f>IF(AND(FORSIDE!$B$8&gt;=16,FORSIDE!$F$8&gt;=4,FORSIDE!$B$5&gt;=0),354+4*FORSIDE!$F$9,"")</f>
        <v/>
      </c>
      <c r="C1102" t="str">
        <f>IF(AND(FORSIDE!$B$8&gt;=16,FORSIDE!$F$8&gt;=4,FORSIDE!$B$5&gt;=0),16*FORSIDE!$B$9,"")</f>
        <v/>
      </c>
      <c r="D1102" t="str">
        <f>IF(AND(FORSIDE!$B$8&gt;=16,FORSIDE!$F$8&gt;=4,FORSIDE!$B$5&gt;=0),0,"")</f>
        <v/>
      </c>
    </row>
    <row r="1103" spans="1:4" x14ac:dyDescent="0.3">
      <c r="A1103" t="str">
        <f>IF(AND(FORSIDE!$B$8&gt;=16,FORSIDE!$F$8&gt;=4,FORSIDE!$B$5&gt;=1),1102,"")</f>
        <v/>
      </c>
      <c r="B1103" t="str">
        <f>IF(AND(FORSIDE!$B$8&gt;=16,FORSIDE!$F$8&gt;=4,FORSIDE!$B$5&gt;=1),354+4*FORSIDE!$F$9,"")</f>
        <v/>
      </c>
      <c r="C1103" t="str">
        <f>IF(AND(FORSIDE!$B$8&gt;=16,FORSIDE!$F$8&gt;=4,FORSIDE!$B$5&gt;=1),16*FORSIDE!$B$9,"")</f>
        <v/>
      </c>
      <c r="D1103" t="str">
        <f>IF(AND(FORSIDE!$B$8&gt;=16,FORSIDE!$F$8&gt;=4,FORSIDE!$B$5&gt;=1),FORSIDE!$B$6+(1-1)*FORSIDE!$B$7,"")</f>
        <v/>
      </c>
    </row>
    <row r="1104" spans="1:4" x14ac:dyDescent="0.3">
      <c r="A1104" t="str">
        <f>IF(AND(FORSIDE!$B$8&gt;=16,FORSIDE!$F$8&gt;=4,FORSIDE!$B$5&gt;=2),1103,"")</f>
        <v/>
      </c>
      <c r="B1104" t="str">
        <f>IF(AND(FORSIDE!$B$8&gt;=16,FORSIDE!$F$8&gt;=4,FORSIDE!$B$5&gt;=2),354+4*FORSIDE!$F$9,"")</f>
        <v/>
      </c>
      <c r="C1104" t="str">
        <f>IF(AND(FORSIDE!$B$8&gt;=16,FORSIDE!$F$8&gt;=4,FORSIDE!$B$5&gt;=2),16*FORSIDE!$B$9,"")</f>
        <v/>
      </c>
      <c r="D1104" t="str">
        <f>IF(AND(FORSIDE!$B$8&gt;=16,FORSIDE!$F$8&gt;=4,FORSIDE!$B$5&gt;=2),FORSIDE!$B$6+(2-1)*FORSIDE!$B$7,"")</f>
        <v/>
      </c>
    </row>
    <row r="1105" spans="1:4" x14ac:dyDescent="0.3">
      <c r="A1105" t="str">
        <f>IF(AND(FORSIDE!$B$8&gt;=16,FORSIDE!$F$8&gt;=4,FORSIDE!$B$5&gt;=3),1104,"")</f>
        <v/>
      </c>
      <c r="B1105" t="str">
        <f>IF(AND(FORSIDE!$B$8&gt;=16,FORSIDE!$F$8&gt;=4,FORSIDE!$B$5&gt;=3),354+4*FORSIDE!$F$9,"")</f>
        <v/>
      </c>
      <c r="C1105" t="str">
        <f>IF(AND(FORSIDE!$B$8&gt;=16,FORSIDE!$F$8&gt;=4,FORSIDE!$B$5&gt;=3),16*FORSIDE!$B$9,"")</f>
        <v/>
      </c>
      <c r="D1105" t="str">
        <f>IF(AND(FORSIDE!$B$8&gt;=16,FORSIDE!$F$8&gt;=4,FORSIDE!$B$5&gt;=3),FORSIDE!$B$6+(3-1)*FORSIDE!$B$7,"")</f>
        <v/>
      </c>
    </row>
    <row r="1106" spans="1:4" x14ac:dyDescent="0.3">
      <c r="A1106" t="str">
        <f>IF(AND(FORSIDE!$B$8&gt;=16,FORSIDE!$F$8&gt;=4,FORSIDE!$B$5&gt;=4),1105,"")</f>
        <v/>
      </c>
      <c r="B1106" t="str">
        <f>IF(AND(FORSIDE!$B$8&gt;=16,FORSIDE!$F$8&gt;=4,FORSIDE!$B$5&gt;=4),354+4*FORSIDE!$F$9,"")</f>
        <v/>
      </c>
      <c r="C1106" t="str">
        <f>IF(AND(FORSIDE!$B$8&gt;=16,FORSIDE!$F$8&gt;=4,FORSIDE!$B$5&gt;=4),16*FORSIDE!$B$9,"")</f>
        <v/>
      </c>
      <c r="D1106" t="str">
        <f>IF(AND(FORSIDE!$B$8&gt;=16,FORSIDE!$F$8&gt;=4,FORSIDE!$B$5&gt;=4),FORSIDE!$B$6+(4-1)*FORSIDE!$B$7,"")</f>
        <v/>
      </c>
    </row>
    <row r="1107" spans="1:4" x14ac:dyDescent="0.3">
      <c r="A1107" t="str">
        <f>IF(AND(FORSIDE!$B$8&gt;=16,FORSIDE!$F$8&gt;=4,FORSIDE!$B$5&gt;=5),1106,"")</f>
        <v/>
      </c>
      <c r="B1107" t="str">
        <f>IF(AND(FORSIDE!$B$8&gt;=16,FORSIDE!$F$8&gt;=4,FORSIDE!$B$5&gt;=5),354+4*FORSIDE!$F$9,"")</f>
        <v/>
      </c>
      <c r="C1107" t="str">
        <f>IF(AND(FORSIDE!$B$8&gt;=16,FORSIDE!$F$8&gt;=4,FORSIDE!$B$5&gt;=5),16*FORSIDE!$B$9,"")</f>
        <v/>
      </c>
      <c r="D1107" t="str">
        <f>IF(AND(FORSIDE!$B$8&gt;=16,FORSIDE!$F$8&gt;=4,FORSIDE!$B$5&gt;=5),FORSIDE!$B$6+(5-1)*FORSIDE!$B$7,"")</f>
        <v/>
      </c>
    </row>
    <row r="1108" spans="1:4" x14ac:dyDescent="0.3">
      <c r="A1108" t="str">
        <f>IF(AND(FORSIDE!$B$8&gt;=16,FORSIDE!$F$8&gt;=4,FORSIDE!$B$5&gt;=6),1107,"")</f>
        <v/>
      </c>
      <c r="B1108" t="str">
        <f>IF(AND(FORSIDE!$B$8&gt;=16,FORSIDE!$F$8&gt;=4,FORSIDE!$B$5&gt;=6),354+4*FORSIDE!$F$9,"")</f>
        <v/>
      </c>
      <c r="C1108" t="str">
        <f>IF(AND(FORSIDE!$B$8&gt;=16,FORSIDE!$F$8&gt;=4,FORSIDE!$B$5&gt;=6),16*FORSIDE!$B$9,"")</f>
        <v/>
      </c>
      <c r="D1108" t="str">
        <f>IF(AND(FORSIDE!$B$8&gt;=16,FORSIDE!$F$8&gt;=4,FORSIDE!$B$5&gt;=6),FORSIDE!$B$6+(6-1)*FORSIDE!$B$7,"")</f>
        <v/>
      </c>
    </row>
    <row r="1109" spans="1:4" x14ac:dyDescent="0.3">
      <c r="A1109" t="str">
        <f>IF(AND(FORSIDE!$B$8&gt;=16,FORSIDE!$F$8&gt;=4,FORSIDE!$B$5&gt;=7),1108,"")</f>
        <v/>
      </c>
      <c r="B1109" t="str">
        <f>IF(AND(FORSIDE!$B$8&gt;=16,FORSIDE!$F$8&gt;=4,FORSIDE!$B$5&gt;=7),354+4*FORSIDE!$F$9,"")</f>
        <v/>
      </c>
      <c r="C1109" t="str">
        <f>IF(AND(FORSIDE!$B$8&gt;=16,FORSIDE!$F$8&gt;=4,FORSIDE!$B$5&gt;=7),16*FORSIDE!$B$9,"")</f>
        <v/>
      </c>
      <c r="D1109" t="str">
        <f>IF(AND(FORSIDE!$B$8&gt;=16,FORSIDE!$F$8&gt;=4,FORSIDE!$B$5&gt;=7),FORSIDE!$B$6+(7-1)*FORSIDE!$B$7,"")</f>
        <v/>
      </c>
    </row>
    <row r="1110" spans="1:4" x14ac:dyDescent="0.3">
      <c r="A1110" t="str">
        <f>IF(AND(FORSIDE!$B$8&gt;=16,FORSIDE!$F$8&gt;=4,FORSIDE!$B$5&gt;=8),1109,"")</f>
        <v/>
      </c>
      <c r="B1110" t="str">
        <f>IF(AND(FORSIDE!$B$8&gt;=16,FORSIDE!$F$8&gt;=4,FORSIDE!$B$5&gt;=8),354+4*FORSIDE!$F$9,"")</f>
        <v/>
      </c>
      <c r="C1110" t="str">
        <f>IF(AND(FORSIDE!$B$8&gt;=16,FORSIDE!$F$8&gt;=4,FORSIDE!$B$5&gt;=8),16*FORSIDE!$B$9,"")</f>
        <v/>
      </c>
      <c r="D1110" t="str">
        <f>IF(AND(FORSIDE!$B$8&gt;=16,FORSIDE!$F$8&gt;=4,FORSIDE!$B$5&gt;=8),FORSIDE!$B$6+(8-1)*FORSIDE!$B$7,"")</f>
        <v/>
      </c>
    </row>
    <row r="1111" spans="1:4" x14ac:dyDescent="0.3">
      <c r="A1111" t="str">
        <f>IF(AND(FORSIDE!$B$8&gt;=16,FORSIDE!$F$8&gt;=4,FORSIDE!$B$5&gt;=9),1110,"")</f>
        <v/>
      </c>
      <c r="B1111" t="str">
        <f>IF(AND(FORSIDE!$B$8&gt;=16,FORSIDE!$F$8&gt;=4,FORSIDE!$B$5&gt;=9),354+4*FORSIDE!$F$9,"")</f>
        <v/>
      </c>
      <c r="C1111" t="str">
        <f>IF(AND(FORSIDE!$B$8&gt;=16,FORSIDE!$F$8&gt;=4,FORSIDE!$B$5&gt;=9),16*FORSIDE!$B$9,"")</f>
        <v/>
      </c>
      <c r="D1111" t="str">
        <f>IF(AND(FORSIDE!$B$8&gt;=16,FORSIDE!$F$8&gt;=4,FORSIDE!$B$5&gt;=9),FORSIDE!$B$6+(9-1)*FORSIDE!$B$7,"")</f>
        <v/>
      </c>
    </row>
    <row r="1112" spans="1:4" x14ac:dyDescent="0.3">
      <c r="A1112" t="str">
        <f>IF(AND(FORSIDE!$B$8&gt;=16,FORSIDE!$F$8&gt;=4,FORSIDE!$B$5&gt;=10),1111,"")</f>
        <v/>
      </c>
      <c r="B1112" t="str">
        <f>IF(AND(FORSIDE!$B$8&gt;=16,FORSIDE!$F$8&gt;=4,FORSIDE!$B$5&gt;=10),354+4*FORSIDE!$F$9,"")</f>
        <v/>
      </c>
      <c r="C1112" t="str">
        <f>IF(AND(FORSIDE!$B$8&gt;=16,FORSIDE!$F$8&gt;=4,FORSIDE!$B$5&gt;=10),16*FORSIDE!$B$9,"")</f>
        <v/>
      </c>
      <c r="D1112" t="str">
        <f>IF(AND(FORSIDE!$B$8&gt;=16,FORSIDE!$F$8&gt;=4,FORSIDE!$B$5&gt;=10),FORSIDE!$B$6+(10-1)*FORSIDE!$B$7,"")</f>
        <v/>
      </c>
    </row>
    <row r="1113" spans="1:4" x14ac:dyDescent="0.3">
      <c r="A1113" t="str">
        <f>IF(AND(FORSIDE!$B$8&gt;=17,FORSIDE!$F$8&gt;=4,FORSIDE!$B$5&gt;=0),1112,"")</f>
        <v/>
      </c>
      <c r="B1113" t="str">
        <f>IF(AND(FORSIDE!$B$8&gt;=17,FORSIDE!$F$8&gt;=4,FORSIDE!$B$5&gt;=0),354+4*FORSIDE!$F$9,"")</f>
        <v/>
      </c>
      <c r="C1113" t="str">
        <f>IF(AND(FORSIDE!$B$8&gt;=17,FORSIDE!$F$8&gt;=4,FORSIDE!$B$5&gt;=0),17*FORSIDE!$B$9,"")</f>
        <v/>
      </c>
      <c r="D1113" t="str">
        <f>IF(AND(FORSIDE!$B$8&gt;=17,FORSIDE!$F$8&gt;=4,FORSIDE!$B$5&gt;=0),0,"")</f>
        <v/>
      </c>
    </row>
    <row r="1114" spans="1:4" x14ac:dyDescent="0.3">
      <c r="A1114" t="str">
        <f>IF(AND(FORSIDE!$B$8&gt;=17,FORSIDE!$F$8&gt;=4,FORSIDE!$B$5&gt;=1),1113,"")</f>
        <v/>
      </c>
      <c r="B1114" t="str">
        <f>IF(AND(FORSIDE!$B$8&gt;=17,FORSIDE!$F$8&gt;=4,FORSIDE!$B$5&gt;=1),354+4*FORSIDE!$F$9,"")</f>
        <v/>
      </c>
      <c r="C1114" t="str">
        <f>IF(AND(FORSIDE!$B$8&gt;=17,FORSIDE!$F$8&gt;=4,FORSIDE!$B$5&gt;=1),17*FORSIDE!$B$9,"")</f>
        <v/>
      </c>
      <c r="D1114" t="str">
        <f>IF(AND(FORSIDE!$B$8&gt;=17,FORSIDE!$F$8&gt;=4,FORSIDE!$B$5&gt;=1),FORSIDE!$B$6+(1-1)*FORSIDE!$B$7,"")</f>
        <v/>
      </c>
    </row>
    <row r="1115" spans="1:4" x14ac:dyDescent="0.3">
      <c r="A1115" t="str">
        <f>IF(AND(FORSIDE!$B$8&gt;=17,FORSIDE!$F$8&gt;=4,FORSIDE!$B$5&gt;=2),1114,"")</f>
        <v/>
      </c>
      <c r="B1115" t="str">
        <f>IF(AND(FORSIDE!$B$8&gt;=17,FORSIDE!$F$8&gt;=4,FORSIDE!$B$5&gt;=2),354+4*FORSIDE!$F$9,"")</f>
        <v/>
      </c>
      <c r="C1115" t="str">
        <f>IF(AND(FORSIDE!$B$8&gt;=17,FORSIDE!$F$8&gt;=4,FORSIDE!$B$5&gt;=2),17*FORSIDE!$B$9,"")</f>
        <v/>
      </c>
      <c r="D1115" t="str">
        <f>IF(AND(FORSIDE!$B$8&gt;=17,FORSIDE!$F$8&gt;=4,FORSIDE!$B$5&gt;=2),FORSIDE!$B$6+(2-1)*FORSIDE!$B$7,"")</f>
        <v/>
      </c>
    </row>
    <row r="1116" spans="1:4" x14ac:dyDescent="0.3">
      <c r="A1116" t="str">
        <f>IF(AND(FORSIDE!$B$8&gt;=17,FORSIDE!$F$8&gt;=4,FORSIDE!$B$5&gt;=3),1115,"")</f>
        <v/>
      </c>
      <c r="B1116" t="str">
        <f>IF(AND(FORSIDE!$B$8&gt;=17,FORSIDE!$F$8&gt;=4,FORSIDE!$B$5&gt;=3),354+4*FORSIDE!$F$9,"")</f>
        <v/>
      </c>
      <c r="C1116" t="str">
        <f>IF(AND(FORSIDE!$B$8&gt;=17,FORSIDE!$F$8&gt;=4,FORSIDE!$B$5&gt;=3),17*FORSIDE!$B$9,"")</f>
        <v/>
      </c>
      <c r="D1116" t="str">
        <f>IF(AND(FORSIDE!$B$8&gt;=17,FORSIDE!$F$8&gt;=4,FORSIDE!$B$5&gt;=3),FORSIDE!$B$6+(3-1)*FORSIDE!$B$7,"")</f>
        <v/>
      </c>
    </row>
    <row r="1117" spans="1:4" x14ac:dyDescent="0.3">
      <c r="A1117" t="str">
        <f>IF(AND(FORSIDE!$B$8&gt;=17,FORSIDE!$F$8&gt;=4,FORSIDE!$B$5&gt;=4),1116,"")</f>
        <v/>
      </c>
      <c r="B1117" t="str">
        <f>IF(AND(FORSIDE!$B$8&gt;=17,FORSIDE!$F$8&gt;=4,FORSIDE!$B$5&gt;=4),354+4*FORSIDE!$F$9,"")</f>
        <v/>
      </c>
      <c r="C1117" t="str">
        <f>IF(AND(FORSIDE!$B$8&gt;=17,FORSIDE!$F$8&gt;=4,FORSIDE!$B$5&gt;=4),17*FORSIDE!$B$9,"")</f>
        <v/>
      </c>
      <c r="D1117" t="str">
        <f>IF(AND(FORSIDE!$B$8&gt;=17,FORSIDE!$F$8&gt;=4,FORSIDE!$B$5&gt;=4),FORSIDE!$B$6+(4-1)*FORSIDE!$B$7,"")</f>
        <v/>
      </c>
    </row>
    <row r="1118" spans="1:4" x14ac:dyDescent="0.3">
      <c r="A1118" t="str">
        <f>IF(AND(FORSIDE!$B$8&gt;=17,FORSIDE!$F$8&gt;=4,FORSIDE!$B$5&gt;=5),1117,"")</f>
        <v/>
      </c>
      <c r="B1118" t="str">
        <f>IF(AND(FORSIDE!$B$8&gt;=17,FORSIDE!$F$8&gt;=4,FORSIDE!$B$5&gt;=5),354+4*FORSIDE!$F$9,"")</f>
        <v/>
      </c>
      <c r="C1118" t="str">
        <f>IF(AND(FORSIDE!$B$8&gt;=17,FORSIDE!$F$8&gt;=4,FORSIDE!$B$5&gt;=5),17*FORSIDE!$B$9,"")</f>
        <v/>
      </c>
      <c r="D1118" t="str">
        <f>IF(AND(FORSIDE!$B$8&gt;=17,FORSIDE!$F$8&gt;=4,FORSIDE!$B$5&gt;=5),FORSIDE!$B$6+(5-1)*FORSIDE!$B$7,"")</f>
        <v/>
      </c>
    </row>
    <row r="1119" spans="1:4" x14ac:dyDescent="0.3">
      <c r="A1119" t="str">
        <f>IF(AND(FORSIDE!$B$8&gt;=17,FORSIDE!$F$8&gt;=4,FORSIDE!$B$5&gt;=6),1118,"")</f>
        <v/>
      </c>
      <c r="B1119" t="str">
        <f>IF(AND(FORSIDE!$B$8&gt;=17,FORSIDE!$F$8&gt;=4,FORSIDE!$B$5&gt;=6),354+4*FORSIDE!$F$9,"")</f>
        <v/>
      </c>
      <c r="C1119" t="str">
        <f>IF(AND(FORSIDE!$B$8&gt;=17,FORSIDE!$F$8&gt;=4,FORSIDE!$B$5&gt;=6),17*FORSIDE!$B$9,"")</f>
        <v/>
      </c>
      <c r="D1119" t="str">
        <f>IF(AND(FORSIDE!$B$8&gt;=17,FORSIDE!$F$8&gt;=4,FORSIDE!$B$5&gt;=6),FORSIDE!$B$6+(6-1)*FORSIDE!$B$7,"")</f>
        <v/>
      </c>
    </row>
    <row r="1120" spans="1:4" x14ac:dyDescent="0.3">
      <c r="A1120" t="str">
        <f>IF(AND(FORSIDE!$B$8&gt;=17,FORSIDE!$F$8&gt;=4,FORSIDE!$B$5&gt;=7),1119,"")</f>
        <v/>
      </c>
      <c r="B1120" t="str">
        <f>IF(AND(FORSIDE!$B$8&gt;=17,FORSIDE!$F$8&gt;=4,FORSIDE!$B$5&gt;=7),354+4*FORSIDE!$F$9,"")</f>
        <v/>
      </c>
      <c r="C1120" t="str">
        <f>IF(AND(FORSIDE!$B$8&gt;=17,FORSIDE!$F$8&gt;=4,FORSIDE!$B$5&gt;=7),17*FORSIDE!$B$9,"")</f>
        <v/>
      </c>
      <c r="D1120" t="str">
        <f>IF(AND(FORSIDE!$B$8&gt;=17,FORSIDE!$F$8&gt;=4,FORSIDE!$B$5&gt;=7),FORSIDE!$B$6+(7-1)*FORSIDE!$B$7,"")</f>
        <v/>
      </c>
    </row>
    <row r="1121" spans="1:4" x14ac:dyDescent="0.3">
      <c r="A1121" t="str">
        <f>IF(AND(FORSIDE!$B$8&gt;=17,FORSIDE!$F$8&gt;=4,FORSIDE!$B$5&gt;=8),1120,"")</f>
        <v/>
      </c>
      <c r="B1121" t="str">
        <f>IF(AND(FORSIDE!$B$8&gt;=17,FORSIDE!$F$8&gt;=4,FORSIDE!$B$5&gt;=8),354+4*FORSIDE!$F$9,"")</f>
        <v/>
      </c>
      <c r="C1121" t="str">
        <f>IF(AND(FORSIDE!$B$8&gt;=17,FORSIDE!$F$8&gt;=4,FORSIDE!$B$5&gt;=8),17*FORSIDE!$B$9,"")</f>
        <v/>
      </c>
      <c r="D1121" t="str">
        <f>IF(AND(FORSIDE!$B$8&gt;=17,FORSIDE!$F$8&gt;=4,FORSIDE!$B$5&gt;=8),FORSIDE!$B$6+(8-1)*FORSIDE!$B$7,"")</f>
        <v/>
      </c>
    </row>
    <row r="1122" spans="1:4" x14ac:dyDescent="0.3">
      <c r="A1122" t="str">
        <f>IF(AND(FORSIDE!$B$8&gt;=17,FORSIDE!$F$8&gt;=4,FORSIDE!$B$5&gt;=9),1121,"")</f>
        <v/>
      </c>
      <c r="B1122" t="str">
        <f>IF(AND(FORSIDE!$B$8&gt;=17,FORSIDE!$F$8&gt;=4,FORSIDE!$B$5&gt;=9),354+4*FORSIDE!$F$9,"")</f>
        <v/>
      </c>
      <c r="C1122" t="str">
        <f>IF(AND(FORSIDE!$B$8&gt;=17,FORSIDE!$F$8&gt;=4,FORSIDE!$B$5&gt;=9),17*FORSIDE!$B$9,"")</f>
        <v/>
      </c>
      <c r="D1122" t="str">
        <f>IF(AND(FORSIDE!$B$8&gt;=17,FORSIDE!$F$8&gt;=4,FORSIDE!$B$5&gt;=9),FORSIDE!$B$6+(9-1)*FORSIDE!$B$7,"")</f>
        <v/>
      </c>
    </row>
    <row r="1123" spans="1:4" x14ac:dyDescent="0.3">
      <c r="A1123" t="str">
        <f>IF(AND(FORSIDE!$B$8&gt;=17,FORSIDE!$F$8&gt;=4,FORSIDE!$B$5&gt;=10),1122,"")</f>
        <v/>
      </c>
      <c r="B1123" t="str">
        <f>IF(AND(FORSIDE!$B$8&gt;=17,FORSIDE!$F$8&gt;=4,FORSIDE!$B$5&gt;=10),354+4*FORSIDE!$F$9,"")</f>
        <v/>
      </c>
      <c r="C1123" t="str">
        <f>IF(AND(FORSIDE!$B$8&gt;=17,FORSIDE!$F$8&gt;=4,FORSIDE!$B$5&gt;=10),17*FORSIDE!$B$9,"")</f>
        <v/>
      </c>
      <c r="D1123" t="str">
        <f>IF(AND(FORSIDE!$B$8&gt;=17,FORSIDE!$F$8&gt;=4,FORSIDE!$B$5&gt;=10),FORSIDE!$B$6+(10-1)*FORSIDE!$B$7,"")</f>
        <v/>
      </c>
    </row>
    <row r="1124" spans="1:4" x14ac:dyDescent="0.3">
      <c r="A1124" t="str">
        <f>IF(AND(FORSIDE!$B$8&gt;=18,FORSIDE!$F$8&gt;=4,FORSIDE!$B$5&gt;=0),1123,"")</f>
        <v/>
      </c>
      <c r="B1124" t="str">
        <f>IF(AND(FORSIDE!$B$8&gt;=18,FORSIDE!$F$8&gt;=4,FORSIDE!$B$5&gt;=0),354+4*FORSIDE!$F$9,"")</f>
        <v/>
      </c>
      <c r="C1124" t="str">
        <f>IF(AND(FORSIDE!$B$8&gt;=18,FORSIDE!$F$8&gt;=4,FORSIDE!$B$5&gt;=0),18*FORSIDE!$B$9,"")</f>
        <v/>
      </c>
      <c r="D1124" t="str">
        <f>IF(AND(FORSIDE!$B$8&gt;=18,FORSIDE!$F$8&gt;=4,FORSIDE!$B$5&gt;=0),0,"")</f>
        <v/>
      </c>
    </row>
    <row r="1125" spans="1:4" x14ac:dyDescent="0.3">
      <c r="A1125" t="str">
        <f>IF(AND(FORSIDE!$B$8&gt;=18,FORSIDE!$F$8&gt;=4,FORSIDE!$B$5&gt;=1),1124,"")</f>
        <v/>
      </c>
      <c r="B1125" t="str">
        <f>IF(AND(FORSIDE!$B$8&gt;=18,FORSIDE!$F$8&gt;=4,FORSIDE!$B$5&gt;=1),354+4*FORSIDE!$F$9,"")</f>
        <v/>
      </c>
      <c r="C1125" t="str">
        <f>IF(AND(FORSIDE!$B$8&gt;=18,FORSIDE!$F$8&gt;=4,FORSIDE!$B$5&gt;=1),18*FORSIDE!$B$9,"")</f>
        <v/>
      </c>
      <c r="D1125" t="str">
        <f>IF(AND(FORSIDE!$B$8&gt;=18,FORSIDE!$F$8&gt;=4,FORSIDE!$B$5&gt;=1),FORSIDE!$B$6+(1-1)*FORSIDE!$B$7,"")</f>
        <v/>
      </c>
    </row>
    <row r="1126" spans="1:4" x14ac:dyDescent="0.3">
      <c r="A1126" t="str">
        <f>IF(AND(FORSIDE!$B$8&gt;=18,FORSIDE!$F$8&gt;=4,FORSIDE!$B$5&gt;=2),1125,"")</f>
        <v/>
      </c>
      <c r="B1126" t="str">
        <f>IF(AND(FORSIDE!$B$8&gt;=18,FORSIDE!$F$8&gt;=4,FORSIDE!$B$5&gt;=2),354+4*FORSIDE!$F$9,"")</f>
        <v/>
      </c>
      <c r="C1126" t="str">
        <f>IF(AND(FORSIDE!$B$8&gt;=18,FORSIDE!$F$8&gt;=4,FORSIDE!$B$5&gt;=2),18*FORSIDE!$B$9,"")</f>
        <v/>
      </c>
      <c r="D1126" t="str">
        <f>IF(AND(FORSIDE!$B$8&gt;=18,FORSIDE!$F$8&gt;=4,FORSIDE!$B$5&gt;=2),FORSIDE!$B$6+(2-1)*FORSIDE!$B$7,"")</f>
        <v/>
      </c>
    </row>
    <row r="1127" spans="1:4" x14ac:dyDescent="0.3">
      <c r="A1127" t="str">
        <f>IF(AND(FORSIDE!$B$8&gt;=18,FORSIDE!$F$8&gt;=4,FORSIDE!$B$5&gt;=3),1126,"")</f>
        <v/>
      </c>
      <c r="B1127" t="str">
        <f>IF(AND(FORSIDE!$B$8&gt;=18,FORSIDE!$F$8&gt;=4,FORSIDE!$B$5&gt;=3),354+4*FORSIDE!$F$9,"")</f>
        <v/>
      </c>
      <c r="C1127" t="str">
        <f>IF(AND(FORSIDE!$B$8&gt;=18,FORSIDE!$F$8&gt;=4,FORSIDE!$B$5&gt;=3),18*FORSIDE!$B$9,"")</f>
        <v/>
      </c>
      <c r="D1127" t="str">
        <f>IF(AND(FORSIDE!$B$8&gt;=18,FORSIDE!$F$8&gt;=4,FORSIDE!$B$5&gt;=3),FORSIDE!$B$6+(3-1)*FORSIDE!$B$7,"")</f>
        <v/>
      </c>
    </row>
    <row r="1128" spans="1:4" x14ac:dyDescent="0.3">
      <c r="A1128" t="str">
        <f>IF(AND(FORSIDE!$B$8&gt;=18,FORSIDE!$F$8&gt;=4,FORSIDE!$B$5&gt;=4),1127,"")</f>
        <v/>
      </c>
      <c r="B1128" t="str">
        <f>IF(AND(FORSIDE!$B$8&gt;=18,FORSIDE!$F$8&gt;=4,FORSIDE!$B$5&gt;=4),354+4*FORSIDE!$F$9,"")</f>
        <v/>
      </c>
      <c r="C1128" t="str">
        <f>IF(AND(FORSIDE!$B$8&gt;=18,FORSIDE!$F$8&gt;=4,FORSIDE!$B$5&gt;=4),18*FORSIDE!$B$9,"")</f>
        <v/>
      </c>
      <c r="D1128" t="str">
        <f>IF(AND(FORSIDE!$B$8&gt;=18,FORSIDE!$F$8&gt;=4,FORSIDE!$B$5&gt;=4),FORSIDE!$B$6+(4-1)*FORSIDE!$B$7,"")</f>
        <v/>
      </c>
    </row>
    <row r="1129" spans="1:4" x14ac:dyDescent="0.3">
      <c r="A1129" t="str">
        <f>IF(AND(FORSIDE!$B$8&gt;=18,FORSIDE!$F$8&gt;=4,FORSIDE!$B$5&gt;=5),1128,"")</f>
        <v/>
      </c>
      <c r="B1129" t="str">
        <f>IF(AND(FORSIDE!$B$8&gt;=18,FORSIDE!$F$8&gt;=4,FORSIDE!$B$5&gt;=5),354+4*FORSIDE!$F$9,"")</f>
        <v/>
      </c>
      <c r="C1129" t="str">
        <f>IF(AND(FORSIDE!$B$8&gt;=18,FORSIDE!$F$8&gt;=4,FORSIDE!$B$5&gt;=5),18*FORSIDE!$B$9,"")</f>
        <v/>
      </c>
      <c r="D1129" t="str">
        <f>IF(AND(FORSIDE!$B$8&gt;=18,FORSIDE!$F$8&gt;=4,FORSIDE!$B$5&gt;=5),FORSIDE!$B$6+(5-1)*FORSIDE!$B$7,"")</f>
        <v/>
      </c>
    </row>
    <row r="1130" spans="1:4" x14ac:dyDescent="0.3">
      <c r="A1130" t="str">
        <f>IF(AND(FORSIDE!$B$8&gt;=18,FORSIDE!$F$8&gt;=4,FORSIDE!$B$5&gt;=6),1129,"")</f>
        <v/>
      </c>
      <c r="B1130" t="str">
        <f>IF(AND(FORSIDE!$B$8&gt;=18,FORSIDE!$F$8&gt;=4,FORSIDE!$B$5&gt;=6),354+4*FORSIDE!$F$9,"")</f>
        <v/>
      </c>
      <c r="C1130" t="str">
        <f>IF(AND(FORSIDE!$B$8&gt;=18,FORSIDE!$F$8&gt;=4,FORSIDE!$B$5&gt;=6),18*FORSIDE!$B$9,"")</f>
        <v/>
      </c>
      <c r="D1130" t="str">
        <f>IF(AND(FORSIDE!$B$8&gt;=18,FORSIDE!$F$8&gt;=4,FORSIDE!$B$5&gt;=6),FORSIDE!$B$6+(6-1)*FORSIDE!$B$7,"")</f>
        <v/>
      </c>
    </row>
    <row r="1131" spans="1:4" x14ac:dyDescent="0.3">
      <c r="A1131" t="str">
        <f>IF(AND(FORSIDE!$B$8&gt;=18,FORSIDE!$F$8&gt;=4,FORSIDE!$B$5&gt;=7),1130,"")</f>
        <v/>
      </c>
      <c r="B1131" t="str">
        <f>IF(AND(FORSIDE!$B$8&gt;=18,FORSIDE!$F$8&gt;=4,FORSIDE!$B$5&gt;=7),354+4*FORSIDE!$F$9,"")</f>
        <v/>
      </c>
      <c r="C1131" t="str">
        <f>IF(AND(FORSIDE!$B$8&gt;=18,FORSIDE!$F$8&gt;=4,FORSIDE!$B$5&gt;=7),18*FORSIDE!$B$9,"")</f>
        <v/>
      </c>
      <c r="D1131" t="str">
        <f>IF(AND(FORSIDE!$B$8&gt;=18,FORSIDE!$F$8&gt;=4,FORSIDE!$B$5&gt;=7),FORSIDE!$B$6+(7-1)*FORSIDE!$B$7,"")</f>
        <v/>
      </c>
    </row>
    <row r="1132" spans="1:4" x14ac:dyDescent="0.3">
      <c r="A1132" t="str">
        <f>IF(AND(FORSIDE!$B$8&gt;=18,FORSIDE!$F$8&gt;=4,FORSIDE!$B$5&gt;=8),1131,"")</f>
        <v/>
      </c>
      <c r="B1132" t="str">
        <f>IF(AND(FORSIDE!$B$8&gt;=18,FORSIDE!$F$8&gt;=4,FORSIDE!$B$5&gt;=8),354+4*FORSIDE!$F$9,"")</f>
        <v/>
      </c>
      <c r="C1132" t="str">
        <f>IF(AND(FORSIDE!$B$8&gt;=18,FORSIDE!$F$8&gt;=4,FORSIDE!$B$5&gt;=8),18*FORSIDE!$B$9,"")</f>
        <v/>
      </c>
      <c r="D1132" t="str">
        <f>IF(AND(FORSIDE!$B$8&gt;=18,FORSIDE!$F$8&gt;=4,FORSIDE!$B$5&gt;=8),FORSIDE!$B$6+(8-1)*FORSIDE!$B$7,"")</f>
        <v/>
      </c>
    </row>
    <row r="1133" spans="1:4" x14ac:dyDescent="0.3">
      <c r="A1133" t="str">
        <f>IF(AND(FORSIDE!$B$8&gt;=18,FORSIDE!$F$8&gt;=4,FORSIDE!$B$5&gt;=9),1132,"")</f>
        <v/>
      </c>
      <c r="B1133" t="str">
        <f>IF(AND(FORSIDE!$B$8&gt;=18,FORSIDE!$F$8&gt;=4,FORSIDE!$B$5&gt;=9),354+4*FORSIDE!$F$9,"")</f>
        <v/>
      </c>
      <c r="C1133" t="str">
        <f>IF(AND(FORSIDE!$B$8&gt;=18,FORSIDE!$F$8&gt;=4,FORSIDE!$B$5&gt;=9),18*FORSIDE!$B$9,"")</f>
        <v/>
      </c>
      <c r="D1133" t="str">
        <f>IF(AND(FORSIDE!$B$8&gt;=18,FORSIDE!$F$8&gt;=4,FORSIDE!$B$5&gt;=9),FORSIDE!$B$6+(9-1)*FORSIDE!$B$7,"")</f>
        <v/>
      </c>
    </row>
    <row r="1134" spans="1:4" x14ac:dyDescent="0.3">
      <c r="A1134" t="str">
        <f>IF(AND(FORSIDE!$B$8&gt;=18,FORSIDE!$F$8&gt;=4,FORSIDE!$B$5&gt;=10),1133,"")</f>
        <v/>
      </c>
      <c r="B1134" t="str">
        <f>IF(AND(FORSIDE!$B$8&gt;=18,FORSIDE!$F$8&gt;=4,FORSIDE!$B$5&gt;=10),354+4*FORSIDE!$F$9,"")</f>
        <v/>
      </c>
      <c r="C1134" t="str">
        <f>IF(AND(FORSIDE!$B$8&gt;=18,FORSIDE!$F$8&gt;=4,FORSIDE!$B$5&gt;=10),18*FORSIDE!$B$9,"")</f>
        <v/>
      </c>
      <c r="D1134" t="str">
        <f>IF(AND(FORSIDE!$B$8&gt;=18,FORSIDE!$F$8&gt;=4,FORSIDE!$B$5&gt;=10),FORSIDE!$B$6+(10-1)*FORSIDE!$B$7,"")</f>
        <v/>
      </c>
    </row>
    <row r="1135" spans="1:4" x14ac:dyDescent="0.3">
      <c r="A1135" t="str">
        <f>IF(AND(FORSIDE!$B$8&gt;=19,FORSIDE!$F$8&gt;=4,FORSIDE!$B$5&gt;=0),1134,"")</f>
        <v/>
      </c>
      <c r="B1135" t="str">
        <f>IF(AND(FORSIDE!$B$8&gt;=19,FORSIDE!$F$8&gt;=4,FORSIDE!$B$5&gt;=0),354+4*FORSIDE!$F$9,"")</f>
        <v/>
      </c>
      <c r="C1135" t="str">
        <f>IF(AND(FORSIDE!$B$8&gt;=19,FORSIDE!$F$8&gt;=4,FORSIDE!$B$5&gt;=0),19*FORSIDE!$B$9,"")</f>
        <v/>
      </c>
      <c r="D1135" t="str">
        <f>IF(AND(FORSIDE!$B$8&gt;=19,FORSIDE!$F$8&gt;=4,FORSIDE!$B$5&gt;=0),0,"")</f>
        <v/>
      </c>
    </row>
    <row r="1136" spans="1:4" x14ac:dyDescent="0.3">
      <c r="A1136" t="str">
        <f>IF(AND(FORSIDE!$B$8&gt;=19,FORSIDE!$F$8&gt;=4,FORSIDE!$B$5&gt;=1),1135,"")</f>
        <v/>
      </c>
      <c r="B1136" t="str">
        <f>IF(AND(FORSIDE!$B$8&gt;=19,FORSIDE!$F$8&gt;=4,FORSIDE!$B$5&gt;=1),354+4*FORSIDE!$F$9,"")</f>
        <v/>
      </c>
      <c r="C1136" t="str">
        <f>IF(AND(FORSIDE!$B$8&gt;=19,FORSIDE!$F$8&gt;=4,FORSIDE!$B$5&gt;=1),19*FORSIDE!$B$9,"")</f>
        <v/>
      </c>
      <c r="D1136" t="str">
        <f>IF(AND(FORSIDE!$B$8&gt;=19,FORSIDE!$F$8&gt;=4,FORSIDE!$B$5&gt;=1),FORSIDE!$B$6+(1-1)*FORSIDE!$B$7,"")</f>
        <v/>
      </c>
    </row>
    <row r="1137" spans="1:4" x14ac:dyDescent="0.3">
      <c r="A1137" t="str">
        <f>IF(AND(FORSIDE!$B$8&gt;=19,FORSIDE!$F$8&gt;=4,FORSIDE!$B$5&gt;=2),1136,"")</f>
        <v/>
      </c>
      <c r="B1137" t="str">
        <f>IF(AND(FORSIDE!$B$8&gt;=19,FORSIDE!$F$8&gt;=4,FORSIDE!$B$5&gt;=2),354+4*FORSIDE!$F$9,"")</f>
        <v/>
      </c>
      <c r="C1137" t="str">
        <f>IF(AND(FORSIDE!$B$8&gt;=19,FORSIDE!$F$8&gt;=4,FORSIDE!$B$5&gt;=2),19*FORSIDE!$B$9,"")</f>
        <v/>
      </c>
      <c r="D1137" t="str">
        <f>IF(AND(FORSIDE!$B$8&gt;=19,FORSIDE!$F$8&gt;=4,FORSIDE!$B$5&gt;=2),FORSIDE!$B$6+(2-1)*FORSIDE!$B$7,"")</f>
        <v/>
      </c>
    </row>
    <row r="1138" spans="1:4" x14ac:dyDescent="0.3">
      <c r="A1138" t="str">
        <f>IF(AND(FORSIDE!$B$8&gt;=19,FORSIDE!$F$8&gt;=4,FORSIDE!$B$5&gt;=3),1137,"")</f>
        <v/>
      </c>
      <c r="B1138" t="str">
        <f>IF(AND(FORSIDE!$B$8&gt;=19,FORSIDE!$F$8&gt;=4,FORSIDE!$B$5&gt;=3),354+4*FORSIDE!$F$9,"")</f>
        <v/>
      </c>
      <c r="C1138" t="str">
        <f>IF(AND(FORSIDE!$B$8&gt;=19,FORSIDE!$F$8&gt;=4,FORSIDE!$B$5&gt;=3),19*FORSIDE!$B$9,"")</f>
        <v/>
      </c>
      <c r="D1138" t="str">
        <f>IF(AND(FORSIDE!$B$8&gt;=19,FORSIDE!$F$8&gt;=4,FORSIDE!$B$5&gt;=3),FORSIDE!$B$6+(3-1)*FORSIDE!$B$7,"")</f>
        <v/>
      </c>
    </row>
    <row r="1139" spans="1:4" x14ac:dyDescent="0.3">
      <c r="A1139" t="str">
        <f>IF(AND(FORSIDE!$B$8&gt;=19,FORSIDE!$F$8&gt;=4,FORSIDE!$B$5&gt;=4),1138,"")</f>
        <v/>
      </c>
      <c r="B1139" t="str">
        <f>IF(AND(FORSIDE!$B$8&gt;=19,FORSIDE!$F$8&gt;=4,FORSIDE!$B$5&gt;=4),354+4*FORSIDE!$F$9,"")</f>
        <v/>
      </c>
      <c r="C1139" t="str">
        <f>IF(AND(FORSIDE!$B$8&gt;=19,FORSIDE!$F$8&gt;=4,FORSIDE!$B$5&gt;=4),19*FORSIDE!$B$9,"")</f>
        <v/>
      </c>
      <c r="D1139" t="str">
        <f>IF(AND(FORSIDE!$B$8&gt;=19,FORSIDE!$F$8&gt;=4,FORSIDE!$B$5&gt;=4),FORSIDE!$B$6+(4-1)*FORSIDE!$B$7,"")</f>
        <v/>
      </c>
    </row>
    <row r="1140" spans="1:4" x14ac:dyDescent="0.3">
      <c r="A1140" t="str">
        <f>IF(AND(FORSIDE!$B$8&gt;=19,FORSIDE!$F$8&gt;=4,FORSIDE!$B$5&gt;=5),1139,"")</f>
        <v/>
      </c>
      <c r="B1140" t="str">
        <f>IF(AND(FORSIDE!$B$8&gt;=19,FORSIDE!$F$8&gt;=4,FORSIDE!$B$5&gt;=5),354+4*FORSIDE!$F$9,"")</f>
        <v/>
      </c>
      <c r="C1140" t="str">
        <f>IF(AND(FORSIDE!$B$8&gt;=19,FORSIDE!$F$8&gt;=4,FORSIDE!$B$5&gt;=5),19*FORSIDE!$B$9,"")</f>
        <v/>
      </c>
      <c r="D1140" t="str">
        <f>IF(AND(FORSIDE!$B$8&gt;=19,FORSIDE!$F$8&gt;=4,FORSIDE!$B$5&gt;=5),FORSIDE!$B$6+(5-1)*FORSIDE!$B$7,"")</f>
        <v/>
      </c>
    </row>
    <row r="1141" spans="1:4" x14ac:dyDescent="0.3">
      <c r="A1141" t="str">
        <f>IF(AND(FORSIDE!$B$8&gt;=19,FORSIDE!$F$8&gt;=4,FORSIDE!$B$5&gt;=6),1140,"")</f>
        <v/>
      </c>
      <c r="B1141" t="str">
        <f>IF(AND(FORSIDE!$B$8&gt;=19,FORSIDE!$F$8&gt;=4,FORSIDE!$B$5&gt;=6),354+4*FORSIDE!$F$9,"")</f>
        <v/>
      </c>
      <c r="C1141" t="str">
        <f>IF(AND(FORSIDE!$B$8&gt;=19,FORSIDE!$F$8&gt;=4,FORSIDE!$B$5&gt;=6),19*FORSIDE!$B$9,"")</f>
        <v/>
      </c>
      <c r="D1141" t="str">
        <f>IF(AND(FORSIDE!$B$8&gt;=19,FORSIDE!$F$8&gt;=4,FORSIDE!$B$5&gt;=6),FORSIDE!$B$6+(6-1)*FORSIDE!$B$7,"")</f>
        <v/>
      </c>
    </row>
    <row r="1142" spans="1:4" x14ac:dyDescent="0.3">
      <c r="A1142" t="str">
        <f>IF(AND(FORSIDE!$B$8&gt;=19,FORSIDE!$F$8&gt;=4,FORSIDE!$B$5&gt;=7),1141,"")</f>
        <v/>
      </c>
      <c r="B1142" t="str">
        <f>IF(AND(FORSIDE!$B$8&gt;=19,FORSIDE!$F$8&gt;=4,FORSIDE!$B$5&gt;=7),354+4*FORSIDE!$F$9,"")</f>
        <v/>
      </c>
      <c r="C1142" t="str">
        <f>IF(AND(FORSIDE!$B$8&gt;=19,FORSIDE!$F$8&gt;=4,FORSIDE!$B$5&gt;=7),19*FORSIDE!$B$9,"")</f>
        <v/>
      </c>
      <c r="D1142" t="str">
        <f>IF(AND(FORSIDE!$B$8&gt;=19,FORSIDE!$F$8&gt;=4,FORSIDE!$B$5&gt;=7),FORSIDE!$B$6+(7-1)*FORSIDE!$B$7,"")</f>
        <v/>
      </c>
    </row>
    <row r="1143" spans="1:4" x14ac:dyDescent="0.3">
      <c r="A1143" t="str">
        <f>IF(AND(FORSIDE!$B$8&gt;=19,FORSIDE!$F$8&gt;=4,FORSIDE!$B$5&gt;=8),1142,"")</f>
        <v/>
      </c>
      <c r="B1143" t="str">
        <f>IF(AND(FORSIDE!$B$8&gt;=19,FORSIDE!$F$8&gt;=4,FORSIDE!$B$5&gt;=8),354+4*FORSIDE!$F$9,"")</f>
        <v/>
      </c>
      <c r="C1143" t="str">
        <f>IF(AND(FORSIDE!$B$8&gt;=19,FORSIDE!$F$8&gt;=4,FORSIDE!$B$5&gt;=8),19*FORSIDE!$B$9,"")</f>
        <v/>
      </c>
      <c r="D1143" t="str">
        <f>IF(AND(FORSIDE!$B$8&gt;=19,FORSIDE!$F$8&gt;=4,FORSIDE!$B$5&gt;=8),FORSIDE!$B$6+(8-1)*FORSIDE!$B$7,"")</f>
        <v/>
      </c>
    </row>
    <row r="1144" spans="1:4" x14ac:dyDescent="0.3">
      <c r="A1144" t="str">
        <f>IF(AND(FORSIDE!$B$8&gt;=19,FORSIDE!$F$8&gt;=4,FORSIDE!$B$5&gt;=9),1143,"")</f>
        <v/>
      </c>
      <c r="B1144" t="str">
        <f>IF(AND(FORSIDE!$B$8&gt;=19,FORSIDE!$F$8&gt;=4,FORSIDE!$B$5&gt;=9),354+4*FORSIDE!$F$9,"")</f>
        <v/>
      </c>
      <c r="C1144" t="str">
        <f>IF(AND(FORSIDE!$B$8&gt;=19,FORSIDE!$F$8&gt;=4,FORSIDE!$B$5&gt;=9),19*FORSIDE!$B$9,"")</f>
        <v/>
      </c>
      <c r="D1144" t="str">
        <f>IF(AND(FORSIDE!$B$8&gt;=19,FORSIDE!$F$8&gt;=4,FORSIDE!$B$5&gt;=9),FORSIDE!$B$6+(9-1)*FORSIDE!$B$7,"")</f>
        <v/>
      </c>
    </row>
    <row r="1145" spans="1:4" x14ac:dyDescent="0.3">
      <c r="A1145" t="str">
        <f>IF(AND(FORSIDE!$B$8&gt;=19,FORSIDE!$F$8&gt;=4,FORSIDE!$B$5&gt;=10),1144,"")</f>
        <v/>
      </c>
      <c r="B1145" t="str">
        <f>IF(AND(FORSIDE!$B$8&gt;=19,FORSIDE!$F$8&gt;=4,FORSIDE!$B$5&gt;=10),354+4*FORSIDE!$F$9,"")</f>
        <v/>
      </c>
      <c r="C1145" t="str">
        <f>IF(AND(FORSIDE!$B$8&gt;=19,FORSIDE!$F$8&gt;=4,FORSIDE!$B$5&gt;=10),19*FORSIDE!$B$9,"")</f>
        <v/>
      </c>
      <c r="D1145" t="str">
        <f>IF(AND(FORSIDE!$B$8&gt;=19,FORSIDE!$F$8&gt;=4,FORSIDE!$B$5&gt;=10),FORSIDE!$B$6+(10-1)*FORSIDE!$B$7,"")</f>
        <v/>
      </c>
    </row>
    <row r="1146" spans="1:4" x14ac:dyDescent="0.3">
      <c r="A1146" t="str">
        <f>IF(AND(FORSIDE!$B$8&gt;=20,FORSIDE!$F$8&gt;=4,FORSIDE!$B$5&gt;=0),1145,"")</f>
        <v/>
      </c>
      <c r="B1146" t="str">
        <f>IF(AND(FORSIDE!$B$8&gt;=20,FORSIDE!$F$8&gt;=4,FORSIDE!$B$5&gt;=0),354+4*FORSIDE!$F$9,"")</f>
        <v/>
      </c>
      <c r="C1146" t="str">
        <f>IF(AND(FORSIDE!$B$8&gt;=20,FORSIDE!$F$8&gt;=4,FORSIDE!$B$5&gt;=0),20*FORSIDE!$B$9,"")</f>
        <v/>
      </c>
      <c r="D1146" t="str">
        <f>IF(AND(FORSIDE!$B$8&gt;=20,FORSIDE!$F$8&gt;=4,FORSIDE!$B$5&gt;=0),0,"")</f>
        <v/>
      </c>
    </row>
    <row r="1147" spans="1:4" x14ac:dyDescent="0.3">
      <c r="A1147" t="str">
        <f>IF(AND(FORSIDE!$B$8&gt;=20,FORSIDE!$F$8&gt;=4,FORSIDE!$B$5&gt;=1),1146,"")</f>
        <v/>
      </c>
      <c r="B1147" t="str">
        <f>IF(AND(FORSIDE!$B$8&gt;=20,FORSIDE!$F$8&gt;=4,FORSIDE!$B$5&gt;=1),354+4*FORSIDE!$F$9,"")</f>
        <v/>
      </c>
      <c r="C1147" t="str">
        <f>IF(AND(FORSIDE!$B$8&gt;=20,FORSIDE!$F$8&gt;=4,FORSIDE!$B$5&gt;=1),20*FORSIDE!$B$9,"")</f>
        <v/>
      </c>
      <c r="D1147" t="str">
        <f>IF(AND(FORSIDE!$B$8&gt;=20,FORSIDE!$F$8&gt;=4,FORSIDE!$B$5&gt;=1),FORSIDE!$B$6+(1-1)*FORSIDE!$B$7,"")</f>
        <v/>
      </c>
    </row>
    <row r="1148" spans="1:4" x14ac:dyDescent="0.3">
      <c r="A1148" t="str">
        <f>IF(AND(FORSIDE!$B$8&gt;=20,FORSIDE!$F$8&gt;=4,FORSIDE!$B$5&gt;=2),1147,"")</f>
        <v/>
      </c>
      <c r="B1148" t="str">
        <f>IF(AND(FORSIDE!$B$8&gt;=20,FORSIDE!$F$8&gt;=4,FORSIDE!$B$5&gt;=2),354+4*FORSIDE!$F$9,"")</f>
        <v/>
      </c>
      <c r="C1148" t="str">
        <f>IF(AND(FORSIDE!$B$8&gt;=20,FORSIDE!$F$8&gt;=4,FORSIDE!$B$5&gt;=2),20*FORSIDE!$B$9,"")</f>
        <v/>
      </c>
      <c r="D1148" t="str">
        <f>IF(AND(FORSIDE!$B$8&gt;=20,FORSIDE!$F$8&gt;=4,FORSIDE!$B$5&gt;=2),FORSIDE!$B$6+(2-1)*FORSIDE!$B$7,"")</f>
        <v/>
      </c>
    </row>
    <row r="1149" spans="1:4" x14ac:dyDescent="0.3">
      <c r="A1149" t="str">
        <f>IF(AND(FORSIDE!$B$8&gt;=20,FORSIDE!$F$8&gt;=4,FORSIDE!$B$5&gt;=3),1148,"")</f>
        <v/>
      </c>
      <c r="B1149" t="str">
        <f>IF(AND(FORSIDE!$B$8&gt;=20,FORSIDE!$F$8&gt;=4,FORSIDE!$B$5&gt;=3),354+4*FORSIDE!$F$9,"")</f>
        <v/>
      </c>
      <c r="C1149" t="str">
        <f>IF(AND(FORSIDE!$B$8&gt;=20,FORSIDE!$F$8&gt;=4,FORSIDE!$B$5&gt;=3),20*FORSIDE!$B$9,"")</f>
        <v/>
      </c>
      <c r="D1149" t="str">
        <f>IF(AND(FORSIDE!$B$8&gt;=20,FORSIDE!$F$8&gt;=4,FORSIDE!$B$5&gt;=3),FORSIDE!$B$6+(3-1)*FORSIDE!$B$7,"")</f>
        <v/>
      </c>
    </row>
    <row r="1150" spans="1:4" x14ac:dyDescent="0.3">
      <c r="A1150" t="str">
        <f>IF(AND(FORSIDE!$B$8&gt;=20,FORSIDE!$F$8&gt;=4,FORSIDE!$B$5&gt;=4),1149,"")</f>
        <v/>
      </c>
      <c r="B1150" t="str">
        <f>IF(AND(FORSIDE!$B$8&gt;=20,FORSIDE!$F$8&gt;=4,FORSIDE!$B$5&gt;=4),354+4*FORSIDE!$F$9,"")</f>
        <v/>
      </c>
      <c r="C1150" t="str">
        <f>IF(AND(FORSIDE!$B$8&gt;=20,FORSIDE!$F$8&gt;=4,FORSIDE!$B$5&gt;=4),20*FORSIDE!$B$9,"")</f>
        <v/>
      </c>
      <c r="D1150" t="str">
        <f>IF(AND(FORSIDE!$B$8&gt;=20,FORSIDE!$F$8&gt;=4,FORSIDE!$B$5&gt;=4),FORSIDE!$B$6+(4-1)*FORSIDE!$B$7,"")</f>
        <v/>
      </c>
    </row>
    <row r="1151" spans="1:4" x14ac:dyDescent="0.3">
      <c r="A1151" t="str">
        <f>IF(AND(FORSIDE!$B$8&gt;=20,FORSIDE!$F$8&gt;=4,FORSIDE!$B$5&gt;=5),1150,"")</f>
        <v/>
      </c>
      <c r="B1151" t="str">
        <f>IF(AND(FORSIDE!$B$8&gt;=20,FORSIDE!$F$8&gt;=4,FORSIDE!$B$5&gt;=5),354+4*FORSIDE!$F$9,"")</f>
        <v/>
      </c>
      <c r="C1151" t="str">
        <f>IF(AND(FORSIDE!$B$8&gt;=20,FORSIDE!$F$8&gt;=4,FORSIDE!$B$5&gt;=5),20*FORSIDE!$B$9,"")</f>
        <v/>
      </c>
      <c r="D1151" t="str">
        <f>IF(AND(FORSIDE!$B$8&gt;=20,FORSIDE!$F$8&gt;=4,FORSIDE!$B$5&gt;=5),FORSIDE!$B$6+(5-1)*FORSIDE!$B$7,"")</f>
        <v/>
      </c>
    </row>
    <row r="1152" spans="1:4" x14ac:dyDescent="0.3">
      <c r="A1152" t="str">
        <f>IF(AND(FORSIDE!$B$8&gt;=20,FORSIDE!$F$8&gt;=4,FORSIDE!$B$5&gt;=6),1151,"")</f>
        <v/>
      </c>
      <c r="B1152" t="str">
        <f>IF(AND(FORSIDE!$B$8&gt;=20,FORSIDE!$F$8&gt;=4,FORSIDE!$B$5&gt;=6),354+4*FORSIDE!$F$9,"")</f>
        <v/>
      </c>
      <c r="C1152" t="str">
        <f>IF(AND(FORSIDE!$B$8&gt;=20,FORSIDE!$F$8&gt;=4,FORSIDE!$B$5&gt;=6),20*FORSIDE!$B$9,"")</f>
        <v/>
      </c>
      <c r="D1152" t="str">
        <f>IF(AND(FORSIDE!$B$8&gt;=20,FORSIDE!$F$8&gt;=4,FORSIDE!$B$5&gt;=6),FORSIDE!$B$6+(6-1)*FORSIDE!$B$7,"")</f>
        <v/>
      </c>
    </row>
    <row r="1153" spans="1:4" x14ac:dyDescent="0.3">
      <c r="A1153" t="str">
        <f>IF(AND(FORSIDE!$B$8&gt;=20,FORSIDE!$F$8&gt;=4,FORSIDE!$B$5&gt;=7),1152,"")</f>
        <v/>
      </c>
      <c r="B1153" t="str">
        <f>IF(AND(FORSIDE!$B$8&gt;=20,FORSIDE!$F$8&gt;=4,FORSIDE!$B$5&gt;=7),354+4*FORSIDE!$F$9,"")</f>
        <v/>
      </c>
      <c r="C1153" t="str">
        <f>IF(AND(FORSIDE!$B$8&gt;=20,FORSIDE!$F$8&gt;=4,FORSIDE!$B$5&gt;=7),20*FORSIDE!$B$9,"")</f>
        <v/>
      </c>
      <c r="D1153" t="str">
        <f>IF(AND(FORSIDE!$B$8&gt;=20,FORSIDE!$F$8&gt;=4,FORSIDE!$B$5&gt;=7),FORSIDE!$B$6+(7-1)*FORSIDE!$B$7,"")</f>
        <v/>
      </c>
    </row>
    <row r="1154" spans="1:4" x14ac:dyDescent="0.3">
      <c r="A1154" t="str">
        <f>IF(AND(FORSIDE!$B$8&gt;=20,FORSIDE!$F$8&gt;=4,FORSIDE!$B$5&gt;=8),1153,"")</f>
        <v/>
      </c>
      <c r="B1154" t="str">
        <f>IF(AND(FORSIDE!$B$8&gt;=20,FORSIDE!$F$8&gt;=4,FORSIDE!$B$5&gt;=8),354+4*FORSIDE!$F$9,"")</f>
        <v/>
      </c>
      <c r="C1154" t="str">
        <f>IF(AND(FORSIDE!$B$8&gt;=20,FORSIDE!$F$8&gt;=4,FORSIDE!$B$5&gt;=8),20*FORSIDE!$B$9,"")</f>
        <v/>
      </c>
      <c r="D1154" t="str">
        <f>IF(AND(FORSIDE!$B$8&gt;=20,FORSIDE!$F$8&gt;=4,FORSIDE!$B$5&gt;=8),FORSIDE!$B$6+(8-1)*FORSIDE!$B$7,"")</f>
        <v/>
      </c>
    </row>
    <row r="1155" spans="1:4" x14ac:dyDescent="0.3">
      <c r="A1155" t="str">
        <f>IF(AND(FORSIDE!$B$8&gt;=20,FORSIDE!$F$8&gt;=4,FORSIDE!$B$5&gt;=9),1154,"")</f>
        <v/>
      </c>
      <c r="B1155" t="str">
        <f>IF(AND(FORSIDE!$B$8&gt;=20,FORSIDE!$F$8&gt;=4,FORSIDE!$B$5&gt;=9),354+4*FORSIDE!$F$9,"")</f>
        <v/>
      </c>
      <c r="C1155" t="str">
        <f>IF(AND(FORSIDE!$B$8&gt;=20,FORSIDE!$F$8&gt;=4,FORSIDE!$B$5&gt;=9),20*FORSIDE!$B$9,"")</f>
        <v/>
      </c>
      <c r="D1155" t="str">
        <f>IF(AND(FORSIDE!$B$8&gt;=20,FORSIDE!$F$8&gt;=4,FORSIDE!$B$5&gt;=9),FORSIDE!$B$6+(9-1)*FORSIDE!$B$7,"")</f>
        <v/>
      </c>
    </row>
    <row r="1156" spans="1:4" x14ac:dyDescent="0.3">
      <c r="A1156" t="str">
        <f>IF(AND(FORSIDE!$B$8&gt;=20,FORSIDE!$F$8&gt;=4,FORSIDE!$B$5&gt;=10),1155,"")</f>
        <v/>
      </c>
      <c r="B1156" t="str">
        <f>IF(AND(FORSIDE!$B$8&gt;=20,FORSIDE!$F$8&gt;=4,FORSIDE!$B$5&gt;=10),354+4*FORSIDE!$F$9,"")</f>
        <v/>
      </c>
      <c r="C1156" t="str">
        <f>IF(AND(FORSIDE!$B$8&gt;=20,FORSIDE!$F$8&gt;=4,FORSIDE!$B$5&gt;=10),20*FORSIDE!$B$9,"")</f>
        <v/>
      </c>
      <c r="D1156" t="str">
        <f>IF(AND(FORSIDE!$B$8&gt;=20,FORSIDE!$F$8&gt;=4,FORSIDE!$B$5&gt;=10),FORSIDE!$B$6+(10-1)*FORSIDE!$B$7,"")</f>
        <v/>
      </c>
    </row>
    <row r="1157" spans="1:4" x14ac:dyDescent="0.3">
      <c r="A1157" t="str">
        <f>IF(AND(FORSIDE!$B$8&gt;=0,FORSIDE!$F$8&gt;=5,FORSIDE!$B$5&gt;=0),1156,"")</f>
        <v/>
      </c>
      <c r="B1157" t="str">
        <f>IF(AND(FORSIDE!$B$8&gt;=0,FORSIDE!$F$8&gt;=5,FORSIDE!$B$5&gt;=0),354+5*FORSIDE!$F$9,"")</f>
        <v/>
      </c>
      <c r="C1157" t="str">
        <f>IF(AND(FORSIDE!$B$8&gt;=0,FORSIDE!$F$8&gt;=5,FORSIDE!$B$5&gt;=0),0*FORSIDE!$B$9,"")</f>
        <v/>
      </c>
      <c r="D1157" t="str">
        <f>IF(AND(FORSIDE!$B$8&gt;=0,FORSIDE!$F$8&gt;=5,FORSIDE!$B$5&gt;=0),0,"")</f>
        <v/>
      </c>
    </row>
    <row r="1158" spans="1:4" x14ac:dyDescent="0.3">
      <c r="A1158" t="str">
        <f>IF(AND(FORSIDE!$B$8&gt;=0,FORSIDE!$F$8&gt;=5,FORSIDE!$B$5&gt;=1),1157,"")</f>
        <v/>
      </c>
      <c r="B1158" t="str">
        <f>IF(AND(FORSIDE!$B$8&gt;=0,FORSIDE!$F$8&gt;=5,FORSIDE!$B$5&gt;=1),354+5*FORSIDE!$F$9,"")</f>
        <v/>
      </c>
      <c r="C1158" t="str">
        <f>IF(AND(FORSIDE!$B$8&gt;=0,FORSIDE!$F$8&gt;=5,FORSIDE!$B$5&gt;=1),0*FORSIDE!$B$9,"")</f>
        <v/>
      </c>
      <c r="D1158" t="str">
        <f>IF(AND(FORSIDE!$B$8&gt;=0,FORSIDE!$F$8&gt;=5,FORSIDE!$B$5&gt;=1),FORSIDE!$B$6+(1-1)*FORSIDE!$B$7,"")</f>
        <v/>
      </c>
    </row>
    <row r="1159" spans="1:4" x14ac:dyDescent="0.3">
      <c r="A1159" t="str">
        <f>IF(AND(FORSIDE!$B$8&gt;=0,FORSIDE!$F$8&gt;=5,FORSIDE!$B$5&gt;=2),1158,"")</f>
        <v/>
      </c>
      <c r="B1159" t="str">
        <f>IF(AND(FORSIDE!$B$8&gt;=0,FORSIDE!$F$8&gt;=5,FORSIDE!$B$5&gt;=2),354+5*FORSIDE!$F$9,"")</f>
        <v/>
      </c>
      <c r="C1159" t="str">
        <f>IF(AND(FORSIDE!$B$8&gt;=0,FORSIDE!$F$8&gt;=5,FORSIDE!$B$5&gt;=2),0*FORSIDE!$B$9,"")</f>
        <v/>
      </c>
      <c r="D1159" t="str">
        <f>IF(AND(FORSIDE!$B$8&gt;=0,FORSIDE!$F$8&gt;=5,FORSIDE!$B$5&gt;=2),FORSIDE!$B$6+(2-1)*FORSIDE!$B$7,"")</f>
        <v/>
      </c>
    </row>
    <row r="1160" spans="1:4" x14ac:dyDescent="0.3">
      <c r="A1160" t="str">
        <f>IF(AND(FORSIDE!$B$8&gt;=0,FORSIDE!$F$8&gt;=5,FORSIDE!$B$5&gt;=3),1159,"")</f>
        <v/>
      </c>
      <c r="B1160" t="str">
        <f>IF(AND(FORSIDE!$B$8&gt;=0,FORSIDE!$F$8&gt;=5,FORSIDE!$B$5&gt;=3),354+5*FORSIDE!$F$9,"")</f>
        <v/>
      </c>
      <c r="C1160" t="str">
        <f>IF(AND(FORSIDE!$B$8&gt;=0,FORSIDE!$F$8&gt;=5,FORSIDE!$B$5&gt;=3),0*FORSIDE!$B$9,"")</f>
        <v/>
      </c>
      <c r="D1160" t="str">
        <f>IF(AND(FORSIDE!$B$8&gt;=0,FORSIDE!$F$8&gt;=5,FORSIDE!$B$5&gt;=3),FORSIDE!$B$6+(3-1)*FORSIDE!$B$7,"")</f>
        <v/>
      </c>
    </row>
    <row r="1161" spans="1:4" x14ac:dyDescent="0.3">
      <c r="A1161" t="str">
        <f>IF(AND(FORSIDE!$B$8&gt;=0,FORSIDE!$F$8&gt;=5,FORSIDE!$B$5&gt;=4),1160,"")</f>
        <v/>
      </c>
      <c r="B1161" t="str">
        <f>IF(AND(FORSIDE!$B$8&gt;=0,FORSIDE!$F$8&gt;=5,FORSIDE!$B$5&gt;=4),354+5*FORSIDE!$F$9,"")</f>
        <v/>
      </c>
      <c r="C1161" t="str">
        <f>IF(AND(FORSIDE!$B$8&gt;=0,FORSIDE!$F$8&gt;=5,FORSIDE!$B$5&gt;=4),0*FORSIDE!$B$9,"")</f>
        <v/>
      </c>
      <c r="D1161" t="str">
        <f>IF(AND(FORSIDE!$B$8&gt;=0,FORSIDE!$F$8&gt;=5,FORSIDE!$B$5&gt;=4),FORSIDE!$B$6+(4-1)*FORSIDE!$B$7,"")</f>
        <v/>
      </c>
    </row>
    <row r="1162" spans="1:4" x14ac:dyDescent="0.3">
      <c r="A1162" t="str">
        <f>IF(AND(FORSIDE!$B$8&gt;=0,FORSIDE!$F$8&gt;=5,FORSIDE!$B$5&gt;=5),1161,"")</f>
        <v/>
      </c>
      <c r="B1162" t="str">
        <f>IF(AND(FORSIDE!$B$8&gt;=0,FORSIDE!$F$8&gt;=5,FORSIDE!$B$5&gt;=5),354+5*FORSIDE!$F$9,"")</f>
        <v/>
      </c>
      <c r="C1162" t="str">
        <f>IF(AND(FORSIDE!$B$8&gt;=0,FORSIDE!$F$8&gt;=5,FORSIDE!$B$5&gt;=5),0*FORSIDE!$B$9,"")</f>
        <v/>
      </c>
      <c r="D1162" t="str">
        <f>IF(AND(FORSIDE!$B$8&gt;=0,FORSIDE!$F$8&gt;=5,FORSIDE!$B$5&gt;=5),FORSIDE!$B$6+(5-1)*FORSIDE!$B$7,"")</f>
        <v/>
      </c>
    </row>
    <row r="1163" spans="1:4" x14ac:dyDescent="0.3">
      <c r="A1163" t="str">
        <f>IF(AND(FORSIDE!$B$8&gt;=0,FORSIDE!$F$8&gt;=5,FORSIDE!$B$5&gt;=6),1162,"")</f>
        <v/>
      </c>
      <c r="B1163" t="str">
        <f>IF(AND(FORSIDE!$B$8&gt;=0,FORSIDE!$F$8&gt;=5,FORSIDE!$B$5&gt;=6),354+5*FORSIDE!$F$9,"")</f>
        <v/>
      </c>
      <c r="C1163" t="str">
        <f>IF(AND(FORSIDE!$B$8&gt;=0,FORSIDE!$F$8&gt;=5,FORSIDE!$B$5&gt;=6),0*FORSIDE!$B$9,"")</f>
        <v/>
      </c>
      <c r="D1163" t="str">
        <f>IF(AND(FORSIDE!$B$8&gt;=0,FORSIDE!$F$8&gt;=5,FORSIDE!$B$5&gt;=6),FORSIDE!$B$6+(6-1)*FORSIDE!$B$7,"")</f>
        <v/>
      </c>
    </row>
    <row r="1164" spans="1:4" x14ac:dyDescent="0.3">
      <c r="A1164" t="str">
        <f>IF(AND(FORSIDE!$B$8&gt;=0,FORSIDE!$F$8&gt;=5,FORSIDE!$B$5&gt;=7),1163,"")</f>
        <v/>
      </c>
      <c r="B1164" t="str">
        <f>IF(AND(FORSIDE!$B$8&gt;=0,FORSIDE!$F$8&gt;=5,FORSIDE!$B$5&gt;=7),354+5*FORSIDE!$F$9,"")</f>
        <v/>
      </c>
      <c r="C1164" t="str">
        <f>IF(AND(FORSIDE!$B$8&gt;=0,FORSIDE!$F$8&gt;=5,FORSIDE!$B$5&gt;=7),0*FORSIDE!$B$9,"")</f>
        <v/>
      </c>
      <c r="D1164" t="str">
        <f>IF(AND(FORSIDE!$B$8&gt;=0,FORSIDE!$F$8&gt;=5,FORSIDE!$B$5&gt;=7),FORSIDE!$B$6+(7-1)*FORSIDE!$B$7,"")</f>
        <v/>
      </c>
    </row>
    <row r="1165" spans="1:4" x14ac:dyDescent="0.3">
      <c r="A1165" t="str">
        <f>IF(AND(FORSIDE!$B$8&gt;=0,FORSIDE!$F$8&gt;=5,FORSIDE!$B$5&gt;=8),1164,"")</f>
        <v/>
      </c>
      <c r="B1165" t="str">
        <f>IF(AND(FORSIDE!$B$8&gt;=0,FORSIDE!$F$8&gt;=5,FORSIDE!$B$5&gt;=8),354+5*FORSIDE!$F$9,"")</f>
        <v/>
      </c>
      <c r="C1165" t="str">
        <f>IF(AND(FORSIDE!$B$8&gt;=0,FORSIDE!$F$8&gt;=5,FORSIDE!$B$5&gt;=8),0*FORSIDE!$B$9,"")</f>
        <v/>
      </c>
      <c r="D1165" t="str">
        <f>IF(AND(FORSIDE!$B$8&gt;=0,FORSIDE!$F$8&gt;=5,FORSIDE!$B$5&gt;=8),FORSIDE!$B$6+(8-1)*FORSIDE!$B$7,"")</f>
        <v/>
      </c>
    </row>
    <row r="1166" spans="1:4" x14ac:dyDescent="0.3">
      <c r="A1166" t="str">
        <f>IF(AND(FORSIDE!$B$8&gt;=0,FORSIDE!$F$8&gt;=5,FORSIDE!$B$5&gt;=9),1165,"")</f>
        <v/>
      </c>
      <c r="B1166" t="str">
        <f>IF(AND(FORSIDE!$B$8&gt;=0,FORSIDE!$F$8&gt;=5,FORSIDE!$B$5&gt;=9),354+5*FORSIDE!$F$9,"")</f>
        <v/>
      </c>
      <c r="C1166" t="str">
        <f>IF(AND(FORSIDE!$B$8&gt;=0,FORSIDE!$F$8&gt;=5,FORSIDE!$B$5&gt;=9),0*FORSIDE!$B$9,"")</f>
        <v/>
      </c>
      <c r="D1166" t="str">
        <f>IF(AND(FORSIDE!$B$8&gt;=0,FORSIDE!$F$8&gt;=5,FORSIDE!$B$5&gt;=9),FORSIDE!$B$6+(9-1)*FORSIDE!$B$7,"")</f>
        <v/>
      </c>
    </row>
    <row r="1167" spans="1:4" x14ac:dyDescent="0.3">
      <c r="A1167" t="str">
        <f>IF(AND(FORSIDE!$B$8&gt;=0,FORSIDE!$F$8&gt;=5,FORSIDE!$B$5&gt;=10),1166,"")</f>
        <v/>
      </c>
      <c r="B1167" t="str">
        <f>IF(AND(FORSIDE!$B$8&gt;=0,FORSIDE!$F$8&gt;=5,FORSIDE!$B$5&gt;=10),354+5*FORSIDE!$F$9,"")</f>
        <v/>
      </c>
      <c r="C1167" t="str">
        <f>IF(AND(FORSIDE!$B$8&gt;=0,FORSIDE!$F$8&gt;=5,FORSIDE!$B$5&gt;=10),0*FORSIDE!$B$9,"")</f>
        <v/>
      </c>
      <c r="D1167" t="str">
        <f>IF(AND(FORSIDE!$B$8&gt;=0,FORSIDE!$F$8&gt;=5,FORSIDE!$B$5&gt;=10),FORSIDE!$B$6+(10-1)*FORSIDE!$B$7,"")</f>
        <v/>
      </c>
    </row>
    <row r="1168" spans="1:4" x14ac:dyDescent="0.3">
      <c r="A1168" t="str">
        <f>IF(AND(FORSIDE!$B$8&gt;=1,FORSIDE!$F$8&gt;=5,FORSIDE!$B$5&gt;=0),1167,"")</f>
        <v/>
      </c>
      <c r="B1168" t="str">
        <f>IF(AND(FORSIDE!$B$8&gt;=1,FORSIDE!$F$8&gt;=5,FORSIDE!$B$5&gt;=0),354+5*FORSIDE!$F$9,"")</f>
        <v/>
      </c>
      <c r="C1168" t="str">
        <f>IF(AND(FORSIDE!$B$8&gt;=1,FORSIDE!$F$8&gt;=5,FORSIDE!$B$5&gt;=0),1*FORSIDE!$B$9,"")</f>
        <v/>
      </c>
      <c r="D1168" t="str">
        <f>IF(AND(FORSIDE!$B$8&gt;=1,FORSIDE!$F$8&gt;=5,FORSIDE!$B$5&gt;=0),0,"")</f>
        <v/>
      </c>
    </row>
    <row r="1169" spans="1:4" x14ac:dyDescent="0.3">
      <c r="A1169" t="str">
        <f>IF(AND(FORSIDE!$B$8&gt;=1,FORSIDE!$F$8&gt;=5,FORSIDE!$B$5&gt;=1),1168,"")</f>
        <v/>
      </c>
      <c r="B1169" t="str">
        <f>IF(AND(FORSIDE!$B$8&gt;=1,FORSIDE!$F$8&gt;=5,FORSIDE!$B$5&gt;=1),354+5*FORSIDE!$F$9,"")</f>
        <v/>
      </c>
      <c r="C1169" t="str">
        <f>IF(AND(FORSIDE!$B$8&gt;=1,FORSIDE!$F$8&gt;=5,FORSIDE!$B$5&gt;=1),1*FORSIDE!$B$9,"")</f>
        <v/>
      </c>
      <c r="D1169" t="str">
        <f>IF(AND(FORSIDE!$B$8&gt;=1,FORSIDE!$F$8&gt;=5,FORSIDE!$B$5&gt;=1),FORSIDE!$B$6+(1-1)*FORSIDE!$B$7,"")</f>
        <v/>
      </c>
    </row>
    <row r="1170" spans="1:4" x14ac:dyDescent="0.3">
      <c r="A1170" t="str">
        <f>IF(AND(FORSIDE!$B$8&gt;=1,FORSIDE!$F$8&gt;=5,FORSIDE!$B$5&gt;=2),1169,"")</f>
        <v/>
      </c>
      <c r="B1170" t="str">
        <f>IF(AND(FORSIDE!$B$8&gt;=1,FORSIDE!$F$8&gt;=5,FORSIDE!$B$5&gt;=2),354+5*FORSIDE!$F$9,"")</f>
        <v/>
      </c>
      <c r="C1170" t="str">
        <f>IF(AND(FORSIDE!$B$8&gt;=1,FORSIDE!$F$8&gt;=5,FORSIDE!$B$5&gt;=2),1*FORSIDE!$B$9,"")</f>
        <v/>
      </c>
      <c r="D1170" t="str">
        <f>IF(AND(FORSIDE!$B$8&gt;=1,FORSIDE!$F$8&gt;=5,FORSIDE!$B$5&gt;=2),FORSIDE!$B$6+(2-1)*FORSIDE!$B$7,"")</f>
        <v/>
      </c>
    </row>
    <row r="1171" spans="1:4" x14ac:dyDescent="0.3">
      <c r="A1171" t="str">
        <f>IF(AND(FORSIDE!$B$8&gt;=1,FORSIDE!$F$8&gt;=5,FORSIDE!$B$5&gt;=3),1170,"")</f>
        <v/>
      </c>
      <c r="B1171" t="str">
        <f>IF(AND(FORSIDE!$B$8&gt;=1,FORSIDE!$F$8&gt;=5,FORSIDE!$B$5&gt;=3),354+5*FORSIDE!$F$9,"")</f>
        <v/>
      </c>
      <c r="C1171" t="str">
        <f>IF(AND(FORSIDE!$B$8&gt;=1,FORSIDE!$F$8&gt;=5,FORSIDE!$B$5&gt;=3),1*FORSIDE!$B$9,"")</f>
        <v/>
      </c>
      <c r="D1171" t="str">
        <f>IF(AND(FORSIDE!$B$8&gt;=1,FORSIDE!$F$8&gt;=5,FORSIDE!$B$5&gt;=3),FORSIDE!$B$6+(3-1)*FORSIDE!$B$7,"")</f>
        <v/>
      </c>
    </row>
    <row r="1172" spans="1:4" x14ac:dyDescent="0.3">
      <c r="A1172" t="str">
        <f>IF(AND(FORSIDE!$B$8&gt;=1,FORSIDE!$F$8&gt;=5,FORSIDE!$B$5&gt;=4),1171,"")</f>
        <v/>
      </c>
      <c r="B1172" t="str">
        <f>IF(AND(FORSIDE!$B$8&gt;=1,FORSIDE!$F$8&gt;=5,FORSIDE!$B$5&gt;=4),354+5*FORSIDE!$F$9,"")</f>
        <v/>
      </c>
      <c r="C1172" t="str">
        <f>IF(AND(FORSIDE!$B$8&gt;=1,FORSIDE!$F$8&gt;=5,FORSIDE!$B$5&gt;=4),1*FORSIDE!$B$9,"")</f>
        <v/>
      </c>
      <c r="D1172" t="str">
        <f>IF(AND(FORSIDE!$B$8&gt;=1,FORSIDE!$F$8&gt;=5,FORSIDE!$B$5&gt;=4),FORSIDE!$B$6+(4-1)*FORSIDE!$B$7,"")</f>
        <v/>
      </c>
    </row>
    <row r="1173" spans="1:4" x14ac:dyDescent="0.3">
      <c r="A1173" t="str">
        <f>IF(AND(FORSIDE!$B$8&gt;=1,FORSIDE!$F$8&gt;=5,FORSIDE!$B$5&gt;=5),1172,"")</f>
        <v/>
      </c>
      <c r="B1173" t="str">
        <f>IF(AND(FORSIDE!$B$8&gt;=1,FORSIDE!$F$8&gt;=5,FORSIDE!$B$5&gt;=5),354+5*FORSIDE!$F$9,"")</f>
        <v/>
      </c>
      <c r="C1173" t="str">
        <f>IF(AND(FORSIDE!$B$8&gt;=1,FORSIDE!$F$8&gt;=5,FORSIDE!$B$5&gt;=5),1*FORSIDE!$B$9,"")</f>
        <v/>
      </c>
      <c r="D1173" t="str">
        <f>IF(AND(FORSIDE!$B$8&gt;=1,FORSIDE!$F$8&gt;=5,FORSIDE!$B$5&gt;=5),FORSIDE!$B$6+(5-1)*FORSIDE!$B$7,"")</f>
        <v/>
      </c>
    </row>
    <row r="1174" spans="1:4" x14ac:dyDescent="0.3">
      <c r="A1174" t="str">
        <f>IF(AND(FORSIDE!$B$8&gt;=1,FORSIDE!$F$8&gt;=5,FORSIDE!$B$5&gt;=6),1173,"")</f>
        <v/>
      </c>
      <c r="B1174" t="str">
        <f>IF(AND(FORSIDE!$B$8&gt;=1,FORSIDE!$F$8&gt;=5,FORSIDE!$B$5&gt;=6),354+5*FORSIDE!$F$9,"")</f>
        <v/>
      </c>
      <c r="C1174" t="str">
        <f>IF(AND(FORSIDE!$B$8&gt;=1,FORSIDE!$F$8&gt;=5,FORSIDE!$B$5&gt;=6),1*FORSIDE!$B$9,"")</f>
        <v/>
      </c>
      <c r="D1174" t="str">
        <f>IF(AND(FORSIDE!$B$8&gt;=1,FORSIDE!$F$8&gt;=5,FORSIDE!$B$5&gt;=6),FORSIDE!$B$6+(6-1)*FORSIDE!$B$7,"")</f>
        <v/>
      </c>
    </row>
    <row r="1175" spans="1:4" x14ac:dyDescent="0.3">
      <c r="A1175" t="str">
        <f>IF(AND(FORSIDE!$B$8&gt;=1,FORSIDE!$F$8&gt;=5,FORSIDE!$B$5&gt;=7),1174,"")</f>
        <v/>
      </c>
      <c r="B1175" t="str">
        <f>IF(AND(FORSIDE!$B$8&gt;=1,FORSIDE!$F$8&gt;=5,FORSIDE!$B$5&gt;=7),354+5*FORSIDE!$F$9,"")</f>
        <v/>
      </c>
      <c r="C1175" t="str">
        <f>IF(AND(FORSIDE!$B$8&gt;=1,FORSIDE!$F$8&gt;=5,FORSIDE!$B$5&gt;=7),1*FORSIDE!$B$9,"")</f>
        <v/>
      </c>
      <c r="D1175" t="str">
        <f>IF(AND(FORSIDE!$B$8&gt;=1,FORSIDE!$F$8&gt;=5,FORSIDE!$B$5&gt;=7),FORSIDE!$B$6+(7-1)*FORSIDE!$B$7,"")</f>
        <v/>
      </c>
    </row>
    <row r="1176" spans="1:4" x14ac:dyDescent="0.3">
      <c r="A1176" t="str">
        <f>IF(AND(FORSIDE!$B$8&gt;=1,FORSIDE!$F$8&gt;=5,FORSIDE!$B$5&gt;=8),1175,"")</f>
        <v/>
      </c>
      <c r="B1176" t="str">
        <f>IF(AND(FORSIDE!$B$8&gt;=1,FORSIDE!$F$8&gt;=5,FORSIDE!$B$5&gt;=8),354+5*FORSIDE!$F$9,"")</f>
        <v/>
      </c>
      <c r="C1176" t="str">
        <f>IF(AND(FORSIDE!$B$8&gt;=1,FORSIDE!$F$8&gt;=5,FORSIDE!$B$5&gt;=8),1*FORSIDE!$B$9,"")</f>
        <v/>
      </c>
      <c r="D1176" t="str">
        <f>IF(AND(FORSIDE!$B$8&gt;=1,FORSIDE!$F$8&gt;=5,FORSIDE!$B$5&gt;=8),FORSIDE!$B$6+(8-1)*FORSIDE!$B$7,"")</f>
        <v/>
      </c>
    </row>
    <row r="1177" spans="1:4" x14ac:dyDescent="0.3">
      <c r="A1177" t="str">
        <f>IF(AND(FORSIDE!$B$8&gt;=1,FORSIDE!$F$8&gt;=5,FORSIDE!$B$5&gt;=9),1176,"")</f>
        <v/>
      </c>
      <c r="B1177" t="str">
        <f>IF(AND(FORSIDE!$B$8&gt;=1,FORSIDE!$F$8&gt;=5,FORSIDE!$B$5&gt;=9),354+5*FORSIDE!$F$9,"")</f>
        <v/>
      </c>
      <c r="C1177" t="str">
        <f>IF(AND(FORSIDE!$B$8&gt;=1,FORSIDE!$F$8&gt;=5,FORSIDE!$B$5&gt;=9),1*FORSIDE!$B$9,"")</f>
        <v/>
      </c>
      <c r="D1177" t="str">
        <f>IF(AND(FORSIDE!$B$8&gt;=1,FORSIDE!$F$8&gt;=5,FORSIDE!$B$5&gt;=9),FORSIDE!$B$6+(9-1)*FORSIDE!$B$7,"")</f>
        <v/>
      </c>
    </row>
    <row r="1178" spans="1:4" x14ac:dyDescent="0.3">
      <c r="A1178" t="str">
        <f>IF(AND(FORSIDE!$B$8&gt;=1,FORSIDE!$F$8&gt;=5,FORSIDE!$B$5&gt;=10),1177,"")</f>
        <v/>
      </c>
      <c r="B1178" t="str">
        <f>IF(AND(FORSIDE!$B$8&gt;=1,FORSIDE!$F$8&gt;=5,FORSIDE!$B$5&gt;=10),354+5*FORSIDE!$F$9,"")</f>
        <v/>
      </c>
      <c r="C1178" t="str">
        <f>IF(AND(FORSIDE!$B$8&gt;=1,FORSIDE!$F$8&gt;=5,FORSIDE!$B$5&gt;=10),1*FORSIDE!$B$9,"")</f>
        <v/>
      </c>
      <c r="D1178" t="str">
        <f>IF(AND(FORSIDE!$B$8&gt;=1,FORSIDE!$F$8&gt;=5,FORSIDE!$B$5&gt;=10),FORSIDE!$B$6+(10-1)*FORSIDE!$B$7,"")</f>
        <v/>
      </c>
    </row>
    <row r="1179" spans="1:4" x14ac:dyDescent="0.3">
      <c r="A1179" t="str">
        <f>IF(AND(FORSIDE!$B$8&gt;=2,FORSIDE!$F$8&gt;=5,FORSIDE!$B$5&gt;=0),1178,"")</f>
        <v/>
      </c>
      <c r="B1179" t="str">
        <f>IF(AND(FORSIDE!$B$8&gt;=2,FORSIDE!$F$8&gt;=5,FORSIDE!$B$5&gt;=0),354+5*FORSIDE!$F$9,"")</f>
        <v/>
      </c>
      <c r="C1179" t="str">
        <f>IF(AND(FORSIDE!$B$8&gt;=2,FORSIDE!$F$8&gt;=5,FORSIDE!$B$5&gt;=0),2*FORSIDE!$B$9,"")</f>
        <v/>
      </c>
      <c r="D1179" t="str">
        <f>IF(AND(FORSIDE!$B$8&gt;=2,FORSIDE!$F$8&gt;=5,FORSIDE!$B$5&gt;=0),0,"")</f>
        <v/>
      </c>
    </row>
    <row r="1180" spans="1:4" x14ac:dyDescent="0.3">
      <c r="A1180" t="str">
        <f>IF(AND(FORSIDE!$B$8&gt;=2,FORSIDE!$F$8&gt;=5,FORSIDE!$B$5&gt;=1),1179,"")</f>
        <v/>
      </c>
      <c r="B1180" t="str">
        <f>IF(AND(FORSIDE!$B$8&gt;=2,FORSIDE!$F$8&gt;=5,FORSIDE!$B$5&gt;=1),354+5*FORSIDE!$F$9,"")</f>
        <v/>
      </c>
      <c r="C1180" t="str">
        <f>IF(AND(FORSIDE!$B$8&gt;=2,FORSIDE!$F$8&gt;=5,FORSIDE!$B$5&gt;=1),2*FORSIDE!$B$9,"")</f>
        <v/>
      </c>
      <c r="D1180" t="str">
        <f>IF(AND(FORSIDE!$B$8&gt;=2,FORSIDE!$F$8&gt;=5,FORSIDE!$B$5&gt;=1),FORSIDE!$B$6+(1-1)*FORSIDE!$B$7,"")</f>
        <v/>
      </c>
    </row>
    <row r="1181" spans="1:4" x14ac:dyDescent="0.3">
      <c r="A1181" t="str">
        <f>IF(AND(FORSIDE!$B$8&gt;=2,FORSIDE!$F$8&gt;=5,FORSIDE!$B$5&gt;=2),1180,"")</f>
        <v/>
      </c>
      <c r="B1181" t="str">
        <f>IF(AND(FORSIDE!$B$8&gt;=2,FORSIDE!$F$8&gt;=5,FORSIDE!$B$5&gt;=2),354+5*FORSIDE!$F$9,"")</f>
        <v/>
      </c>
      <c r="C1181" t="str">
        <f>IF(AND(FORSIDE!$B$8&gt;=2,FORSIDE!$F$8&gt;=5,FORSIDE!$B$5&gt;=2),2*FORSIDE!$B$9,"")</f>
        <v/>
      </c>
      <c r="D1181" t="str">
        <f>IF(AND(FORSIDE!$B$8&gt;=2,FORSIDE!$F$8&gt;=5,FORSIDE!$B$5&gt;=2),FORSIDE!$B$6+(2-1)*FORSIDE!$B$7,"")</f>
        <v/>
      </c>
    </row>
    <row r="1182" spans="1:4" x14ac:dyDescent="0.3">
      <c r="A1182" t="str">
        <f>IF(AND(FORSIDE!$B$8&gt;=2,FORSIDE!$F$8&gt;=5,FORSIDE!$B$5&gt;=3),1181,"")</f>
        <v/>
      </c>
      <c r="B1182" t="str">
        <f>IF(AND(FORSIDE!$B$8&gt;=2,FORSIDE!$F$8&gt;=5,FORSIDE!$B$5&gt;=3),354+5*FORSIDE!$F$9,"")</f>
        <v/>
      </c>
      <c r="C1182" t="str">
        <f>IF(AND(FORSIDE!$B$8&gt;=2,FORSIDE!$F$8&gt;=5,FORSIDE!$B$5&gt;=3),2*FORSIDE!$B$9,"")</f>
        <v/>
      </c>
      <c r="D1182" t="str">
        <f>IF(AND(FORSIDE!$B$8&gt;=2,FORSIDE!$F$8&gt;=5,FORSIDE!$B$5&gt;=3),FORSIDE!$B$6+(3-1)*FORSIDE!$B$7,"")</f>
        <v/>
      </c>
    </row>
    <row r="1183" spans="1:4" x14ac:dyDescent="0.3">
      <c r="A1183" t="str">
        <f>IF(AND(FORSIDE!$B$8&gt;=2,FORSIDE!$F$8&gt;=5,FORSIDE!$B$5&gt;=4),1182,"")</f>
        <v/>
      </c>
      <c r="B1183" t="str">
        <f>IF(AND(FORSIDE!$B$8&gt;=2,FORSIDE!$F$8&gt;=5,FORSIDE!$B$5&gt;=4),354+5*FORSIDE!$F$9,"")</f>
        <v/>
      </c>
      <c r="C1183" t="str">
        <f>IF(AND(FORSIDE!$B$8&gt;=2,FORSIDE!$F$8&gt;=5,FORSIDE!$B$5&gt;=4),2*FORSIDE!$B$9,"")</f>
        <v/>
      </c>
      <c r="D1183" t="str">
        <f>IF(AND(FORSIDE!$B$8&gt;=2,FORSIDE!$F$8&gt;=5,FORSIDE!$B$5&gt;=4),FORSIDE!$B$6+(4-1)*FORSIDE!$B$7,"")</f>
        <v/>
      </c>
    </row>
    <row r="1184" spans="1:4" x14ac:dyDescent="0.3">
      <c r="A1184" t="str">
        <f>IF(AND(FORSIDE!$B$8&gt;=2,FORSIDE!$F$8&gt;=5,FORSIDE!$B$5&gt;=5),1183,"")</f>
        <v/>
      </c>
      <c r="B1184" t="str">
        <f>IF(AND(FORSIDE!$B$8&gt;=2,FORSIDE!$F$8&gt;=5,FORSIDE!$B$5&gt;=5),354+5*FORSIDE!$F$9,"")</f>
        <v/>
      </c>
      <c r="C1184" t="str">
        <f>IF(AND(FORSIDE!$B$8&gt;=2,FORSIDE!$F$8&gt;=5,FORSIDE!$B$5&gt;=5),2*FORSIDE!$B$9,"")</f>
        <v/>
      </c>
      <c r="D1184" t="str">
        <f>IF(AND(FORSIDE!$B$8&gt;=2,FORSIDE!$F$8&gt;=5,FORSIDE!$B$5&gt;=5),FORSIDE!$B$6+(5-1)*FORSIDE!$B$7,"")</f>
        <v/>
      </c>
    </row>
    <row r="1185" spans="1:4" x14ac:dyDescent="0.3">
      <c r="A1185" t="str">
        <f>IF(AND(FORSIDE!$B$8&gt;=2,FORSIDE!$F$8&gt;=5,FORSIDE!$B$5&gt;=6),1184,"")</f>
        <v/>
      </c>
      <c r="B1185" t="str">
        <f>IF(AND(FORSIDE!$B$8&gt;=2,FORSIDE!$F$8&gt;=5,FORSIDE!$B$5&gt;=6),354+5*FORSIDE!$F$9,"")</f>
        <v/>
      </c>
      <c r="C1185" t="str">
        <f>IF(AND(FORSIDE!$B$8&gt;=2,FORSIDE!$F$8&gt;=5,FORSIDE!$B$5&gt;=6),2*FORSIDE!$B$9,"")</f>
        <v/>
      </c>
      <c r="D1185" t="str">
        <f>IF(AND(FORSIDE!$B$8&gt;=2,FORSIDE!$F$8&gt;=5,FORSIDE!$B$5&gt;=6),FORSIDE!$B$6+(6-1)*FORSIDE!$B$7,"")</f>
        <v/>
      </c>
    </row>
    <row r="1186" spans="1:4" x14ac:dyDescent="0.3">
      <c r="A1186" t="str">
        <f>IF(AND(FORSIDE!$B$8&gt;=2,FORSIDE!$F$8&gt;=5,FORSIDE!$B$5&gt;=7),1185,"")</f>
        <v/>
      </c>
      <c r="B1186" t="str">
        <f>IF(AND(FORSIDE!$B$8&gt;=2,FORSIDE!$F$8&gt;=5,FORSIDE!$B$5&gt;=7),354+5*FORSIDE!$F$9,"")</f>
        <v/>
      </c>
      <c r="C1186" t="str">
        <f>IF(AND(FORSIDE!$B$8&gt;=2,FORSIDE!$F$8&gt;=5,FORSIDE!$B$5&gt;=7),2*FORSIDE!$B$9,"")</f>
        <v/>
      </c>
      <c r="D1186" t="str">
        <f>IF(AND(FORSIDE!$B$8&gt;=2,FORSIDE!$F$8&gt;=5,FORSIDE!$B$5&gt;=7),FORSIDE!$B$6+(7-1)*FORSIDE!$B$7,"")</f>
        <v/>
      </c>
    </row>
    <row r="1187" spans="1:4" x14ac:dyDescent="0.3">
      <c r="A1187" t="str">
        <f>IF(AND(FORSIDE!$B$8&gt;=2,FORSIDE!$F$8&gt;=5,FORSIDE!$B$5&gt;=8),1186,"")</f>
        <v/>
      </c>
      <c r="B1187" t="str">
        <f>IF(AND(FORSIDE!$B$8&gt;=2,FORSIDE!$F$8&gt;=5,FORSIDE!$B$5&gt;=8),354+5*FORSIDE!$F$9,"")</f>
        <v/>
      </c>
      <c r="C1187" t="str">
        <f>IF(AND(FORSIDE!$B$8&gt;=2,FORSIDE!$F$8&gt;=5,FORSIDE!$B$5&gt;=8),2*FORSIDE!$B$9,"")</f>
        <v/>
      </c>
      <c r="D1187" t="str">
        <f>IF(AND(FORSIDE!$B$8&gt;=2,FORSIDE!$F$8&gt;=5,FORSIDE!$B$5&gt;=8),FORSIDE!$B$6+(8-1)*FORSIDE!$B$7,"")</f>
        <v/>
      </c>
    </row>
    <row r="1188" spans="1:4" x14ac:dyDescent="0.3">
      <c r="A1188" t="str">
        <f>IF(AND(FORSIDE!$B$8&gt;=2,FORSIDE!$F$8&gt;=5,FORSIDE!$B$5&gt;=9),1187,"")</f>
        <v/>
      </c>
      <c r="B1188" t="str">
        <f>IF(AND(FORSIDE!$B$8&gt;=2,FORSIDE!$F$8&gt;=5,FORSIDE!$B$5&gt;=9),354+5*FORSIDE!$F$9,"")</f>
        <v/>
      </c>
      <c r="C1188" t="str">
        <f>IF(AND(FORSIDE!$B$8&gt;=2,FORSIDE!$F$8&gt;=5,FORSIDE!$B$5&gt;=9),2*FORSIDE!$B$9,"")</f>
        <v/>
      </c>
      <c r="D1188" t="str">
        <f>IF(AND(FORSIDE!$B$8&gt;=2,FORSIDE!$F$8&gt;=5,FORSIDE!$B$5&gt;=9),FORSIDE!$B$6+(9-1)*FORSIDE!$B$7,"")</f>
        <v/>
      </c>
    </row>
    <row r="1189" spans="1:4" x14ac:dyDescent="0.3">
      <c r="A1189" t="str">
        <f>IF(AND(FORSIDE!$B$8&gt;=2,FORSIDE!$F$8&gt;=5,FORSIDE!$B$5&gt;=10),1188,"")</f>
        <v/>
      </c>
      <c r="B1189" t="str">
        <f>IF(AND(FORSIDE!$B$8&gt;=2,FORSIDE!$F$8&gt;=5,FORSIDE!$B$5&gt;=10),354+5*FORSIDE!$F$9,"")</f>
        <v/>
      </c>
      <c r="C1189" t="str">
        <f>IF(AND(FORSIDE!$B$8&gt;=2,FORSIDE!$F$8&gt;=5,FORSIDE!$B$5&gt;=10),2*FORSIDE!$B$9,"")</f>
        <v/>
      </c>
      <c r="D1189" t="str">
        <f>IF(AND(FORSIDE!$B$8&gt;=2,FORSIDE!$F$8&gt;=5,FORSIDE!$B$5&gt;=10),FORSIDE!$B$6+(10-1)*FORSIDE!$B$7,"")</f>
        <v/>
      </c>
    </row>
    <row r="1190" spans="1:4" x14ac:dyDescent="0.3">
      <c r="A1190" t="str">
        <f>IF(AND(FORSIDE!$B$8&gt;=3,FORSIDE!$F$8&gt;=5,FORSIDE!$B$5&gt;=0),1189,"")</f>
        <v/>
      </c>
      <c r="B1190" t="str">
        <f>IF(AND(FORSIDE!$B$8&gt;=3,FORSIDE!$F$8&gt;=5,FORSIDE!$B$5&gt;=0),354+5*FORSIDE!$F$9,"")</f>
        <v/>
      </c>
      <c r="C1190" t="str">
        <f>IF(AND(FORSIDE!$B$8&gt;=3,FORSIDE!$F$8&gt;=5,FORSIDE!$B$5&gt;=0),3*FORSIDE!$B$9,"")</f>
        <v/>
      </c>
      <c r="D1190" t="str">
        <f>IF(AND(FORSIDE!$B$8&gt;=3,FORSIDE!$F$8&gt;=5,FORSIDE!$B$5&gt;=0),0,"")</f>
        <v/>
      </c>
    </row>
    <row r="1191" spans="1:4" x14ac:dyDescent="0.3">
      <c r="A1191" t="str">
        <f>IF(AND(FORSIDE!$B$8&gt;=3,FORSIDE!$F$8&gt;=5,FORSIDE!$B$5&gt;=1),1190,"")</f>
        <v/>
      </c>
      <c r="B1191" t="str">
        <f>IF(AND(FORSIDE!$B$8&gt;=3,FORSIDE!$F$8&gt;=5,FORSIDE!$B$5&gt;=1),354+5*FORSIDE!$F$9,"")</f>
        <v/>
      </c>
      <c r="C1191" t="str">
        <f>IF(AND(FORSIDE!$B$8&gt;=3,FORSIDE!$F$8&gt;=5,FORSIDE!$B$5&gt;=1),3*FORSIDE!$B$9,"")</f>
        <v/>
      </c>
      <c r="D1191" t="str">
        <f>IF(AND(FORSIDE!$B$8&gt;=3,FORSIDE!$F$8&gt;=5,FORSIDE!$B$5&gt;=1),FORSIDE!$B$6+(1-1)*FORSIDE!$B$7,"")</f>
        <v/>
      </c>
    </row>
    <row r="1192" spans="1:4" x14ac:dyDescent="0.3">
      <c r="A1192" t="str">
        <f>IF(AND(FORSIDE!$B$8&gt;=3,FORSIDE!$F$8&gt;=5,FORSIDE!$B$5&gt;=2),1191,"")</f>
        <v/>
      </c>
      <c r="B1192" t="str">
        <f>IF(AND(FORSIDE!$B$8&gt;=3,FORSIDE!$F$8&gt;=5,FORSIDE!$B$5&gt;=2),354+5*FORSIDE!$F$9,"")</f>
        <v/>
      </c>
      <c r="C1192" t="str">
        <f>IF(AND(FORSIDE!$B$8&gt;=3,FORSIDE!$F$8&gt;=5,FORSIDE!$B$5&gt;=2),3*FORSIDE!$B$9,"")</f>
        <v/>
      </c>
      <c r="D1192" t="str">
        <f>IF(AND(FORSIDE!$B$8&gt;=3,FORSIDE!$F$8&gt;=5,FORSIDE!$B$5&gt;=2),FORSIDE!$B$6+(2-1)*FORSIDE!$B$7,"")</f>
        <v/>
      </c>
    </row>
    <row r="1193" spans="1:4" x14ac:dyDescent="0.3">
      <c r="A1193" t="str">
        <f>IF(AND(FORSIDE!$B$8&gt;=3,FORSIDE!$F$8&gt;=5,FORSIDE!$B$5&gt;=3),1192,"")</f>
        <v/>
      </c>
      <c r="B1193" t="str">
        <f>IF(AND(FORSIDE!$B$8&gt;=3,FORSIDE!$F$8&gt;=5,FORSIDE!$B$5&gt;=3),354+5*FORSIDE!$F$9,"")</f>
        <v/>
      </c>
      <c r="C1193" t="str">
        <f>IF(AND(FORSIDE!$B$8&gt;=3,FORSIDE!$F$8&gt;=5,FORSIDE!$B$5&gt;=3),3*FORSIDE!$B$9,"")</f>
        <v/>
      </c>
      <c r="D1193" t="str">
        <f>IF(AND(FORSIDE!$B$8&gt;=3,FORSIDE!$F$8&gt;=5,FORSIDE!$B$5&gt;=3),FORSIDE!$B$6+(3-1)*FORSIDE!$B$7,"")</f>
        <v/>
      </c>
    </row>
    <row r="1194" spans="1:4" x14ac:dyDescent="0.3">
      <c r="A1194" t="str">
        <f>IF(AND(FORSIDE!$B$8&gt;=3,FORSIDE!$F$8&gt;=5,FORSIDE!$B$5&gt;=4),1193,"")</f>
        <v/>
      </c>
      <c r="B1194" t="str">
        <f>IF(AND(FORSIDE!$B$8&gt;=3,FORSIDE!$F$8&gt;=5,FORSIDE!$B$5&gt;=4),354+5*FORSIDE!$F$9,"")</f>
        <v/>
      </c>
      <c r="C1194" t="str">
        <f>IF(AND(FORSIDE!$B$8&gt;=3,FORSIDE!$F$8&gt;=5,FORSIDE!$B$5&gt;=4),3*FORSIDE!$B$9,"")</f>
        <v/>
      </c>
      <c r="D1194" t="str">
        <f>IF(AND(FORSIDE!$B$8&gt;=3,FORSIDE!$F$8&gt;=5,FORSIDE!$B$5&gt;=4),FORSIDE!$B$6+(4-1)*FORSIDE!$B$7,"")</f>
        <v/>
      </c>
    </row>
    <row r="1195" spans="1:4" x14ac:dyDescent="0.3">
      <c r="A1195" t="str">
        <f>IF(AND(FORSIDE!$B$8&gt;=3,FORSIDE!$F$8&gt;=5,FORSIDE!$B$5&gt;=5),1194,"")</f>
        <v/>
      </c>
      <c r="B1195" t="str">
        <f>IF(AND(FORSIDE!$B$8&gt;=3,FORSIDE!$F$8&gt;=5,FORSIDE!$B$5&gt;=5),354+5*FORSIDE!$F$9,"")</f>
        <v/>
      </c>
      <c r="C1195" t="str">
        <f>IF(AND(FORSIDE!$B$8&gt;=3,FORSIDE!$F$8&gt;=5,FORSIDE!$B$5&gt;=5),3*FORSIDE!$B$9,"")</f>
        <v/>
      </c>
      <c r="D1195" t="str">
        <f>IF(AND(FORSIDE!$B$8&gt;=3,FORSIDE!$F$8&gt;=5,FORSIDE!$B$5&gt;=5),FORSIDE!$B$6+(5-1)*FORSIDE!$B$7,"")</f>
        <v/>
      </c>
    </row>
    <row r="1196" spans="1:4" x14ac:dyDescent="0.3">
      <c r="A1196" t="str">
        <f>IF(AND(FORSIDE!$B$8&gt;=3,FORSIDE!$F$8&gt;=5,FORSIDE!$B$5&gt;=6),1195,"")</f>
        <v/>
      </c>
      <c r="B1196" t="str">
        <f>IF(AND(FORSIDE!$B$8&gt;=3,FORSIDE!$F$8&gt;=5,FORSIDE!$B$5&gt;=6),354+5*FORSIDE!$F$9,"")</f>
        <v/>
      </c>
      <c r="C1196" t="str">
        <f>IF(AND(FORSIDE!$B$8&gt;=3,FORSIDE!$F$8&gt;=5,FORSIDE!$B$5&gt;=6),3*FORSIDE!$B$9,"")</f>
        <v/>
      </c>
      <c r="D1196" t="str">
        <f>IF(AND(FORSIDE!$B$8&gt;=3,FORSIDE!$F$8&gt;=5,FORSIDE!$B$5&gt;=6),FORSIDE!$B$6+(6-1)*FORSIDE!$B$7,"")</f>
        <v/>
      </c>
    </row>
    <row r="1197" spans="1:4" x14ac:dyDescent="0.3">
      <c r="A1197" t="str">
        <f>IF(AND(FORSIDE!$B$8&gt;=3,FORSIDE!$F$8&gt;=5,FORSIDE!$B$5&gt;=7),1196,"")</f>
        <v/>
      </c>
      <c r="B1197" t="str">
        <f>IF(AND(FORSIDE!$B$8&gt;=3,FORSIDE!$F$8&gt;=5,FORSIDE!$B$5&gt;=7),354+5*FORSIDE!$F$9,"")</f>
        <v/>
      </c>
      <c r="C1197" t="str">
        <f>IF(AND(FORSIDE!$B$8&gt;=3,FORSIDE!$F$8&gt;=5,FORSIDE!$B$5&gt;=7),3*FORSIDE!$B$9,"")</f>
        <v/>
      </c>
      <c r="D1197" t="str">
        <f>IF(AND(FORSIDE!$B$8&gt;=3,FORSIDE!$F$8&gt;=5,FORSIDE!$B$5&gt;=7),FORSIDE!$B$6+(7-1)*FORSIDE!$B$7,"")</f>
        <v/>
      </c>
    </row>
    <row r="1198" spans="1:4" x14ac:dyDescent="0.3">
      <c r="A1198" t="str">
        <f>IF(AND(FORSIDE!$B$8&gt;=3,FORSIDE!$F$8&gt;=5,FORSIDE!$B$5&gt;=8),1197,"")</f>
        <v/>
      </c>
      <c r="B1198" t="str">
        <f>IF(AND(FORSIDE!$B$8&gt;=3,FORSIDE!$F$8&gt;=5,FORSIDE!$B$5&gt;=8),354+5*FORSIDE!$F$9,"")</f>
        <v/>
      </c>
      <c r="C1198" t="str">
        <f>IF(AND(FORSIDE!$B$8&gt;=3,FORSIDE!$F$8&gt;=5,FORSIDE!$B$5&gt;=8),3*FORSIDE!$B$9,"")</f>
        <v/>
      </c>
      <c r="D1198" t="str">
        <f>IF(AND(FORSIDE!$B$8&gt;=3,FORSIDE!$F$8&gt;=5,FORSIDE!$B$5&gt;=8),FORSIDE!$B$6+(8-1)*FORSIDE!$B$7,"")</f>
        <v/>
      </c>
    </row>
    <row r="1199" spans="1:4" x14ac:dyDescent="0.3">
      <c r="A1199" t="str">
        <f>IF(AND(FORSIDE!$B$8&gt;=3,FORSIDE!$F$8&gt;=5,FORSIDE!$B$5&gt;=9),1198,"")</f>
        <v/>
      </c>
      <c r="B1199" t="str">
        <f>IF(AND(FORSIDE!$B$8&gt;=3,FORSIDE!$F$8&gt;=5,FORSIDE!$B$5&gt;=9),354+5*FORSIDE!$F$9,"")</f>
        <v/>
      </c>
      <c r="C1199" t="str">
        <f>IF(AND(FORSIDE!$B$8&gt;=3,FORSIDE!$F$8&gt;=5,FORSIDE!$B$5&gt;=9),3*FORSIDE!$B$9,"")</f>
        <v/>
      </c>
      <c r="D1199" t="str">
        <f>IF(AND(FORSIDE!$B$8&gt;=3,FORSIDE!$F$8&gt;=5,FORSIDE!$B$5&gt;=9),FORSIDE!$B$6+(9-1)*FORSIDE!$B$7,"")</f>
        <v/>
      </c>
    </row>
    <row r="1200" spans="1:4" x14ac:dyDescent="0.3">
      <c r="A1200" t="str">
        <f>IF(AND(FORSIDE!$B$8&gt;=3,FORSIDE!$F$8&gt;=5,FORSIDE!$B$5&gt;=10),1199,"")</f>
        <v/>
      </c>
      <c r="B1200" t="str">
        <f>IF(AND(FORSIDE!$B$8&gt;=3,FORSIDE!$F$8&gt;=5,FORSIDE!$B$5&gt;=10),354+5*FORSIDE!$F$9,"")</f>
        <v/>
      </c>
      <c r="C1200" t="str">
        <f>IF(AND(FORSIDE!$B$8&gt;=3,FORSIDE!$F$8&gt;=5,FORSIDE!$B$5&gt;=10),3*FORSIDE!$B$9,"")</f>
        <v/>
      </c>
      <c r="D1200" t="str">
        <f>IF(AND(FORSIDE!$B$8&gt;=3,FORSIDE!$F$8&gt;=5,FORSIDE!$B$5&gt;=10),FORSIDE!$B$6+(10-1)*FORSIDE!$B$7,"")</f>
        <v/>
      </c>
    </row>
    <row r="1201" spans="1:4" x14ac:dyDescent="0.3">
      <c r="A1201" t="str">
        <f>IF(AND(FORSIDE!$B$8&gt;=4,FORSIDE!$F$8&gt;=5,FORSIDE!$B$5&gt;=0),1200,"")</f>
        <v/>
      </c>
      <c r="B1201" t="str">
        <f>IF(AND(FORSIDE!$B$8&gt;=4,FORSIDE!$F$8&gt;=5,FORSIDE!$B$5&gt;=0),354+5*FORSIDE!$F$9,"")</f>
        <v/>
      </c>
      <c r="C1201" t="str">
        <f>IF(AND(FORSIDE!$B$8&gt;=4,FORSIDE!$F$8&gt;=5,FORSIDE!$B$5&gt;=0),4*FORSIDE!$B$9,"")</f>
        <v/>
      </c>
      <c r="D1201" t="str">
        <f>IF(AND(FORSIDE!$B$8&gt;=4,FORSIDE!$F$8&gt;=5,FORSIDE!$B$5&gt;=0),0,"")</f>
        <v/>
      </c>
    </row>
    <row r="1202" spans="1:4" x14ac:dyDescent="0.3">
      <c r="A1202" t="str">
        <f>IF(AND(FORSIDE!$B$8&gt;=4,FORSIDE!$F$8&gt;=5,FORSIDE!$B$5&gt;=1),1201,"")</f>
        <v/>
      </c>
      <c r="B1202" t="str">
        <f>IF(AND(FORSIDE!$B$8&gt;=4,FORSIDE!$F$8&gt;=5,FORSIDE!$B$5&gt;=1),354+5*FORSIDE!$F$9,"")</f>
        <v/>
      </c>
      <c r="C1202" t="str">
        <f>IF(AND(FORSIDE!$B$8&gt;=4,FORSIDE!$F$8&gt;=5,FORSIDE!$B$5&gt;=1),4*FORSIDE!$B$9,"")</f>
        <v/>
      </c>
      <c r="D1202" t="str">
        <f>IF(AND(FORSIDE!$B$8&gt;=4,FORSIDE!$F$8&gt;=5,FORSIDE!$B$5&gt;=1),FORSIDE!$B$6+(1-1)*FORSIDE!$B$7,"")</f>
        <v/>
      </c>
    </row>
    <row r="1203" spans="1:4" x14ac:dyDescent="0.3">
      <c r="A1203" t="str">
        <f>IF(AND(FORSIDE!$B$8&gt;=4,FORSIDE!$F$8&gt;=5,FORSIDE!$B$5&gt;=2),1202,"")</f>
        <v/>
      </c>
      <c r="B1203" t="str">
        <f>IF(AND(FORSIDE!$B$8&gt;=4,FORSIDE!$F$8&gt;=5,FORSIDE!$B$5&gt;=2),354+5*FORSIDE!$F$9,"")</f>
        <v/>
      </c>
      <c r="C1203" t="str">
        <f>IF(AND(FORSIDE!$B$8&gt;=4,FORSIDE!$F$8&gt;=5,FORSIDE!$B$5&gt;=2),4*FORSIDE!$B$9,"")</f>
        <v/>
      </c>
      <c r="D1203" t="str">
        <f>IF(AND(FORSIDE!$B$8&gt;=4,FORSIDE!$F$8&gt;=5,FORSIDE!$B$5&gt;=2),FORSIDE!$B$6+(2-1)*FORSIDE!$B$7,"")</f>
        <v/>
      </c>
    </row>
    <row r="1204" spans="1:4" x14ac:dyDescent="0.3">
      <c r="A1204" t="str">
        <f>IF(AND(FORSIDE!$B$8&gt;=4,FORSIDE!$F$8&gt;=5,FORSIDE!$B$5&gt;=3),1203,"")</f>
        <v/>
      </c>
      <c r="B1204" t="str">
        <f>IF(AND(FORSIDE!$B$8&gt;=4,FORSIDE!$F$8&gt;=5,FORSIDE!$B$5&gt;=3),354+5*FORSIDE!$F$9,"")</f>
        <v/>
      </c>
      <c r="C1204" t="str">
        <f>IF(AND(FORSIDE!$B$8&gt;=4,FORSIDE!$F$8&gt;=5,FORSIDE!$B$5&gt;=3),4*FORSIDE!$B$9,"")</f>
        <v/>
      </c>
      <c r="D1204" t="str">
        <f>IF(AND(FORSIDE!$B$8&gt;=4,FORSIDE!$F$8&gt;=5,FORSIDE!$B$5&gt;=3),FORSIDE!$B$6+(3-1)*FORSIDE!$B$7,"")</f>
        <v/>
      </c>
    </row>
    <row r="1205" spans="1:4" x14ac:dyDescent="0.3">
      <c r="A1205" t="str">
        <f>IF(AND(FORSIDE!$B$8&gt;=4,FORSIDE!$F$8&gt;=5,FORSIDE!$B$5&gt;=4),1204,"")</f>
        <v/>
      </c>
      <c r="B1205" t="str">
        <f>IF(AND(FORSIDE!$B$8&gt;=4,FORSIDE!$F$8&gt;=5,FORSIDE!$B$5&gt;=4),354+5*FORSIDE!$F$9,"")</f>
        <v/>
      </c>
      <c r="C1205" t="str">
        <f>IF(AND(FORSIDE!$B$8&gt;=4,FORSIDE!$F$8&gt;=5,FORSIDE!$B$5&gt;=4),4*FORSIDE!$B$9,"")</f>
        <v/>
      </c>
      <c r="D1205" t="str">
        <f>IF(AND(FORSIDE!$B$8&gt;=4,FORSIDE!$F$8&gt;=5,FORSIDE!$B$5&gt;=4),FORSIDE!$B$6+(4-1)*FORSIDE!$B$7,"")</f>
        <v/>
      </c>
    </row>
    <row r="1206" spans="1:4" x14ac:dyDescent="0.3">
      <c r="A1206" t="str">
        <f>IF(AND(FORSIDE!$B$8&gt;=4,FORSIDE!$F$8&gt;=5,FORSIDE!$B$5&gt;=5),1205,"")</f>
        <v/>
      </c>
      <c r="B1206" t="str">
        <f>IF(AND(FORSIDE!$B$8&gt;=4,FORSIDE!$F$8&gt;=5,FORSIDE!$B$5&gt;=5),354+5*FORSIDE!$F$9,"")</f>
        <v/>
      </c>
      <c r="C1206" t="str">
        <f>IF(AND(FORSIDE!$B$8&gt;=4,FORSIDE!$F$8&gt;=5,FORSIDE!$B$5&gt;=5),4*FORSIDE!$B$9,"")</f>
        <v/>
      </c>
      <c r="D1206" t="str">
        <f>IF(AND(FORSIDE!$B$8&gt;=4,FORSIDE!$F$8&gt;=5,FORSIDE!$B$5&gt;=5),FORSIDE!$B$6+(5-1)*FORSIDE!$B$7,"")</f>
        <v/>
      </c>
    </row>
    <row r="1207" spans="1:4" x14ac:dyDescent="0.3">
      <c r="A1207" t="str">
        <f>IF(AND(FORSIDE!$B$8&gt;=4,FORSIDE!$F$8&gt;=5,FORSIDE!$B$5&gt;=6),1206,"")</f>
        <v/>
      </c>
      <c r="B1207" t="str">
        <f>IF(AND(FORSIDE!$B$8&gt;=4,FORSIDE!$F$8&gt;=5,FORSIDE!$B$5&gt;=6),354+5*FORSIDE!$F$9,"")</f>
        <v/>
      </c>
      <c r="C1207" t="str">
        <f>IF(AND(FORSIDE!$B$8&gt;=4,FORSIDE!$F$8&gt;=5,FORSIDE!$B$5&gt;=6),4*FORSIDE!$B$9,"")</f>
        <v/>
      </c>
      <c r="D1207" t="str">
        <f>IF(AND(FORSIDE!$B$8&gt;=4,FORSIDE!$F$8&gt;=5,FORSIDE!$B$5&gt;=6),FORSIDE!$B$6+(6-1)*FORSIDE!$B$7,"")</f>
        <v/>
      </c>
    </row>
    <row r="1208" spans="1:4" x14ac:dyDescent="0.3">
      <c r="A1208" t="str">
        <f>IF(AND(FORSIDE!$B$8&gt;=4,FORSIDE!$F$8&gt;=5,FORSIDE!$B$5&gt;=7),1207,"")</f>
        <v/>
      </c>
      <c r="B1208" t="str">
        <f>IF(AND(FORSIDE!$B$8&gt;=4,FORSIDE!$F$8&gt;=5,FORSIDE!$B$5&gt;=7),354+5*FORSIDE!$F$9,"")</f>
        <v/>
      </c>
      <c r="C1208" t="str">
        <f>IF(AND(FORSIDE!$B$8&gt;=4,FORSIDE!$F$8&gt;=5,FORSIDE!$B$5&gt;=7),4*FORSIDE!$B$9,"")</f>
        <v/>
      </c>
      <c r="D1208" t="str">
        <f>IF(AND(FORSIDE!$B$8&gt;=4,FORSIDE!$F$8&gt;=5,FORSIDE!$B$5&gt;=7),FORSIDE!$B$6+(7-1)*FORSIDE!$B$7,"")</f>
        <v/>
      </c>
    </row>
    <row r="1209" spans="1:4" x14ac:dyDescent="0.3">
      <c r="A1209" t="str">
        <f>IF(AND(FORSIDE!$B$8&gt;=4,FORSIDE!$F$8&gt;=5,FORSIDE!$B$5&gt;=8),1208,"")</f>
        <v/>
      </c>
      <c r="B1209" t="str">
        <f>IF(AND(FORSIDE!$B$8&gt;=4,FORSIDE!$F$8&gt;=5,FORSIDE!$B$5&gt;=8),354+5*FORSIDE!$F$9,"")</f>
        <v/>
      </c>
      <c r="C1209" t="str">
        <f>IF(AND(FORSIDE!$B$8&gt;=4,FORSIDE!$F$8&gt;=5,FORSIDE!$B$5&gt;=8),4*FORSIDE!$B$9,"")</f>
        <v/>
      </c>
      <c r="D1209" t="str">
        <f>IF(AND(FORSIDE!$B$8&gt;=4,FORSIDE!$F$8&gt;=5,FORSIDE!$B$5&gt;=8),FORSIDE!$B$6+(8-1)*FORSIDE!$B$7,"")</f>
        <v/>
      </c>
    </row>
    <row r="1210" spans="1:4" x14ac:dyDescent="0.3">
      <c r="A1210" t="str">
        <f>IF(AND(FORSIDE!$B$8&gt;=4,FORSIDE!$F$8&gt;=5,FORSIDE!$B$5&gt;=9),1209,"")</f>
        <v/>
      </c>
      <c r="B1210" t="str">
        <f>IF(AND(FORSIDE!$B$8&gt;=4,FORSIDE!$F$8&gt;=5,FORSIDE!$B$5&gt;=9),354+5*FORSIDE!$F$9,"")</f>
        <v/>
      </c>
      <c r="C1210" t="str">
        <f>IF(AND(FORSIDE!$B$8&gt;=4,FORSIDE!$F$8&gt;=5,FORSIDE!$B$5&gt;=9),4*FORSIDE!$B$9,"")</f>
        <v/>
      </c>
      <c r="D1210" t="str">
        <f>IF(AND(FORSIDE!$B$8&gt;=4,FORSIDE!$F$8&gt;=5,FORSIDE!$B$5&gt;=9),FORSIDE!$B$6+(9-1)*FORSIDE!$B$7,"")</f>
        <v/>
      </c>
    </row>
    <row r="1211" spans="1:4" x14ac:dyDescent="0.3">
      <c r="A1211" t="str">
        <f>IF(AND(FORSIDE!$B$8&gt;=4,FORSIDE!$F$8&gt;=5,FORSIDE!$B$5&gt;=10),1210,"")</f>
        <v/>
      </c>
      <c r="B1211" t="str">
        <f>IF(AND(FORSIDE!$B$8&gt;=4,FORSIDE!$F$8&gt;=5,FORSIDE!$B$5&gt;=10),354+5*FORSIDE!$F$9,"")</f>
        <v/>
      </c>
      <c r="C1211" t="str">
        <f>IF(AND(FORSIDE!$B$8&gt;=4,FORSIDE!$F$8&gt;=5,FORSIDE!$B$5&gt;=10),4*FORSIDE!$B$9,"")</f>
        <v/>
      </c>
      <c r="D1211" t="str">
        <f>IF(AND(FORSIDE!$B$8&gt;=4,FORSIDE!$F$8&gt;=5,FORSIDE!$B$5&gt;=10),FORSIDE!$B$6+(10-1)*FORSIDE!$B$7,"")</f>
        <v/>
      </c>
    </row>
    <row r="1212" spans="1:4" x14ac:dyDescent="0.3">
      <c r="A1212" t="str">
        <f>IF(AND(FORSIDE!$B$8&gt;=5,FORSIDE!$F$8&gt;=5,FORSIDE!$B$5&gt;=0),1211,"")</f>
        <v/>
      </c>
      <c r="B1212" t="str">
        <f>IF(AND(FORSIDE!$B$8&gt;=5,FORSIDE!$F$8&gt;=5,FORSIDE!$B$5&gt;=0),354+5*FORSIDE!$F$9,"")</f>
        <v/>
      </c>
      <c r="C1212" t="str">
        <f>IF(AND(FORSIDE!$B$8&gt;=5,FORSIDE!$F$8&gt;=5,FORSIDE!$B$5&gt;=0),5*FORSIDE!$B$9,"")</f>
        <v/>
      </c>
      <c r="D1212" t="str">
        <f>IF(AND(FORSIDE!$B$8&gt;=5,FORSIDE!$F$8&gt;=5,FORSIDE!$B$5&gt;=0),0,"")</f>
        <v/>
      </c>
    </row>
    <row r="1213" spans="1:4" x14ac:dyDescent="0.3">
      <c r="A1213" t="str">
        <f>IF(AND(FORSIDE!$B$8&gt;=5,FORSIDE!$F$8&gt;=5,FORSIDE!$B$5&gt;=1),1212,"")</f>
        <v/>
      </c>
      <c r="B1213" t="str">
        <f>IF(AND(FORSIDE!$B$8&gt;=5,FORSIDE!$F$8&gt;=5,FORSIDE!$B$5&gt;=1),354+5*FORSIDE!$F$9,"")</f>
        <v/>
      </c>
      <c r="C1213" t="str">
        <f>IF(AND(FORSIDE!$B$8&gt;=5,FORSIDE!$F$8&gt;=5,FORSIDE!$B$5&gt;=1),5*FORSIDE!$B$9,"")</f>
        <v/>
      </c>
      <c r="D1213" t="str">
        <f>IF(AND(FORSIDE!$B$8&gt;=5,FORSIDE!$F$8&gt;=5,FORSIDE!$B$5&gt;=1),FORSIDE!$B$6+(1-1)*FORSIDE!$B$7,"")</f>
        <v/>
      </c>
    </row>
    <row r="1214" spans="1:4" x14ac:dyDescent="0.3">
      <c r="A1214" t="str">
        <f>IF(AND(FORSIDE!$B$8&gt;=5,FORSIDE!$F$8&gt;=5,FORSIDE!$B$5&gt;=2),1213,"")</f>
        <v/>
      </c>
      <c r="B1214" t="str">
        <f>IF(AND(FORSIDE!$B$8&gt;=5,FORSIDE!$F$8&gt;=5,FORSIDE!$B$5&gt;=2),354+5*FORSIDE!$F$9,"")</f>
        <v/>
      </c>
      <c r="C1214" t="str">
        <f>IF(AND(FORSIDE!$B$8&gt;=5,FORSIDE!$F$8&gt;=5,FORSIDE!$B$5&gt;=2),5*FORSIDE!$B$9,"")</f>
        <v/>
      </c>
      <c r="D1214" t="str">
        <f>IF(AND(FORSIDE!$B$8&gt;=5,FORSIDE!$F$8&gt;=5,FORSIDE!$B$5&gt;=2),FORSIDE!$B$6+(2-1)*FORSIDE!$B$7,"")</f>
        <v/>
      </c>
    </row>
    <row r="1215" spans="1:4" x14ac:dyDescent="0.3">
      <c r="A1215" t="str">
        <f>IF(AND(FORSIDE!$B$8&gt;=5,FORSIDE!$F$8&gt;=5,FORSIDE!$B$5&gt;=3),1214,"")</f>
        <v/>
      </c>
      <c r="B1215" t="str">
        <f>IF(AND(FORSIDE!$B$8&gt;=5,FORSIDE!$F$8&gt;=5,FORSIDE!$B$5&gt;=3),354+5*FORSIDE!$F$9,"")</f>
        <v/>
      </c>
      <c r="C1215" t="str">
        <f>IF(AND(FORSIDE!$B$8&gt;=5,FORSIDE!$F$8&gt;=5,FORSIDE!$B$5&gt;=3),5*FORSIDE!$B$9,"")</f>
        <v/>
      </c>
      <c r="D1215" t="str">
        <f>IF(AND(FORSIDE!$B$8&gt;=5,FORSIDE!$F$8&gt;=5,FORSIDE!$B$5&gt;=3),FORSIDE!$B$6+(3-1)*FORSIDE!$B$7,"")</f>
        <v/>
      </c>
    </row>
    <row r="1216" spans="1:4" x14ac:dyDescent="0.3">
      <c r="A1216" t="str">
        <f>IF(AND(FORSIDE!$B$8&gt;=5,FORSIDE!$F$8&gt;=5,FORSIDE!$B$5&gt;=4),1215,"")</f>
        <v/>
      </c>
      <c r="B1216" t="str">
        <f>IF(AND(FORSIDE!$B$8&gt;=5,FORSIDE!$F$8&gt;=5,FORSIDE!$B$5&gt;=4),354+5*FORSIDE!$F$9,"")</f>
        <v/>
      </c>
      <c r="C1216" t="str">
        <f>IF(AND(FORSIDE!$B$8&gt;=5,FORSIDE!$F$8&gt;=5,FORSIDE!$B$5&gt;=4),5*FORSIDE!$B$9,"")</f>
        <v/>
      </c>
      <c r="D1216" t="str">
        <f>IF(AND(FORSIDE!$B$8&gt;=5,FORSIDE!$F$8&gt;=5,FORSIDE!$B$5&gt;=4),FORSIDE!$B$6+(4-1)*FORSIDE!$B$7,"")</f>
        <v/>
      </c>
    </row>
    <row r="1217" spans="1:4" x14ac:dyDescent="0.3">
      <c r="A1217" t="str">
        <f>IF(AND(FORSIDE!$B$8&gt;=5,FORSIDE!$F$8&gt;=5,FORSIDE!$B$5&gt;=5),1216,"")</f>
        <v/>
      </c>
      <c r="B1217" t="str">
        <f>IF(AND(FORSIDE!$B$8&gt;=5,FORSIDE!$F$8&gt;=5,FORSIDE!$B$5&gt;=5),354+5*FORSIDE!$F$9,"")</f>
        <v/>
      </c>
      <c r="C1217" t="str">
        <f>IF(AND(FORSIDE!$B$8&gt;=5,FORSIDE!$F$8&gt;=5,FORSIDE!$B$5&gt;=5),5*FORSIDE!$B$9,"")</f>
        <v/>
      </c>
      <c r="D1217" t="str">
        <f>IF(AND(FORSIDE!$B$8&gt;=5,FORSIDE!$F$8&gt;=5,FORSIDE!$B$5&gt;=5),FORSIDE!$B$6+(5-1)*FORSIDE!$B$7,"")</f>
        <v/>
      </c>
    </row>
    <row r="1218" spans="1:4" x14ac:dyDescent="0.3">
      <c r="A1218" t="str">
        <f>IF(AND(FORSIDE!$B$8&gt;=5,FORSIDE!$F$8&gt;=5,FORSIDE!$B$5&gt;=6),1217,"")</f>
        <v/>
      </c>
      <c r="B1218" t="str">
        <f>IF(AND(FORSIDE!$B$8&gt;=5,FORSIDE!$F$8&gt;=5,FORSIDE!$B$5&gt;=6),354+5*FORSIDE!$F$9,"")</f>
        <v/>
      </c>
      <c r="C1218" t="str">
        <f>IF(AND(FORSIDE!$B$8&gt;=5,FORSIDE!$F$8&gt;=5,FORSIDE!$B$5&gt;=6),5*FORSIDE!$B$9,"")</f>
        <v/>
      </c>
      <c r="D1218" t="str">
        <f>IF(AND(FORSIDE!$B$8&gt;=5,FORSIDE!$F$8&gt;=5,FORSIDE!$B$5&gt;=6),FORSIDE!$B$6+(6-1)*FORSIDE!$B$7,"")</f>
        <v/>
      </c>
    </row>
    <row r="1219" spans="1:4" x14ac:dyDescent="0.3">
      <c r="A1219" t="str">
        <f>IF(AND(FORSIDE!$B$8&gt;=5,FORSIDE!$F$8&gt;=5,FORSIDE!$B$5&gt;=7),1218,"")</f>
        <v/>
      </c>
      <c r="B1219" t="str">
        <f>IF(AND(FORSIDE!$B$8&gt;=5,FORSIDE!$F$8&gt;=5,FORSIDE!$B$5&gt;=7),354+5*FORSIDE!$F$9,"")</f>
        <v/>
      </c>
      <c r="C1219" t="str">
        <f>IF(AND(FORSIDE!$B$8&gt;=5,FORSIDE!$F$8&gt;=5,FORSIDE!$B$5&gt;=7),5*FORSIDE!$B$9,"")</f>
        <v/>
      </c>
      <c r="D1219" t="str">
        <f>IF(AND(FORSIDE!$B$8&gt;=5,FORSIDE!$F$8&gt;=5,FORSIDE!$B$5&gt;=7),FORSIDE!$B$6+(7-1)*FORSIDE!$B$7,"")</f>
        <v/>
      </c>
    </row>
    <row r="1220" spans="1:4" x14ac:dyDescent="0.3">
      <c r="A1220" t="str">
        <f>IF(AND(FORSIDE!$B$8&gt;=5,FORSIDE!$F$8&gt;=5,FORSIDE!$B$5&gt;=8),1219,"")</f>
        <v/>
      </c>
      <c r="B1220" t="str">
        <f>IF(AND(FORSIDE!$B$8&gt;=5,FORSIDE!$F$8&gt;=5,FORSIDE!$B$5&gt;=8),354+5*FORSIDE!$F$9,"")</f>
        <v/>
      </c>
      <c r="C1220" t="str">
        <f>IF(AND(FORSIDE!$B$8&gt;=5,FORSIDE!$F$8&gt;=5,FORSIDE!$B$5&gt;=8),5*FORSIDE!$B$9,"")</f>
        <v/>
      </c>
      <c r="D1220" t="str">
        <f>IF(AND(FORSIDE!$B$8&gt;=5,FORSIDE!$F$8&gt;=5,FORSIDE!$B$5&gt;=8),FORSIDE!$B$6+(8-1)*FORSIDE!$B$7,"")</f>
        <v/>
      </c>
    </row>
    <row r="1221" spans="1:4" x14ac:dyDescent="0.3">
      <c r="A1221" t="str">
        <f>IF(AND(FORSIDE!$B$8&gt;=5,FORSIDE!$F$8&gt;=5,FORSIDE!$B$5&gt;=9),1220,"")</f>
        <v/>
      </c>
      <c r="B1221" t="str">
        <f>IF(AND(FORSIDE!$B$8&gt;=5,FORSIDE!$F$8&gt;=5,FORSIDE!$B$5&gt;=9),354+5*FORSIDE!$F$9,"")</f>
        <v/>
      </c>
      <c r="C1221" t="str">
        <f>IF(AND(FORSIDE!$B$8&gt;=5,FORSIDE!$F$8&gt;=5,FORSIDE!$B$5&gt;=9),5*FORSIDE!$B$9,"")</f>
        <v/>
      </c>
      <c r="D1221" t="str">
        <f>IF(AND(FORSIDE!$B$8&gt;=5,FORSIDE!$F$8&gt;=5,FORSIDE!$B$5&gt;=9),FORSIDE!$B$6+(9-1)*FORSIDE!$B$7,"")</f>
        <v/>
      </c>
    </row>
    <row r="1222" spans="1:4" x14ac:dyDescent="0.3">
      <c r="A1222" t="str">
        <f>IF(AND(FORSIDE!$B$8&gt;=5,FORSIDE!$F$8&gt;=5,FORSIDE!$B$5&gt;=10),1221,"")</f>
        <v/>
      </c>
      <c r="B1222" t="str">
        <f>IF(AND(FORSIDE!$B$8&gt;=5,FORSIDE!$F$8&gt;=5,FORSIDE!$B$5&gt;=10),354+5*FORSIDE!$F$9,"")</f>
        <v/>
      </c>
      <c r="C1222" t="str">
        <f>IF(AND(FORSIDE!$B$8&gt;=5,FORSIDE!$F$8&gt;=5,FORSIDE!$B$5&gt;=10),5*FORSIDE!$B$9,"")</f>
        <v/>
      </c>
      <c r="D1222" t="str">
        <f>IF(AND(FORSIDE!$B$8&gt;=5,FORSIDE!$F$8&gt;=5,FORSIDE!$B$5&gt;=10),FORSIDE!$B$6+(10-1)*FORSIDE!$B$7,"")</f>
        <v/>
      </c>
    </row>
    <row r="1223" spans="1:4" x14ac:dyDescent="0.3">
      <c r="A1223" t="str">
        <f>IF(AND(FORSIDE!$B$8&gt;=6,FORSIDE!$F$8&gt;=5,FORSIDE!$B$5&gt;=0),1222,"")</f>
        <v/>
      </c>
      <c r="B1223" t="str">
        <f>IF(AND(FORSIDE!$B$8&gt;=6,FORSIDE!$F$8&gt;=5,FORSIDE!$B$5&gt;=0),354+5*FORSIDE!$F$9,"")</f>
        <v/>
      </c>
      <c r="C1223" t="str">
        <f>IF(AND(FORSIDE!$B$8&gt;=6,FORSIDE!$F$8&gt;=5,FORSIDE!$B$5&gt;=0),6*FORSIDE!$B$9,"")</f>
        <v/>
      </c>
      <c r="D1223" t="str">
        <f>IF(AND(FORSIDE!$B$8&gt;=6,FORSIDE!$F$8&gt;=5,FORSIDE!$B$5&gt;=0),0,"")</f>
        <v/>
      </c>
    </row>
    <row r="1224" spans="1:4" x14ac:dyDescent="0.3">
      <c r="A1224" t="str">
        <f>IF(AND(FORSIDE!$B$8&gt;=6,FORSIDE!$F$8&gt;=5,FORSIDE!$B$5&gt;=1),1223,"")</f>
        <v/>
      </c>
      <c r="B1224" t="str">
        <f>IF(AND(FORSIDE!$B$8&gt;=6,FORSIDE!$F$8&gt;=5,FORSIDE!$B$5&gt;=1),354+5*FORSIDE!$F$9,"")</f>
        <v/>
      </c>
      <c r="C1224" t="str">
        <f>IF(AND(FORSIDE!$B$8&gt;=6,FORSIDE!$F$8&gt;=5,FORSIDE!$B$5&gt;=1),6*FORSIDE!$B$9,"")</f>
        <v/>
      </c>
      <c r="D1224" t="str">
        <f>IF(AND(FORSIDE!$B$8&gt;=6,FORSIDE!$F$8&gt;=5,FORSIDE!$B$5&gt;=1),FORSIDE!$B$6+(1-1)*FORSIDE!$B$7,"")</f>
        <v/>
      </c>
    </row>
    <row r="1225" spans="1:4" x14ac:dyDescent="0.3">
      <c r="A1225" t="str">
        <f>IF(AND(FORSIDE!$B$8&gt;=6,FORSIDE!$F$8&gt;=5,FORSIDE!$B$5&gt;=2),1224,"")</f>
        <v/>
      </c>
      <c r="B1225" t="str">
        <f>IF(AND(FORSIDE!$B$8&gt;=6,FORSIDE!$F$8&gt;=5,FORSIDE!$B$5&gt;=2),354+5*FORSIDE!$F$9,"")</f>
        <v/>
      </c>
      <c r="C1225" t="str">
        <f>IF(AND(FORSIDE!$B$8&gt;=6,FORSIDE!$F$8&gt;=5,FORSIDE!$B$5&gt;=2),6*FORSIDE!$B$9,"")</f>
        <v/>
      </c>
      <c r="D1225" t="str">
        <f>IF(AND(FORSIDE!$B$8&gt;=6,FORSIDE!$F$8&gt;=5,FORSIDE!$B$5&gt;=2),FORSIDE!$B$6+(2-1)*FORSIDE!$B$7,"")</f>
        <v/>
      </c>
    </row>
    <row r="1226" spans="1:4" x14ac:dyDescent="0.3">
      <c r="A1226" t="str">
        <f>IF(AND(FORSIDE!$B$8&gt;=6,FORSIDE!$F$8&gt;=5,FORSIDE!$B$5&gt;=3),1225,"")</f>
        <v/>
      </c>
      <c r="B1226" t="str">
        <f>IF(AND(FORSIDE!$B$8&gt;=6,FORSIDE!$F$8&gt;=5,FORSIDE!$B$5&gt;=3),354+5*FORSIDE!$F$9,"")</f>
        <v/>
      </c>
      <c r="C1226" t="str">
        <f>IF(AND(FORSIDE!$B$8&gt;=6,FORSIDE!$F$8&gt;=5,FORSIDE!$B$5&gt;=3),6*FORSIDE!$B$9,"")</f>
        <v/>
      </c>
      <c r="D1226" t="str">
        <f>IF(AND(FORSIDE!$B$8&gt;=6,FORSIDE!$F$8&gt;=5,FORSIDE!$B$5&gt;=3),FORSIDE!$B$6+(3-1)*FORSIDE!$B$7,"")</f>
        <v/>
      </c>
    </row>
    <row r="1227" spans="1:4" x14ac:dyDescent="0.3">
      <c r="A1227" t="str">
        <f>IF(AND(FORSIDE!$B$8&gt;=6,FORSIDE!$F$8&gt;=5,FORSIDE!$B$5&gt;=4),1226,"")</f>
        <v/>
      </c>
      <c r="B1227" t="str">
        <f>IF(AND(FORSIDE!$B$8&gt;=6,FORSIDE!$F$8&gt;=5,FORSIDE!$B$5&gt;=4),354+5*FORSIDE!$F$9,"")</f>
        <v/>
      </c>
      <c r="C1227" t="str">
        <f>IF(AND(FORSIDE!$B$8&gt;=6,FORSIDE!$F$8&gt;=5,FORSIDE!$B$5&gt;=4),6*FORSIDE!$B$9,"")</f>
        <v/>
      </c>
      <c r="D1227" t="str">
        <f>IF(AND(FORSIDE!$B$8&gt;=6,FORSIDE!$F$8&gt;=5,FORSIDE!$B$5&gt;=4),FORSIDE!$B$6+(4-1)*FORSIDE!$B$7,"")</f>
        <v/>
      </c>
    </row>
    <row r="1228" spans="1:4" x14ac:dyDescent="0.3">
      <c r="A1228" t="str">
        <f>IF(AND(FORSIDE!$B$8&gt;=6,FORSIDE!$F$8&gt;=5,FORSIDE!$B$5&gt;=5),1227,"")</f>
        <v/>
      </c>
      <c r="B1228" t="str">
        <f>IF(AND(FORSIDE!$B$8&gt;=6,FORSIDE!$F$8&gt;=5,FORSIDE!$B$5&gt;=5),354+5*FORSIDE!$F$9,"")</f>
        <v/>
      </c>
      <c r="C1228" t="str">
        <f>IF(AND(FORSIDE!$B$8&gt;=6,FORSIDE!$F$8&gt;=5,FORSIDE!$B$5&gt;=5),6*FORSIDE!$B$9,"")</f>
        <v/>
      </c>
      <c r="D1228" t="str">
        <f>IF(AND(FORSIDE!$B$8&gt;=6,FORSIDE!$F$8&gt;=5,FORSIDE!$B$5&gt;=5),FORSIDE!$B$6+(5-1)*FORSIDE!$B$7,"")</f>
        <v/>
      </c>
    </row>
    <row r="1229" spans="1:4" x14ac:dyDescent="0.3">
      <c r="A1229" t="str">
        <f>IF(AND(FORSIDE!$B$8&gt;=6,FORSIDE!$F$8&gt;=5,FORSIDE!$B$5&gt;=6),1228,"")</f>
        <v/>
      </c>
      <c r="B1229" t="str">
        <f>IF(AND(FORSIDE!$B$8&gt;=6,FORSIDE!$F$8&gt;=5,FORSIDE!$B$5&gt;=6),354+5*FORSIDE!$F$9,"")</f>
        <v/>
      </c>
      <c r="C1229" t="str">
        <f>IF(AND(FORSIDE!$B$8&gt;=6,FORSIDE!$F$8&gt;=5,FORSIDE!$B$5&gt;=6),6*FORSIDE!$B$9,"")</f>
        <v/>
      </c>
      <c r="D1229" t="str">
        <f>IF(AND(FORSIDE!$B$8&gt;=6,FORSIDE!$F$8&gt;=5,FORSIDE!$B$5&gt;=6),FORSIDE!$B$6+(6-1)*FORSIDE!$B$7,"")</f>
        <v/>
      </c>
    </row>
    <row r="1230" spans="1:4" x14ac:dyDescent="0.3">
      <c r="A1230" t="str">
        <f>IF(AND(FORSIDE!$B$8&gt;=6,FORSIDE!$F$8&gt;=5,FORSIDE!$B$5&gt;=7),1229,"")</f>
        <v/>
      </c>
      <c r="B1230" t="str">
        <f>IF(AND(FORSIDE!$B$8&gt;=6,FORSIDE!$F$8&gt;=5,FORSIDE!$B$5&gt;=7),354+5*FORSIDE!$F$9,"")</f>
        <v/>
      </c>
      <c r="C1230" t="str">
        <f>IF(AND(FORSIDE!$B$8&gt;=6,FORSIDE!$F$8&gt;=5,FORSIDE!$B$5&gt;=7),6*FORSIDE!$B$9,"")</f>
        <v/>
      </c>
      <c r="D1230" t="str">
        <f>IF(AND(FORSIDE!$B$8&gt;=6,FORSIDE!$F$8&gt;=5,FORSIDE!$B$5&gt;=7),FORSIDE!$B$6+(7-1)*FORSIDE!$B$7,"")</f>
        <v/>
      </c>
    </row>
    <row r="1231" spans="1:4" x14ac:dyDescent="0.3">
      <c r="A1231" t="str">
        <f>IF(AND(FORSIDE!$B$8&gt;=6,FORSIDE!$F$8&gt;=5,FORSIDE!$B$5&gt;=8),1230,"")</f>
        <v/>
      </c>
      <c r="B1231" t="str">
        <f>IF(AND(FORSIDE!$B$8&gt;=6,FORSIDE!$F$8&gt;=5,FORSIDE!$B$5&gt;=8),354+5*FORSIDE!$F$9,"")</f>
        <v/>
      </c>
      <c r="C1231" t="str">
        <f>IF(AND(FORSIDE!$B$8&gt;=6,FORSIDE!$F$8&gt;=5,FORSIDE!$B$5&gt;=8),6*FORSIDE!$B$9,"")</f>
        <v/>
      </c>
      <c r="D1231" t="str">
        <f>IF(AND(FORSIDE!$B$8&gt;=6,FORSIDE!$F$8&gt;=5,FORSIDE!$B$5&gt;=8),FORSIDE!$B$6+(8-1)*FORSIDE!$B$7,"")</f>
        <v/>
      </c>
    </row>
    <row r="1232" spans="1:4" x14ac:dyDescent="0.3">
      <c r="A1232" t="str">
        <f>IF(AND(FORSIDE!$B$8&gt;=6,FORSIDE!$F$8&gt;=5,FORSIDE!$B$5&gt;=9),1231,"")</f>
        <v/>
      </c>
      <c r="B1232" t="str">
        <f>IF(AND(FORSIDE!$B$8&gt;=6,FORSIDE!$F$8&gt;=5,FORSIDE!$B$5&gt;=9),354+5*FORSIDE!$F$9,"")</f>
        <v/>
      </c>
      <c r="C1232" t="str">
        <f>IF(AND(FORSIDE!$B$8&gt;=6,FORSIDE!$F$8&gt;=5,FORSIDE!$B$5&gt;=9),6*FORSIDE!$B$9,"")</f>
        <v/>
      </c>
      <c r="D1232" t="str">
        <f>IF(AND(FORSIDE!$B$8&gt;=6,FORSIDE!$F$8&gt;=5,FORSIDE!$B$5&gt;=9),FORSIDE!$B$6+(9-1)*FORSIDE!$B$7,"")</f>
        <v/>
      </c>
    </row>
    <row r="1233" spans="1:4" x14ac:dyDescent="0.3">
      <c r="A1233" t="str">
        <f>IF(AND(FORSIDE!$B$8&gt;=6,FORSIDE!$F$8&gt;=5,FORSIDE!$B$5&gt;=10),1232,"")</f>
        <v/>
      </c>
      <c r="B1233" t="str">
        <f>IF(AND(FORSIDE!$B$8&gt;=6,FORSIDE!$F$8&gt;=5,FORSIDE!$B$5&gt;=10),354+5*FORSIDE!$F$9,"")</f>
        <v/>
      </c>
      <c r="C1233" t="str">
        <f>IF(AND(FORSIDE!$B$8&gt;=6,FORSIDE!$F$8&gt;=5,FORSIDE!$B$5&gt;=10),6*FORSIDE!$B$9,"")</f>
        <v/>
      </c>
      <c r="D1233" t="str">
        <f>IF(AND(FORSIDE!$B$8&gt;=6,FORSIDE!$F$8&gt;=5,FORSIDE!$B$5&gt;=10),FORSIDE!$B$6+(10-1)*FORSIDE!$B$7,"")</f>
        <v/>
      </c>
    </row>
    <row r="1234" spans="1:4" x14ac:dyDescent="0.3">
      <c r="A1234" t="str">
        <f>IF(AND(FORSIDE!$B$8&gt;=7,FORSIDE!$F$8&gt;=5,FORSIDE!$B$5&gt;=0),1233,"")</f>
        <v/>
      </c>
      <c r="B1234" t="str">
        <f>IF(AND(FORSIDE!$B$8&gt;=7,FORSIDE!$F$8&gt;=5,FORSIDE!$B$5&gt;=0),354+5*FORSIDE!$F$9,"")</f>
        <v/>
      </c>
      <c r="C1234" t="str">
        <f>IF(AND(FORSIDE!$B$8&gt;=7,FORSIDE!$F$8&gt;=5,FORSIDE!$B$5&gt;=0),7*FORSIDE!$B$9,"")</f>
        <v/>
      </c>
      <c r="D1234" t="str">
        <f>IF(AND(FORSIDE!$B$8&gt;=7,FORSIDE!$F$8&gt;=5,FORSIDE!$B$5&gt;=0),0,"")</f>
        <v/>
      </c>
    </row>
    <row r="1235" spans="1:4" x14ac:dyDescent="0.3">
      <c r="A1235" t="str">
        <f>IF(AND(FORSIDE!$B$8&gt;=7,FORSIDE!$F$8&gt;=5,FORSIDE!$B$5&gt;=1),1234,"")</f>
        <v/>
      </c>
      <c r="B1235" t="str">
        <f>IF(AND(FORSIDE!$B$8&gt;=7,FORSIDE!$F$8&gt;=5,FORSIDE!$B$5&gt;=1),354+5*FORSIDE!$F$9,"")</f>
        <v/>
      </c>
      <c r="C1235" t="str">
        <f>IF(AND(FORSIDE!$B$8&gt;=7,FORSIDE!$F$8&gt;=5,FORSIDE!$B$5&gt;=1),7*FORSIDE!$B$9,"")</f>
        <v/>
      </c>
      <c r="D1235" t="str">
        <f>IF(AND(FORSIDE!$B$8&gt;=7,FORSIDE!$F$8&gt;=5,FORSIDE!$B$5&gt;=1),FORSIDE!$B$6+(1-1)*FORSIDE!$B$7,"")</f>
        <v/>
      </c>
    </row>
    <row r="1236" spans="1:4" x14ac:dyDescent="0.3">
      <c r="A1236" t="str">
        <f>IF(AND(FORSIDE!$B$8&gt;=7,FORSIDE!$F$8&gt;=5,FORSIDE!$B$5&gt;=2),1235,"")</f>
        <v/>
      </c>
      <c r="B1236" t="str">
        <f>IF(AND(FORSIDE!$B$8&gt;=7,FORSIDE!$F$8&gt;=5,FORSIDE!$B$5&gt;=2),354+5*FORSIDE!$F$9,"")</f>
        <v/>
      </c>
      <c r="C1236" t="str">
        <f>IF(AND(FORSIDE!$B$8&gt;=7,FORSIDE!$F$8&gt;=5,FORSIDE!$B$5&gt;=2),7*FORSIDE!$B$9,"")</f>
        <v/>
      </c>
      <c r="D1236" t="str">
        <f>IF(AND(FORSIDE!$B$8&gt;=7,FORSIDE!$F$8&gt;=5,FORSIDE!$B$5&gt;=2),FORSIDE!$B$6+(2-1)*FORSIDE!$B$7,"")</f>
        <v/>
      </c>
    </row>
    <row r="1237" spans="1:4" x14ac:dyDescent="0.3">
      <c r="A1237" t="str">
        <f>IF(AND(FORSIDE!$B$8&gt;=7,FORSIDE!$F$8&gt;=5,FORSIDE!$B$5&gt;=3),1236,"")</f>
        <v/>
      </c>
      <c r="B1237" t="str">
        <f>IF(AND(FORSIDE!$B$8&gt;=7,FORSIDE!$F$8&gt;=5,FORSIDE!$B$5&gt;=3),354+5*FORSIDE!$F$9,"")</f>
        <v/>
      </c>
      <c r="C1237" t="str">
        <f>IF(AND(FORSIDE!$B$8&gt;=7,FORSIDE!$F$8&gt;=5,FORSIDE!$B$5&gt;=3),7*FORSIDE!$B$9,"")</f>
        <v/>
      </c>
      <c r="D1237" t="str">
        <f>IF(AND(FORSIDE!$B$8&gt;=7,FORSIDE!$F$8&gt;=5,FORSIDE!$B$5&gt;=3),FORSIDE!$B$6+(3-1)*FORSIDE!$B$7,"")</f>
        <v/>
      </c>
    </row>
    <row r="1238" spans="1:4" x14ac:dyDescent="0.3">
      <c r="A1238" t="str">
        <f>IF(AND(FORSIDE!$B$8&gt;=7,FORSIDE!$F$8&gt;=5,FORSIDE!$B$5&gt;=4),1237,"")</f>
        <v/>
      </c>
      <c r="B1238" t="str">
        <f>IF(AND(FORSIDE!$B$8&gt;=7,FORSIDE!$F$8&gt;=5,FORSIDE!$B$5&gt;=4),354+5*FORSIDE!$F$9,"")</f>
        <v/>
      </c>
      <c r="C1238" t="str">
        <f>IF(AND(FORSIDE!$B$8&gt;=7,FORSIDE!$F$8&gt;=5,FORSIDE!$B$5&gt;=4),7*FORSIDE!$B$9,"")</f>
        <v/>
      </c>
      <c r="D1238" t="str">
        <f>IF(AND(FORSIDE!$B$8&gt;=7,FORSIDE!$F$8&gt;=5,FORSIDE!$B$5&gt;=4),FORSIDE!$B$6+(4-1)*FORSIDE!$B$7,"")</f>
        <v/>
      </c>
    </row>
    <row r="1239" spans="1:4" x14ac:dyDescent="0.3">
      <c r="A1239" t="str">
        <f>IF(AND(FORSIDE!$B$8&gt;=7,FORSIDE!$F$8&gt;=5,FORSIDE!$B$5&gt;=5),1238,"")</f>
        <v/>
      </c>
      <c r="B1239" t="str">
        <f>IF(AND(FORSIDE!$B$8&gt;=7,FORSIDE!$F$8&gt;=5,FORSIDE!$B$5&gt;=5),354+5*FORSIDE!$F$9,"")</f>
        <v/>
      </c>
      <c r="C1239" t="str">
        <f>IF(AND(FORSIDE!$B$8&gt;=7,FORSIDE!$F$8&gt;=5,FORSIDE!$B$5&gt;=5),7*FORSIDE!$B$9,"")</f>
        <v/>
      </c>
      <c r="D1239" t="str">
        <f>IF(AND(FORSIDE!$B$8&gt;=7,FORSIDE!$F$8&gt;=5,FORSIDE!$B$5&gt;=5),FORSIDE!$B$6+(5-1)*FORSIDE!$B$7,"")</f>
        <v/>
      </c>
    </row>
    <row r="1240" spans="1:4" x14ac:dyDescent="0.3">
      <c r="A1240" t="str">
        <f>IF(AND(FORSIDE!$B$8&gt;=7,FORSIDE!$F$8&gt;=5,FORSIDE!$B$5&gt;=6),1239,"")</f>
        <v/>
      </c>
      <c r="B1240" t="str">
        <f>IF(AND(FORSIDE!$B$8&gt;=7,FORSIDE!$F$8&gt;=5,FORSIDE!$B$5&gt;=6),354+5*FORSIDE!$F$9,"")</f>
        <v/>
      </c>
      <c r="C1240" t="str">
        <f>IF(AND(FORSIDE!$B$8&gt;=7,FORSIDE!$F$8&gt;=5,FORSIDE!$B$5&gt;=6),7*FORSIDE!$B$9,"")</f>
        <v/>
      </c>
      <c r="D1240" t="str">
        <f>IF(AND(FORSIDE!$B$8&gt;=7,FORSIDE!$F$8&gt;=5,FORSIDE!$B$5&gt;=6),FORSIDE!$B$6+(6-1)*FORSIDE!$B$7,"")</f>
        <v/>
      </c>
    </row>
    <row r="1241" spans="1:4" x14ac:dyDescent="0.3">
      <c r="A1241" t="str">
        <f>IF(AND(FORSIDE!$B$8&gt;=7,FORSIDE!$F$8&gt;=5,FORSIDE!$B$5&gt;=7),1240,"")</f>
        <v/>
      </c>
      <c r="B1241" t="str">
        <f>IF(AND(FORSIDE!$B$8&gt;=7,FORSIDE!$F$8&gt;=5,FORSIDE!$B$5&gt;=7),354+5*FORSIDE!$F$9,"")</f>
        <v/>
      </c>
      <c r="C1241" t="str">
        <f>IF(AND(FORSIDE!$B$8&gt;=7,FORSIDE!$F$8&gt;=5,FORSIDE!$B$5&gt;=7),7*FORSIDE!$B$9,"")</f>
        <v/>
      </c>
      <c r="D1241" t="str">
        <f>IF(AND(FORSIDE!$B$8&gt;=7,FORSIDE!$F$8&gt;=5,FORSIDE!$B$5&gt;=7),FORSIDE!$B$6+(7-1)*FORSIDE!$B$7,"")</f>
        <v/>
      </c>
    </row>
    <row r="1242" spans="1:4" x14ac:dyDescent="0.3">
      <c r="A1242" t="str">
        <f>IF(AND(FORSIDE!$B$8&gt;=7,FORSIDE!$F$8&gt;=5,FORSIDE!$B$5&gt;=8),1241,"")</f>
        <v/>
      </c>
      <c r="B1242" t="str">
        <f>IF(AND(FORSIDE!$B$8&gt;=7,FORSIDE!$F$8&gt;=5,FORSIDE!$B$5&gt;=8),354+5*FORSIDE!$F$9,"")</f>
        <v/>
      </c>
      <c r="C1242" t="str">
        <f>IF(AND(FORSIDE!$B$8&gt;=7,FORSIDE!$F$8&gt;=5,FORSIDE!$B$5&gt;=8),7*FORSIDE!$B$9,"")</f>
        <v/>
      </c>
      <c r="D1242" t="str">
        <f>IF(AND(FORSIDE!$B$8&gt;=7,FORSIDE!$F$8&gt;=5,FORSIDE!$B$5&gt;=8),FORSIDE!$B$6+(8-1)*FORSIDE!$B$7,"")</f>
        <v/>
      </c>
    </row>
    <row r="1243" spans="1:4" x14ac:dyDescent="0.3">
      <c r="A1243" t="str">
        <f>IF(AND(FORSIDE!$B$8&gt;=7,FORSIDE!$F$8&gt;=5,FORSIDE!$B$5&gt;=9),1242,"")</f>
        <v/>
      </c>
      <c r="B1243" t="str">
        <f>IF(AND(FORSIDE!$B$8&gt;=7,FORSIDE!$F$8&gt;=5,FORSIDE!$B$5&gt;=9),354+5*FORSIDE!$F$9,"")</f>
        <v/>
      </c>
      <c r="C1243" t="str">
        <f>IF(AND(FORSIDE!$B$8&gt;=7,FORSIDE!$F$8&gt;=5,FORSIDE!$B$5&gt;=9),7*FORSIDE!$B$9,"")</f>
        <v/>
      </c>
      <c r="D1243" t="str">
        <f>IF(AND(FORSIDE!$B$8&gt;=7,FORSIDE!$F$8&gt;=5,FORSIDE!$B$5&gt;=9),FORSIDE!$B$6+(9-1)*FORSIDE!$B$7,"")</f>
        <v/>
      </c>
    </row>
    <row r="1244" spans="1:4" x14ac:dyDescent="0.3">
      <c r="A1244" t="str">
        <f>IF(AND(FORSIDE!$B$8&gt;=7,FORSIDE!$F$8&gt;=5,FORSIDE!$B$5&gt;=10),1243,"")</f>
        <v/>
      </c>
      <c r="B1244" t="str">
        <f>IF(AND(FORSIDE!$B$8&gt;=7,FORSIDE!$F$8&gt;=5,FORSIDE!$B$5&gt;=10),354+5*FORSIDE!$F$9,"")</f>
        <v/>
      </c>
      <c r="C1244" t="str">
        <f>IF(AND(FORSIDE!$B$8&gt;=7,FORSIDE!$F$8&gt;=5,FORSIDE!$B$5&gt;=10),7*FORSIDE!$B$9,"")</f>
        <v/>
      </c>
      <c r="D1244" t="str">
        <f>IF(AND(FORSIDE!$B$8&gt;=7,FORSIDE!$F$8&gt;=5,FORSIDE!$B$5&gt;=10),FORSIDE!$B$6+(10-1)*FORSIDE!$B$7,"")</f>
        <v/>
      </c>
    </row>
    <row r="1245" spans="1:4" x14ac:dyDescent="0.3">
      <c r="A1245" t="str">
        <f>IF(AND(FORSIDE!$B$8&gt;=8,FORSIDE!$F$8&gt;=5,FORSIDE!$B$5&gt;=0),1244,"")</f>
        <v/>
      </c>
      <c r="B1245" t="str">
        <f>IF(AND(FORSIDE!$B$8&gt;=8,FORSIDE!$F$8&gt;=5,FORSIDE!$B$5&gt;=0),354+5*FORSIDE!$F$9,"")</f>
        <v/>
      </c>
      <c r="C1245" t="str">
        <f>IF(AND(FORSIDE!$B$8&gt;=8,FORSIDE!$F$8&gt;=5,FORSIDE!$B$5&gt;=0),8*FORSIDE!$B$9,"")</f>
        <v/>
      </c>
      <c r="D1245" t="str">
        <f>IF(AND(FORSIDE!$B$8&gt;=8,FORSIDE!$F$8&gt;=5,FORSIDE!$B$5&gt;=0),0,"")</f>
        <v/>
      </c>
    </row>
    <row r="1246" spans="1:4" x14ac:dyDescent="0.3">
      <c r="A1246" t="str">
        <f>IF(AND(FORSIDE!$B$8&gt;=8,FORSIDE!$F$8&gt;=5,FORSIDE!$B$5&gt;=1),1245,"")</f>
        <v/>
      </c>
      <c r="B1246" t="str">
        <f>IF(AND(FORSIDE!$B$8&gt;=8,FORSIDE!$F$8&gt;=5,FORSIDE!$B$5&gt;=1),354+5*FORSIDE!$F$9,"")</f>
        <v/>
      </c>
      <c r="C1246" t="str">
        <f>IF(AND(FORSIDE!$B$8&gt;=8,FORSIDE!$F$8&gt;=5,FORSIDE!$B$5&gt;=1),8*FORSIDE!$B$9,"")</f>
        <v/>
      </c>
      <c r="D1246" t="str">
        <f>IF(AND(FORSIDE!$B$8&gt;=8,FORSIDE!$F$8&gt;=5,FORSIDE!$B$5&gt;=1),FORSIDE!$B$6+(1-1)*FORSIDE!$B$7,"")</f>
        <v/>
      </c>
    </row>
    <row r="1247" spans="1:4" x14ac:dyDescent="0.3">
      <c r="A1247" t="str">
        <f>IF(AND(FORSIDE!$B$8&gt;=8,FORSIDE!$F$8&gt;=5,FORSIDE!$B$5&gt;=2),1246,"")</f>
        <v/>
      </c>
      <c r="B1247" t="str">
        <f>IF(AND(FORSIDE!$B$8&gt;=8,FORSIDE!$F$8&gt;=5,FORSIDE!$B$5&gt;=2),354+5*FORSIDE!$F$9,"")</f>
        <v/>
      </c>
      <c r="C1247" t="str">
        <f>IF(AND(FORSIDE!$B$8&gt;=8,FORSIDE!$F$8&gt;=5,FORSIDE!$B$5&gt;=2),8*FORSIDE!$B$9,"")</f>
        <v/>
      </c>
      <c r="D1247" t="str">
        <f>IF(AND(FORSIDE!$B$8&gt;=8,FORSIDE!$F$8&gt;=5,FORSIDE!$B$5&gt;=2),FORSIDE!$B$6+(2-1)*FORSIDE!$B$7,"")</f>
        <v/>
      </c>
    </row>
    <row r="1248" spans="1:4" x14ac:dyDescent="0.3">
      <c r="A1248" t="str">
        <f>IF(AND(FORSIDE!$B$8&gt;=8,FORSIDE!$F$8&gt;=5,FORSIDE!$B$5&gt;=3),1247,"")</f>
        <v/>
      </c>
      <c r="B1248" t="str">
        <f>IF(AND(FORSIDE!$B$8&gt;=8,FORSIDE!$F$8&gt;=5,FORSIDE!$B$5&gt;=3),354+5*FORSIDE!$F$9,"")</f>
        <v/>
      </c>
      <c r="C1248" t="str">
        <f>IF(AND(FORSIDE!$B$8&gt;=8,FORSIDE!$F$8&gt;=5,FORSIDE!$B$5&gt;=3),8*FORSIDE!$B$9,"")</f>
        <v/>
      </c>
      <c r="D1248" t="str">
        <f>IF(AND(FORSIDE!$B$8&gt;=8,FORSIDE!$F$8&gt;=5,FORSIDE!$B$5&gt;=3),FORSIDE!$B$6+(3-1)*FORSIDE!$B$7,"")</f>
        <v/>
      </c>
    </row>
    <row r="1249" spans="1:4" x14ac:dyDescent="0.3">
      <c r="A1249" t="str">
        <f>IF(AND(FORSIDE!$B$8&gt;=8,FORSIDE!$F$8&gt;=5,FORSIDE!$B$5&gt;=4),1248,"")</f>
        <v/>
      </c>
      <c r="B1249" t="str">
        <f>IF(AND(FORSIDE!$B$8&gt;=8,FORSIDE!$F$8&gt;=5,FORSIDE!$B$5&gt;=4),354+5*FORSIDE!$F$9,"")</f>
        <v/>
      </c>
      <c r="C1249" t="str">
        <f>IF(AND(FORSIDE!$B$8&gt;=8,FORSIDE!$F$8&gt;=5,FORSIDE!$B$5&gt;=4),8*FORSIDE!$B$9,"")</f>
        <v/>
      </c>
      <c r="D1249" t="str">
        <f>IF(AND(FORSIDE!$B$8&gt;=8,FORSIDE!$F$8&gt;=5,FORSIDE!$B$5&gt;=4),FORSIDE!$B$6+(4-1)*FORSIDE!$B$7,"")</f>
        <v/>
      </c>
    </row>
    <row r="1250" spans="1:4" x14ac:dyDescent="0.3">
      <c r="A1250" t="str">
        <f>IF(AND(FORSIDE!$B$8&gt;=8,FORSIDE!$F$8&gt;=5,FORSIDE!$B$5&gt;=5),1249,"")</f>
        <v/>
      </c>
      <c r="B1250" t="str">
        <f>IF(AND(FORSIDE!$B$8&gt;=8,FORSIDE!$F$8&gt;=5,FORSIDE!$B$5&gt;=5),354+5*FORSIDE!$F$9,"")</f>
        <v/>
      </c>
      <c r="C1250" t="str">
        <f>IF(AND(FORSIDE!$B$8&gt;=8,FORSIDE!$F$8&gt;=5,FORSIDE!$B$5&gt;=5),8*FORSIDE!$B$9,"")</f>
        <v/>
      </c>
      <c r="D1250" t="str">
        <f>IF(AND(FORSIDE!$B$8&gt;=8,FORSIDE!$F$8&gt;=5,FORSIDE!$B$5&gt;=5),FORSIDE!$B$6+(5-1)*FORSIDE!$B$7,"")</f>
        <v/>
      </c>
    </row>
    <row r="1251" spans="1:4" x14ac:dyDescent="0.3">
      <c r="A1251" t="str">
        <f>IF(AND(FORSIDE!$B$8&gt;=8,FORSIDE!$F$8&gt;=5,FORSIDE!$B$5&gt;=6),1250,"")</f>
        <v/>
      </c>
      <c r="B1251" t="str">
        <f>IF(AND(FORSIDE!$B$8&gt;=8,FORSIDE!$F$8&gt;=5,FORSIDE!$B$5&gt;=6),354+5*FORSIDE!$F$9,"")</f>
        <v/>
      </c>
      <c r="C1251" t="str">
        <f>IF(AND(FORSIDE!$B$8&gt;=8,FORSIDE!$F$8&gt;=5,FORSIDE!$B$5&gt;=6),8*FORSIDE!$B$9,"")</f>
        <v/>
      </c>
      <c r="D1251" t="str">
        <f>IF(AND(FORSIDE!$B$8&gt;=8,FORSIDE!$F$8&gt;=5,FORSIDE!$B$5&gt;=6),FORSIDE!$B$6+(6-1)*FORSIDE!$B$7,"")</f>
        <v/>
      </c>
    </row>
    <row r="1252" spans="1:4" x14ac:dyDescent="0.3">
      <c r="A1252" t="str">
        <f>IF(AND(FORSIDE!$B$8&gt;=8,FORSIDE!$F$8&gt;=5,FORSIDE!$B$5&gt;=7),1251,"")</f>
        <v/>
      </c>
      <c r="B1252" t="str">
        <f>IF(AND(FORSIDE!$B$8&gt;=8,FORSIDE!$F$8&gt;=5,FORSIDE!$B$5&gt;=7),354+5*FORSIDE!$F$9,"")</f>
        <v/>
      </c>
      <c r="C1252" t="str">
        <f>IF(AND(FORSIDE!$B$8&gt;=8,FORSIDE!$F$8&gt;=5,FORSIDE!$B$5&gt;=7),8*FORSIDE!$B$9,"")</f>
        <v/>
      </c>
      <c r="D1252" t="str">
        <f>IF(AND(FORSIDE!$B$8&gt;=8,FORSIDE!$F$8&gt;=5,FORSIDE!$B$5&gt;=7),FORSIDE!$B$6+(7-1)*FORSIDE!$B$7,"")</f>
        <v/>
      </c>
    </row>
    <row r="1253" spans="1:4" x14ac:dyDescent="0.3">
      <c r="A1253" t="str">
        <f>IF(AND(FORSIDE!$B$8&gt;=8,FORSIDE!$F$8&gt;=5,FORSIDE!$B$5&gt;=8),1252,"")</f>
        <v/>
      </c>
      <c r="B1253" t="str">
        <f>IF(AND(FORSIDE!$B$8&gt;=8,FORSIDE!$F$8&gt;=5,FORSIDE!$B$5&gt;=8),354+5*FORSIDE!$F$9,"")</f>
        <v/>
      </c>
      <c r="C1253" t="str">
        <f>IF(AND(FORSIDE!$B$8&gt;=8,FORSIDE!$F$8&gt;=5,FORSIDE!$B$5&gt;=8),8*FORSIDE!$B$9,"")</f>
        <v/>
      </c>
      <c r="D1253" t="str">
        <f>IF(AND(FORSIDE!$B$8&gt;=8,FORSIDE!$F$8&gt;=5,FORSIDE!$B$5&gt;=8),FORSIDE!$B$6+(8-1)*FORSIDE!$B$7,"")</f>
        <v/>
      </c>
    </row>
    <row r="1254" spans="1:4" x14ac:dyDescent="0.3">
      <c r="A1254" t="str">
        <f>IF(AND(FORSIDE!$B$8&gt;=8,FORSIDE!$F$8&gt;=5,FORSIDE!$B$5&gt;=9),1253,"")</f>
        <v/>
      </c>
      <c r="B1254" t="str">
        <f>IF(AND(FORSIDE!$B$8&gt;=8,FORSIDE!$F$8&gt;=5,FORSIDE!$B$5&gt;=9),354+5*FORSIDE!$F$9,"")</f>
        <v/>
      </c>
      <c r="C1254" t="str">
        <f>IF(AND(FORSIDE!$B$8&gt;=8,FORSIDE!$F$8&gt;=5,FORSIDE!$B$5&gt;=9),8*FORSIDE!$B$9,"")</f>
        <v/>
      </c>
      <c r="D1254" t="str">
        <f>IF(AND(FORSIDE!$B$8&gt;=8,FORSIDE!$F$8&gt;=5,FORSIDE!$B$5&gt;=9),FORSIDE!$B$6+(9-1)*FORSIDE!$B$7,"")</f>
        <v/>
      </c>
    </row>
    <row r="1255" spans="1:4" x14ac:dyDescent="0.3">
      <c r="A1255" t="str">
        <f>IF(AND(FORSIDE!$B$8&gt;=8,FORSIDE!$F$8&gt;=5,FORSIDE!$B$5&gt;=10),1254,"")</f>
        <v/>
      </c>
      <c r="B1255" t="str">
        <f>IF(AND(FORSIDE!$B$8&gt;=8,FORSIDE!$F$8&gt;=5,FORSIDE!$B$5&gt;=10),354+5*FORSIDE!$F$9,"")</f>
        <v/>
      </c>
      <c r="C1255" t="str">
        <f>IF(AND(FORSIDE!$B$8&gt;=8,FORSIDE!$F$8&gt;=5,FORSIDE!$B$5&gt;=10),8*FORSIDE!$B$9,"")</f>
        <v/>
      </c>
      <c r="D1255" t="str">
        <f>IF(AND(FORSIDE!$B$8&gt;=8,FORSIDE!$F$8&gt;=5,FORSIDE!$B$5&gt;=10),FORSIDE!$B$6+(10-1)*FORSIDE!$B$7,"")</f>
        <v/>
      </c>
    </row>
    <row r="1256" spans="1:4" x14ac:dyDescent="0.3">
      <c r="A1256" t="str">
        <f>IF(AND(FORSIDE!$B$8&gt;=9,FORSIDE!$F$8&gt;=5,FORSIDE!$B$5&gt;=0),1255,"")</f>
        <v/>
      </c>
      <c r="B1256" t="str">
        <f>IF(AND(FORSIDE!$B$8&gt;=9,FORSIDE!$F$8&gt;=5,FORSIDE!$B$5&gt;=0),354+5*FORSIDE!$F$9,"")</f>
        <v/>
      </c>
      <c r="C1256" t="str">
        <f>IF(AND(FORSIDE!$B$8&gt;=9,FORSIDE!$F$8&gt;=5,FORSIDE!$B$5&gt;=0),9*FORSIDE!$B$9,"")</f>
        <v/>
      </c>
      <c r="D1256" t="str">
        <f>IF(AND(FORSIDE!$B$8&gt;=9,FORSIDE!$F$8&gt;=5,FORSIDE!$B$5&gt;=0),0,"")</f>
        <v/>
      </c>
    </row>
    <row r="1257" spans="1:4" x14ac:dyDescent="0.3">
      <c r="A1257" t="str">
        <f>IF(AND(FORSIDE!$B$8&gt;=9,FORSIDE!$F$8&gt;=5,FORSIDE!$B$5&gt;=1),1256,"")</f>
        <v/>
      </c>
      <c r="B1257" t="str">
        <f>IF(AND(FORSIDE!$B$8&gt;=9,FORSIDE!$F$8&gt;=5,FORSIDE!$B$5&gt;=1),354+5*FORSIDE!$F$9,"")</f>
        <v/>
      </c>
      <c r="C1257" t="str">
        <f>IF(AND(FORSIDE!$B$8&gt;=9,FORSIDE!$F$8&gt;=5,FORSIDE!$B$5&gt;=1),9*FORSIDE!$B$9,"")</f>
        <v/>
      </c>
      <c r="D1257" t="str">
        <f>IF(AND(FORSIDE!$B$8&gt;=9,FORSIDE!$F$8&gt;=5,FORSIDE!$B$5&gt;=1),FORSIDE!$B$6+(1-1)*FORSIDE!$B$7,"")</f>
        <v/>
      </c>
    </row>
    <row r="1258" spans="1:4" x14ac:dyDescent="0.3">
      <c r="A1258" t="str">
        <f>IF(AND(FORSIDE!$B$8&gt;=9,FORSIDE!$F$8&gt;=5,FORSIDE!$B$5&gt;=2),1257,"")</f>
        <v/>
      </c>
      <c r="B1258" t="str">
        <f>IF(AND(FORSIDE!$B$8&gt;=9,FORSIDE!$F$8&gt;=5,FORSIDE!$B$5&gt;=2),354+5*FORSIDE!$F$9,"")</f>
        <v/>
      </c>
      <c r="C1258" t="str">
        <f>IF(AND(FORSIDE!$B$8&gt;=9,FORSIDE!$F$8&gt;=5,FORSIDE!$B$5&gt;=2),9*FORSIDE!$B$9,"")</f>
        <v/>
      </c>
      <c r="D1258" t="str">
        <f>IF(AND(FORSIDE!$B$8&gt;=9,FORSIDE!$F$8&gt;=5,FORSIDE!$B$5&gt;=2),FORSIDE!$B$6+(2-1)*FORSIDE!$B$7,"")</f>
        <v/>
      </c>
    </row>
    <row r="1259" spans="1:4" x14ac:dyDescent="0.3">
      <c r="A1259" t="str">
        <f>IF(AND(FORSIDE!$B$8&gt;=9,FORSIDE!$F$8&gt;=5,FORSIDE!$B$5&gt;=3),1258,"")</f>
        <v/>
      </c>
      <c r="B1259" t="str">
        <f>IF(AND(FORSIDE!$B$8&gt;=9,FORSIDE!$F$8&gt;=5,FORSIDE!$B$5&gt;=3),354+5*FORSIDE!$F$9,"")</f>
        <v/>
      </c>
      <c r="C1259" t="str">
        <f>IF(AND(FORSIDE!$B$8&gt;=9,FORSIDE!$F$8&gt;=5,FORSIDE!$B$5&gt;=3),9*FORSIDE!$B$9,"")</f>
        <v/>
      </c>
      <c r="D1259" t="str">
        <f>IF(AND(FORSIDE!$B$8&gt;=9,FORSIDE!$F$8&gt;=5,FORSIDE!$B$5&gt;=3),FORSIDE!$B$6+(3-1)*FORSIDE!$B$7,"")</f>
        <v/>
      </c>
    </row>
    <row r="1260" spans="1:4" x14ac:dyDescent="0.3">
      <c r="A1260" t="str">
        <f>IF(AND(FORSIDE!$B$8&gt;=9,FORSIDE!$F$8&gt;=5,FORSIDE!$B$5&gt;=4),1259,"")</f>
        <v/>
      </c>
      <c r="B1260" t="str">
        <f>IF(AND(FORSIDE!$B$8&gt;=9,FORSIDE!$F$8&gt;=5,FORSIDE!$B$5&gt;=4),354+5*FORSIDE!$F$9,"")</f>
        <v/>
      </c>
      <c r="C1260" t="str">
        <f>IF(AND(FORSIDE!$B$8&gt;=9,FORSIDE!$F$8&gt;=5,FORSIDE!$B$5&gt;=4),9*FORSIDE!$B$9,"")</f>
        <v/>
      </c>
      <c r="D1260" t="str">
        <f>IF(AND(FORSIDE!$B$8&gt;=9,FORSIDE!$F$8&gt;=5,FORSIDE!$B$5&gt;=4),FORSIDE!$B$6+(4-1)*FORSIDE!$B$7,"")</f>
        <v/>
      </c>
    </row>
    <row r="1261" spans="1:4" x14ac:dyDescent="0.3">
      <c r="A1261" t="str">
        <f>IF(AND(FORSIDE!$B$8&gt;=9,FORSIDE!$F$8&gt;=5,FORSIDE!$B$5&gt;=5),1260,"")</f>
        <v/>
      </c>
      <c r="B1261" t="str">
        <f>IF(AND(FORSIDE!$B$8&gt;=9,FORSIDE!$F$8&gt;=5,FORSIDE!$B$5&gt;=5),354+5*FORSIDE!$F$9,"")</f>
        <v/>
      </c>
      <c r="C1261" t="str">
        <f>IF(AND(FORSIDE!$B$8&gt;=9,FORSIDE!$F$8&gt;=5,FORSIDE!$B$5&gt;=5),9*FORSIDE!$B$9,"")</f>
        <v/>
      </c>
      <c r="D1261" t="str">
        <f>IF(AND(FORSIDE!$B$8&gt;=9,FORSIDE!$F$8&gt;=5,FORSIDE!$B$5&gt;=5),FORSIDE!$B$6+(5-1)*FORSIDE!$B$7,"")</f>
        <v/>
      </c>
    </row>
    <row r="1262" spans="1:4" x14ac:dyDescent="0.3">
      <c r="A1262" t="str">
        <f>IF(AND(FORSIDE!$B$8&gt;=9,FORSIDE!$F$8&gt;=5,FORSIDE!$B$5&gt;=6),1261,"")</f>
        <v/>
      </c>
      <c r="B1262" t="str">
        <f>IF(AND(FORSIDE!$B$8&gt;=9,FORSIDE!$F$8&gt;=5,FORSIDE!$B$5&gt;=6),354+5*FORSIDE!$F$9,"")</f>
        <v/>
      </c>
      <c r="C1262" t="str">
        <f>IF(AND(FORSIDE!$B$8&gt;=9,FORSIDE!$F$8&gt;=5,FORSIDE!$B$5&gt;=6),9*FORSIDE!$B$9,"")</f>
        <v/>
      </c>
      <c r="D1262" t="str">
        <f>IF(AND(FORSIDE!$B$8&gt;=9,FORSIDE!$F$8&gt;=5,FORSIDE!$B$5&gt;=6),FORSIDE!$B$6+(6-1)*FORSIDE!$B$7,"")</f>
        <v/>
      </c>
    </row>
    <row r="1263" spans="1:4" x14ac:dyDescent="0.3">
      <c r="A1263" t="str">
        <f>IF(AND(FORSIDE!$B$8&gt;=9,FORSIDE!$F$8&gt;=5,FORSIDE!$B$5&gt;=7),1262,"")</f>
        <v/>
      </c>
      <c r="B1263" t="str">
        <f>IF(AND(FORSIDE!$B$8&gt;=9,FORSIDE!$F$8&gt;=5,FORSIDE!$B$5&gt;=7),354+5*FORSIDE!$F$9,"")</f>
        <v/>
      </c>
      <c r="C1263" t="str">
        <f>IF(AND(FORSIDE!$B$8&gt;=9,FORSIDE!$F$8&gt;=5,FORSIDE!$B$5&gt;=7),9*FORSIDE!$B$9,"")</f>
        <v/>
      </c>
      <c r="D1263" t="str">
        <f>IF(AND(FORSIDE!$B$8&gt;=9,FORSIDE!$F$8&gt;=5,FORSIDE!$B$5&gt;=7),FORSIDE!$B$6+(7-1)*FORSIDE!$B$7,"")</f>
        <v/>
      </c>
    </row>
    <row r="1264" spans="1:4" x14ac:dyDescent="0.3">
      <c r="A1264" t="str">
        <f>IF(AND(FORSIDE!$B$8&gt;=9,FORSIDE!$F$8&gt;=5,FORSIDE!$B$5&gt;=8),1263,"")</f>
        <v/>
      </c>
      <c r="B1264" t="str">
        <f>IF(AND(FORSIDE!$B$8&gt;=9,FORSIDE!$F$8&gt;=5,FORSIDE!$B$5&gt;=8),354+5*FORSIDE!$F$9,"")</f>
        <v/>
      </c>
      <c r="C1264" t="str">
        <f>IF(AND(FORSIDE!$B$8&gt;=9,FORSIDE!$F$8&gt;=5,FORSIDE!$B$5&gt;=8),9*FORSIDE!$B$9,"")</f>
        <v/>
      </c>
      <c r="D1264" t="str">
        <f>IF(AND(FORSIDE!$B$8&gt;=9,FORSIDE!$F$8&gt;=5,FORSIDE!$B$5&gt;=8),FORSIDE!$B$6+(8-1)*FORSIDE!$B$7,"")</f>
        <v/>
      </c>
    </row>
    <row r="1265" spans="1:4" x14ac:dyDescent="0.3">
      <c r="A1265" t="str">
        <f>IF(AND(FORSIDE!$B$8&gt;=9,FORSIDE!$F$8&gt;=5,FORSIDE!$B$5&gt;=9),1264,"")</f>
        <v/>
      </c>
      <c r="B1265" t="str">
        <f>IF(AND(FORSIDE!$B$8&gt;=9,FORSIDE!$F$8&gt;=5,FORSIDE!$B$5&gt;=9),354+5*FORSIDE!$F$9,"")</f>
        <v/>
      </c>
      <c r="C1265" t="str">
        <f>IF(AND(FORSIDE!$B$8&gt;=9,FORSIDE!$F$8&gt;=5,FORSIDE!$B$5&gt;=9),9*FORSIDE!$B$9,"")</f>
        <v/>
      </c>
      <c r="D1265" t="str">
        <f>IF(AND(FORSIDE!$B$8&gt;=9,FORSIDE!$F$8&gt;=5,FORSIDE!$B$5&gt;=9),FORSIDE!$B$6+(9-1)*FORSIDE!$B$7,"")</f>
        <v/>
      </c>
    </row>
    <row r="1266" spans="1:4" x14ac:dyDescent="0.3">
      <c r="A1266" t="str">
        <f>IF(AND(FORSIDE!$B$8&gt;=9,FORSIDE!$F$8&gt;=5,FORSIDE!$B$5&gt;=10),1265,"")</f>
        <v/>
      </c>
      <c r="B1266" t="str">
        <f>IF(AND(FORSIDE!$B$8&gt;=9,FORSIDE!$F$8&gt;=5,FORSIDE!$B$5&gt;=10),354+5*FORSIDE!$F$9,"")</f>
        <v/>
      </c>
      <c r="C1266" t="str">
        <f>IF(AND(FORSIDE!$B$8&gt;=9,FORSIDE!$F$8&gt;=5,FORSIDE!$B$5&gt;=10),9*FORSIDE!$B$9,"")</f>
        <v/>
      </c>
      <c r="D1266" t="str">
        <f>IF(AND(FORSIDE!$B$8&gt;=9,FORSIDE!$F$8&gt;=5,FORSIDE!$B$5&gt;=10),FORSIDE!$B$6+(10-1)*FORSIDE!$B$7,"")</f>
        <v/>
      </c>
    </row>
    <row r="1267" spans="1:4" x14ac:dyDescent="0.3">
      <c r="A1267" t="str">
        <f>IF(AND(FORSIDE!$B$8&gt;=10,FORSIDE!$F$8&gt;=5,FORSIDE!$B$5&gt;=0),1266,"")</f>
        <v/>
      </c>
      <c r="B1267" t="str">
        <f>IF(AND(FORSIDE!$B$8&gt;=10,FORSIDE!$F$8&gt;=5,FORSIDE!$B$5&gt;=0),354+5*FORSIDE!$F$9,"")</f>
        <v/>
      </c>
      <c r="C1267" t="str">
        <f>IF(AND(FORSIDE!$B$8&gt;=10,FORSIDE!$F$8&gt;=5,FORSIDE!$B$5&gt;=0),10*FORSIDE!$B$9,"")</f>
        <v/>
      </c>
      <c r="D1267" t="str">
        <f>IF(AND(FORSIDE!$B$8&gt;=10,FORSIDE!$F$8&gt;=5,FORSIDE!$B$5&gt;=0),0,"")</f>
        <v/>
      </c>
    </row>
    <row r="1268" spans="1:4" x14ac:dyDescent="0.3">
      <c r="A1268" t="str">
        <f>IF(AND(FORSIDE!$B$8&gt;=10,FORSIDE!$F$8&gt;=5,FORSIDE!$B$5&gt;=1),1267,"")</f>
        <v/>
      </c>
      <c r="B1268" t="str">
        <f>IF(AND(FORSIDE!$B$8&gt;=10,FORSIDE!$F$8&gt;=5,FORSIDE!$B$5&gt;=1),354+5*FORSIDE!$F$9,"")</f>
        <v/>
      </c>
      <c r="C1268" t="str">
        <f>IF(AND(FORSIDE!$B$8&gt;=10,FORSIDE!$F$8&gt;=5,FORSIDE!$B$5&gt;=1),10*FORSIDE!$B$9,"")</f>
        <v/>
      </c>
      <c r="D1268" t="str">
        <f>IF(AND(FORSIDE!$B$8&gt;=10,FORSIDE!$F$8&gt;=5,FORSIDE!$B$5&gt;=1),FORSIDE!$B$6+(1-1)*FORSIDE!$B$7,"")</f>
        <v/>
      </c>
    </row>
    <row r="1269" spans="1:4" x14ac:dyDescent="0.3">
      <c r="A1269" t="str">
        <f>IF(AND(FORSIDE!$B$8&gt;=10,FORSIDE!$F$8&gt;=5,FORSIDE!$B$5&gt;=2),1268,"")</f>
        <v/>
      </c>
      <c r="B1269" t="str">
        <f>IF(AND(FORSIDE!$B$8&gt;=10,FORSIDE!$F$8&gt;=5,FORSIDE!$B$5&gt;=2),354+5*FORSIDE!$F$9,"")</f>
        <v/>
      </c>
      <c r="C1269" t="str">
        <f>IF(AND(FORSIDE!$B$8&gt;=10,FORSIDE!$F$8&gt;=5,FORSIDE!$B$5&gt;=2),10*FORSIDE!$B$9,"")</f>
        <v/>
      </c>
      <c r="D1269" t="str">
        <f>IF(AND(FORSIDE!$B$8&gt;=10,FORSIDE!$F$8&gt;=5,FORSIDE!$B$5&gt;=2),FORSIDE!$B$6+(2-1)*FORSIDE!$B$7,"")</f>
        <v/>
      </c>
    </row>
    <row r="1270" spans="1:4" x14ac:dyDescent="0.3">
      <c r="A1270" t="str">
        <f>IF(AND(FORSIDE!$B$8&gt;=10,FORSIDE!$F$8&gt;=5,FORSIDE!$B$5&gt;=3),1269,"")</f>
        <v/>
      </c>
      <c r="B1270" t="str">
        <f>IF(AND(FORSIDE!$B$8&gt;=10,FORSIDE!$F$8&gt;=5,FORSIDE!$B$5&gt;=3),354+5*FORSIDE!$F$9,"")</f>
        <v/>
      </c>
      <c r="C1270" t="str">
        <f>IF(AND(FORSIDE!$B$8&gt;=10,FORSIDE!$F$8&gt;=5,FORSIDE!$B$5&gt;=3),10*FORSIDE!$B$9,"")</f>
        <v/>
      </c>
      <c r="D1270" t="str">
        <f>IF(AND(FORSIDE!$B$8&gt;=10,FORSIDE!$F$8&gt;=5,FORSIDE!$B$5&gt;=3),FORSIDE!$B$6+(3-1)*FORSIDE!$B$7,"")</f>
        <v/>
      </c>
    </row>
    <row r="1271" spans="1:4" x14ac:dyDescent="0.3">
      <c r="A1271" t="str">
        <f>IF(AND(FORSIDE!$B$8&gt;=10,FORSIDE!$F$8&gt;=5,FORSIDE!$B$5&gt;=4),1270,"")</f>
        <v/>
      </c>
      <c r="B1271" t="str">
        <f>IF(AND(FORSIDE!$B$8&gt;=10,FORSIDE!$F$8&gt;=5,FORSIDE!$B$5&gt;=4),354+5*FORSIDE!$F$9,"")</f>
        <v/>
      </c>
      <c r="C1271" t="str">
        <f>IF(AND(FORSIDE!$B$8&gt;=10,FORSIDE!$F$8&gt;=5,FORSIDE!$B$5&gt;=4),10*FORSIDE!$B$9,"")</f>
        <v/>
      </c>
      <c r="D1271" t="str">
        <f>IF(AND(FORSIDE!$B$8&gt;=10,FORSIDE!$F$8&gt;=5,FORSIDE!$B$5&gt;=4),FORSIDE!$B$6+(4-1)*FORSIDE!$B$7,"")</f>
        <v/>
      </c>
    </row>
    <row r="1272" spans="1:4" x14ac:dyDescent="0.3">
      <c r="A1272" t="str">
        <f>IF(AND(FORSIDE!$B$8&gt;=10,FORSIDE!$F$8&gt;=5,FORSIDE!$B$5&gt;=5),1271,"")</f>
        <v/>
      </c>
      <c r="B1272" t="str">
        <f>IF(AND(FORSIDE!$B$8&gt;=10,FORSIDE!$F$8&gt;=5,FORSIDE!$B$5&gt;=5),354+5*FORSIDE!$F$9,"")</f>
        <v/>
      </c>
      <c r="C1272" t="str">
        <f>IF(AND(FORSIDE!$B$8&gt;=10,FORSIDE!$F$8&gt;=5,FORSIDE!$B$5&gt;=5),10*FORSIDE!$B$9,"")</f>
        <v/>
      </c>
      <c r="D1272" t="str">
        <f>IF(AND(FORSIDE!$B$8&gt;=10,FORSIDE!$F$8&gt;=5,FORSIDE!$B$5&gt;=5),FORSIDE!$B$6+(5-1)*FORSIDE!$B$7,"")</f>
        <v/>
      </c>
    </row>
    <row r="1273" spans="1:4" x14ac:dyDescent="0.3">
      <c r="A1273" t="str">
        <f>IF(AND(FORSIDE!$B$8&gt;=10,FORSIDE!$F$8&gt;=5,FORSIDE!$B$5&gt;=6),1272,"")</f>
        <v/>
      </c>
      <c r="B1273" t="str">
        <f>IF(AND(FORSIDE!$B$8&gt;=10,FORSIDE!$F$8&gt;=5,FORSIDE!$B$5&gt;=6),354+5*FORSIDE!$F$9,"")</f>
        <v/>
      </c>
      <c r="C1273" t="str">
        <f>IF(AND(FORSIDE!$B$8&gt;=10,FORSIDE!$F$8&gt;=5,FORSIDE!$B$5&gt;=6),10*FORSIDE!$B$9,"")</f>
        <v/>
      </c>
      <c r="D1273" t="str">
        <f>IF(AND(FORSIDE!$B$8&gt;=10,FORSIDE!$F$8&gt;=5,FORSIDE!$B$5&gt;=6),FORSIDE!$B$6+(6-1)*FORSIDE!$B$7,"")</f>
        <v/>
      </c>
    </row>
    <row r="1274" spans="1:4" x14ac:dyDescent="0.3">
      <c r="A1274" t="str">
        <f>IF(AND(FORSIDE!$B$8&gt;=10,FORSIDE!$F$8&gt;=5,FORSIDE!$B$5&gt;=7),1273,"")</f>
        <v/>
      </c>
      <c r="B1274" t="str">
        <f>IF(AND(FORSIDE!$B$8&gt;=10,FORSIDE!$F$8&gt;=5,FORSIDE!$B$5&gt;=7),354+5*FORSIDE!$F$9,"")</f>
        <v/>
      </c>
      <c r="C1274" t="str">
        <f>IF(AND(FORSIDE!$B$8&gt;=10,FORSIDE!$F$8&gt;=5,FORSIDE!$B$5&gt;=7),10*FORSIDE!$B$9,"")</f>
        <v/>
      </c>
      <c r="D1274" t="str">
        <f>IF(AND(FORSIDE!$B$8&gt;=10,FORSIDE!$F$8&gt;=5,FORSIDE!$B$5&gt;=7),FORSIDE!$B$6+(7-1)*FORSIDE!$B$7,"")</f>
        <v/>
      </c>
    </row>
    <row r="1275" spans="1:4" x14ac:dyDescent="0.3">
      <c r="A1275" t="str">
        <f>IF(AND(FORSIDE!$B$8&gt;=10,FORSIDE!$F$8&gt;=5,FORSIDE!$B$5&gt;=8),1274,"")</f>
        <v/>
      </c>
      <c r="B1275" t="str">
        <f>IF(AND(FORSIDE!$B$8&gt;=10,FORSIDE!$F$8&gt;=5,FORSIDE!$B$5&gt;=8),354+5*FORSIDE!$F$9,"")</f>
        <v/>
      </c>
      <c r="C1275" t="str">
        <f>IF(AND(FORSIDE!$B$8&gt;=10,FORSIDE!$F$8&gt;=5,FORSIDE!$B$5&gt;=8),10*FORSIDE!$B$9,"")</f>
        <v/>
      </c>
      <c r="D1275" t="str">
        <f>IF(AND(FORSIDE!$B$8&gt;=10,FORSIDE!$F$8&gt;=5,FORSIDE!$B$5&gt;=8),FORSIDE!$B$6+(8-1)*FORSIDE!$B$7,"")</f>
        <v/>
      </c>
    </row>
    <row r="1276" spans="1:4" x14ac:dyDescent="0.3">
      <c r="A1276" t="str">
        <f>IF(AND(FORSIDE!$B$8&gt;=10,FORSIDE!$F$8&gt;=5,FORSIDE!$B$5&gt;=9),1275,"")</f>
        <v/>
      </c>
      <c r="B1276" t="str">
        <f>IF(AND(FORSIDE!$B$8&gt;=10,FORSIDE!$F$8&gt;=5,FORSIDE!$B$5&gt;=9),354+5*FORSIDE!$F$9,"")</f>
        <v/>
      </c>
      <c r="C1276" t="str">
        <f>IF(AND(FORSIDE!$B$8&gt;=10,FORSIDE!$F$8&gt;=5,FORSIDE!$B$5&gt;=9),10*FORSIDE!$B$9,"")</f>
        <v/>
      </c>
      <c r="D1276" t="str">
        <f>IF(AND(FORSIDE!$B$8&gt;=10,FORSIDE!$F$8&gt;=5,FORSIDE!$B$5&gt;=9),FORSIDE!$B$6+(9-1)*FORSIDE!$B$7,"")</f>
        <v/>
      </c>
    </row>
    <row r="1277" spans="1:4" x14ac:dyDescent="0.3">
      <c r="A1277" t="str">
        <f>IF(AND(FORSIDE!$B$8&gt;=10,FORSIDE!$F$8&gt;=5,FORSIDE!$B$5&gt;=10),1276,"")</f>
        <v/>
      </c>
      <c r="B1277" t="str">
        <f>IF(AND(FORSIDE!$B$8&gt;=10,FORSIDE!$F$8&gt;=5,FORSIDE!$B$5&gt;=10),354+5*FORSIDE!$F$9,"")</f>
        <v/>
      </c>
      <c r="C1277" t="str">
        <f>IF(AND(FORSIDE!$B$8&gt;=10,FORSIDE!$F$8&gt;=5,FORSIDE!$B$5&gt;=10),10*FORSIDE!$B$9,"")</f>
        <v/>
      </c>
      <c r="D1277" t="str">
        <f>IF(AND(FORSIDE!$B$8&gt;=10,FORSIDE!$F$8&gt;=5,FORSIDE!$B$5&gt;=10),FORSIDE!$B$6+(10-1)*FORSIDE!$B$7,"")</f>
        <v/>
      </c>
    </row>
    <row r="1278" spans="1:4" x14ac:dyDescent="0.3">
      <c r="A1278" t="str">
        <f>IF(AND(FORSIDE!$B$8&gt;=11,FORSIDE!$F$8&gt;=5,FORSIDE!$B$5&gt;=0),1277,"")</f>
        <v/>
      </c>
      <c r="B1278" t="str">
        <f>IF(AND(FORSIDE!$B$8&gt;=11,FORSIDE!$F$8&gt;=5,FORSIDE!$B$5&gt;=0),354+5*FORSIDE!$F$9,"")</f>
        <v/>
      </c>
      <c r="C1278" t="str">
        <f>IF(AND(FORSIDE!$B$8&gt;=11,FORSIDE!$F$8&gt;=5,FORSIDE!$B$5&gt;=0),11*FORSIDE!$B$9,"")</f>
        <v/>
      </c>
      <c r="D1278" t="str">
        <f>IF(AND(FORSIDE!$B$8&gt;=11,FORSIDE!$F$8&gt;=5,FORSIDE!$B$5&gt;=0),0,"")</f>
        <v/>
      </c>
    </row>
    <row r="1279" spans="1:4" x14ac:dyDescent="0.3">
      <c r="A1279" t="str">
        <f>IF(AND(FORSIDE!$B$8&gt;=11,FORSIDE!$F$8&gt;=5,FORSIDE!$B$5&gt;=1),1278,"")</f>
        <v/>
      </c>
      <c r="B1279" t="str">
        <f>IF(AND(FORSIDE!$B$8&gt;=11,FORSIDE!$F$8&gt;=5,FORSIDE!$B$5&gt;=1),354+5*FORSIDE!$F$9,"")</f>
        <v/>
      </c>
      <c r="C1279" t="str">
        <f>IF(AND(FORSIDE!$B$8&gt;=11,FORSIDE!$F$8&gt;=5,FORSIDE!$B$5&gt;=1),11*FORSIDE!$B$9,"")</f>
        <v/>
      </c>
      <c r="D1279" t="str">
        <f>IF(AND(FORSIDE!$B$8&gt;=11,FORSIDE!$F$8&gt;=5,FORSIDE!$B$5&gt;=1),FORSIDE!$B$6+(1-1)*FORSIDE!$B$7,"")</f>
        <v/>
      </c>
    </row>
    <row r="1280" spans="1:4" x14ac:dyDescent="0.3">
      <c r="A1280" t="str">
        <f>IF(AND(FORSIDE!$B$8&gt;=11,FORSIDE!$F$8&gt;=5,FORSIDE!$B$5&gt;=2),1279,"")</f>
        <v/>
      </c>
      <c r="B1280" t="str">
        <f>IF(AND(FORSIDE!$B$8&gt;=11,FORSIDE!$F$8&gt;=5,FORSIDE!$B$5&gt;=2),354+5*FORSIDE!$F$9,"")</f>
        <v/>
      </c>
      <c r="C1280" t="str">
        <f>IF(AND(FORSIDE!$B$8&gt;=11,FORSIDE!$F$8&gt;=5,FORSIDE!$B$5&gt;=2),11*FORSIDE!$B$9,"")</f>
        <v/>
      </c>
      <c r="D1280" t="str">
        <f>IF(AND(FORSIDE!$B$8&gt;=11,FORSIDE!$F$8&gt;=5,FORSIDE!$B$5&gt;=2),FORSIDE!$B$6+(2-1)*FORSIDE!$B$7,"")</f>
        <v/>
      </c>
    </row>
    <row r="1281" spans="1:4" x14ac:dyDescent="0.3">
      <c r="A1281" t="str">
        <f>IF(AND(FORSIDE!$B$8&gt;=11,FORSIDE!$F$8&gt;=5,FORSIDE!$B$5&gt;=3),1280,"")</f>
        <v/>
      </c>
      <c r="B1281" t="str">
        <f>IF(AND(FORSIDE!$B$8&gt;=11,FORSIDE!$F$8&gt;=5,FORSIDE!$B$5&gt;=3),354+5*FORSIDE!$F$9,"")</f>
        <v/>
      </c>
      <c r="C1281" t="str">
        <f>IF(AND(FORSIDE!$B$8&gt;=11,FORSIDE!$F$8&gt;=5,FORSIDE!$B$5&gt;=3),11*FORSIDE!$B$9,"")</f>
        <v/>
      </c>
      <c r="D1281" t="str">
        <f>IF(AND(FORSIDE!$B$8&gt;=11,FORSIDE!$F$8&gt;=5,FORSIDE!$B$5&gt;=3),FORSIDE!$B$6+(3-1)*FORSIDE!$B$7,"")</f>
        <v/>
      </c>
    </row>
    <row r="1282" spans="1:4" x14ac:dyDescent="0.3">
      <c r="A1282" t="str">
        <f>IF(AND(FORSIDE!$B$8&gt;=11,FORSIDE!$F$8&gt;=5,FORSIDE!$B$5&gt;=4),1281,"")</f>
        <v/>
      </c>
      <c r="B1282" t="str">
        <f>IF(AND(FORSIDE!$B$8&gt;=11,FORSIDE!$F$8&gt;=5,FORSIDE!$B$5&gt;=4),354+5*FORSIDE!$F$9,"")</f>
        <v/>
      </c>
      <c r="C1282" t="str">
        <f>IF(AND(FORSIDE!$B$8&gt;=11,FORSIDE!$F$8&gt;=5,FORSIDE!$B$5&gt;=4),11*FORSIDE!$B$9,"")</f>
        <v/>
      </c>
      <c r="D1282" t="str">
        <f>IF(AND(FORSIDE!$B$8&gt;=11,FORSIDE!$F$8&gt;=5,FORSIDE!$B$5&gt;=4),FORSIDE!$B$6+(4-1)*FORSIDE!$B$7,"")</f>
        <v/>
      </c>
    </row>
    <row r="1283" spans="1:4" x14ac:dyDescent="0.3">
      <c r="A1283" t="str">
        <f>IF(AND(FORSIDE!$B$8&gt;=11,FORSIDE!$F$8&gt;=5,FORSIDE!$B$5&gt;=5),1282,"")</f>
        <v/>
      </c>
      <c r="B1283" t="str">
        <f>IF(AND(FORSIDE!$B$8&gt;=11,FORSIDE!$F$8&gt;=5,FORSIDE!$B$5&gt;=5),354+5*FORSIDE!$F$9,"")</f>
        <v/>
      </c>
      <c r="C1283" t="str">
        <f>IF(AND(FORSIDE!$B$8&gt;=11,FORSIDE!$F$8&gt;=5,FORSIDE!$B$5&gt;=5),11*FORSIDE!$B$9,"")</f>
        <v/>
      </c>
      <c r="D1283" t="str">
        <f>IF(AND(FORSIDE!$B$8&gt;=11,FORSIDE!$F$8&gt;=5,FORSIDE!$B$5&gt;=5),FORSIDE!$B$6+(5-1)*FORSIDE!$B$7,"")</f>
        <v/>
      </c>
    </row>
    <row r="1284" spans="1:4" x14ac:dyDescent="0.3">
      <c r="A1284" t="str">
        <f>IF(AND(FORSIDE!$B$8&gt;=11,FORSIDE!$F$8&gt;=5,FORSIDE!$B$5&gt;=6),1283,"")</f>
        <v/>
      </c>
      <c r="B1284" t="str">
        <f>IF(AND(FORSIDE!$B$8&gt;=11,FORSIDE!$F$8&gt;=5,FORSIDE!$B$5&gt;=6),354+5*FORSIDE!$F$9,"")</f>
        <v/>
      </c>
      <c r="C1284" t="str">
        <f>IF(AND(FORSIDE!$B$8&gt;=11,FORSIDE!$F$8&gt;=5,FORSIDE!$B$5&gt;=6),11*FORSIDE!$B$9,"")</f>
        <v/>
      </c>
      <c r="D1284" t="str">
        <f>IF(AND(FORSIDE!$B$8&gt;=11,FORSIDE!$F$8&gt;=5,FORSIDE!$B$5&gt;=6),FORSIDE!$B$6+(6-1)*FORSIDE!$B$7,"")</f>
        <v/>
      </c>
    </row>
    <row r="1285" spans="1:4" x14ac:dyDescent="0.3">
      <c r="A1285" t="str">
        <f>IF(AND(FORSIDE!$B$8&gt;=11,FORSIDE!$F$8&gt;=5,FORSIDE!$B$5&gt;=7),1284,"")</f>
        <v/>
      </c>
      <c r="B1285" t="str">
        <f>IF(AND(FORSIDE!$B$8&gt;=11,FORSIDE!$F$8&gt;=5,FORSIDE!$B$5&gt;=7),354+5*FORSIDE!$F$9,"")</f>
        <v/>
      </c>
      <c r="C1285" t="str">
        <f>IF(AND(FORSIDE!$B$8&gt;=11,FORSIDE!$F$8&gt;=5,FORSIDE!$B$5&gt;=7),11*FORSIDE!$B$9,"")</f>
        <v/>
      </c>
      <c r="D1285" t="str">
        <f>IF(AND(FORSIDE!$B$8&gt;=11,FORSIDE!$F$8&gt;=5,FORSIDE!$B$5&gt;=7),FORSIDE!$B$6+(7-1)*FORSIDE!$B$7,"")</f>
        <v/>
      </c>
    </row>
    <row r="1286" spans="1:4" x14ac:dyDescent="0.3">
      <c r="A1286" t="str">
        <f>IF(AND(FORSIDE!$B$8&gt;=11,FORSIDE!$F$8&gt;=5,FORSIDE!$B$5&gt;=8),1285,"")</f>
        <v/>
      </c>
      <c r="B1286" t="str">
        <f>IF(AND(FORSIDE!$B$8&gt;=11,FORSIDE!$F$8&gt;=5,FORSIDE!$B$5&gt;=8),354+5*FORSIDE!$F$9,"")</f>
        <v/>
      </c>
      <c r="C1286" t="str">
        <f>IF(AND(FORSIDE!$B$8&gt;=11,FORSIDE!$F$8&gt;=5,FORSIDE!$B$5&gt;=8),11*FORSIDE!$B$9,"")</f>
        <v/>
      </c>
      <c r="D1286" t="str">
        <f>IF(AND(FORSIDE!$B$8&gt;=11,FORSIDE!$F$8&gt;=5,FORSIDE!$B$5&gt;=8),FORSIDE!$B$6+(8-1)*FORSIDE!$B$7,"")</f>
        <v/>
      </c>
    </row>
    <row r="1287" spans="1:4" x14ac:dyDescent="0.3">
      <c r="A1287" t="str">
        <f>IF(AND(FORSIDE!$B$8&gt;=11,FORSIDE!$F$8&gt;=5,FORSIDE!$B$5&gt;=9),1286,"")</f>
        <v/>
      </c>
      <c r="B1287" t="str">
        <f>IF(AND(FORSIDE!$B$8&gt;=11,FORSIDE!$F$8&gt;=5,FORSIDE!$B$5&gt;=9),354+5*FORSIDE!$F$9,"")</f>
        <v/>
      </c>
      <c r="C1287" t="str">
        <f>IF(AND(FORSIDE!$B$8&gt;=11,FORSIDE!$F$8&gt;=5,FORSIDE!$B$5&gt;=9),11*FORSIDE!$B$9,"")</f>
        <v/>
      </c>
      <c r="D1287" t="str">
        <f>IF(AND(FORSIDE!$B$8&gt;=11,FORSIDE!$F$8&gt;=5,FORSIDE!$B$5&gt;=9),FORSIDE!$B$6+(9-1)*FORSIDE!$B$7,"")</f>
        <v/>
      </c>
    </row>
    <row r="1288" spans="1:4" x14ac:dyDescent="0.3">
      <c r="A1288" t="str">
        <f>IF(AND(FORSIDE!$B$8&gt;=11,FORSIDE!$F$8&gt;=5,FORSIDE!$B$5&gt;=10),1287,"")</f>
        <v/>
      </c>
      <c r="B1288" t="str">
        <f>IF(AND(FORSIDE!$B$8&gt;=11,FORSIDE!$F$8&gt;=5,FORSIDE!$B$5&gt;=10),354+5*FORSIDE!$F$9,"")</f>
        <v/>
      </c>
      <c r="C1288" t="str">
        <f>IF(AND(FORSIDE!$B$8&gt;=11,FORSIDE!$F$8&gt;=5,FORSIDE!$B$5&gt;=10),11*FORSIDE!$B$9,"")</f>
        <v/>
      </c>
      <c r="D1288" t="str">
        <f>IF(AND(FORSIDE!$B$8&gt;=11,FORSIDE!$F$8&gt;=5,FORSIDE!$B$5&gt;=10),FORSIDE!$B$6+(10-1)*FORSIDE!$B$7,"")</f>
        <v/>
      </c>
    </row>
    <row r="1289" spans="1:4" x14ac:dyDescent="0.3">
      <c r="A1289" t="str">
        <f>IF(AND(FORSIDE!$B$8&gt;=12,FORSIDE!$F$8&gt;=5,FORSIDE!$B$5&gt;=0),1288,"")</f>
        <v/>
      </c>
      <c r="B1289" t="str">
        <f>IF(AND(FORSIDE!$B$8&gt;=12,FORSIDE!$F$8&gt;=5,FORSIDE!$B$5&gt;=0),354+5*FORSIDE!$F$9,"")</f>
        <v/>
      </c>
      <c r="C1289" t="str">
        <f>IF(AND(FORSIDE!$B$8&gt;=12,FORSIDE!$F$8&gt;=5,FORSIDE!$B$5&gt;=0),12*FORSIDE!$B$9,"")</f>
        <v/>
      </c>
      <c r="D1289" t="str">
        <f>IF(AND(FORSIDE!$B$8&gt;=12,FORSIDE!$F$8&gt;=5,FORSIDE!$B$5&gt;=0),0,"")</f>
        <v/>
      </c>
    </row>
    <row r="1290" spans="1:4" x14ac:dyDescent="0.3">
      <c r="A1290" t="str">
        <f>IF(AND(FORSIDE!$B$8&gt;=12,FORSIDE!$F$8&gt;=5,FORSIDE!$B$5&gt;=1),1289,"")</f>
        <v/>
      </c>
      <c r="B1290" t="str">
        <f>IF(AND(FORSIDE!$B$8&gt;=12,FORSIDE!$F$8&gt;=5,FORSIDE!$B$5&gt;=1),354+5*FORSIDE!$F$9,"")</f>
        <v/>
      </c>
      <c r="C1290" t="str">
        <f>IF(AND(FORSIDE!$B$8&gt;=12,FORSIDE!$F$8&gt;=5,FORSIDE!$B$5&gt;=1),12*FORSIDE!$B$9,"")</f>
        <v/>
      </c>
      <c r="D1290" t="str">
        <f>IF(AND(FORSIDE!$B$8&gt;=12,FORSIDE!$F$8&gt;=5,FORSIDE!$B$5&gt;=1),FORSIDE!$B$6+(1-1)*FORSIDE!$B$7,"")</f>
        <v/>
      </c>
    </row>
    <row r="1291" spans="1:4" x14ac:dyDescent="0.3">
      <c r="A1291" t="str">
        <f>IF(AND(FORSIDE!$B$8&gt;=12,FORSIDE!$F$8&gt;=5,FORSIDE!$B$5&gt;=2),1290,"")</f>
        <v/>
      </c>
      <c r="B1291" t="str">
        <f>IF(AND(FORSIDE!$B$8&gt;=12,FORSIDE!$F$8&gt;=5,FORSIDE!$B$5&gt;=2),354+5*FORSIDE!$F$9,"")</f>
        <v/>
      </c>
      <c r="C1291" t="str">
        <f>IF(AND(FORSIDE!$B$8&gt;=12,FORSIDE!$F$8&gt;=5,FORSIDE!$B$5&gt;=2),12*FORSIDE!$B$9,"")</f>
        <v/>
      </c>
      <c r="D1291" t="str">
        <f>IF(AND(FORSIDE!$B$8&gt;=12,FORSIDE!$F$8&gt;=5,FORSIDE!$B$5&gt;=2),FORSIDE!$B$6+(2-1)*FORSIDE!$B$7,"")</f>
        <v/>
      </c>
    </row>
    <row r="1292" spans="1:4" x14ac:dyDescent="0.3">
      <c r="A1292" t="str">
        <f>IF(AND(FORSIDE!$B$8&gt;=12,FORSIDE!$F$8&gt;=5,FORSIDE!$B$5&gt;=3),1291,"")</f>
        <v/>
      </c>
      <c r="B1292" t="str">
        <f>IF(AND(FORSIDE!$B$8&gt;=12,FORSIDE!$F$8&gt;=5,FORSIDE!$B$5&gt;=3),354+5*FORSIDE!$F$9,"")</f>
        <v/>
      </c>
      <c r="C1292" t="str">
        <f>IF(AND(FORSIDE!$B$8&gt;=12,FORSIDE!$F$8&gt;=5,FORSIDE!$B$5&gt;=3),12*FORSIDE!$B$9,"")</f>
        <v/>
      </c>
      <c r="D1292" t="str">
        <f>IF(AND(FORSIDE!$B$8&gt;=12,FORSIDE!$F$8&gt;=5,FORSIDE!$B$5&gt;=3),FORSIDE!$B$6+(3-1)*FORSIDE!$B$7,"")</f>
        <v/>
      </c>
    </row>
    <row r="1293" spans="1:4" x14ac:dyDescent="0.3">
      <c r="A1293" t="str">
        <f>IF(AND(FORSIDE!$B$8&gt;=12,FORSIDE!$F$8&gt;=5,FORSIDE!$B$5&gt;=4),1292,"")</f>
        <v/>
      </c>
      <c r="B1293" t="str">
        <f>IF(AND(FORSIDE!$B$8&gt;=12,FORSIDE!$F$8&gt;=5,FORSIDE!$B$5&gt;=4),354+5*FORSIDE!$F$9,"")</f>
        <v/>
      </c>
      <c r="C1293" t="str">
        <f>IF(AND(FORSIDE!$B$8&gt;=12,FORSIDE!$F$8&gt;=5,FORSIDE!$B$5&gt;=4),12*FORSIDE!$B$9,"")</f>
        <v/>
      </c>
      <c r="D1293" t="str">
        <f>IF(AND(FORSIDE!$B$8&gt;=12,FORSIDE!$F$8&gt;=5,FORSIDE!$B$5&gt;=4),FORSIDE!$B$6+(4-1)*FORSIDE!$B$7,"")</f>
        <v/>
      </c>
    </row>
    <row r="1294" spans="1:4" x14ac:dyDescent="0.3">
      <c r="A1294" t="str">
        <f>IF(AND(FORSIDE!$B$8&gt;=12,FORSIDE!$F$8&gt;=5,FORSIDE!$B$5&gt;=5),1293,"")</f>
        <v/>
      </c>
      <c r="B1294" t="str">
        <f>IF(AND(FORSIDE!$B$8&gt;=12,FORSIDE!$F$8&gt;=5,FORSIDE!$B$5&gt;=5),354+5*FORSIDE!$F$9,"")</f>
        <v/>
      </c>
      <c r="C1294" t="str">
        <f>IF(AND(FORSIDE!$B$8&gt;=12,FORSIDE!$F$8&gt;=5,FORSIDE!$B$5&gt;=5),12*FORSIDE!$B$9,"")</f>
        <v/>
      </c>
      <c r="D1294" t="str">
        <f>IF(AND(FORSIDE!$B$8&gt;=12,FORSIDE!$F$8&gt;=5,FORSIDE!$B$5&gt;=5),FORSIDE!$B$6+(5-1)*FORSIDE!$B$7,"")</f>
        <v/>
      </c>
    </row>
    <row r="1295" spans="1:4" x14ac:dyDescent="0.3">
      <c r="A1295" t="str">
        <f>IF(AND(FORSIDE!$B$8&gt;=12,FORSIDE!$F$8&gt;=5,FORSIDE!$B$5&gt;=6),1294,"")</f>
        <v/>
      </c>
      <c r="B1295" t="str">
        <f>IF(AND(FORSIDE!$B$8&gt;=12,FORSIDE!$F$8&gt;=5,FORSIDE!$B$5&gt;=6),354+5*FORSIDE!$F$9,"")</f>
        <v/>
      </c>
      <c r="C1295" t="str">
        <f>IF(AND(FORSIDE!$B$8&gt;=12,FORSIDE!$F$8&gt;=5,FORSIDE!$B$5&gt;=6),12*FORSIDE!$B$9,"")</f>
        <v/>
      </c>
      <c r="D1295" t="str">
        <f>IF(AND(FORSIDE!$B$8&gt;=12,FORSIDE!$F$8&gt;=5,FORSIDE!$B$5&gt;=6),FORSIDE!$B$6+(6-1)*FORSIDE!$B$7,"")</f>
        <v/>
      </c>
    </row>
    <row r="1296" spans="1:4" x14ac:dyDescent="0.3">
      <c r="A1296" t="str">
        <f>IF(AND(FORSIDE!$B$8&gt;=12,FORSIDE!$F$8&gt;=5,FORSIDE!$B$5&gt;=7),1295,"")</f>
        <v/>
      </c>
      <c r="B1296" t="str">
        <f>IF(AND(FORSIDE!$B$8&gt;=12,FORSIDE!$F$8&gt;=5,FORSIDE!$B$5&gt;=7),354+5*FORSIDE!$F$9,"")</f>
        <v/>
      </c>
      <c r="C1296" t="str">
        <f>IF(AND(FORSIDE!$B$8&gt;=12,FORSIDE!$F$8&gt;=5,FORSIDE!$B$5&gt;=7),12*FORSIDE!$B$9,"")</f>
        <v/>
      </c>
      <c r="D1296" t="str">
        <f>IF(AND(FORSIDE!$B$8&gt;=12,FORSIDE!$F$8&gt;=5,FORSIDE!$B$5&gt;=7),FORSIDE!$B$6+(7-1)*FORSIDE!$B$7,"")</f>
        <v/>
      </c>
    </row>
    <row r="1297" spans="1:4" x14ac:dyDescent="0.3">
      <c r="A1297" t="str">
        <f>IF(AND(FORSIDE!$B$8&gt;=12,FORSIDE!$F$8&gt;=5,FORSIDE!$B$5&gt;=8),1296,"")</f>
        <v/>
      </c>
      <c r="B1297" t="str">
        <f>IF(AND(FORSIDE!$B$8&gt;=12,FORSIDE!$F$8&gt;=5,FORSIDE!$B$5&gt;=8),354+5*FORSIDE!$F$9,"")</f>
        <v/>
      </c>
      <c r="C1297" t="str">
        <f>IF(AND(FORSIDE!$B$8&gt;=12,FORSIDE!$F$8&gt;=5,FORSIDE!$B$5&gt;=8),12*FORSIDE!$B$9,"")</f>
        <v/>
      </c>
      <c r="D1297" t="str">
        <f>IF(AND(FORSIDE!$B$8&gt;=12,FORSIDE!$F$8&gt;=5,FORSIDE!$B$5&gt;=8),FORSIDE!$B$6+(8-1)*FORSIDE!$B$7,"")</f>
        <v/>
      </c>
    </row>
    <row r="1298" spans="1:4" x14ac:dyDescent="0.3">
      <c r="A1298" t="str">
        <f>IF(AND(FORSIDE!$B$8&gt;=12,FORSIDE!$F$8&gt;=5,FORSIDE!$B$5&gt;=9),1297,"")</f>
        <v/>
      </c>
      <c r="B1298" t="str">
        <f>IF(AND(FORSIDE!$B$8&gt;=12,FORSIDE!$F$8&gt;=5,FORSIDE!$B$5&gt;=9),354+5*FORSIDE!$F$9,"")</f>
        <v/>
      </c>
      <c r="C1298" t="str">
        <f>IF(AND(FORSIDE!$B$8&gt;=12,FORSIDE!$F$8&gt;=5,FORSIDE!$B$5&gt;=9),12*FORSIDE!$B$9,"")</f>
        <v/>
      </c>
      <c r="D1298" t="str">
        <f>IF(AND(FORSIDE!$B$8&gt;=12,FORSIDE!$F$8&gt;=5,FORSIDE!$B$5&gt;=9),FORSIDE!$B$6+(9-1)*FORSIDE!$B$7,"")</f>
        <v/>
      </c>
    </row>
    <row r="1299" spans="1:4" x14ac:dyDescent="0.3">
      <c r="A1299" t="str">
        <f>IF(AND(FORSIDE!$B$8&gt;=12,FORSIDE!$F$8&gt;=5,FORSIDE!$B$5&gt;=10),1298,"")</f>
        <v/>
      </c>
      <c r="B1299" t="str">
        <f>IF(AND(FORSIDE!$B$8&gt;=12,FORSIDE!$F$8&gt;=5,FORSIDE!$B$5&gt;=10),354+5*FORSIDE!$F$9,"")</f>
        <v/>
      </c>
      <c r="C1299" t="str">
        <f>IF(AND(FORSIDE!$B$8&gt;=12,FORSIDE!$F$8&gt;=5,FORSIDE!$B$5&gt;=10),12*FORSIDE!$B$9,"")</f>
        <v/>
      </c>
      <c r="D1299" t="str">
        <f>IF(AND(FORSIDE!$B$8&gt;=12,FORSIDE!$F$8&gt;=5,FORSIDE!$B$5&gt;=10),FORSIDE!$B$6+(10-1)*FORSIDE!$B$7,"")</f>
        <v/>
      </c>
    </row>
    <row r="1300" spans="1:4" x14ac:dyDescent="0.3">
      <c r="A1300" t="str">
        <f>IF(AND(FORSIDE!$B$8&gt;=13,FORSIDE!$F$8&gt;=5,FORSIDE!$B$5&gt;=0),1299,"")</f>
        <v/>
      </c>
      <c r="B1300" t="str">
        <f>IF(AND(FORSIDE!$B$8&gt;=13,FORSIDE!$F$8&gt;=5,FORSIDE!$B$5&gt;=0),354+5*FORSIDE!$F$9,"")</f>
        <v/>
      </c>
      <c r="C1300" t="str">
        <f>IF(AND(FORSIDE!$B$8&gt;=13,FORSIDE!$F$8&gt;=5,FORSIDE!$B$5&gt;=0),13*FORSIDE!$B$9,"")</f>
        <v/>
      </c>
      <c r="D1300" t="str">
        <f>IF(AND(FORSIDE!$B$8&gt;=13,FORSIDE!$F$8&gt;=5,FORSIDE!$B$5&gt;=0),0,"")</f>
        <v/>
      </c>
    </row>
    <row r="1301" spans="1:4" x14ac:dyDescent="0.3">
      <c r="A1301" t="str">
        <f>IF(AND(FORSIDE!$B$8&gt;=13,FORSIDE!$F$8&gt;=5,FORSIDE!$B$5&gt;=1),1300,"")</f>
        <v/>
      </c>
      <c r="B1301" t="str">
        <f>IF(AND(FORSIDE!$B$8&gt;=13,FORSIDE!$F$8&gt;=5,FORSIDE!$B$5&gt;=1),354+5*FORSIDE!$F$9,"")</f>
        <v/>
      </c>
      <c r="C1301" t="str">
        <f>IF(AND(FORSIDE!$B$8&gt;=13,FORSIDE!$F$8&gt;=5,FORSIDE!$B$5&gt;=1),13*FORSIDE!$B$9,"")</f>
        <v/>
      </c>
      <c r="D1301" t="str">
        <f>IF(AND(FORSIDE!$B$8&gt;=13,FORSIDE!$F$8&gt;=5,FORSIDE!$B$5&gt;=1),FORSIDE!$B$6+(1-1)*FORSIDE!$B$7,"")</f>
        <v/>
      </c>
    </row>
    <row r="1302" spans="1:4" x14ac:dyDescent="0.3">
      <c r="A1302" t="str">
        <f>IF(AND(FORSIDE!$B$8&gt;=13,FORSIDE!$F$8&gt;=5,FORSIDE!$B$5&gt;=2),1301,"")</f>
        <v/>
      </c>
      <c r="B1302" t="str">
        <f>IF(AND(FORSIDE!$B$8&gt;=13,FORSIDE!$F$8&gt;=5,FORSIDE!$B$5&gt;=2),354+5*FORSIDE!$F$9,"")</f>
        <v/>
      </c>
      <c r="C1302" t="str">
        <f>IF(AND(FORSIDE!$B$8&gt;=13,FORSIDE!$F$8&gt;=5,FORSIDE!$B$5&gt;=2),13*FORSIDE!$B$9,"")</f>
        <v/>
      </c>
      <c r="D1302" t="str">
        <f>IF(AND(FORSIDE!$B$8&gt;=13,FORSIDE!$F$8&gt;=5,FORSIDE!$B$5&gt;=2),FORSIDE!$B$6+(2-1)*FORSIDE!$B$7,"")</f>
        <v/>
      </c>
    </row>
    <row r="1303" spans="1:4" x14ac:dyDescent="0.3">
      <c r="A1303" t="str">
        <f>IF(AND(FORSIDE!$B$8&gt;=13,FORSIDE!$F$8&gt;=5,FORSIDE!$B$5&gt;=3),1302,"")</f>
        <v/>
      </c>
      <c r="B1303" t="str">
        <f>IF(AND(FORSIDE!$B$8&gt;=13,FORSIDE!$F$8&gt;=5,FORSIDE!$B$5&gt;=3),354+5*FORSIDE!$F$9,"")</f>
        <v/>
      </c>
      <c r="C1303" t="str">
        <f>IF(AND(FORSIDE!$B$8&gt;=13,FORSIDE!$F$8&gt;=5,FORSIDE!$B$5&gt;=3),13*FORSIDE!$B$9,"")</f>
        <v/>
      </c>
      <c r="D1303" t="str">
        <f>IF(AND(FORSIDE!$B$8&gt;=13,FORSIDE!$F$8&gt;=5,FORSIDE!$B$5&gt;=3),FORSIDE!$B$6+(3-1)*FORSIDE!$B$7,"")</f>
        <v/>
      </c>
    </row>
    <row r="1304" spans="1:4" x14ac:dyDescent="0.3">
      <c r="A1304" t="str">
        <f>IF(AND(FORSIDE!$B$8&gt;=13,FORSIDE!$F$8&gt;=5,FORSIDE!$B$5&gt;=4),1303,"")</f>
        <v/>
      </c>
      <c r="B1304" t="str">
        <f>IF(AND(FORSIDE!$B$8&gt;=13,FORSIDE!$F$8&gt;=5,FORSIDE!$B$5&gt;=4),354+5*FORSIDE!$F$9,"")</f>
        <v/>
      </c>
      <c r="C1304" t="str">
        <f>IF(AND(FORSIDE!$B$8&gt;=13,FORSIDE!$F$8&gt;=5,FORSIDE!$B$5&gt;=4),13*FORSIDE!$B$9,"")</f>
        <v/>
      </c>
      <c r="D1304" t="str">
        <f>IF(AND(FORSIDE!$B$8&gt;=13,FORSIDE!$F$8&gt;=5,FORSIDE!$B$5&gt;=4),FORSIDE!$B$6+(4-1)*FORSIDE!$B$7,"")</f>
        <v/>
      </c>
    </row>
    <row r="1305" spans="1:4" x14ac:dyDescent="0.3">
      <c r="A1305" t="str">
        <f>IF(AND(FORSIDE!$B$8&gt;=13,FORSIDE!$F$8&gt;=5,FORSIDE!$B$5&gt;=5),1304,"")</f>
        <v/>
      </c>
      <c r="B1305" t="str">
        <f>IF(AND(FORSIDE!$B$8&gt;=13,FORSIDE!$F$8&gt;=5,FORSIDE!$B$5&gt;=5),354+5*FORSIDE!$F$9,"")</f>
        <v/>
      </c>
      <c r="C1305" t="str">
        <f>IF(AND(FORSIDE!$B$8&gt;=13,FORSIDE!$F$8&gt;=5,FORSIDE!$B$5&gt;=5),13*FORSIDE!$B$9,"")</f>
        <v/>
      </c>
      <c r="D1305" t="str">
        <f>IF(AND(FORSIDE!$B$8&gt;=13,FORSIDE!$F$8&gt;=5,FORSIDE!$B$5&gt;=5),FORSIDE!$B$6+(5-1)*FORSIDE!$B$7,"")</f>
        <v/>
      </c>
    </row>
    <row r="1306" spans="1:4" x14ac:dyDescent="0.3">
      <c r="A1306" t="str">
        <f>IF(AND(FORSIDE!$B$8&gt;=13,FORSIDE!$F$8&gt;=5,FORSIDE!$B$5&gt;=6),1305,"")</f>
        <v/>
      </c>
      <c r="B1306" t="str">
        <f>IF(AND(FORSIDE!$B$8&gt;=13,FORSIDE!$F$8&gt;=5,FORSIDE!$B$5&gt;=6),354+5*FORSIDE!$F$9,"")</f>
        <v/>
      </c>
      <c r="C1306" t="str">
        <f>IF(AND(FORSIDE!$B$8&gt;=13,FORSIDE!$F$8&gt;=5,FORSIDE!$B$5&gt;=6),13*FORSIDE!$B$9,"")</f>
        <v/>
      </c>
      <c r="D1306" t="str">
        <f>IF(AND(FORSIDE!$B$8&gt;=13,FORSIDE!$F$8&gt;=5,FORSIDE!$B$5&gt;=6),FORSIDE!$B$6+(6-1)*FORSIDE!$B$7,"")</f>
        <v/>
      </c>
    </row>
    <row r="1307" spans="1:4" x14ac:dyDescent="0.3">
      <c r="A1307" t="str">
        <f>IF(AND(FORSIDE!$B$8&gt;=13,FORSIDE!$F$8&gt;=5,FORSIDE!$B$5&gt;=7),1306,"")</f>
        <v/>
      </c>
      <c r="B1307" t="str">
        <f>IF(AND(FORSIDE!$B$8&gt;=13,FORSIDE!$F$8&gt;=5,FORSIDE!$B$5&gt;=7),354+5*FORSIDE!$F$9,"")</f>
        <v/>
      </c>
      <c r="C1307" t="str">
        <f>IF(AND(FORSIDE!$B$8&gt;=13,FORSIDE!$F$8&gt;=5,FORSIDE!$B$5&gt;=7),13*FORSIDE!$B$9,"")</f>
        <v/>
      </c>
      <c r="D1307" t="str">
        <f>IF(AND(FORSIDE!$B$8&gt;=13,FORSIDE!$F$8&gt;=5,FORSIDE!$B$5&gt;=7),FORSIDE!$B$6+(7-1)*FORSIDE!$B$7,"")</f>
        <v/>
      </c>
    </row>
    <row r="1308" spans="1:4" x14ac:dyDescent="0.3">
      <c r="A1308" t="str">
        <f>IF(AND(FORSIDE!$B$8&gt;=13,FORSIDE!$F$8&gt;=5,FORSIDE!$B$5&gt;=8),1307,"")</f>
        <v/>
      </c>
      <c r="B1308" t="str">
        <f>IF(AND(FORSIDE!$B$8&gt;=13,FORSIDE!$F$8&gt;=5,FORSIDE!$B$5&gt;=8),354+5*FORSIDE!$F$9,"")</f>
        <v/>
      </c>
      <c r="C1308" t="str">
        <f>IF(AND(FORSIDE!$B$8&gt;=13,FORSIDE!$F$8&gt;=5,FORSIDE!$B$5&gt;=8),13*FORSIDE!$B$9,"")</f>
        <v/>
      </c>
      <c r="D1308" t="str">
        <f>IF(AND(FORSIDE!$B$8&gt;=13,FORSIDE!$F$8&gt;=5,FORSIDE!$B$5&gt;=8),FORSIDE!$B$6+(8-1)*FORSIDE!$B$7,"")</f>
        <v/>
      </c>
    </row>
    <row r="1309" spans="1:4" x14ac:dyDescent="0.3">
      <c r="A1309" t="str">
        <f>IF(AND(FORSIDE!$B$8&gt;=13,FORSIDE!$F$8&gt;=5,FORSIDE!$B$5&gt;=9),1308,"")</f>
        <v/>
      </c>
      <c r="B1309" t="str">
        <f>IF(AND(FORSIDE!$B$8&gt;=13,FORSIDE!$F$8&gt;=5,FORSIDE!$B$5&gt;=9),354+5*FORSIDE!$F$9,"")</f>
        <v/>
      </c>
      <c r="C1309" t="str">
        <f>IF(AND(FORSIDE!$B$8&gt;=13,FORSIDE!$F$8&gt;=5,FORSIDE!$B$5&gt;=9),13*FORSIDE!$B$9,"")</f>
        <v/>
      </c>
      <c r="D1309" t="str">
        <f>IF(AND(FORSIDE!$B$8&gt;=13,FORSIDE!$F$8&gt;=5,FORSIDE!$B$5&gt;=9),FORSIDE!$B$6+(9-1)*FORSIDE!$B$7,"")</f>
        <v/>
      </c>
    </row>
    <row r="1310" spans="1:4" x14ac:dyDescent="0.3">
      <c r="A1310" t="str">
        <f>IF(AND(FORSIDE!$B$8&gt;=13,FORSIDE!$F$8&gt;=5,FORSIDE!$B$5&gt;=10),1309,"")</f>
        <v/>
      </c>
      <c r="B1310" t="str">
        <f>IF(AND(FORSIDE!$B$8&gt;=13,FORSIDE!$F$8&gt;=5,FORSIDE!$B$5&gt;=10),354+5*FORSIDE!$F$9,"")</f>
        <v/>
      </c>
      <c r="C1310" t="str">
        <f>IF(AND(FORSIDE!$B$8&gt;=13,FORSIDE!$F$8&gt;=5,FORSIDE!$B$5&gt;=10),13*FORSIDE!$B$9,"")</f>
        <v/>
      </c>
      <c r="D1310" t="str">
        <f>IF(AND(FORSIDE!$B$8&gt;=13,FORSIDE!$F$8&gt;=5,FORSIDE!$B$5&gt;=10),FORSIDE!$B$6+(10-1)*FORSIDE!$B$7,"")</f>
        <v/>
      </c>
    </row>
    <row r="1311" spans="1:4" x14ac:dyDescent="0.3">
      <c r="A1311" t="str">
        <f>IF(AND(FORSIDE!$B$8&gt;=14,FORSIDE!$F$8&gt;=5,FORSIDE!$B$5&gt;=0),1310,"")</f>
        <v/>
      </c>
      <c r="B1311" t="str">
        <f>IF(AND(FORSIDE!$B$8&gt;=14,FORSIDE!$F$8&gt;=5,FORSIDE!$B$5&gt;=0),354+5*FORSIDE!$F$9,"")</f>
        <v/>
      </c>
      <c r="C1311" t="str">
        <f>IF(AND(FORSIDE!$B$8&gt;=14,FORSIDE!$F$8&gt;=5,FORSIDE!$B$5&gt;=0),14*FORSIDE!$B$9,"")</f>
        <v/>
      </c>
      <c r="D1311" t="str">
        <f>IF(AND(FORSIDE!$B$8&gt;=14,FORSIDE!$F$8&gt;=5,FORSIDE!$B$5&gt;=0),0,"")</f>
        <v/>
      </c>
    </row>
    <row r="1312" spans="1:4" x14ac:dyDescent="0.3">
      <c r="A1312" t="str">
        <f>IF(AND(FORSIDE!$B$8&gt;=14,FORSIDE!$F$8&gt;=5,FORSIDE!$B$5&gt;=1),1311,"")</f>
        <v/>
      </c>
      <c r="B1312" t="str">
        <f>IF(AND(FORSIDE!$B$8&gt;=14,FORSIDE!$F$8&gt;=5,FORSIDE!$B$5&gt;=1),354+5*FORSIDE!$F$9,"")</f>
        <v/>
      </c>
      <c r="C1312" t="str">
        <f>IF(AND(FORSIDE!$B$8&gt;=14,FORSIDE!$F$8&gt;=5,FORSIDE!$B$5&gt;=1),14*FORSIDE!$B$9,"")</f>
        <v/>
      </c>
      <c r="D1312" t="str">
        <f>IF(AND(FORSIDE!$B$8&gt;=14,FORSIDE!$F$8&gt;=5,FORSIDE!$B$5&gt;=1),FORSIDE!$B$6+(1-1)*FORSIDE!$B$7,"")</f>
        <v/>
      </c>
    </row>
    <row r="1313" spans="1:4" x14ac:dyDescent="0.3">
      <c r="A1313" t="str">
        <f>IF(AND(FORSIDE!$B$8&gt;=14,FORSIDE!$F$8&gt;=5,FORSIDE!$B$5&gt;=2),1312,"")</f>
        <v/>
      </c>
      <c r="B1313" t="str">
        <f>IF(AND(FORSIDE!$B$8&gt;=14,FORSIDE!$F$8&gt;=5,FORSIDE!$B$5&gt;=2),354+5*FORSIDE!$F$9,"")</f>
        <v/>
      </c>
      <c r="C1313" t="str">
        <f>IF(AND(FORSIDE!$B$8&gt;=14,FORSIDE!$F$8&gt;=5,FORSIDE!$B$5&gt;=2),14*FORSIDE!$B$9,"")</f>
        <v/>
      </c>
      <c r="D1313" t="str">
        <f>IF(AND(FORSIDE!$B$8&gt;=14,FORSIDE!$F$8&gt;=5,FORSIDE!$B$5&gt;=2),FORSIDE!$B$6+(2-1)*FORSIDE!$B$7,"")</f>
        <v/>
      </c>
    </row>
    <row r="1314" spans="1:4" x14ac:dyDescent="0.3">
      <c r="A1314" t="str">
        <f>IF(AND(FORSIDE!$B$8&gt;=14,FORSIDE!$F$8&gt;=5,FORSIDE!$B$5&gt;=3),1313,"")</f>
        <v/>
      </c>
      <c r="B1314" t="str">
        <f>IF(AND(FORSIDE!$B$8&gt;=14,FORSIDE!$F$8&gt;=5,FORSIDE!$B$5&gt;=3),354+5*FORSIDE!$F$9,"")</f>
        <v/>
      </c>
      <c r="C1314" t="str">
        <f>IF(AND(FORSIDE!$B$8&gt;=14,FORSIDE!$F$8&gt;=5,FORSIDE!$B$5&gt;=3),14*FORSIDE!$B$9,"")</f>
        <v/>
      </c>
      <c r="D1314" t="str">
        <f>IF(AND(FORSIDE!$B$8&gt;=14,FORSIDE!$F$8&gt;=5,FORSIDE!$B$5&gt;=3),FORSIDE!$B$6+(3-1)*FORSIDE!$B$7,"")</f>
        <v/>
      </c>
    </row>
    <row r="1315" spans="1:4" x14ac:dyDescent="0.3">
      <c r="A1315" t="str">
        <f>IF(AND(FORSIDE!$B$8&gt;=14,FORSIDE!$F$8&gt;=5,FORSIDE!$B$5&gt;=4),1314,"")</f>
        <v/>
      </c>
      <c r="B1315" t="str">
        <f>IF(AND(FORSIDE!$B$8&gt;=14,FORSIDE!$F$8&gt;=5,FORSIDE!$B$5&gt;=4),354+5*FORSIDE!$F$9,"")</f>
        <v/>
      </c>
      <c r="C1315" t="str">
        <f>IF(AND(FORSIDE!$B$8&gt;=14,FORSIDE!$F$8&gt;=5,FORSIDE!$B$5&gt;=4),14*FORSIDE!$B$9,"")</f>
        <v/>
      </c>
      <c r="D1315" t="str">
        <f>IF(AND(FORSIDE!$B$8&gt;=14,FORSIDE!$F$8&gt;=5,FORSIDE!$B$5&gt;=4),FORSIDE!$B$6+(4-1)*FORSIDE!$B$7,"")</f>
        <v/>
      </c>
    </row>
    <row r="1316" spans="1:4" x14ac:dyDescent="0.3">
      <c r="A1316" t="str">
        <f>IF(AND(FORSIDE!$B$8&gt;=14,FORSIDE!$F$8&gt;=5,FORSIDE!$B$5&gt;=5),1315,"")</f>
        <v/>
      </c>
      <c r="B1316" t="str">
        <f>IF(AND(FORSIDE!$B$8&gt;=14,FORSIDE!$F$8&gt;=5,FORSIDE!$B$5&gt;=5),354+5*FORSIDE!$F$9,"")</f>
        <v/>
      </c>
      <c r="C1316" t="str">
        <f>IF(AND(FORSIDE!$B$8&gt;=14,FORSIDE!$F$8&gt;=5,FORSIDE!$B$5&gt;=5),14*FORSIDE!$B$9,"")</f>
        <v/>
      </c>
      <c r="D1316" t="str">
        <f>IF(AND(FORSIDE!$B$8&gt;=14,FORSIDE!$F$8&gt;=5,FORSIDE!$B$5&gt;=5),FORSIDE!$B$6+(5-1)*FORSIDE!$B$7,"")</f>
        <v/>
      </c>
    </row>
    <row r="1317" spans="1:4" x14ac:dyDescent="0.3">
      <c r="A1317" t="str">
        <f>IF(AND(FORSIDE!$B$8&gt;=14,FORSIDE!$F$8&gt;=5,FORSIDE!$B$5&gt;=6),1316,"")</f>
        <v/>
      </c>
      <c r="B1317" t="str">
        <f>IF(AND(FORSIDE!$B$8&gt;=14,FORSIDE!$F$8&gt;=5,FORSIDE!$B$5&gt;=6),354+5*FORSIDE!$F$9,"")</f>
        <v/>
      </c>
      <c r="C1317" t="str">
        <f>IF(AND(FORSIDE!$B$8&gt;=14,FORSIDE!$F$8&gt;=5,FORSIDE!$B$5&gt;=6),14*FORSIDE!$B$9,"")</f>
        <v/>
      </c>
      <c r="D1317" t="str">
        <f>IF(AND(FORSIDE!$B$8&gt;=14,FORSIDE!$F$8&gt;=5,FORSIDE!$B$5&gt;=6),FORSIDE!$B$6+(6-1)*FORSIDE!$B$7,"")</f>
        <v/>
      </c>
    </row>
    <row r="1318" spans="1:4" x14ac:dyDescent="0.3">
      <c r="A1318" t="str">
        <f>IF(AND(FORSIDE!$B$8&gt;=14,FORSIDE!$F$8&gt;=5,FORSIDE!$B$5&gt;=7),1317,"")</f>
        <v/>
      </c>
      <c r="B1318" t="str">
        <f>IF(AND(FORSIDE!$B$8&gt;=14,FORSIDE!$F$8&gt;=5,FORSIDE!$B$5&gt;=7),354+5*FORSIDE!$F$9,"")</f>
        <v/>
      </c>
      <c r="C1318" t="str">
        <f>IF(AND(FORSIDE!$B$8&gt;=14,FORSIDE!$F$8&gt;=5,FORSIDE!$B$5&gt;=7),14*FORSIDE!$B$9,"")</f>
        <v/>
      </c>
      <c r="D1318" t="str">
        <f>IF(AND(FORSIDE!$B$8&gt;=14,FORSIDE!$F$8&gt;=5,FORSIDE!$B$5&gt;=7),FORSIDE!$B$6+(7-1)*FORSIDE!$B$7,"")</f>
        <v/>
      </c>
    </row>
    <row r="1319" spans="1:4" x14ac:dyDescent="0.3">
      <c r="A1319" t="str">
        <f>IF(AND(FORSIDE!$B$8&gt;=14,FORSIDE!$F$8&gt;=5,FORSIDE!$B$5&gt;=8),1318,"")</f>
        <v/>
      </c>
      <c r="B1319" t="str">
        <f>IF(AND(FORSIDE!$B$8&gt;=14,FORSIDE!$F$8&gt;=5,FORSIDE!$B$5&gt;=8),354+5*FORSIDE!$F$9,"")</f>
        <v/>
      </c>
      <c r="C1319" t="str">
        <f>IF(AND(FORSIDE!$B$8&gt;=14,FORSIDE!$F$8&gt;=5,FORSIDE!$B$5&gt;=8),14*FORSIDE!$B$9,"")</f>
        <v/>
      </c>
      <c r="D1319" t="str">
        <f>IF(AND(FORSIDE!$B$8&gt;=14,FORSIDE!$F$8&gt;=5,FORSIDE!$B$5&gt;=8),FORSIDE!$B$6+(8-1)*FORSIDE!$B$7,"")</f>
        <v/>
      </c>
    </row>
    <row r="1320" spans="1:4" x14ac:dyDescent="0.3">
      <c r="A1320" t="str">
        <f>IF(AND(FORSIDE!$B$8&gt;=14,FORSIDE!$F$8&gt;=5,FORSIDE!$B$5&gt;=9),1319,"")</f>
        <v/>
      </c>
      <c r="B1320" t="str">
        <f>IF(AND(FORSIDE!$B$8&gt;=14,FORSIDE!$F$8&gt;=5,FORSIDE!$B$5&gt;=9),354+5*FORSIDE!$F$9,"")</f>
        <v/>
      </c>
      <c r="C1320" t="str">
        <f>IF(AND(FORSIDE!$B$8&gt;=14,FORSIDE!$F$8&gt;=5,FORSIDE!$B$5&gt;=9),14*FORSIDE!$B$9,"")</f>
        <v/>
      </c>
      <c r="D1320" t="str">
        <f>IF(AND(FORSIDE!$B$8&gt;=14,FORSIDE!$F$8&gt;=5,FORSIDE!$B$5&gt;=9),FORSIDE!$B$6+(9-1)*FORSIDE!$B$7,"")</f>
        <v/>
      </c>
    </row>
    <row r="1321" spans="1:4" x14ac:dyDescent="0.3">
      <c r="A1321" t="str">
        <f>IF(AND(FORSIDE!$B$8&gt;=14,FORSIDE!$F$8&gt;=5,FORSIDE!$B$5&gt;=10),1320,"")</f>
        <v/>
      </c>
      <c r="B1321" t="str">
        <f>IF(AND(FORSIDE!$B$8&gt;=14,FORSIDE!$F$8&gt;=5,FORSIDE!$B$5&gt;=10),354+5*FORSIDE!$F$9,"")</f>
        <v/>
      </c>
      <c r="C1321" t="str">
        <f>IF(AND(FORSIDE!$B$8&gt;=14,FORSIDE!$F$8&gt;=5,FORSIDE!$B$5&gt;=10),14*FORSIDE!$B$9,"")</f>
        <v/>
      </c>
      <c r="D1321" t="str">
        <f>IF(AND(FORSIDE!$B$8&gt;=14,FORSIDE!$F$8&gt;=5,FORSIDE!$B$5&gt;=10),FORSIDE!$B$6+(10-1)*FORSIDE!$B$7,"")</f>
        <v/>
      </c>
    </row>
    <row r="1322" spans="1:4" x14ac:dyDescent="0.3">
      <c r="A1322" t="str">
        <f>IF(AND(FORSIDE!$B$8&gt;=15,FORSIDE!$F$8&gt;=5,FORSIDE!$B$5&gt;=0),1321,"")</f>
        <v/>
      </c>
      <c r="B1322" t="str">
        <f>IF(AND(FORSIDE!$B$8&gt;=15,FORSIDE!$F$8&gt;=5,FORSIDE!$B$5&gt;=0),354+5*FORSIDE!$F$9,"")</f>
        <v/>
      </c>
      <c r="C1322" t="str">
        <f>IF(AND(FORSIDE!$B$8&gt;=15,FORSIDE!$F$8&gt;=5,FORSIDE!$B$5&gt;=0),15*FORSIDE!$B$9,"")</f>
        <v/>
      </c>
      <c r="D1322" t="str">
        <f>IF(AND(FORSIDE!$B$8&gt;=15,FORSIDE!$F$8&gt;=5,FORSIDE!$B$5&gt;=0),0,"")</f>
        <v/>
      </c>
    </row>
    <row r="1323" spans="1:4" x14ac:dyDescent="0.3">
      <c r="A1323" t="str">
        <f>IF(AND(FORSIDE!$B$8&gt;=15,FORSIDE!$F$8&gt;=5,FORSIDE!$B$5&gt;=1),1322,"")</f>
        <v/>
      </c>
      <c r="B1323" t="str">
        <f>IF(AND(FORSIDE!$B$8&gt;=15,FORSIDE!$F$8&gt;=5,FORSIDE!$B$5&gt;=1),354+5*FORSIDE!$F$9,"")</f>
        <v/>
      </c>
      <c r="C1323" t="str">
        <f>IF(AND(FORSIDE!$B$8&gt;=15,FORSIDE!$F$8&gt;=5,FORSIDE!$B$5&gt;=1),15*FORSIDE!$B$9,"")</f>
        <v/>
      </c>
      <c r="D1323" t="str">
        <f>IF(AND(FORSIDE!$B$8&gt;=15,FORSIDE!$F$8&gt;=5,FORSIDE!$B$5&gt;=1),FORSIDE!$B$6+(1-1)*FORSIDE!$B$7,"")</f>
        <v/>
      </c>
    </row>
    <row r="1324" spans="1:4" x14ac:dyDescent="0.3">
      <c r="A1324" t="str">
        <f>IF(AND(FORSIDE!$B$8&gt;=15,FORSIDE!$F$8&gt;=5,FORSIDE!$B$5&gt;=2),1323,"")</f>
        <v/>
      </c>
      <c r="B1324" t="str">
        <f>IF(AND(FORSIDE!$B$8&gt;=15,FORSIDE!$F$8&gt;=5,FORSIDE!$B$5&gt;=2),354+5*FORSIDE!$F$9,"")</f>
        <v/>
      </c>
      <c r="C1324" t="str">
        <f>IF(AND(FORSIDE!$B$8&gt;=15,FORSIDE!$F$8&gt;=5,FORSIDE!$B$5&gt;=2),15*FORSIDE!$B$9,"")</f>
        <v/>
      </c>
      <c r="D1324" t="str">
        <f>IF(AND(FORSIDE!$B$8&gt;=15,FORSIDE!$F$8&gt;=5,FORSIDE!$B$5&gt;=2),FORSIDE!$B$6+(2-1)*FORSIDE!$B$7,"")</f>
        <v/>
      </c>
    </row>
    <row r="1325" spans="1:4" x14ac:dyDescent="0.3">
      <c r="A1325" t="str">
        <f>IF(AND(FORSIDE!$B$8&gt;=15,FORSIDE!$F$8&gt;=5,FORSIDE!$B$5&gt;=3),1324,"")</f>
        <v/>
      </c>
      <c r="B1325" t="str">
        <f>IF(AND(FORSIDE!$B$8&gt;=15,FORSIDE!$F$8&gt;=5,FORSIDE!$B$5&gt;=3),354+5*FORSIDE!$F$9,"")</f>
        <v/>
      </c>
      <c r="C1325" t="str">
        <f>IF(AND(FORSIDE!$B$8&gt;=15,FORSIDE!$F$8&gt;=5,FORSIDE!$B$5&gt;=3),15*FORSIDE!$B$9,"")</f>
        <v/>
      </c>
      <c r="D1325" t="str">
        <f>IF(AND(FORSIDE!$B$8&gt;=15,FORSIDE!$F$8&gt;=5,FORSIDE!$B$5&gt;=3),FORSIDE!$B$6+(3-1)*FORSIDE!$B$7,"")</f>
        <v/>
      </c>
    </row>
    <row r="1326" spans="1:4" x14ac:dyDescent="0.3">
      <c r="A1326" t="str">
        <f>IF(AND(FORSIDE!$B$8&gt;=15,FORSIDE!$F$8&gt;=5,FORSIDE!$B$5&gt;=4),1325,"")</f>
        <v/>
      </c>
      <c r="B1326" t="str">
        <f>IF(AND(FORSIDE!$B$8&gt;=15,FORSIDE!$F$8&gt;=5,FORSIDE!$B$5&gt;=4),354+5*FORSIDE!$F$9,"")</f>
        <v/>
      </c>
      <c r="C1326" t="str">
        <f>IF(AND(FORSIDE!$B$8&gt;=15,FORSIDE!$F$8&gt;=5,FORSIDE!$B$5&gt;=4),15*FORSIDE!$B$9,"")</f>
        <v/>
      </c>
      <c r="D1326" t="str">
        <f>IF(AND(FORSIDE!$B$8&gt;=15,FORSIDE!$F$8&gt;=5,FORSIDE!$B$5&gt;=4),FORSIDE!$B$6+(4-1)*FORSIDE!$B$7,"")</f>
        <v/>
      </c>
    </row>
    <row r="1327" spans="1:4" x14ac:dyDescent="0.3">
      <c r="A1327" t="str">
        <f>IF(AND(FORSIDE!$B$8&gt;=15,FORSIDE!$F$8&gt;=5,FORSIDE!$B$5&gt;=5),1326,"")</f>
        <v/>
      </c>
      <c r="B1327" t="str">
        <f>IF(AND(FORSIDE!$B$8&gt;=15,FORSIDE!$F$8&gt;=5,FORSIDE!$B$5&gt;=5),354+5*FORSIDE!$F$9,"")</f>
        <v/>
      </c>
      <c r="C1327" t="str">
        <f>IF(AND(FORSIDE!$B$8&gt;=15,FORSIDE!$F$8&gt;=5,FORSIDE!$B$5&gt;=5),15*FORSIDE!$B$9,"")</f>
        <v/>
      </c>
      <c r="D1327" t="str">
        <f>IF(AND(FORSIDE!$B$8&gt;=15,FORSIDE!$F$8&gt;=5,FORSIDE!$B$5&gt;=5),FORSIDE!$B$6+(5-1)*FORSIDE!$B$7,"")</f>
        <v/>
      </c>
    </row>
    <row r="1328" spans="1:4" x14ac:dyDescent="0.3">
      <c r="A1328" t="str">
        <f>IF(AND(FORSIDE!$B$8&gt;=15,FORSIDE!$F$8&gt;=5,FORSIDE!$B$5&gt;=6),1327,"")</f>
        <v/>
      </c>
      <c r="B1328" t="str">
        <f>IF(AND(FORSIDE!$B$8&gt;=15,FORSIDE!$F$8&gt;=5,FORSIDE!$B$5&gt;=6),354+5*FORSIDE!$F$9,"")</f>
        <v/>
      </c>
      <c r="C1328" t="str">
        <f>IF(AND(FORSIDE!$B$8&gt;=15,FORSIDE!$F$8&gt;=5,FORSIDE!$B$5&gt;=6),15*FORSIDE!$B$9,"")</f>
        <v/>
      </c>
      <c r="D1328" t="str">
        <f>IF(AND(FORSIDE!$B$8&gt;=15,FORSIDE!$F$8&gt;=5,FORSIDE!$B$5&gt;=6),FORSIDE!$B$6+(6-1)*FORSIDE!$B$7,"")</f>
        <v/>
      </c>
    </row>
    <row r="1329" spans="1:4" x14ac:dyDescent="0.3">
      <c r="A1329" t="str">
        <f>IF(AND(FORSIDE!$B$8&gt;=15,FORSIDE!$F$8&gt;=5,FORSIDE!$B$5&gt;=7),1328,"")</f>
        <v/>
      </c>
      <c r="B1329" t="str">
        <f>IF(AND(FORSIDE!$B$8&gt;=15,FORSIDE!$F$8&gt;=5,FORSIDE!$B$5&gt;=7),354+5*FORSIDE!$F$9,"")</f>
        <v/>
      </c>
      <c r="C1329" t="str">
        <f>IF(AND(FORSIDE!$B$8&gt;=15,FORSIDE!$F$8&gt;=5,FORSIDE!$B$5&gt;=7),15*FORSIDE!$B$9,"")</f>
        <v/>
      </c>
      <c r="D1329" t="str">
        <f>IF(AND(FORSIDE!$B$8&gt;=15,FORSIDE!$F$8&gt;=5,FORSIDE!$B$5&gt;=7),FORSIDE!$B$6+(7-1)*FORSIDE!$B$7,"")</f>
        <v/>
      </c>
    </row>
    <row r="1330" spans="1:4" x14ac:dyDescent="0.3">
      <c r="A1330" t="str">
        <f>IF(AND(FORSIDE!$B$8&gt;=15,FORSIDE!$F$8&gt;=5,FORSIDE!$B$5&gt;=8),1329,"")</f>
        <v/>
      </c>
      <c r="B1330" t="str">
        <f>IF(AND(FORSIDE!$B$8&gt;=15,FORSIDE!$F$8&gt;=5,FORSIDE!$B$5&gt;=8),354+5*FORSIDE!$F$9,"")</f>
        <v/>
      </c>
      <c r="C1330" t="str">
        <f>IF(AND(FORSIDE!$B$8&gt;=15,FORSIDE!$F$8&gt;=5,FORSIDE!$B$5&gt;=8),15*FORSIDE!$B$9,"")</f>
        <v/>
      </c>
      <c r="D1330" t="str">
        <f>IF(AND(FORSIDE!$B$8&gt;=15,FORSIDE!$F$8&gt;=5,FORSIDE!$B$5&gt;=8),FORSIDE!$B$6+(8-1)*FORSIDE!$B$7,"")</f>
        <v/>
      </c>
    </row>
    <row r="1331" spans="1:4" x14ac:dyDescent="0.3">
      <c r="A1331" t="str">
        <f>IF(AND(FORSIDE!$B$8&gt;=15,FORSIDE!$F$8&gt;=5,FORSIDE!$B$5&gt;=9),1330,"")</f>
        <v/>
      </c>
      <c r="B1331" t="str">
        <f>IF(AND(FORSIDE!$B$8&gt;=15,FORSIDE!$F$8&gt;=5,FORSIDE!$B$5&gt;=9),354+5*FORSIDE!$F$9,"")</f>
        <v/>
      </c>
      <c r="C1331" t="str">
        <f>IF(AND(FORSIDE!$B$8&gt;=15,FORSIDE!$F$8&gt;=5,FORSIDE!$B$5&gt;=9),15*FORSIDE!$B$9,"")</f>
        <v/>
      </c>
      <c r="D1331" t="str">
        <f>IF(AND(FORSIDE!$B$8&gt;=15,FORSIDE!$F$8&gt;=5,FORSIDE!$B$5&gt;=9),FORSIDE!$B$6+(9-1)*FORSIDE!$B$7,"")</f>
        <v/>
      </c>
    </row>
    <row r="1332" spans="1:4" x14ac:dyDescent="0.3">
      <c r="A1332" t="str">
        <f>IF(AND(FORSIDE!$B$8&gt;=15,FORSIDE!$F$8&gt;=5,FORSIDE!$B$5&gt;=10),1331,"")</f>
        <v/>
      </c>
      <c r="B1332" t="str">
        <f>IF(AND(FORSIDE!$B$8&gt;=15,FORSIDE!$F$8&gt;=5,FORSIDE!$B$5&gt;=10),354+5*FORSIDE!$F$9,"")</f>
        <v/>
      </c>
      <c r="C1332" t="str">
        <f>IF(AND(FORSIDE!$B$8&gt;=15,FORSIDE!$F$8&gt;=5,FORSIDE!$B$5&gt;=10),15*FORSIDE!$B$9,"")</f>
        <v/>
      </c>
      <c r="D1332" t="str">
        <f>IF(AND(FORSIDE!$B$8&gt;=15,FORSIDE!$F$8&gt;=5,FORSIDE!$B$5&gt;=10),FORSIDE!$B$6+(10-1)*FORSIDE!$B$7,"")</f>
        <v/>
      </c>
    </row>
    <row r="1333" spans="1:4" x14ac:dyDescent="0.3">
      <c r="A1333" t="str">
        <f>IF(AND(FORSIDE!$B$8&gt;=16,FORSIDE!$F$8&gt;=5,FORSIDE!$B$5&gt;=0),1332,"")</f>
        <v/>
      </c>
      <c r="B1333" t="str">
        <f>IF(AND(FORSIDE!$B$8&gt;=16,FORSIDE!$F$8&gt;=5,FORSIDE!$B$5&gt;=0),354+5*FORSIDE!$F$9,"")</f>
        <v/>
      </c>
      <c r="C1333" t="str">
        <f>IF(AND(FORSIDE!$B$8&gt;=16,FORSIDE!$F$8&gt;=5,FORSIDE!$B$5&gt;=0),16*FORSIDE!$B$9,"")</f>
        <v/>
      </c>
      <c r="D1333" t="str">
        <f>IF(AND(FORSIDE!$B$8&gt;=16,FORSIDE!$F$8&gt;=5,FORSIDE!$B$5&gt;=0),0,"")</f>
        <v/>
      </c>
    </row>
    <row r="1334" spans="1:4" x14ac:dyDescent="0.3">
      <c r="A1334" t="str">
        <f>IF(AND(FORSIDE!$B$8&gt;=16,FORSIDE!$F$8&gt;=5,FORSIDE!$B$5&gt;=1),1333,"")</f>
        <v/>
      </c>
      <c r="B1334" t="str">
        <f>IF(AND(FORSIDE!$B$8&gt;=16,FORSIDE!$F$8&gt;=5,FORSIDE!$B$5&gt;=1),354+5*FORSIDE!$F$9,"")</f>
        <v/>
      </c>
      <c r="C1334" t="str">
        <f>IF(AND(FORSIDE!$B$8&gt;=16,FORSIDE!$F$8&gt;=5,FORSIDE!$B$5&gt;=1),16*FORSIDE!$B$9,"")</f>
        <v/>
      </c>
      <c r="D1334" t="str">
        <f>IF(AND(FORSIDE!$B$8&gt;=16,FORSIDE!$F$8&gt;=5,FORSIDE!$B$5&gt;=1),FORSIDE!$B$6+(1-1)*FORSIDE!$B$7,"")</f>
        <v/>
      </c>
    </row>
    <row r="1335" spans="1:4" x14ac:dyDescent="0.3">
      <c r="A1335" t="str">
        <f>IF(AND(FORSIDE!$B$8&gt;=16,FORSIDE!$F$8&gt;=5,FORSIDE!$B$5&gt;=2),1334,"")</f>
        <v/>
      </c>
      <c r="B1335" t="str">
        <f>IF(AND(FORSIDE!$B$8&gt;=16,FORSIDE!$F$8&gt;=5,FORSIDE!$B$5&gt;=2),354+5*FORSIDE!$F$9,"")</f>
        <v/>
      </c>
      <c r="C1335" t="str">
        <f>IF(AND(FORSIDE!$B$8&gt;=16,FORSIDE!$F$8&gt;=5,FORSIDE!$B$5&gt;=2),16*FORSIDE!$B$9,"")</f>
        <v/>
      </c>
      <c r="D1335" t="str">
        <f>IF(AND(FORSIDE!$B$8&gt;=16,FORSIDE!$F$8&gt;=5,FORSIDE!$B$5&gt;=2),FORSIDE!$B$6+(2-1)*FORSIDE!$B$7,"")</f>
        <v/>
      </c>
    </row>
    <row r="1336" spans="1:4" x14ac:dyDescent="0.3">
      <c r="A1336" t="str">
        <f>IF(AND(FORSIDE!$B$8&gt;=16,FORSIDE!$F$8&gt;=5,FORSIDE!$B$5&gt;=3),1335,"")</f>
        <v/>
      </c>
      <c r="B1336" t="str">
        <f>IF(AND(FORSIDE!$B$8&gt;=16,FORSIDE!$F$8&gt;=5,FORSIDE!$B$5&gt;=3),354+5*FORSIDE!$F$9,"")</f>
        <v/>
      </c>
      <c r="C1336" t="str">
        <f>IF(AND(FORSIDE!$B$8&gt;=16,FORSIDE!$F$8&gt;=5,FORSIDE!$B$5&gt;=3),16*FORSIDE!$B$9,"")</f>
        <v/>
      </c>
      <c r="D1336" t="str">
        <f>IF(AND(FORSIDE!$B$8&gt;=16,FORSIDE!$F$8&gt;=5,FORSIDE!$B$5&gt;=3),FORSIDE!$B$6+(3-1)*FORSIDE!$B$7,"")</f>
        <v/>
      </c>
    </row>
    <row r="1337" spans="1:4" x14ac:dyDescent="0.3">
      <c r="A1337" t="str">
        <f>IF(AND(FORSIDE!$B$8&gt;=16,FORSIDE!$F$8&gt;=5,FORSIDE!$B$5&gt;=4),1336,"")</f>
        <v/>
      </c>
      <c r="B1337" t="str">
        <f>IF(AND(FORSIDE!$B$8&gt;=16,FORSIDE!$F$8&gt;=5,FORSIDE!$B$5&gt;=4),354+5*FORSIDE!$F$9,"")</f>
        <v/>
      </c>
      <c r="C1337" t="str">
        <f>IF(AND(FORSIDE!$B$8&gt;=16,FORSIDE!$F$8&gt;=5,FORSIDE!$B$5&gt;=4),16*FORSIDE!$B$9,"")</f>
        <v/>
      </c>
      <c r="D1337" t="str">
        <f>IF(AND(FORSIDE!$B$8&gt;=16,FORSIDE!$F$8&gt;=5,FORSIDE!$B$5&gt;=4),FORSIDE!$B$6+(4-1)*FORSIDE!$B$7,"")</f>
        <v/>
      </c>
    </row>
    <row r="1338" spans="1:4" x14ac:dyDescent="0.3">
      <c r="A1338" t="str">
        <f>IF(AND(FORSIDE!$B$8&gt;=16,FORSIDE!$F$8&gt;=5,FORSIDE!$B$5&gt;=5),1337,"")</f>
        <v/>
      </c>
      <c r="B1338" t="str">
        <f>IF(AND(FORSIDE!$B$8&gt;=16,FORSIDE!$F$8&gt;=5,FORSIDE!$B$5&gt;=5),354+5*FORSIDE!$F$9,"")</f>
        <v/>
      </c>
      <c r="C1338" t="str">
        <f>IF(AND(FORSIDE!$B$8&gt;=16,FORSIDE!$F$8&gt;=5,FORSIDE!$B$5&gt;=5),16*FORSIDE!$B$9,"")</f>
        <v/>
      </c>
      <c r="D1338" t="str">
        <f>IF(AND(FORSIDE!$B$8&gt;=16,FORSIDE!$F$8&gt;=5,FORSIDE!$B$5&gt;=5),FORSIDE!$B$6+(5-1)*FORSIDE!$B$7,"")</f>
        <v/>
      </c>
    </row>
    <row r="1339" spans="1:4" x14ac:dyDescent="0.3">
      <c r="A1339" t="str">
        <f>IF(AND(FORSIDE!$B$8&gt;=16,FORSIDE!$F$8&gt;=5,FORSIDE!$B$5&gt;=6),1338,"")</f>
        <v/>
      </c>
      <c r="B1339" t="str">
        <f>IF(AND(FORSIDE!$B$8&gt;=16,FORSIDE!$F$8&gt;=5,FORSIDE!$B$5&gt;=6),354+5*FORSIDE!$F$9,"")</f>
        <v/>
      </c>
      <c r="C1339" t="str">
        <f>IF(AND(FORSIDE!$B$8&gt;=16,FORSIDE!$F$8&gt;=5,FORSIDE!$B$5&gt;=6),16*FORSIDE!$B$9,"")</f>
        <v/>
      </c>
      <c r="D1339" t="str">
        <f>IF(AND(FORSIDE!$B$8&gt;=16,FORSIDE!$F$8&gt;=5,FORSIDE!$B$5&gt;=6),FORSIDE!$B$6+(6-1)*FORSIDE!$B$7,"")</f>
        <v/>
      </c>
    </row>
    <row r="1340" spans="1:4" x14ac:dyDescent="0.3">
      <c r="A1340" t="str">
        <f>IF(AND(FORSIDE!$B$8&gt;=16,FORSIDE!$F$8&gt;=5,FORSIDE!$B$5&gt;=7),1339,"")</f>
        <v/>
      </c>
      <c r="B1340" t="str">
        <f>IF(AND(FORSIDE!$B$8&gt;=16,FORSIDE!$F$8&gt;=5,FORSIDE!$B$5&gt;=7),354+5*FORSIDE!$F$9,"")</f>
        <v/>
      </c>
      <c r="C1340" t="str">
        <f>IF(AND(FORSIDE!$B$8&gt;=16,FORSIDE!$F$8&gt;=5,FORSIDE!$B$5&gt;=7),16*FORSIDE!$B$9,"")</f>
        <v/>
      </c>
      <c r="D1340" t="str">
        <f>IF(AND(FORSIDE!$B$8&gt;=16,FORSIDE!$F$8&gt;=5,FORSIDE!$B$5&gt;=7),FORSIDE!$B$6+(7-1)*FORSIDE!$B$7,"")</f>
        <v/>
      </c>
    </row>
    <row r="1341" spans="1:4" x14ac:dyDescent="0.3">
      <c r="A1341" t="str">
        <f>IF(AND(FORSIDE!$B$8&gt;=16,FORSIDE!$F$8&gt;=5,FORSIDE!$B$5&gt;=8),1340,"")</f>
        <v/>
      </c>
      <c r="B1341" t="str">
        <f>IF(AND(FORSIDE!$B$8&gt;=16,FORSIDE!$F$8&gt;=5,FORSIDE!$B$5&gt;=8),354+5*FORSIDE!$F$9,"")</f>
        <v/>
      </c>
      <c r="C1341" t="str">
        <f>IF(AND(FORSIDE!$B$8&gt;=16,FORSIDE!$F$8&gt;=5,FORSIDE!$B$5&gt;=8),16*FORSIDE!$B$9,"")</f>
        <v/>
      </c>
      <c r="D1341" t="str">
        <f>IF(AND(FORSIDE!$B$8&gt;=16,FORSIDE!$F$8&gt;=5,FORSIDE!$B$5&gt;=8),FORSIDE!$B$6+(8-1)*FORSIDE!$B$7,"")</f>
        <v/>
      </c>
    </row>
    <row r="1342" spans="1:4" x14ac:dyDescent="0.3">
      <c r="A1342" t="str">
        <f>IF(AND(FORSIDE!$B$8&gt;=16,FORSIDE!$F$8&gt;=5,FORSIDE!$B$5&gt;=9),1341,"")</f>
        <v/>
      </c>
      <c r="B1342" t="str">
        <f>IF(AND(FORSIDE!$B$8&gt;=16,FORSIDE!$F$8&gt;=5,FORSIDE!$B$5&gt;=9),354+5*FORSIDE!$F$9,"")</f>
        <v/>
      </c>
      <c r="C1342" t="str">
        <f>IF(AND(FORSIDE!$B$8&gt;=16,FORSIDE!$F$8&gt;=5,FORSIDE!$B$5&gt;=9),16*FORSIDE!$B$9,"")</f>
        <v/>
      </c>
      <c r="D1342" t="str">
        <f>IF(AND(FORSIDE!$B$8&gt;=16,FORSIDE!$F$8&gt;=5,FORSIDE!$B$5&gt;=9),FORSIDE!$B$6+(9-1)*FORSIDE!$B$7,"")</f>
        <v/>
      </c>
    </row>
    <row r="1343" spans="1:4" x14ac:dyDescent="0.3">
      <c r="A1343" t="str">
        <f>IF(AND(FORSIDE!$B$8&gt;=16,FORSIDE!$F$8&gt;=5,FORSIDE!$B$5&gt;=10),1342,"")</f>
        <v/>
      </c>
      <c r="B1343" t="str">
        <f>IF(AND(FORSIDE!$B$8&gt;=16,FORSIDE!$F$8&gt;=5,FORSIDE!$B$5&gt;=10),354+5*FORSIDE!$F$9,"")</f>
        <v/>
      </c>
      <c r="C1343" t="str">
        <f>IF(AND(FORSIDE!$B$8&gt;=16,FORSIDE!$F$8&gt;=5,FORSIDE!$B$5&gt;=10),16*FORSIDE!$B$9,"")</f>
        <v/>
      </c>
      <c r="D1343" t="str">
        <f>IF(AND(FORSIDE!$B$8&gt;=16,FORSIDE!$F$8&gt;=5,FORSIDE!$B$5&gt;=10),FORSIDE!$B$6+(10-1)*FORSIDE!$B$7,"")</f>
        <v/>
      </c>
    </row>
    <row r="1344" spans="1:4" x14ac:dyDescent="0.3">
      <c r="A1344" t="str">
        <f>IF(AND(FORSIDE!$B$8&gt;=17,FORSIDE!$F$8&gt;=5,FORSIDE!$B$5&gt;=0),1343,"")</f>
        <v/>
      </c>
      <c r="B1344" t="str">
        <f>IF(AND(FORSIDE!$B$8&gt;=17,FORSIDE!$F$8&gt;=5,FORSIDE!$B$5&gt;=0),354+5*FORSIDE!$F$9,"")</f>
        <v/>
      </c>
      <c r="C1344" t="str">
        <f>IF(AND(FORSIDE!$B$8&gt;=17,FORSIDE!$F$8&gt;=5,FORSIDE!$B$5&gt;=0),17*FORSIDE!$B$9,"")</f>
        <v/>
      </c>
      <c r="D1344" t="str">
        <f>IF(AND(FORSIDE!$B$8&gt;=17,FORSIDE!$F$8&gt;=5,FORSIDE!$B$5&gt;=0),0,"")</f>
        <v/>
      </c>
    </row>
    <row r="1345" spans="1:4" x14ac:dyDescent="0.3">
      <c r="A1345" t="str">
        <f>IF(AND(FORSIDE!$B$8&gt;=17,FORSIDE!$F$8&gt;=5,FORSIDE!$B$5&gt;=1),1344,"")</f>
        <v/>
      </c>
      <c r="B1345" t="str">
        <f>IF(AND(FORSIDE!$B$8&gt;=17,FORSIDE!$F$8&gt;=5,FORSIDE!$B$5&gt;=1),354+5*FORSIDE!$F$9,"")</f>
        <v/>
      </c>
      <c r="C1345" t="str">
        <f>IF(AND(FORSIDE!$B$8&gt;=17,FORSIDE!$F$8&gt;=5,FORSIDE!$B$5&gt;=1),17*FORSIDE!$B$9,"")</f>
        <v/>
      </c>
      <c r="D1345" t="str">
        <f>IF(AND(FORSIDE!$B$8&gt;=17,FORSIDE!$F$8&gt;=5,FORSIDE!$B$5&gt;=1),FORSIDE!$B$6+(1-1)*FORSIDE!$B$7,"")</f>
        <v/>
      </c>
    </row>
    <row r="1346" spans="1:4" x14ac:dyDescent="0.3">
      <c r="A1346" t="str">
        <f>IF(AND(FORSIDE!$B$8&gt;=17,FORSIDE!$F$8&gt;=5,FORSIDE!$B$5&gt;=2),1345,"")</f>
        <v/>
      </c>
      <c r="B1346" t="str">
        <f>IF(AND(FORSIDE!$B$8&gt;=17,FORSIDE!$F$8&gt;=5,FORSIDE!$B$5&gt;=2),354+5*FORSIDE!$F$9,"")</f>
        <v/>
      </c>
      <c r="C1346" t="str">
        <f>IF(AND(FORSIDE!$B$8&gt;=17,FORSIDE!$F$8&gt;=5,FORSIDE!$B$5&gt;=2),17*FORSIDE!$B$9,"")</f>
        <v/>
      </c>
      <c r="D1346" t="str">
        <f>IF(AND(FORSIDE!$B$8&gt;=17,FORSIDE!$F$8&gt;=5,FORSIDE!$B$5&gt;=2),FORSIDE!$B$6+(2-1)*FORSIDE!$B$7,"")</f>
        <v/>
      </c>
    </row>
    <row r="1347" spans="1:4" x14ac:dyDescent="0.3">
      <c r="A1347" t="str">
        <f>IF(AND(FORSIDE!$B$8&gt;=17,FORSIDE!$F$8&gt;=5,FORSIDE!$B$5&gt;=3),1346,"")</f>
        <v/>
      </c>
      <c r="B1347" t="str">
        <f>IF(AND(FORSIDE!$B$8&gt;=17,FORSIDE!$F$8&gt;=5,FORSIDE!$B$5&gt;=3),354+5*FORSIDE!$F$9,"")</f>
        <v/>
      </c>
      <c r="C1347" t="str">
        <f>IF(AND(FORSIDE!$B$8&gt;=17,FORSIDE!$F$8&gt;=5,FORSIDE!$B$5&gt;=3),17*FORSIDE!$B$9,"")</f>
        <v/>
      </c>
      <c r="D1347" t="str">
        <f>IF(AND(FORSIDE!$B$8&gt;=17,FORSIDE!$F$8&gt;=5,FORSIDE!$B$5&gt;=3),FORSIDE!$B$6+(3-1)*FORSIDE!$B$7,"")</f>
        <v/>
      </c>
    </row>
    <row r="1348" spans="1:4" x14ac:dyDescent="0.3">
      <c r="A1348" t="str">
        <f>IF(AND(FORSIDE!$B$8&gt;=17,FORSIDE!$F$8&gt;=5,FORSIDE!$B$5&gt;=4),1347,"")</f>
        <v/>
      </c>
      <c r="B1348" t="str">
        <f>IF(AND(FORSIDE!$B$8&gt;=17,FORSIDE!$F$8&gt;=5,FORSIDE!$B$5&gt;=4),354+5*FORSIDE!$F$9,"")</f>
        <v/>
      </c>
      <c r="C1348" t="str">
        <f>IF(AND(FORSIDE!$B$8&gt;=17,FORSIDE!$F$8&gt;=5,FORSIDE!$B$5&gt;=4),17*FORSIDE!$B$9,"")</f>
        <v/>
      </c>
      <c r="D1348" t="str">
        <f>IF(AND(FORSIDE!$B$8&gt;=17,FORSIDE!$F$8&gt;=5,FORSIDE!$B$5&gt;=4),FORSIDE!$B$6+(4-1)*FORSIDE!$B$7,"")</f>
        <v/>
      </c>
    </row>
    <row r="1349" spans="1:4" x14ac:dyDescent="0.3">
      <c r="A1349" t="str">
        <f>IF(AND(FORSIDE!$B$8&gt;=17,FORSIDE!$F$8&gt;=5,FORSIDE!$B$5&gt;=5),1348,"")</f>
        <v/>
      </c>
      <c r="B1349" t="str">
        <f>IF(AND(FORSIDE!$B$8&gt;=17,FORSIDE!$F$8&gt;=5,FORSIDE!$B$5&gt;=5),354+5*FORSIDE!$F$9,"")</f>
        <v/>
      </c>
      <c r="C1349" t="str">
        <f>IF(AND(FORSIDE!$B$8&gt;=17,FORSIDE!$F$8&gt;=5,FORSIDE!$B$5&gt;=5),17*FORSIDE!$B$9,"")</f>
        <v/>
      </c>
      <c r="D1349" t="str">
        <f>IF(AND(FORSIDE!$B$8&gt;=17,FORSIDE!$F$8&gt;=5,FORSIDE!$B$5&gt;=5),FORSIDE!$B$6+(5-1)*FORSIDE!$B$7,"")</f>
        <v/>
      </c>
    </row>
    <row r="1350" spans="1:4" x14ac:dyDescent="0.3">
      <c r="A1350" t="str">
        <f>IF(AND(FORSIDE!$B$8&gt;=17,FORSIDE!$F$8&gt;=5,FORSIDE!$B$5&gt;=6),1349,"")</f>
        <v/>
      </c>
      <c r="B1350" t="str">
        <f>IF(AND(FORSIDE!$B$8&gt;=17,FORSIDE!$F$8&gt;=5,FORSIDE!$B$5&gt;=6),354+5*FORSIDE!$F$9,"")</f>
        <v/>
      </c>
      <c r="C1350" t="str">
        <f>IF(AND(FORSIDE!$B$8&gt;=17,FORSIDE!$F$8&gt;=5,FORSIDE!$B$5&gt;=6),17*FORSIDE!$B$9,"")</f>
        <v/>
      </c>
      <c r="D1350" t="str">
        <f>IF(AND(FORSIDE!$B$8&gt;=17,FORSIDE!$F$8&gt;=5,FORSIDE!$B$5&gt;=6),FORSIDE!$B$6+(6-1)*FORSIDE!$B$7,"")</f>
        <v/>
      </c>
    </row>
    <row r="1351" spans="1:4" x14ac:dyDescent="0.3">
      <c r="A1351" t="str">
        <f>IF(AND(FORSIDE!$B$8&gt;=17,FORSIDE!$F$8&gt;=5,FORSIDE!$B$5&gt;=7),1350,"")</f>
        <v/>
      </c>
      <c r="B1351" t="str">
        <f>IF(AND(FORSIDE!$B$8&gt;=17,FORSIDE!$F$8&gt;=5,FORSIDE!$B$5&gt;=7),354+5*FORSIDE!$F$9,"")</f>
        <v/>
      </c>
      <c r="C1351" t="str">
        <f>IF(AND(FORSIDE!$B$8&gt;=17,FORSIDE!$F$8&gt;=5,FORSIDE!$B$5&gt;=7),17*FORSIDE!$B$9,"")</f>
        <v/>
      </c>
      <c r="D1351" t="str">
        <f>IF(AND(FORSIDE!$B$8&gt;=17,FORSIDE!$F$8&gt;=5,FORSIDE!$B$5&gt;=7),FORSIDE!$B$6+(7-1)*FORSIDE!$B$7,"")</f>
        <v/>
      </c>
    </row>
    <row r="1352" spans="1:4" x14ac:dyDescent="0.3">
      <c r="A1352" t="str">
        <f>IF(AND(FORSIDE!$B$8&gt;=17,FORSIDE!$F$8&gt;=5,FORSIDE!$B$5&gt;=8),1351,"")</f>
        <v/>
      </c>
      <c r="B1352" t="str">
        <f>IF(AND(FORSIDE!$B$8&gt;=17,FORSIDE!$F$8&gt;=5,FORSIDE!$B$5&gt;=8),354+5*FORSIDE!$F$9,"")</f>
        <v/>
      </c>
      <c r="C1352" t="str">
        <f>IF(AND(FORSIDE!$B$8&gt;=17,FORSIDE!$F$8&gt;=5,FORSIDE!$B$5&gt;=8),17*FORSIDE!$B$9,"")</f>
        <v/>
      </c>
      <c r="D1352" t="str">
        <f>IF(AND(FORSIDE!$B$8&gt;=17,FORSIDE!$F$8&gt;=5,FORSIDE!$B$5&gt;=8),FORSIDE!$B$6+(8-1)*FORSIDE!$B$7,"")</f>
        <v/>
      </c>
    </row>
    <row r="1353" spans="1:4" x14ac:dyDescent="0.3">
      <c r="A1353" t="str">
        <f>IF(AND(FORSIDE!$B$8&gt;=17,FORSIDE!$F$8&gt;=5,FORSIDE!$B$5&gt;=9),1352,"")</f>
        <v/>
      </c>
      <c r="B1353" t="str">
        <f>IF(AND(FORSIDE!$B$8&gt;=17,FORSIDE!$F$8&gt;=5,FORSIDE!$B$5&gt;=9),354+5*FORSIDE!$F$9,"")</f>
        <v/>
      </c>
      <c r="C1353" t="str">
        <f>IF(AND(FORSIDE!$B$8&gt;=17,FORSIDE!$F$8&gt;=5,FORSIDE!$B$5&gt;=9),17*FORSIDE!$B$9,"")</f>
        <v/>
      </c>
      <c r="D1353" t="str">
        <f>IF(AND(FORSIDE!$B$8&gt;=17,FORSIDE!$F$8&gt;=5,FORSIDE!$B$5&gt;=9),FORSIDE!$B$6+(9-1)*FORSIDE!$B$7,"")</f>
        <v/>
      </c>
    </row>
    <row r="1354" spans="1:4" x14ac:dyDescent="0.3">
      <c r="A1354" t="str">
        <f>IF(AND(FORSIDE!$B$8&gt;=17,FORSIDE!$F$8&gt;=5,FORSIDE!$B$5&gt;=10),1353,"")</f>
        <v/>
      </c>
      <c r="B1354" t="str">
        <f>IF(AND(FORSIDE!$B$8&gt;=17,FORSIDE!$F$8&gt;=5,FORSIDE!$B$5&gt;=10),354+5*FORSIDE!$F$9,"")</f>
        <v/>
      </c>
      <c r="C1354" t="str">
        <f>IF(AND(FORSIDE!$B$8&gt;=17,FORSIDE!$F$8&gt;=5,FORSIDE!$B$5&gt;=10),17*FORSIDE!$B$9,"")</f>
        <v/>
      </c>
      <c r="D1354" t="str">
        <f>IF(AND(FORSIDE!$B$8&gt;=17,FORSIDE!$F$8&gt;=5,FORSIDE!$B$5&gt;=10),FORSIDE!$B$6+(10-1)*FORSIDE!$B$7,"")</f>
        <v/>
      </c>
    </row>
    <row r="1355" spans="1:4" x14ac:dyDescent="0.3">
      <c r="A1355" t="str">
        <f>IF(AND(FORSIDE!$B$8&gt;=18,FORSIDE!$F$8&gt;=5,FORSIDE!$B$5&gt;=0),1354,"")</f>
        <v/>
      </c>
      <c r="B1355" t="str">
        <f>IF(AND(FORSIDE!$B$8&gt;=18,FORSIDE!$F$8&gt;=5,FORSIDE!$B$5&gt;=0),354+5*FORSIDE!$F$9,"")</f>
        <v/>
      </c>
      <c r="C1355" t="str">
        <f>IF(AND(FORSIDE!$B$8&gt;=18,FORSIDE!$F$8&gt;=5,FORSIDE!$B$5&gt;=0),18*FORSIDE!$B$9,"")</f>
        <v/>
      </c>
      <c r="D1355" t="str">
        <f>IF(AND(FORSIDE!$B$8&gt;=18,FORSIDE!$F$8&gt;=5,FORSIDE!$B$5&gt;=0),0,"")</f>
        <v/>
      </c>
    </row>
    <row r="1356" spans="1:4" x14ac:dyDescent="0.3">
      <c r="A1356" t="str">
        <f>IF(AND(FORSIDE!$B$8&gt;=18,FORSIDE!$F$8&gt;=5,FORSIDE!$B$5&gt;=1),1355,"")</f>
        <v/>
      </c>
      <c r="B1356" t="str">
        <f>IF(AND(FORSIDE!$B$8&gt;=18,FORSIDE!$F$8&gt;=5,FORSIDE!$B$5&gt;=1),354+5*FORSIDE!$F$9,"")</f>
        <v/>
      </c>
      <c r="C1356" t="str">
        <f>IF(AND(FORSIDE!$B$8&gt;=18,FORSIDE!$F$8&gt;=5,FORSIDE!$B$5&gt;=1),18*FORSIDE!$B$9,"")</f>
        <v/>
      </c>
      <c r="D1356" t="str">
        <f>IF(AND(FORSIDE!$B$8&gt;=18,FORSIDE!$F$8&gt;=5,FORSIDE!$B$5&gt;=1),FORSIDE!$B$6+(1-1)*FORSIDE!$B$7,"")</f>
        <v/>
      </c>
    </row>
    <row r="1357" spans="1:4" x14ac:dyDescent="0.3">
      <c r="A1357" t="str">
        <f>IF(AND(FORSIDE!$B$8&gt;=18,FORSIDE!$F$8&gt;=5,FORSIDE!$B$5&gt;=2),1356,"")</f>
        <v/>
      </c>
      <c r="B1357" t="str">
        <f>IF(AND(FORSIDE!$B$8&gt;=18,FORSIDE!$F$8&gt;=5,FORSIDE!$B$5&gt;=2),354+5*FORSIDE!$F$9,"")</f>
        <v/>
      </c>
      <c r="C1357" t="str">
        <f>IF(AND(FORSIDE!$B$8&gt;=18,FORSIDE!$F$8&gt;=5,FORSIDE!$B$5&gt;=2),18*FORSIDE!$B$9,"")</f>
        <v/>
      </c>
      <c r="D1357" t="str">
        <f>IF(AND(FORSIDE!$B$8&gt;=18,FORSIDE!$F$8&gt;=5,FORSIDE!$B$5&gt;=2),FORSIDE!$B$6+(2-1)*FORSIDE!$B$7,"")</f>
        <v/>
      </c>
    </row>
    <row r="1358" spans="1:4" x14ac:dyDescent="0.3">
      <c r="A1358" t="str">
        <f>IF(AND(FORSIDE!$B$8&gt;=18,FORSIDE!$F$8&gt;=5,FORSIDE!$B$5&gt;=3),1357,"")</f>
        <v/>
      </c>
      <c r="B1358" t="str">
        <f>IF(AND(FORSIDE!$B$8&gt;=18,FORSIDE!$F$8&gt;=5,FORSIDE!$B$5&gt;=3),354+5*FORSIDE!$F$9,"")</f>
        <v/>
      </c>
      <c r="C1358" t="str">
        <f>IF(AND(FORSIDE!$B$8&gt;=18,FORSIDE!$F$8&gt;=5,FORSIDE!$B$5&gt;=3),18*FORSIDE!$B$9,"")</f>
        <v/>
      </c>
      <c r="D1358" t="str">
        <f>IF(AND(FORSIDE!$B$8&gt;=18,FORSIDE!$F$8&gt;=5,FORSIDE!$B$5&gt;=3),FORSIDE!$B$6+(3-1)*FORSIDE!$B$7,"")</f>
        <v/>
      </c>
    </row>
    <row r="1359" spans="1:4" x14ac:dyDescent="0.3">
      <c r="A1359" t="str">
        <f>IF(AND(FORSIDE!$B$8&gt;=18,FORSIDE!$F$8&gt;=5,FORSIDE!$B$5&gt;=4),1358,"")</f>
        <v/>
      </c>
      <c r="B1359" t="str">
        <f>IF(AND(FORSIDE!$B$8&gt;=18,FORSIDE!$F$8&gt;=5,FORSIDE!$B$5&gt;=4),354+5*FORSIDE!$F$9,"")</f>
        <v/>
      </c>
      <c r="C1359" t="str">
        <f>IF(AND(FORSIDE!$B$8&gt;=18,FORSIDE!$F$8&gt;=5,FORSIDE!$B$5&gt;=4),18*FORSIDE!$B$9,"")</f>
        <v/>
      </c>
      <c r="D1359" t="str">
        <f>IF(AND(FORSIDE!$B$8&gt;=18,FORSIDE!$F$8&gt;=5,FORSIDE!$B$5&gt;=4),FORSIDE!$B$6+(4-1)*FORSIDE!$B$7,"")</f>
        <v/>
      </c>
    </row>
    <row r="1360" spans="1:4" x14ac:dyDescent="0.3">
      <c r="A1360" t="str">
        <f>IF(AND(FORSIDE!$B$8&gt;=18,FORSIDE!$F$8&gt;=5,FORSIDE!$B$5&gt;=5),1359,"")</f>
        <v/>
      </c>
      <c r="B1360" t="str">
        <f>IF(AND(FORSIDE!$B$8&gt;=18,FORSIDE!$F$8&gt;=5,FORSIDE!$B$5&gt;=5),354+5*FORSIDE!$F$9,"")</f>
        <v/>
      </c>
      <c r="C1360" t="str">
        <f>IF(AND(FORSIDE!$B$8&gt;=18,FORSIDE!$F$8&gt;=5,FORSIDE!$B$5&gt;=5),18*FORSIDE!$B$9,"")</f>
        <v/>
      </c>
      <c r="D1360" t="str">
        <f>IF(AND(FORSIDE!$B$8&gt;=18,FORSIDE!$F$8&gt;=5,FORSIDE!$B$5&gt;=5),FORSIDE!$B$6+(5-1)*FORSIDE!$B$7,"")</f>
        <v/>
      </c>
    </row>
    <row r="1361" spans="1:4" x14ac:dyDescent="0.3">
      <c r="A1361" t="str">
        <f>IF(AND(FORSIDE!$B$8&gt;=18,FORSIDE!$F$8&gt;=5,FORSIDE!$B$5&gt;=6),1360,"")</f>
        <v/>
      </c>
      <c r="B1361" t="str">
        <f>IF(AND(FORSIDE!$B$8&gt;=18,FORSIDE!$F$8&gt;=5,FORSIDE!$B$5&gt;=6),354+5*FORSIDE!$F$9,"")</f>
        <v/>
      </c>
      <c r="C1361" t="str">
        <f>IF(AND(FORSIDE!$B$8&gt;=18,FORSIDE!$F$8&gt;=5,FORSIDE!$B$5&gt;=6),18*FORSIDE!$B$9,"")</f>
        <v/>
      </c>
      <c r="D1361" t="str">
        <f>IF(AND(FORSIDE!$B$8&gt;=18,FORSIDE!$F$8&gt;=5,FORSIDE!$B$5&gt;=6),FORSIDE!$B$6+(6-1)*FORSIDE!$B$7,"")</f>
        <v/>
      </c>
    </row>
    <row r="1362" spans="1:4" x14ac:dyDescent="0.3">
      <c r="A1362" t="str">
        <f>IF(AND(FORSIDE!$B$8&gt;=18,FORSIDE!$F$8&gt;=5,FORSIDE!$B$5&gt;=7),1361,"")</f>
        <v/>
      </c>
      <c r="B1362" t="str">
        <f>IF(AND(FORSIDE!$B$8&gt;=18,FORSIDE!$F$8&gt;=5,FORSIDE!$B$5&gt;=7),354+5*FORSIDE!$F$9,"")</f>
        <v/>
      </c>
      <c r="C1362" t="str">
        <f>IF(AND(FORSIDE!$B$8&gt;=18,FORSIDE!$F$8&gt;=5,FORSIDE!$B$5&gt;=7),18*FORSIDE!$B$9,"")</f>
        <v/>
      </c>
      <c r="D1362" t="str">
        <f>IF(AND(FORSIDE!$B$8&gt;=18,FORSIDE!$F$8&gt;=5,FORSIDE!$B$5&gt;=7),FORSIDE!$B$6+(7-1)*FORSIDE!$B$7,"")</f>
        <v/>
      </c>
    </row>
    <row r="1363" spans="1:4" x14ac:dyDescent="0.3">
      <c r="A1363" t="str">
        <f>IF(AND(FORSIDE!$B$8&gt;=18,FORSIDE!$F$8&gt;=5,FORSIDE!$B$5&gt;=8),1362,"")</f>
        <v/>
      </c>
      <c r="B1363" t="str">
        <f>IF(AND(FORSIDE!$B$8&gt;=18,FORSIDE!$F$8&gt;=5,FORSIDE!$B$5&gt;=8),354+5*FORSIDE!$F$9,"")</f>
        <v/>
      </c>
      <c r="C1363" t="str">
        <f>IF(AND(FORSIDE!$B$8&gt;=18,FORSIDE!$F$8&gt;=5,FORSIDE!$B$5&gt;=8),18*FORSIDE!$B$9,"")</f>
        <v/>
      </c>
      <c r="D1363" t="str">
        <f>IF(AND(FORSIDE!$B$8&gt;=18,FORSIDE!$F$8&gt;=5,FORSIDE!$B$5&gt;=8),FORSIDE!$B$6+(8-1)*FORSIDE!$B$7,"")</f>
        <v/>
      </c>
    </row>
    <row r="1364" spans="1:4" x14ac:dyDescent="0.3">
      <c r="A1364" t="str">
        <f>IF(AND(FORSIDE!$B$8&gt;=18,FORSIDE!$F$8&gt;=5,FORSIDE!$B$5&gt;=9),1363,"")</f>
        <v/>
      </c>
      <c r="B1364" t="str">
        <f>IF(AND(FORSIDE!$B$8&gt;=18,FORSIDE!$F$8&gt;=5,FORSIDE!$B$5&gt;=9),354+5*FORSIDE!$F$9,"")</f>
        <v/>
      </c>
      <c r="C1364" t="str">
        <f>IF(AND(FORSIDE!$B$8&gt;=18,FORSIDE!$F$8&gt;=5,FORSIDE!$B$5&gt;=9),18*FORSIDE!$B$9,"")</f>
        <v/>
      </c>
      <c r="D1364" t="str">
        <f>IF(AND(FORSIDE!$B$8&gt;=18,FORSIDE!$F$8&gt;=5,FORSIDE!$B$5&gt;=9),FORSIDE!$B$6+(9-1)*FORSIDE!$B$7,"")</f>
        <v/>
      </c>
    </row>
    <row r="1365" spans="1:4" x14ac:dyDescent="0.3">
      <c r="A1365" t="str">
        <f>IF(AND(FORSIDE!$B$8&gt;=18,FORSIDE!$F$8&gt;=5,FORSIDE!$B$5&gt;=10),1364,"")</f>
        <v/>
      </c>
      <c r="B1365" t="str">
        <f>IF(AND(FORSIDE!$B$8&gt;=18,FORSIDE!$F$8&gt;=5,FORSIDE!$B$5&gt;=10),354+5*FORSIDE!$F$9,"")</f>
        <v/>
      </c>
      <c r="C1365" t="str">
        <f>IF(AND(FORSIDE!$B$8&gt;=18,FORSIDE!$F$8&gt;=5,FORSIDE!$B$5&gt;=10),18*FORSIDE!$B$9,"")</f>
        <v/>
      </c>
      <c r="D1365" t="str">
        <f>IF(AND(FORSIDE!$B$8&gt;=18,FORSIDE!$F$8&gt;=5,FORSIDE!$B$5&gt;=10),FORSIDE!$B$6+(10-1)*FORSIDE!$B$7,"")</f>
        <v/>
      </c>
    </row>
    <row r="1366" spans="1:4" x14ac:dyDescent="0.3">
      <c r="A1366" t="str">
        <f>IF(AND(FORSIDE!$B$8&gt;=19,FORSIDE!$F$8&gt;=5,FORSIDE!$B$5&gt;=0),1365,"")</f>
        <v/>
      </c>
      <c r="B1366" t="str">
        <f>IF(AND(FORSIDE!$B$8&gt;=19,FORSIDE!$F$8&gt;=5,FORSIDE!$B$5&gt;=0),354+5*FORSIDE!$F$9,"")</f>
        <v/>
      </c>
      <c r="C1366" t="str">
        <f>IF(AND(FORSIDE!$B$8&gt;=19,FORSIDE!$F$8&gt;=5,FORSIDE!$B$5&gt;=0),19*FORSIDE!$B$9,"")</f>
        <v/>
      </c>
      <c r="D1366" t="str">
        <f>IF(AND(FORSIDE!$B$8&gt;=19,FORSIDE!$F$8&gt;=5,FORSIDE!$B$5&gt;=0),0,"")</f>
        <v/>
      </c>
    </row>
    <row r="1367" spans="1:4" x14ac:dyDescent="0.3">
      <c r="A1367" t="str">
        <f>IF(AND(FORSIDE!$B$8&gt;=19,FORSIDE!$F$8&gt;=5,FORSIDE!$B$5&gt;=1),1366,"")</f>
        <v/>
      </c>
      <c r="B1367" t="str">
        <f>IF(AND(FORSIDE!$B$8&gt;=19,FORSIDE!$F$8&gt;=5,FORSIDE!$B$5&gt;=1),354+5*FORSIDE!$F$9,"")</f>
        <v/>
      </c>
      <c r="C1367" t="str">
        <f>IF(AND(FORSIDE!$B$8&gt;=19,FORSIDE!$F$8&gt;=5,FORSIDE!$B$5&gt;=1),19*FORSIDE!$B$9,"")</f>
        <v/>
      </c>
      <c r="D1367" t="str">
        <f>IF(AND(FORSIDE!$B$8&gt;=19,FORSIDE!$F$8&gt;=5,FORSIDE!$B$5&gt;=1),FORSIDE!$B$6+(1-1)*FORSIDE!$B$7,"")</f>
        <v/>
      </c>
    </row>
    <row r="1368" spans="1:4" x14ac:dyDescent="0.3">
      <c r="A1368" t="str">
        <f>IF(AND(FORSIDE!$B$8&gt;=19,FORSIDE!$F$8&gt;=5,FORSIDE!$B$5&gt;=2),1367,"")</f>
        <v/>
      </c>
      <c r="B1368" t="str">
        <f>IF(AND(FORSIDE!$B$8&gt;=19,FORSIDE!$F$8&gt;=5,FORSIDE!$B$5&gt;=2),354+5*FORSIDE!$F$9,"")</f>
        <v/>
      </c>
      <c r="C1368" t="str">
        <f>IF(AND(FORSIDE!$B$8&gt;=19,FORSIDE!$F$8&gt;=5,FORSIDE!$B$5&gt;=2),19*FORSIDE!$B$9,"")</f>
        <v/>
      </c>
      <c r="D1368" t="str">
        <f>IF(AND(FORSIDE!$B$8&gt;=19,FORSIDE!$F$8&gt;=5,FORSIDE!$B$5&gt;=2),FORSIDE!$B$6+(2-1)*FORSIDE!$B$7,"")</f>
        <v/>
      </c>
    </row>
    <row r="1369" spans="1:4" x14ac:dyDescent="0.3">
      <c r="A1369" t="str">
        <f>IF(AND(FORSIDE!$B$8&gt;=19,FORSIDE!$F$8&gt;=5,FORSIDE!$B$5&gt;=3),1368,"")</f>
        <v/>
      </c>
      <c r="B1369" t="str">
        <f>IF(AND(FORSIDE!$B$8&gt;=19,FORSIDE!$F$8&gt;=5,FORSIDE!$B$5&gt;=3),354+5*FORSIDE!$F$9,"")</f>
        <v/>
      </c>
      <c r="C1369" t="str">
        <f>IF(AND(FORSIDE!$B$8&gt;=19,FORSIDE!$F$8&gt;=5,FORSIDE!$B$5&gt;=3),19*FORSIDE!$B$9,"")</f>
        <v/>
      </c>
      <c r="D1369" t="str">
        <f>IF(AND(FORSIDE!$B$8&gt;=19,FORSIDE!$F$8&gt;=5,FORSIDE!$B$5&gt;=3),FORSIDE!$B$6+(3-1)*FORSIDE!$B$7,"")</f>
        <v/>
      </c>
    </row>
    <row r="1370" spans="1:4" x14ac:dyDescent="0.3">
      <c r="A1370" t="str">
        <f>IF(AND(FORSIDE!$B$8&gt;=19,FORSIDE!$F$8&gt;=5,FORSIDE!$B$5&gt;=4),1369,"")</f>
        <v/>
      </c>
      <c r="B1370" t="str">
        <f>IF(AND(FORSIDE!$B$8&gt;=19,FORSIDE!$F$8&gt;=5,FORSIDE!$B$5&gt;=4),354+5*FORSIDE!$F$9,"")</f>
        <v/>
      </c>
      <c r="C1370" t="str">
        <f>IF(AND(FORSIDE!$B$8&gt;=19,FORSIDE!$F$8&gt;=5,FORSIDE!$B$5&gt;=4),19*FORSIDE!$B$9,"")</f>
        <v/>
      </c>
      <c r="D1370" t="str">
        <f>IF(AND(FORSIDE!$B$8&gt;=19,FORSIDE!$F$8&gt;=5,FORSIDE!$B$5&gt;=4),FORSIDE!$B$6+(4-1)*FORSIDE!$B$7,"")</f>
        <v/>
      </c>
    </row>
    <row r="1371" spans="1:4" x14ac:dyDescent="0.3">
      <c r="A1371" t="str">
        <f>IF(AND(FORSIDE!$B$8&gt;=19,FORSIDE!$F$8&gt;=5,FORSIDE!$B$5&gt;=5),1370,"")</f>
        <v/>
      </c>
      <c r="B1371" t="str">
        <f>IF(AND(FORSIDE!$B$8&gt;=19,FORSIDE!$F$8&gt;=5,FORSIDE!$B$5&gt;=5),354+5*FORSIDE!$F$9,"")</f>
        <v/>
      </c>
      <c r="C1371" t="str">
        <f>IF(AND(FORSIDE!$B$8&gt;=19,FORSIDE!$F$8&gt;=5,FORSIDE!$B$5&gt;=5),19*FORSIDE!$B$9,"")</f>
        <v/>
      </c>
      <c r="D1371" t="str">
        <f>IF(AND(FORSIDE!$B$8&gt;=19,FORSIDE!$F$8&gt;=5,FORSIDE!$B$5&gt;=5),FORSIDE!$B$6+(5-1)*FORSIDE!$B$7,"")</f>
        <v/>
      </c>
    </row>
    <row r="1372" spans="1:4" x14ac:dyDescent="0.3">
      <c r="A1372" t="str">
        <f>IF(AND(FORSIDE!$B$8&gt;=19,FORSIDE!$F$8&gt;=5,FORSIDE!$B$5&gt;=6),1371,"")</f>
        <v/>
      </c>
      <c r="B1372" t="str">
        <f>IF(AND(FORSIDE!$B$8&gt;=19,FORSIDE!$F$8&gt;=5,FORSIDE!$B$5&gt;=6),354+5*FORSIDE!$F$9,"")</f>
        <v/>
      </c>
      <c r="C1372" t="str">
        <f>IF(AND(FORSIDE!$B$8&gt;=19,FORSIDE!$F$8&gt;=5,FORSIDE!$B$5&gt;=6),19*FORSIDE!$B$9,"")</f>
        <v/>
      </c>
      <c r="D1372" t="str">
        <f>IF(AND(FORSIDE!$B$8&gt;=19,FORSIDE!$F$8&gt;=5,FORSIDE!$B$5&gt;=6),FORSIDE!$B$6+(6-1)*FORSIDE!$B$7,"")</f>
        <v/>
      </c>
    </row>
    <row r="1373" spans="1:4" x14ac:dyDescent="0.3">
      <c r="A1373" t="str">
        <f>IF(AND(FORSIDE!$B$8&gt;=19,FORSIDE!$F$8&gt;=5,FORSIDE!$B$5&gt;=7),1372,"")</f>
        <v/>
      </c>
      <c r="B1373" t="str">
        <f>IF(AND(FORSIDE!$B$8&gt;=19,FORSIDE!$F$8&gt;=5,FORSIDE!$B$5&gt;=7),354+5*FORSIDE!$F$9,"")</f>
        <v/>
      </c>
      <c r="C1373" t="str">
        <f>IF(AND(FORSIDE!$B$8&gt;=19,FORSIDE!$F$8&gt;=5,FORSIDE!$B$5&gt;=7),19*FORSIDE!$B$9,"")</f>
        <v/>
      </c>
      <c r="D1373" t="str">
        <f>IF(AND(FORSIDE!$B$8&gt;=19,FORSIDE!$F$8&gt;=5,FORSIDE!$B$5&gt;=7),FORSIDE!$B$6+(7-1)*FORSIDE!$B$7,"")</f>
        <v/>
      </c>
    </row>
    <row r="1374" spans="1:4" x14ac:dyDescent="0.3">
      <c r="A1374" t="str">
        <f>IF(AND(FORSIDE!$B$8&gt;=19,FORSIDE!$F$8&gt;=5,FORSIDE!$B$5&gt;=8),1373,"")</f>
        <v/>
      </c>
      <c r="B1374" t="str">
        <f>IF(AND(FORSIDE!$B$8&gt;=19,FORSIDE!$F$8&gt;=5,FORSIDE!$B$5&gt;=8),354+5*FORSIDE!$F$9,"")</f>
        <v/>
      </c>
      <c r="C1374" t="str">
        <f>IF(AND(FORSIDE!$B$8&gt;=19,FORSIDE!$F$8&gt;=5,FORSIDE!$B$5&gt;=8),19*FORSIDE!$B$9,"")</f>
        <v/>
      </c>
      <c r="D1374" t="str">
        <f>IF(AND(FORSIDE!$B$8&gt;=19,FORSIDE!$F$8&gt;=5,FORSIDE!$B$5&gt;=8),FORSIDE!$B$6+(8-1)*FORSIDE!$B$7,"")</f>
        <v/>
      </c>
    </row>
    <row r="1375" spans="1:4" x14ac:dyDescent="0.3">
      <c r="A1375" t="str">
        <f>IF(AND(FORSIDE!$B$8&gt;=19,FORSIDE!$F$8&gt;=5,FORSIDE!$B$5&gt;=9),1374,"")</f>
        <v/>
      </c>
      <c r="B1375" t="str">
        <f>IF(AND(FORSIDE!$B$8&gt;=19,FORSIDE!$F$8&gt;=5,FORSIDE!$B$5&gt;=9),354+5*FORSIDE!$F$9,"")</f>
        <v/>
      </c>
      <c r="C1375" t="str">
        <f>IF(AND(FORSIDE!$B$8&gt;=19,FORSIDE!$F$8&gt;=5,FORSIDE!$B$5&gt;=9),19*FORSIDE!$B$9,"")</f>
        <v/>
      </c>
      <c r="D1375" t="str">
        <f>IF(AND(FORSIDE!$B$8&gt;=19,FORSIDE!$F$8&gt;=5,FORSIDE!$B$5&gt;=9),FORSIDE!$B$6+(9-1)*FORSIDE!$B$7,"")</f>
        <v/>
      </c>
    </row>
    <row r="1376" spans="1:4" x14ac:dyDescent="0.3">
      <c r="A1376" t="str">
        <f>IF(AND(FORSIDE!$B$8&gt;=19,FORSIDE!$F$8&gt;=5,FORSIDE!$B$5&gt;=10),1375,"")</f>
        <v/>
      </c>
      <c r="B1376" t="str">
        <f>IF(AND(FORSIDE!$B$8&gt;=19,FORSIDE!$F$8&gt;=5,FORSIDE!$B$5&gt;=10),354+5*FORSIDE!$F$9,"")</f>
        <v/>
      </c>
      <c r="C1376" t="str">
        <f>IF(AND(FORSIDE!$B$8&gt;=19,FORSIDE!$F$8&gt;=5,FORSIDE!$B$5&gt;=10),19*FORSIDE!$B$9,"")</f>
        <v/>
      </c>
      <c r="D1376" t="str">
        <f>IF(AND(FORSIDE!$B$8&gt;=19,FORSIDE!$F$8&gt;=5,FORSIDE!$B$5&gt;=10),FORSIDE!$B$6+(10-1)*FORSIDE!$B$7,"")</f>
        <v/>
      </c>
    </row>
    <row r="1377" spans="1:4" x14ac:dyDescent="0.3">
      <c r="A1377" t="str">
        <f>IF(AND(FORSIDE!$B$8&gt;=20,FORSIDE!$F$8&gt;=5,FORSIDE!$B$5&gt;=0),1376,"")</f>
        <v/>
      </c>
      <c r="B1377" t="str">
        <f>IF(AND(FORSIDE!$B$8&gt;=20,FORSIDE!$F$8&gt;=5,FORSIDE!$B$5&gt;=0),354+5*FORSIDE!$F$9,"")</f>
        <v/>
      </c>
      <c r="C1377" t="str">
        <f>IF(AND(FORSIDE!$B$8&gt;=20,FORSIDE!$F$8&gt;=5,FORSIDE!$B$5&gt;=0),20*FORSIDE!$B$9,"")</f>
        <v/>
      </c>
      <c r="D1377" t="str">
        <f>IF(AND(FORSIDE!$B$8&gt;=20,FORSIDE!$F$8&gt;=5,FORSIDE!$B$5&gt;=0),0,"")</f>
        <v/>
      </c>
    </row>
    <row r="1378" spans="1:4" x14ac:dyDescent="0.3">
      <c r="A1378" t="str">
        <f>IF(AND(FORSIDE!$B$8&gt;=20,FORSIDE!$F$8&gt;=5,FORSIDE!$B$5&gt;=1),1377,"")</f>
        <v/>
      </c>
      <c r="B1378" t="str">
        <f>IF(AND(FORSIDE!$B$8&gt;=20,FORSIDE!$F$8&gt;=5,FORSIDE!$B$5&gt;=1),354+5*FORSIDE!$F$9,"")</f>
        <v/>
      </c>
      <c r="C1378" t="str">
        <f>IF(AND(FORSIDE!$B$8&gt;=20,FORSIDE!$F$8&gt;=5,FORSIDE!$B$5&gt;=1),20*FORSIDE!$B$9,"")</f>
        <v/>
      </c>
      <c r="D1378" t="str">
        <f>IF(AND(FORSIDE!$B$8&gt;=20,FORSIDE!$F$8&gt;=5,FORSIDE!$B$5&gt;=1),FORSIDE!$B$6+(1-1)*FORSIDE!$B$7,"")</f>
        <v/>
      </c>
    </row>
    <row r="1379" spans="1:4" x14ac:dyDescent="0.3">
      <c r="A1379" t="str">
        <f>IF(AND(FORSIDE!$B$8&gt;=20,FORSIDE!$F$8&gt;=5,FORSIDE!$B$5&gt;=2),1378,"")</f>
        <v/>
      </c>
      <c r="B1379" t="str">
        <f>IF(AND(FORSIDE!$B$8&gt;=20,FORSIDE!$F$8&gt;=5,FORSIDE!$B$5&gt;=2),354+5*FORSIDE!$F$9,"")</f>
        <v/>
      </c>
      <c r="C1379" t="str">
        <f>IF(AND(FORSIDE!$B$8&gt;=20,FORSIDE!$F$8&gt;=5,FORSIDE!$B$5&gt;=2),20*FORSIDE!$B$9,"")</f>
        <v/>
      </c>
      <c r="D1379" t="str">
        <f>IF(AND(FORSIDE!$B$8&gt;=20,FORSIDE!$F$8&gt;=5,FORSIDE!$B$5&gt;=2),FORSIDE!$B$6+(2-1)*FORSIDE!$B$7,"")</f>
        <v/>
      </c>
    </row>
    <row r="1380" spans="1:4" x14ac:dyDescent="0.3">
      <c r="A1380" t="str">
        <f>IF(AND(FORSIDE!$B$8&gt;=20,FORSIDE!$F$8&gt;=5,FORSIDE!$B$5&gt;=3),1379,"")</f>
        <v/>
      </c>
      <c r="B1380" t="str">
        <f>IF(AND(FORSIDE!$B$8&gt;=20,FORSIDE!$F$8&gt;=5,FORSIDE!$B$5&gt;=3),354+5*FORSIDE!$F$9,"")</f>
        <v/>
      </c>
      <c r="C1380" t="str">
        <f>IF(AND(FORSIDE!$B$8&gt;=20,FORSIDE!$F$8&gt;=5,FORSIDE!$B$5&gt;=3),20*FORSIDE!$B$9,"")</f>
        <v/>
      </c>
      <c r="D1380" t="str">
        <f>IF(AND(FORSIDE!$B$8&gt;=20,FORSIDE!$F$8&gt;=5,FORSIDE!$B$5&gt;=3),FORSIDE!$B$6+(3-1)*FORSIDE!$B$7,"")</f>
        <v/>
      </c>
    </row>
    <row r="1381" spans="1:4" x14ac:dyDescent="0.3">
      <c r="A1381" t="str">
        <f>IF(AND(FORSIDE!$B$8&gt;=20,FORSIDE!$F$8&gt;=5,FORSIDE!$B$5&gt;=4),1380,"")</f>
        <v/>
      </c>
      <c r="B1381" t="str">
        <f>IF(AND(FORSIDE!$B$8&gt;=20,FORSIDE!$F$8&gt;=5,FORSIDE!$B$5&gt;=4),354+5*FORSIDE!$F$9,"")</f>
        <v/>
      </c>
      <c r="C1381" t="str">
        <f>IF(AND(FORSIDE!$B$8&gt;=20,FORSIDE!$F$8&gt;=5,FORSIDE!$B$5&gt;=4),20*FORSIDE!$B$9,"")</f>
        <v/>
      </c>
      <c r="D1381" t="str">
        <f>IF(AND(FORSIDE!$B$8&gt;=20,FORSIDE!$F$8&gt;=5,FORSIDE!$B$5&gt;=4),FORSIDE!$B$6+(4-1)*FORSIDE!$B$7,"")</f>
        <v/>
      </c>
    </row>
    <row r="1382" spans="1:4" x14ac:dyDescent="0.3">
      <c r="A1382" t="str">
        <f>IF(AND(FORSIDE!$B$8&gt;=20,FORSIDE!$F$8&gt;=5,FORSIDE!$B$5&gt;=5),1381,"")</f>
        <v/>
      </c>
      <c r="B1382" t="str">
        <f>IF(AND(FORSIDE!$B$8&gt;=20,FORSIDE!$F$8&gt;=5,FORSIDE!$B$5&gt;=5),354+5*FORSIDE!$F$9,"")</f>
        <v/>
      </c>
      <c r="C1382" t="str">
        <f>IF(AND(FORSIDE!$B$8&gt;=20,FORSIDE!$F$8&gt;=5,FORSIDE!$B$5&gt;=5),20*FORSIDE!$B$9,"")</f>
        <v/>
      </c>
      <c r="D1382" t="str">
        <f>IF(AND(FORSIDE!$B$8&gt;=20,FORSIDE!$F$8&gt;=5,FORSIDE!$B$5&gt;=5),FORSIDE!$B$6+(5-1)*FORSIDE!$B$7,"")</f>
        <v/>
      </c>
    </row>
    <row r="1383" spans="1:4" x14ac:dyDescent="0.3">
      <c r="A1383" t="str">
        <f>IF(AND(FORSIDE!$B$8&gt;=20,FORSIDE!$F$8&gt;=5,FORSIDE!$B$5&gt;=6),1382,"")</f>
        <v/>
      </c>
      <c r="B1383" t="str">
        <f>IF(AND(FORSIDE!$B$8&gt;=20,FORSIDE!$F$8&gt;=5,FORSIDE!$B$5&gt;=6),354+5*FORSIDE!$F$9,"")</f>
        <v/>
      </c>
      <c r="C1383" t="str">
        <f>IF(AND(FORSIDE!$B$8&gt;=20,FORSIDE!$F$8&gt;=5,FORSIDE!$B$5&gt;=6),20*FORSIDE!$B$9,"")</f>
        <v/>
      </c>
      <c r="D1383" t="str">
        <f>IF(AND(FORSIDE!$B$8&gt;=20,FORSIDE!$F$8&gt;=5,FORSIDE!$B$5&gt;=6),FORSIDE!$B$6+(6-1)*FORSIDE!$B$7,"")</f>
        <v/>
      </c>
    </row>
    <row r="1384" spans="1:4" x14ac:dyDescent="0.3">
      <c r="A1384" t="str">
        <f>IF(AND(FORSIDE!$B$8&gt;=20,FORSIDE!$F$8&gt;=5,FORSIDE!$B$5&gt;=7),1383,"")</f>
        <v/>
      </c>
      <c r="B1384" t="str">
        <f>IF(AND(FORSIDE!$B$8&gt;=20,FORSIDE!$F$8&gt;=5,FORSIDE!$B$5&gt;=7),354+5*FORSIDE!$F$9,"")</f>
        <v/>
      </c>
      <c r="C1384" t="str">
        <f>IF(AND(FORSIDE!$B$8&gt;=20,FORSIDE!$F$8&gt;=5,FORSIDE!$B$5&gt;=7),20*FORSIDE!$B$9,"")</f>
        <v/>
      </c>
      <c r="D1384" t="str">
        <f>IF(AND(FORSIDE!$B$8&gt;=20,FORSIDE!$F$8&gt;=5,FORSIDE!$B$5&gt;=7),FORSIDE!$B$6+(7-1)*FORSIDE!$B$7,"")</f>
        <v/>
      </c>
    </row>
    <row r="1385" spans="1:4" x14ac:dyDescent="0.3">
      <c r="A1385" t="str">
        <f>IF(AND(FORSIDE!$B$8&gt;=20,FORSIDE!$F$8&gt;=5,FORSIDE!$B$5&gt;=8),1384,"")</f>
        <v/>
      </c>
      <c r="B1385" t="str">
        <f>IF(AND(FORSIDE!$B$8&gt;=20,FORSIDE!$F$8&gt;=5,FORSIDE!$B$5&gt;=8),354+5*FORSIDE!$F$9,"")</f>
        <v/>
      </c>
      <c r="C1385" t="str">
        <f>IF(AND(FORSIDE!$B$8&gt;=20,FORSIDE!$F$8&gt;=5,FORSIDE!$B$5&gt;=8),20*FORSIDE!$B$9,"")</f>
        <v/>
      </c>
      <c r="D1385" t="str">
        <f>IF(AND(FORSIDE!$B$8&gt;=20,FORSIDE!$F$8&gt;=5,FORSIDE!$B$5&gt;=8),FORSIDE!$B$6+(8-1)*FORSIDE!$B$7,"")</f>
        <v/>
      </c>
    </row>
    <row r="1386" spans="1:4" x14ac:dyDescent="0.3">
      <c r="A1386" t="str">
        <f>IF(AND(FORSIDE!$B$8&gt;=20,FORSIDE!$F$8&gt;=5,FORSIDE!$B$5&gt;=9),1385,"")</f>
        <v/>
      </c>
      <c r="B1386" t="str">
        <f>IF(AND(FORSIDE!$B$8&gt;=20,FORSIDE!$F$8&gt;=5,FORSIDE!$B$5&gt;=9),354+5*FORSIDE!$F$9,"")</f>
        <v/>
      </c>
      <c r="C1386" t="str">
        <f>IF(AND(FORSIDE!$B$8&gt;=20,FORSIDE!$F$8&gt;=5,FORSIDE!$B$5&gt;=9),20*FORSIDE!$B$9,"")</f>
        <v/>
      </c>
      <c r="D1386" t="str">
        <f>IF(AND(FORSIDE!$B$8&gt;=20,FORSIDE!$F$8&gt;=5,FORSIDE!$B$5&gt;=9),FORSIDE!$B$6+(9-1)*FORSIDE!$B$7,"")</f>
        <v/>
      </c>
    </row>
    <row r="1387" spans="1:4" x14ac:dyDescent="0.3">
      <c r="A1387" t="str">
        <f>IF(AND(FORSIDE!$B$8&gt;=20,FORSIDE!$F$8&gt;=5,FORSIDE!$B$5&gt;=10),1386,"")</f>
        <v/>
      </c>
      <c r="B1387" t="str">
        <f>IF(AND(FORSIDE!$B$8&gt;=20,FORSIDE!$F$8&gt;=5,FORSIDE!$B$5&gt;=10),354+5*FORSIDE!$F$9,"")</f>
        <v/>
      </c>
      <c r="C1387" t="str">
        <f>IF(AND(FORSIDE!$B$8&gt;=20,FORSIDE!$F$8&gt;=5,FORSIDE!$B$5&gt;=10),20*FORSIDE!$B$9,"")</f>
        <v/>
      </c>
      <c r="D1387" t="str">
        <f>IF(AND(FORSIDE!$B$8&gt;=20,FORSIDE!$F$8&gt;=5,FORSIDE!$B$5&gt;=10),FORSIDE!$B$6+(10-1)*FORSIDE!$B$7,"")</f>
        <v/>
      </c>
    </row>
    <row r="1388" spans="1:4" x14ac:dyDescent="0.3">
      <c r="A1388" t="str">
        <f>IF(AND(FORSIDE!$B$8&gt;=0,FORSIDE!$F$8&gt;=6,FORSIDE!$B$5&gt;=0),1387,"")</f>
        <v/>
      </c>
      <c r="B1388" t="str">
        <f>IF(AND(FORSIDE!$B$8&gt;=0,FORSIDE!$F$8&gt;=6,FORSIDE!$B$5&gt;=0),354+6*FORSIDE!$F$9,"")</f>
        <v/>
      </c>
      <c r="C1388" t="str">
        <f>IF(AND(FORSIDE!$B$8&gt;=0,FORSIDE!$F$8&gt;=6,FORSIDE!$B$5&gt;=0),0*FORSIDE!$B$9,"")</f>
        <v/>
      </c>
      <c r="D1388" t="str">
        <f>IF(AND(FORSIDE!$B$8&gt;=0,FORSIDE!$F$8&gt;=6,FORSIDE!$B$5&gt;=0),0,"")</f>
        <v/>
      </c>
    </row>
    <row r="1389" spans="1:4" x14ac:dyDescent="0.3">
      <c r="A1389" t="str">
        <f>IF(AND(FORSIDE!$B$8&gt;=0,FORSIDE!$F$8&gt;=6,FORSIDE!$B$5&gt;=1),1388,"")</f>
        <v/>
      </c>
      <c r="B1389" t="str">
        <f>IF(AND(FORSIDE!$B$8&gt;=0,FORSIDE!$F$8&gt;=6,FORSIDE!$B$5&gt;=1),354+6*FORSIDE!$F$9,"")</f>
        <v/>
      </c>
      <c r="C1389" t="str">
        <f>IF(AND(FORSIDE!$B$8&gt;=0,FORSIDE!$F$8&gt;=6,FORSIDE!$B$5&gt;=1),0*FORSIDE!$B$9,"")</f>
        <v/>
      </c>
      <c r="D1389" t="str">
        <f>IF(AND(FORSIDE!$B$8&gt;=0,FORSIDE!$F$8&gt;=6,FORSIDE!$B$5&gt;=1),FORSIDE!$B$6+(1-1)*FORSIDE!$B$7,"")</f>
        <v/>
      </c>
    </row>
    <row r="1390" spans="1:4" x14ac:dyDescent="0.3">
      <c r="A1390" t="str">
        <f>IF(AND(FORSIDE!$B$8&gt;=0,FORSIDE!$F$8&gt;=6,FORSIDE!$B$5&gt;=2),1389,"")</f>
        <v/>
      </c>
      <c r="B1390" t="str">
        <f>IF(AND(FORSIDE!$B$8&gt;=0,FORSIDE!$F$8&gt;=6,FORSIDE!$B$5&gt;=2),354+6*FORSIDE!$F$9,"")</f>
        <v/>
      </c>
      <c r="C1390" t="str">
        <f>IF(AND(FORSIDE!$B$8&gt;=0,FORSIDE!$F$8&gt;=6,FORSIDE!$B$5&gt;=2),0*FORSIDE!$B$9,"")</f>
        <v/>
      </c>
      <c r="D1390" t="str">
        <f>IF(AND(FORSIDE!$B$8&gt;=0,FORSIDE!$F$8&gt;=6,FORSIDE!$B$5&gt;=2),FORSIDE!$B$6+(2-1)*FORSIDE!$B$7,"")</f>
        <v/>
      </c>
    </row>
    <row r="1391" spans="1:4" x14ac:dyDescent="0.3">
      <c r="A1391" t="str">
        <f>IF(AND(FORSIDE!$B$8&gt;=0,FORSIDE!$F$8&gt;=6,FORSIDE!$B$5&gt;=3),1390,"")</f>
        <v/>
      </c>
      <c r="B1391" t="str">
        <f>IF(AND(FORSIDE!$B$8&gt;=0,FORSIDE!$F$8&gt;=6,FORSIDE!$B$5&gt;=3),354+6*FORSIDE!$F$9,"")</f>
        <v/>
      </c>
      <c r="C1391" t="str">
        <f>IF(AND(FORSIDE!$B$8&gt;=0,FORSIDE!$F$8&gt;=6,FORSIDE!$B$5&gt;=3),0*FORSIDE!$B$9,"")</f>
        <v/>
      </c>
      <c r="D1391" t="str">
        <f>IF(AND(FORSIDE!$B$8&gt;=0,FORSIDE!$F$8&gt;=6,FORSIDE!$B$5&gt;=3),FORSIDE!$B$6+(3-1)*FORSIDE!$B$7,"")</f>
        <v/>
      </c>
    </row>
    <row r="1392" spans="1:4" x14ac:dyDescent="0.3">
      <c r="A1392" t="str">
        <f>IF(AND(FORSIDE!$B$8&gt;=0,FORSIDE!$F$8&gt;=6,FORSIDE!$B$5&gt;=4),1391,"")</f>
        <v/>
      </c>
      <c r="B1392" t="str">
        <f>IF(AND(FORSIDE!$B$8&gt;=0,FORSIDE!$F$8&gt;=6,FORSIDE!$B$5&gt;=4),354+6*FORSIDE!$F$9,"")</f>
        <v/>
      </c>
      <c r="C1392" t="str">
        <f>IF(AND(FORSIDE!$B$8&gt;=0,FORSIDE!$F$8&gt;=6,FORSIDE!$B$5&gt;=4),0*FORSIDE!$B$9,"")</f>
        <v/>
      </c>
      <c r="D1392" t="str">
        <f>IF(AND(FORSIDE!$B$8&gt;=0,FORSIDE!$F$8&gt;=6,FORSIDE!$B$5&gt;=4),FORSIDE!$B$6+(4-1)*FORSIDE!$B$7,"")</f>
        <v/>
      </c>
    </row>
    <row r="1393" spans="1:4" x14ac:dyDescent="0.3">
      <c r="A1393" t="str">
        <f>IF(AND(FORSIDE!$B$8&gt;=0,FORSIDE!$F$8&gt;=6,FORSIDE!$B$5&gt;=5),1392,"")</f>
        <v/>
      </c>
      <c r="B1393" t="str">
        <f>IF(AND(FORSIDE!$B$8&gt;=0,FORSIDE!$F$8&gt;=6,FORSIDE!$B$5&gt;=5),354+6*FORSIDE!$F$9,"")</f>
        <v/>
      </c>
      <c r="C1393" t="str">
        <f>IF(AND(FORSIDE!$B$8&gt;=0,FORSIDE!$F$8&gt;=6,FORSIDE!$B$5&gt;=5),0*FORSIDE!$B$9,"")</f>
        <v/>
      </c>
      <c r="D1393" t="str">
        <f>IF(AND(FORSIDE!$B$8&gt;=0,FORSIDE!$F$8&gt;=6,FORSIDE!$B$5&gt;=5),FORSIDE!$B$6+(5-1)*FORSIDE!$B$7,"")</f>
        <v/>
      </c>
    </row>
    <row r="1394" spans="1:4" x14ac:dyDescent="0.3">
      <c r="A1394" t="str">
        <f>IF(AND(FORSIDE!$B$8&gt;=0,FORSIDE!$F$8&gt;=6,FORSIDE!$B$5&gt;=6),1393,"")</f>
        <v/>
      </c>
      <c r="B1394" t="str">
        <f>IF(AND(FORSIDE!$B$8&gt;=0,FORSIDE!$F$8&gt;=6,FORSIDE!$B$5&gt;=6),354+6*FORSIDE!$F$9,"")</f>
        <v/>
      </c>
      <c r="C1394" t="str">
        <f>IF(AND(FORSIDE!$B$8&gt;=0,FORSIDE!$F$8&gt;=6,FORSIDE!$B$5&gt;=6),0*FORSIDE!$B$9,"")</f>
        <v/>
      </c>
      <c r="D1394" t="str">
        <f>IF(AND(FORSIDE!$B$8&gt;=0,FORSIDE!$F$8&gt;=6,FORSIDE!$B$5&gt;=6),FORSIDE!$B$6+(6-1)*FORSIDE!$B$7,"")</f>
        <v/>
      </c>
    </row>
    <row r="1395" spans="1:4" x14ac:dyDescent="0.3">
      <c r="A1395" t="str">
        <f>IF(AND(FORSIDE!$B$8&gt;=0,FORSIDE!$F$8&gt;=6,FORSIDE!$B$5&gt;=7),1394,"")</f>
        <v/>
      </c>
      <c r="B1395" t="str">
        <f>IF(AND(FORSIDE!$B$8&gt;=0,FORSIDE!$F$8&gt;=6,FORSIDE!$B$5&gt;=7),354+6*FORSIDE!$F$9,"")</f>
        <v/>
      </c>
      <c r="C1395" t="str">
        <f>IF(AND(FORSIDE!$B$8&gt;=0,FORSIDE!$F$8&gt;=6,FORSIDE!$B$5&gt;=7),0*FORSIDE!$B$9,"")</f>
        <v/>
      </c>
      <c r="D1395" t="str">
        <f>IF(AND(FORSIDE!$B$8&gt;=0,FORSIDE!$F$8&gt;=6,FORSIDE!$B$5&gt;=7),FORSIDE!$B$6+(7-1)*FORSIDE!$B$7,"")</f>
        <v/>
      </c>
    </row>
    <row r="1396" spans="1:4" x14ac:dyDescent="0.3">
      <c r="A1396" t="str">
        <f>IF(AND(FORSIDE!$B$8&gt;=0,FORSIDE!$F$8&gt;=6,FORSIDE!$B$5&gt;=8),1395,"")</f>
        <v/>
      </c>
      <c r="B1396" t="str">
        <f>IF(AND(FORSIDE!$B$8&gt;=0,FORSIDE!$F$8&gt;=6,FORSIDE!$B$5&gt;=8),354+6*FORSIDE!$F$9,"")</f>
        <v/>
      </c>
      <c r="C1396" t="str">
        <f>IF(AND(FORSIDE!$B$8&gt;=0,FORSIDE!$F$8&gt;=6,FORSIDE!$B$5&gt;=8),0*FORSIDE!$B$9,"")</f>
        <v/>
      </c>
      <c r="D1396" t="str">
        <f>IF(AND(FORSIDE!$B$8&gt;=0,FORSIDE!$F$8&gt;=6,FORSIDE!$B$5&gt;=8),FORSIDE!$B$6+(8-1)*FORSIDE!$B$7,"")</f>
        <v/>
      </c>
    </row>
    <row r="1397" spans="1:4" x14ac:dyDescent="0.3">
      <c r="A1397" t="str">
        <f>IF(AND(FORSIDE!$B$8&gt;=0,FORSIDE!$F$8&gt;=6,FORSIDE!$B$5&gt;=9),1396,"")</f>
        <v/>
      </c>
      <c r="B1397" t="str">
        <f>IF(AND(FORSIDE!$B$8&gt;=0,FORSIDE!$F$8&gt;=6,FORSIDE!$B$5&gt;=9),354+6*FORSIDE!$F$9,"")</f>
        <v/>
      </c>
      <c r="C1397" t="str">
        <f>IF(AND(FORSIDE!$B$8&gt;=0,FORSIDE!$F$8&gt;=6,FORSIDE!$B$5&gt;=9),0*FORSIDE!$B$9,"")</f>
        <v/>
      </c>
      <c r="D1397" t="str">
        <f>IF(AND(FORSIDE!$B$8&gt;=0,FORSIDE!$F$8&gt;=6,FORSIDE!$B$5&gt;=9),FORSIDE!$B$6+(9-1)*FORSIDE!$B$7,"")</f>
        <v/>
      </c>
    </row>
    <row r="1398" spans="1:4" x14ac:dyDescent="0.3">
      <c r="A1398" t="str">
        <f>IF(AND(FORSIDE!$B$8&gt;=0,FORSIDE!$F$8&gt;=6,FORSIDE!$B$5&gt;=10),1397,"")</f>
        <v/>
      </c>
      <c r="B1398" t="str">
        <f>IF(AND(FORSIDE!$B$8&gt;=0,FORSIDE!$F$8&gt;=6,FORSIDE!$B$5&gt;=10),354+6*FORSIDE!$F$9,"")</f>
        <v/>
      </c>
      <c r="C1398" t="str">
        <f>IF(AND(FORSIDE!$B$8&gt;=0,FORSIDE!$F$8&gt;=6,FORSIDE!$B$5&gt;=10),0*FORSIDE!$B$9,"")</f>
        <v/>
      </c>
      <c r="D1398" t="str">
        <f>IF(AND(FORSIDE!$B$8&gt;=0,FORSIDE!$F$8&gt;=6,FORSIDE!$B$5&gt;=10),FORSIDE!$B$6+(10-1)*FORSIDE!$B$7,"")</f>
        <v/>
      </c>
    </row>
    <row r="1399" spans="1:4" x14ac:dyDescent="0.3">
      <c r="A1399" t="str">
        <f>IF(AND(FORSIDE!$B$8&gt;=1,FORSIDE!$F$8&gt;=6,FORSIDE!$B$5&gt;=0),1398,"")</f>
        <v/>
      </c>
      <c r="B1399" t="str">
        <f>IF(AND(FORSIDE!$B$8&gt;=1,FORSIDE!$F$8&gt;=6,FORSIDE!$B$5&gt;=0),354+6*FORSIDE!$F$9,"")</f>
        <v/>
      </c>
      <c r="C1399" t="str">
        <f>IF(AND(FORSIDE!$B$8&gt;=1,FORSIDE!$F$8&gt;=6,FORSIDE!$B$5&gt;=0),1*FORSIDE!$B$9,"")</f>
        <v/>
      </c>
      <c r="D1399" t="str">
        <f>IF(AND(FORSIDE!$B$8&gt;=1,FORSIDE!$F$8&gt;=6,FORSIDE!$B$5&gt;=0),0,"")</f>
        <v/>
      </c>
    </row>
    <row r="1400" spans="1:4" x14ac:dyDescent="0.3">
      <c r="A1400" t="str">
        <f>IF(AND(FORSIDE!$B$8&gt;=1,FORSIDE!$F$8&gt;=6,FORSIDE!$B$5&gt;=1),1399,"")</f>
        <v/>
      </c>
      <c r="B1400" t="str">
        <f>IF(AND(FORSIDE!$B$8&gt;=1,FORSIDE!$F$8&gt;=6,FORSIDE!$B$5&gt;=1),354+6*FORSIDE!$F$9,"")</f>
        <v/>
      </c>
      <c r="C1400" t="str">
        <f>IF(AND(FORSIDE!$B$8&gt;=1,FORSIDE!$F$8&gt;=6,FORSIDE!$B$5&gt;=1),1*FORSIDE!$B$9,"")</f>
        <v/>
      </c>
      <c r="D1400" t="str">
        <f>IF(AND(FORSIDE!$B$8&gt;=1,FORSIDE!$F$8&gt;=6,FORSIDE!$B$5&gt;=1),FORSIDE!$B$6+(1-1)*FORSIDE!$B$7,"")</f>
        <v/>
      </c>
    </row>
    <row r="1401" spans="1:4" x14ac:dyDescent="0.3">
      <c r="A1401" t="str">
        <f>IF(AND(FORSIDE!$B$8&gt;=1,FORSIDE!$F$8&gt;=6,FORSIDE!$B$5&gt;=2),1400,"")</f>
        <v/>
      </c>
      <c r="B1401" t="str">
        <f>IF(AND(FORSIDE!$B$8&gt;=1,FORSIDE!$F$8&gt;=6,FORSIDE!$B$5&gt;=2),354+6*FORSIDE!$F$9,"")</f>
        <v/>
      </c>
      <c r="C1401" t="str">
        <f>IF(AND(FORSIDE!$B$8&gt;=1,FORSIDE!$F$8&gt;=6,FORSIDE!$B$5&gt;=2),1*FORSIDE!$B$9,"")</f>
        <v/>
      </c>
      <c r="D1401" t="str">
        <f>IF(AND(FORSIDE!$B$8&gt;=1,FORSIDE!$F$8&gt;=6,FORSIDE!$B$5&gt;=2),FORSIDE!$B$6+(2-1)*FORSIDE!$B$7,"")</f>
        <v/>
      </c>
    </row>
    <row r="1402" spans="1:4" x14ac:dyDescent="0.3">
      <c r="A1402" t="str">
        <f>IF(AND(FORSIDE!$B$8&gt;=1,FORSIDE!$F$8&gt;=6,FORSIDE!$B$5&gt;=3),1401,"")</f>
        <v/>
      </c>
      <c r="B1402" t="str">
        <f>IF(AND(FORSIDE!$B$8&gt;=1,FORSIDE!$F$8&gt;=6,FORSIDE!$B$5&gt;=3),354+6*FORSIDE!$F$9,"")</f>
        <v/>
      </c>
      <c r="C1402" t="str">
        <f>IF(AND(FORSIDE!$B$8&gt;=1,FORSIDE!$F$8&gt;=6,FORSIDE!$B$5&gt;=3),1*FORSIDE!$B$9,"")</f>
        <v/>
      </c>
      <c r="D1402" t="str">
        <f>IF(AND(FORSIDE!$B$8&gt;=1,FORSIDE!$F$8&gt;=6,FORSIDE!$B$5&gt;=3),FORSIDE!$B$6+(3-1)*FORSIDE!$B$7,"")</f>
        <v/>
      </c>
    </row>
    <row r="1403" spans="1:4" x14ac:dyDescent="0.3">
      <c r="A1403" t="str">
        <f>IF(AND(FORSIDE!$B$8&gt;=1,FORSIDE!$F$8&gt;=6,FORSIDE!$B$5&gt;=4),1402,"")</f>
        <v/>
      </c>
      <c r="B1403" t="str">
        <f>IF(AND(FORSIDE!$B$8&gt;=1,FORSIDE!$F$8&gt;=6,FORSIDE!$B$5&gt;=4),354+6*FORSIDE!$F$9,"")</f>
        <v/>
      </c>
      <c r="C1403" t="str">
        <f>IF(AND(FORSIDE!$B$8&gt;=1,FORSIDE!$F$8&gt;=6,FORSIDE!$B$5&gt;=4),1*FORSIDE!$B$9,"")</f>
        <v/>
      </c>
      <c r="D1403" t="str">
        <f>IF(AND(FORSIDE!$B$8&gt;=1,FORSIDE!$F$8&gt;=6,FORSIDE!$B$5&gt;=4),FORSIDE!$B$6+(4-1)*FORSIDE!$B$7,"")</f>
        <v/>
      </c>
    </row>
    <row r="1404" spans="1:4" x14ac:dyDescent="0.3">
      <c r="A1404" t="str">
        <f>IF(AND(FORSIDE!$B$8&gt;=1,FORSIDE!$F$8&gt;=6,FORSIDE!$B$5&gt;=5),1403,"")</f>
        <v/>
      </c>
      <c r="B1404" t="str">
        <f>IF(AND(FORSIDE!$B$8&gt;=1,FORSIDE!$F$8&gt;=6,FORSIDE!$B$5&gt;=5),354+6*FORSIDE!$F$9,"")</f>
        <v/>
      </c>
      <c r="C1404" t="str">
        <f>IF(AND(FORSIDE!$B$8&gt;=1,FORSIDE!$F$8&gt;=6,FORSIDE!$B$5&gt;=5),1*FORSIDE!$B$9,"")</f>
        <v/>
      </c>
      <c r="D1404" t="str">
        <f>IF(AND(FORSIDE!$B$8&gt;=1,FORSIDE!$F$8&gt;=6,FORSIDE!$B$5&gt;=5),FORSIDE!$B$6+(5-1)*FORSIDE!$B$7,"")</f>
        <v/>
      </c>
    </row>
    <row r="1405" spans="1:4" x14ac:dyDescent="0.3">
      <c r="A1405" t="str">
        <f>IF(AND(FORSIDE!$B$8&gt;=1,FORSIDE!$F$8&gt;=6,FORSIDE!$B$5&gt;=6),1404,"")</f>
        <v/>
      </c>
      <c r="B1405" t="str">
        <f>IF(AND(FORSIDE!$B$8&gt;=1,FORSIDE!$F$8&gt;=6,FORSIDE!$B$5&gt;=6),354+6*FORSIDE!$F$9,"")</f>
        <v/>
      </c>
      <c r="C1405" t="str">
        <f>IF(AND(FORSIDE!$B$8&gt;=1,FORSIDE!$F$8&gt;=6,FORSIDE!$B$5&gt;=6),1*FORSIDE!$B$9,"")</f>
        <v/>
      </c>
      <c r="D1405" t="str">
        <f>IF(AND(FORSIDE!$B$8&gt;=1,FORSIDE!$F$8&gt;=6,FORSIDE!$B$5&gt;=6),FORSIDE!$B$6+(6-1)*FORSIDE!$B$7,"")</f>
        <v/>
      </c>
    </row>
    <row r="1406" spans="1:4" x14ac:dyDescent="0.3">
      <c r="A1406" t="str">
        <f>IF(AND(FORSIDE!$B$8&gt;=1,FORSIDE!$F$8&gt;=6,FORSIDE!$B$5&gt;=7),1405,"")</f>
        <v/>
      </c>
      <c r="B1406" t="str">
        <f>IF(AND(FORSIDE!$B$8&gt;=1,FORSIDE!$F$8&gt;=6,FORSIDE!$B$5&gt;=7),354+6*FORSIDE!$F$9,"")</f>
        <v/>
      </c>
      <c r="C1406" t="str">
        <f>IF(AND(FORSIDE!$B$8&gt;=1,FORSIDE!$F$8&gt;=6,FORSIDE!$B$5&gt;=7),1*FORSIDE!$B$9,"")</f>
        <v/>
      </c>
      <c r="D1406" t="str">
        <f>IF(AND(FORSIDE!$B$8&gt;=1,FORSIDE!$F$8&gt;=6,FORSIDE!$B$5&gt;=7),FORSIDE!$B$6+(7-1)*FORSIDE!$B$7,"")</f>
        <v/>
      </c>
    </row>
    <row r="1407" spans="1:4" x14ac:dyDescent="0.3">
      <c r="A1407" t="str">
        <f>IF(AND(FORSIDE!$B$8&gt;=1,FORSIDE!$F$8&gt;=6,FORSIDE!$B$5&gt;=8),1406,"")</f>
        <v/>
      </c>
      <c r="B1407" t="str">
        <f>IF(AND(FORSIDE!$B$8&gt;=1,FORSIDE!$F$8&gt;=6,FORSIDE!$B$5&gt;=8),354+6*FORSIDE!$F$9,"")</f>
        <v/>
      </c>
      <c r="C1407" t="str">
        <f>IF(AND(FORSIDE!$B$8&gt;=1,FORSIDE!$F$8&gt;=6,FORSIDE!$B$5&gt;=8),1*FORSIDE!$B$9,"")</f>
        <v/>
      </c>
      <c r="D1407" t="str">
        <f>IF(AND(FORSIDE!$B$8&gt;=1,FORSIDE!$F$8&gt;=6,FORSIDE!$B$5&gt;=8),FORSIDE!$B$6+(8-1)*FORSIDE!$B$7,"")</f>
        <v/>
      </c>
    </row>
    <row r="1408" spans="1:4" x14ac:dyDescent="0.3">
      <c r="A1408" t="str">
        <f>IF(AND(FORSIDE!$B$8&gt;=1,FORSIDE!$F$8&gt;=6,FORSIDE!$B$5&gt;=9),1407,"")</f>
        <v/>
      </c>
      <c r="B1408" t="str">
        <f>IF(AND(FORSIDE!$B$8&gt;=1,FORSIDE!$F$8&gt;=6,FORSIDE!$B$5&gt;=9),354+6*FORSIDE!$F$9,"")</f>
        <v/>
      </c>
      <c r="C1408" t="str">
        <f>IF(AND(FORSIDE!$B$8&gt;=1,FORSIDE!$F$8&gt;=6,FORSIDE!$B$5&gt;=9),1*FORSIDE!$B$9,"")</f>
        <v/>
      </c>
      <c r="D1408" t="str">
        <f>IF(AND(FORSIDE!$B$8&gt;=1,FORSIDE!$F$8&gt;=6,FORSIDE!$B$5&gt;=9),FORSIDE!$B$6+(9-1)*FORSIDE!$B$7,"")</f>
        <v/>
      </c>
    </row>
    <row r="1409" spans="1:4" x14ac:dyDescent="0.3">
      <c r="A1409" t="str">
        <f>IF(AND(FORSIDE!$B$8&gt;=1,FORSIDE!$F$8&gt;=6,FORSIDE!$B$5&gt;=10),1408,"")</f>
        <v/>
      </c>
      <c r="B1409" t="str">
        <f>IF(AND(FORSIDE!$B$8&gt;=1,FORSIDE!$F$8&gt;=6,FORSIDE!$B$5&gt;=10),354+6*FORSIDE!$F$9,"")</f>
        <v/>
      </c>
      <c r="C1409" t="str">
        <f>IF(AND(FORSIDE!$B$8&gt;=1,FORSIDE!$F$8&gt;=6,FORSIDE!$B$5&gt;=10),1*FORSIDE!$B$9,"")</f>
        <v/>
      </c>
      <c r="D1409" t="str">
        <f>IF(AND(FORSIDE!$B$8&gt;=1,FORSIDE!$F$8&gt;=6,FORSIDE!$B$5&gt;=10),FORSIDE!$B$6+(10-1)*FORSIDE!$B$7,"")</f>
        <v/>
      </c>
    </row>
    <row r="1410" spans="1:4" x14ac:dyDescent="0.3">
      <c r="A1410" t="str">
        <f>IF(AND(FORSIDE!$B$8&gt;=2,FORSIDE!$F$8&gt;=6,FORSIDE!$B$5&gt;=0),1409,"")</f>
        <v/>
      </c>
      <c r="B1410" t="str">
        <f>IF(AND(FORSIDE!$B$8&gt;=2,FORSIDE!$F$8&gt;=6,FORSIDE!$B$5&gt;=0),354+6*FORSIDE!$F$9,"")</f>
        <v/>
      </c>
      <c r="C1410" t="str">
        <f>IF(AND(FORSIDE!$B$8&gt;=2,FORSIDE!$F$8&gt;=6,FORSIDE!$B$5&gt;=0),2*FORSIDE!$B$9,"")</f>
        <v/>
      </c>
      <c r="D1410" t="str">
        <f>IF(AND(FORSIDE!$B$8&gt;=2,FORSIDE!$F$8&gt;=6,FORSIDE!$B$5&gt;=0),0,"")</f>
        <v/>
      </c>
    </row>
    <row r="1411" spans="1:4" x14ac:dyDescent="0.3">
      <c r="A1411" t="str">
        <f>IF(AND(FORSIDE!$B$8&gt;=2,FORSIDE!$F$8&gt;=6,FORSIDE!$B$5&gt;=1),1410,"")</f>
        <v/>
      </c>
      <c r="B1411" t="str">
        <f>IF(AND(FORSIDE!$B$8&gt;=2,FORSIDE!$F$8&gt;=6,FORSIDE!$B$5&gt;=1),354+6*FORSIDE!$F$9,"")</f>
        <v/>
      </c>
      <c r="C1411" t="str">
        <f>IF(AND(FORSIDE!$B$8&gt;=2,FORSIDE!$F$8&gt;=6,FORSIDE!$B$5&gt;=1),2*FORSIDE!$B$9,"")</f>
        <v/>
      </c>
      <c r="D1411" t="str">
        <f>IF(AND(FORSIDE!$B$8&gt;=2,FORSIDE!$F$8&gt;=6,FORSIDE!$B$5&gt;=1),FORSIDE!$B$6+(1-1)*FORSIDE!$B$7,"")</f>
        <v/>
      </c>
    </row>
    <row r="1412" spans="1:4" x14ac:dyDescent="0.3">
      <c r="A1412" t="str">
        <f>IF(AND(FORSIDE!$B$8&gt;=2,FORSIDE!$F$8&gt;=6,FORSIDE!$B$5&gt;=2),1411,"")</f>
        <v/>
      </c>
      <c r="B1412" t="str">
        <f>IF(AND(FORSIDE!$B$8&gt;=2,FORSIDE!$F$8&gt;=6,FORSIDE!$B$5&gt;=2),354+6*FORSIDE!$F$9,"")</f>
        <v/>
      </c>
      <c r="C1412" t="str">
        <f>IF(AND(FORSIDE!$B$8&gt;=2,FORSIDE!$F$8&gt;=6,FORSIDE!$B$5&gt;=2),2*FORSIDE!$B$9,"")</f>
        <v/>
      </c>
      <c r="D1412" t="str">
        <f>IF(AND(FORSIDE!$B$8&gt;=2,FORSIDE!$F$8&gt;=6,FORSIDE!$B$5&gt;=2),FORSIDE!$B$6+(2-1)*FORSIDE!$B$7,"")</f>
        <v/>
      </c>
    </row>
    <row r="1413" spans="1:4" x14ac:dyDescent="0.3">
      <c r="A1413" t="str">
        <f>IF(AND(FORSIDE!$B$8&gt;=2,FORSIDE!$F$8&gt;=6,FORSIDE!$B$5&gt;=3),1412,"")</f>
        <v/>
      </c>
      <c r="B1413" t="str">
        <f>IF(AND(FORSIDE!$B$8&gt;=2,FORSIDE!$F$8&gt;=6,FORSIDE!$B$5&gt;=3),354+6*FORSIDE!$F$9,"")</f>
        <v/>
      </c>
      <c r="C1413" t="str">
        <f>IF(AND(FORSIDE!$B$8&gt;=2,FORSIDE!$F$8&gt;=6,FORSIDE!$B$5&gt;=3),2*FORSIDE!$B$9,"")</f>
        <v/>
      </c>
      <c r="D1413" t="str">
        <f>IF(AND(FORSIDE!$B$8&gt;=2,FORSIDE!$F$8&gt;=6,FORSIDE!$B$5&gt;=3),FORSIDE!$B$6+(3-1)*FORSIDE!$B$7,"")</f>
        <v/>
      </c>
    </row>
    <row r="1414" spans="1:4" x14ac:dyDescent="0.3">
      <c r="A1414" t="str">
        <f>IF(AND(FORSIDE!$B$8&gt;=2,FORSIDE!$F$8&gt;=6,FORSIDE!$B$5&gt;=4),1413,"")</f>
        <v/>
      </c>
      <c r="B1414" t="str">
        <f>IF(AND(FORSIDE!$B$8&gt;=2,FORSIDE!$F$8&gt;=6,FORSIDE!$B$5&gt;=4),354+6*FORSIDE!$F$9,"")</f>
        <v/>
      </c>
      <c r="C1414" t="str">
        <f>IF(AND(FORSIDE!$B$8&gt;=2,FORSIDE!$F$8&gt;=6,FORSIDE!$B$5&gt;=4),2*FORSIDE!$B$9,"")</f>
        <v/>
      </c>
      <c r="D1414" t="str">
        <f>IF(AND(FORSIDE!$B$8&gt;=2,FORSIDE!$F$8&gt;=6,FORSIDE!$B$5&gt;=4),FORSIDE!$B$6+(4-1)*FORSIDE!$B$7,"")</f>
        <v/>
      </c>
    </row>
    <row r="1415" spans="1:4" x14ac:dyDescent="0.3">
      <c r="A1415" t="str">
        <f>IF(AND(FORSIDE!$B$8&gt;=2,FORSIDE!$F$8&gt;=6,FORSIDE!$B$5&gt;=5),1414,"")</f>
        <v/>
      </c>
      <c r="B1415" t="str">
        <f>IF(AND(FORSIDE!$B$8&gt;=2,FORSIDE!$F$8&gt;=6,FORSIDE!$B$5&gt;=5),354+6*FORSIDE!$F$9,"")</f>
        <v/>
      </c>
      <c r="C1415" t="str">
        <f>IF(AND(FORSIDE!$B$8&gt;=2,FORSIDE!$F$8&gt;=6,FORSIDE!$B$5&gt;=5),2*FORSIDE!$B$9,"")</f>
        <v/>
      </c>
      <c r="D1415" t="str">
        <f>IF(AND(FORSIDE!$B$8&gt;=2,FORSIDE!$F$8&gt;=6,FORSIDE!$B$5&gt;=5),FORSIDE!$B$6+(5-1)*FORSIDE!$B$7,"")</f>
        <v/>
      </c>
    </row>
    <row r="1416" spans="1:4" x14ac:dyDescent="0.3">
      <c r="A1416" t="str">
        <f>IF(AND(FORSIDE!$B$8&gt;=2,FORSIDE!$F$8&gt;=6,FORSIDE!$B$5&gt;=6),1415,"")</f>
        <v/>
      </c>
      <c r="B1416" t="str">
        <f>IF(AND(FORSIDE!$B$8&gt;=2,FORSIDE!$F$8&gt;=6,FORSIDE!$B$5&gt;=6),354+6*FORSIDE!$F$9,"")</f>
        <v/>
      </c>
      <c r="C1416" t="str">
        <f>IF(AND(FORSIDE!$B$8&gt;=2,FORSIDE!$F$8&gt;=6,FORSIDE!$B$5&gt;=6),2*FORSIDE!$B$9,"")</f>
        <v/>
      </c>
      <c r="D1416" t="str">
        <f>IF(AND(FORSIDE!$B$8&gt;=2,FORSIDE!$F$8&gt;=6,FORSIDE!$B$5&gt;=6),FORSIDE!$B$6+(6-1)*FORSIDE!$B$7,"")</f>
        <v/>
      </c>
    </row>
    <row r="1417" spans="1:4" x14ac:dyDescent="0.3">
      <c r="A1417" t="str">
        <f>IF(AND(FORSIDE!$B$8&gt;=2,FORSIDE!$F$8&gt;=6,FORSIDE!$B$5&gt;=7),1416,"")</f>
        <v/>
      </c>
      <c r="B1417" t="str">
        <f>IF(AND(FORSIDE!$B$8&gt;=2,FORSIDE!$F$8&gt;=6,FORSIDE!$B$5&gt;=7),354+6*FORSIDE!$F$9,"")</f>
        <v/>
      </c>
      <c r="C1417" t="str">
        <f>IF(AND(FORSIDE!$B$8&gt;=2,FORSIDE!$F$8&gt;=6,FORSIDE!$B$5&gt;=7),2*FORSIDE!$B$9,"")</f>
        <v/>
      </c>
      <c r="D1417" t="str">
        <f>IF(AND(FORSIDE!$B$8&gt;=2,FORSIDE!$F$8&gt;=6,FORSIDE!$B$5&gt;=7),FORSIDE!$B$6+(7-1)*FORSIDE!$B$7,"")</f>
        <v/>
      </c>
    </row>
    <row r="1418" spans="1:4" x14ac:dyDescent="0.3">
      <c r="A1418" t="str">
        <f>IF(AND(FORSIDE!$B$8&gt;=2,FORSIDE!$F$8&gt;=6,FORSIDE!$B$5&gt;=8),1417,"")</f>
        <v/>
      </c>
      <c r="B1418" t="str">
        <f>IF(AND(FORSIDE!$B$8&gt;=2,FORSIDE!$F$8&gt;=6,FORSIDE!$B$5&gt;=8),354+6*FORSIDE!$F$9,"")</f>
        <v/>
      </c>
      <c r="C1418" t="str">
        <f>IF(AND(FORSIDE!$B$8&gt;=2,FORSIDE!$F$8&gt;=6,FORSIDE!$B$5&gt;=8),2*FORSIDE!$B$9,"")</f>
        <v/>
      </c>
      <c r="D1418" t="str">
        <f>IF(AND(FORSIDE!$B$8&gt;=2,FORSIDE!$F$8&gt;=6,FORSIDE!$B$5&gt;=8),FORSIDE!$B$6+(8-1)*FORSIDE!$B$7,"")</f>
        <v/>
      </c>
    </row>
    <row r="1419" spans="1:4" x14ac:dyDescent="0.3">
      <c r="A1419" t="str">
        <f>IF(AND(FORSIDE!$B$8&gt;=2,FORSIDE!$F$8&gt;=6,FORSIDE!$B$5&gt;=9),1418,"")</f>
        <v/>
      </c>
      <c r="B1419" t="str">
        <f>IF(AND(FORSIDE!$B$8&gt;=2,FORSIDE!$F$8&gt;=6,FORSIDE!$B$5&gt;=9),354+6*FORSIDE!$F$9,"")</f>
        <v/>
      </c>
      <c r="C1419" t="str">
        <f>IF(AND(FORSIDE!$B$8&gt;=2,FORSIDE!$F$8&gt;=6,FORSIDE!$B$5&gt;=9),2*FORSIDE!$B$9,"")</f>
        <v/>
      </c>
      <c r="D1419" t="str">
        <f>IF(AND(FORSIDE!$B$8&gt;=2,FORSIDE!$F$8&gt;=6,FORSIDE!$B$5&gt;=9),FORSIDE!$B$6+(9-1)*FORSIDE!$B$7,"")</f>
        <v/>
      </c>
    </row>
    <row r="1420" spans="1:4" x14ac:dyDescent="0.3">
      <c r="A1420" t="str">
        <f>IF(AND(FORSIDE!$B$8&gt;=2,FORSIDE!$F$8&gt;=6,FORSIDE!$B$5&gt;=10),1419,"")</f>
        <v/>
      </c>
      <c r="B1420" t="str">
        <f>IF(AND(FORSIDE!$B$8&gt;=2,FORSIDE!$F$8&gt;=6,FORSIDE!$B$5&gt;=10),354+6*FORSIDE!$F$9,"")</f>
        <v/>
      </c>
      <c r="C1420" t="str">
        <f>IF(AND(FORSIDE!$B$8&gt;=2,FORSIDE!$F$8&gt;=6,FORSIDE!$B$5&gt;=10),2*FORSIDE!$B$9,"")</f>
        <v/>
      </c>
      <c r="D1420" t="str">
        <f>IF(AND(FORSIDE!$B$8&gt;=2,FORSIDE!$F$8&gt;=6,FORSIDE!$B$5&gt;=10),FORSIDE!$B$6+(10-1)*FORSIDE!$B$7,"")</f>
        <v/>
      </c>
    </row>
    <row r="1421" spans="1:4" x14ac:dyDescent="0.3">
      <c r="A1421" t="str">
        <f>IF(AND(FORSIDE!$B$8&gt;=3,FORSIDE!$F$8&gt;=6,FORSIDE!$B$5&gt;=0),1420,"")</f>
        <v/>
      </c>
      <c r="B1421" t="str">
        <f>IF(AND(FORSIDE!$B$8&gt;=3,FORSIDE!$F$8&gt;=6,FORSIDE!$B$5&gt;=0),354+6*FORSIDE!$F$9,"")</f>
        <v/>
      </c>
      <c r="C1421" t="str">
        <f>IF(AND(FORSIDE!$B$8&gt;=3,FORSIDE!$F$8&gt;=6,FORSIDE!$B$5&gt;=0),3*FORSIDE!$B$9,"")</f>
        <v/>
      </c>
      <c r="D1421" t="str">
        <f>IF(AND(FORSIDE!$B$8&gt;=3,FORSIDE!$F$8&gt;=6,FORSIDE!$B$5&gt;=0),0,"")</f>
        <v/>
      </c>
    </row>
    <row r="1422" spans="1:4" x14ac:dyDescent="0.3">
      <c r="A1422" t="str">
        <f>IF(AND(FORSIDE!$B$8&gt;=3,FORSIDE!$F$8&gt;=6,FORSIDE!$B$5&gt;=1),1421,"")</f>
        <v/>
      </c>
      <c r="B1422" t="str">
        <f>IF(AND(FORSIDE!$B$8&gt;=3,FORSIDE!$F$8&gt;=6,FORSIDE!$B$5&gt;=1),354+6*FORSIDE!$F$9,"")</f>
        <v/>
      </c>
      <c r="C1422" t="str">
        <f>IF(AND(FORSIDE!$B$8&gt;=3,FORSIDE!$F$8&gt;=6,FORSIDE!$B$5&gt;=1),3*FORSIDE!$B$9,"")</f>
        <v/>
      </c>
      <c r="D1422" t="str">
        <f>IF(AND(FORSIDE!$B$8&gt;=3,FORSIDE!$F$8&gt;=6,FORSIDE!$B$5&gt;=1),FORSIDE!$B$6+(1-1)*FORSIDE!$B$7,"")</f>
        <v/>
      </c>
    </row>
    <row r="1423" spans="1:4" x14ac:dyDescent="0.3">
      <c r="A1423" t="str">
        <f>IF(AND(FORSIDE!$B$8&gt;=3,FORSIDE!$F$8&gt;=6,FORSIDE!$B$5&gt;=2),1422,"")</f>
        <v/>
      </c>
      <c r="B1423" t="str">
        <f>IF(AND(FORSIDE!$B$8&gt;=3,FORSIDE!$F$8&gt;=6,FORSIDE!$B$5&gt;=2),354+6*FORSIDE!$F$9,"")</f>
        <v/>
      </c>
      <c r="C1423" t="str">
        <f>IF(AND(FORSIDE!$B$8&gt;=3,FORSIDE!$F$8&gt;=6,FORSIDE!$B$5&gt;=2),3*FORSIDE!$B$9,"")</f>
        <v/>
      </c>
      <c r="D1423" t="str">
        <f>IF(AND(FORSIDE!$B$8&gt;=3,FORSIDE!$F$8&gt;=6,FORSIDE!$B$5&gt;=2),FORSIDE!$B$6+(2-1)*FORSIDE!$B$7,"")</f>
        <v/>
      </c>
    </row>
    <row r="1424" spans="1:4" x14ac:dyDescent="0.3">
      <c r="A1424" t="str">
        <f>IF(AND(FORSIDE!$B$8&gt;=3,FORSIDE!$F$8&gt;=6,FORSIDE!$B$5&gt;=3),1423,"")</f>
        <v/>
      </c>
      <c r="B1424" t="str">
        <f>IF(AND(FORSIDE!$B$8&gt;=3,FORSIDE!$F$8&gt;=6,FORSIDE!$B$5&gt;=3),354+6*FORSIDE!$F$9,"")</f>
        <v/>
      </c>
      <c r="C1424" t="str">
        <f>IF(AND(FORSIDE!$B$8&gt;=3,FORSIDE!$F$8&gt;=6,FORSIDE!$B$5&gt;=3),3*FORSIDE!$B$9,"")</f>
        <v/>
      </c>
      <c r="D1424" t="str">
        <f>IF(AND(FORSIDE!$B$8&gt;=3,FORSIDE!$F$8&gt;=6,FORSIDE!$B$5&gt;=3),FORSIDE!$B$6+(3-1)*FORSIDE!$B$7,"")</f>
        <v/>
      </c>
    </row>
    <row r="1425" spans="1:4" x14ac:dyDescent="0.3">
      <c r="A1425" t="str">
        <f>IF(AND(FORSIDE!$B$8&gt;=3,FORSIDE!$F$8&gt;=6,FORSIDE!$B$5&gt;=4),1424,"")</f>
        <v/>
      </c>
      <c r="B1425" t="str">
        <f>IF(AND(FORSIDE!$B$8&gt;=3,FORSIDE!$F$8&gt;=6,FORSIDE!$B$5&gt;=4),354+6*FORSIDE!$F$9,"")</f>
        <v/>
      </c>
      <c r="C1425" t="str">
        <f>IF(AND(FORSIDE!$B$8&gt;=3,FORSIDE!$F$8&gt;=6,FORSIDE!$B$5&gt;=4),3*FORSIDE!$B$9,"")</f>
        <v/>
      </c>
      <c r="D1425" t="str">
        <f>IF(AND(FORSIDE!$B$8&gt;=3,FORSIDE!$F$8&gt;=6,FORSIDE!$B$5&gt;=4),FORSIDE!$B$6+(4-1)*FORSIDE!$B$7,"")</f>
        <v/>
      </c>
    </row>
    <row r="1426" spans="1:4" x14ac:dyDescent="0.3">
      <c r="A1426" t="str">
        <f>IF(AND(FORSIDE!$B$8&gt;=3,FORSIDE!$F$8&gt;=6,FORSIDE!$B$5&gt;=5),1425,"")</f>
        <v/>
      </c>
      <c r="B1426" t="str">
        <f>IF(AND(FORSIDE!$B$8&gt;=3,FORSIDE!$F$8&gt;=6,FORSIDE!$B$5&gt;=5),354+6*FORSIDE!$F$9,"")</f>
        <v/>
      </c>
      <c r="C1426" t="str">
        <f>IF(AND(FORSIDE!$B$8&gt;=3,FORSIDE!$F$8&gt;=6,FORSIDE!$B$5&gt;=5),3*FORSIDE!$B$9,"")</f>
        <v/>
      </c>
      <c r="D1426" t="str">
        <f>IF(AND(FORSIDE!$B$8&gt;=3,FORSIDE!$F$8&gt;=6,FORSIDE!$B$5&gt;=5),FORSIDE!$B$6+(5-1)*FORSIDE!$B$7,"")</f>
        <v/>
      </c>
    </row>
    <row r="1427" spans="1:4" x14ac:dyDescent="0.3">
      <c r="A1427" t="str">
        <f>IF(AND(FORSIDE!$B$8&gt;=3,FORSIDE!$F$8&gt;=6,FORSIDE!$B$5&gt;=6),1426,"")</f>
        <v/>
      </c>
      <c r="B1427" t="str">
        <f>IF(AND(FORSIDE!$B$8&gt;=3,FORSIDE!$F$8&gt;=6,FORSIDE!$B$5&gt;=6),354+6*FORSIDE!$F$9,"")</f>
        <v/>
      </c>
      <c r="C1427" t="str">
        <f>IF(AND(FORSIDE!$B$8&gt;=3,FORSIDE!$F$8&gt;=6,FORSIDE!$B$5&gt;=6),3*FORSIDE!$B$9,"")</f>
        <v/>
      </c>
      <c r="D1427" t="str">
        <f>IF(AND(FORSIDE!$B$8&gt;=3,FORSIDE!$F$8&gt;=6,FORSIDE!$B$5&gt;=6),FORSIDE!$B$6+(6-1)*FORSIDE!$B$7,"")</f>
        <v/>
      </c>
    </row>
    <row r="1428" spans="1:4" x14ac:dyDescent="0.3">
      <c r="A1428" t="str">
        <f>IF(AND(FORSIDE!$B$8&gt;=3,FORSIDE!$F$8&gt;=6,FORSIDE!$B$5&gt;=7),1427,"")</f>
        <v/>
      </c>
      <c r="B1428" t="str">
        <f>IF(AND(FORSIDE!$B$8&gt;=3,FORSIDE!$F$8&gt;=6,FORSIDE!$B$5&gt;=7),354+6*FORSIDE!$F$9,"")</f>
        <v/>
      </c>
      <c r="C1428" t="str">
        <f>IF(AND(FORSIDE!$B$8&gt;=3,FORSIDE!$F$8&gt;=6,FORSIDE!$B$5&gt;=7),3*FORSIDE!$B$9,"")</f>
        <v/>
      </c>
      <c r="D1428" t="str">
        <f>IF(AND(FORSIDE!$B$8&gt;=3,FORSIDE!$F$8&gt;=6,FORSIDE!$B$5&gt;=7),FORSIDE!$B$6+(7-1)*FORSIDE!$B$7,"")</f>
        <v/>
      </c>
    </row>
    <row r="1429" spans="1:4" x14ac:dyDescent="0.3">
      <c r="A1429" t="str">
        <f>IF(AND(FORSIDE!$B$8&gt;=3,FORSIDE!$F$8&gt;=6,FORSIDE!$B$5&gt;=8),1428,"")</f>
        <v/>
      </c>
      <c r="B1429" t="str">
        <f>IF(AND(FORSIDE!$B$8&gt;=3,FORSIDE!$F$8&gt;=6,FORSIDE!$B$5&gt;=8),354+6*FORSIDE!$F$9,"")</f>
        <v/>
      </c>
      <c r="C1429" t="str">
        <f>IF(AND(FORSIDE!$B$8&gt;=3,FORSIDE!$F$8&gt;=6,FORSIDE!$B$5&gt;=8),3*FORSIDE!$B$9,"")</f>
        <v/>
      </c>
      <c r="D1429" t="str">
        <f>IF(AND(FORSIDE!$B$8&gt;=3,FORSIDE!$F$8&gt;=6,FORSIDE!$B$5&gt;=8),FORSIDE!$B$6+(8-1)*FORSIDE!$B$7,"")</f>
        <v/>
      </c>
    </row>
    <row r="1430" spans="1:4" x14ac:dyDescent="0.3">
      <c r="A1430" t="str">
        <f>IF(AND(FORSIDE!$B$8&gt;=3,FORSIDE!$F$8&gt;=6,FORSIDE!$B$5&gt;=9),1429,"")</f>
        <v/>
      </c>
      <c r="B1430" t="str">
        <f>IF(AND(FORSIDE!$B$8&gt;=3,FORSIDE!$F$8&gt;=6,FORSIDE!$B$5&gt;=9),354+6*FORSIDE!$F$9,"")</f>
        <v/>
      </c>
      <c r="C1430" t="str">
        <f>IF(AND(FORSIDE!$B$8&gt;=3,FORSIDE!$F$8&gt;=6,FORSIDE!$B$5&gt;=9),3*FORSIDE!$B$9,"")</f>
        <v/>
      </c>
      <c r="D1430" t="str">
        <f>IF(AND(FORSIDE!$B$8&gt;=3,FORSIDE!$F$8&gt;=6,FORSIDE!$B$5&gt;=9),FORSIDE!$B$6+(9-1)*FORSIDE!$B$7,"")</f>
        <v/>
      </c>
    </row>
    <row r="1431" spans="1:4" x14ac:dyDescent="0.3">
      <c r="A1431" t="str">
        <f>IF(AND(FORSIDE!$B$8&gt;=3,FORSIDE!$F$8&gt;=6,FORSIDE!$B$5&gt;=10),1430,"")</f>
        <v/>
      </c>
      <c r="B1431" t="str">
        <f>IF(AND(FORSIDE!$B$8&gt;=3,FORSIDE!$F$8&gt;=6,FORSIDE!$B$5&gt;=10),354+6*FORSIDE!$F$9,"")</f>
        <v/>
      </c>
      <c r="C1431" t="str">
        <f>IF(AND(FORSIDE!$B$8&gt;=3,FORSIDE!$F$8&gt;=6,FORSIDE!$B$5&gt;=10),3*FORSIDE!$B$9,"")</f>
        <v/>
      </c>
      <c r="D1431" t="str">
        <f>IF(AND(FORSIDE!$B$8&gt;=3,FORSIDE!$F$8&gt;=6,FORSIDE!$B$5&gt;=10),FORSIDE!$B$6+(10-1)*FORSIDE!$B$7,"")</f>
        <v/>
      </c>
    </row>
    <row r="1432" spans="1:4" x14ac:dyDescent="0.3">
      <c r="A1432" t="str">
        <f>IF(AND(FORSIDE!$B$8&gt;=4,FORSIDE!$F$8&gt;=6,FORSIDE!$B$5&gt;=0),1431,"")</f>
        <v/>
      </c>
      <c r="B1432" t="str">
        <f>IF(AND(FORSIDE!$B$8&gt;=4,FORSIDE!$F$8&gt;=6,FORSIDE!$B$5&gt;=0),354+6*FORSIDE!$F$9,"")</f>
        <v/>
      </c>
      <c r="C1432" t="str">
        <f>IF(AND(FORSIDE!$B$8&gt;=4,FORSIDE!$F$8&gt;=6,FORSIDE!$B$5&gt;=0),4*FORSIDE!$B$9,"")</f>
        <v/>
      </c>
      <c r="D1432" t="str">
        <f>IF(AND(FORSIDE!$B$8&gt;=4,FORSIDE!$F$8&gt;=6,FORSIDE!$B$5&gt;=0),0,"")</f>
        <v/>
      </c>
    </row>
    <row r="1433" spans="1:4" x14ac:dyDescent="0.3">
      <c r="A1433" t="str">
        <f>IF(AND(FORSIDE!$B$8&gt;=4,FORSIDE!$F$8&gt;=6,FORSIDE!$B$5&gt;=1),1432,"")</f>
        <v/>
      </c>
      <c r="B1433" t="str">
        <f>IF(AND(FORSIDE!$B$8&gt;=4,FORSIDE!$F$8&gt;=6,FORSIDE!$B$5&gt;=1),354+6*FORSIDE!$F$9,"")</f>
        <v/>
      </c>
      <c r="C1433" t="str">
        <f>IF(AND(FORSIDE!$B$8&gt;=4,FORSIDE!$F$8&gt;=6,FORSIDE!$B$5&gt;=1),4*FORSIDE!$B$9,"")</f>
        <v/>
      </c>
      <c r="D1433" t="str">
        <f>IF(AND(FORSIDE!$B$8&gt;=4,FORSIDE!$F$8&gt;=6,FORSIDE!$B$5&gt;=1),FORSIDE!$B$6+(1-1)*FORSIDE!$B$7,"")</f>
        <v/>
      </c>
    </row>
    <row r="1434" spans="1:4" x14ac:dyDescent="0.3">
      <c r="A1434" t="str">
        <f>IF(AND(FORSIDE!$B$8&gt;=4,FORSIDE!$F$8&gt;=6,FORSIDE!$B$5&gt;=2),1433,"")</f>
        <v/>
      </c>
      <c r="B1434" t="str">
        <f>IF(AND(FORSIDE!$B$8&gt;=4,FORSIDE!$F$8&gt;=6,FORSIDE!$B$5&gt;=2),354+6*FORSIDE!$F$9,"")</f>
        <v/>
      </c>
      <c r="C1434" t="str">
        <f>IF(AND(FORSIDE!$B$8&gt;=4,FORSIDE!$F$8&gt;=6,FORSIDE!$B$5&gt;=2),4*FORSIDE!$B$9,"")</f>
        <v/>
      </c>
      <c r="D1434" t="str">
        <f>IF(AND(FORSIDE!$B$8&gt;=4,FORSIDE!$F$8&gt;=6,FORSIDE!$B$5&gt;=2),FORSIDE!$B$6+(2-1)*FORSIDE!$B$7,"")</f>
        <v/>
      </c>
    </row>
    <row r="1435" spans="1:4" x14ac:dyDescent="0.3">
      <c r="A1435" t="str">
        <f>IF(AND(FORSIDE!$B$8&gt;=4,FORSIDE!$F$8&gt;=6,FORSIDE!$B$5&gt;=3),1434,"")</f>
        <v/>
      </c>
      <c r="B1435" t="str">
        <f>IF(AND(FORSIDE!$B$8&gt;=4,FORSIDE!$F$8&gt;=6,FORSIDE!$B$5&gt;=3),354+6*FORSIDE!$F$9,"")</f>
        <v/>
      </c>
      <c r="C1435" t="str">
        <f>IF(AND(FORSIDE!$B$8&gt;=4,FORSIDE!$F$8&gt;=6,FORSIDE!$B$5&gt;=3),4*FORSIDE!$B$9,"")</f>
        <v/>
      </c>
      <c r="D1435" t="str">
        <f>IF(AND(FORSIDE!$B$8&gt;=4,FORSIDE!$F$8&gt;=6,FORSIDE!$B$5&gt;=3),FORSIDE!$B$6+(3-1)*FORSIDE!$B$7,"")</f>
        <v/>
      </c>
    </row>
    <row r="1436" spans="1:4" x14ac:dyDescent="0.3">
      <c r="A1436" t="str">
        <f>IF(AND(FORSIDE!$B$8&gt;=4,FORSIDE!$F$8&gt;=6,FORSIDE!$B$5&gt;=4),1435,"")</f>
        <v/>
      </c>
      <c r="B1436" t="str">
        <f>IF(AND(FORSIDE!$B$8&gt;=4,FORSIDE!$F$8&gt;=6,FORSIDE!$B$5&gt;=4),354+6*FORSIDE!$F$9,"")</f>
        <v/>
      </c>
      <c r="C1436" t="str">
        <f>IF(AND(FORSIDE!$B$8&gt;=4,FORSIDE!$F$8&gt;=6,FORSIDE!$B$5&gt;=4),4*FORSIDE!$B$9,"")</f>
        <v/>
      </c>
      <c r="D1436" t="str">
        <f>IF(AND(FORSIDE!$B$8&gt;=4,FORSIDE!$F$8&gt;=6,FORSIDE!$B$5&gt;=4),FORSIDE!$B$6+(4-1)*FORSIDE!$B$7,"")</f>
        <v/>
      </c>
    </row>
    <row r="1437" spans="1:4" x14ac:dyDescent="0.3">
      <c r="A1437" t="str">
        <f>IF(AND(FORSIDE!$B$8&gt;=4,FORSIDE!$F$8&gt;=6,FORSIDE!$B$5&gt;=5),1436,"")</f>
        <v/>
      </c>
      <c r="B1437" t="str">
        <f>IF(AND(FORSIDE!$B$8&gt;=4,FORSIDE!$F$8&gt;=6,FORSIDE!$B$5&gt;=5),354+6*FORSIDE!$F$9,"")</f>
        <v/>
      </c>
      <c r="C1437" t="str">
        <f>IF(AND(FORSIDE!$B$8&gt;=4,FORSIDE!$F$8&gt;=6,FORSIDE!$B$5&gt;=5),4*FORSIDE!$B$9,"")</f>
        <v/>
      </c>
      <c r="D1437" t="str">
        <f>IF(AND(FORSIDE!$B$8&gt;=4,FORSIDE!$F$8&gt;=6,FORSIDE!$B$5&gt;=5),FORSIDE!$B$6+(5-1)*FORSIDE!$B$7,"")</f>
        <v/>
      </c>
    </row>
    <row r="1438" spans="1:4" x14ac:dyDescent="0.3">
      <c r="A1438" t="str">
        <f>IF(AND(FORSIDE!$B$8&gt;=4,FORSIDE!$F$8&gt;=6,FORSIDE!$B$5&gt;=6),1437,"")</f>
        <v/>
      </c>
      <c r="B1438" t="str">
        <f>IF(AND(FORSIDE!$B$8&gt;=4,FORSIDE!$F$8&gt;=6,FORSIDE!$B$5&gt;=6),354+6*FORSIDE!$F$9,"")</f>
        <v/>
      </c>
      <c r="C1438" t="str">
        <f>IF(AND(FORSIDE!$B$8&gt;=4,FORSIDE!$F$8&gt;=6,FORSIDE!$B$5&gt;=6),4*FORSIDE!$B$9,"")</f>
        <v/>
      </c>
      <c r="D1438" t="str">
        <f>IF(AND(FORSIDE!$B$8&gt;=4,FORSIDE!$F$8&gt;=6,FORSIDE!$B$5&gt;=6),FORSIDE!$B$6+(6-1)*FORSIDE!$B$7,"")</f>
        <v/>
      </c>
    </row>
    <row r="1439" spans="1:4" x14ac:dyDescent="0.3">
      <c r="A1439" t="str">
        <f>IF(AND(FORSIDE!$B$8&gt;=4,FORSIDE!$F$8&gt;=6,FORSIDE!$B$5&gt;=7),1438,"")</f>
        <v/>
      </c>
      <c r="B1439" t="str">
        <f>IF(AND(FORSIDE!$B$8&gt;=4,FORSIDE!$F$8&gt;=6,FORSIDE!$B$5&gt;=7),354+6*FORSIDE!$F$9,"")</f>
        <v/>
      </c>
      <c r="C1439" t="str">
        <f>IF(AND(FORSIDE!$B$8&gt;=4,FORSIDE!$F$8&gt;=6,FORSIDE!$B$5&gt;=7),4*FORSIDE!$B$9,"")</f>
        <v/>
      </c>
      <c r="D1439" t="str">
        <f>IF(AND(FORSIDE!$B$8&gt;=4,FORSIDE!$F$8&gt;=6,FORSIDE!$B$5&gt;=7),FORSIDE!$B$6+(7-1)*FORSIDE!$B$7,"")</f>
        <v/>
      </c>
    </row>
    <row r="1440" spans="1:4" x14ac:dyDescent="0.3">
      <c r="A1440" t="str">
        <f>IF(AND(FORSIDE!$B$8&gt;=4,FORSIDE!$F$8&gt;=6,FORSIDE!$B$5&gt;=8),1439,"")</f>
        <v/>
      </c>
      <c r="B1440" t="str">
        <f>IF(AND(FORSIDE!$B$8&gt;=4,FORSIDE!$F$8&gt;=6,FORSIDE!$B$5&gt;=8),354+6*FORSIDE!$F$9,"")</f>
        <v/>
      </c>
      <c r="C1440" t="str">
        <f>IF(AND(FORSIDE!$B$8&gt;=4,FORSIDE!$F$8&gt;=6,FORSIDE!$B$5&gt;=8),4*FORSIDE!$B$9,"")</f>
        <v/>
      </c>
      <c r="D1440" t="str">
        <f>IF(AND(FORSIDE!$B$8&gt;=4,FORSIDE!$F$8&gt;=6,FORSIDE!$B$5&gt;=8),FORSIDE!$B$6+(8-1)*FORSIDE!$B$7,"")</f>
        <v/>
      </c>
    </row>
    <row r="1441" spans="1:4" x14ac:dyDescent="0.3">
      <c r="A1441" t="str">
        <f>IF(AND(FORSIDE!$B$8&gt;=4,FORSIDE!$F$8&gt;=6,FORSIDE!$B$5&gt;=9),1440,"")</f>
        <v/>
      </c>
      <c r="B1441" t="str">
        <f>IF(AND(FORSIDE!$B$8&gt;=4,FORSIDE!$F$8&gt;=6,FORSIDE!$B$5&gt;=9),354+6*FORSIDE!$F$9,"")</f>
        <v/>
      </c>
      <c r="C1441" t="str">
        <f>IF(AND(FORSIDE!$B$8&gt;=4,FORSIDE!$F$8&gt;=6,FORSIDE!$B$5&gt;=9),4*FORSIDE!$B$9,"")</f>
        <v/>
      </c>
      <c r="D1441" t="str">
        <f>IF(AND(FORSIDE!$B$8&gt;=4,FORSIDE!$F$8&gt;=6,FORSIDE!$B$5&gt;=9),FORSIDE!$B$6+(9-1)*FORSIDE!$B$7,"")</f>
        <v/>
      </c>
    </row>
    <row r="1442" spans="1:4" x14ac:dyDescent="0.3">
      <c r="A1442" t="str">
        <f>IF(AND(FORSIDE!$B$8&gt;=4,FORSIDE!$F$8&gt;=6,FORSIDE!$B$5&gt;=10),1441,"")</f>
        <v/>
      </c>
      <c r="B1442" t="str">
        <f>IF(AND(FORSIDE!$B$8&gt;=4,FORSIDE!$F$8&gt;=6,FORSIDE!$B$5&gt;=10),354+6*FORSIDE!$F$9,"")</f>
        <v/>
      </c>
      <c r="C1442" t="str">
        <f>IF(AND(FORSIDE!$B$8&gt;=4,FORSIDE!$F$8&gt;=6,FORSIDE!$B$5&gt;=10),4*FORSIDE!$B$9,"")</f>
        <v/>
      </c>
      <c r="D1442" t="str">
        <f>IF(AND(FORSIDE!$B$8&gt;=4,FORSIDE!$F$8&gt;=6,FORSIDE!$B$5&gt;=10),FORSIDE!$B$6+(10-1)*FORSIDE!$B$7,"")</f>
        <v/>
      </c>
    </row>
    <row r="1443" spans="1:4" x14ac:dyDescent="0.3">
      <c r="A1443" t="str">
        <f>IF(AND(FORSIDE!$B$8&gt;=5,FORSIDE!$F$8&gt;=6,FORSIDE!$B$5&gt;=0),1442,"")</f>
        <v/>
      </c>
      <c r="B1443" t="str">
        <f>IF(AND(FORSIDE!$B$8&gt;=5,FORSIDE!$F$8&gt;=6,FORSIDE!$B$5&gt;=0),354+6*FORSIDE!$F$9,"")</f>
        <v/>
      </c>
      <c r="C1443" t="str">
        <f>IF(AND(FORSIDE!$B$8&gt;=5,FORSIDE!$F$8&gt;=6,FORSIDE!$B$5&gt;=0),5*FORSIDE!$B$9,"")</f>
        <v/>
      </c>
      <c r="D1443" t="str">
        <f>IF(AND(FORSIDE!$B$8&gt;=5,FORSIDE!$F$8&gt;=6,FORSIDE!$B$5&gt;=0),0,"")</f>
        <v/>
      </c>
    </row>
    <row r="1444" spans="1:4" x14ac:dyDescent="0.3">
      <c r="A1444" t="str">
        <f>IF(AND(FORSIDE!$B$8&gt;=5,FORSIDE!$F$8&gt;=6,FORSIDE!$B$5&gt;=1),1443,"")</f>
        <v/>
      </c>
      <c r="B1444" t="str">
        <f>IF(AND(FORSIDE!$B$8&gt;=5,FORSIDE!$F$8&gt;=6,FORSIDE!$B$5&gt;=1),354+6*FORSIDE!$F$9,"")</f>
        <v/>
      </c>
      <c r="C1444" t="str">
        <f>IF(AND(FORSIDE!$B$8&gt;=5,FORSIDE!$F$8&gt;=6,FORSIDE!$B$5&gt;=1),5*FORSIDE!$B$9,"")</f>
        <v/>
      </c>
      <c r="D1444" t="str">
        <f>IF(AND(FORSIDE!$B$8&gt;=5,FORSIDE!$F$8&gt;=6,FORSIDE!$B$5&gt;=1),FORSIDE!$B$6+(1-1)*FORSIDE!$B$7,"")</f>
        <v/>
      </c>
    </row>
    <row r="1445" spans="1:4" x14ac:dyDescent="0.3">
      <c r="A1445" t="str">
        <f>IF(AND(FORSIDE!$B$8&gt;=5,FORSIDE!$F$8&gt;=6,FORSIDE!$B$5&gt;=2),1444,"")</f>
        <v/>
      </c>
      <c r="B1445" t="str">
        <f>IF(AND(FORSIDE!$B$8&gt;=5,FORSIDE!$F$8&gt;=6,FORSIDE!$B$5&gt;=2),354+6*FORSIDE!$F$9,"")</f>
        <v/>
      </c>
      <c r="C1445" t="str">
        <f>IF(AND(FORSIDE!$B$8&gt;=5,FORSIDE!$F$8&gt;=6,FORSIDE!$B$5&gt;=2),5*FORSIDE!$B$9,"")</f>
        <v/>
      </c>
      <c r="D1445" t="str">
        <f>IF(AND(FORSIDE!$B$8&gt;=5,FORSIDE!$F$8&gt;=6,FORSIDE!$B$5&gt;=2),FORSIDE!$B$6+(2-1)*FORSIDE!$B$7,"")</f>
        <v/>
      </c>
    </row>
    <row r="1446" spans="1:4" x14ac:dyDescent="0.3">
      <c r="A1446" t="str">
        <f>IF(AND(FORSIDE!$B$8&gt;=5,FORSIDE!$F$8&gt;=6,FORSIDE!$B$5&gt;=3),1445,"")</f>
        <v/>
      </c>
      <c r="B1446" t="str">
        <f>IF(AND(FORSIDE!$B$8&gt;=5,FORSIDE!$F$8&gt;=6,FORSIDE!$B$5&gt;=3),354+6*FORSIDE!$F$9,"")</f>
        <v/>
      </c>
      <c r="C1446" t="str">
        <f>IF(AND(FORSIDE!$B$8&gt;=5,FORSIDE!$F$8&gt;=6,FORSIDE!$B$5&gt;=3),5*FORSIDE!$B$9,"")</f>
        <v/>
      </c>
      <c r="D1446" t="str">
        <f>IF(AND(FORSIDE!$B$8&gt;=5,FORSIDE!$F$8&gt;=6,FORSIDE!$B$5&gt;=3),FORSIDE!$B$6+(3-1)*FORSIDE!$B$7,"")</f>
        <v/>
      </c>
    </row>
    <row r="1447" spans="1:4" x14ac:dyDescent="0.3">
      <c r="A1447" t="str">
        <f>IF(AND(FORSIDE!$B$8&gt;=5,FORSIDE!$F$8&gt;=6,FORSIDE!$B$5&gt;=4),1446,"")</f>
        <v/>
      </c>
      <c r="B1447" t="str">
        <f>IF(AND(FORSIDE!$B$8&gt;=5,FORSIDE!$F$8&gt;=6,FORSIDE!$B$5&gt;=4),354+6*FORSIDE!$F$9,"")</f>
        <v/>
      </c>
      <c r="C1447" t="str">
        <f>IF(AND(FORSIDE!$B$8&gt;=5,FORSIDE!$F$8&gt;=6,FORSIDE!$B$5&gt;=4),5*FORSIDE!$B$9,"")</f>
        <v/>
      </c>
      <c r="D1447" t="str">
        <f>IF(AND(FORSIDE!$B$8&gt;=5,FORSIDE!$F$8&gt;=6,FORSIDE!$B$5&gt;=4),FORSIDE!$B$6+(4-1)*FORSIDE!$B$7,"")</f>
        <v/>
      </c>
    </row>
    <row r="1448" spans="1:4" x14ac:dyDescent="0.3">
      <c r="A1448" t="str">
        <f>IF(AND(FORSIDE!$B$8&gt;=5,FORSIDE!$F$8&gt;=6,FORSIDE!$B$5&gt;=5),1447,"")</f>
        <v/>
      </c>
      <c r="B1448" t="str">
        <f>IF(AND(FORSIDE!$B$8&gt;=5,FORSIDE!$F$8&gt;=6,FORSIDE!$B$5&gt;=5),354+6*FORSIDE!$F$9,"")</f>
        <v/>
      </c>
      <c r="C1448" t="str">
        <f>IF(AND(FORSIDE!$B$8&gt;=5,FORSIDE!$F$8&gt;=6,FORSIDE!$B$5&gt;=5),5*FORSIDE!$B$9,"")</f>
        <v/>
      </c>
      <c r="D1448" t="str">
        <f>IF(AND(FORSIDE!$B$8&gt;=5,FORSIDE!$F$8&gt;=6,FORSIDE!$B$5&gt;=5),FORSIDE!$B$6+(5-1)*FORSIDE!$B$7,"")</f>
        <v/>
      </c>
    </row>
    <row r="1449" spans="1:4" x14ac:dyDescent="0.3">
      <c r="A1449" t="str">
        <f>IF(AND(FORSIDE!$B$8&gt;=5,FORSIDE!$F$8&gt;=6,FORSIDE!$B$5&gt;=6),1448,"")</f>
        <v/>
      </c>
      <c r="B1449" t="str">
        <f>IF(AND(FORSIDE!$B$8&gt;=5,FORSIDE!$F$8&gt;=6,FORSIDE!$B$5&gt;=6),354+6*FORSIDE!$F$9,"")</f>
        <v/>
      </c>
      <c r="C1449" t="str">
        <f>IF(AND(FORSIDE!$B$8&gt;=5,FORSIDE!$F$8&gt;=6,FORSIDE!$B$5&gt;=6),5*FORSIDE!$B$9,"")</f>
        <v/>
      </c>
      <c r="D1449" t="str">
        <f>IF(AND(FORSIDE!$B$8&gt;=5,FORSIDE!$F$8&gt;=6,FORSIDE!$B$5&gt;=6),FORSIDE!$B$6+(6-1)*FORSIDE!$B$7,"")</f>
        <v/>
      </c>
    </row>
    <row r="1450" spans="1:4" x14ac:dyDescent="0.3">
      <c r="A1450" t="str">
        <f>IF(AND(FORSIDE!$B$8&gt;=5,FORSIDE!$F$8&gt;=6,FORSIDE!$B$5&gt;=7),1449,"")</f>
        <v/>
      </c>
      <c r="B1450" t="str">
        <f>IF(AND(FORSIDE!$B$8&gt;=5,FORSIDE!$F$8&gt;=6,FORSIDE!$B$5&gt;=7),354+6*FORSIDE!$F$9,"")</f>
        <v/>
      </c>
      <c r="C1450" t="str">
        <f>IF(AND(FORSIDE!$B$8&gt;=5,FORSIDE!$F$8&gt;=6,FORSIDE!$B$5&gt;=7),5*FORSIDE!$B$9,"")</f>
        <v/>
      </c>
      <c r="D1450" t="str">
        <f>IF(AND(FORSIDE!$B$8&gt;=5,FORSIDE!$F$8&gt;=6,FORSIDE!$B$5&gt;=7),FORSIDE!$B$6+(7-1)*FORSIDE!$B$7,"")</f>
        <v/>
      </c>
    </row>
    <row r="1451" spans="1:4" x14ac:dyDescent="0.3">
      <c r="A1451" t="str">
        <f>IF(AND(FORSIDE!$B$8&gt;=5,FORSIDE!$F$8&gt;=6,FORSIDE!$B$5&gt;=8),1450,"")</f>
        <v/>
      </c>
      <c r="B1451" t="str">
        <f>IF(AND(FORSIDE!$B$8&gt;=5,FORSIDE!$F$8&gt;=6,FORSIDE!$B$5&gt;=8),354+6*FORSIDE!$F$9,"")</f>
        <v/>
      </c>
      <c r="C1451" t="str">
        <f>IF(AND(FORSIDE!$B$8&gt;=5,FORSIDE!$F$8&gt;=6,FORSIDE!$B$5&gt;=8),5*FORSIDE!$B$9,"")</f>
        <v/>
      </c>
      <c r="D1451" t="str">
        <f>IF(AND(FORSIDE!$B$8&gt;=5,FORSIDE!$F$8&gt;=6,FORSIDE!$B$5&gt;=8),FORSIDE!$B$6+(8-1)*FORSIDE!$B$7,"")</f>
        <v/>
      </c>
    </row>
    <row r="1452" spans="1:4" x14ac:dyDescent="0.3">
      <c r="A1452" t="str">
        <f>IF(AND(FORSIDE!$B$8&gt;=5,FORSIDE!$F$8&gt;=6,FORSIDE!$B$5&gt;=9),1451,"")</f>
        <v/>
      </c>
      <c r="B1452" t="str">
        <f>IF(AND(FORSIDE!$B$8&gt;=5,FORSIDE!$F$8&gt;=6,FORSIDE!$B$5&gt;=9),354+6*FORSIDE!$F$9,"")</f>
        <v/>
      </c>
      <c r="C1452" t="str">
        <f>IF(AND(FORSIDE!$B$8&gt;=5,FORSIDE!$F$8&gt;=6,FORSIDE!$B$5&gt;=9),5*FORSIDE!$B$9,"")</f>
        <v/>
      </c>
      <c r="D1452" t="str">
        <f>IF(AND(FORSIDE!$B$8&gt;=5,FORSIDE!$F$8&gt;=6,FORSIDE!$B$5&gt;=9),FORSIDE!$B$6+(9-1)*FORSIDE!$B$7,"")</f>
        <v/>
      </c>
    </row>
    <row r="1453" spans="1:4" x14ac:dyDescent="0.3">
      <c r="A1453" t="str">
        <f>IF(AND(FORSIDE!$B$8&gt;=5,FORSIDE!$F$8&gt;=6,FORSIDE!$B$5&gt;=10),1452,"")</f>
        <v/>
      </c>
      <c r="B1453" t="str">
        <f>IF(AND(FORSIDE!$B$8&gt;=5,FORSIDE!$F$8&gt;=6,FORSIDE!$B$5&gt;=10),354+6*FORSIDE!$F$9,"")</f>
        <v/>
      </c>
      <c r="C1453" t="str">
        <f>IF(AND(FORSIDE!$B$8&gt;=5,FORSIDE!$F$8&gt;=6,FORSIDE!$B$5&gt;=10),5*FORSIDE!$B$9,"")</f>
        <v/>
      </c>
      <c r="D1453" t="str">
        <f>IF(AND(FORSIDE!$B$8&gt;=5,FORSIDE!$F$8&gt;=6,FORSIDE!$B$5&gt;=10),FORSIDE!$B$6+(10-1)*FORSIDE!$B$7,"")</f>
        <v/>
      </c>
    </row>
    <row r="1454" spans="1:4" x14ac:dyDescent="0.3">
      <c r="A1454" t="str">
        <f>IF(AND(FORSIDE!$B$8&gt;=6,FORSIDE!$F$8&gt;=6,FORSIDE!$B$5&gt;=0),1453,"")</f>
        <v/>
      </c>
      <c r="B1454" t="str">
        <f>IF(AND(FORSIDE!$B$8&gt;=6,FORSIDE!$F$8&gt;=6,FORSIDE!$B$5&gt;=0),354+6*FORSIDE!$F$9,"")</f>
        <v/>
      </c>
      <c r="C1454" t="str">
        <f>IF(AND(FORSIDE!$B$8&gt;=6,FORSIDE!$F$8&gt;=6,FORSIDE!$B$5&gt;=0),6*FORSIDE!$B$9,"")</f>
        <v/>
      </c>
      <c r="D1454" t="str">
        <f>IF(AND(FORSIDE!$B$8&gt;=6,FORSIDE!$F$8&gt;=6,FORSIDE!$B$5&gt;=0),0,"")</f>
        <v/>
      </c>
    </row>
    <row r="1455" spans="1:4" x14ac:dyDescent="0.3">
      <c r="A1455" t="str">
        <f>IF(AND(FORSIDE!$B$8&gt;=6,FORSIDE!$F$8&gt;=6,FORSIDE!$B$5&gt;=1),1454,"")</f>
        <v/>
      </c>
      <c r="B1455" t="str">
        <f>IF(AND(FORSIDE!$B$8&gt;=6,FORSIDE!$F$8&gt;=6,FORSIDE!$B$5&gt;=1),354+6*FORSIDE!$F$9,"")</f>
        <v/>
      </c>
      <c r="C1455" t="str">
        <f>IF(AND(FORSIDE!$B$8&gt;=6,FORSIDE!$F$8&gt;=6,FORSIDE!$B$5&gt;=1),6*FORSIDE!$B$9,"")</f>
        <v/>
      </c>
      <c r="D1455" t="str">
        <f>IF(AND(FORSIDE!$B$8&gt;=6,FORSIDE!$F$8&gt;=6,FORSIDE!$B$5&gt;=1),FORSIDE!$B$6+(1-1)*FORSIDE!$B$7,"")</f>
        <v/>
      </c>
    </row>
    <row r="1456" spans="1:4" x14ac:dyDescent="0.3">
      <c r="A1456" t="str">
        <f>IF(AND(FORSIDE!$B$8&gt;=6,FORSIDE!$F$8&gt;=6,FORSIDE!$B$5&gt;=2),1455,"")</f>
        <v/>
      </c>
      <c r="B1456" t="str">
        <f>IF(AND(FORSIDE!$B$8&gt;=6,FORSIDE!$F$8&gt;=6,FORSIDE!$B$5&gt;=2),354+6*FORSIDE!$F$9,"")</f>
        <v/>
      </c>
      <c r="C1456" t="str">
        <f>IF(AND(FORSIDE!$B$8&gt;=6,FORSIDE!$F$8&gt;=6,FORSIDE!$B$5&gt;=2),6*FORSIDE!$B$9,"")</f>
        <v/>
      </c>
      <c r="D1456" t="str">
        <f>IF(AND(FORSIDE!$B$8&gt;=6,FORSIDE!$F$8&gt;=6,FORSIDE!$B$5&gt;=2),FORSIDE!$B$6+(2-1)*FORSIDE!$B$7,"")</f>
        <v/>
      </c>
    </row>
    <row r="1457" spans="1:4" x14ac:dyDescent="0.3">
      <c r="A1457" t="str">
        <f>IF(AND(FORSIDE!$B$8&gt;=6,FORSIDE!$F$8&gt;=6,FORSIDE!$B$5&gt;=3),1456,"")</f>
        <v/>
      </c>
      <c r="B1457" t="str">
        <f>IF(AND(FORSIDE!$B$8&gt;=6,FORSIDE!$F$8&gt;=6,FORSIDE!$B$5&gt;=3),354+6*FORSIDE!$F$9,"")</f>
        <v/>
      </c>
      <c r="C1457" t="str">
        <f>IF(AND(FORSIDE!$B$8&gt;=6,FORSIDE!$F$8&gt;=6,FORSIDE!$B$5&gt;=3),6*FORSIDE!$B$9,"")</f>
        <v/>
      </c>
      <c r="D1457" t="str">
        <f>IF(AND(FORSIDE!$B$8&gt;=6,FORSIDE!$F$8&gt;=6,FORSIDE!$B$5&gt;=3),FORSIDE!$B$6+(3-1)*FORSIDE!$B$7,"")</f>
        <v/>
      </c>
    </row>
    <row r="1458" spans="1:4" x14ac:dyDescent="0.3">
      <c r="A1458" t="str">
        <f>IF(AND(FORSIDE!$B$8&gt;=6,FORSIDE!$F$8&gt;=6,FORSIDE!$B$5&gt;=4),1457,"")</f>
        <v/>
      </c>
      <c r="B1458" t="str">
        <f>IF(AND(FORSIDE!$B$8&gt;=6,FORSIDE!$F$8&gt;=6,FORSIDE!$B$5&gt;=4),354+6*FORSIDE!$F$9,"")</f>
        <v/>
      </c>
      <c r="C1458" t="str">
        <f>IF(AND(FORSIDE!$B$8&gt;=6,FORSIDE!$F$8&gt;=6,FORSIDE!$B$5&gt;=4),6*FORSIDE!$B$9,"")</f>
        <v/>
      </c>
      <c r="D1458" t="str">
        <f>IF(AND(FORSIDE!$B$8&gt;=6,FORSIDE!$F$8&gt;=6,FORSIDE!$B$5&gt;=4),FORSIDE!$B$6+(4-1)*FORSIDE!$B$7,"")</f>
        <v/>
      </c>
    </row>
    <row r="1459" spans="1:4" x14ac:dyDescent="0.3">
      <c r="A1459" t="str">
        <f>IF(AND(FORSIDE!$B$8&gt;=6,FORSIDE!$F$8&gt;=6,FORSIDE!$B$5&gt;=5),1458,"")</f>
        <v/>
      </c>
      <c r="B1459" t="str">
        <f>IF(AND(FORSIDE!$B$8&gt;=6,FORSIDE!$F$8&gt;=6,FORSIDE!$B$5&gt;=5),354+6*FORSIDE!$F$9,"")</f>
        <v/>
      </c>
      <c r="C1459" t="str">
        <f>IF(AND(FORSIDE!$B$8&gt;=6,FORSIDE!$F$8&gt;=6,FORSIDE!$B$5&gt;=5),6*FORSIDE!$B$9,"")</f>
        <v/>
      </c>
      <c r="D1459" t="str">
        <f>IF(AND(FORSIDE!$B$8&gt;=6,FORSIDE!$F$8&gt;=6,FORSIDE!$B$5&gt;=5),FORSIDE!$B$6+(5-1)*FORSIDE!$B$7,"")</f>
        <v/>
      </c>
    </row>
    <row r="1460" spans="1:4" x14ac:dyDescent="0.3">
      <c r="A1460" t="str">
        <f>IF(AND(FORSIDE!$B$8&gt;=6,FORSIDE!$F$8&gt;=6,FORSIDE!$B$5&gt;=6),1459,"")</f>
        <v/>
      </c>
      <c r="B1460" t="str">
        <f>IF(AND(FORSIDE!$B$8&gt;=6,FORSIDE!$F$8&gt;=6,FORSIDE!$B$5&gt;=6),354+6*FORSIDE!$F$9,"")</f>
        <v/>
      </c>
      <c r="C1460" t="str">
        <f>IF(AND(FORSIDE!$B$8&gt;=6,FORSIDE!$F$8&gt;=6,FORSIDE!$B$5&gt;=6),6*FORSIDE!$B$9,"")</f>
        <v/>
      </c>
      <c r="D1460" t="str">
        <f>IF(AND(FORSIDE!$B$8&gt;=6,FORSIDE!$F$8&gt;=6,FORSIDE!$B$5&gt;=6),FORSIDE!$B$6+(6-1)*FORSIDE!$B$7,"")</f>
        <v/>
      </c>
    </row>
    <row r="1461" spans="1:4" x14ac:dyDescent="0.3">
      <c r="A1461" t="str">
        <f>IF(AND(FORSIDE!$B$8&gt;=6,FORSIDE!$F$8&gt;=6,FORSIDE!$B$5&gt;=7),1460,"")</f>
        <v/>
      </c>
      <c r="B1461" t="str">
        <f>IF(AND(FORSIDE!$B$8&gt;=6,FORSIDE!$F$8&gt;=6,FORSIDE!$B$5&gt;=7),354+6*FORSIDE!$F$9,"")</f>
        <v/>
      </c>
      <c r="C1461" t="str">
        <f>IF(AND(FORSIDE!$B$8&gt;=6,FORSIDE!$F$8&gt;=6,FORSIDE!$B$5&gt;=7),6*FORSIDE!$B$9,"")</f>
        <v/>
      </c>
      <c r="D1461" t="str">
        <f>IF(AND(FORSIDE!$B$8&gt;=6,FORSIDE!$F$8&gt;=6,FORSIDE!$B$5&gt;=7),FORSIDE!$B$6+(7-1)*FORSIDE!$B$7,"")</f>
        <v/>
      </c>
    </row>
    <row r="1462" spans="1:4" x14ac:dyDescent="0.3">
      <c r="A1462" t="str">
        <f>IF(AND(FORSIDE!$B$8&gt;=6,FORSIDE!$F$8&gt;=6,FORSIDE!$B$5&gt;=8),1461,"")</f>
        <v/>
      </c>
      <c r="B1462" t="str">
        <f>IF(AND(FORSIDE!$B$8&gt;=6,FORSIDE!$F$8&gt;=6,FORSIDE!$B$5&gt;=8),354+6*FORSIDE!$F$9,"")</f>
        <v/>
      </c>
      <c r="C1462" t="str">
        <f>IF(AND(FORSIDE!$B$8&gt;=6,FORSIDE!$F$8&gt;=6,FORSIDE!$B$5&gt;=8),6*FORSIDE!$B$9,"")</f>
        <v/>
      </c>
      <c r="D1462" t="str">
        <f>IF(AND(FORSIDE!$B$8&gt;=6,FORSIDE!$F$8&gt;=6,FORSIDE!$B$5&gt;=8),FORSIDE!$B$6+(8-1)*FORSIDE!$B$7,"")</f>
        <v/>
      </c>
    </row>
    <row r="1463" spans="1:4" x14ac:dyDescent="0.3">
      <c r="A1463" t="str">
        <f>IF(AND(FORSIDE!$B$8&gt;=6,FORSIDE!$F$8&gt;=6,FORSIDE!$B$5&gt;=9),1462,"")</f>
        <v/>
      </c>
      <c r="B1463" t="str">
        <f>IF(AND(FORSIDE!$B$8&gt;=6,FORSIDE!$F$8&gt;=6,FORSIDE!$B$5&gt;=9),354+6*FORSIDE!$F$9,"")</f>
        <v/>
      </c>
      <c r="C1463" t="str">
        <f>IF(AND(FORSIDE!$B$8&gt;=6,FORSIDE!$F$8&gt;=6,FORSIDE!$B$5&gt;=9),6*FORSIDE!$B$9,"")</f>
        <v/>
      </c>
      <c r="D1463" t="str">
        <f>IF(AND(FORSIDE!$B$8&gt;=6,FORSIDE!$F$8&gt;=6,FORSIDE!$B$5&gt;=9),FORSIDE!$B$6+(9-1)*FORSIDE!$B$7,"")</f>
        <v/>
      </c>
    </row>
    <row r="1464" spans="1:4" x14ac:dyDescent="0.3">
      <c r="A1464" t="str">
        <f>IF(AND(FORSIDE!$B$8&gt;=6,FORSIDE!$F$8&gt;=6,FORSIDE!$B$5&gt;=10),1463,"")</f>
        <v/>
      </c>
      <c r="B1464" t="str">
        <f>IF(AND(FORSIDE!$B$8&gt;=6,FORSIDE!$F$8&gt;=6,FORSIDE!$B$5&gt;=10),354+6*FORSIDE!$F$9,"")</f>
        <v/>
      </c>
      <c r="C1464" t="str">
        <f>IF(AND(FORSIDE!$B$8&gt;=6,FORSIDE!$F$8&gt;=6,FORSIDE!$B$5&gt;=10),6*FORSIDE!$B$9,"")</f>
        <v/>
      </c>
      <c r="D1464" t="str">
        <f>IF(AND(FORSIDE!$B$8&gt;=6,FORSIDE!$F$8&gt;=6,FORSIDE!$B$5&gt;=10),FORSIDE!$B$6+(10-1)*FORSIDE!$B$7,"")</f>
        <v/>
      </c>
    </row>
    <row r="1465" spans="1:4" x14ac:dyDescent="0.3">
      <c r="A1465" t="str">
        <f>IF(AND(FORSIDE!$B$8&gt;=7,FORSIDE!$F$8&gt;=6,FORSIDE!$B$5&gt;=0),1464,"")</f>
        <v/>
      </c>
      <c r="B1465" t="str">
        <f>IF(AND(FORSIDE!$B$8&gt;=7,FORSIDE!$F$8&gt;=6,FORSIDE!$B$5&gt;=0),354+6*FORSIDE!$F$9,"")</f>
        <v/>
      </c>
      <c r="C1465" t="str">
        <f>IF(AND(FORSIDE!$B$8&gt;=7,FORSIDE!$F$8&gt;=6,FORSIDE!$B$5&gt;=0),7*FORSIDE!$B$9,"")</f>
        <v/>
      </c>
      <c r="D1465" t="str">
        <f>IF(AND(FORSIDE!$B$8&gt;=7,FORSIDE!$F$8&gt;=6,FORSIDE!$B$5&gt;=0),0,"")</f>
        <v/>
      </c>
    </row>
    <row r="1466" spans="1:4" x14ac:dyDescent="0.3">
      <c r="A1466" t="str">
        <f>IF(AND(FORSIDE!$B$8&gt;=7,FORSIDE!$F$8&gt;=6,FORSIDE!$B$5&gt;=1),1465,"")</f>
        <v/>
      </c>
      <c r="B1466" t="str">
        <f>IF(AND(FORSIDE!$B$8&gt;=7,FORSIDE!$F$8&gt;=6,FORSIDE!$B$5&gt;=1),354+6*FORSIDE!$F$9,"")</f>
        <v/>
      </c>
      <c r="C1466" t="str">
        <f>IF(AND(FORSIDE!$B$8&gt;=7,FORSIDE!$F$8&gt;=6,FORSIDE!$B$5&gt;=1),7*FORSIDE!$B$9,"")</f>
        <v/>
      </c>
      <c r="D1466" t="str">
        <f>IF(AND(FORSIDE!$B$8&gt;=7,FORSIDE!$F$8&gt;=6,FORSIDE!$B$5&gt;=1),FORSIDE!$B$6+(1-1)*FORSIDE!$B$7,"")</f>
        <v/>
      </c>
    </row>
    <row r="1467" spans="1:4" x14ac:dyDescent="0.3">
      <c r="A1467" t="str">
        <f>IF(AND(FORSIDE!$B$8&gt;=7,FORSIDE!$F$8&gt;=6,FORSIDE!$B$5&gt;=2),1466,"")</f>
        <v/>
      </c>
      <c r="B1467" t="str">
        <f>IF(AND(FORSIDE!$B$8&gt;=7,FORSIDE!$F$8&gt;=6,FORSIDE!$B$5&gt;=2),354+6*FORSIDE!$F$9,"")</f>
        <v/>
      </c>
      <c r="C1467" t="str">
        <f>IF(AND(FORSIDE!$B$8&gt;=7,FORSIDE!$F$8&gt;=6,FORSIDE!$B$5&gt;=2),7*FORSIDE!$B$9,"")</f>
        <v/>
      </c>
      <c r="D1467" t="str">
        <f>IF(AND(FORSIDE!$B$8&gt;=7,FORSIDE!$F$8&gt;=6,FORSIDE!$B$5&gt;=2),FORSIDE!$B$6+(2-1)*FORSIDE!$B$7,"")</f>
        <v/>
      </c>
    </row>
    <row r="1468" spans="1:4" x14ac:dyDescent="0.3">
      <c r="A1468" t="str">
        <f>IF(AND(FORSIDE!$B$8&gt;=7,FORSIDE!$F$8&gt;=6,FORSIDE!$B$5&gt;=3),1467,"")</f>
        <v/>
      </c>
      <c r="B1468" t="str">
        <f>IF(AND(FORSIDE!$B$8&gt;=7,FORSIDE!$F$8&gt;=6,FORSIDE!$B$5&gt;=3),354+6*FORSIDE!$F$9,"")</f>
        <v/>
      </c>
      <c r="C1468" t="str">
        <f>IF(AND(FORSIDE!$B$8&gt;=7,FORSIDE!$F$8&gt;=6,FORSIDE!$B$5&gt;=3),7*FORSIDE!$B$9,"")</f>
        <v/>
      </c>
      <c r="D1468" t="str">
        <f>IF(AND(FORSIDE!$B$8&gt;=7,FORSIDE!$F$8&gt;=6,FORSIDE!$B$5&gt;=3),FORSIDE!$B$6+(3-1)*FORSIDE!$B$7,"")</f>
        <v/>
      </c>
    </row>
    <row r="1469" spans="1:4" x14ac:dyDescent="0.3">
      <c r="A1469" t="str">
        <f>IF(AND(FORSIDE!$B$8&gt;=7,FORSIDE!$F$8&gt;=6,FORSIDE!$B$5&gt;=4),1468,"")</f>
        <v/>
      </c>
      <c r="B1469" t="str">
        <f>IF(AND(FORSIDE!$B$8&gt;=7,FORSIDE!$F$8&gt;=6,FORSIDE!$B$5&gt;=4),354+6*FORSIDE!$F$9,"")</f>
        <v/>
      </c>
      <c r="C1469" t="str">
        <f>IF(AND(FORSIDE!$B$8&gt;=7,FORSIDE!$F$8&gt;=6,FORSIDE!$B$5&gt;=4),7*FORSIDE!$B$9,"")</f>
        <v/>
      </c>
      <c r="D1469" t="str">
        <f>IF(AND(FORSIDE!$B$8&gt;=7,FORSIDE!$F$8&gt;=6,FORSIDE!$B$5&gt;=4),FORSIDE!$B$6+(4-1)*FORSIDE!$B$7,"")</f>
        <v/>
      </c>
    </row>
    <row r="1470" spans="1:4" x14ac:dyDescent="0.3">
      <c r="A1470" t="str">
        <f>IF(AND(FORSIDE!$B$8&gt;=7,FORSIDE!$F$8&gt;=6,FORSIDE!$B$5&gt;=5),1469,"")</f>
        <v/>
      </c>
      <c r="B1470" t="str">
        <f>IF(AND(FORSIDE!$B$8&gt;=7,FORSIDE!$F$8&gt;=6,FORSIDE!$B$5&gt;=5),354+6*FORSIDE!$F$9,"")</f>
        <v/>
      </c>
      <c r="C1470" t="str">
        <f>IF(AND(FORSIDE!$B$8&gt;=7,FORSIDE!$F$8&gt;=6,FORSIDE!$B$5&gt;=5),7*FORSIDE!$B$9,"")</f>
        <v/>
      </c>
      <c r="D1470" t="str">
        <f>IF(AND(FORSIDE!$B$8&gt;=7,FORSIDE!$F$8&gt;=6,FORSIDE!$B$5&gt;=5),FORSIDE!$B$6+(5-1)*FORSIDE!$B$7,"")</f>
        <v/>
      </c>
    </row>
    <row r="1471" spans="1:4" x14ac:dyDescent="0.3">
      <c r="A1471" t="str">
        <f>IF(AND(FORSIDE!$B$8&gt;=7,FORSIDE!$F$8&gt;=6,FORSIDE!$B$5&gt;=6),1470,"")</f>
        <v/>
      </c>
      <c r="B1471" t="str">
        <f>IF(AND(FORSIDE!$B$8&gt;=7,FORSIDE!$F$8&gt;=6,FORSIDE!$B$5&gt;=6),354+6*FORSIDE!$F$9,"")</f>
        <v/>
      </c>
      <c r="C1471" t="str">
        <f>IF(AND(FORSIDE!$B$8&gt;=7,FORSIDE!$F$8&gt;=6,FORSIDE!$B$5&gt;=6),7*FORSIDE!$B$9,"")</f>
        <v/>
      </c>
      <c r="D1471" t="str">
        <f>IF(AND(FORSIDE!$B$8&gt;=7,FORSIDE!$F$8&gt;=6,FORSIDE!$B$5&gt;=6),FORSIDE!$B$6+(6-1)*FORSIDE!$B$7,"")</f>
        <v/>
      </c>
    </row>
    <row r="1472" spans="1:4" x14ac:dyDescent="0.3">
      <c r="A1472" t="str">
        <f>IF(AND(FORSIDE!$B$8&gt;=7,FORSIDE!$F$8&gt;=6,FORSIDE!$B$5&gt;=7),1471,"")</f>
        <v/>
      </c>
      <c r="B1472" t="str">
        <f>IF(AND(FORSIDE!$B$8&gt;=7,FORSIDE!$F$8&gt;=6,FORSIDE!$B$5&gt;=7),354+6*FORSIDE!$F$9,"")</f>
        <v/>
      </c>
      <c r="C1472" t="str">
        <f>IF(AND(FORSIDE!$B$8&gt;=7,FORSIDE!$F$8&gt;=6,FORSIDE!$B$5&gt;=7),7*FORSIDE!$B$9,"")</f>
        <v/>
      </c>
      <c r="D1472" t="str">
        <f>IF(AND(FORSIDE!$B$8&gt;=7,FORSIDE!$F$8&gt;=6,FORSIDE!$B$5&gt;=7),FORSIDE!$B$6+(7-1)*FORSIDE!$B$7,"")</f>
        <v/>
      </c>
    </row>
    <row r="1473" spans="1:4" x14ac:dyDescent="0.3">
      <c r="A1473" t="str">
        <f>IF(AND(FORSIDE!$B$8&gt;=7,FORSIDE!$F$8&gt;=6,FORSIDE!$B$5&gt;=8),1472,"")</f>
        <v/>
      </c>
      <c r="B1473" t="str">
        <f>IF(AND(FORSIDE!$B$8&gt;=7,FORSIDE!$F$8&gt;=6,FORSIDE!$B$5&gt;=8),354+6*FORSIDE!$F$9,"")</f>
        <v/>
      </c>
      <c r="C1473" t="str">
        <f>IF(AND(FORSIDE!$B$8&gt;=7,FORSIDE!$F$8&gt;=6,FORSIDE!$B$5&gt;=8),7*FORSIDE!$B$9,"")</f>
        <v/>
      </c>
      <c r="D1473" t="str">
        <f>IF(AND(FORSIDE!$B$8&gt;=7,FORSIDE!$F$8&gt;=6,FORSIDE!$B$5&gt;=8),FORSIDE!$B$6+(8-1)*FORSIDE!$B$7,"")</f>
        <v/>
      </c>
    </row>
    <row r="1474" spans="1:4" x14ac:dyDescent="0.3">
      <c r="A1474" t="str">
        <f>IF(AND(FORSIDE!$B$8&gt;=7,FORSIDE!$F$8&gt;=6,FORSIDE!$B$5&gt;=9),1473,"")</f>
        <v/>
      </c>
      <c r="B1474" t="str">
        <f>IF(AND(FORSIDE!$B$8&gt;=7,FORSIDE!$F$8&gt;=6,FORSIDE!$B$5&gt;=9),354+6*FORSIDE!$F$9,"")</f>
        <v/>
      </c>
      <c r="C1474" t="str">
        <f>IF(AND(FORSIDE!$B$8&gt;=7,FORSIDE!$F$8&gt;=6,FORSIDE!$B$5&gt;=9),7*FORSIDE!$B$9,"")</f>
        <v/>
      </c>
      <c r="D1474" t="str">
        <f>IF(AND(FORSIDE!$B$8&gt;=7,FORSIDE!$F$8&gt;=6,FORSIDE!$B$5&gt;=9),FORSIDE!$B$6+(9-1)*FORSIDE!$B$7,"")</f>
        <v/>
      </c>
    </row>
    <row r="1475" spans="1:4" x14ac:dyDescent="0.3">
      <c r="A1475" t="str">
        <f>IF(AND(FORSIDE!$B$8&gt;=7,FORSIDE!$F$8&gt;=6,FORSIDE!$B$5&gt;=10),1474,"")</f>
        <v/>
      </c>
      <c r="B1475" t="str">
        <f>IF(AND(FORSIDE!$B$8&gt;=7,FORSIDE!$F$8&gt;=6,FORSIDE!$B$5&gt;=10),354+6*FORSIDE!$F$9,"")</f>
        <v/>
      </c>
      <c r="C1475" t="str">
        <f>IF(AND(FORSIDE!$B$8&gt;=7,FORSIDE!$F$8&gt;=6,FORSIDE!$B$5&gt;=10),7*FORSIDE!$B$9,"")</f>
        <v/>
      </c>
      <c r="D1475" t="str">
        <f>IF(AND(FORSIDE!$B$8&gt;=7,FORSIDE!$F$8&gt;=6,FORSIDE!$B$5&gt;=10),FORSIDE!$B$6+(10-1)*FORSIDE!$B$7,"")</f>
        <v/>
      </c>
    </row>
    <row r="1476" spans="1:4" x14ac:dyDescent="0.3">
      <c r="A1476" t="str">
        <f>IF(AND(FORSIDE!$B$8&gt;=8,FORSIDE!$F$8&gt;=6,FORSIDE!$B$5&gt;=0),1475,"")</f>
        <v/>
      </c>
      <c r="B1476" t="str">
        <f>IF(AND(FORSIDE!$B$8&gt;=8,FORSIDE!$F$8&gt;=6,FORSIDE!$B$5&gt;=0),354+6*FORSIDE!$F$9,"")</f>
        <v/>
      </c>
      <c r="C1476" t="str">
        <f>IF(AND(FORSIDE!$B$8&gt;=8,FORSIDE!$F$8&gt;=6,FORSIDE!$B$5&gt;=0),8*FORSIDE!$B$9,"")</f>
        <v/>
      </c>
      <c r="D1476" t="str">
        <f>IF(AND(FORSIDE!$B$8&gt;=8,FORSIDE!$F$8&gt;=6,FORSIDE!$B$5&gt;=0),0,"")</f>
        <v/>
      </c>
    </row>
    <row r="1477" spans="1:4" x14ac:dyDescent="0.3">
      <c r="A1477" t="str">
        <f>IF(AND(FORSIDE!$B$8&gt;=8,FORSIDE!$F$8&gt;=6,FORSIDE!$B$5&gt;=1),1476,"")</f>
        <v/>
      </c>
      <c r="B1477" t="str">
        <f>IF(AND(FORSIDE!$B$8&gt;=8,FORSIDE!$F$8&gt;=6,FORSIDE!$B$5&gt;=1),354+6*FORSIDE!$F$9,"")</f>
        <v/>
      </c>
      <c r="C1477" t="str">
        <f>IF(AND(FORSIDE!$B$8&gt;=8,FORSIDE!$F$8&gt;=6,FORSIDE!$B$5&gt;=1),8*FORSIDE!$B$9,"")</f>
        <v/>
      </c>
      <c r="D1477" t="str">
        <f>IF(AND(FORSIDE!$B$8&gt;=8,FORSIDE!$F$8&gt;=6,FORSIDE!$B$5&gt;=1),FORSIDE!$B$6+(1-1)*FORSIDE!$B$7,"")</f>
        <v/>
      </c>
    </row>
    <row r="1478" spans="1:4" x14ac:dyDescent="0.3">
      <c r="A1478" t="str">
        <f>IF(AND(FORSIDE!$B$8&gt;=8,FORSIDE!$F$8&gt;=6,FORSIDE!$B$5&gt;=2),1477,"")</f>
        <v/>
      </c>
      <c r="B1478" t="str">
        <f>IF(AND(FORSIDE!$B$8&gt;=8,FORSIDE!$F$8&gt;=6,FORSIDE!$B$5&gt;=2),354+6*FORSIDE!$F$9,"")</f>
        <v/>
      </c>
      <c r="C1478" t="str">
        <f>IF(AND(FORSIDE!$B$8&gt;=8,FORSIDE!$F$8&gt;=6,FORSIDE!$B$5&gt;=2),8*FORSIDE!$B$9,"")</f>
        <v/>
      </c>
      <c r="D1478" t="str">
        <f>IF(AND(FORSIDE!$B$8&gt;=8,FORSIDE!$F$8&gt;=6,FORSIDE!$B$5&gt;=2),FORSIDE!$B$6+(2-1)*FORSIDE!$B$7,"")</f>
        <v/>
      </c>
    </row>
    <row r="1479" spans="1:4" x14ac:dyDescent="0.3">
      <c r="A1479" t="str">
        <f>IF(AND(FORSIDE!$B$8&gt;=8,FORSIDE!$F$8&gt;=6,FORSIDE!$B$5&gt;=3),1478,"")</f>
        <v/>
      </c>
      <c r="B1479" t="str">
        <f>IF(AND(FORSIDE!$B$8&gt;=8,FORSIDE!$F$8&gt;=6,FORSIDE!$B$5&gt;=3),354+6*FORSIDE!$F$9,"")</f>
        <v/>
      </c>
      <c r="C1479" t="str">
        <f>IF(AND(FORSIDE!$B$8&gt;=8,FORSIDE!$F$8&gt;=6,FORSIDE!$B$5&gt;=3),8*FORSIDE!$B$9,"")</f>
        <v/>
      </c>
      <c r="D1479" t="str">
        <f>IF(AND(FORSIDE!$B$8&gt;=8,FORSIDE!$F$8&gt;=6,FORSIDE!$B$5&gt;=3),FORSIDE!$B$6+(3-1)*FORSIDE!$B$7,"")</f>
        <v/>
      </c>
    </row>
    <row r="1480" spans="1:4" x14ac:dyDescent="0.3">
      <c r="A1480" t="str">
        <f>IF(AND(FORSIDE!$B$8&gt;=8,FORSIDE!$F$8&gt;=6,FORSIDE!$B$5&gt;=4),1479,"")</f>
        <v/>
      </c>
      <c r="B1480" t="str">
        <f>IF(AND(FORSIDE!$B$8&gt;=8,FORSIDE!$F$8&gt;=6,FORSIDE!$B$5&gt;=4),354+6*FORSIDE!$F$9,"")</f>
        <v/>
      </c>
      <c r="C1480" t="str">
        <f>IF(AND(FORSIDE!$B$8&gt;=8,FORSIDE!$F$8&gt;=6,FORSIDE!$B$5&gt;=4),8*FORSIDE!$B$9,"")</f>
        <v/>
      </c>
      <c r="D1480" t="str">
        <f>IF(AND(FORSIDE!$B$8&gt;=8,FORSIDE!$F$8&gt;=6,FORSIDE!$B$5&gt;=4),FORSIDE!$B$6+(4-1)*FORSIDE!$B$7,"")</f>
        <v/>
      </c>
    </row>
    <row r="1481" spans="1:4" x14ac:dyDescent="0.3">
      <c r="A1481" t="str">
        <f>IF(AND(FORSIDE!$B$8&gt;=8,FORSIDE!$F$8&gt;=6,FORSIDE!$B$5&gt;=5),1480,"")</f>
        <v/>
      </c>
      <c r="B1481" t="str">
        <f>IF(AND(FORSIDE!$B$8&gt;=8,FORSIDE!$F$8&gt;=6,FORSIDE!$B$5&gt;=5),354+6*FORSIDE!$F$9,"")</f>
        <v/>
      </c>
      <c r="C1481" t="str">
        <f>IF(AND(FORSIDE!$B$8&gt;=8,FORSIDE!$F$8&gt;=6,FORSIDE!$B$5&gt;=5),8*FORSIDE!$B$9,"")</f>
        <v/>
      </c>
      <c r="D1481" t="str">
        <f>IF(AND(FORSIDE!$B$8&gt;=8,FORSIDE!$F$8&gt;=6,FORSIDE!$B$5&gt;=5),FORSIDE!$B$6+(5-1)*FORSIDE!$B$7,"")</f>
        <v/>
      </c>
    </row>
    <row r="1482" spans="1:4" x14ac:dyDescent="0.3">
      <c r="A1482" t="str">
        <f>IF(AND(FORSIDE!$B$8&gt;=8,FORSIDE!$F$8&gt;=6,FORSIDE!$B$5&gt;=6),1481,"")</f>
        <v/>
      </c>
      <c r="B1482" t="str">
        <f>IF(AND(FORSIDE!$B$8&gt;=8,FORSIDE!$F$8&gt;=6,FORSIDE!$B$5&gt;=6),354+6*FORSIDE!$F$9,"")</f>
        <v/>
      </c>
      <c r="C1482" t="str">
        <f>IF(AND(FORSIDE!$B$8&gt;=8,FORSIDE!$F$8&gt;=6,FORSIDE!$B$5&gt;=6),8*FORSIDE!$B$9,"")</f>
        <v/>
      </c>
      <c r="D1482" t="str">
        <f>IF(AND(FORSIDE!$B$8&gt;=8,FORSIDE!$F$8&gt;=6,FORSIDE!$B$5&gt;=6),FORSIDE!$B$6+(6-1)*FORSIDE!$B$7,"")</f>
        <v/>
      </c>
    </row>
    <row r="1483" spans="1:4" x14ac:dyDescent="0.3">
      <c r="A1483" t="str">
        <f>IF(AND(FORSIDE!$B$8&gt;=8,FORSIDE!$F$8&gt;=6,FORSIDE!$B$5&gt;=7),1482,"")</f>
        <v/>
      </c>
      <c r="B1483" t="str">
        <f>IF(AND(FORSIDE!$B$8&gt;=8,FORSIDE!$F$8&gt;=6,FORSIDE!$B$5&gt;=7),354+6*FORSIDE!$F$9,"")</f>
        <v/>
      </c>
      <c r="C1483" t="str">
        <f>IF(AND(FORSIDE!$B$8&gt;=8,FORSIDE!$F$8&gt;=6,FORSIDE!$B$5&gt;=7),8*FORSIDE!$B$9,"")</f>
        <v/>
      </c>
      <c r="D1483" t="str">
        <f>IF(AND(FORSIDE!$B$8&gt;=8,FORSIDE!$F$8&gt;=6,FORSIDE!$B$5&gt;=7),FORSIDE!$B$6+(7-1)*FORSIDE!$B$7,"")</f>
        <v/>
      </c>
    </row>
    <row r="1484" spans="1:4" x14ac:dyDescent="0.3">
      <c r="A1484" t="str">
        <f>IF(AND(FORSIDE!$B$8&gt;=8,FORSIDE!$F$8&gt;=6,FORSIDE!$B$5&gt;=8),1483,"")</f>
        <v/>
      </c>
      <c r="B1484" t="str">
        <f>IF(AND(FORSIDE!$B$8&gt;=8,FORSIDE!$F$8&gt;=6,FORSIDE!$B$5&gt;=8),354+6*FORSIDE!$F$9,"")</f>
        <v/>
      </c>
      <c r="C1484" t="str">
        <f>IF(AND(FORSIDE!$B$8&gt;=8,FORSIDE!$F$8&gt;=6,FORSIDE!$B$5&gt;=8),8*FORSIDE!$B$9,"")</f>
        <v/>
      </c>
      <c r="D1484" t="str">
        <f>IF(AND(FORSIDE!$B$8&gt;=8,FORSIDE!$F$8&gt;=6,FORSIDE!$B$5&gt;=8),FORSIDE!$B$6+(8-1)*FORSIDE!$B$7,"")</f>
        <v/>
      </c>
    </row>
    <row r="1485" spans="1:4" x14ac:dyDescent="0.3">
      <c r="A1485" t="str">
        <f>IF(AND(FORSIDE!$B$8&gt;=8,FORSIDE!$F$8&gt;=6,FORSIDE!$B$5&gt;=9),1484,"")</f>
        <v/>
      </c>
      <c r="B1485" t="str">
        <f>IF(AND(FORSIDE!$B$8&gt;=8,FORSIDE!$F$8&gt;=6,FORSIDE!$B$5&gt;=9),354+6*FORSIDE!$F$9,"")</f>
        <v/>
      </c>
      <c r="C1485" t="str">
        <f>IF(AND(FORSIDE!$B$8&gt;=8,FORSIDE!$F$8&gt;=6,FORSIDE!$B$5&gt;=9),8*FORSIDE!$B$9,"")</f>
        <v/>
      </c>
      <c r="D1485" t="str">
        <f>IF(AND(FORSIDE!$B$8&gt;=8,FORSIDE!$F$8&gt;=6,FORSIDE!$B$5&gt;=9),FORSIDE!$B$6+(9-1)*FORSIDE!$B$7,"")</f>
        <v/>
      </c>
    </row>
    <row r="1486" spans="1:4" x14ac:dyDescent="0.3">
      <c r="A1486" t="str">
        <f>IF(AND(FORSIDE!$B$8&gt;=8,FORSIDE!$F$8&gt;=6,FORSIDE!$B$5&gt;=10),1485,"")</f>
        <v/>
      </c>
      <c r="B1486" t="str">
        <f>IF(AND(FORSIDE!$B$8&gt;=8,FORSIDE!$F$8&gt;=6,FORSIDE!$B$5&gt;=10),354+6*FORSIDE!$F$9,"")</f>
        <v/>
      </c>
      <c r="C1486" t="str">
        <f>IF(AND(FORSIDE!$B$8&gt;=8,FORSIDE!$F$8&gt;=6,FORSIDE!$B$5&gt;=10),8*FORSIDE!$B$9,"")</f>
        <v/>
      </c>
      <c r="D1486" t="str">
        <f>IF(AND(FORSIDE!$B$8&gt;=8,FORSIDE!$F$8&gt;=6,FORSIDE!$B$5&gt;=10),FORSIDE!$B$6+(10-1)*FORSIDE!$B$7,"")</f>
        <v/>
      </c>
    </row>
    <row r="1487" spans="1:4" x14ac:dyDescent="0.3">
      <c r="A1487" t="str">
        <f>IF(AND(FORSIDE!$B$8&gt;=9,FORSIDE!$F$8&gt;=6,FORSIDE!$B$5&gt;=0),1486,"")</f>
        <v/>
      </c>
      <c r="B1487" t="str">
        <f>IF(AND(FORSIDE!$B$8&gt;=9,FORSIDE!$F$8&gt;=6,FORSIDE!$B$5&gt;=0),354+6*FORSIDE!$F$9,"")</f>
        <v/>
      </c>
      <c r="C1487" t="str">
        <f>IF(AND(FORSIDE!$B$8&gt;=9,FORSIDE!$F$8&gt;=6,FORSIDE!$B$5&gt;=0),9*FORSIDE!$B$9,"")</f>
        <v/>
      </c>
      <c r="D1487" t="str">
        <f>IF(AND(FORSIDE!$B$8&gt;=9,FORSIDE!$F$8&gt;=6,FORSIDE!$B$5&gt;=0),0,"")</f>
        <v/>
      </c>
    </row>
    <row r="1488" spans="1:4" x14ac:dyDescent="0.3">
      <c r="A1488" t="str">
        <f>IF(AND(FORSIDE!$B$8&gt;=9,FORSIDE!$F$8&gt;=6,FORSIDE!$B$5&gt;=1),1487,"")</f>
        <v/>
      </c>
      <c r="B1488" t="str">
        <f>IF(AND(FORSIDE!$B$8&gt;=9,FORSIDE!$F$8&gt;=6,FORSIDE!$B$5&gt;=1),354+6*FORSIDE!$F$9,"")</f>
        <v/>
      </c>
      <c r="C1488" t="str">
        <f>IF(AND(FORSIDE!$B$8&gt;=9,FORSIDE!$F$8&gt;=6,FORSIDE!$B$5&gt;=1),9*FORSIDE!$B$9,"")</f>
        <v/>
      </c>
      <c r="D1488" t="str">
        <f>IF(AND(FORSIDE!$B$8&gt;=9,FORSIDE!$F$8&gt;=6,FORSIDE!$B$5&gt;=1),FORSIDE!$B$6+(1-1)*FORSIDE!$B$7,"")</f>
        <v/>
      </c>
    </row>
    <row r="1489" spans="1:4" x14ac:dyDescent="0.3">
      <c r="A1489" t="str">
        <f>IF(AND(FORSIDE!$B$8&gt;=9,FORSIDE!$F$8&gt;=6,FORSIDE!$B$5&gt;=2),1488,"")</f>
        <v/>
      </c>
      <c r="B1489" t="str">
        <f>IF(AND(FORSIDE!$B$8&gt;=9,FORSIDE!$F$8&gt;=6,FORSIDE!$B$5&gt;=2),354+6*FORSIDE!$F$9,"")</f>
        <v/>
      </c>
      <c r="C1489" t="str">
        <f>IF(AND(FORSIDE!$B$8&gt;=9,FORSIDE!$F$8&gt;=6,FORSIDE!$B$5&gt;=2),9*FORSIDE!$B$9,"")</f>
        <v/>
      </c>
      <c r="D1489" t="str">
        <f>IF(AND(FORSIDE!$B$8&gt;=9,FORSIDE!$F$8&gt;=6,FORSIDE!$B$5&gt;=2),FORSIDE!$B$6+(2-1)*FORSIDE!$B$7,"")</f>
        <v/>
      </c>
    </row>
    <row r="1490" spans="1:4" x14ac:dyDescent="0.3">
      <c r="A1490" t="str">
        <f>IF(AND(FORSIDE!$B$8&gt;=9,FORSIDE!$F$8&gt;=6,FORSIDE!$B$5&gt;=3),1489,"")</f>
        <v/>
      </c>
      <c r="B1490" t="str">
        <f>IF(AND(FORSIDE!$B$8&gt;=9,FORSIDE!$F$8&gt;=6,FORSIDE!$B$5&gt;=3),354+6*FORSIDE!$F$9,"")</f>
        <v/>
      </c>
      <c r="C1490" t="str">
        <f>IF(AND(FORSIDE!$B$8&gt;=9,FORSIDE!$F$8&gt;=6,FORSIDE!$B$5&gt;=3),9*FORSIDE!$B$9,"")</f>
        <v/>
      </c>
      <c r="D1490" t="str">
        <f>IF(AND(FORSIDE!$B$8&gt;=9,FORSIDE!$F$8&gt;=6,FORSIDE!$B$5&gt;=3),FORSIDE!$B$6+(3-1)*FORSIDE!$B$7,"")</f>
        <v/>
      </c>
    </row>
    <row r="1491" spans="1:4" x14ac:dyDescent="0.3">
      <c r="A1491" t="str">
        <f>IF(AND(FORSIDE!$B$8&gt;=9,FORSIDE!$F$8&gt;=6,FORSIDE!$B$5&gt;=4),1490,"")</f>
        <v/>
      </c>
      <c r="B1491" t="str">
        <f>IF(AND(FORSIDE!$B$8&gt;=9,FORSIDE!$F$8&gt;=6,FORSIDE!$B$5&gt;=4),354+6*FORSIDE!$F$9,"")</f>
        <v/>
      </c>
      <c r="C1491" t="str">
        <f>IF(AND(FORSIDE!$B$8&gt;=9,FORSIDE!$F$8&gt;=6,FORSIDE!$B$5&gt;=4),9*FORSIDE!$B$9,"")</f>
        <v/>
      </c>
      <c r="D1491" t="str">
        <f>IF(AND(FORSIDE!$B$8&gt;=9,FORSIDE!$F$8&gt;=6,FORSIDE!$B$5&gt;=4),FORSIDE!$B$6+(4-1)*FORSIDE!$B$7,"")</f>
        <v/>
      </c>
    </row>
    <row r="1492" spans="1:4" x14ac:dyDescent="0.3">
      <c r="A1492" t="str">
        <f>IF(AND(FORSIDE!$B$8&gt;=9,FORSIDE!$F$8&gt;=6,FORSIDE!$B$5&gt;=5),1491,"")</f>
        <v/>
      </c>
      <c r="B1492" t="str">
        <f>IF(AND(FORSIDE!$B$8&gt;=9,FORSIDE!$F$8&gt;=6,FORSIDE!$B$5&gt;=5),354+6*FORSIDE!$F$9,"")</f>
        <v/>
      </c>
      <c r="C1492" t="str">
        <f>IF(AND(FORSIDE!$B$8&gt;=9,FORSIDE!$F$8&gt;=6,FORSIDE!$B$5&gt;=5),9*FORSIDE!$B$9,"")</f>
        <v/>
      </c>
      <c r="D1492" t="str">
        <f>IF(AND(FORSIDE!$B$8&gt;=9,FORSIDE!$F$8&gt;=6,FORSIDE!$B$5&gt;=5),FORSIDE!$B$6+(5-1)*FORSIDE!$B$7,"")</f>
        <v/>
      </c>
    </row>
    <row r="1493" spans="1:4" x14ac:dyDescent="0.3">
      <c r="A1493" t="str">
        <f>IF(AND(FORSIDE!$B$8&gt;=9,FORSIDE!$F$8&gt;=6,FORSIDE!$B$5&gt;=6),1492,"")</f>
        <v/>
      </c>
      <c r="B1493" t="str">
        <f>IF(AND(FORSIDE!$B$8&gt;=9,FORSIDE!$F$8&gt;=6,FORSIDE!$B$5&gt;=6),354+6*FORSIDE!$F$9,"")</f>
        <v/>
      </c>
      <c r="C1493" t="str">
        <f>IF(AND(FORSIDE!$B$8&gt;=9,FORSIDE!$F$8&gt;=6,FORSIDE!$B$5&gt;=6),9*FORSIDE!$B$9,"")</f>
        <v/>
      </c>
      <c r="D1493" t="str">
        <f>IF(AND(FORSIDE!$B$8&gt;=9,FORSIDE!$F$8&gt;=6,FORSIDE!$B$5&gt;=6),FORSIDE!$B$6+(6-1)*FORSIDE!$B$7,"")</f>
        <v/>
      </c>
    </row>
    <row r="1494" spans="1:4" x14ac:dyDescent="0.3">
      <c r="A1494" t="str">
        <f>IF(AND(FORSIDE!$B$8&gt;=9,FORSIDE!$F$8&gt;=6,FORSIDE!$B$5&gt;=7),1493,"")</f>
        <v/>
      </c>
      <c r="B1494" t="str">
        <f>IF(AND(FORSIDE!$B$8&gt;=9,FORSIDE!$F$8&gt;=6,FORSIDE!$B$5&gt;=7),354+6*FORSIDE!$F$9,"")</f>
        <v/>
      </c>
      <c r="C1494" t="str">
        <f>IF(AND(FORSIDE!$B$8&gt;=9,FORSIDE!$F$8&gt;=6,FORSIDE!$B$5&gt;=7),9*FORSIDE!$B$9,"")</f>
        <v/>
      </c>
      <c r="D1494" t="str">
        <f>IF(AND(FORSIDE!$B$8&gt;=9,FORSIDE!$F$8&gt;=6,FORSIDE!$B$5&gt;=7),FORSIDE!$B$6+(7-1)*FORSIDE!$B$7,"")</f>
        <v/>
      </c>
    </row>
    <row r="1495" spans="1:4" x14ac:dyDescent="0.3">
      <c r="A1495" t="str">
        <f>IF(AND(FORSIDE!$B$8&gt;=9,FORSIDE!$F$8&gt;=6,FORSIDE!$B$5&gt;=8),1494,"")</f>
        <v/>
      </c>
      <c r="B1495" t="str">
        <f>IF(AND(FORSIDE!$B$8&gt;=9,FORSIDE!$F$8&gt;=6,FORSIDE!$B$5&gt;=8),354+6*FORSIDE!$F$9,"")</f>
        <v/>
      </c>
      <c r="C1495" t="str">
        <f>IF(AND(FORSIDE!$B$8&gt;=9,FORSIDE!$F$8&gt;=6,FORSIDE!$B$5&gt;=8),9*FORSIDE!$B$9,"")</f>
        <v/>
      </c>
      <c r="D1495" t="str">
        <f>IF(AND(FORSIDE!$B$8&gt;=9,FORSIDE!$F$8&gt;=6,FORSIDE!$B$5&gt;=8),FORSIDE!$B$6+(8-1)*FORSIDE!$B$7,"")</f>
        <v/>
      </c>
    </row>
    <row r="1496" spans="1:4" x14ac:dyDescent="0.3">
      <c r="A1496" t="str">
        <f>IF(AND(FORSIDE!$B$8&gt;=9,FORSIDE!$F$8&gt;=6,FORSIDE!$B$5&gt;=9),1495,"")</f>
        <v/>
      </c>
      <c r="B1496" t="str">
        <f>IF(AND(FORSIDE!$B$8&gt;=9,FORSIDE!$F$8&gt;=6,FORSIDE!$B$5&gt;=9),354+6*FORSIDE!$F$9,"")</f>
        <v/>
      </c>
      <c r="C1496" t="str">
        <f>IF(AND(FORSIDE!$B$8&gt;=9,FORSIDE!$F$8&gt;=6,FORSIDE!$B$5&gt;=9),9*FORSIDE!$B$9,"")</f>
        <v/>
      </c>
      <c r="D1496" t="str">
        <f>IF(AND(FORSIDE!$B$8&gt;=9,FORSIDE!$F$8&gt;=6,FORSIDE!$B$5&gt;=9),FORSIDE!$B$6+(9-1)*FORSIDE!$B$7,"")</f>
        <v/>
      </c>
    </row>
    <row r="1497" spans="1:4" x14ac:dyDescent="0.3">
      <c r="A1497" t="str">
        <f>IF(AND(FORSIDE!$B$8&gt;=9,FORSIDE!$F$8&gt;=6,FORSIDE!$B$5&gt;=10),1496,"")</f>
        <v/>
      </c>
      <c r="B1497" t="str">
        <f>IF(AND(FORSIDE!$B$8&gt;=9,FORSIDE!$F$8&gt;=6,FORSIDE!$B$5&gt;=10),354+6*FORSIDE!$F$9,"")</f>
        <v/>
      </c>
      <c r="C1497" t="str">
        <f>IF(AND(FORSIDE!$B$8&gt;=9,FORSIDE!$F$8&gt;=6,FORSIDE!$B$5&gt;=10),9*FORSIDE!$B$9,"")</f>
        <v/>
      </c>
      <c r="D1497" t="str">
        <f>IF(AND(FORSIDE!$B$8&gt;=9,FORSIDE!$F$8&gt;=6,FORSIDE!$B$5&gt;=10),FORSIDE!$B$6+(10-1)*FORSIDE!$B$7,"")</f>
        <v/>
      </c>
    </row>
    <row r="1498" spans="1:4" x14ac:dyDescent="0.3">
      <c r="A1498" t="str">
        <f>IF(AND(FORSIDE!$B$8&gt;=10,FORSIDE!$F$8&gt;=6,FORSIDE!$B$5&gt;=0),1497,"")</f>
        <v/>
      </c>
      <c r="B1498" t="str">
        <f>IF(AND(FORSIDE!$B$8&gt;=10,FORSIDE!$F$8&gt;=6,FORSIDE!$B$5&gt;=0),354+6*FORSIDE!$F$9,"")</f>
        <v/>
      </c>
      <c r="C1498" t="str">
        <f>IF(AND(FORSIDE!$B$8&gt;=10,FORSIDE!$F$8&gt;=6,FORSIDE!$B$5&gt;=0),10*FORSIDE!$B$9,"")</f>
        <v/>
      </c>
      <c r="D1498" t="str">
        <f>IF(AND(FORSIDE!$B$8&gt;=10,FORSIDE!$F$8&gt;=6,FORSIDE!$B$5&gt;=0),0,"")</f>
        <v/>
      </c>
    </row>
    <row r="1499" spans="1:4" x14ac:dyDescent="0.3">
      <c r="A1499" t="str">
        <f>IF(AND(FORSIDE!$B$8&gt;=10,FORSIDE!$F$8&gt;=6,FORSIDE!$B$5&gt;=1),1498,"")</f>
        <v/>
      </c>
      <c r="B1499" t="str">
        <f>IF(AND(FORSIDE!$B$8&gt;=10,FORSIDE!$F$8&gt;=6,FORSIDE!$B$5&gt;=1),354+6*FORSIDE!$F$9,"")</f>
        <v/>
      </c>
      <c r="C1499" t="str">
        <f>IF(AND(FORSIDE!$B$8&gt;=10,FORSIDE!$F$8&gt;=6,FORSIDE!$B$5&gt;=1),10*FORSIDE!$B$9,"")</f>
        <v/>
      </c>
      <c r="D1499" t="str">
        <f>IF(AND(FORSIDE!$B$8&gt;=10,FORSIDE!$F$8&gt;=6,FORSIDE!$B$5&gt;=1),FORSIDE!$B$6+(1-1)*FORSIDE!$B$7,"")</f>
        <v/>
      </c>
    </row>
    <row r="1500" spans="1:4" x14ac:dyDescent="0.3">
      <c r="A1500" t="str">
        <f>IF(AND(FORSIDE!$B$8&gt;=10,FORSIDE!$F$8&gt;=6,FORSIDE!$B$5&gt;=2),1499,"")</f>
        <v/>
      </c>
      <c r="B1500" t="str">
        <f>IF(AND(FORSIDE!$B$8&gt;=10,FORSIDE!$F$8&gt;=6,FORSIDE!$B$5&gt;=2),354+6*FORSIDE!$F$9,"")</f>
        <v/>
      </c>
      <c r="C1500" t="str">
        <f>IF(AND(FORSIDE!$B$8&gt;=10,FORSIDE!$F$8&gt;=6,FORSIDE!$B$5&gt;=2),10*FORSIDE!$B$9,"")</f>
        <v/>
      </c>
      <c r="D1500" t="str">
        <f>IF(AND(FORSIDE!$B$8&gt;=10,FORSIDE!$F$8&gt;=6,FORSIDE!$B$5&gt;=2),FORSIDE!$B$6+(2-1)*FORSIDE!$B$7,"")</f>
        <v/>
      </c>
    </row>
    <row r="1501" spans="1:4" x14ac:dyDescent="0.3">
      <c r="A1501" t="str">
        <f>IF(AND(FORSIDE!$B$8&gt;=10,FORSIDE!$F$8&gt;=6,FORSIDE!$B$5&gt;=3),1500,"")</f>
        <v/>
      </c>
      <c r="B1501" t="str">
        <f>IF(AND(FORSIDE!$B$8&gt;=10,FORSIDE!$F$8&gt;=6,FORSIDE!$B$5&gt;=3),354+6*FORSIDE!$F$9,"")</f>
        <v/>
      </c>
      <c r="C1501" t="str">
        <f>IF(AND(FORSIDE!$B$8&gt;=10,FORSIDE!$F$8&gt;=6,FORSIDE!$B$5&gt;=3),10*FORSIDE!$B$9,"")</f>
        <v/>
      </c>
      <c r="D1501" t="str">
        <f>IF(AND(FORSIDE!$B$8&gt;=10,FORSIDE!$F$8&gt;=6,FORSIDE!$B$5&gt;=3),FORSIDE!$B$6+(3-1)*FORSIDE!$B$7,"")</f>
        <v/>
      </c>
    </row>
    <row r="1502" spans="1:4" x14ac:dyDescent="0.3">
      <c r="A1502" t="str">
        <f>IF(AND(FORSIDE!$B$8&gt;=10,FORSIDE!$F$8&gt;=6,FORSIDE!$B$5&gt;=4),1501,"")</f>
        <v/>
      </c>
      <c r="B1502" t="str">
        <f>IF(AND(FORSIDE!$B$8&gt;=10,FORSIDE!$F$8&gt;=6,FORSIDE!$B$5&gt;=4),354+6*FORSIDE!$F$9,"")</f>
        <v/>
      </c>
      <c r="C1502" t="str">
        <f>IF(AND(FORSIDE!$B$8&gt;=10,FORSIDE!$F$8&gt;=6,FORSIDE!$B$5&gt;=4),10*FORSIDE!$B$9,"")</f>
        <v/>
      </c>
      <c r="D1502" t="str">
        <f>IF(AND(FORSIDE!$B$8&gt;=10,FORSIDE!$F$8&gt;=6,FORSIDE!$B$5&gt;=4),FORSIDE!$B$6+(4-1)*FORSIDE!$B$7,"")</f>
        <v/>
      </c>
    </row>
    <row r="1503" spans="1:4" x14ac:dyDescent="0.3">
      <c r="A1503" t="str">
        <f>IF(AND(FORSIDE!$B$8&gt;=10,FORSIDE!$F$8&gt;=6,FORSIDE!$B$5&gt;=5),1502,"")</f>
        <v/>
      </c>
      <c r="B1503" t="str">
        <f>IF(AND(FORSIDE!$B$8&gt;=10,FORSIDE!$F$8&gt;=6,FORSIDE!$B$5&gt;=5),354+6*FORSIDE!$F$9,"")</f>
        <v/>
      </c>
      <c r="C1503" t="str">
        <f>IF(AND(FORSIDE!$B$8&gt;=10,FORSIDE!$F$8&gt;=6,FORSIDE!$B$5&gt;=5),10*FORSIDE!$B$9,"")</f>
        <v/>
      </c>
      <c r="D1503" t="str">
        <f>IF(AND(FORSIDE!$B$8&gt;=10,FORSIDE!$F$8&gt;=6,FORSIDE!$B$5&gt;=5),FORSIDE!$B$6+(5-1)*FORSIDE!$B$7,"")</f>
        <v/>
      </c>
    </row>
    <row r="1504" spans="1:4" x14ac:dyDescent="0.3">
      <c r="A1504" t="str">
        <f>IF(AND(FORSIDE!$B$8&gt;=10,FORSIDE!$F$8&gt;=6,FORSIDE!$B$5&gt;=6),1503,"")</f>
        <v/>
      </c>
      <c r="B1504" t="str">
        <f>IF(AND(FORSIDE!$B$8&gt;=10,FORSIDE!$F$8&gt;=6,FORSIDE!$B$5&gt;=6),354+6*FORSIDE!$F$9,"")</f>
        <v/>
      </c>
      <c r="C1504" t="str">
        <f>IF(AND(FORSIDE!$B$8&gt;=10,FORSIDE!$F$8&gt;=6,FORSIDE!$B$5&gt;=6),10*FORSIDE!$B$9,"")</f>
        <v/>
      </c>
      <c r="D1504" t="str">
        <f>IF(AND(FORSIDE!$B$8&gt;=10,FORSIDE!$F$8&gt;=6,FORSIDE!$B$5&gt;=6),FORSIDE!$B$6+(6-1)*FORSIDE!$B$7,"")</f>
        <v/>
      </c>
    </row>
    <row r="1505" spans="1:4" x14ac:dyDescent="0.3">
      <c r="A1505" t="str">
        <f>IF(AND(FORSIDE!$B$8&gt;=10,FORSIDE!$F$8&gt;=6,FORSIDE!$B$5&gt;=7),1504,"")</f>
        <v/>
      </c>
      <c r="B1505" t="str">
        <f>IF(AND(FORSIDE!$B$8&gt;=10,FORSIDE!$F$8&gt;=6,FORSIDE!$B$5&gt;=7),354+6*FORSIDE!$F$9,"")</f>
        <v/>
      </c>
      <c r="C1505" t="str">
        <f>IF(AND(FORSIDE!$B$8&gt;=10,FORSIDE!$F$8&gt;=6,FORSIDE!$B$5&gt;=7),10*FORSIDE!$B$9,"")</f>
        <v/>
      </c>
      <c r="D1505" t="str">
        <f>IF(AND(FORSIDE!$B$8&gt;=10,FORSIDE!$F$8&gt;=6,FORSIDE!$B$5&gt;=7),FORSIDE!$B$6+(7-1)*FORSIDE!$B$7,"")</f>
        <v/>
      </c>
    </row>
    <row r="1506" spans="1:4" x14ac:dyDescent="0.3">
      <c r="A1506" t="str">
        <f>IF(AND(FORSIDE!$B$8&gt;=10,FORSIDE!$F$8&gt;=6,FORSIDE!$B$5&gt;=8),1505,"")</f>
        <v/>
      </c>
      <c r="B1506" t="str">
        <f>IF(AND(FORSIDE!$B$8&gt;=10,FORSIDE!$F$8&gt;=6,FORSIDE!$B$5&gt;=8),354+6*FORSIDE!$F$9,"")</f>
        <v/>
      </c>
      <c r="C1506" t="str">
        <f>IF(AND(FORSIDE!$B$8&gt;=10,FORSIDE!$F$8&gt;=6,FORSIDE!$B$5&gt;=8),10*FORSIDE!$B$9,"")</f>
        <v/>
      </c>
      <c r="D1506" t="str">
        <f>IF(AND(FORSIDE!$B$8&gt;=10,FORSIDE!$F$8&gt;=6,FORSIDE!$B$5&gt;=8),FORSIDE!$B$6+(8-1)*FORSIDE!$B$7,"")</f>
        <v/>
      </c>
    </row>
    <row r="1507" spans="1:4" x14ac:dyDescent="0.3">
      <c r="A1507" t="str">
        <f>IF(AND(FORSIDE!$B$8&gt;=10,FORSIDE!$F$8&gt;=6,FORSIDE!$B$5&gt;=9),1506,"")</f>
        <v/>
      </c>
      <c r="B1507" t="str">
        <f>IF(AND(FORSIDE!$B$8&gt;=10,FORSIDE!$F$8&gt;=6,FORSIDE!$B$5&gt;=9),354+6*FORSIDE!$F$9,"")</f>
        <v/>
      </c>
      <c r="C1507" t="str">
        <f>IF(AND(FORSIDE!$B$8&gt;=10,FORSIDE!$F$8&gt;=6,FORSIDE!$B$5&gt;=9),10*FORSIDE!$B$9,"")</f>
        <v/>
      </c>
      <c r="D1507" t="str">
        <f>IF(AND(FORSIDE!$B$8&gt;=10,FORSIDE!$F$8&gt;=6,FORSIDE!$B$5&gt;=9),FORSIDE!$B$6+(9-1)*FORSIDE!$B$7,"")</f>
        <v/>
      </c>
    </row>
    <row r="1508" spans="1:4" x14ac:dyDescent="0.3">
      <c r="A1508" t="str">
        <f>IF(AND(FORSIDE!$B$8&gt;=10,FORSIDE!$F$8&gt;=6,FORSIDE!$B$5&gt;=10),1507,"")</f>
        <v/>
      </c>
      <c r="B1508" t="str">
        <f>IF(AND(FORSIDE!$B$8&gt;=10,FORSIDE!$F$8&gt;=6,FORSIDE!$B$5&gt;=10),354+6*FORSIDE!$F$9,"")</f>
        <v/>
      </c>
      <c r="C1508" t="str">
        <f>IF(AND(FORSIDE!$B$8&gt;=10,FORSIDE!$F$8&gt;=6,FORSIDE!$B$5&gt;=10),10*FORSIDE!$B$9,"")</f>
        <v/>
      </c>
      <c r="D1508" t="str">
        <f>IF(AND(FORSIDE!$B$8&gt;=10,FORSIDE!$F$8&gt;=6,FORSIDE!$B$5&gt;=10),FORSIDE!$B$6+(10-1)*FORSIDE!$B$7,"")</f>
        <v/>
      </c>
    </row>
    <row r="1509" spans="1:4" x14ac:dyDescent="0.3">
      <c r="A1509" t="str">
        <f>IF(AND(FORSIDE!$B$8&gt;=11,FORSIDE!$F$8&gt;=6,FORSIDE!$B$5&gt;=0),1508,"")</f>
        <v/>
      </c>
      <c r="B1509" t="str">
        <f>IF(AND(FORSIDE!$B$8&gt;=11,FORSIDE!$F$8&gt;=6,FORSIDE!$B$5&gt;=0),354+6*FORSIDE!$F$9,"")</f>
        <v/>
      </c>
      <c r="C1509" t="str">
        <f>IF(AND(FORSIDE!$B$8&gt;=11,FORSIDE!$F$8&gt;=6,FORSIDE!$B$5&gt;=0),11*FORSIDE!$B$9,"")</f>
        <v/>
      </c>
      <c r="D1509" t="str">
        <f>IF(AND(FORSIDE!$B$8&gt;=11,FORSIDE!$F$8&gt;=6,FORSIDE!$B$5&gt;=0),0,"")</f>
        <v/>
      </c>
    </row>
    <row r="1510" spans="1:4" x14ac:dyDescent="0.3">
      <c r="A1510" t="str">
        <f>IF(AND(FORSIDE!$B$8&gt;=11,FORSIDE!$F$8&gt;=6,FORSIDE!$B$5&gt;=1),1509,"")</f>
        <v/>
      </c>
      <c r="B1510" t="str">
        <f>IF(AND(FORSIDE!$B$8&gt;=11,FORSIDE!$F$8&gt;=6,FORSIDE!$B$5&gt;=1),354+6*FORSIDE!$F$9,"")</f>
        <v/>
      </c>
      <c r="C1510" t="str">
        <f>IF(AND(FORSIDE!$B$8&gt;=11,FORSIDE!$F$8&gt;=6,FORSIDE!$B$5&gt;=1),11*FORSIDE!$B$9,"")</f>
        <v/>
      </c>
      <c r="D1510" t="str">
        <f>IF(AND(FORSIDE!$B$8&gt;=11,FORSIDE!$F$8&gt;=6,FORSIDE!$B$5&gt;=1),FORSIDE!$B$6+(1-1)*FORSIDE!$B$7,"")</f>
        <v/>
      </c>
    </row>
    <row r="1511" spans="1:4" x14ac:dyDescent="0.3">
      <c r="A1511" t="str">
        <f>IF(AND(FORSIDE!$B$8&gt;=11,FORSIDE!$F$8&gt;=6,FORSIDE!$B$5&gt;=2),1510,"")</f>
        <v/>
      </c>
      <c r="B1511" t="str">
        <f>IF(AND(FORSIDE!$B$8&gt;=11,FORSIDE!$F$8&gt;=6,FORSIDE!$B$5&gt;=2),354+6*FORSIDE!$F$9,"")</f>
        <v/>
      </c>
      <c r="C1511" t="str">
        <f>IF(AND(FORSIDE!$B$8&gt;=11,FORSIDE!$F$8&gt;=6,FORSIDE!$B$5&gt;=2),11*FORSIDE!$B$9,"")</f>
        <v/>
      </c>
      <c r="D1511" t="str">
        <f>IF(AND(FORSIDE!$B$8&gt;=11,FORSIDE!$F$8&gt;=6,FORSIDE!$B$5&gt;=2),FORSIDE!$B$6+(2-1)*FORSIDE!$B$7,"")</f>
        <v/>
      </c>
    </row>
    <row r="1512" spans="1:4" x14ac:dyDescent="0.3">
      <c r="A1512" t="str">
        <f>IF(AND(FORSIDE!$B$8&gt;=11,FORSIDE!$F$8&gt;=6,FORSIDE!$B$5&gt;=3),1511,"")</f>
        <v/>
      </c>
      <c r="B1512" t="str">
        <f>IF(AND(FORSIDE!$B$8&gt;=11,FORSIDE!$F$8&gt;=6,FORSIDE!$B$5&gt;=3),354+6*FORSIDE!$F$9,"")</f>
        <v/>
      </c>
      <c r="C1512" t="str">
        <f>IF(AND(FORSIDE!$B$8&gt;=11,FORSIDE!$F$8&gt;=6,FORSIDE!$B$5&gt;=3),11*FORSIDE!$B$9,"")</f>
        <v/>
      </c>
      <c r="D1512" t="str">
        <f>IF(AND(FORSIDE!$B$8&gt;=11,FORSIDE!$F$8&gt;=6,FORSIDE!$B$5&gt;=3),FORSIDE!$B$6+(3-1)*FORSIDE!$B$7,"")</f>
        <v/>
      </c>
    </row>
    <row r="1513" spans="1:4" x14ac:dyDescent="0.3">
      <c r="A1513" t="str">
        <f>IF(AND(FORSIDE!$B$8&gt;=11,FORSIDE!$F$8&gt;=6,FORSIDE!$B$5&gt;=4),1512,"")</f>
        <v/>
      </c>
      <c r="B1513" t="str">
        <f>IF(AND(FORSIDE!$B$8&gt;=11,FORSIDE!$F$8&gt;=6,FORSIDE!$B$5&gt;=4),354+6*FORSIDE!$F$9,"")</f>
        <v/>
      </c>
      <c r="C1513" t="str">
        <f>IF(AND(FORSIDE!$B$8&gt;=11,FORSIDE!$F$8&gt;=6,FORSIDE!$B$5&gt;=4),11*FORSIDE!$B$9,"")</f>
        <v/>
      </c>
      <c r="D1513" t="str">
        <f>IF(AND(FORSIDE!$B$8&gt;=11,FORSIDE!$F$8&gt;=6,FORSIDE!$B$5&gt;=4),FORSIDE!$B$6+(4-1)*FORSIDE!$B$7,"")</f>
        <v/>
      </c>
    </row>
    <row r="1514" spans="1:4" x14ac:dyDescent="0.3">
      <c r="A1514" t="str">
        <f>IF(AND(FORSIDE!$B$8&gt;=11,FORSIDE!$F$8&gt;=6,FORSIDE!$B$5&gt;=5),1513,"")</f>
        <v/>
      </c>
      <c r="B1514" t="str">
        <f>IF(AND(FORSIDE!$B$8&gt;=11,FORSIDE!$F$8&gt;=6,FORSIDE!$B$5&gt;=5),354+6*FORSIDE!$F$9,"")</f>
        <v/>
      </c>
      <c r="C1514" t="str">
        <f>IF(AND(FORSIDE!$B$8&gt;=11,FORSIDE!$F$8&gt;=6,FORSIDE!$B$5&gt;=5),11*FORSIDE!$B$9,"")</f>
        <v/>
      </c>
      <c r="D1514" t="str">
        <f>IF(AND(FORSIDE!$B$8&gt;=11,FORSIDE!$F$8&gt;=6,FORSIDE!$B$5&gt;=5),FORSIDE!$B$6+(5-1)*FORSIDE!$B$7,"")</f>
        <v/>
      </c>
    </row>
    <row r="1515" spans="1:4" x14ac:dyDescent="0.3">
      <c r="A1515" t="str">
        <f>IF(AND(FORSIDE!$B$8&gt;=11,FORSIDE!$F$8&gt;=6,FORSIDE!$B$5&gt;=6),1514,"")</f>
        <v/>
      </c>
      <c r="B1515" t="str">
        <f>IF(AND(FORSIDE!$B$8&gt;=11,FORSIDE!$F$8&gt;=6,FORSIDE!$B$5&gt;=6),354+6*FORSIDE!$F$9,"")</f>
        <v/>
      </c>
      <c r="C1515" t="str">
        <f>IF(AND(FORSIDE!$B$8&gt;=11,FORSIDE!$F$8&gt;=6,FORSIDE!$B$5&gt;=6),11*FORSIDE!$B$9,"")</f>
        <v/>
      </c>
      <c r="D1515" t="str">
        <f>IF(AND(FORSIDE!$B$8&gt;=11,FORSIDE!$F$8&gt;=6,FORSIDE!$B$5&gt;=6),FORSIDE!$B$6+(6-1)*FORSIDE!$B$7,"")</f>
        <v/>
      </c>
    </row>
    <row r="1516" spans="1:4" x14ac:dyDescent="0.3">
      <c r="A1516" t="str">
        <f>IF(AND(FORSIDE!$B$8&gt;=11,FORSIDE!$F$8&gt;=6,FORSIDE!$B$5&gt;=7),1515,"")</f>
        <v/>
      </c>
      <c r="B1516" t="str">
        <f>IF(AND(FORSIDE!$B$8&gt;=11,FORSIDE!$F$8&gt;=6,FORSIDE!$B$5&gt;=7),354+6*FORSIDE!$F$9,"")</f>
        <v/>
      </c>
      <c r="C1516" t="str">
        <f>IF(AND(FORSIDE!$B$8&gt;=11,FORSIDE!$F$8&gt;=6,FORSIDE!$B$5&gt;=7),11*FORSIDE!$B$9,"")</f>
        <v/>
      </c>
      <c r="D1516" t="str">
        <f>IF(AND(FORSIDE!$B$8&gt;=11,FORSIDE!$F$8&gt;=6,FORSIDE!$B$5&gt;=7),FORSIDE!$B$6+(7-1)*FORSIDE!$B$7,"")</f>
        <v/>
      </c>
    </row>
    <row r="1517" spans="1:4" x14ac:dyDescent="0.3">
      <c r="A1517" t="str">
        <f>IF(AND(FORSIDE!$B$8&gt;=11,FORSIDE!$F$8&gt;=6,FORSIDE!$B$5&gt;=8),1516,"")</f>
        <v/>
      </c>
      <c r="B1517" t="str">
        <f>IF(AND(FORSIDE!$B$8&gt;=11,FORSIDE!$F$8&gt;=6,FORSIDE!$B$5&gt;=8),354+6*FORSIDE!$F$9,"")</f>
        <v/>
      </c>
      <c r="C1517" t="str">
        <f>IF(AND(FORSIDE!$B$8&gt;=11,FORSIDE!$F$8&gt;=6,FORSIDE!$B$5&gt;=8),11*FORSIDE!$B$9,"")</f>
        <v/>
      </c>
      <c r="D1517" t="str">
        <f>IF(AND(FORSIDE!$B$8&gt;=11,FORSIDE!$F$8&gt;=6,FORSIDE!$B$5&gt;=8),FORSIDE!$B$6+(8-1)*FORSIDE!$B$7,"")</f>
        <v/>
      </c>
    </row>
    <row r="1518" spans="1:4" x14ac:dyDescent="0.3">
      <c r="A1518" t="str">
        <f>IF(AND(FORSIDE!$B$8&gt;=11,FORSIDE!$F$8&gt;=6,FORSIDE!$B$5&gt;=9),1517,"")</f>
        <v/>
      </c>
      <c r="B1518" t="str">
        <f>IF(AND(FORSIDE!$B$8&gt;=11,FORSIDE!$F$8&gt;=6,FORSIDE!$B$5&gt;=9),354+6*FORSIDE!$F$9,"")</f>
        <v/>
      </c>
      <c r="C1518" t="str">
        <f>IF(AND(FORSIDE!$B$8&gt;=11,FORSIDE!$F$8&gt;=6,FORSIDE!$B$5&gt;=9),11*FORSIDE!$B$9,"")</f>
        <v/>
      </c>
      <c r="D1518" t="str">
        <f>IF(AND(FORSIDE!$B$8&gt;=11,FORSIDE!$F$8&gt;=6,FORSIDE!$B$5&gt;=9),FORSIDE!$B$6+(9-1)*FORSIDE!$B$7,"")</f>
        <v/>
      </c>
    </row>
    <row r="1519" spans="1:4" x14ac:dyDescent="0.3">
      <c r="A1519" t="str">
        <f>IF(AND(FORSIDE!$B$8&gt;=11,FORSIDE!$F$8&gt;=6,FORSIDE!$B$5&gt;=10),1518,"")</f>
        <v/>
      </c>
      <c r="B1519" t="str">
        <f>IF(AND(FORSIDE!$B$8&gt;=11,FORSIDE!$F$8&gt;=6,FORSIDE!$B$5&gt;=10),354+6*FORSIDE!$F$9,"")</f>
        <v/>
      </c>
      <c r="C1519" t="str">
        <f>IF(AND(FORSIDE!$B$8&gt;=11,FORSIDE!$F$8&gt;=6,FORSIDE!$B$5&gt;=10),11*FORSIDE!$B$9,"")</f>
        <v/>
      </c>
      <c r="D1519" t="str">
        <f>IF(AND(FORSIDE!$B$8&gt;=11,FORSIDE!$F$8&gt;=6,FORSIDE!$B$5&gt;=10),FORSIDE!$B$6+(10-1)*FORSIDE!$B$7,"")</f>
        <v/>
      </c>
    </row>
    <row r="1520" spans="1:4" x14ac:dyDescent="0.3">
      <c r="A1520" t="str">
        <f>IF(AND(FORSIDE!$B$8&gt;=12,FORSIDE!$F$8&gt;=6,FORSIDE!$B$5&gt;=0),1519,"")</f>
        <v/>
      </c>
      <c r="B1520" t="str">
        <f>IF(AND(FORSIDE!$B$8&gt;=12,FORSIDE!$F$8&gt;=6,FORSIDE!$B$5&gt;=0),354+6*FORSIDE!$F$9,"")</f>
        <v/>
      </c>
      <c r="C1520" t="str">
        <f>IF(AND(FORSIDE!$B$8&gt;=12,FORSIDE!$F$8&gt;=6,FORSIDE!$B$5&gt;=0),12*FORSIDE!$B$9,"")</f>
        <v/>
      </c>
      <c r="D1520" t="str">
        <f>IF(AND(FORSIDE!$B$8&gt;=12,FORSIDE!$F$8&gt;=6,FORSIDE!$B$5&gt;=0),0,"")</f>
        <v/>
      </c>
    </row>
    <row r="1521" spans="1:4" x14ac:dyDescent="0.3">
      <c r="A1521" t="str">
        <f>IF(AND(FORSIDE!$B$8&gt;=12,FORSIDE!$F$8&gt;=6,FORSIDE!$B$5&gt;=1),1520,"")</f>
        <v/>
      </c>
      <c r="B1521" t="str">
        <f>IF(AND(FORSIDE!$B$8&gt;=12,FORSIDE!$F$8&gt;=6,FORSIDE!$B$5&gt;=1),354+6*FORSIDE!$F$9,"")</f>
        <v/>
      </c>
      <c r="C1521" t="str">
        <f>IF(AND(FORSIDE!$B$8&gt;=12,FORSIDE!$F$8&gt;=6,FORSIDE!$B$5&gt;=1),12*FORSIDE!$B$9,"")</f>
        <v/>
      </c>
      <c r="D1521" t="str">
        <f>IF(AND(FORSIDE!$B$8&gt;=12,FORSIDE!$F$8&gt;=6,FORSIDE!$B$5&gt;=1),FORSIDE!$B$6+(1-1)*FORSIDE!$B$7,"")</f>
        <v/>
      </c>
    </row>
    <row r="1522" spans="1:4" x14ac:dyDescent="0.3">
      <c r="A1522" t="str">
        <f>IF(AND(FORSIDE!$B$8&gt;=12,FORSIDE!$F$8&gt;=6,FORSIDE!$B$5&gt;=2),1521,"")</f>
        <v/>
      </c>
      <c r="B1522" t="str">
        <f>IF(AND(FORSIDE!$B$8&gt;=12,FORSIDE!$F$8&gt;=6,FORSIDE!$B$5&gt;=2),354+6*FORSIDE!$F$9,"")</f>
        <v/>
      </c>
      <c r="C1522" t="str">
        <f>IF(AND(FORSIDE!$B$8&gt;=12,FORSIDE!$F$8&gt;=6,FORSIDE!$B$5&gt;=2),12*FORSIDE!$B$9,"")</f>
        <v/>
      </c>
      <c r="D1522" t="str">
        <f>IF(AND(FORSIDE!$B$8&gt;=12,FORSIDE!$F$8&gt;=6,FORSIDE!$B$5&gt;=2),FORSIDE!$B$6+(2-1)*FORSIDE!$B$7,"")</f>
        <v/>
      </c>
    </row>
    <row r="1523" spans="1:4" x14ac:dyDescent="0.3">
      <c r="A1523" t="str">
        <f>IF(AND(FORSIDE!$B$8&gt;=12,FORSIDE!$F$8&gt;=6,FORSIDE!$B$5&gt;=3),1522,"")</f>
        <v/>
      </c>
      <c r="B1523" t="str">
        <f>IF(AND(FORSIDE!$B$8&gt;=12,FORSIDE!$F$8&gt;=6,FORSIDE!$B$5&gt;=3),354+6*FORSIDE!$F$9,"")</f>
        <v/>
      </c>
      <c r="C1523" t="str">
        <f>IF(AND(FORSIDE!$B$8&gt;=12,FORSIDE!$F$8&gt;=6,FORSIDE!$B$5&gt;=3),12*FORSIDE!$B$9,"")</f>
        <v/>
      </c>
      <c r="D1523" t="str">
        <f>IF(AND(FORSIDE!$B$8&gt;=12,FORSIDE!$F$8&gt;=6,FORSIDE!$B$5&gt;=3),FORSIDE!$B$6+(3-1)*FORSIDE!$B$7,"")</f>
        <v/>
      </c>
    </row>
    <row r="1524" spans="1:4" x14ac:dyDescent="0.3">
      <c r="A1524" t="str">
        <f>IF(AND(FORSIDE!$B$8&gt;=12,FORSIDE!$F$8&gt;=6,FORSIDE!$B$5&gt;=4),1523,"")</f>
        <v/>
      </c>
      <c r="B1524" t="str">
        <f>IF(AND(FORSIDE!$B$8&gt;=12,FORSIDE!$F$8&gt;=6,FORSIDE!$B$5&gt;=4),354+6*FORSIDE!$F$9,"")</f>
        <v/>
      </c>
      <c r="C1524" t="str">
        <f>IF(AND(FORSIDE!$B$8&gt;=12,FORSIDE!$F$8&gt;=6,FORSIDE!$B$5&gt;=4),12*FORSIDE!$B$9,"")</f>
        <v/>
      </c>
      <c r="D1524" t="str">
        <f>IF(AND(FORSIDE!$B$8&gt;=12,FORSIDE!$F$8&gt;=6,FORSIDE!$B$5&gt;=4),FORSIDE!$B$6+(4-1)*FORSIDE!$B$7,"")</f>
        <v/>
      </c>
    </row>
    <row r="1525" spans="1:4" x14ac:dyDescent="0.3">
      <c r="A1525" t="str">
        <f>IF(AND(FORSIDE!$B$8&gt;=12,FORSIDE!$F$8&gt;=6,FORSIDE!$B$5&gt;=5),1524,"")</f>
        <v/>
      </c>
      <c r="B1525" t="str">
        <f>IF(AND(FORSIDE!$B$8&gt;=12,FORSIDE!$F$8&gt;=6,FORSIDE!$B$5&gt;=5),354+6*FORSIDE!$F$9,"")</f>
        <v/>
      </c>
      <c r="C1525" t="str">
        <f>IF(AND(FORSIDE!$B$8&gt;=12,FORSIDE!$F$8&gt;=6,FORSIDE!$B$5&gt;=5),12*FORSIDE!$B$9,"")</f>
        <v/>
      </c>
      <c r="D1525" t="str">
        <f>IF(AND(FORSIDE!$B$8&gt;=12,FORSIDE!$F$8&gt;=6,FORSIDE!$B$5&gt;=5),FORSIDE!$B$6+(5-1)*FORSIDE!$B$7,"")</f>
        <v/>
      </c>
    </row>
    <row r="1526" spans="1:4" x14ac:dyDescent="0.3">
      <c r="A1526" t="str">
        <f>IF(AND(FORSIDE!$B$8&gt;=12,FORSIDE!$F$8&gt;=6,FORSIDE!$B$5&gt;=6),1525,"")</f>
        <v/>
      </c>
      <c r="B1526" t="str">
        <f>IF(AND(FORSIDE!$B$8&gt;=12,FORSIDE!$F$8&gt;=6,FORSIDE!$B$5&gt;=6),354+6*FORSIDE!$F$9,"")</f>
        <v/>
      </c>
      <c r="C1526" t="str">
        <f>IF(AND(FORSIDE!$B$8&gt;=12,FORSIDE!$F$8&gt;=6,FORSIDE!$B$5&gt;=6),12*FORSIDE!$B$9,"")</f>
        <v/>
      </c>
      <c r="D1526" t="str">
        <f>IF(AND(FORSIDE!$B$8&gt;=12,FORSIDE!$F$8&gt;=6,FORSIDE!$B$5&gt;=6),FORSIDE!$B$6+(6-1)*FORSIDE!$B$7,"")</f>
        <v/>
      </c>
    </row>
    <row r="1527" spans="1:4" x14ac:dyDescent="0.3">
      <c r="A1527" t="str">
        <f>IF(AND(FORSIDE!$B$8&gt;=12,FORSIDE!$F$8&gt;=6,FORSIDE!$B$5&gt;=7),1526,"")</f>
        <v/>
      </c>
      <c r="B1527" t="str">
        <f>IF(AND(FORSIDE!$B$8&gt;=12,FORSIDE!$F$8&gt;=6,FORSIDE!$B$5&gt;=7),354+6*FORSIDE!$F$9,"")</f>
        <v/>
      </c>
      <c r="C1527" t="str">
        <f>IF(AND(FORSIDE!$B$8&gt;=12,FORSIDE!$F$8&gt;=6,FORSIDE!$B$5&gt;=7),12*FORSIDE!$B$9,"")</f>
        <v/>
      </c>
      <c r="D1527" t="str">
        <f>IF(AND(FORSIDE!$B$8&gt;=12,FORSIDE!$F$8&gt;=6,FORSIDE!$B$5&gt;=7),FORSIDE!$B$6+(7-1)*FORSIDE!$B$7,"")</f>
        <v/>
      </c>
    </row>
    <row r="1528" spans="1:4" x14ac:dyDescent="0.3">
      <c r="A1528" t="str">
        <f>IF(AND(FORSIDE!$B$8&gt;=12,FORSIDE!$F$8&gt;=6,FORSIDE!$B$5&gt;=8),1527,"")</f>
        <v/>
      </c>
      <c r="B1528" t="str">
        <f>IF(AND(FORSIDE!$B$8&gt;=12,FORSIDE!$F$8&gt;=6,FORSIDE!$B$5&gt;=8),354+6*FORSIDE!$F$9,"")</f>
        <v/>
      </c>
      <c r="C1528" t="str">
        <f>IF(AND(FORSIDE!$B$8&gt;=12,FORSIDE!$F$8&gt;=6,FORSIDE!$B$5&gt;=8),12*FORSIDE!$B$9,"")</f>
        <v/>
      </c>
      <c r="D1528" t="str">
        <f>IF(AND(FORSIDE!$B$8&gt;=12,FORSIDE!$F$8&gt;=6,FORSIDE!$B$5&gt;=8),FORSIDE!$B$6+(8-1)*FORSIDE!$B$7,"")</f>
        <v/>
      </c>
    </row>
    <row r="1529" spans="1:4" x14ac:dyDescent="0.3">
      <c r="A1529" t="str">
        <f>IF(AND(FORSIDE!$B$8&gt;=12,FORSIDE!$F$8&gt;=6,FORSIDE!$B$5&gt;=9),1528,"")</f>
        <v/>
      </c>
      <c r="B1529" t="str">
        <f>IF(AND(FORSIDE!$B$8&gt;=12,FORSIDE!$F$8&gt;=6,FORSIDE!$B$5&gt;=9),354+6*FORSIDE!$F$9,"")</f>
        <v/>
      </c>
      <c r="C1529" t="str">
        <f>IF(AND(FORSIDE!$B$8&gt;=12,FORSIDE!$F$8&gt;=6,FORSIDE!$B$5&gt;=9),12*FORSIDE!$B$9,"")</f>
        <v/>
      </c>
      <c r="D1529" t="str">
        <f>IF(AND(FORSIDE!$B$8&gt;=12,FORSIDE!$F$8&gt;=6,FORSIDE!$B$5&gt;=9),FORSIDE!$B$6+(9-1)*FORSIDE!$B$7,"")</f>
        <v/>
      </c>
    </row>
    <row r="1530" spans="1:4" x14ac:dyDescent="0.3">
      <c r="A1530" t="str">
        <f>IF(AND(FORSIDE!$B$8&gt;=12,FORSIDE!$F$8&gt;=6,FORSIDE!$B$5&gt;=10),1529,"")</f>
        <v/>
      </c>
      <c r="B1530" t="str">
        <f>IF(AND(FORSIDE!$B$8&gt;=12,FORSIDE!$F$8&gt;=6,FORSIDE!$B$5&gt;=10),354+6*FORSIDE!$F$9,"")</f>
        <v/>
      </c>
      <c r="C1530" t="str">
        <f>IF(AND(FORSIDE!$B$8&gt;=12,FORSIDE!$F$8&gt;=6,FORSIDE!$B$5&gt;=10),12*FORSIDE!$B$9,"")</f>
        <v/>
      </c>
      <c r="D1530" t="str">
        <f>IF(AND(FORSIDE!$B$8&gt;=12,FORSIDE!$F$8&gt;=6,FORSIDE!$B$5&gt;=10),FORSIDE!$B$6+(10-1)*FORSIDE!$B$7,"")</f>
        <v/>
      </c>
    </row>
    <row r="1531" spans="1:4" x14ac:dyDescent="0.3">
      <c r="A1531" t="str">
        <f>IF(AND(FORSIDE!$B$8&gt;=13,FORSIDE!$F$8&gt;=6,FORSIDE!$B$5&gt;=0),1530,"")</f>
        <v/>
      </c>
      <c r="B1531" t="str">
        <f>IF(AND(FORSIDE!$B$8&gt;=13,FORSIDE!$F$8&gt;=6,FORSIDE!$B$5&gt;=0),354+6*FORSIDE!$F$9,"")</f>
        <v/>
      </c>
      <c r="C1531" t="str">
        <f>IF(AND(FORSIDE!$B$8&gt;=13,FORSIDE!$F$8&gt;=6,FORSIDE!$B$5&gt;=0),13*FORSIDE!$B$9,"")</f>
        <v/>
      </c>
      <c r="D1531" t="str">
        <f>IF(AND(FORSIDE!$B$8&gt;=13,FORSIDE!$F$8&gt;=6,FORSIDE!$B$5&gt;=0),0,"")</f>
        <v/>
      </c>
    </row>
    <row r="1532" spans="1:4" x14ac:dyDescent="0.3">
      <c r="A1532" t="str">
        <f>IF(AND(FORSIDE!$B$8&gt;=13,FORSIDE!$F$8&gt;=6,FORSIDE!$B$5&gt;=1),1531,"")</f>
        <v/>
      </c>
      <c r="B1532" t="str">
        <f>IF(AND(FORSIDE!$B$8&gt;=13,FORSIDE!$F$8&gt;=6,FORSIDE!$B$5&gt;=1),354+6*FORSIDE!$F$9,"")</f>
        <v/>
      </c>
      <c r="C1532" t="str">
        <f>IF(AND(FORSIDE!$B$8&gt;=13,FORSIDE!$F$8&gt;=6,FORSIDE!$B$5&gt;=1),13*FORSIDE!$B$9,"")</f>
        <v/>
      </c>
      <c r="D1532" t="str">
        <f>IF(AND(FORSIDE!$B$8&gt;=13,FORSIDE!$F$8&gt;=6,FORSIDE!$B$5&gt;=1),FORSIDE!$B$6+(1-1)*FORSIDE!$B$7,"")</f>
        <v/>
      </c>
    </row>
    <row r="1533" spans="1:4" x14ac:dyDescent="0.3">
      <c r="A1533" t="str">
        <f>IF(AND(FORSIDE!$B$8&gt;=13,FORSIDE!$F$8&gt;=6,FORSIDE!$B$5&gt;=2),1532,"")</f>
        <v/>
      </c>
      <c r="B1533" t="str">
        <f>IF(AND(FORSIDE!$B$8&gt;=13,FORSIDE!$F$8&gt;=6,FORSIDE!$B$5&gt;=2),354+6*FORSIDE!$F$9,"")</f>
        <v/>
      </c>
      <c r="C1533" t="str">
        <f>IF(AND(FORSIDE!$B$8&gt;=13,FORSIDE!$F$8&gt;=6,FORSIDE!$B$5&gt;=2),13*FORSIDE!$B$9,"")</f>
        <v/>
      </c>
      <c r="D1533" t="str">
        <f>IF(AND(FORSIDE!$B$8&gt;=13,FORSIDE!$F$8&gt;=6,FORSIDE!$B$5&gt;=2),FORSIDE!$B$6+(2-1)*FORSIDE!$B$7,"")</f>
        <v/>
      </c>
    </row>
    <row r="1534" spans="1:4" x14ac:dyDescent="0.3">
      <c r="A1534" t="str">
        <f>IF(AND(FORSIDE!$B$8&gt;=13,FORSIDE!$F$8&gt;=6,FORSIDE!$B$5&gt;=3),1533,"")</f>
        <v/>
      </c>
      <c r="B1534" t="str">
        <f>IF(AND(FORSIDE!$B$8&gt;=13,FORSIDE!$F$8&gt;=6,FORSIDE!$B$5&gt;=3),354+6*FORSIDE!$F$9,"")</f>
        <v/>
      </c>
      <c r="C1534" t="str">
        <f>IF(AND(FORSIDE!$B$8&gt;=13,FORSIDE!$F$8&gt;=6,FORSIDE!$B$5&gt;=3),13*FORSIDE!$B$9,"")</f>
        <v/>
      </c>
      <c r="D1534" t="str">
        <f>IF(AND(FORSIDE!$B$8&gt;=13,FORSIDE!$F$8&gt;=6,FORSIDE!$B$5&gt;=3),FORSIDE!$B$6+(3-1)*FORSIDE!$B$7,"")</f>
        <v/>
      </c>
    </row>
    <row r="1535" spans="1:4" x14ac:dyDescent="0.3">
      <c r="A1535" t="str">
        <f>IF(AND(FORSIDE!$B$8&gt;=13,FORSIDE!$F$8&gt;=6,FORSIDE!$B$5&gt;=4),1534,"")</f>
        <v/>
      </c>
      <c r="B1535" t="str">
        <f>IF(AND(FORSIDE!$B$8&gt;=13,FORSIDE!$F$8&gt;=6,FORSIDE!$B$5&gt;=4),354+6*FORSIDE!$F$9,"")</f>
        <v/>
      </c>
      <c r="C1535" t="str">
        <f>IF(AND(FORSIDE!$B$8&gt;=13,FORSIDE!$F$8&gt;=6,FORSIDE!$B$5&gt;=4),13*FORSIDE!$B$9,"")</f>
        <v/>
      </c>
      <c r="D1535" t="str">
        <f>IF(AND(FORSIDE!$B$8&gt;=13,FORSIDE!$F$8&gt;=6,FORSIDE!$B$5&gt;=4),FORSIDE!$B$6+(4-1)*FORSIDE!$B$7,"")</f>
        <v/>
      </c>
    </row>
    <row r="1536" spans="1:4" x14ac:dyDescent="0.3">
      <c r="A1536" t="str">
        <f>IF(AND(FORSIDE!$B$8&gt;=13,FORSIDE!$F$8&gt;=6,FORSIDE!$B$5&gt;=5),1535,"")</f>
        <v/>
      </c>
      <c r="B1536" t="str">
        <f>IF(AND(FORSIDE!$B$8&gt;=13,FORSIDE!$F$8&gt;=6,FORSIDE!$B$5&gt;=5),354+6*FORSIDE!$F$9,"")</f>
        <v/>
      </c>
      <c r="C1536" t="str">
        <f>IF(AND(FORSIDE!$B$8&gt;=13,FORSIDE!$F$8&gt;=6,FORSIDE!$B$5&gt;=5),13*FORSIDE!$B$9,"")</f>
        <v/>
      </c>
      <c r="D1536" t="str">
        <f>IF(AND(FORSIDE!$B$8&gt;=13,FORSIDE!$F$8&gt;=6,FORSIDE!$B$5&gt;=5),FORSIDE!$B$6+(5-1)*FORSIDE!$B$7,"")</f>
        <v/>
      </c>
    </row>
    <row r="1537" spans="1:4" x14ac:dyDescent="0.3">
      <c r="A1537" t="str">
        <f>IF(AND(FORSIDE!$B$8&gt;=13,FORSIDE!$F$8&gt;=6,FORSIDE!$B$5&gt;=6),1536,"")</f>
        <v/>
      </c>
      <c r="B1537" t="str">
        <f>IF(AND(FORSIDE!$B$8&gt;=13,FORSIDE!$F$8&gt;=6,FORSIDE!$B$5&gt;=6),354+6*FORSIDE!$F$9,"")</f>
        <v/>
      </c>
      <c r="C1537" t="str">
        <f>IF(AND(FORSIDE!$B$8&gt;=13,FORSIDE!$F$8&gt;=6,FORSIDE!$B$5&gt;=6),13*FORSIDE!$B$9,"")</f>
        <v/>
      </c>
      <c r="D1537" t="str">
        <f>IF(AND(FORSIDE!$B$8&gt;=13,FORSIDE!$F$8&gt;=6,FORSIDE!$B$5&gt;=6),FORSIDE!$B$6+(6-1)*FORSIDE!$B$7,"")</f>
        <v/>
      </c>
    </row>
    <row r="1538" spans="1:4" x14ac:dyDescent="0.3">
      <c r="A1538" t="str">
        <f>IF(AND(FORSIDE!$B$8&gt;=13,FORSIDE!$F$8&gt;=6,FORSIDE!$B$5&gt;=7),1537,"")</f>
        <v/>
      </c>
      <c r="B1538" t="str">
        <f>IF(AND(FORSIDE!$B$8&gt;=13,FORSIDE!$F$8&gt;=6,FORSIDE!$B$5&gt;=7),354+6*FORSIDE!$F$9,"")</f>
        <v/>
      </c>
      <c r="C1538" t="str">
        <f>IF(AND(FORSIDE!$B$8&gt;=13,FORSIDE!$F$8&gt;=6,FORSIDE!$B$5&gt;=7),13*FORSIDE!$B$9,"")</f>
        <v/>
      </c>
      <c r="D1538" t="str">
        <f>IF(AND(FORSIDE!$B$8&gt;=13,FORSIDE!$F$8&gt;=6,FORSIDE!$B$5&gt;=7),FORSIDE!$B$6+(7-1)*FORSIDE!$B$7,"")</f>
        <v/>
      </c>
    </row>
    <row r="1539" spans="1:4" x14ac:dyDescent="0.3">
      <c r="A1539" t="str">
        <f>IF(AND(FORSIDE!$B$8&gt;=13,FORSIDE!$F$8&gt;=6,FORSIDE!$B$5&gt;=8),1538,"")</f>
        <v/>
      </c>
      <c r="B1539" t="str">
        <f>IF(AND(FORSIDE!$B$8&gt;=13,FORSIDE!$F$8&gt;=6,FORSIDE!$B$5&gt;=8),354+6*FORSIDE!$F$9,"")</f>
        <v/>
      </c>
      <c r="C1539" t="str">
        <f>IF(AND(FORSIDE!$B$8&gt;=13,FORSIDE!$F$8&gt;=6,FORSIDE!$B$5&gt;=8),13*FORSIDE!$B$9,"")</f>
        <v/>
      </c>
      <c r="D1539" t="str">
        <f>IF(AND(FORSIDE!$B$8&gt;=13,FORSIDE!$F$8&gt;=6,FORSIDE!$B$5&gt;=8),FORSIDE!$B$6+(8-1)*FORSIDE!$B$7,"")</f>
        <v/>
      </c>
    </row>
    <row r="1540" spans="1:4" x14ac:dyDescent="0.3">
      <c r="A1540" t="str">
        <f>IF(AND(FORSIDE!$B$8&gt;=13,FORSIDE!$F$8&gt;=6,FORSIDE!$B$5&gt;=9),1539,"")</f>
        <v/>
      </c>
      <c r="B1540" t="str">
        <f>IF(AND(FORSIDE!$B$8&gt;=13,FORSIDE!$F$8&gt;=6,FORSIDE!$B$5&gt;=9),354+6*FORSIDE!$F$9,"")</f>
        <v/>
      </c>
      <c r="C1540" t="str">
        <f>IF(AND(FORSIDE!$B$8&gt;=13,FORSIDE!$F$8&gt;=6,FORSIDE!$B$5&gt;=9),13*FORSIDE!$B$9,"")</f>
        <v/>
      </c>
      <c r="D1540" t="str">
        <f>IF(AND(FORSIDE!$B$8&gt;=13,FORSIDE!$F$8&gt;=6,FORSIDE!$B$5&gt;=9),FORSIDE!$B$6+(9-1)*FORSIDE!$B$7,"")</f>
        <v/>
      </c>
    </row>
    <row r="1541" spans="1:4" x14ac:dyDescent="0.3">
      <c r="A1541" t="str">
        <f>IF(AND(FORSIDE!$B$8&gt;=13,FORSIDE!$F$8&gt;=6,FORSIDE!$B$5&gt;=10),1540,"")</f>
        <v/>
      </c>
      <c r="B1541" t="str">
        <f>IF(AND(FORSIDE!$B$8&gt;=13,FORSIDE!$F$8&gt;=6,FORSIDE!$B$5&gt;=10),354+6*FORSIDE!$F$9,"")</f>
        <v/>
      </c>
      <c r="C1541" t="str">
        <f>IF(AND(FORSIDE!$B$8&gt;=13,FORSIDE!$F$8&gt;=6,FORSIDE!$B$5&gt;=10),13*FORSIDE!$B$9,"")</f>
        <v/>
      </c>
      <c r="D1541" t="str">
        <f>IF(AND(FORSIDE!$B$8&gt;=13,FORSIDE!$F$8&gt;=6,FORSIDE!$B$5&gt;=10),FORSIDE!$B$6+(10-1)*FORSIDE!$B$7,"")</f>
        <v/>
      </c>
    </row>
    <row r="1542" spans="1:4" x14ac:dyDescent="0.3">
      <c r="A1542" t="str">
        <f>IF(AND(FORSIDE!$B$8&gt;=14,FORSIDE!$F$8&gt;=6,FORSIDE!$B$5&gt;=0),1541,"")</f>
        <v/>
      </c>
      <c r="B1542" t="str">
        <f>IF(AND(FORSIDE!$B$8&gt;=14,FORSIDE!$F$8&gt;=6,FORSIDE!$B$5&gt;=0),354+6*FORSIDE!$F$9,"")</f>
        <v/>
      </c>
      <c r="C1542" t="str">
        <f>IF(AND(FORSIDE!$B$8&gt;=14,FORSIDE!$F$8&gt;=6,FORSIDE!$B$5&gt;=0),14*FORSIDE!$B$9,"")</f>
        <v/>
      </c>
      <c r="D1542" t="str">
        <f>IF(AND(FORSIDE!$B$8&gt;=14,FORSIDE!$F$8&gt;=6,FORSIDE!$B$5&gt;=0),0,"")</f>
        <v/>
      </c>
    </row>
    <row r="1543" spans="1:4" x14ac:dyDescent="0.3">
      <c r="A1543" t="str">
        <f>IF(AND(FORSIDE!$B$8&gt;=14,FORSIDE!$F$8&gt;=6,FORSIDE!$B$5&gt;=1),1542,"")</f>
        <v/>
      </c>
      <c r="B1543" t="str">
        <f>IF(AND(FORSIDE!$B$8&gt;=14,FORSIDE!$F$8&gt;=6,FORSIDE!$B$5&gt;=1),354+6*FORSIDE!$F$9,"")</f>
        <v/>
      </c>
      <c r="C1543" t="str">
        <f>IF(AND(FORSIDE!$B$8&gt;=14,FORSIDE!$F$8&gt;=6,FORSIDE!$B$5&gt;=1),14*FORSIDE!$B$9,"")</f>
        <v/>
      </c>
      <c r="D1543" t="str">
        <f>IF(AND(FORSIDE!$B$8&gt;=14,FORSIDE!$F$8&gt;=6,FORSIDE!$B$5&gt;=1),FORSIDE!$B$6+(1-1)*FORSIDE!$B$7,"")</f>
        <v/>
      </c>
    </row>
    <row r="1544" spans="1:4" x14ac:dyDescent="0.3">
      <c r="A1544" t="str">
        <f>IF(AND(FORSIDE!$B$8&gt;=14,FORSIDE!$F$8&gt;=6,FORSIDE!$B$5&gt;=2),1543,"")</f>
        <v/>
      </c>
      <c r="B1544" t="str">
        <f>IF(AND(FORSIDE!$B$8&gt;=14,FORSIDE!$F$8&gt;=6,FORSIDE!$B$5&gt;=2),354+6*FORSIDE!$F$9,"")</f>
        <v/>
      </c>
      <c r="C1544" t="str">
        <f>IF(AND(FORSIDE!$B$8&gt;=14,FORSIDE!$F$8&gt;=6,FORSIDE!$B$5&gt;=2),14*FORSIDE!$B$9,"")</f>
        <v/>
      </c>
      <c r="D1544" t="str">
        <f>IF(AND(FORSIDE!$B$8&gt;=14,FORSIDE!$F$8&gt;=6,FORSIDE!$B$5&gt;=2),FORSIDE!$B$6+(2-1)*FORSIDE!$B$7,"")</f>
        <v/>
      </c>
    </row>
    <row r="1545" spans="1:4" x14ac:dyDescent="0.3">
      <c r="A1545" t="str">
        <f>IF(AND(FORSIDE!$B$8&gt;=14,FORSIDE!$F$8&gt;=6,FORSIDE!$B$5&gt;=3),1544,"")</f>
        <v/>
      </c>
      <c r="B1545" t="str">
        <f>IF(AND(FORSIDE!$B$8&gt;=14,FORSIDE!$F$8&gt;=6,FORSIDE!$B$5&gt;=3),354+6*FORSIDE!$F$9,"")</f>
        <v/>
      </c>
      <c r="C1545" t="str">
        <f>IF(AND(FORSIDE!$B$8&gt;=14,FORSIDE!$F$8&gt;=6,FORSIDE!$B$5&gt;=3),14*FORSIDE!$B$9,"")</f>
        <v/>
      </c>
      <c r="D1545" t="str">
        <f>IF(AND(FORSIDE!$B$8&gt;=14,FORSIDE!$F$8&gt;=6,FORSIDE!$B$5&gt;=3),FORSIDE!$B$6+(3-1)*FORSIDE!$B$7,"")</f>
        <v/>
      </c>
    </row>
    <row r="1546" spans="1:4" x14ac:dyDescent="0.3">
      <c r="A1546" t="str">
        <f>IF(AND(FORSIDE!$B$8&gt;=14,FORSIDE!$F$8&gt;=6,FORSIDE!$B$5&gt;=4),1545,"")</f>
        <v/>
      </c>
      <c r="B1546" t="str">
        <f>IF(AND(FORSIDE!$B$8&gt;=14,FORSIDE!$F$8&gt;=6,FORSIDE!$B$5&gt;=4),354+6*FORSIDE!$F$9,"")</f>
        <v/>
      </c>
      <c r="C1546" t="str">
        <f>IF(AND(FORSIDE!$B$8&gt;=14,FORSIDE!$F$8&gt;=6,FORSIDE!$B$5&gt;=4),14*FORSIDE!$B$9,"")</f>
        <v/>
      </c>
      <c r="D1546" t="str">
        <f>IF(AND(FORSIDE!$B$8&gt;=14,FORSIDE!$F$8&gt;=6,FORSIDE!$B$5&gt;=4),FORSIDE!$B$6+(4-1)*FORSIDE!$B$7,"")</f>
        <v/>
      </c>
    </row>
    <row r="1547" spans="1:4" x14ac:dyDescent="0.3">
      <c r="A1547" t="str">
        <f>IF(AND(FORSIDE!$B$8&gt;=14,FORSIDE!$F$8&gt;=6,FORSIDE!$B$5&gt;=5),1546,"")</f>
        <v/>
      </c>
      <c r="B1547" t="str">
        <f>IF(AND(FORSIDE!$B$8&gt;=14,FORSIDE!$F$8&gt;=6,FORSIDE!$B$5&gt;=5),354+6*FORSIDE!$F$9,"")</f>
        <v/>
      </c>
      <c r="C1547" t="str">
        <f>IF(AND(FORSIDE!$B$8&gt;=14,FORSIDE!$F$8&gt;=6,FORSIDE!$B$5&gt;=5),14*FORSIDE!$B$9,"")</f>
        <v/>
      </c>
      <c r="D1547" t="str">
        <f>IF(AND(FORSIDE!$B$8&gt;=14,FORSIDE!$F$8&gt;=6,FORSIDE!$B$5&gt;=5),FORSIDE!$B$6+(5-1)*FORSIDE!$B$7,"")</f>
        <v/>
      </c>
    </row>
    <row r="1548" spans="1:4" x14ac:dyDescent="0.3">
      <c r="A1548" t="str">
        <f>IF(AND(FORSIDE!$B$8&gt;=14,FORSIDE!$F$8&gt;=6,FORSIDE!$B$5&gt;=6),1547,"")</f>
        <v/>
      </c>
      <c r="B1548" t="str">
        <f>IF(AND(FORSIDE!$B$8&gt;=14,FORSIDE!$F$8&gt;=6,FORSIDE!$B$5&gt;=6),354+6*FORSIDE!$F$9,"")</f>
        <v/>
      </c>
      <c r="C1548" t="str">
        <f>IF(AND(FORSIDE!$B$8&gt;=14,FORSIDE!$F$8&gt;=6,FORSIDE!$B$5&gt;=6),14*FORSIDE!$B$9,"")</f>
        <v/>
      </c>
      <c r="D1548" t="str">
        <f>IF(AND(FORSIDE!$B$8&gt;=14,FORSIDE!$F$8&gt;=6,FORSIDE!$B$5&gt;=6),FORSIDE!$B$6+(6-1)*FORSIDE!$B$7,"")</f>
        <v/>
      </c>
    </row>
    <row r="1549" spans="1:4" x14ac:dyDescent="0.3">
      <c r="A1549" t="str">
        <f>IF(AND(FORSIDE!$B$8&gt;=14,FORSIDE!$F$8&gt;=6,FORSIDE!$B$5&gt;=7),1548,"")</f>
        <v/>
      </c>
      <c r="B1549" t="str">
        <f>IF(AND(FORSIDE!$B$8&gt;=14,FORSIDE!$F$8&gt;=6,FORSIDE!$B$5&gt;=7),354+6*FORSIDE!$F$9,"")</f>
        <v/>
      </c>
      <c r="C1549" t="str">
        <f>IF(AND(FORSIDE!$B$8&gt;=14,FORSIDE!$F$8&gt;=6,FORSIDE!$B$5&gt;=7),14*FORSIDE!$B$9,"")</f>
        <v/>
      </c>
      <c r="D1549" t="str">
        <f>IF(AND(FORSIDE!$B$8&gt;=14,FORSIDE!$F$8&gt;=6,FORSIDE!$B$5&gt;=7),FORSIDE!$B$6+(7-1)*FORSIDE!$B$7,"")</f>
        <v/>
      </c>
    </row>
    <row r="1550" spans="1:4" x14ac:dyDescent="0.3">
      <c r="A1550" t="str">
        <f>IF(AND(FORSIDE!$B$8&gt;=14,FORSIDE!$F$8&gt;=6,FORSIDE!$B$5&gt;=8),1549,"")</f>
        <v/>
      </c>
      <c r="B1550" t="str">
        <f>IF(AND(FORSIDE!$B$8&gt;=14,FORSIDE!$F$8&gt;=6,FORSIDE!$B$5&gt;=8),354+6*FORSIDE!$F$9,"")</f>
        <v/>
      </c>
      <c r="C1550" t="str">
        <f>IF(AND(FORSIDE!$B$8&gt;=14,FORSIDE!$F$8&gt;=6,FORSIDE!$B$5&gt;=8),14*FORSIDE!$B$9,"")</f>
        <v/>
      </c>
      <c r="D1550" t="str">
        <f>IF(AND(FORSIDE!$B$8&gt;=14,FORSIDE!$F$8&gt;=6,FORSIDE!$B$5&gt;=8),FORSIDE!$B$6+(8-1)*FORSIDE!$B$7,"")</f>
        <v/>
      </c>
    </row>
    <row r="1551" spans="1:4" x14ac:dyDescent="0.3">
      <c r="A1551" t="str">
        <f>IF(AND(FORSIDE!$B$8&gt;=14,FORSIDE!$F$8&gt;=6,FORSIDE!$B$5&gt;=9),1550,"")</f>
        <v/>
      </c>
      <c r="B1551" t="str">
        <f>IF(AND(FORSIDE!$B$8&gt;=14,FORSIDE!$F$8&gt;=6,FORSIDE!$B$5&gt;=9),354+6*FORSIDE!$F$9,"")</f>
        <v/>
      </c>
      <c r="C1551" t="str">
        <f>IF(AND(FORSIDE!$B$8&gt;=14,FORSIDE!$F$8&gt;=6,FORSIDE!$B$5&gt;=9),14*FORSIDE!$B$9,"")</f>
        <v/>
      </c>
      <c r="D1551" t="str">
        <f>IF(AND(FORSIDE!$B$8&gt;=14,FORSIDE!$F$8&gt;=6,FORSIDE!$B$5&gt;=9),FORSIDE!$B$6+(9-1)*FORSIDE!$B$7,"")</f>
        <v/>
      </c>
    </row>
    <row r="1552" spans="1:4" x14ac:dyDescent="0.3">
      <c r="A1552" t="str">
        <f>IF(AND(FORSIDE!$B$8&gt;=14,FORSIDE!$F$8&gt;=6,FORSIDE!$B$5&gt;=10),1551,"")</f>
        <v/>
      </c>
      <c r="B1552" t="str">
        <f>IF(AND(FORSIDE!$B$8&gt;=14,FORSIDE!$F$8&gt;=6,FORSIDE!$B$5&gt;=10),354+6*FORSIDE!$F$9,"")</f>
        <v/>
      </c>
      <c r="C1552" t="str">
        <f>IF(AND(FORSIDE!$B$8&gt;=14,FORSIDE!$F$8&gt;=6,FORSIDE!$B$5&gt;=10),14*FORSIDE!$B$9,"")</f>
        <v/>
      </c>
      <c r="D1552" t="str">
        <f>IF(AND(FORSIDE!$B$8&gt;=14,FORSIDE!$F$8&gt;=6,FORSIDE!$B$5&gt;=10),FORSIDE!$B$6+(10-1)*FORSIDE!$B$7,"")</f>
        <v/>
      </c>
    </row>
    <row r="1553" spans="1:4" x14ac:dyDescent="0.3">
      <c r="A1553" t="str">
        <f>IF(AND(FORSIDE!$B$8&gt;=15,FORSIDE!$F$8&gt;=6,FORSIDE!$B$5&gt;=0),1552,"")</f>
        <v/>
      </c>
      <c r="B1553" t="str">
        <f>IF(AND(FORSIDE!$B$8&gt;=15,FORSIDE!$F$8&gt;=6,FORSIDE!$B$5&gt;=0),354+6*FORSIDE!$F$9,"")</f>
        <v/>
      </c>
      <c r="C1553" t="str">
        <f>IF(AND(FORSIDE!$B$8&gt;=15,FORSIDE!$F$8&gt;=6,FORSIDE!$B$5&gt;=0),15*FORSIDE!$B$9,"")</f>
        <v/>
      </c>
      <c r="D1553" t="str">
        <f>IF(AND(FORSIDE!$B$8&gt;=15,FORSIDE!$F$8&gt;=6,FORSIDE!$B$5&gt;=0),0,"")</f>
        <v/>
      </c>
    </row>
    <row r="1554" spans="1:4" x14ac:dyDescent="0.3">
      <c r="A1554" t="str">
        <f>IF(AND(FORSIDE!$B$8&gt;=15,FORSIDE!$F$8&gt;=6,FORSIDE!$B$5&gt;=1),1553,"")</f>
        <v/>
      </c>
      <c r="B1554" t="str">
        <f>IF(AND(FORSIDE!$B$8&gt;=15,FORSIDE!$F$8&gt;=6,FORSIDE!$B$5&gt;=1),354+6*FORSIDE!$F$9,"")</f>
        <v/>
      </c>
      <c r="C1554" t="str">
        <f>IF(AND(FORSIDE!$B$8&gt;=15,FORSIDE!$F$8&gt;=6,FORSIDE!$B$5&gt;=1),15*FORSIDE!$B$9,"")</f>
        <v/>
      </c>
      <c r="D1554" t="str">
        <f>IF(AND(FORSIDE!$B$8&gt;=15,FORSIDE!$F$8&gt;=6,FORSIDE!$B$5&gt;=1),FORSIDE!$B$6+(1-1)*FORSIDE!$B$7,"")</f>
        <v/>
      </c>
    </row>
    <row r="1555" spans="1:4" x14ac:dyDescent="0.3">
      <c r="A1555" t="str">
        <f>IF(AND(FORSIDE!$B$8&gt;=15,FORSIDE!$F$8&gt;=6,FORSIDE!$B$5&gt;=2),1554,"")</f>
        <v/>
      </c>
      <c r="B1555" t="str">
        <f>IF(AND(FORSIDE!$B$8&gt;=15,FORSIDE!$F$8&gt;=6,FORSIDE!$B$5&gt;=2),354+6*FORSIDE!$F$9,"")</f>
        <v/>
      </c>
      <c r="C1555" t="str">
        <f>IF(AND(FORSIDE!$B$8&gt;=15,FORSIDE!$F$8&gt;=6,FORSIDE!$B$5&gt;=2),15*FORSIDE!$B$9,"")</f>
        <v/>
      </c>
      <c r="D1555" t="str">
        <f>IF(AND(FORSIDE!$B$8&gt;=15,FORSIDE!$F$8&gt;=6,FORSIDE!$B$5&gt;=2),FORSIDE!$B$6+(2-1)*FORSIDE!$B$7,"")</f>
        <v/>
      </c>
    </row>
    <row r="1556" spans="1:4" x14ac:dyDescent="0.3">
      <c r="A1556" t="str">
        <f>IF(AND(FORSIDE!$B$8&gt;=15,FORSIDE!$F$8&gt;=6,FORSIDE!$B$5&gt;=3),1555,"")</f>
        <v/>
      </c>
      <c r="B1556" t="str">
        <f>IF(AND(FORSIDE!$B$8&gt;=15,FORSIDE!$F$8&gt;=6,FORSIDE!$B$5&gt;=3),354+6*FORSIDE!$F$9,"")</f>
        <v/>
      </c>
      <c r="C1556" t="str">
        <f>IF(AND(FORSIDE!$B$8&gt;=15,FORSIDE!$F$8&gt;=6,FORSIDE!$B$5&gt;=3),15*FORSIDE!$B$9,"")</f>
        <v/>
      </c>
      <c r="D1556" t="str">
        <f>IF(AND(FORSIDE!$B$8&gt;=15,FORSIDE!$F$8&gt;=6,FORSIDE!$B$5&gt;=3),FORSIDE!$B$6+(3-1)*FORSIDE!$B$7,"")</f>
        <v/>
      </c>
    </row>
    <row r="1557" spans="1:4" x14ac:dyDescent="0.3">
      <c r="A1557" t="str">
        <f>IF(AND(FORSIDE!$B$8&gt;=15,FORSIDE!$F$8&gt;=6,FORSIDE!$B$5&gt;=4),1556,"")</f>
        <v/>
      </c>
      <c r="B1557" t="str">
        <f>IF(AND(FORSIDE!$B$8&gt;=15,FORSIDE!$F$8&gt;=6,FORSIDE!$B$5&gt;=4),354+6*FORSIDE!$F$9,"")</f>
        <v/>
      </c>
      <c r="C1557" t="str">
        <f>IF(AND(FORSIDE!$B$8&gt;=15,FORSIDE!$F$8&gt;=6,FORSIDE!$B$5&gt;=4),15*FORSIDE!$B$9,"")</f>
        <v/>
      </c>
      <c r="D1557" t="str">
        <f>IF(AND(FORSIDE!$B$8&gt;=15,FORSIDE!$F$8&gt;=6,FORSIDE!$B$5&gt;=4),FORSIDE!$B$6+(4-1)*FORSIDE!$B$7,"")</f>
        <v/>
      </c>
    </row>
    <row r="1558" spans="1:4" x14ac:dyDescent="0.3">
      <c r="A1558" t="str">
        <f>IF(AND(FORSIDE!$B$8&gt;=15,FORSIDE!$F$8&gt;=6,FORSIDE!$B$5&gt;=5),1557,"")</f>
        <v/>
      </c>
      <c r="B1558" t="str">
        <f>IF(AND(FORSIDE!$B$8&gt;=15,FORSIDE!$F$8&gt;=6,FORSIDE!$B$5&gt;=5),354+6*FORSIDE!$F$9,"")</f>
        <v/>
      </c>
      <c r="C1558" t="str">
        <f>IF(AND(FORSIDE!$B$8&gt;=15,FORSIDE!$F$8&gt;=6,FORSIDE!$B$5&gt;=5),15*FORSIDE!$B$9,"")</f>
        <v/>
      </c>
      <c r="D1558" t="str">
        <f>IF(AND(FORSIDE!$B$8&gt;=15,FORSIDE!$F$8&gt;=6,FORSIDE!$B$5&gt;=5),FORSIDE!$B$6+(5-1)*FORSIDE!$B$7,"")</f>
        <v/>
      </c>
    </row>
    <row r="1559" spans="1:4" x14ac:dyDescent="0.3">
      <c r="A1559" t="str">
        <f>IF(AND(FORSIDE!$B$8&gt;=15,FORSIDE!$F$8&gt;=6,FORSIDE!$B$5&gt;=6),1558,"")</f>
        <v/>
      </c>
      <c r="B1559" t="str">
        <f>IF(AND(FORSIDE!$B$8&gt;=15,FORSIDE!$F$8&gt;=6,FORSIDE!$B$5&gt;=6),354+6*FORSIDE!$F$9,"")</f>
        <v/>
      </c>
      <c r="C1559" t="str">
        <f>IF(AND(FORSIDE!$B$8&gt;=15,FORSIDE!$F$8&gt;=6,FORSIDE!$B$5&gt;=6),15*FORSIDE!$B$9,"")</f>
        <v/>
      </c>
      <c r="D1559" t="str">
        <f>IF(AND(FORSIDE!$B$8&gt;=15,FORSIDE!$F$8&gt;=6,FORSIDE!$B$5&gt;=6),FORSIDE!$B$6+(6-1)*FORSIDE!$B$7,"")</f>
        <v/>
      </c>
    </row>
    <row r="1560" spans="1:4" x14ac:dyDescent="0.3">
      <c r="A1560" t="str">
        <f>IF(AND(FORSIDE!$B$8&gt;=15,FORSIDE!$F$8&gt;=6,FORSIDE!$B$5&gt;=7),1559,"")</f>
        <v/>
      </c>
      <c r="B1560" t="str">
        <f>IF(AND(FORSIDE!$B$8&gt;=15,FORSIDE!$F$8&gt;=6,FORSIDE!$B$5&gt;=7),354+6*FORSIDE!$F$9,"")</f>
        <v/>
      </c>
      <c r="C1560" t="str">
        <f>IF(AND(FORSIDE!$B$8&gt;=15,FORSIDE!$F$8&gt;=6,FORSIDE!$B$5&gt;=7),15*FORSIDE!$B$9,"")</f>
        <v/>
      </c>
      <c r="D1560" t="str">
        <f>IF(AND(FORSIDE!$B$8&gt;=15,FORSIDE!$F$8&gt;=6,FORSIDE!$B$5&gt;=7),FORSIDE!$B$6+(7-1)*FORSIDE!$B$7,"")</f>
        <v/>
      </c>
    </row>
    <row r="1561" spans="1:4" x14ac:dyDescent="0.3">
      <c r="A1561" t="str">
        <f>IF(AND(FORSIDE!$B$8&gt;=15,FORSIDE!$F$8&gt;=6,FORSIDE!$B$5&gt;=8),1560,"")</f>
        <v/>
      </c>
      <c r="B1561" t="str">
        <f>IF(AND(FORSIDE!$B$8&gt;=15,FORSIDE!$F$8&gt;=6,FORSIDE!$B$5&gt;=8),354+6*FORSIDE!$F$9,"")</f>
        <v/>
      </c>
      <c r="C1561" t="str">
        <f>IF(AND(FORSIDE!$B$8&gt;=15,FORSIDE!$F$8&gt;=6,FORSIDE!$B$5&gt;=8),15*FORSIDE!$B$9,"")</f>
        <v/>
      </c>
      <c r="D1561" t="str">
        <f>IF(AND(FORSIDE!$B$8&gt;=15,FORSIDE!$F$8&gt;=6,FORSIDE!$B$5&gt;=8),FORSIDE!$B$6+(8-1)*FORSIDE!$B$7,"")</f>
        <v/>
      </c>
    </row>
    <row r="1562" spans="1:4" x14ac:dyDescent="0.3">
      <c r="A1562" t="str">
        <f>IF(AND(FORSIDE!$B$8&gt;=15,FORSIDE!$F$8&gt;=6,FORSIDE!$B$5&gt;=9),1561,"")</f>
        <v/>
      </c>
      <c r="B1562" t="str">
        <f>IF(AND(FORSIDE!$B$8&gt;=15,FORSIDE!$F$8&gt;=6,FORSIDE!$B$5&gt;=9),354+6*FORSIDE!$F$9,"")</f>
        <v/>
      </c>
      <c r="C1562" t="str">
        <f>IF(AND(FORSIDE!$B$8&gt;=15,FORSIDE!$F$8&gt;=6,FORSIDE!$B$5&gt;=9),15*FORSIDE!$B$9,"")</f>
        <v/>
      </c>
      <c r="D1562" t="str">
        <f>IF(AND(FORSIDE!$B$8&gt;=15,FORSIDE!$F$8&gt;=6,FORSIDE!$B$5&gt;=9),FORSIDE!$B$6+(9-1)*FORSIDE!$B$7,"")</f>
        <v/>
      </c>
    </row>
    <row r="1563" spans="1:4" x14ac:dyDescent="0.3">
      <c r="A1563" t="str">
        <f>IF(AND(FORSIDE!$B$8&gt;=15,FORSIDE!$F$8&gt;=6,FORSIDE!$B$5&gt;=10),1562,"")</f>
        <v/>
      </c>
      <c r="B1563" t="str">
        <f>IF(AND(FORSIDE!$B$8&gt;=15,FORSIDE!$F$8&gt;=6,FORSIDE!$B$5&gt;=10),354+6*FORSIDE!$F$9,"")</f>
        <v/>
      </c>
      <c r="C1563" t="str">
        <f>IF(AND(FORSIDE!$B$8&gt;=15,FORSIDE!$F$8&gt;=6,FORSIDE!$B$5&gt;=10),15*FORSIDE!$B$9,"")</f>
        <v/>
      </c>
      <c r="D1563" t="str">
        <f>IF(AND(FORSIDE!$B$8&gt;=15,FORSIDE!$F$8&gt;=6,FORSIDE!$B$5&gt;=10),FORSIDE!$B$6+(10-1)*FORSIDE!$B$7,"")</f>
        <v/>
      </c>
    </row>
    <row r="1564" spans="1:4" x14ac:dyDescent="0.3">
      <c r="A1564" t="str">
        <f>IF(AND(FORSIDE!$B$8&gt;=16,FORSIDE!$F$8&gt;=6,FORSIDE!$B$5&gt;=0),1563,"")</f>
        <v/>
      </c>
      <c r="B1564" t="str">
        <f>IF(AND(FORSIDE!$B$8&gt;=16,FORSIDE!$F$8&gt;=6,FORSIDE!$B$5&gt;=0),354+6*FORSIDE!$F$9,"")</f>
        <v/>
      </c>
      <c r="C1564" t="str">
        <f>IF(AND(FORSIDE!$B$8&gt;=16,FORSIDE!$F$8&gt;=6,FORSIDE!$B$5&gt;=0),16*FORSIDE!$B$9,"")</f>
        <v/>
      </c>
      <c r="D1564" t="str">
        <f>IF(AND(FORSIDE!$B$8&gt;=16,FORSIDE!$F$8&gt;=6,FORSIDE!$B$5&gt;=0),0,"")</f>
        <v/>
      </c>
    </row>
    <row r="1565" spans="1:4" x14ac:dyDescent="0.3">
      <c r="A1565" t="str">
        <f>IF(AND(FORSIDE!$B$8&gt;=16,FORSIDE!$F$8&gt;=6,FORSIDE!$B$5&gt;=1),1564,"")</f>
        <v/>
      </c>
      <c r="B1565" t="str">
        <f>IF(AND(FORSIDE!$B$8&gt;=16,FORSIDE!$F$8&gt;=6,FORSIDE!$B$5&gt;=1),354+6*FORSIDE!$F$9,"")</f>
        <v/>
      </c>
      <c r="C1565" t="str">
        <f>IF(AND(FORSIDE!$B$8&gt;=16,FORSIDE!$F$8&gt;=6,FORSIDE!$B$5&gt;=1),16*FORSIDE!$B$9,"")</f>
        <v/>
      </c>
      <c r="D1565" t="str">
        <f>IF(AND(FORSIDE!$B$8&gt;=16,FORSIDE!$F$8&gt;=6,FORSIDE!$B$5&gt;=1),FORSIDE!$B$6+(1-1)*FORSIDE!$B$7,"")</f>
        <v/>
      </c>
    </row>
    <row r="1566" spans="1:4" x14ac:dyDescent="0.3">
      <c r="A1566" t="str">
        <f>IF(AND(FORSIDE!$B$8&gt;=16,FORSIDE!$F$8&gt;=6,FORSIDE!$B$5&gt;=2),1565,"")</f>
        <v/>
      </c>
      <c r="B1566" t="str">
        <f>IF(AND(FORSIDE!$B$8&gt;=16,FORSIDE!$F$8&gt;=6,FORSIDE!$B$5&gt;=2),354+6*FORSIDE!$F$9,"")</f>
        <v/>
      </c>
      <c r="C1566" t="str">
        <f>IF(AND(FORSIDE!$B$8&gt;=16,FORSIDE!$F$8&gt;=6,FORSIDE!$B$5&gt;=2),16*FORSIDE!$B$9,"")</f>
        <v/>
      </c>
      <c r="D1566" t="str">
        <f>IF(AND(FORSIDE!$B$8&gt;=16,FORSIDE!$F$8&gt;=6,FORSIDE!$B$5&gt;=2),FORSIDE!$B$6+(2-1)*FORSIDE!$B$7,"")</f>
        <v/>
      </c>
    </row>
    <row r="1567" spans="1:4" x14ac:dyDescent="0.3">
      <c r="A1567" t="str">
        <f>IF(AND(FORSIDE!$B$8&gt;=16,FORSIDE!$F$8&gt;=6,FORSIDE!$B$5&gt;=3),1566,"")</f>
        <v/>
      </c>
      <c r="B1567" t="str">
        <f>IF(AND(FORSIDE!$B$8&gt;=16,FORSIDE!$F$8&gt;=6,FORSIDE!$B$5&gt;=3),354+6*FORSIDE!$F$9,"")</f>
        <v/>
      </c>
      <c r="C1567" t="str">
        <f>IF(AND(FORSIDE!$B$8&gt;=16,FORSIDE!$F$8&gt;=6,FORSIDE!$B$5&gt;=3),16*FORSIDE!$B$9,"")</f>
        <v/>
      </c>
      <c r="D1567" t="str">
        <f>IF(AND(FORSIDE!$B$8&gt;=16,FORSIDE!$F$8&gt;=6,FORSIDE!$B$5&gt;=3),FORSIDE!$B$6+(3-1)*FORSIDE!$B$7,"")</f>
        <v/>
      </c>
    </row>
    <row r="1568" spans="1:4" x14ac:dyDescent="0.3">
      <c r="A1568" t="str">
        <f>IF(AND(FORSIDE!$B$8&gt;=16,FORSIDE!$F$8&gt;=6,FORSIDE!$B$5&gt;=4),1567,"")</f>
        <v/>
      </c>
      <c r="B1568" t="str">
        <f>IF(AND(FORSIDE!$B$8&gt;=16,FORSIDE!$F$8&gt;=6,FORSIDE!$B$5&gt;=4),354+6*FORSIDE!$F$9,"")</f>
        <v/>
      </c>
      <c r="C1568" t="str">
        <f>IF(AND(FORSIDE!$B$8&gt;=16,FORSIDE!$F$8&gt;=6,FORSIDE!$B$5&gt;=4),16*FORSIDE!$B$9,"")</f>
        <v/>
      </c>
      <c r="D1568" t="str">
        <f>IF(AND(FORSIDE!$B$8&gt;=16,FORSIDE!$F$8&gt;=6,FORSIDE!$B$5&gt;=4),FORSIDE!$B$6+(4-1)*FORSIDE!$B$7,"")</f>
        <v/>
      </c>
    </row>
    <row r="1569" spans="1:4" x14ac:dyDescent="0.3">
      <c r="A1569" t="str">
        <f>IF(AND(FORSIDE!$B$8&gt;=16,FORSIDE!$F$8&gt;=6,FORSIDE!$B$5&gt;=5),1568,"")</f>
        <v/>
      </c>
      <c r="B1569" t="str">
        <f>IF(AND(FORSIDE!$B$8&gt;=16,FORSIDE!$F$8&gt;=6,FORSIDE!$B$5&gt;=5),354+6*FORSIDE!$F$9,"")</f>
        <v/>
      </c>
      <c r="C1569" t="str">
        <f>IF(AND(FORSIDE!$B$8&gt;=16,FORSIDE!$F$8&gt;=6,FORSIDE!$B$5&gt;=5),16*FORSIDE!$B$9,"")</f>
        <v/>
      </c>
      <c r="D1569" t="str">
        <f>IF(AND(FORSIDE!$B$8&gt;=16,FORSIDE!$F$8&gt;=6,FORSIDE!$B$5&gt;=5),FORSIDE!$B$6+(5-1)*FORSIDE!$B$7,"")</f>
        <v/>
      </c>
    </row>
    <row r="1570" spans="1:4" x14ac:dyDescent="0.3">
      <c r="A1570" t="str">
        <f>IF(AND(FORSIDE!$B$8&gt;=16,FORSIDE!$F$8&gt;=6,FORSIDE!$B$5&gt;=6),1569,"")</f>
        <v/>
      </c>
      <c r="B1570" t="str">
        <f>IF(AND(FORSIDE!$B$8&gt;=16,FORSIDE!$F$8&gt;=6,FORSIDE!$B$5&gt;=6),354+6*FORSIDE!$F$9,"")</f>
        <v/>
      </c>
      <c r="C1570" t="str">
        <f>IF(AND(FORSIDE!$B$8&gt;=16,FORSIDE!$F$8&gt;=6,FORSIDE!$B$5&gt;=6),16*FORSIDE!$B$9,"")</f>
        <v/>
      </c>
      <c r="D1570" t="str">
        <f>IF(AND(FORSIDE!$B$8&gt;=16,FORSIDE!$F$8&gt;=6,FORSIDE!$B$5&gt;=6),FORSIDE!$B$6+(6-1)*FORSIDE!$B$7,"")</f>
        <v/>
      </c>
    </row>
    <row r="1571" spans="1:4" x14ac:dyDescent="0.3">
      <c r="A1571" t="str">
        <f>IF(AND(FORSIDE!$B$8&gt;=16,FORSIDE!$F$8&gt;=6,FORSIDE!$B$5&gt;=7),1570,"")</f>
        <v/>
      </c>
      <c r="B1571" t="str">
        <f>IF(AND(FORSIDE!$B$8&gt;=16,FORSIDE!$F$8&gt;=6,FORSIDE!$B$5&gt;=7),354+6*FORSIDE!$F$9,"")</f>
        <v/>
      </c>
      <c r="C1571" t="str">
        <f>IF(AND(FORSIDE!$B$8&gt;=16,FORSIDE!$F$8&gt;=6,FORSIDE!$B$5&gt;=7),16*FORSIDE!$B$9,"")</f>
        <v/>
      </c>
      <c r="D1571" t="str">
        <f>IF(AND(FORSIDE!$B$8&gt;=16,FORSIDE!$F$8&gt;=6,FORSIDE!$B$5&gt;=7),FORSIDE!$B$6+(7-1)*FORSIDE!$B$7,"")</f>
        <v/>
      </c>
    </row>
    <row r="1572" spans="1:4" x14ac:dyDescent="0.3">
      <c r="A1572" t="str">
        <f>IF(AND(FORSIDE!$B$8&gt;=16,FORSIDE!$F$8&gt;=6,FORSIDE!$B$5&gt;=8),1571,"")</f>
        <v/>
      </c>
      <c r="B1572" t="str">
        <f>IF(AND(FORSIDE!$B$8&gt;=16,FORSIDE!$F$8&gt;=6,FORSIDE!$B$5&gt;=8),354+6*FORSIDE!$F$9,"")</f>
        <v/>
      </c>
      <c r="C1572" t="str">
        <f>IF(AND(FORSIDE!$B$8&gt;=16,FORSIDE!$F$8&gt;=6,FORSIDE!$B$5&gt;=8),16*FORSIDE!$B$9,"")</f>
        <v/>
      </c>
      <c r="D1572" t="str">
        <f>IF(AND(FORSIDE!$B$8&gt;=16,FORSIDE!$F$8&gt;=6,FORSIDE!$B$5&gt;=8),FORSIDE!$B$6+(8-1)*FORSIDE!$B$7,"")</f>
        <v/>
      </c>
    </row>
    <row r="1573" spans="1:4" x14ac:dyDescent="0.3">
      <c r="A1573" t="str">
        <f>IF(AND(FORSIDE!$B$8&gt;=16,FORSIDE!$F$8&gt;=6,FORSIDE!$B$5&gt;=9),1572,"")</f>
        <v/>
      </c>
      <c r="B1573" t="str">
        <f>IF(AND(FORSIDE!$B$8&gt;=16,FORSIDE!$F$8&gt;=6,FORSIDE!$B$5&gt;=9),354+6*FORSIDE!$F$9,"")</f>
        <v/>
      </c>
      <c r="C1573" t="str">
        <f>IF(AND(FORSIDE!$B$8&gt;=16,FORSIDE!$F$8&gt;=6,FORSIDE!$B$5&gt;=9),16*FORSIDE!$B$9,"")</f>
        <v/>
      </c>
      <c r="D1573" t="str">
        <f>IF(AND(FORSIDE!$B$8&gt;=16,FORSIDE!$F$8&gt;=6,FORSIDE!$B$5&gt;=9),FORSIDE!$B$6+(9-1)*FORSIDE!$B$7,"")</f>
        <v/>
      </c>
    </row>
    <row r="1574" spans="1:4" x14ac:dyDescent="0.3">
      <c r="A1574" t="str">
        <f>IF(AND(FORSIDE!$B$8&gt;=16,FORSIDE!$F$8&gt;=6,FORSIDE!$B$5&gt;=10),1573,"")</f>
        <v/>
      </c>
      <c r="B1574" t="str">
        <f>IF(AND(FORSIDE!$B$8&gt;=16,FORSIDE!$F$8&gt;=6,FORSIDE!$B$5&gt;=10),354+6*FORSIDE!$F$9,"")</f>
        <v/>
      </c>
      <c r="C1574" t="str">
        <f>IF(AND(FORSIDE!$B$8&gt;=16,FORSIDE!$F$8&gt;=6,FORSIDE!$B$5&gt;=10),16*FORSIDE!$B$9,"")</f>
        <v/>
      </c>
      <c r="D1574" t="str">
        <f>IF(AND(FORSIDE!$B$8&gt;=16,FORSIDE!$F$8&gt;=6,FORSIDE!$B$5&gt;=10),FORSIDE!$B$6+(10-1)*FORSIDE!$B$7,"")</f>
        <v/>
      </c>
    </row>
    <row r="1575" spans="1:4" x14ac:dyDescent="0.3">
      <c r="A1575" t="str">
        <f>IF(AND(FORSIDE!$B$8&gt;=17,FORSIDE!$F$8&gt;=6,FORSIDE!$B$5&gt;=0),1574,"")</f>
        <v/>
      </c>
      <c r="B1575" t="str">
        <f>IF(AND(FORSIDE!$B$8&gt;=17,FORSIDE!$F$8&gt;=6,FORSIDE!$B$5&gt;=0),354+6*FORSIDE!$F$9,"")</f>
        <v/>
      </c>
      <c r="C1575" t="str">
        <f>IF(AND(FORSIDE!$B$8&gt;=17,FORSIDE!$F$8&gt;=6,FORSIDE!$B$5&gt;=0),17*FORSIDE!$B$9,"")</f>
        <v/>
      </c>
      <c r="D1575" t="str">
        <f>IF(AND(FORSIDE!$B$8&gt;=17,FORSIDE!$F$8&gt;=6,FORSIDE!$B$5&gt;=0),0,"")</f>
        <v/>
      </c>
    </row>
    <row r="1576" spans="1:4" x14ac:dyDescent="0.3">
      <c r="A1576" t="str">
        <f>IF(AND(FORSIDE!$B$8&gt;=17,FORSIDE!$F$8&gt;=6,FORSIDE!$B$5&gt;=1),1575,"")</f>
        <v/>
      </c>
      <c r="B1576" t="str">
        <f>IF(AND(FORSIDE!$B$8&gt;=17,FORSIDE!$F$8&gt;=6,FORSIDE!$B$5&gt;=1),354+6*FORSIDE!$F$9,"")</f>
        <v/>
      </c>
      <c r="C1576" t="str">
        <f>IF(AND(FORSIDE!$B$8&gt;=17,FORSIDE!$F$8&gt;=6,FORSIDE!$B$5&gt;=1),17*FORSIDE!$B$9,"")</f>
        <v/>
      </c>
      <c r="D1576" t="str">
        <f>IF(AND(FORSIDE!$B$8&gt;=17,FORSIDE!$F$8&gt;=6,FORSIDE!$B$5&gt;=1),FORSIDE!$B$6+(1-1)*FORSIDE!$B$7,"")</f>
        <v/>
      </c>
    </row>
    <row r="1577" spans="1:4" x14ac:dyDescent="0.3">
      <c r="A1577" t="str">
        <f>IF(AND(FORSIDE!$B$8&gt;=17,FORSIDE!$F$8&gt;=6,FORSIDE!$B$5&gt;=2),1576,"")</f>
        <v/>
      </c>
      <c r="B1577" t="str">
        <f>IF(AND(FORSIDE!$B$8&gt;=17,FORSIDE!$F$8&gt;=6,FORSIDE!$B$5&gt;=2),354+6*FORSIDE!$F$9,"")</f>
        <v/>
      </c>
      <c r="C1577" t="str">
        <f>IF(AND(FORSIDE!$B$8&gt;=17,FORSIDE!$F$8&gt;=6,FORSIDE!$B$5&gt;=2),17*FORSIDE!$B$9,"")</f>
        <v/>
      </c>
      <c r="D1577" t="str">
        <f>IF(AND(FORSIDE!$B$8&gt;=17,FORSIDE!$F$8&gt;=6,FORSIDE!$B$5&gt;=2),FORSIDE!$B$6+(2-1)*FORSIDE!$B$7,"")</f>
        <v/>
      </c>
    </row>
    <row r="1578" spans="1:4" x14ac:dyDescent="0.3">
      <c r="A1578" t="str">
        <f>IF(AND(FORSIDE!$B$8&gt;=17,FORSIDE!$F$8&gt;=6,FORSIDE!$B$5&gt;=3),1577,"")</f>
        <v/>
      </c>
      <c r="B1578" t="str">
        <f>IF(AND(FORSIDE!$B$8&gt;=17,FORSIDE!$F$8&gt;=6,FORSIDE!$B$5&gt;=3),354+6*FORSIDE!$F$9,"")</f>
        <v/>
      </c>
      <c r="C1578" t="str">
        <f>IF(AND(FORSIDE!$B$8&gt;=17,FORSIDE!$F$8&gt;=6,FORSIDE!$B$5&gt;=3),17*FORSIDE!$B$9,"")</f>
        <v/>
      </c>
      <c r="D1578" t="str">
        <f>IF(AND(FORSIDE!$B$8&gt;=17,FORSIDE!$F$8&gt;=6,FORSIDE!$B$5&gt;=3),FORSIDE!$B$6+(3-1)*FORSIDE!$B$7,"")</f>
        <v/>
      </c>
    </row>
    <row r="1579" spans="1:4" x14ac:dyDescent="0.3">
      <c r="A1579" t="str">
        <f>IF(AND(FORSIDE!$B$8&gt;=17,FORSIDE!$F$8&gt;=6,FORSIDE!$B$5&gt;=4),1578,"")</f>
        <v/>
      </c>
      <c r="B1579" t="str">
        <f>IF(AND(FORSIDE!$B$8&gt;=17,FORSIDE!$F$8&gt;=6,FORSIDE!$B$5&gt;=4),354+6*FORSIDE!$F$9,"")</f>
        <v/>
      </c>
      <c r="C1579" t="str">
        <f>IF(AND(FORSIDE!$B$8&gt;=17,FORSIDE!$F$8&gt;=6,FORSIDE!$B$5&gt;=4),17*FORSIDE!$B$9,"")</f>
        <v/>
      </c>
      <c r="D1579" t="str">
        <f>IF(AND(FORSIDE!$B$8&gt;=17,FORSIDE!$F$8&gt;=6,FORSIDE!$B$5&gt;=4),FORSIDE!$B$6+(4-1)*FORSIDE!$B$7,"")</f>
        <v/>
      </c>
    </row>
    <row r="1580" spans="1:4" x14ac:dyDescent="0.3">
      <c r="A1580" t="str">
        <f>IF(AND(FORSIDE!$B$8&gt;=17,FORSIDE!$F$8&gt;=6,FORSIDE!$B$5&gt;=5),1579,"")</f>
        <v/>
      </c>
      <c r="B1580" t="str">
        <f>IF(AND(FORSIDE!$B$8&gt;=17,FORSIDE!$F$8&gt;=6,FORSIDE!$B$5&gt;=5),354+6*FORSIDE!$F$9,"")</f>
        <v/>
      </c>
      <c r="C1580" t="str">
        <f>IF(AND(FORSIDE!$B$8&gt;=17,FORSIDE!$F$8&gt;=6,FORSIDE!$B$5&gt;=5),17*FORSIDE!$B$9,"")</f>
        <v/>
      </c>
      <c r="D1580" t="str">
        <f>IF(AND(FORSIDE!$B$8&gt;=17,FORSIDE!$F$8&gt;=6,FORSIDE!$B$5&gt;=5),FORSIDE!$B$6+(5-1)*FORSIDE!$B$7,"")</f>
        <v/>
      </c>
    </row>
    <row r="1581" spans="1:4" x14ac:dyDescent="0.3">
      <c r="A1581" t="str">
        <f>IF(AND(FORSIDE!$B$8&gt;=17,FORSIDE!$F$8&gt;=6,FORSIDE!$B$5&gt;=6),1580,"")</f>
        <v/>
      </c>
      <c r="B1581" t="str">
        <f>IF(AND(FORSIDE!$B$8&gt;=17,FORSIDE!$F$8&gt;=6,FORSIDE!$B$5&gt;=6),354+6*FORSIDE!$F$9,"")</f>
        <v/>
      </c>
      <c r="C1581" t="str">
        <f>IF(AND(FORSIDE!$B$8&gt;=17,FORSIDE!$F$8&gt;=6,FORSIDE!$B$5&gt;=6),17*FORSIDE!$B$9,"")</f>
        <v/>
      </c>
      <c r="D1581" t="str">
        <f>IF(AND(FORSIDE!$B$8&gt;=17,FORSIDE!$F$8&gt;=6,FORSIDE!$B$5&gt;=6),FORSIDE!$B$6+(6-1)*FORSIDE!$B$7,"")</f>
        <v/>
      </c>
    </row>
    <row r="1582" spans="1:4" x14ac:dyDescent="0.3">
      <c r="A1582" t="str">
        <f>IF(AND(FORSIDE!$B$8&gt;=17,FORSIDE!$F$8&gt;=6,FORSIDE!$B$5&gt;=7),1581,"")</f>
        <v/>
      </c>
      <c r="B1582" t="str">
        <f>IF(AND(FORSIDE!$B$8&gt;=17,FORSIDE!$F$8&gt;=6,FORSIDE!$B$5&gt;=7),354+6*FORSIDE!$F$9,"")</f>
        <v/>
      </c>
      <c r="C1582" t="str">
        <f>IF(AND(FORSIDE!$B$8&gt;=17,FORSIDE!$F$8&gt;=6,FORSIDE!$B$5&gt;=7),17*FORSIDE!$B$9,"")</f>
        <v/>
      </c>
      <c r="D1582" t="str">
        <f>IF(AND(FORSIDE!$B$8&gt;=17,FORSIDE!$F$8&gt;=6,FORSIDE!$B$5&gt;=7),FORSIDE!$B$6+(7-1)*FORSIDE!$B$7,"")</f>
        <v/>
      </c>
    </row>
    <row r="1583" spans="1:4" x14ac:dyDescent="0.3">
      <c r="A1583" t="str">
        <f>IF(AND(FORSIDE!$B$8&gt;=17,FORSIDE!$F$8&gt;=6,FORSIDE!$B$5&gt;=8),1582,"")</f>
        <v/>
      </c>
      <c r="B1583" t="str">
        <f>IF(AND(FORSIDE!$B$8&gt;=17,FORSIDE!$F$8&gt;=6,FORSIDE!$B$5&gt;=8),354+6*FORSIDE!$F$9,"")</f>
        <v/>
      </c>
      <c r="C1583" t="str">
        <f>IF(AND(FORSIDE!$B$8&gt;=17,FORSIDE!$F$8&gt;=6,FORSIDE!$B$5&gt;=8),17*FORSIDE!$B$9,"")</f>
        <v/>
      </c>
      <c r="D1583" t="str">
        <f>IF(AND(FORSIDE!$B$8&gt;=17,FORSIDE!$F$8&gt;=6,FORSIDE!$B$5&gt;=8),FORSIDE!$B$6+(8-1)*FORSIDE!$B$7,"")</f>
        <v/>
      </c>
    </row>
    <row r="1584" spans="1:4" x14ac:dyDescent="0.3">
      <c r="A1584" t="str">
        <f>IF(AND(FORSIDE!$B$8&gt;=17,FORSIDE!$F$8&gt;=6,FORSIDE!$B$5&gt;=9),1583,"")</f>
        <v/>
      </c>
      <c r="B1584" t="str">
        <f>IF(AND(FORSIDE!$B$8&gt;=17,FORSIDE!$F$8&gt;=6,FORSIDE!$B$5&gt;=9),354+6*FORSIDE!$F$9,"")</f>
        <v/>
      </c>
      <c r="C1584" t="str">
        <f>IF(AND(FORSIDE!$B$8&gt;=17,FORSIDE!$F$8&gt;=6,FORSIDE!$B$5&gt;=9),17*FORSIDE!$B$9,"")</f>
        <v/>
      </c>
      <c r="D1584" t="str">
        <f>IF(AND(FORSIDE!$B$8&gt;=17,FORSIDE!$F$8&gt;=6,FORSIDE!$B$5&gt;=9),FORSIDE!$B$6+(9-1)*FORSIDE!$B$7,"")</f>
        <v/>
      </c>
    </row>
    <row r="1585" spans="1:4" x14ac:dyDescent="0.3">
      <c r="A1585" t="str">
        <f>IF(AND(FORSIDE!$B$8&gt;=17,FORSIDE!$F$8&gt;=6,FORSIDE!$B$5&gt;=10),1584,"")</f>
        <v/>
      </c>
      <c r="B1585" t="str">
        <f>IF(AND(FORSIDE!$B$8&gt;=17,FORSIDE!$F$8&gt;=6,FORSIDE!$B$5&gt;=10),354+6*FORSIDE!$F$9,"")</f>
        <v/>
      </c>
      <c r="C1585" t="str">
        <f>IF(AND(FORSIDE!$B$8&gt;=17,FORSIDE!$F$8&gt;=6,FORSIDE!$B$5&gt;=10),17*FORSIDE!$B$9,"")</f>
        <v/>
      </c>
      <c r="D1585" t="str">
        <f>IF(AND(FORSIDE!$B$8&gt;=17,FORSIDE!$F$8&gt;=6,FORSIDE!$B$5&gt;=10),FORSIDE!$B$6+(10-1)*FORSIDE!$B$7,"")</f>
        <v/>
      </c>
    </row>
    <row r="1586" spans="1:4" x14ac:dyDescent="0.3">
      <c r="A1586" t="str">
        <f>IF(AND(FORSIDE!$B$8&gt;=18,FORSIDE!$F$8&gt;=6,FORSIDE!$B$5&gt;=0),1585,"")</f>
        <v/>
      </c>
      <c r="B1586" t="str">
        <f>IF(AND(FORSIDE!$B$8&gt;=18,FORSIDE!$F$8&gt;=6,FORSIDE!$B$5&gt;=0),354+6*FORSIDE!$F$9,"")</f>
        <v/>
      </c>
      <c r="C1586" t="str">
        <f>IF(AND(FORSIDE!$B$8&gt;=18,FORSIDE!$F$8&gt;=6,FORSIDE!$B$5&gt;=0),18*FORSIDE!$B$9,"")</f>
        <v/>
      </c>
      <c r="D1586" t="str">
        <f>IF(AND(FORSIDE!$B$8&gt;=18,FORSIDE!$F$8&gt;=6,FORSIDE!$B$5&gt;=0),0,"")</f>
        <v/>
      </c>
    </row>
    <row r="1587" spans="1:4" x14ac:dyDescent="0.3">
      <c r="A1587" t="str">
        <f>IF(AND(FORSIDE!$B$8&gt;=18,FORSIDE!$F$8&gt;=6,FORSIDE!$B$5&gt;=1),1586,"")</f>
        <v/>
      </c>
      <c r="B1587" t="str">
        <f>IF(AND(FORSIDE!$B$8&gt;=18,FORSIDE!$F$8&gt;=6,FORSIDE!$B$5&gt;=1),354+6*FORSIDE!$F$9,"")</f>
        <v/>
      </c>
      <c r="C1587" t="str">
        <f>IF(AND(FORSIDE!$B$8&gt;=18,FORSIDE!$F$8&gt;=6,FORSIDE!$B$5&gt;=1),18*FORSIDE!$B$9,"")</f>
        <v/>
      </c>
      <c r="D1587" t="str">
        <f>IF(AND(FORSIDE!$B$8&gt;=18,FORSIDE!$F$8&gt;=6,FORSIDE!$B$5&gt;=1),FORSIDE!$B$6+(1-1)*FORSIDE!$B$7,"")</f>
        <v/>
      </c>
    </row>
    <row r="1588" spans="1:4" x14ac:dyDescent="0.3">
      <c r="A1588" t="str">
        <f>IF(AND(FORSIDE!$B$8&gt;=18,FORSIDE!$F$8&gt;=6,FORSIDE!$B$5&gt;=2),1587,"")</f>
        <v/>
      </c>
      <c r="B1588" t="str">
        <f>IF(AND(FORSIDE!$B$8&gt;=18,FORSIDE!$F$8&gt;=6,FORSIDE!$B$5&gt;=2),354+6*FORSIDE!$F$9,"")</f>
        <v/>
      </c>
      <c r="C1588" t="str">
        <f>IF(AND(FORSIDE!$B$8&gt;=18,FORSIDE!$F$8&gt;=6,FORSIDE!$B$5&gt;=2),18*FORSIDE!$B$9,"")</f>
        <v/>
      </c>
      <c r="D1588" t="str">
        <f>IF(AND(FORSIDE!$B$8&gt;=18,FORSIDE!$F$8&gt;=6,FORSIDE!$B$5&gt;=2),FORSIDE!$B$6+(2-1)*FORSIDE!$B$7,"")</f>
        <v/>
      </c>
    </row>
    <row r="1589" spans="1:4" x14ac:dyDescent="0.3">
      <c r="A1589" t="str">
        <f>IF(AND(FORSIDE!$B$8&gt;=18,FORSIDE!$F$8&gt;=6,FORSIDE!$B$5&gt;=3),1588,"")</f>
        <v/>
      </c>
      <c r="B1589" t="str">
        <f>IF(AND(FORSIDE!$B$8&gt;=18,FORSIDE!$F$8&gt;=6,FORSIDE!$B$5&gt;=3),354+6*FORSIDE!$F$9,"")</f>
        <v/>
      </c>
      <c r="C1589" t="str">
        <f>IF(AND(FORSIDE!$B$8&gt;=18,FORSIDE!$F$8&gt;=6,FORSIDE!$B$5&gt;=3),18*FORSIDE!$B$9,"")</f>
        <v/>
      </c>
      <c r="D1589" t="str">
        <f>IF(AND(FORSIDE!$B$8&gt;=18,FORSIDE!$F$8&gt;=6,FORSIDE!$B$5&gt;=3),FORSIDE!$B$6+(3-1)*FORSIDE!$B$7,"")</f>
        <v/>
      </c>
    </row>
    <row r="1590" spans="1:4" x14ac:dyDescent="0.3">
      <c r="A1590" t="str">
        <f>IF(AND(FORSIDE!$B$8&gt;=18,FORSIDE!$F$8&gt;=6,FORSIDE!$B$5&gt;=4),1589,"")</f>
        <v/>
      </c>
      <c r="B1590" t="str">
        <f>IF(AND(FORSIDE!$B$8&gt;=18,FORSIDE!$F$8&gt;=6,FORSIDE!$B$5&gt;=4),354+6*FORSIDE!$F$9,"")</f>
        <v/>
      </c>
      <c r="C1590" t="str">
        <f>IF(AND(FORSIDE!$B$8&gt;=18,FORSIDE!$F$8&gt;=6,FORSIDE!$B$5&gt;=4),18*FORSIDE!$B$9,"")</f>
        <v/>
      </c>
      <c r="D1590" t="str">
        <f>IF(AND(FORSIDE!$B$8&gt;=18,FORSIDE!$F$8&gt;=6,FORSIDE!$B$5&gt;=4),FORSIDE!$B$6+(4-1)*FORSIDE!$B$7,"")</f>
        <v/>
      </c>
    </row>
    <row r="1591" spans="1:4" x14ac:dyDescent="0.3">
      <c r="A1591" t="str">
        <f>IF(AND(FORSIDE!$B$8&gt;=18,FORSIDE!$F$8&gt;=6,FORSIDE!$B$5&gt;=5),1590,"")</f>
        <v/>
      </c>
      <c r="B1591" t="str">
        <f>IF(AND(FORSIDE!$B$8&gt;=18,FORSIDE!$F$8&gt;=6,FORSIDE!$B$5&gt;=5),354+6*FORSIDE!$F$9,"")</f>
        <v/>
      </c>
      <c r="C1591" t="str">
        <f>IF(AND(FORSIDE!$B$8&gt;=18,FORSIDE!$F$8&gt;=6,FORSIDE!$B$5&gt;=5),18*FORSIDE!$B$9,"")</f>
        <v/>
      </c>
      <c r="D1591" t="str">
        <f>IF(AND(FORSIDE!$B$8&gt;=18,FORSIDE!$F$8&gt;=6,FORSIDE!$B$5&gt;=5),FORSIDE!$B$6+(5-1)*FORSIDE!$B$7,"")</f>
        <v/>
      </c>
    </row>
    <row r="1592" spans="1:4" x14ac:dyDescent="0.3">
      <c r="A1592" t="str">
        <f>IF(AND(FORSIDE!$B$8&gt;=18,FORSIDE!$F$8&gt;=6,FORSIDE!$B$5&gt;=6),1591,"")</f>
        <v/>
      </c>
      <c r="B1592" t="str">
        <f>IF(AND(FORSIDE!$B$8&gt;=18,FORSIDE!$F$8&gt;=6,FORSIDE!$B$5&gt;=6),354+6*FORSIDE!$F$9,"")</f>
        <v/>
      </c>
      <c r="C1592" t="str">
        <f>IF(AND(FORSIDE!$B$8&gt;=18,FORSIDE!$F$8&gt;=6,FORSIDE!$B$5&gt;=6),18*FORSIDE!$B$9,"")</f>
        <v/>
      </c>
      <c r="D1592" t="str">
        <f>IF(AND(FORSIDE!$B$8&gt;=18,FORSIDE!$F$8&gt;=6,FORSIDE!$B$5&gt;=6),FORSIDE!$B$6+(6-1)*FORSIDE!$B$7,"")</f>
        <v/>
      </c>
    </row>
    <row r="1593" spans="1:4" x14ac:dyDescent="0.3">
      <c r="A1593" t="str">
        <f>IF(AND(FORSIDE!$B$8&gt;=18,FORSIDE!$F$8&gt;=6,FORSIDE!$B$5&gt;=7),1592,"")</f>
        <v/>
      </c>
      <c r="B1593" t="str">
        <f>IF(AND(FORSIDE!$B$8&gt;=18,FORSIDE!$F$8&gt;=6,FORSIDE!$B$5&gt;=7),354+6*FORSIDE!$F$9,"")</f>
        <v/>
      </c>
      <c r="C1593" t="str">
        <f>IF(AND(FORSIDE!$B$8&gt;=18,FORSIDE!$F$8&gt;=6,FORSIDE!$B$5&gt;=7),18*FORSIDE!$B$9,"")</f>
        <v/>
      </c>
      <c r="D1593" t="str">
        <f>IF(AND(FORSIDE!$B$8&gt;=18,FORSIDE!$F$8&gt;=6,FORSIDE!$B$5&gt;=7),FORSIDE!$B$6+(7-1)*FORSIDE!$B$7,"")</f>
        <v/>
      </c>
    </row>
    <row r="1594" spans="1:4" x14ac:dyDescent="0.3">
      <c r="A1594" t="str">
        <f>IF(AND(FORSIDE!$B$8&gt;=18,FORSIDE!$F$8&gt;=6,FORSIDE!$B$5&gt;=8),1593,"")</f>
        <v/>
      </c>
      <c r="B1594" t="str">
        <f>IF(AND(FORSIDE!$B$8&gt;=18,FORSIDE!$F$8&gt;=6,FORSIDE!$B$5&gt;=8),354+6*FORSIDE!$F$9,"")</f>
        <v/>
      </c>
      <c r="C1594" t="str">
        <f>IF(AND(FORSIDE!$B$8&gt;=18,FORSIDE!$F$8&gt;=6,FORSIDE!$B$5&gt;=8),18*FORSIDE!$B$9,"")</f>
        <v/>
      </c>
      <c r="D1594" t="str">
        <f>IF(AND(FORSIDE!$B$8&gt;=18,FORSIDE!$F$8&gt;=6,FORSIDE!$B$5&gt;=8),FORSIDE!$B$6+(8-1)*FORSIDE!$B$7,"")</f>
        <v/>
      </c>
    </row>
    <row r="1595" spans="1:4" x14ac:dyDescent="0.3">
      <c r="A1595" t="str">
        <f>IF(AND(FORSIDE!$B$8&gt;=18,FORSIDE!$F$8&gt;=6,FORSIDE!$B$5&gt;=9),1594,"")</f>
        <v/>
      </c>
      <c r="B1595" t="str">
        <f>IF(AND(FORSIDE!$B$8&gt;=18,FORSIDE!$F$8&gt;=6,FORSIDE!$B$5&gt;=9),354+6*FORSIDE!$F$9,"")</f>
        <v/>
      </c>
      <c r="C1595" t="str">
        <f>IF(AND(FORSIDE!$B$8&gt;=18,FORSIDE!$F$8&gt;=6,FORSIDE!$B$5&gt;=9),18*FORSIDE!$B$9,"")</f>
        <v/>
      </c>
      <c r="D1595" t="str">
        <f>IF(AND(FORSIDE!$B$8&gt;=18,FORSIDE!$F$8&gt;=6,FORSIDE!$B$5&gt;=9),FORSIDE!$B$6+(9-1)*FORSIDE!$B$7,"")</f>
        <v/>
      </c>
    </row>
    <row r="1596" spans="1:4" x14ac:dyDescent="0.3">
      <c r="A1596" t="str">
        <f>IF(AND(FORSIDE!$B$8&gt;=18,FORSIDE!$F$8&gt;=6,FORSIDE!$B$5&gt;=10),1595,"")</f>
        <v/>
      </c>
      <c r="B1596" t="str">
        <f>IF(AND(FORSIDE!$B$8&gt;=18,FORSIDE!$F$8&gt;=6,FORSIDE!$B$5&gt;=10),354+6*FORSIDE!$F$9,"")</f>
        <v/>
      </c>
      <c r="C1596" t="str">
        <f>IF(AND(FORSIDE!$B$8&gt;=18,FORSIDE!$F$8&gt;=6,FORSIDE!$B$5&gt;=10),18*FORSIDE!$B$9,"")</f>
        <v/>
      </c>
      <c r="D1596" t="str">
        <f>IF(AND(FORSIDE!$B$8&gt;=18,FORSIDE!$F$8&gt;=6,FORSIDE!$B$5&gt;=10),FORSIDE!$B$6+(10-1)*FORSIDE!$B$7,"")</f>
        <v/>
      </c>
    </row>
    <row r="1597" spans="1:4" x14ac:dyDescent="0.3">
      <c r="A1597" t="str">
        <f>IF(AND(FORSIDE!$B$8&gt;=19,FORSIDE!$F$8&gt;=6,FORSIDE!$B$5&gt;=0),1596,"")</f>
        <v/>
      </c>
      <c r="B1597" t="str">
        <f>IF(AND(FORSIDE!$B$8&gt;=19,FORSIDE!$F$8&gt;=6,FORSIDE!$B$5&gt;=0),354+6*FORSIDE!$F$9,"")</f>
        <v/>
      </c>
      <c r="C1597" t="str">
        <f>IF(AND(FORSIDE!$B$8&gt;=19,FORSIDE!$F$8&gt;=6,FORSIDE!$B$5&gt;=0),19*FORSIDE!$B$9,"")</f>
        <v/>
      </c>
      <c r="D1597" t="str">
        <f>IF(AND(FORSIDE!$B$8&gt;=19,FORSIDE!$F$8&gt;=6,FORSIDE!$B$5&gt;=0),0,"")</f>
        <v/>
      </c>
    </row>
    <row r="1598" spans="1:4" x14ac:dyDescent="0.3">
      <c r="A1598" t="str">
        <f>IF(AND(FORSIDE!$B$8&gt;=19,FORSIDE!$F$8&gt;=6,FORSIDE!$B$5&gt;=1),1597,"")</f>
        <v/>
      </c>
      <c r="B1598" t="str">
        <f>IF(AND(FORSIDE!$B$8&gt;=19,FORSIDE!$F$8&gt;=6,FORSIDE!$B$5&gt;=1),354+6*FORSIDE!$F$9,"")</f>
        <v/>
      </c>
      <c r="C1598" t="str">
        <f>IF(AND(FORSIDE!$B$8&gt;=19,FORSIDE!$F$8&gt;=6,FORSIDE!$B$5&gt;=1),19*FORSIDE!$B$9,"")</f>
        <v/>
      </c>
      <c r="D1598" t="str">
        <f>IF(AND(FORSIDE!$B$8&gt;=19,FORSIDE!$F$8&gt;=6,FORSIDE!$B$5&gt;=1),FORSIDE!$B$6+(1-1)*FORSIDE!$B$7,"")</f>
        <v/>
      </c>
    </row>
    <row r="1599" spans="1:4" x14ac:dyDescent="0.3">
      <c r="A1599" t="str">
        <f>IF(AND(FORSIDE!$B$8&gt;=19,FORSIDE!$F$8&gt;=6,FORSIDE!$B$5&gt;=2),1598,"")</f>
        <v/>
      </c>
      <c r="B1599" t="str">
        <f>IF(AND(FORSIDE!$B$8&gt;=19,FORSIDE!$F$8&gt;=6,FORSIDE!$B$5&gt;=2),354+6*FORSIDE!$F$9,"")</f>
        <v/>
      </c>
      <c r="C1599" t="str">
        <f>IF(AND(FORSIDE!$B$8&gt;=19,FORSIDE!$F$8&gt;=6,FORSIDE!$B$5&gt;=2),19*FORSIDE!$B$9,"")</f>
        <v/>
      </c>
      <c r="D1599" t="str">
        <f>IF(AND(FORSIDE!$B$8&gt;=19,FORSIDE!$F$8&gt;=6,FORSIDE!$B$5&gt;=2),FORSIDE!$B$6+(2-1)*FORSIDE!$B$7,"")</f>
        <v/>
      </c>
    </row>
    <row r="1600" spans="1:4" x14ac:dyDescent="0.3">
      <c r="A1600" t="str">
        <f>IF(AND(FORSIDE!$B$8&gt;=19,FORSIDE!$F$8&gt;=6,FORSIDE!$B$5&gt;=3),1599,"")</f>
        <v/>
      </c>
      <c r="B1600" t="str">
        <f>IF(AND(FORSIDE!$B$8&gt;=19,FORSIDE!$F$8&gt;=6,FORSIDE!$B$5&gt;=3),354+6*FORSIDE!$F$9,"")</f>
        <v/>
      </c>
      <c r="C1600" t="str">
        <f>IF(AND(FORSIDE!$B$8&gt;=19,FORSIDE!$F$8&gt;=6,FORSIDE!$B$5&gt;=3),19*FORSIDE!$B$9,"")</f>
        <v/>
      </c>
      <c r="D1600" t="str">
        <f>IF(AND(FORSIDE!$B$8&gt;=19,FORSIDE!$F$8&gt;=6,FORSIDE!$B$5&gt;=3),FORSIDE!$B$6+(3-1)*FORSIDE!$B$7,"")</f>
        <v/>
      </c>
    </row>
    <row r="1601" spans="1:4" x14ac:dyDescent="0.3">
      <c r="A1601" t="str">
        <f>IF(AND(FORSIDE!$B$8&gt;=19,FORSIDE!$F$8&gt;=6,FORSIDE!$B$5&gt;=4),1600,"")</f>
        <v/>
      </c>
      <c r="B1601" t="str">
        <f>IF(AND(FORSIDE!$B$8&gt;=19,FORSIDE!$F$8&gt;=6,FORSIDE!$B$5&gt;=4),354+6*FORSIDE!$F$9,"")</f>
        <v/>
      </c>
      <c r="C1601" t="str">
        <f>IF(AND(FORSIDE!$B$8&gt;=19,FORSIDE!$F$8&gt;=6,FORSIDE!$B$5&gt;=4),19*FORSIDE!$B$9,"")</f>
        <v/>
      </c>
      <c r="D1601" t="str">
        <f>IF(AND(FORSIDE!$B$8&gt;=19,FORSIDE!$F$8&gt;=6,FORSIDE!$B$5&gt;=4),FORSIDE!$B$6+(4-1)*FORSIDE!$B$7,"")</f>
        <v/>
      </c>
    </row>
    <row r="1602" spans="1:4" x14ac:dyDescent="0.3">
      <c r="A1602" t="str">
        <f>IF(AND(FORSIDE!$B$8&gt;=19,FORSIDE!$F$8&gt;=6,FORSIDE!$B$5&gt;=5),1601,"")</f>
        <v/>
      </c>
      <c r="B1602" t="str">
        <f>IF(AND(FORSIDE!$B$8&gt;=19,FORSIDE!$F$8&gt;=6,FORSIDE!$B$5&gt;=5),354+6*FORSIDE!$F$9,"")</f>
        <v/>
      </c>
      <c r="C1602" t="str">
        <f>IF(AND(FORSIDE!$B$8&gt;=19,FORSIDE!$F$8&gt;=6,FORSIDE!$B$5&gt;=5),19*FORSIDE!$B$9,"")</f>
        <v/>
      </c>
      <c r="D1602" t="str">
        <f>IF(AND(FORSIDE!$B$8&gt;=19,FORSIDE!$F$8&gt;=6,FORSIDE!$B$5&gt;=5),FORSIDE!$B$6+(5-1)*FORSIDE!$B$7,"")</f>
        <v/>
      </c>
    </row>
    <row r="1603" spans="1:4" x14ac:dyDescent="0.3">
      <c r="A1603" t="str">
        <f>IF(AND(FORSIDE!$B$8&gt;=19,FORSIDE!$F$8&gt;=6,FORSIDE!$B$5&gt;=6),1602,"")</f>
        <v/>
      </c>
      <c r="B1603" t="str">
        <f>IF(AND(FORSIDE!$B$8&gt;=19,FORSIDE!$F$8&gt;=6,FORSIDE!$B$5&gt;=6),354+6*FORSIDE!$F$9,"")</f>
        <v/>
      </c>
      <c r="C1603" t="str">
        <f>IF(AND(FORSIDE!$B$8&gt;=19,FORSIDE!$F$8&gt;=6,FORSIDE!$B$5&gt;=6),19*FORSIDE!$B$9,"")</f>
        <v/>
      </c>
      <c r="D1603" t="str">
        <f>IF(AND(FORSIDE!$B$8&gt;=19,FORSIDE!$F$8&gt;=6,FORSIDE!$B$5&gt;=6),FORSIDE!$B$6+(6-1)*FORSIDE!$B$7,"")</f>
        <v/>
      </c>
    </row>
    <row r="1604" spans="1:4" x14ac:dyDescent="0.3">
      <c r="A1604" t="str">
        <f>IF(AND(FORSIDE!$B$8&gt;=19,FORSIDE!$F$8&gt;=6,FORSIDE!$B$5&gt;=7),1603,"")</f>
        <v/>
      </c>
      <c r="B1604" t="str">
        <f>IF(AND(FORSIDE!$B$8&gt;=19,FORSIDE!$F$8&gt;=6,FORSIDE!$B$5&gt;=7),354+6*FORSIDE!$F$9,"")</f>
        <v/>
      </c>
      <c r="C1604" t="str">
        <f>IF(AND(FORSIDE!$B$8&gt;=19,FORSIDE!$F$8&gt;=6,FORSIDE!$B$5&gt;=7),19*FORSIDE!$B$9,"")</f>
        <v/>
      </c>
      <c r="D1604" t="str">
        <f>IF(AND(FORSIDE!$B$8&gt;=19,FORSIDE!$F$8&gt;=6,FORSIDE!$B$5&gt;=7),FORSIDE!$B$6+(7-1)*FORSIDE!$B$7,"")</f>
        <v/>
      </c>
    </row>
    <row r="1605" spans="1:4" x14ac:dyDescent="0.3">
      <c r="A1605" t="str">
        <f>IF(AND(FORSIDE!$B$8&gt;=19,FORSIDE!$F$8&gt;=6,FORSIDE!$B$5&gt;=8),1604,"")</f>
        <v/>
      </c>
      <c r="B1605" t="str">
        <f>IF(AND(FORSIDE!$B$8&gt;=19,FORSIDE!$F$8&gt;=6,FORSIDE!$B$5&gt;=8),354+6*FORSIDE!$F$9,"")</f>
        <v/>
      </c>
      <c r="C1605" t="str">
        <f>IF(AND(FORSIDE!$B$8&gt;=19,FORSIDE!$F$8&gt;=6,FORSIDE!$B$5&gt;=8),19*FORSIDE!$B$9,"")</f>
        <v/>
      </c>
      <c r="D1605" t="str">
        <f>IF(AND(FORSIDE!$B$8&gt;=19,FORSIDE!$F$8&gt;=6,FORSIDE!$B$5&gt;=8),FORSIDE!$B$6+(8-1)*FORSIDE!$B$7,"")</f>
        <v/>
      </c>
    </row>
    <row r="1606" spans="1:4" x14ac:dyDescent="0.3">
      <c r="A1606" t="str">
        <f>IF(AND(FORSIDE!$B$8&gt;=19,FORSIDE!$F$8&gt;=6,FORSIDE!$B$5&gt;=9),1605,"")</f>
        <v/>
      </c>
      <c r="B1606" t="str">
        <f>IF(AND(FORSIDE!$B$8&gt;=19,FORSIDE!$F$8&gt;=6,FORSIDE!$B$5&gt;=9),354+6*FORSIDE!$F$9,"")</f>
        <v/>
      </c>
      <c r="C1606" t="str">
        <f>IF(AND(FORSIDE!$B$8&gt;=19,FORSIDE!$F$8&gt;=6,FORSIDE!$B$5&gt;=9),19*FORSIDE!$B$9,"")</f>
        <v/>
      </c>
      <c r="D1606" t="str">
        <f>IF(AND(FORSIDE!$B$8&gt;=19,FORSIDE!$F$8&gt;=6,FORSIDE!$B$5&gt;=9),FORSIDE!$B$6+(9-1)*FORSIDE!$B$7,"")</f>
        <v/>
      </c>
    </row>
    <row r="1607" spans="1:4" x14ac:dyDescent="0.3">
      <c r="A1607" t="str">
        <f>IF(AND(FORSIDE!$B$8&gt;=19,FORSIDE!$F$8&gt;=6,FORSIDE!$B$5&gt;=10),1606,"")</f>
        <v/>
      </c>
      <c r="B1607" t="str">
        <f>IF(AND(FORSIDE!$B$8&gt;=19,FORSIDE!$F$8&gt;=6,FORSIDE!$B$5&gt;=10),354+6*FORSIDE!$F$9,"")</f>
        <v/>
      </c>
      <c r="C1607" t="str">
        <f>IF(AND(FORSIDE!$B$8&gt;=19,FORSIDE!$F$8&gt;=6,FORSIDE!$B$5&gt;=10),19*FORSIDE!$B$9,"")</f>
        <v/>
      </c>
      <c r="D1607" t="str">
        <f>IF(AND(FORSIDE!$B$8&gt;=19,FORSIDE!$F$8&gt;=6,FORSIDE!$B$5&gt;=10),FORSIDE!$B$6+(10-1)*FORSIDE!$B$7,"")</f>
        <v/>
      </c>
    </row>
    <row r="1608" spans="1:4" x14ac:dyDescent="0.3">
      <c r="A1608" t="str">
        <f>IF(AND(FORSIDE!$B$8&gt;=20,FORSIDE!$F$8&gt;=6,FORSIDE!$B$5&gt;=0),1607,"")</f>
        <v/>
      </c>
      <c r="B1608" t="str">
        <f>IF(AND(FORSIDE!$B$8&gt;=20,FORSIDE!$F$8&gt;=6,FORSIDE!$B$5&gt;=0),354+6*FORSIDE!$F$9,"")</f>
        <v/>
      </c>
      <c r="C1608" t="str">
        <f>IF(AND(FORSIDE!$B$8&gt;=20,FORSIDE!$F$8&gt;=6,FORSIDE!$B$5&gt;=0),20*FORSIDE!$B$9,"")</f>
        <v/>
      </c>
      <c r="D1608" t="str">
        <f>IF(AND(FORSIDE!$B$8&gt;=20,FORSIDE!$F$8&gt;=6,FORSIDE!$B$5&gt;=0),0,"")</f>
        <v/>
      </c>
    </row>
    <row r="1609" spans="1:4" x14ac:dyDescent="0.3">
      <c r="A1609" t="str">
        <f>IF(AND(FORSIDE!$B$8&gt;=20,FORSIDE!$F$8&gt;=6,FORSIDE!$B$5&gt;=1),1608,"")</f>
        <v/>
      </c>
      <c r="B1609" t="str">
        <f>IF(AND(FORSIDE!$B$8&gt;=20,FORSIDE!$F$8&gt;=6,FORSIDE!$B$5&gt;=1),354+6*FORSIDE!$F$9,"")</f>
        <v/>
      </c>
      <c r="C1609" t="str">
        <f>IF(AND(FORSIDE!$B$8&gt;=20,FORSIDE!$F$8&gt;=6,FORSIDE!$B$5&gt;=1),20*FORSIDE!$B$9,"")</f>
        <v/>
      </c>
      <c r="D1609" t="str">
        <f>IF(AND(FORSIDE!$B$8&gt;=20,FORSIDE!$F$8&gt;=6,FORSIDE!$B$5&gt;=1),FORSIDE!$B$6+(1-1)*FORSIDE!$B$7,"")</f>
        <v/>
      </c>
    </row>
    <row r="1610" spans="1:4" x14ac:dyDescent="0.3">
      <c r="A1610" t="str">
        <f>IF(AND(FORSIDE!$B$8&gt;=20,FORSIDE!$F$8&gt;=6,FORSIDE!$B$5&gt;=2),1609,"")</f>
        <v/>
      </c>
      <c r="B1610" t="str">
        <f>IF(AND(FORSIDE!$B$8&gt;=20,FORSIDE!$F$8&gt;=6,FORSIDE!$B$5&gt;=2),354+6*FORSIDE!$F$9,"")</f>
        <v/>
      </c>
      <c r="C1610" t="str">
        <f>IF(AND(FORSIDE!$B$8&gt;=20,FORSIDE!$F$8&gt;=6,FORSIDE!$B$5&gt;=2),20*FORSIDE!$B$9,"")</f>
        <v/>
      </c>
      <c r="D1610" t="str">
        <f>IF(AND(FORSIDE!$B$8&gt;=20,FORSIDE!$F$8&gt;=6,FORSIDE!$B$5&gt;=2),FORSIDE!$B$6+(2-1)*FORSIDE!$B$7,"")</f>
        <v/>
      </c>
    </row>
    <row r="1611" spans="1:4" x14ac:dyDescent="0.3">
      <c r="A1611" t="str">
        <f>IF(AND(FORSIDE!$B$8&gt;=20,FORSIDE!$F$8&gt;=6,FORSIDE!$B$5&gt;=3),1610,"")</f>
        <v/>
      </c>
      <c r="B1611" t="str">
        <f>IF(AND(FORSIDE!$B$8&gt;=20,FORSIDE!$F$8&gt;=6,FORSIDE!$B$5&gt;=3),354+6*FORSIDE!$F$9,"")</f>
        <v/>
      </c>
      <c r="C1611" t="str">
        <f>IF(AND(FORSIDE!$B$8&gt;=20,FORSIDE!$F$8&gt;=6,FORSIDE!$B$5&gt;=3),20*FORSIDE!$B$9,"")</f>
        <v/>
      </c>
      <c r="D1611" t="str">
        <f>IF(AND(FORSIDE!$B$8&gt;=20,FORSIDE!$F$8&gt;=6,FORSIDE!$B$5&gt;=3),FORSIDE!$B$6+(3-1)*FORSIDE!$B$7,"")</f>
        <v/>
      </c>
    </row>
    <row r="1612" spans="1:4" x14ac:dyDescent="0.3">
      <c r="A1612" t="str">
        <f>IF(AND(FORSIDE!$B$8&gt;=20,FORSIDE!$F$8&gt;=6,FORSIDE!$B$5&gt;=4),1611,"")</f>
        <v/>
      </c>
      <c r="B1612" t="str">
        <f>IF(AND(FORSIDE!$B$8&gt;=20,FORSIDE!$F$8&gt;=6,FORSIDE!$B$5&gt;=4),354+6*FORSIDE!$F$9,"")</f>
        <v/>
      </c>
      <c r="C1612" t="str">
        <f>IF(AND(FORSIDE!$B$8&gt;=20,FORSIDE!$F$8&gt;=6,FORSIDE!$B$5&gt;=4),20*FORSIDE!$B$9,"")</f>
        <v/>
      </c>
      <c r="D1612" t="str">
        <f>IF(AND(FORSIDE!$B$8&gt;=20,FORSIDE!$F$8&gt;=6,FORSIDE!$B$5&gt;=4),FORSIDE!$B$6+(4-1)*FORSIDE!$B$7,"")</f>
        <v/>
      </c>
    </row>
    <row r="1613" spans="1:4" x14ac:dyDescent="0.3">
      <c r="A1613" t="str">
        <f>IF(AND(FORSIDE!$B$8&gt;=20,FORSIDE!$F$8&gt;=6,FORSIDE!$B$5&gt;=5),1612,"")</f>
        <v/>
      </c>
      <c r="B1613" t="str">
        <f>IF(AND(FORSIDE!$B$8&gt;=20,FORSIDE!$F$8&gt;=6,FORSIDE!$B$5&gt;=5),354+6*FORSIDE!$F$9,"")</f>
        <v/>
      </c>
      <c r="C1613" t="str">
        <f>IF(AND(FORSIDE!$B$8&gt;=20,FORSIDE!$F$8&gt;=6,FORSIDE!$B$5&gt;=5),20*FORSIDE!$B$9,"")</f>
        <v/>
      </c>
      <c r="D1613" t="str">
        <f>IF(AND(FORSIDE!$B$8&gt;=20,FORSIDE!$F$8&gt;=6,FORSIDE!$B$5&gt;=5),FORSIDE!$B$6+(5-1)*FORSIDE!$B$7,"")</f>
        <v/>
      </c>
    </row>
    <row r="1614" spans="1:4" x14ac:dyDescent="0.3">
      <c r="A1614" t="str">
        <f>IF(AND(FORSIDE!$B$8&gt;=20,FORSIDE!$F$8&gt;=6,FORSIDE!$B$5&gt;=6),1613,"")</f>
        <v/>
      </c>
      <c r="B1614" t="str">
        <f>IF(AND(FORSIDE!$B$8&gt;=20,FORSIDE!$F$8&gt;=6,FORSIDE!$B$5&gt;=6),354+6*FORSIDE!$F$9,"")</f>
        <v/>
      </c>
      <c r="C1614" t="str">
        <f>IF(AND(FORSIDE!$B$8&gt;=20,FORSIDE!$F$8&gt;=6,FORSIDE!$B$5&gt;=6),20*FORSIDE!$B$9,"")</f>
        <v/>
      </c>
      <c r="D1614" t="str">
        <f>IF(AND(FORSIDE!$B$8&gt;=20,FORSIDE!$F$8&gt;=6,FORSIDE!$B$5&gt;=6),FORSIDE!$B$6+(6-1)*FORSIDE!$B$7,"")</f>
        <v/>
      </c>
    </row>
    <row r="1615" spans="1:4" x14ac:dyDescent="0.3">
      <c r="A1615" t="str">
        <f>IF(AND(FORSIDE!$B$8&gt;=20,FORSIDE!$F$8&gt;=6,FORSIDE!$B$5&gt;=7),1614,"")</f>
        <v/>
      </c>
      <c r="B1615" t="str">
        <f>IF(AND(FORSIDE!$B$8&gt;=20,FORSIDE!$F$8&gt;=6,FORSIDE!$B$5&gt;=7),354+6*FORSIDE!$F$9,"")</f>
        <v/>
      </c>
      <c r="C1615" t="str">
        <f>IF(AND(FORSIDE!$B$8&gt;=20,FORSIDE!$F$8&gt;=6,FORSIDE!$B$5&gt;=7),20*FORSIDE!$B$9,"")</f>
        <v/>
      </c>
      <c r="D1615" t="str">
        <f>IF(AND(FORSIDE!$B$8&gt;=20,FORSIDE!$F$8&gt;=6,FORSIDE!$B$5&gt;=7),FORSIDE!$B$6+(7-1)*FORSIDE!$B$7,"")</f>
        <v/>
      </c>
    </row>
    <row r="1616" spans="1:4" x14ac:dyDescent="0.3">
      <c r="A1616" t="str">
        <f>IF(AND(FORSIDE!$B$8&gt;=20,FORSIDE!$F$8&gt;=6,FORSIDE!$B$5&gt;=8),1615,"")</f>
        <v/>
      </c>
      <c r="B1616" t="str">
        <f>IF(AND(FORSIDE!$B$8&gt;=20,FORSIDE!$F$8&gt;=6,FORSIDE!$B$5&gt;=8),354+6*FORSIDE!$F$9,"")</f>
        <v/>
      </c>
      <c r="C1616" t="str">
        <f>IF(AND(FORSIDE!$B$8&gt;=20,FORSIDE!$F$8&gt;=6,FORSIDE!$B$5&gt;=8),20*FORSIDE!$B$9,"")</f>
        <v/>
      </c>
      <c r="D1616" t="str">
        <f>IF(AND(FORSIDE!$B$8&gt;=20,FORSIDE!$F$8&gt;=6,FORSIDE!$B$5&gt;=8),FORSIDE!$B$6+(8-1)*FORSIDE!$B$7,"")</f>
        <v/>
      </c>
    </row>
    <row r="1617" spans="1:4" x14ac:dyDescent="0.3">
      <c r="A1617" t="str">
        <f>IF(AND(FORSIDE!$B$8&gt;=20,FORSIDE!$F$8&gt;=6,FORSIDE!$B$5&gt;=9),1616,"")</f>
        <v/>
      </c>
      <c r="B1617" t="str">
        <f>IF(AND(FORSIDE!$B$8&gt;=20,FORSIDE!$F$8&gt;=6,FORSIDE!$B$5&gt;=9),354+6*FORSIDE!$F$9,"")</f>
        <v/>
      </c>
      <c r="C1617" t="str">
        <f>IF(AND(FORSIDE!$B$8&gt;=20,FORSIDE!$F$8&gt;=6,FORSIDE!$B$5&gt;=9),20*FORSIDE!$B$9,"")</f>
        <v/>
      </c>
      <c r="D1617" t="str">
        <f>IF(AND(FORSIDE!$B$8&gt;=20,FORSIDE!$F$8&gt;=6,FORSIDE!$B$5&gt;=9),FORSIDE!$B$6+(9-1)*FORSIDE!$B$7,"")</f>
        <v/>
      </c>
    </row>
    <row r="1618" spans="1:4" x14ac:dyDescent="0.3">
      <c r="A1618" t="str">
        <f>IF(AND(FORSIDE!$B$8&gt;=20,FORSIDE!$F$8&gt;=6,FORSIDE!$B$5&gt;=10),1617,"")</f>
        <v/>
      </c>
      <c r="B1618" t="str">
        <f>IF(AND(FORSIDE!$B$8&gt;=20,FORSIDE!$F$8&gt;=6,FORSIDE!$B$5&gt;=10),354+6*FORSIDE!$F$9,"")</f>
        <v/>
      </c>
      <c r="C1618" t="str">
        <f>IF(AND(FORSIDE!$B$8&gt;=20,FORSIDE!$F$8&gt;=6,FORSIDE!$B$5&gt;=10),20*FORSIDE!$B$9,"")</f>
        <v/>
      </c>
      <c r="D1618" t="str">
        <f>IF(AND(FORSIDE!$B$8&gt;=20,FORSIDE!$F$8&gt;=6,FORSIDE!$B$5&gt;=10),FORSIDE!$B$6+(10-1)*FORSIDE!$B$7,"")</f>
        <v/>
      </c>
    </row>
    <row r="1619" spans="1:4" x14ac:dyDescent="0.3">
      <c r="A1619" t="str">
        <f>IF(AND(FORSIDE!$B$8&gt;=0,FORSIDE!$F$8&gt;=7,FORSIDE!$B$5&gt;=0),1618,"")</f>
        <v/>
      </c>
      <c r="B1619" t="str">
        <f>IF(AND(FORSIDE!$B$8&gt;=0,FORSIDE!$F$8&gt;=7,FORSIDE!$B$5&gt;=0),354+7*FORSIDE!$F$9,"")</f>
        <v/>
      </c>
      <c r="C1619" t="str">
        <f>IF(AND(FORSIDE!$B$8&gt;=0,FORSIDE!$F$8&gt;=7,FORSIDE!$B$5&gt;=0),0*FORSIDE!$B$9,"")</f>
        <v/>
      </c>
      <c r="D1619" t="str">
        <f>IF(AND(FORSIDE!$B$8&gt;=0,FORSIDE!$F$8&gt;=7,FORSIDE!$B$5&gt;=0),0,"")</f>
        <v/>
      </c>
    </row>
    <row r="1620" spans="1:4" x14ac:dyDescent="0.3">
      <c r="A1620" t="str">
        <f>IF(AND(FORSIDE!$B$8&gt;=0,FORSIDE!$F$8&gt;=7,FORSIDE!$B$5&gt;=1),1619,"")</f>
        <v/>
      </c>
      <c r="B1620" t="str">
        <f>IF(AND(FORSIDE!$B$8&gt;=0,FORSIDE!$F$8&gt;=7,FORSIDE!$B$5&gt;=1),354+7*FORSIDE!$F$9,"")</f>
        <v/>
      </c>
      <c r="C1620" t="str">
        <f>IF(AND(FORSIDE!$B$8&gt;=0,FORSIDE!$F$8&gt;=7,FORSIDE!$B$5&gt;=1),0*FORSIDE!$B$9,"")</f>
        <v/>
      </c>
      <c r="D1620" t="str">
        <f>IF(AND(FORSIDE!$B$8&gt;=0,FORSIDE!$F$8&gt;=7,FORSIDE!$B$5&gt;=1),FORSIDE!$B$6+(1-1)*FORSIDE!$B$7,"")</f>
        <v/>
      </c>
    </row>
    <row r="1621" spans="1:4" x14ac:dyDescent="0.3">
      <c r="A1621" t="str">
        <f>IF(AND(FORSIDE!$B$8&gt;=0,FORSIDE!$F$8&gt;=7,FORSIDE!$B$5&gt;=2),1620,"")</f>
        <v/>
      </c>
      <c r="B1621" t="str">
        <f>IF(AND(FORSIDE!$B$8&gt;=0,FORSIDE!$F$8&gt;=7,FORSIDE!$B$5&gt;=2),354+7*FORSIDE!$F$9,"")</f>
        <v/>
      </c>
      <c r="C1621" t="str">
        <f>IF(AND(FORSIDE!$B$8&gt;=0,FORSIDE!$F$8&gt;=7,FORSIDE!$B$5&gt;=2),0*FORSIDE!$B$9,"")</f>
        <v/>
      </c>
      <c r="D1621" t="str">
        <f>IF(AND(FORSIDE!$B$8&gt;=0,FORSIDE!$F$8&gt;=7,FORSIDE!$B$5&gt;=2),FORSIDE!$B$6+(2-1)*FORSIDE!$B$7,"")</f>
        <v/>
      </c>
    </row>
    <row r="1622" spans="1:4" x14ac:dyDescent="0.3">
      <c r="A1622" t="str">
        <f>IF(AND(FORSIDE!$B$8&gt;=0,FORSIDE!$F$8&gt;=7,FORSIDE!$B$5&gt;=3),1621,"")</f>
        <v/>
      </c>
      <c r="B1622" t="str">
        <f>IF(AND(FORSIDE!$B$8&gt;=0,FORSIDE!$F$8&gt;=7,FORSIDE!$B$5&gt;=3),354+7*FORSIDE!$F$9,"")</f>
        <v/>
      </c>
      <c r="C1622" t="str">
        <f>IF(AND(FORSIDE!$B$8&gt;=0,FORSIDE!$F$8&gt;=7,FORSIDE!$B$5&gt;=3),0*FORSIDE!$B$9,"")</f>
        <v/>
      </c>
      <c r="D1622" t="str">
        <f>IF(AND(FORSIDE!$B$8&gt;=0,FORSIDE!$F$8&gt;=7,FORSIDE!$B$5&gt;=3),FORSIDE!$B$6+(3-1)*FORSIDE!$B$7,"")</f>
        <v/>
      </c>
    </row>
    <row r="1623" spans="1:4" x14ac:dyDescent="0.3">
      <c r="A1623" t="str">
        <f>IF(AND(FORSIDE!$B$8&gt;=0,FORSIDE!$F$8&gt;=7,FORSIDE!$B$5&gt;=4),1622,"")</f>
        <v/>
      </c>
      <c r="B1623" t="str">
        <f>IF(AND(FORSIDE!$B$8&gt;=0,FORSIDE!$F$8&gt;=7,FORSIDE!$B$5&gt;=4),354+7*FORSIDE!$F$9,"")</f>
        <v/>
      </c>
      <c r="C1623" t="str">
        <f>IF(AND(FORSIDE!$B$8&gt;=0,FORSIDE!$F$8&gt;=7,FORSIDE!$B$5&gt;=4),0*FORSIDE!$B$9,"")</f>
        <v/>
      </c>
      <c r="D1623" t="str">
        <f>IF(AND(FORSIDE!$B$8&gt;=0,FORSIDE!$F$8&gt;=7,FORSIDE!$B$5&gt;=4),FORSIDE!$B$6+(4-1)*FORSIDE!$B$7,"")</f>
        <v/>
      </c>
    </row>
    <row r="1624" spans="1:4" x14ac:dyDescent="0.3">
      <c r="A1624" t="str">
        <f>IF(AND(FORSIDE!$B$8&gt;=0,FORSIDE!$F$8&gt;=7,FORSIDE!$B$5&gt;=5),1623,"")</f>
        <v/>
      </c>
      <c r="B1624" t="str">
        <f>IF(AND(FORSIDE!$B$8&gt;=0,FORSIDE!$F$8&gt;=7,FORSIDE!$B$5&gt;=5),354+7*FORSIDE!$F$9,"")</f>
        <v/>
      </c>
      <c r="C1624" t="str">
        <f>IF(AND(FORSIDE!$B$8&gt;=0,FORSIDE!$F$8&gt;=7,FORSIDE!$B$5&gt;=5),0*FORSIDE!$B$9,"")</f>
        <v/>
      </c>
      <c r="D1624" t="str">
        <f>IF(AND(FORSIDE!$B$8&gt;=0,FORSIDE!$F$8&gt;=7,FORSIDE!$B$5&gt;=5),FORSIDE!$B$6+(5-1)*FORSIDE!$B$7,"")</f>
        <v/>
      </c>
    </row>
    <row r="1625" spans="1:4" x14ac:dyDescent="0.3">
      <c r="A1625" t="str">
        <f>IF(AND(FORSIDE!$B$8&gt;=0,FORSIDE!$F$8&gt;=7,FORSIDE!$B$5&gt;=6),1624,"")</f>
        <v/>
      </c>
      <c r="B1625" t="str">
        <f>IF(AND(FORSIDE!$B$8&gt;=0,FORSIDE!$F$8&gt;=7,FORSIDE!$B$5&gt;=6),354+7*FORSIDE!$F$9,"")</f>
        <v/>
      </c>
      <c r="C1625" t="str">
        <f>IF(AND(FORSIDE!$B$8&gt;=0,FORSIDE!$F$8&gt;=7,FORSIDE!$B$5&gt;=6),0*FORSIDE!$B$9,"")</f>
        <v/>
      </c>
      <c r="D1625" t="str">
        <f>IF(AND(FORSIDE!$B$8&gt;=0,FORSIDE!$F$8&gt;=7,FORSIDE!$B$5&gt;=6),FORSIDE!$B$6+(6-1)*FORSIDE!$B$7,"")</f>
        <v/>
      </c>
    </row>
    <row r="1626" spans="1:4" x14ac:dyDescent="0.3">
      <c r="A1626" t="str">
        <f>IF(AND(FORSIDE!$B$8&gt;=0,FORSIDE!$F$8&gt;=7,FORSIDE!$B$5&gt;=7),1625,"")</f>
        <v/>
      </c>
      <c r="B1626" t="str">
        <f>IF(AND(FORSIDE!$B$8&gt;=0,FORSIDE!$F$8&gt;=7,FORSIDE!$B$5&gt;=7),354+7*FORSIDE!$F$9,"")</f>
        <v/>
      </c>
      <c r="C1626" t="str">
        <f>IF(AND(FORSIDE!$B$8&gt;=0,FORSIDE!$F$8&gt;=7,FORSIDE!$B$5&gt;=7),0*FORSIDE!$B$9,"")</f>
        <v/>
      </c>
      <c r="D1626" t="str">
        <f>IF(AND(FORSIDE!$B$8&gt;=0,FORSIDE!$F$8&gt;=7,FORSIDE!$B$5&gt;=7),FORSIDE!$B$6+(7-1)*FORSIDE!$B$7,"")</f>
        <v/>
      </c>
    </row>
    <row r="1627" spans="1:4" x14ac:dyDescent="0.3">
      <c r="A1627" t="str">
        <f>IF(AND(FORSIDE!$B$8&gt;=0,FORSIDE!$F$8&gt;=7,FORSIDE!$B$5&gt;=8),1626,"")</f>
        <v/>
      </c>
      <c r="B1627" t="str">
        <f>IF(AND(FORSIDE!$B$8&gt;=0,FORSIDE!$F$8&gt;=7,FORSIDE!$B$5&gt;=8),354+7*FORSIDE!$F$9,"")</f>
        <v/>
      </c>
      <c r="C1627" t="str">
        <f>IF(AND(FORSIDE!$B$8&gt;=0,FORSIDE!$F$8&gt;=7,FORSIDE!$B$5&gt;=8),0*FORSIDE!$B$9,"")</f>
        <v/>
      </c>
      <c r="D1627" t="str">
        <f>IF(AND(FORSIDE!$B$8&gt;=0,FORSIDE!$F$8&gt;=7,FORSIDE!$B$5&gt;=8),FORSIDE!$B$6+(8-1)*FORSIDE!$B$7,"")</f>
        <v/>
      </c>
    </row>
    <row r="1628" spans="1:4" x14ac:dyDescent="0.3">
      <c r="A1628" t="str">
        <f>IF(AND(FORSIDE!$B$8&gt;=0,FORSIDE!$F$8&gt;=7,FORSIDE!$B$5&gt;=9),1627,"")</f>
        <v/>
      </c>
      <c r="B1628" t="str">
        <f>IF(AND(FORSIDE!$B$8&gt;=0,FORSIDE!$F$8&gt;=7,FORSIDE!$B$5&gt;=9),354+7*FORSIDE!$F$9,"")</f>
        <v/>
      </c>
      <c r="C1628" t="str">
        <f>IF(AND(FORSIDE!$B$8&gt;=0,FORSIDE!$F$8&gt;=7,FORSIDE!$B$5&gt;=9),0*FORSIDE!$B$9,"")</f>
        <v/>
      </c>
      <c r="D1628" t="str">
        <f>IF(AND(FORSIDE!$B$8&gt;=0,FORSIDE!$F$8&gt;=7,FORSIDE!$B$5&gt;=9),FORSIDE!$B$6+(9-1)*FORSIDE!$B$7,"")</f>
        <v/>
      </c>
    </row>
    <row r="1629" spans="1:4" x14ac:dyDescent="0.3">
      <c r="A1629" t="str">
        <f>IF(AND(FORSIDE!$B$8&gt;=0,FORSIDE!$F$8&gt;=7,FORSIDE!$B$5&gt;=10),1628,"")</f>
        <v/>
      </c>
      <c r="B1629" t="str">
        <f>IF(AND(FORSIDE!$B$8&gt;=0,FORSIDE!$F$8&gt;=7,FORSIDE!$B$5&gt;=10),354+7*FORSIDE!$F$9,"")</f>
        <v/>
      </c>
      <c r="C1629" t="str">
        <f>IF(AND(FORSIDE!$B$8&gt;=0,FORSIDE!$F$8&gt;=7,FORSIDE!$B$5&gt;=10),0*FORSIDE!$B$9,"")</f>
        <v/>
      </c>
      <c r="D1629" t="str">
        <f>IF(AND(FORSIDE!$B$8&gt;=0,FORSIDE!$F$8&gt;=7,FORSIDE!$B$5&gt;=10),FORSIDE!$B$6+(10-1)*FORSIDE!$B$7,"")</f>
        <v/>
      </c>
    </row>
    <row r="1630" spans="1:4" x14ac:dyDescent="0.3">
      <c r="A1630" t="str">
        <f>IF(AND(FORSIDE!$B$8&gt;=1,FORSIDE!$F$8&gt;=7,FORSIDE!$B$5&gt;=0),1629,"")</f>
        <v/>
      </c>
      <c r="B1630" t="str">
        <f>IF(AND(FORSIDE!$B$8&gt;=1,FORSIDE!$F$8&gt;=7,FORSIDE!$B$5&gt;=0),354+7*FORSIDE!$F$9,"")</f>
        <v/>
      </c>
      <c r="C1630" t="str">
        <f>IF(AND(FORSIDE!$B$8&gt;=1,FORSIDE!$F$8&gt;=7,FORSIDE!$B$5&gt;=0),1*FORSIDE!$B$9,"")</f>
        <v/>
      </c>
      <c r="D1630" t="str">
        <f>IF(AND(FORSIDE!$B$8&gt;=1,FORSIDE!$F$8&gt;=7,FORSIDE!$B$5&gt;=0),0,"")</f>
        <v/>
      </c>
    </row>
    <row r="1631" spans="1:4" x14ac:dyDescent="0.3">
      <c r="A1631" t="str">
        <f>IF(AND(FORSIDE!$B$8&gt;=1,FORSIDE!$F$8&gt;=7,FORSIDE!$B$5&gt;=1),1630,"")</f>
        <v/>
      </c>
      <c r="B1631" t="str">
        <f>IF(AND(FORSIDE!$B$8&gt;=1,FORSIDE!$F$8&gt;=7,FORSIDE!$B$5&gt;=1),354+7*FORSIDE!$F$9,"")</f>
        <v/>
      </c>
      <c r="C1631" t="str">
        <f>IF(AND(FORSIDE!$B$8&gt;=1,FORSIDE!$F$8&gt;=7,FORSIDE!$B$5&gt;=1),1*FORSIDE!$B$9,"")</f>
        <v/>
      </c>
      <c r="D1631" t="str">
        <f>IF(AND(FORSIDE!$B$8&gt;=1,FORSIDE!$F$8&gt;=7,FORSIDE!$B$5&gt;=1),FORSIDE!$B$6+(1-1)*FORSIDE!$B$7,"")</f>
        <v/>
      </c>
    </row>
    <row r="1632" spans="1:4" x14ac:dyDescent="0.3">
      <c r="A1632" t="str">
        <f>IF(AND(FORSIDE!$B$8&gt;=1,FORSIDE!$F$8&gt;=7,FORSIDE!$B$5&gt;=2),1631,"")</f>
        <v/>
      </c>
      <c r="B1632" t="str">
        <f>IF(AND(FORSIDE!$B$8&gt;=1,FORSIDE!$F$8&gt;=7,FORSIDE!$B$5&gt;=2),354+7*FORSIDE!$F$9,"")</f>
        <v/>
      </c>
      <c r="C1632" t="str">
        <f>IF(AND(FORSIDE!$B$8&gt;=1,FORSIDE!$F$8&gt;=7,FORSIDE!$B$5&gt;=2),1*FORSIDE!$B$9,"")</f>
        <v/>
      </c>
      <c r="D1632" t="str">
        <f>IF(AND(FORSIDE!$B$8&gt;=1,FORSIDE!$F$8&gt;=7,FORSIDE!$B$5&gt;=2),FORSIDE!$B$6+(2-1)*FORSIDE!$B$7,"")</f>
        <v/>
      </c>
    </row>
    <row r="1633" spans="1:4" x14ac:dyDescent="0.3">
      <c r="A1633" t="str">
        <f>IF(AND(FORSIDE!$B$8&gt;=1,FORSIDE!$F$8&gt;=7,FORSIDE!$B$5&gt;=3),1632,"")</f>
        <v/>
      </c>
      <c r="B1633" t="str">
        <f>IF(AND(FORSIDE!$B$8&gt;=1,FORSIDE!$F$8&gt;=7,FORSIDE!$B$5&gt;=3),354+7*FORSIDE!$F$9,"")</f>
        <v/>
      </c>
      <c r="C1633" t="str">
        <f>IF(AND(FORSIDE!$B$8&gt;=1,FORSIDE!$F$8&gt;=7,FORSIDE!$B$5&gt;=3),1*FORSIDE!$B$9,"")</f>
        <v/>
      </c>
      <c r="D1633" t="str">
        <f>IF(AND(FORSIDE!$B$8&gt;=1,FORSIDE!$F$8&gt;=7,FORSIDE!$B$5&gt;=3),FORSIDE!$B$6+(3-1)*FORSIDE!$B$7,"")</f>
        <v/>
      </c>
    </row>
    <row r="1634" spans="1:4" x14ac:dyDescent="0.3">
      <c r="A1634" t="str">
        <f>IF(AND(FORSIDE!$B$8&gt;=1,FORSIDE!$F$8&gt;=7,FORSIDE!$B$5&gt;=4),1633,"")</f>
        <v/>
      </c>
      <c r="B1634" t="str">
        <f>IF(AND(FORSIDE!$B$8&gt;=1,FORSIDE!$F$8&gt;=7,FORSIDE!$B$5&gt;=4),354+7*FORSIDE!$F$9,"")</f>
        <v/>
      </c>
      <c r="C1634" t="str">
        <f>IF(AND(FORSIDE!$B$8&gt;=1,FORSIDE!$F$8&gt;=7,FORSIDE!$B$5&gt;=4),1*FORSIDE!$B$9,"")</f>
        <v/>
      </c>
      <c r="D1634" t="str">
        <f>IF(AND(FORSIDE!$B$8&gt;=1,FORSIDE!$F$8&gt;=7,FORSIDE!$B$5&gt;=4),FORSIDE!$B$6+(4-1)*FORSIDE!$B$7,"")</f>
        <v/>
      </c>
    </row>
    <row r="1635" spans="1:4" x14ac:dyDescent="0.3">
      <c r="A1635" t="str">
        <f>IF(AND(FORSIDE!$B$8&gt;=1,FORSIDE!$F$8&gt;=7,FORSIDE!$B$5&gt;=5),1634,"")</f>
        <v/>
      </c>
      <c r="B1635" t="str">
        <f>IF(AND(FORSIDE!$B$8&gt;=1,FORSIDE!$F$8&gt;=7,FORSIDE!$B$5&gt;=5),354+7*FORSIDE!$F$9,"")</f>
        <v/>
      </c>
      <c r="C1635" t="str">
        <f>IF(AND(FORSIDE!$B$8&gt;=1,FORSIDE!$F$8&gt;=7,FORSIDE!$B$5&gt;=5),1*FORSIDE!$B$9,"")</f>
        <v/>
      </c>
      <c r="D1635" t="str">
        <f>IF(AND(FORSIDE!$B$8&gt;=1,FORSIDE!$F$8&gt;=7,FORSIDE!$B$5&gt;=5),FORSIDE!$B$6+(5-1)*FORSIDE!$B$7,"")</f>
        <v/>
      </c>
    </row>
    <row r="1636" spans="1:4" x14ac:dyDescent="0.3">
      <c r="A1636" t="str">
        <f>IF(AND(FORSIDE!$B$8&gt;=1,FORSIDE!$F$8&gt;=7,FORSIDE!$B$5&gt;=6),1635,"")</f>
        <v/>
      </c>
      <c r="B1636" t="str">
        <f>IF(AND(FORSIDE!$B$8&gt;=1,FORSIDE!$F$8&gt;=7,FORSIDE!$B$5&gt;=6),354+7*FORSIDE!$F$9,"")</f>
        <v/>
      </c>
      <c r="C1636" t="str">
        <f>IF(AND(FORSIDE!$B$8&gt;=1,FORSIDE!$F$8&gt;=7,FORSIDE!$B$5&gt;=6),1*FORSIDE!$B$9,"")</f>
        <v/>
      </c>
      <c r="D1636" t="str">
        <f>IF(AND(FORSIDE!$B$8&gt;=1,FORSIDE!$F$8&gt;=7,FORSIDE!$B$5&gt;=6),FORSIDE!$B$6+(6-1)*FORSIDE!$B$7,"")</f>
        <v/>
      </c>
    </row>
    <row r="1637" spans="1:4" x14ac:dyDescent="0.3">
      <c r="A1637" t="str">
        <f>IF(AND(FORSIDE!$B$8&gt;=1,FORSIDE!$F$8&gt;=7,FORSIDE!$B$5&gt;=7),1636,"")</f>
        <v/>
      </c>
      <c r="B1637" t="str">
        <f>IF(AND(FORSIDE!$B$8&gt;=1,FORSIDE!$F$8&gt;=7,FORSIDE!$B$5&gt;=7),354+7*FORSIDE!$F$9,"")</f>
        <v/>
      </c>
      <c r="C1637" t="str">
        <f>IF(AND(FORSIDE!$B$8&gt;=1,FORSIDE!$F$8&gt;=7,FORSIDE!$B$5&gt;=7),1*FORSIDE!$B$9,"")</f>
        <v/>
      </c>
      <c r="D1637" t="str">
        <f>IF(AND(FORSIDE!$B$8&gt;=1,FORSIDE!$F$8&gt;=7,FORSIDE!$B$5&gt;=7),FORSIDE!$B$6+(7-1)*FORSIDE!$B$7,"")</f>
        <v/>
      </c>
    </row>
    <row r="1638" spans="1:4" x14ac:dyDescent="0.3">
      <c r="A1638" t="str">
        <f>IF(AND(FORSIDE!$B$8&gt;=1,FORSIDE!$F$8&gt;=7,FORSIDE!$B$5&gt;=8),1637,"")</f>
        <v/>
      </c>
      <c r="B1638" t="str">
        <f>IF(AND(FORSIDE!$B$8&gt;=1,FORSIDE!$F$8&gt;=7,FORSIDE!$B$5&gt;=8),354+7*FORSIDE!$F$9,"")</f>
        <v/>
      </c>
      <c r="C1638" t="str">
        <f>IF(AND(FORSIDE!$B$8&gt;=1,FORSIDE!$F$8&gt;=7,FORSIDE!$B$5&gt;=8),1*FORSIDE!$B$9,"")</f>
        <v/>
      </c>
      <c r="D1638" t="str">
        <f>IF(AND(FORSIDE!$B$8&gt;=1,FORSIDE!$F$8&gt;=7,FORSIDE!$B$5&gt;=8),FORSIDE!$B$6+(8-1)*FORSIDE!$B$7,"")</f>
        <v/>
      </c>
    </row>
    <row r="1639" spans="1:4" x14ac:dyDescent="0.3">
      <c r="A1639" t="str">
        <f>IF(AND(FORSIDE!$B$8&gt;=1,FORSIDE!$F$8&gt;=7,FORSIDE!$B$5&gt;=9),1638,"")</f>
        <v/>
      </c>
      <c r="B1639" t="str">
        <f>IF(AND(FORSIDE!$B$8&gt;=1,FORSIDE!$F$8&gt;=7,FORSIDE!$B$5&gt;=9),354+7*FORSIDE!$F$9,"")</f>
        <v/>
      </c>
      <c r="C1639" t="str">
        <f>IF(AND(FORSIDE!$B$8&gt;=1,FORSIDE!$F$8&gt;=7,FORSIDE!$B$5&gt;=9),1*FORSIDE!$B$9,"")</f>
        <v/>
      </c>
      <c r="D1639" t="str">
        <f>IF(AND(FORSIDE!$B$8&gt;=1,FORSIDE!$F$8&gt;=7,FORSIDE!$B$5&gt;=9),FORSIDE!$B$6+(9-1)*FORSIDE!$B$7,"")</f>
        <v/>
      </c>
    </row>
    <row r="1640" spans="1:4" x14ac:dyDescent="0.3">
      <c r="A1640" t="str">
        <f>IF(AND(FORSIDE!$B$8&gt;=1,FORSIDE!$F$8&gt;=7,FORSIDE!$B$5&gt;=10),1639,"")</f>
        <v/>
      </c>
      <c r="B1640" t="str">
        <f>IF(AND(FORSIDE!$B$8&gt;=1,FORSIDE!$F$8&gt;=7,FORSIDE!$B$5&gt;=10),354+7*FORSIDE!$F$9,"")</f>
        <v/>
      </c>
      <c r="C1640" t="str">
        <f>IF(AND(FORSIDE!$B$8&gt;=1,FORSIDE!$F$8&gt;=7,FORSIDE!$B$5&gt;=10),1*FORSIDE!$B$9,"")</f>
        <v/>
      </c>
      <c r="D1640" t="str">
        <f>IF(AND(FORSIDE!$B$8&gt;=1,FORSIDE!$F$8&gt;=7,FORSIDE!$B$5&gt;=10),FORSIDE!$B$6+(10-1)*FORSIDE!$B$7,"")</f>
        <v/>
      </c>
    </row>
    <row r="1641" spans="1:4" x14ac:dyDescent="0.3">
      <c r="A1641" t="str">
        <f>IF(AND(FORSIDE!$B$8&gt;=2,FORSIDE!$F$8&gt;=7,FORSIDE!$B$5&gt;=0),1640,"")</f>
        <v/>
      </c>
      <c r="B1641" t="str">
        <f>IF(AND(FORSIDE!$B$8&gt;=2,FORSIDE!$F$8&gt;=7,FORSIDE!$B$5&gt;=0),354+7*FORSIDE!$F$9,"")</f>
        <v/>
      </c>
      <c r="C1641" t="str">
        <f>IF(AND(FORSIDE!$B$8&gt;=2,FORSIDE!$F$8&gt;=7,FORSIDE!$B$5&gt;=0),2*FORSIDE!$B$9,"")</f>
        <v/>
      </c>
      <c r="D1641" t="str">
        <f>IF(AND(FORSIDE!$B$8&gt;=2,FORSIDE!$F$8&gt;=7,FORSIDE!$B$5&gt;=0),0,"")</f>
        <v/>
      </c>
    </row>
    <row r="1642" spans="1:4" x14ac:dyDescent="0.3">
      <c r="A1642" t="str">
        <f>IF(AND(FORSIDE!$B$8&gt;=2,FORSIDE!$F$8&gt;=7,FORSIDE!$B$5&gt;=1),1641,"")</f>
        <v/>
      </c>
      <c r="B1642" t="str">
        <f>IF(AND(FORSIDE!$B$8&gt;=2,FORSIDE!$F$8&gt;=7,FORSIDE!$B$5&gt;=1),354+7*FORSIDE!$F$9,"")</f>
        <v/>
      </c>
      <c r="C1642" t="str">
        <f>IF(AND(FORSIDE!$B$8&gt;=2,FORSIDE!$F$8&gt;=7,FORSIDE!$B$5&gt;=1),2*FORSIDE!$B$9,"")</f>
        <v/>
      </c>
      <c r="D1642" t="str">
        <f>IF(AND(FORSIDE!$B$8&gt;=2,FORSIDE!$F$8&gt;=7,FORSIDE!$B$5&gt;=1),FORSIDE!$B$6+(1-1)*FORSIDE!$B$7,"")</f>
        <v/>
      </c>
    </row>
    <row r="1643" spans="1:4" x14ac:dyDescent="0.3">
      <c r="A1643" t="str">
        <f>IF(AND(FORSIDE!$B$8&gt;=2,FORSIDE!$F$8&gt;=7,FORSIDE!$B$5&gt;=2),1642,"")</f>
        <v/>
      </c>
      <c r="B1643" t="str">
        <f>IF(AND(FORSIDE!$B$8&gt;=2,FORSIDE!$F$8&gt;=7,FORSIDE!$B$5&gt;=2),354+7*FORSIDE!$F$9,"")</f>
        <v/>
      </c>
      <c r="C1643" t="str">
        <f>IF(AND(FORSIDE!$B$8&gt;=2,FORSIDE!$F$8&gt;=7,FORSIDE!$B$5&gt;=2),2*FORSIDE!$B$9,"")</f>
        <v/>
      </c>
      <c r="D1643" t="str">
        <f>IF(AND(FORSIDE!$B$8&gt;=2,FORSIDE!$F$8&gt;=7,FORSIDE!$B$5&gt;=2),FORSIDE!$B$6+(2-1)*FORSIDE!$B$7,"")</f>
        <v/>
      </c>
    </row>
    <row r="1644" spans="1:4" x14ac:dyDescent="0.3">
      <c r="A1644" t="str">
        <f>IF(AND(FORSIDE!$B$8&gt;=2,FORSIDE!$F$8&gt;=7,FORSIDE!$B$5&gt;=3),1643,"")</f>
        <v/>
      </c>
      <c r="B1644" t="str">
        <f>IF(AND(FORSIDE!$B$8&gt;=2,FORSIDE!$F$8&gt;=7,FORSIDE!$B$5&gt;=3),354+7*FORSIDE!$F$9,"")</f>
        <v/>
      </c>
      <c r="C1644" t="str">
        <f>IF(AND(FORSIDE!$B$8&gt;=2,FORSIDE!$F$8&gt;=7,FORSIDE!$B$5&gt;=3),2*FORSIDE!$B$9,"")</f>
        <v/>
      </c>
      <c r="D1644" t="str">
        <f>IF(AND(FORSIDE!$B$8&gt;=2,FORSIDE!$F$8&gt;=7,FORSIDE!$B$5&gt;=3),FORSIDE!$B$6+(3-1)*FORSIDE!$B$7,"")</f>
        <v/>
      </c>
    </row>
    <row r="1645" spans="1:4" x14ac:dyDescent="0.3">
      <c r="A1645" t="str">
        <f>IF(AND(FORSIDE!$B$8&gt;=2,FORSIDE!$F$8&gt;=7,FORSIDE!$B$5&gt;=4),1644,"")</f>
        <v/>
      </c>
      <c r="B1645" t="str">
        <f>IF(AND(FORSIDE!$B$8&gt;=2,FORSIDE!$F$8&gt;=7,FORSIDE!$B$5&gt;=4),354+7*FORSIDE!$F$9,"")</f>
        <v/>
      </c>
      <c r="C1645" t="str">
        <f>IF(AND(FORSIDE!$B$8&gt;=2,FORSIDE!$F$8&gt;=7,FORSIDE!$B$5&gt;=4),2*FORSIDE!$B$9,"")</f>
        <v/>
      </c>
      <c r="D1645" t="str">
        <f>IF(AND(FORSIDE!$B$8&gt;=2,FORSIDE!$F$8&gt;=7,FORSIDE!$B$5&gt;=4),FORSIDE!$B$6+(4-1)*FORSIDE!$B$7,"")</f>
        <v/>
      </c>
    </row>
    <row r="1646" spans="1:4" x14ac:dyDescent="0.3">
      <c r="A1646" t="str">
        <f>IF(AND(FORSIDE!$B$8&gt;=2,FORSIDE!$F$8&gt;=7,FORSIDE!$B$5&gt;=5),1645,"")</f>
        <v/>
      </c>
      <c r="B1646" t="str">
        <f>IF(AND(FORSIDE!$B$8&gt;=2,FORSIDE!$F$8&gt;=7,FORSIDE!$B$5&gt;=5),354+7*FORSIDE!$F$9,"")</f>
        <v/>
      </c>
      <c r="C1646" t="str">
        <f>IF(AND(FORSIDE!$B$8&gt;=2,FORSIDE!$F$8&gt;=7,FORSIDE!$B$5&gt;=5),2*FORSIDE!$B$9,"")</f>
        <v/>
      </c>
      <c r="D1646" t="str">
        <f>IF(AND(FORSIDE!$B$8&gt;=2,FORSIDE!$F$8&gt;=7,FORSIDE!$B$5&gt;=5),FORSIDE!$B$6+(5-1)*FORSIDE!$B$7,"")</f>
        <v/>
      </c>
    </row>
    <row r="1647" spans="1:4" x14ac:dyDescent="0.3">
      <c r="A1647" t="str">
        <f>IF(AND(FORSIDE!$B$8&gt;=2,FORSIDE!$F$8&gt;=7,FORSIDE!$B$5&gt;=6),1646,"")</f>
        <v/>
      </c>
      <c r="B1647" t="str">
        <f>IF(AND(FORSIDE!$B$8&gt;=2,FORSIDE!$F$8&gt;=7,FORSIDE!$B$5&gt;=6),354+7*FORSIDE!$F$9,"")</f>
        <v/>
      </c>
      <c r="C1647" t="str">
        <f>IF(AND(FORSIDE!$B$8&gt;=2,FORSIDE!$F$8&gt;=7,FORSIDE!$B$5&gt;=6),2*FORSIDE!$B$9,"")</f>
        <v/>
      </c>
      <c r="D1647" t="str">
        <f>IF(AND(FORSIDE!$B$8&gt;=2,FORSIDE!$F$8&gt;=7,FORSIDE!$B$5&gt;=6),FORSIDE!$B$6+(6-1)*FORSIDE!$B$7,"")</f>
        <v/>
      </c>
    </row>
    <row r="1648" spans="1:4" x14ac:dyDescent="0.3">
      <c r="A1648" t="str">
        <f>IF(AND(FORSIDE!$B$8&gt;=2,FORSIDE!$F$8&gt;=7,FORSIDE!$B$5&gt;=7),1647,"")</f>
        <v/>
      </c>
      <c r="B1648" t="str">
        <f>IF(AND(FORSIDE!$B$8&gt;=2,FORSIDE!$F$8&gt;=7,FORSIDE!$B$5&gt;=7),354+7*FORSIDE!$F$9,"")</f>
        <v/>
      </c>
      <c r="C1648" t="str">
        <f>IF(AND(FORSIDE!$B$8&gt;=2,FORSIDE!$F$8&gt;=7,FORSIDE!$B$5&gt;=7),2*FORSIDE!$B$9,"")</f>
        <v/>
      </c>
      <c r="D1648" t="str">
        <f>IF(AND(FORSIDE!$B$8&gt;=2,FORSIDE!$F$8&gt;=7,FORSIDE!$B$5&gt;=7),FORSIDE!$B$6+(7-1)*FORSIDE!$B$7,"")</f>
        <v/>
      </c>
    </row>
    <row r="1649" spans="1:4" x14ac:dyDescent="0.3">
      <c r="A1649" t="str">
        <f>IF(AND(FORSIDE!$B$8&gt;=2,FORSIDE!$F$8&gt;=7,FORSIDE!$B$5&gt;=8),1648,"")</f>
        <v/>
      </c>
      <c r="B1649" t="str">
        <f>IF(AND(FORSIDE!$B$8&gt;=2,FORSIDE!$F$8&gt;=7,FORSIDE!$B$5&gt;=8),354+7*FORSIDE!$F$9,"")</f>
        <v/>
      </c>
      <c r="C1649" t="str">
        <f>IF(AND(FORSIDE!$B$8&gt;=2,FORSIDE!$F$8&gt;=7,FORSIDE!$B$5&gt;=8),2*FORSIDE!$B$9,"")</f>
        <v/>
      </c>
      <c r="D1649" t="str">
        <f>IF(AND(FORSIDE!$B$8&gt;=2,FORSIDE!$F$8&gt;=7,FORSIDE!$B$5&gt;=8),FORSIDE!$B$6+(8-1)*FORSIDE!$B$7,"")</f>
        <v/>
      </c>
    </row>
    <row r="1650" spans="1:4" x14ac:dyDescent="0.3">
      <c r="A1650" t="str">
        <f>IF(AND(FORSIDE!$B$8&gt;=2,FORSIDE!$F$8&gt;=7,FORSIDE!$B$5&gt;=9),1649,"")</f>
        <v/>
      </c>
      <c r="B1650" t="str">
        <f>IF(AND(FORSIDE!$B$8&gt;=2,FORSIDE!$F$8&gt;=7,FORSIDE!$B$5&gt;=9),354+7*FORSIDE!$F$9,"")</f>
        <v/>
      </c>
      <c r="C1650" t="str">
        <f>IF(AND(FORSIDE!$B$8&gt;=2,FORSIDE!$F$8&gt;=7,FORSIDE!$B$5&gt;=9),2*FORSIDE!$B$9,"")</f>
        <v/>
      </c>
      <c r="D1650" t="str">
        <f>IF(AND(FORSIDE!$B$8&gt;=2,FORSIDE!$F$8&gt;=7,FORSIDE!$B$5&gt;=9),FORSIDE!$B$6+(9-1)*FORSIDE!$B$7,"")</f>
        <v/>
      </c>
    </row>
    <row r="1651" spans="1:4" x14ac:dyDescent="0.3">
      <c r="A1651" t="str">
        <f>IF(AND(FORSIDE!$B$8&gt;=2,FORSIDE!$F$8&gt;=7,FORSIDE!$B$5&gt;=10),1650,"")</f>
        <v/>
      </c>
      <c r="B1651" t="str">
        <f>IF(AND(FORSIDE!$B$8&gt;=2,FORSIDE!$F$8&gt;=7,FORSIDE!$B$5&gt;=10),354+7*FORSIDE!$F$9,"")</f>
        <v/>
      </c>
      <c r="C1651" t="str">
        <f>IF(AND(FORSIDE!$B$8&gt;=2,FORSIDE!$F$8&gt;=7,FORSIDE!$B$5&gt;=10),2*FORSIDE!$B$9,"")</f>
        <v/>
      </c>
      <c r="D1651" t="str">
        <f>IF(AND(FORSIDE!$B$8&gt;=2,FORSIDE!$F$8&gt;=7,FORSIDE!$B$5&gt;=10),FORSIDE!$B$6+(10-1)*FORSIDE!$B$7,"")</f>
        <v/>
      </c>
    </row>
    <row r="1652" spans="1:4" x14ac:dyDescent="0.3">
      <c r="A1652" t="str">
        <f>IF(AND(FORSIDE!$B$8&gt;=3,FORSIDE!$F$8&gt;=7,FORSIDE!$B$5&gt;=0),1651,"")</f>
        <v/>
      </c>
      <c r="B1652" t="str">
        <f>IF(AND(FORSIDE!$B$8&gt;=3,FORSIDE!$F$8&gt;=7,FORSIDE!$B$5&gt;=0),354+7*FORSIDE!$F$9,"")</f>
        <v/>
      </c>
      <c r="C1652" t="str">
        <f>IF(AND(FORSIDE!$B$8&gt;=3,FORSIDE!$F$8&gt;=7,FORSIDE!$B$5&gt;=0),3*FORSIDE!$B$9,"")</f>
        <v/>
      </c>
      <c r="D1652" t="str">
        <f>IF(AND(FORSIDE!$B$8&gt;=3,FORSIDE!$F$8&gt;=7,FORSIDE!$B$5&gt;=0),0,"")</f>
        <v/>
      </c>
    </row>
    <row r="1653" spans="1:4" x14ac:dyDescent="0.3">
      <c r="A1653" t="str">
        <f>IF(AND(FORSIDE!$B$8&gt;=3,FORSIDE!$F$8&gt;=7,FORSIDE!$B$5&gt;=1),1652,"")</f>
        <v/>
      </c>
      <c r="B1653" t="str">
        <f>IF(AND(FORSIDE!$B$8&gt;=3,FORSIDE!$F$8&gt;=7,FORSIDE!$B$5&gt;=1),354+7*FORSIDE!$F$9,"")</f>
        <v/>
      </c>
      <c r="C1653" t="str">
        <f>IF(AND(FORSIDE!$B$8&gt;=3,FORSIDE!$F$8&gt;=7,FORSIDE!$B$5&gt;=1),3*FORSIDE!$B$9,"")</f>
        <v/>
      </c>
      <c r="D1653" t="str">
        <f>IF(AND(FORSIDE!$B$8&gt;=3,FORSIDE!$F$8&gt;=7,FORSIDE!$B$5&gt;=1),FORSIDE!$B$6+(1-1)*FORSIDE!$B$7,"")</f>
        <v/>
      </c>
    </row>
    <row r="1654" spans="1:4" x14ac:dyDescent="0.3">
      <c r="A1654" t="str">
        <f>IF(AND(FORSIDE!$B$8&gt;=3,FORSIDE!$F$8&gt;=7,FORSIDE!$B$5&gt;=2),1653,"")</f>
        <v/>
      </c>
      <c r="B1654" t="str">
        <f>IF(AND(FORSIDE!$B$8&gt;=3,FORSIDE!$F$8&gt;=7,FORSIDE!$B$5&gt;=2),354+7*FORSIDE!$F$9,"")</f>
        <v/>
      </c>
      <c r="C1654" t="str">
        <f>IF(AND(FORSIDE!$B$8&gt;=3,FORSIDE!$F$8&gt;=7,FORSIDE!$B$5&gt;=2),3*FORSIDE!$B$9,"")</f>
        <v/>
      </c>
      <c r="D1654" t="str">
        <f>IF(AND(FORSIDE!$B$8&gt;=3,FORSIDE!$F$8&gt;=7,FORSIDE!$B$5&gt;=2),FORSIDE!$B$6+(2-1)*FORSIDE!$B$7,"")</f>
        <v/>
      </c>
    </row>
    <row r="1655" spans="1:4" x14ac:dyDescent="0.3">
      <c r="A1655" t="str">
        <f>IF(AND(FORSIDE!$B$8&gt;=3,FORSIDE!$F$8&gt;=7,FORSIDE!$B$5&gt;=3),1654,"")</f>
        <v/>
      </c>
      <c r="B1655" t="str">
        <f>IF(AND(FORSIDE!$B$8&gt;=3,FORSIDE!$F$8&gt;=7,FORSIDE!$B$5&gt;=3),354+7*FORSIDE!$F$9,"")</f>
        <v/>
      </c>
      <c r="C1655" t="str">
        <f>IF(AND(FORSIDE!$B$8&gt;=3,FORSIDE!$F$8&gt;=7,FORSIDE!$B$5&gt;=3),3*FORSIDE!$B$9,"")</f>
        <v/>
      </c>
      <c r="D1655" t="str">
        <f>IF(AND(FORSIDE!$B$8&gt;=3,FORSIDE!$F$8&gt;=7,FORSIDE!$B$5&gt;=3),FORSIDE!$B$6+(3-1)*FORSIDE!$B$7,"")</f>
        <v/>
      </c>
    </row>
    <row r="1656" spans="1:4" x14ac:dyDescent="0.3">
      <c r="A1656" t="str">
        <f>IF(AND(FORSIDE!$B$8&gt;=3,FORSIDE!$F$8&gt;=7,FORSIDE!$B$5&gt;=4),1655,"")</f>
        <v/>
      </c>
      <c r="B1656" t="str">
        <f>IF(AND(FORSIDE!$B$8&gt;=3,FORSIDE!$F$8&gt;=7,FORSIDE!$B$5&gt;=4),354+7*FORSIDE!$F$9,"")</f>
        <v/>
      </c>
      <c r="C1656" t="str">
        <f>IF(AND(FORSIDE!$B$8&gt;=3,FORSIDE!$F$8&gt;=7,FORSIDE!$B$5&gt;=4),3*FORSIDE!$B$9,"")</f>
        <v/>
      </c>
      <c r="D1656" t="str">
        <f>IF(AND(FORSIDE!$B$8&gt;=3,FORSIDE!$F$8&gt;=7,FORSIDE!$B$5&gt;=4),FORSIDE!$B$6+(4-1)*FORSIDE!$B$7,"")</f>
        <v/>
      </c>
    </row>
    <row r="1657" spans="1:4" x14ac:dyDescent="0.3">
      <c r="A1657" t="str">
        <f>IF(AND(FORSIDE!$B$8&gt;=3,FORSIDE!$F$8&gt;=7,FORSIDE!$B$5&gt;=5),1656,"")</f>
        <v/>
      </c>
      <c r="B1657" t="str">
        <f>IF(AND(FORSIDE!$B$8&gt;=3,FORSIDE!$F$8&gt;=7,FORSIDE!$B$5&gt;=5),354+7*FORSIDE!$F$9,"")</f>
        <v/>
      </c>
      <c r="C1657" t="str">
        <f>IF(AND(FORSIDE!$B$8&gt;=3,FORSIDE!$F$8&gt;=7,FORSIDE!$B$5&gt;=5),3*FORSIDE!$B$9,"")</f>
        <v/>
      </c>
      <c r="D1657" t="str">
        <f>IF(AND(FORSIDE!$B$8&gt;=3,FORSIDE!$F$8&gt;=7,FORSIDE!$B$5&gt;=5),FORSIDE!$B$6+(5-1)*FORSIDE!$B$7,"")</f>
        <v/>
      </c>
    </row>
    <row r="1658" spans="1:4" x14ac:dyDescent="0.3">
      <c r="A1658" t="str">
        <f>IF(AND(FORSIDE!$B$8&gt;=3,FORSIDE!$F$8&gt;=7,FORSIDE!$B$5&gt;=6),1657,"")</f>
        <v/>
      </c>
      <c r="B1658" t="str">
        <f>IF(AND(FORSIDE!$B$8&gt;=3,FORSIDE!$F$8&gt;=7,FORSIDE!$B$5&gt;=6),354+7*FORSIDE!$F$9,"")</f>
        <v/>
      </c>
      <c r="C1658" t="str">
        <f>IF(AND(FORSIDE!$B$8&gt;=3,FORSIDE!$F$8&gt;=7,FORSIDE!$B$5&gt;=6),3*FORSIDE!$B$9,"")</f>
        <v/>
      </c>
      <c r="D1658" t="str">
        <f>IF(AND(FORSIDE!$B$8&gt;=3,FORSIDE!$F$8&gt;=7,FORSIDE!$B$5&gt;=6),FORSIDE!$B$6+(6-1)*FORSIDE!$B$7,"")</f>
        <v/>
      </c>
    </row>
    <row r="1659" spans="1:4" x14ac:dyDescent="0.3">
      <c r="A1659" t="str">
        <f>IF(AND(FORSIDE!$B$8&gt;=3,FORSIDE!$F$8&gt;=7,FORSIDE!$B$5&gt;=7),1658,"")</f>
        <v/>
      </c>
      <c r="B1659" t="str">
        <f>IF(AND(FORSIDE!$B$8&gt;=3,FORSIDE!$F$8&gt;=7,FORSIDE!$B$5&gt;=7),354+7*FORSIDE!$F$9,"")</f>
        <v/>
      </c>
      <c r="C1659" t="str">
        <f>IF(AND(FORSIDE!$B$8&gt;=3,FORSIDE!$F$8&gt;=7,FORSIDE!$B$5&gt;=7),3*FORSIDE!$B$9,"")</f>
        <v/>
      </c>
      <c r="D1659" t="str">
        <f>IF(AND(FORSIDE!$B$8&gt;=3,FORSIDE!$F$8&gt;=7,FORSIDE!$B$5&gt;=7),FORSIDE!$B$6+(7-1)*FORSIDE!$B$7,"")</f>
        <v/>
      </c>
    </row>
    <row r="1660" spans="1:4" x14ac:dyDescent="0.3">
      <c r="A1660" t="str">
        <f>IF(AND(FORSIDE!$B$8&gt;=3,FORSIDE!$F$8&gt;=7,FORSIDE!$B$5&gt;=8),1659,"")</f>
        <v/>
      </c>
      <c r="B1660" t="str">
        <f>IF(AND(FORSIDE!$B$8&gt;=3,FORSIDE!$F$8&gt;=7,FORSIDE!$B$5&gt;=8),354+7*FORSIDE!$F$9,"")</f>
        <v/>
      </c>
      <c r="C1660" t="str">
        <f>IF(AND(FORSIDE!$B$8&gt;=3,FORSIDE!$F$8&gt;=7,FORSIDE!$B$5&gt;=8),3*FORSIDE!$B$9,"")</f>
        <v/>
      </c>
      <c r="D1660" t="str">
        <f>IF(AND(FORSIDE!$B$8&gt;=3,FORSIDE!$F$8&gt;=7,FORSIDE!$B$5&gt;=8),FORSIDE!$B$6+(8-1)*FORSIDE!$B$7,"")</f>
        <v/>
      </c>
    </row>
    <row r="1661" spans="1:4" x14ac:dyDescent="0.3">
      <c r="A1661" t="str">
        <f>IF(AND(FORSIDE!$B$8&gt;=3,FORSIDE!$F$8&gt;=7,FORSIDE!$B$5&gt;=9),1660,"")</f>
        <v/>
      </c>
      <c r="B1661" t="str">
        <f>IF(AND(FORSIDE!$B$8&gt;=3,FORSIDE!$F$8&gt;=7,FORSIDE!$B$5&gt;=9),354+7*FORSIDE!$F$9,"")</f>
        <v/>
      </c>
      <c r="C1661" t="str">
        <f>IF(AND(FORSIDE!$B$8&gt;=3,FORSIDE!$F$8&gt;=7,FORSIDE!$B$5&gt;=9),3*FORSIDE!$B$9,"")</f>
        <v/>
      </c>
      <c r="D1661" t="str">
        <f>IF(AND(FORSIDE!$B$8&gt;=3,FORSIDE!$F$8&gt;=7,FORSIDE!$B$5&gt;=9),FORSIDE!$B$6+(9-1)*FORSIDE!$B$7,"")</f>
        <v/>
      </c>
    </row>
    <row r="1662" spans="1:4" x14ac:dyDescent="0.3">
      <c r="A1662" t="str">
        <f>IF(AND(FORSIDE!$B$8&gt;=3,FORSIDE!$F$8&gt;=7,FORSIDE!$B$5&gt;=10),1661,"")</f>
        <v/>
      </c>
      <c r="B1662" t="str">
        <f>IF(AND(FORSIDE!$B$8&gt;=3,FORSIDE!$F$8&gt;=7,FORSIDE!$B$5&gt;=10),354+7*FORSIDE!$F$9,"")</f>
        <v/>
      </c>
      <c r="C1662" t="str">
        <f>IF(AND(FORSIDE!$B$8&gt;=3,FORSIDE!$F$8&gt;=7,FORSIDE!$B$5&gt;=10),3*FORSIDE!$B$9,"")</f>
        <v/>
      </c>
      <c r="D1662" t="str">
        <f>IF(AND(FORSIDE!$B$8&gt;=3,FORSIDE!$F$8&gt;=7,FORSIDE!$B$5&gt;=10),FORSIDE!$B$6+(10-1)*FORSIDE!$B$7,"")</f>
        <v/>
      </c>
    </row>
    <row r="1663" spans="1:4" x14ac:dyDescent="0.3">
      <c r="A1663" t="str">
        <f>IF(AND(FORSIDE!$B$8&gt;=4,FORSIDE!$F$8&gt;=7,FORSIDE!$B$5&gt;=0),1662,"")</f>
        <v/>
      </c>
      <c r="B1663" t="str">
        <f>IF(AND(FORSIDE!$B$8&gt;=4,FORSIDE!$F$8&gt;=7,FORSIDE!$B$5&gt;=0),354+7*FORSIDE!$F$9,"")</f>
        <v/>
      </c>
      <c r="C1663" t="str">
        <f>IF(AND(FORSIDE!$B$8&gt;=4,FORSIDE!$F$8&gt;=7,FORSIDE!$B$5&gt;=0),4*FORSIDE!$B$9,"")</f>
        <v/>
      </c>
      <c r="D1663" t="str">
        <f>IF(AND(FORSIDE!$B$8&gt;=4,FORSIDE!$F$8&gt;=7,FORSIDE!$B$5&gt;=0),0,"")</f>
        <v/>
      </c>
    </row>
    <row r="1664" spans="1:4" x14ac:dyDescent="0.3">
      <c r="A1664" t="str">
        <f>IF(AND(FORSIDE!$B$8&gt;=4,FORSIDE!$F$8&gt;=7,FORSIDE!$B$5&gt;=1),1663,"")</f>
        <v/>
      </c>
      <c r="B1664" t="str">
        <f>IF(AND(FORSIDE!$B$8&gt;=4,FORSIDE!$F$8&gt;=7,FORSIDE!$B$5&gt;=1),354+7*FORSIDE!$F$9,"")</f>
        <v/>
      </c>
      <c r="C1664" t="str">
        <f>IF(AND(FORSIDE!$B$8&gt;=4,FORSIDE!$F$8&gt;=7,FORSIDE!$B$5&gt;=1),4*FORSIDE!$B$9,"")</f>
        <v/>
      </c>
      <c r="D1664" t="str">
        <f>IF(AND(FORSIDE!$B$8&gt;=4,FORSIDE!$F$8&gt;=7,FORSIDE!$B$5&gt;=1),FORSIDE!$B$6+(1-1)*FORSIDE!$B$7,"")</f>
        <v/>
      </c>
    </row>
    <row r="1665" spans="1:4" x14ac:dyDescent="0.3">
      <c r="A1665" t="str">
        <f>IF(AND(FORSIDE!$B$8&gt;=4,FORSIDE!$F$8&gt;=7,FORSIDE!$B$5&gt;=2),1664,"")</f>
        <v/>
      </c>
      <c r="B1665" t="str">
        <f>IF(AND(FORSIDE!$B$8&gt;=4,FORSIDE!$F$8&gt;=7,FORSIDE!$B$5&gt;=2),354+7*FORSIDE!$F$9,"")</f>
        <v/>
      </c>
      <c r="C1665" t="str">
        <f>IF(AND(FORSIDE!$B$8&gt;=4,FORSIDE!$F$8&gt;=7,FORSIDE!$B$5&gt;=2),4*FORSIDE!$B$9,"")</f>
        <v/>
      </c>
      <c r="D1665" t="str">
        <f>IF(AND(FORSIDE!$B$8&gt;=4,FORSIDE!$F$8&gt;=7,FORSIDE!$B$5&gt;=2),FORSIDE!$B$6+(2-1)*FORSIDE!$B$7,"")</f>
        <v/>
      </c>
    </row>
    <row r="1666" spans="1:4" x14ac:dyDescent="0.3">
      <c r="A1666" t="str">
        <f>IF(AND(FORSIDE!$B$8&gt;=4,FORSIDE!$F$8&gt;=7,FORSIDE!$B$5&gt;=3),1665,"")</f>
        <v/>
      </c>
      <c r="B1666" t="str">
        <f>IF(AND(FORSIDE!$B$8&gt;=4,FORSIDE!$F$8&gt;=7,FORSIDE!$B$5&gt;=3),354+7*FORSIDE!$F$9,"")</f>
        <v/>
      </c>
      <c r="C1666" t="str">
        <f>IF(AND(FORSIDE!$B$8&gt;=4,FORSIDE!$F$8&gt;=7,FORSIDE!$B$5&gt;=3),4*FORSIDE!$B$9,"")</f>
        <v/>
      </c>
      <c r="D1666" t="str">
        <f>IF(AND(FORSIDE!$B$8&gt;=4,FORSIDE!$F$8&gt;=7,FORSIDE!$B$5&gt;=3),FORSIDE!$B$6+(3-1)*FORSIDE!$B$7,"")</f>
        <v/>
      </c>
    </row>
    <row r="1667" spans="1:4" x14ac:dyDescent="0.3">
      <c r="A1667" t="str">
        <f>IF(AND(FORSIDE!$B$8&gt;=4,FORSIDE!$F$8&gt;=7,FORSIDE!$B$5&gt;=4),1666,"")</f>
        <v/>
      </c>
      <c r="B1667" t="str">
        <f>IF(AND(FORSIDE!$B$8&gt;=4,FORSIDE!$F$8&gt;=7,FORSIDE!$B$5&gt;=4),354+7*FORSIDE!$F$9,"")</f>
        <v/>
      </c>
      <c r="C1667" t="str">
        <f>IF(AND(FORSIDE!$B$8&gt;=4,FORSIDE!$F$8&gt;=7,FORSIDE!$B$5&gt;=4),4*FORSIDE!$B$9,"")</f>
        <v/>
      </c>
      <c r="D1667" t="str">
        <f>IF(AND(FORSIDE!$B$8&gt;=4,FORSIDE!$F$8&gt;=7,FORSIDE!$B$5&gt;=4),FORSIDE!$B$6+(4-1)*FORSIDE!$B$7,"")</f>
        <v/>
      </c>
    </row>
    <row r="1668" spans="1:4" x14ac:dyDescent="0.3">
      <c r="A1668" t="str">
        <f>IF(AND(FORSIDE!$B$8&gt;=4,FORSIDE!$F$8&gt;=7,FORSIDE!$B$5&gt;=5),1667,"")</f>
        <v/>
      </c>
      <c r="B1668" t="str">
        <f>IF(AND(FORSIDE!$B$8&gt;=4,FORSIDE!$F$8&gt;=7,FORSIDE!$B$5&gt;=5),354+7*FORSIDE!$F$9,"")</f>
        <v/>
      </c>
      <c r="C1668" t="str">
        <f>IF(AND(FORSIDE!$B$8&gt;=4,FORSIDE!$F$8&gt;=7,FORSIDE!$B$5&gt;=5),4*FORSIDE!$B$9,"")</f>
        <v/>
      </c>
      <c r="D1668" t="str">
        <f>IF(AND(FORSIDE!$B$8&gt;=4,FORSIDE!$F$8&gt;=7,FORSIDE!$B$5&gt;=5),FORSIDE!$B$6+(5-1)*FORSIDE!$B$7,"")</f>
        <v/>
      </c>
    </row>
    <row r="1669" spans="1:4" x14ac:dyDescent="0.3">
      <c r="A1669" t="str">
        <f>IF(AND(FORSIDE!$B$8&gt;=4,FORSIDE!$F$8&gt;=7,FORSIDE!$B$5&gt;=6),1668,"")</f>
        <v/>
      </c>
      <c r="B1669" t="str">
        <f>IF(AND(FORSIDE!$B$8&gt;=4,FORSIDE!$F$8&gt;=7,FORSIDE!$B$5&gt;=6),354+7*FORSIDE!$F$9,"")</f>
        <v/>
      </c>
      <c r="C1669" t="str">
        <f>IF(AND(FORSIDE!$B$8&gt;=4,FORSIDE!$F$8&gt;=7,FORSIDE!$B$5&gt;=6),4*FORSIDE!$B$9,"")</f>
        <v/>
      </c>
      <c r="D1669" t="str">
        <f>IF(AND(FORSIDE!$B$8&gt;=4,FORSIDE!$F$8&gt;=7,FORSIDE!$B$5&gt;=6),FORSIDE!$B$6+(6-1)*FORSIDE!$B$7,"")</f>
        <v/>
      </c>
    </row>
    <row r="1670" spans="1:4" x14ac:dyDescent="0.3">
      <c r="A1670" t="str">
        <f>IF(AND(FORSIDE!$B$8&gt;=4,FORSIDE!$F$8&gt;=7,FORSIDE!$B$5&gt;=7),1669,"")</f>
        <v/>
      </c>
      <c r="B1670" t="str">
        <f>IF(AND(FORSIDE!$B$8&gt;=4,FORSIDE!$F$8&gt;=7,FORSIDE!$B$5&gt;=7),354+7*FORSIDE!$F$9,"")</f>
        <v/>
      </c>
      <c r="C1670" t="str">
        <f>IF(AND(FORSIDE!$B$8&gt;=4,FORSIDE!$F$8&gt;=7,FORSIDE!$B$5&gt;=7),4*FORSIDE!$B$9,"")</f>
        <v/>
      </c>
      <c r="D1670" t="str">
        <f>IF(AND(FORSIDE!$B$8&gt;=4,FORSIDE!$F$8&gt;=7,FORSIDE!$B$5&gt;=7),FORSIDE!$B$6+(7-1)*FORSIDE!$B$7,"")</f>
        <v/>
      </c>
    </row>
    <row r="1671" spans="1:4" x14ac:dyDescent="0.3">
      <c r="A1671" t="str">
        <f>IF(AND(FORSIDE!$B$8&gt;=4,FORSIDE!$F$8&gt;=7,FORSIDE!$B$5&gt;=8),1670,"")</f>
        <v/>
      </c>
      <c r="B1671" t="str">
        <f>IF(AND(FORSIDE!$B$8&gt;=4,FORSIDE!$F$8&gt;=7,FORSIDE!$B$5&gt;=8),354+7*FORSIDE!$F$9,"")</f>
        <v/>
      </c>
      <c r="C1671" t="str">
        <f>IF(AND(FORSIDE!$B$8&gt;=4,FORSIDE!$F$8&gt;=7,FORSIDE!$B$5&gt;=8),4*FORSIDE!$B$9,"")</f>
        <v/>
      </c>
      <c r="D1671" t="str">
        <f>IF(AND(FORSIDE!$B$8&gt;=4,FORSIDE!$F$8&gt;=7,FORSIDE!$B$5&gt;=8),FORSIDE!$B$6+(8-1)*FORSIDE!$B$7,"")</f>
        <v/>
      </c>
    </row>
    <row r="1672" spans="1:4" x14ac:dyDescent="0.3">
      <c r="A1672" t="str">
        <f>IF(AND(FORSIDE!$B$8&gt;=4,FORSIDE!$F$8&gt;=7,FORSIDE!$B$5&gt;=9),1671,"")</f>
        <v/>
      </c>
      <c r="B1672" t="str">
        <f>IF(AND(FORSIDE!$B$8&gt;=4,FORSIDE!$F$8&gt;=7,FORSIDE!$B$5&gt;=9),354+7*FORSIDE!$F$9,"")</f>
        <v/>
      </c>
      <c r="C1672" t="str">
        <f>IF(AND(FORSIDE!$B$8&gt;=4,FORSIDE!$F$8&gt;=7,FORSIDE!$B$5&gt;=9),4*FORSIDE!$B$9,"")</f>
        <v/>
      </c>
      <c r="D1672" t="str">
        <f>IF(AND(FORSIDE!$B$8&gt;=4,FORSIDE!$F$8&gt;=7,FORSIDE!$B$5&gt;=9),FORSIDE!$B$6+(9-1)*FORSIDE!$B$7,"")</f>
        <v/>
      </c>
    </row>
    <row r="1673" spans="1:4" x14ac:dyDescent="0.3">
      <c r="A1673" t="str">
        <f>IF(AND(FORSIDE!$B$8&gt;=4,FORSIDE!$F$8&gt;=7,FORSIDE!$B$5&gt;=10),1672,"")</f>
        <v/>
      </c>
      <c r="B1673" t="str">
        <f>IF(AND(FORSIDE!$B$8&gt;=4,FORSIDE!$F$8&gt;=7,FORSIDE!$B$5&gt;=10),354+7*FORSIDE!$F$9,"")</f>
        <v/>
      </c>
      <c r="C1673" t="str">
        <f>IF(AND(FORSIDE!$B$8&gt;=4,FORSIDE!$F$8&gt;=7,FORSIDE!$B$5&gt;=10),4*FORSIDE!$B$9,"")</f>
        <v/>
      </c>
      <c r="D1673" t="str">
        <f>IF(AND(FORSIDE!$B$8&gt;=4,FORSIDE!$F$8&gt;=7,FORSIDE!$B$5&gt;=10),FORSIDE!$B$6+(10-1)*FORSIDE!$B$7,"")</f>
        <v/>
      </c>
    </row>
    <row r="1674" spans="1:4" x14ac:dyDescent="0.3">
      <c r="A1674" t="str">
        <f>IF(AND(FORSIDE!$B$8&gt;=5,FORSIDE!$F$8&gt;=7,FORSIDE!$B$5&gt;=0),1673,"")</f>
        <v/>
      </c>
      <c r="B1674" t="str">
        <f>IF(AND(FORSIDE!$B$8&gt;=5,FORSIDE!$F$8&gt;=7,FORSIDE!$B$5&gt;=0),354+7*FORSIDE!$F$9,"")</f>
        <v/>
      </c>
      <c r="C1674" t="str">
        <f>IF(AND(FORSIDE!$B$8&gt;=5,FORSIDE!$F$8&gt;=7,FORSIDE!$B$5&gt;=0),5*FORSIDE!$B$9,"")</f>
        <v/>
      </c>
      <c r="D1674" t="str">
        <f>IF(AND(FORSIDE!$B$8&gt;=5,FORSIDE!$F$8&gt;=7,FORSIDE!$B$5&gt;=0),0,"")</f>
        <v/>
      </c>
    </row>
    <row r="1675" spans="1:4" x14ac:dyDescent="0.3">
      <c r="A1675" t="str">
        <f>IF(AND(FORSIDE!$B$8&gt;=5,FORSIDE!$F$8&gt;=7,FORSIDE!$B$5&gt;=1),1674,"")</f>
        <v/>
      </c>
      <c r="B1675" t="str">
        <f>IF(AND(FORSIDE!$B$8&gt;=5,FORSIDE!$F$8&gt;=7,FORSIDE!$B$5&gt;=1),354+7*FORSIDE!$F$9,"")</f>
        <v/>
      </c>
      <c r="C1675" t="str">
        <f>IF(AND(FORSIDE!$B$8&gt;=5,FORSIDE!$F$8&gt;=7,FORSIDE!$B$5&gt;=1),5*FORSIDE!$B$9,"")</f>
        <v/>
      </c>
      <c r="D1675" t="str">
        <f>IF(AND(FORSIDE!$B$8&gt;=5,FORSIDE!$F$8&gt;=7,FORSIDE!$B$5&gt;=1),FORSIDE!$B$6+(1-1)*FORSIDE!$B$7,"")</f>
        <v/>
      </c>
    </row>
    <row r="1676" spans="1:4" x14ac:dyDescent="0.3">
      <c r="A1676" t="str">
        <f>IF(AND(FORSIDE!$B$8&gt;=5,FORSIDE!$F$8&gt;=7,FORSIDE!$B$5&gt;=2),1675,"")</f>
        <v/>
      </c>
      <c r="B1676" t="str">
        <f>IF(AND(FORSIDE!$B$8&gt;=5,FORSIDE!$F$8&gt;=7,FORSIDE!$B$5&gt;=2),354+7*FORSIDE!$F$9,"")</f>
        <v/>
      </c>
      <c r="C1676" t="str">
        <f>IF(AND(FORSIDE!$B$8&gt;=5,FORSIDE!$F$8&gt;=7,FORSIDE!$B$5&gt;=2),5*FORSIDE!$B$9,"")</f>
        <v/>
      </c>
      <c r="D1676" t="str">
        <f>IF(AND(FORSIDE!$B$8&gt;=5,FORSIDE!$F$8&gt;=7,FORSIDE!$B$5&gt;=2),FORSIDE!$B$6+(2-1)*FORSIDE!$B$7,"")</f>
        <v/>
      </c>
    </row>
    <row r="1677" spans="1:4" x14ac:dyDescent="0.3">
      <c r="A1677" t="str">
        <f>IF(AND(FORSIDE!$B$8&gt;=5,FORSIDE!$F$8&gt;=7,FORSIDE!$B$5&gt;=3),1676,"")</f>
        <v/>
      </c>
      <c r="B1677" t="str">
        <f>IF(AND(FORSIDE!$B$8&gt;=5,FORSIDE!$F$8&gt;=7,FORSIDE!$B$5&gt;=3),354+7*FORSIDE!$F$9,"")</f>
        <v/>
      </c>
      <c r="C1677" t="str">
        <f>IF(AND(FORSIDE!$B$8&gt;=5,FORSIDE!$F$8&gt;=7,FORSIDE!$B$5&gt;=3),5*FORSIDE!$B$9,"")</f>
        <v/>
      </c>
      <c r="D1677" t="str">
        <f>IF(AND(FORSIDE!$B$8&gt;=5,FORSIDE!$F$8&gt;=7,FORSIDE!$B$5&gt;=3),FORSIDE!$B$6+(3-1)*FORSIDE!$B$7,"")</f>
        <v/>
      </c>
    </row>
    <row r="1678" spans="1:4" x14ac:dyDescent="0.3">
      <c r="A1678" t="str">
        <f>IF(AND(FORSIDE!$B$8&gt;=5,FORSIDE!$F$8&gt;=7,FORSIDE!$B$5&gt;=4),1677,"")</f>
        <v/>
      </c>
      <c r="B1678" t="str">
        <f>IF(AND(FORSIDE!$B$8&gt;=5,FORSIDE!$F$8&gt;=7,FORSIDE!$B$5&gt;=4),354+7*FORSIDE!$F$9,"")</f>
        <v/>
      </c>
      <c r="C1678" t="str">
        <f>IF(AND(FORSIDE!$B$8&gt;=5,FORSIDE!$F$8&gt;=7,FORSIDE!$B$5&gt;=4),5*FORSIDE!$B$9,"")</f>
        <v/>
      </c>
      <c r="D1678" t="str">
        <f>IF(AND(FORSIDE!$B$8&gt;=5,FORSIDE!$F$8&gt;=7,FORSIDE!$B$5&gt;=4),FORSIDE!$B$6+(4-1)*FORSIDE!$B$7,"")</f>
        <v/>
      </c>
    </row>
    <row r="1679" spans="1:4" x14ac:dyDescent="0.3">
      <c r="A1679" t="str">
        <f>IF(AND(FORSIDE!$B$8&gt;=5,FORSIDE!$F$8&gt;=7,FORSIDE!$B$5&gt;=5),1678,"")</f>
        <v/>
      </c>
      <c r="B1679" t="str">
        <f>IF(AND(FORSIDE!$B$8&gt;=5,FORSIDE!$F$8&gt;=7,FORSIDE!$B$5&gt;=5),354+7*FORSIDE!$F$9,"")</f>
        <v/>
      </c>
      <c r="C1679" t="str">
        <f>IF(AND(FORSIDE!$B$8&gt;=5,FORSIDE!$F$8&gt;=7,FORSIDE!$B$5&gt;=5),5*FORSIDE!$B$9,"")</f>
        <v/>
      </c>
      <c r="D1679" t="str">
        <f>IF(AND(FORSIDE!$B$8&gt;=5,FORSIDE!$F$8&gt;=7,FORSIDE!$B$5&gt;=5),FORSIDE!$B$6+(5-1)*FORSIDE!$B$7,"")</f>
        <v/>
      </c>
    </row>
    <row r="1680" spans="1:4" x14ac:dyDescent="0.3">
      <c r="A1680" t="str">
        <f>IF(AND(FORSIDE!$B$8&gt;=5,FORSIDE!$F$8&gt;=7,FORSIDE!$B$5&gt;=6),1679,"")</f>
        <v/>
      </c>
      <c r="B1680" t="str">
        <f>IF(AND(FORSIDE!$B$8&gt;=5,FORSIDE!$F$8&gt;=7,FORSIDE!$B$5&gt;=6),354+7*FORSIDE!$F$9,"")</f>
        <v/>
      </c>
      <c r="C1680" t="str">
        <f>IF(AND(FORSIDE!$B$8&gt;=5,FORSIDE!$F$8&gt;=7,FORSIDE!$B$5&gt;=6),5*FORSIDE!$B$9,"")</f>
        <v/>
      </c>
      <c r="D1680" t="str">
        <f>IF(AND(FORSIDE!$B$8&gt;=5,FORSIDE!$F$8&gt;=7,FORSIDE!$B$5&gt;=6),FORSIDE!$B$6+(6-1)*FORSIDE!$B$7,"")</f>
        <v/>
      </c>
    </row>
    <row r="1681" spans="1:4" x14ac:dyDescent="0.3">
      <c r="A1681" t="str">
        <f>IF(AND(FORSIDE!$B$8&gt;=5,FORSIDE!$F$8&gt;=7,FORSIDE!$B$5&gt;=7),1680,"")</f>
        <v/>
      </c>
      <c r="B1681" t="str">
        <f>IF(AND(FORSIDE!$B$8&gt;=5,FORSIDE!$F$8&gt;=7,FORSIDE!$B$5&gt;=7),354+7*FORSIDE!$F$9,"")</f>
        <v/>
      </c>
      <c r="C1681" t="str">
        <f>IF(AND(FORSIDE!$B$8&gt;=5,FORSIDE!$F$8&gt;=7,FORSIDE!$B$5&gt;=7),5*FORSIDE!$B$9,"")</f>
        <v/>
      </c>
      <c r="D1681" t="str">
        <f>IF(AND(FORSIDE!$B$8&gt;=5,FORSIDE!$F$8&gt;=7,FORSIDE!$B$5&gt;=7),FORSIDE!$B$6+(7-1)*FORSIDE!$B$7,"")</f>
        <v/>
      </c>
    </row>
    <row r="1682" spans="1:4" x14ac:dyDescent="0.3">
      <c r="A1682" t="str">
        <f>IF(AND(FORSIDE!$B$8&gt;=5,FORSIDE!$F$8&gt;=7,FORSIDE!$B$5&gt;=8),1681,"")</f>
        <v/>
      </c>
      <c r="B1682" t="str">
        <f>IF(AND(FORSIDE!$B$8&gt;=5,FORSIDE!$F$8&gt;=7,FORSIDE!$B$5&gt;=8),354+7*FORSIDE!$F$9,"")</f>
        <v/>
      </c>
      <c r="C1682" t="str">
        <f>IF(AND(FORSIDE!$B$8&gt;=5,FORSIDE!$F$8&gt;=7,FORSIDE!$B$5&gt;=8),5*FORSIDE!$B$9,"")</f>
        <v/>
      </c>
      <c r="D1682" t="str">
        <f>IF(AND(FORSIDE!$B$8&gt;=5,FORSIDE!$F$8&gt;=7,FORSIDE!$B$5&gt;=8),FORSIDE!$B$6+(8-1)*FORSIDE!$B$7,"")</f>
        <v/>
      </c>
    </row>
    <row r="1683" spans="1:4" x14ac:dyDescent="0.3">
      <c r="A1683" t="str">
        <f>IF(AND(FORSIDE!$B$8&gt;=5,FORSIDE!$F$8&gt;=7,FORSIDE!$B$5&gt;=9),1682,"")</f>
        <v/>
      </c>
      <c r="B1683" t="str">
        <f>IF(AND(FORSIDE!$B$8&gt;=5,FORSIDE!$F$8&gt;=7,FORSIDE!$B$5&gt;=9),354+7*FORSIDE!$F$9,"")</f>
        <v/>
      </c>
      <c r="C1683" t="str">
        <f>IF(AND(FORSIDE!$B$8&gt;=5,FORSIDE!$F$8&gt;=7,FORSIDE!$B$5&gt;=9),5*FORSIDE!$B$9,"")</f>
        <v/>
      </c>
      <c r="D1683" t="str">
        <f>IF(AND(FORSIDE!$B$8&gt;=5,FORSIDE!$F$8&gt;=7,FORSIDE!$B$5&gt;=9),FORSIDE!$B$6+(9-1)*FORSIDE!$B$7,"")</f>
        <v/>
      </c>
    </row>
    <row r="1684" spans="1:4" x14ac:dyDescent="0.3">
      <c r="A1684" t="str">
        <f>IF(AND(FORSIDE!$B$8&gt;=5,FORSIDE!$F$8&gt;=7,FORSIDE!$B$5&gt;=10),1683,"")</f>
        <v/>
      </c>
      <c r="B1684" t="str">
        <f>IF(AND(FORSIDE!$B$8&gt;=5,FORSIDE!$F$8&gt;=7,FORSIDE!$B$5&gt;=10),354+7*FORSIDE!$F$9,"")</f>
        <v/>
      </c>
      <c r="C1684" t="str">
        <f>IF(AND(FORSIDE!$B$8&gt;=5,FORSIDE!$F$8&gt;=7,FORSIDE!$B$5&gt;=10),5*FORSIDE!$B$9,"")</f>
        <v/>
      </c>
      <c r="D1684" t="str">
        <f>IF(AND(FORSIDE!$B$8&gt;=5,FORSIDE!$F$8&gt;=7,FORSIDE!$B$5&gt;=10),FORSIDE!$B$6+(10-1)*FORSIDE!$B$7,"")</f>
        <v/>
      </c>
    </row>
    <row r="1685" spans="1:4" x14ac:dyDescent="0.3">
      <c r="A1685" t="str">
        <f>IF(AND(FORSIDE!$B$8&gt;=6,FORSIDE!$F$8&gt;=7,FORSIDE!$B$5&gt;=0),1684,"")</f>
        <v/>
      </c>
      <c r="B1685" t="str">
        <f>IF(AND(FORSIDE!$B$8&gt;=6,FORSIDE!$F$8&gt;=7,FORSIDE!$B$5&gt;=0),354+7*FORSIDE!$F$9,"")</f>
        <v/>
      </c>
      <c r="C1685" t="str">
        <f>IF(AND(FORSIDE!$B$8&gt;=6,FORSIDE!$F$8&gt;=7,FORSIDE!$B$5&gt;=0),6*FORSIDE!$B$9,"")</f>
        <v/>
      </c>
      <c r="D1685" t="str">
        <f>IF(AND(FORSIDE!$B$8&gt;=6,FORSIDE!$F$8&gt;=7,FORSIDE!$B$5&gt;=0),0,"")</f>
        <v/>
      </c>
    </row>
    <row r="1686" spans="1:4" x14ac:dyDescent="0.3">
      <c r="A1686" t="str">
        <f>IF(AND(FORSIDE!$B$8&gt;=6,FORSIDE!$F$8&gt;=7,FORSIDE!$B$5&gt;=1),1685,"")</f>
        <v/>
      </c>
      <c r="B1686" t="str">
        <f>IF(AND(FORSIDE!$B$8&gt;=6,FORSIDE!$F$8&gt;=7,FORSIDE!$B$5&gt;=1),354+7*FORSIDE!$F$9,"")</f>
        <v/>
      </c>
      <c r="C1686" t="str">
        <f>IF(AND(FORSIDE!$B$8&gt;=6,FORSIDE!$F$8&gt;=7,FORSIDE!$B$5&gt;=1),6*FORSIDE!$B$9,"")</f>
        <v/>
      </c>
      <c r="D1686" t="str">
        <f>IF(AND(FORSIDE!$B$8&gt;=6,FORSIDE!$F$8&gt;=7,FORSIDE!$B$5&gt;=1),FORSIDE!$B$6+(1-1)*FORSIDE!$B$7,"")</f>
        <v/>
      </c>
    </row>
    <row r="1687" spans="1:4" x14ac:dyDescent="0.3">
      <c r="A1687" t="str">
        <f>IF(AND(FORSIDE!$B$8&gt;=6,FORSIDE!$F$8&gt;=7,FORSIDE!$B$5&gt;=2),1686,"")</f>
        <v/>
      </c>
      <c r="B1687" t="str">
        <f>IF(AND(FORSIDE!$B$8&gt;=6,FORSIDE!$F$8&gt;=7,FORSIDE!$B$5&gt;=2),354+7*FORSIDE!$F$9,"")</f>
        <v/>
      </c>
      <c r="C1687" t="str">
        <f>IF(AND(FORSIDE!$B$8&gt;=6,FORSIDE!$F$8&gt;=7,FORSIDE!$B$5&gt;=2),6*FORSIDE!$B$9,"")</f>
        <v/>
      </c>
      <c r="D1687" t="str">
        <f>IF(AND(FORSIDE!$B$8&gt;=6,FORSIDE!$F$8&gt;=7,FORSIDE!$B$5&gt;=2),FORSIDE!$B$6+(2-1)*FORSIDE!$B$7,"")</f>
        <v/>
      </c>
    </row>
    <row r="1688" spans="1:4" x14ac:dyDescent="0.3">
      <c r="A1688" t="str">
        <f>IF(AND(FORSIDE!$B$8&gt;=6,FORSIDE!$F$8&gt;=7,FORSIDE!$B$5&gt;=3),1687,"")</f>
        <v/>
      </c>
      <c r="B1688" t="str">
        <f>IF(AND(FORSIDE!$B$8&gt;=6,FORSIDE!$F$8&gt;=7,FORSIDE!$B$5&gt;=3),354+7*FORSIDE!$F$9,"")</f>
        <v/>
      </c>
      <c r="C1688" t="str">
        <f>IF(AND(FORSIDE!$B$8&gt;=6,FORSIDE!$F$8&gt;=7,FORSIDE!$B$5&gt;=3),6*FORSIDE!$B$9,"")</f>
        <v/>
      </c>
      <c r="D1688" t="str">
        <f>IF(AND(FORSIDE!$B$8&gt;=6,FORSIDE!$F$8&gt;=7,FORSIDE!$B$5&gt;=3),FORSIDE!$B$6+(3-1)*FORSIDE!$B$7,"")</f>
        <v/>
      </c>
    </row>
    <row r="1689" spans="1:4" x14ac:dyDescent="0.3">
      <c r="A1689" t="str">
        <f>IF(AND(FORSIDE!$B$8&gt;=6,FORSIDE!$F$8&gt;=7,FORSIDE!$B$5&gt;=4),1688,"")</f>
        <v/>
      </c>
      <c r="B1689" t="str">
        <f>IF(AND(FORSIDE!$B$8&gt;=6,FORSIDE!$F$8&gt;=7,FORSIDE!$B$5&gt;=4),354+7*FORSIDE!$F$9,"")</f>
        <v/>
      </c>
      <c r="C1689" t="str">
        <f>IF(AND(FORSIDE!$B$8&gt;=6,FORSIDE!$F$8&gt;=7,FORSIDE!$B$5&gt;=4),6*FORSIDE!$B$9,"")</f>
        <v/>
      </c>
      <c r="D1689" t="str">
        <f>IF(AND(FORSIDE!$B$8&gt;=6,FORSIDE!$F$8&gt;=7,FORSIDE!$B$5&gt;=4),FORSIDE!$B$6+(4-1)*FORSIDE!$B$7,"")</f>
        <v/>
      </c>
    </row>
    <row r="1690" spans="1:4" x14ac:dyDescent="0.3">
      <c r="A1690" t="str">
        <f>IF(AND(FORSIDE!$B$8&gt;=6,FORSIDE!$F$8&gt;=7,FORSIDE!$B$5&gt;=5),1689,"")</f>
        <v/>
      </c>
      <c r="B1690" t="str">
        <f>IF(AND(FORSIDE!$B$8&gt;=6,FORSIDE!$F$8&gt;=7,FORSIDE!$B$5&gt;=5),354+7*FORSIDE!$F$9,"")</f>
        <v/>
      </c>
      <c r="C1690" t="str">
        <f>IF(AND(FORSIDE!$B$8&gt;=6,FORSIDE!$F$8&gt;=7,FORSIDE!$B$5&gt;=5),6*FORSIDE!$B$9,"")</f>
        <v/>
      </c>
      <c r="D1690" t="str">
        <f>IF(AND(FORSIDE!$B$8&gt;=6,FORSIDE!$F$8&gt;=7,FORSIDE!$B$5&gt;=5),FORSIDE!$B$6+(5-1)*FORSIDE!$B$7,"")</f>
        <v/>
      </c>
    </row>
    <row r="1691" spans="1:4" x14ac:dyDescent="0.3">
      <c r="A1691" t="str">
        <f>IF(AND(FORSIDE!$B$8&gt;=6,FORSIDE!$F$8&gt;=7,FORSIDE!$B$5&gt;=6),1690,"")</f>
        <v/>
      </c>
      <c r="B1691" t="str">
        <f>IF(AND(FORSIDE!$B$8&gt;=6,FORSIDE!$F$8&gt;=7,FORSIDE!$B$5&gt;=6),354+7*FORSIDE!$F$9,"")</f>
        <v/>
      </c>
      <c r="C1691" t="str">
        <f>IF(AND(FORSIDE!$B$8&gt;=6,FORSIDE!$F$8&gt;=7,FORSIDE!$B$5&gt;=6),6*FORSIDE!$B$9,"")</f>
        <v/>
      </c>
      <c r="D1691" t="str">
        <f>IF(AND(FORSIDE!$B$8&gt;=6,FORSIDE!$F$8&gt;=7,FORSIDE!$B$5&gt;=6),FORSIDE!$B$6+(6-1)*FORSIDE!$B$7,"")</f>
        <v/>
      </c>
    </row>
    <row r="1692" spans="1:4" x14ac:dyDescent="0.3">
      <c r="A1692" t="str">
        <f>IF(AND(FORSIDE!$B$8&gt;=6,FORSIDE!$F$8&gt;=7,FORSIDE!$B$5&gt;=7),1691,"")</f>
        <v/>
      </c>
      <c r="B1692" t="str">
        <f>IF(AND(FORSIDE!$B$8&gt;=6,FORSIDE!$F$8&gt;=7,FORSIDE!$B$5&gt;=7),354+7*FORSIDE!$F$9,"")</f>
        <v/>
      </c>
      <c r="C1692" t="str">
        <f>IF(AND(FORSIDE!$B$8&gt;=6,FORSIDE!$F$8&gt;=7,FORSIDE!$B$5&gt;=7),6*FORSIDE!$B$9,"")</f>
        <v/>
      </c>
      <c r="D1692" t="str">
        <f>IF(AND(FORSIDE!$B$8&gt;=6,FORSIDE!$F$8&gt;=7,FORSIDE!$B$5&gt;=7),FORSIDE!$B$6+(7-1)*FORSIDE!$B$7,"")</f>
        <v/>
      </c>
    </row>
    <row r="1693" spans="1:4" x14ac:dyDescent="0.3">
      <c r="A1693" t="str">
        <f>IF(AND(FORSIDE!$B$8&gt;=6,FORSIDE!$F$8&gt;=7,FORSIDE!$B$5&gt;=8),1692,"")</f>
        <v/>
      </c>
      <c r="B1693" t="str">
        <f>IF(AND(FORSIDE!$B$8&gt;=6,FORSIDE!$F$8&gt;=7,FORSIDE!$B$5&gt;=8),354+7*FORSIDE!$F$9,"")</f>
        <v/>
      </c>
      <c r="C1693" t="str">
        <f>IF(AND(FORSIDE!$B$8&gt;=6,FORSIDE!$F$8&gt;=7,FORSIDE!$B$5&gt;=8),6*FORSIDE!$B$9,"")</f>
        <v/>
      </c>
      <c r="D1693" t="str">
        <f>IF(AND(FORSIDE!$B$8&gt;=6,FORSIDE!$F$8&gt;=7,FORSIDE!$B$5&gt;=8),FORSIDE!$B$6+(8-1)*FORSIDE!$B$7,"")</f>
        <v/>
      </c>
    </row>
    <row r="1694" spans="1:4" x14ac:dyDescent="0.3">
      <c r="A1694" t="str">
        <f>IF(AND(FORSIDE!$B$8&gt;=6,FORSIDE!$F$8&gt;=7,FORSIDE!$B$5&gt;=9),1693,"")</f>
        <v/>
      </c>
      <c r="B1694" t="str">
        <f>IF(AND(FORSIDE!$B$8&gt;=6,FORSIDE!$F$8&gt;=7,FORSIDE!$B$5&gt;=9),354+7*FORSIDE!$F$9,"")</f>
        <v/>
      </c>
      <c r="C1694" t="str">
        <f>IF(AND(FORSIDE!$B$8&gt;=6,FORSIDE!$F$8&gt;=7,FORSIDE!$B$5&gt;=9),6*FORSIDE!$B$9,"")</f>
        <v/>
      </c>
      <c r="D1694" t="str">
        <f>IF(AND(FORSIDE!$B$8&gt;=6,FORSIDE!$F$8&gt;=7,FORSIDE!$B$5&gt;=9),FORSIDE!$B$6+(9-1)*FORSIDE!$B$7,"")</f>
        <v/>
      </c>
    </row>
    <row r="1695" spans="1:4" x14ac:dyDescent="0.3">
      <c r="A1695" t="str">
        <f>IF(AND(FORSIDE!$B$8&gt;=6,FORSIDE!$F$8&gt;=7,FORSIDE!$B$5&gt;=10),1694,"")</f>
        <v/>
      </c>
      <c r="B1695" t="str">
        <f>IF(AND(FORSIDE!$B$8&gt;=6,FORSIDE!$F$8&gt;=7,FORSIDE!$B$5&gt;=10),354+7*FORSIDE!$F$9,"")</f>
        <v/>
      </c>
      <c r="C1695" t="str">
        <f>IF(AND(FORSIDE!$B$8&gt;=6,FORSIDE!$F$8&gt;=7,FORSIDE!$B$5&gt;=10),6*FORSIDE!$B$9,"")</f>
        <v/>
      </c>
      <c r="D1695" t="str">
        <f>IF(AND(FORSIDE!$B$8&gt;=6,FORSIDE!$F$8&gt;=7,FORSIDE!$B$5&gt;=10),FORSIDE!$B$6+(10-1)*FORSIDE!$B$7,"")</f>
        <v/>
      </c>
    </row>
    <row r="1696" spans="1:4" x14ac:dyDescent="0.3">
      <c r="A1696" t="str">
        <f>IF(AND(FORSIDE!$B$8&gt;=7,FORSIDE!$F$8&gt;=7,FORSIDE!$B$5&gt;=0),1695,"")</f>
        <v/>
      </c>
      <c r="B1696" t="str">
        <f>IF(AND(FORSIDE!$B$8&gt;=7,FORSIDE!$F$8&gt;=7,FORSIDE!$B$5&gt;=0),354+7*FORSIDE!$F$9,"")</f>
        <v/>
      </c>
      <c r="C1696" t="str">
        <f>IF(AND(FORSIDE!$B$8&gt;=7,FORSIDE!$F$8&gt;=7,FORSIDE!$B$5&gt;=0),7*FORSIDE!$B$9,"")</f>
        <v/>
      </c>
      <c r="D1696" t="str">
        <f>IF(AND(FORSIDE!$B$8&gt;=7,FORSIDE!$F$8&gt;=7,FORSIDE!$B$5&gt;=0),0,"")</f>
        <v/>
      </c>
    </row>
    <row r="1697" spans="1:4" x14ac:dyDescent="0.3">
      <c r="A1697" t="str">
        <f>IF(AND(FORSIDE!$B$8&gt;=7,FORSIDE!$F$8&gt;=7,FORSIDE!$B$5&gt;=1),1696,"")</f>
        <v/>
      </c>
      <c r="B1697" t="str">
        <f>IF(AND(FORSIDE!$B$8&gt;=7,FORSIDE!$F$8&gt;=7,FORSIDE!$B$5&gt;=1),354+7*FORSIDE!$F$9,"")</f>
        <v/>
      </c>
      <c r="C1697" t="str">
        <f>IF(AND(FORSIDE!$B$8&gt;=7,FORSIDE!$F$8&gt;=7,FORSIDE!$B$5&gt;=1),7*FORSIDE!$B$9,"")</f>
        <v/>
      </c>
      <c r="D1697" t="str">
        <f>IF(AND(FORSIDE!$B$8&gt;=7,FORSIDE!$F$8&gt;=7,FORSIDE!$B$5&gt;=1),FORSIDE!$B$6+(1-1)*FORSIDE!$B$7,"")</f>
        <v/>
      </c>
    </row>
    <row r="1698" spans="1:4" x14ac:dyDescent="0.3">
      <c r="A1698" t="str">
        <f>IF(AND(FORSIDE!$B$8&gt;=7,FORSIDE!$F$8&gt;=7,FORSIDE!$B$5&gt;=2),1697,"")</f>
        <v/>
      </c>
      <c r="B1698" t="str">
        <f>IF(AND(FORSIDE!$B$8&gt;=7,FORSIDE!$F$8&gt;=7,FORSIDE!$B$5&gt;=2),354+7*FORSIDE!$F$9,"")</f>
        <v/>
      </c>
      <c r="C1698" t="str">
        <f>IF(AND(FORSIDE!$B$8&gt;=7,FORSIDE!$F$8&gt;=7,FORSIDE!$B$5&gt;=2),7*FORSIDE!$B$9,"")</f>
        <v/>
      </c>
      <c r="D1698" t="str">
        <f>IF(AND(FORSIDE!$B$8&gt;=7,FORSIDE!$F$8&gt;=7,FORSIDE!$B$5&gt;=2),FORSIDE!$B$6+(2-1)*FORSIDE!$B$7,"")</f>
        <v/>
      </c>
    </row>
    <row r="1699" spans="1:4" x14ac:dyDescent="0.3">
      <c r="A1699" t="str">
        <f>IF(AND(FORSIDE!$B$8&gt;=7,FORSIDE!$F$8&gt;=7,FORSIDE!$B$5&gt;=3),1698,"")</f>
        <v/>
      </c>
      <c r="B1699" t="str">
        <f>IF(AND(FORSIDE!$B$8&gt;=7,FORSIDE!$F$8&gt;=7,FORSIDE!$B$5&gt;=3),354+7*FORSIDE!$F$9,"")</f>
        <v/>
      </c>
      <c r="C1699" t="str">
        <f>IF(AND(FORSIDE!$B$8&gt;=7,FORSIDE!$F$8&gt;=7,FORSIDE!$B$5&gt;=3),7*FORSIDE!$B$9,"")</f>
        <v/>
      </c>
      <c r="D1699" t="str">
        <f>IF(AND(FORSIDE!$B$8&gt;=7,FORSIDE!$F$8&gt;=7,FORSIDE!$B$5&gt;=3),FORSIDE!$B$6+(3-1)*FORSIDE!$B$7,"")</f>
        <v/>
      </c>
    </row>
    <row r="1700" spans="1:4" x14ac:dyDescent="0.3">
      <c r="A1700" t="str">
        <f>IF(AND(FORSIDE!$B$8&gt;=7,FORSIDE!$F$8&gt;=7,FORSIDE!$B$5&gt;=4),1699,"")</f>
        <v/>
      </c>
      <c r="B1700" t="str">
        <f>IF(AND(FORSIDE!$B$8&gt;=7,FORSIDE!$F$8&gt;=7,FORSIDE!$B$5&gt;=4),354+7*FORSIDE!$F$9,"")</f>
        <v/>
      </c>
      <c r="C1700" t="str">
        <f>IF(AND(FORSIDE!$B$8&gt;=7,FORSIDE!$F$8&gt;=7,FORSIDE!$B$5&gt;=4),7*FORSIDE!$B$9,"")</f>
        <v/>
      </c>
      <c r="D1700" t="str">
        <f>IF(AND(FORSIDE!$B$8&gt;=7,FORSIDE!$F$8&gt;=7,FORSIDE!$B$5&gt;=4),FORSIDE!$B$6+(4-1)*FORSIDE!$B$7,"")</f>
        <v/>
      </c>
    </row>
    <row r="1701" spans="1:4" x14ac:dyDescent="0.3">
      <c r="A1701" t="str">
        <f>IF(AND(FORSIDE!$B$8&gt;=7,FORSIDE!$F$8&gt;=7,FORSIDE!$B$5&gt;=5),1700,"")</f>
        <v/>
      </c>
      <c r="B1701" t="str">
        <f>IF(AND(FORSIDE!$B$8&gt;=7,FORSIDE!$F$8&gt;=7,FORSIDE!$B$5&gt;=5),354+7*FORSIDE!$F$9,"")</f>
        <v/>
      </c>
      <c r="C1701" t="str">
        <f>IF(AND(FORSIDE!$B$8&gt;=7,FORSIDE!$F$8&gt;=7,FORSIDE!$B$5&gt;=5),7*FORSIDE!$B$9,"")</f>
        <v/>
      </c>
      <c r="D1701" t="str">
        <f>IF(AND(FORSIDE!$B$8&gt;=7,FORSIDE!$F$8&gt;=7,FORSIDE!$B$5&gt;=5),FORSIDE!$B$6+(5-1)*FORSIDE!$B$7,"")</f>
        <v/>
      </c>
    </row>
    <row r="1702" spans="1:4" x14ac:dyDescent="0.3">
      <c r="A1702" t="str">
        <f>IF(AND(FORSIDE!$B$8&gt;=7,FORSIDE!$F$8&gt;=7,FORSIDE!$B$5&gt;=6),1701,"")</f>
        <v/>
      </c>
      <c r="B1702" t="str">
        <f>IF(AND(FORSIDE!$B$8&gt;=7,FORSIDE!$F$8&gt;=7,FORSIDE!$B$5&gt;=6),354+7*FORSIDE!$F$9,"")</f>
        <v/>
      </c>
      <c r="C1702" t="str">
        <f>IF(AND(FORSIDE!$B$8&gt;=7,FORSIDE!$F$8&gt;=7,FORSIDE!$B$5&gt;=6),7*FORSIDE!$B$9,"")</f>
        <v/>
      </c>
      <c r="D1702" t="str">
        <f>IF(AND(FORSIDE!$B$8&gt;=7,FORSIDE!$F$8&gt;=7,FORSIDE!$B$5&gt;=6),FORSIDE!$B$6+(6-1)*FORSIDE!$B$7,"")</f>
        <v/>
      </c>
    </row>
    <row r="1703" spans="1:4" x14ac:dyDescent="0.3">
      <c r="A1703" t="str">
        <f>IF(AND(FORSIDE!$B$8&gt;=7,FORSIDE!$F$8&gt;=7,FORSIDE!$B$5&gt;=7),1702,"")</f>
        <v/>
      </c>
      <c r="B1703" t="str">
        <f>IF(AND(FORSIDE!$B$8&gt;=7,FORSIDE!$F$8&gt;=7,FORSIDE!$B$5&gt;=7),354+7*FORSIDE!$F$9,"")</f>
        <v/>
      </c>
      <c r="C1703" t="str">
        <f>IF(AND(FORSIDE!$B$8&gt;=7,FORSIDE!$F$8&gt;=7,FORSIDE!$B$5&gt;=7),7*FORSIDE!$B$9,"")</f>
        <v/>
      </c>
      <c r="D1703" t="str">
        <f>IF(AND(FORSIDE!$B$8&gt;=7,FORSIDE!$F$8&gt;=7,FORSIDE!$B$5&gt;=7),FORSIDE!$B$6+(7-1)*FORSIDE!$B$7,"")</f>
        <v/>
      </c>
    </row>
    <row r="1704" spans="1:4" x14ac:dyDescent="0.3">
      <c r="A1704" t="str">
        <f>IF(AND(FORSIDE!$B$8&gt;=7,FORSIDE!$F$8&gt;=7,FORSIDE!$B$5&gt;=8),1703,"")</f>
        <v/>
      </c>
      <c r="B1704" t="str">
        <f>IF(AND(FORSIDE!$B$8&gt;=7,FORSIDE!$F$8&gt;=7,FORSIDE!$B$5&gt;=8),354+7*FORSIDE!$F$9,"")</f>
        <v/>
      </c>
      <c r="C1704" t="str">
        <f>IF(AND(FORSIDE!$B$8&gt;=7,FORSIDE!$F$8&gt;=7,FORSIDE!$B$5&gt;=8),7*FORSIDE!$B$9,"")</f>
        <v/>
      </c>
      <c r="D1704" t="str">
        <f>IF(AND(FORSIDE!$B$8&gt;=7,FORSIDE!$F$8&gt;=7,FORSIDE!$B$5&gt;=8),FORSIDE!$B$6+(8-1)*FORSIDE!$B$7,"")</f>
        <v/>
      </c>
    </row>
    <row r="1705" spans="1:4" x14ac:dyDescent="0.3">
      <c r="A1705" t="str">
        <f>IF(AND(FORSIDE!$B$8&gt;=7,FORSIDE!$F$8&gt;=7,FORSIDE!$B$5&gt;=9),1704,"")</f>
        <v/>
      </c>
      <c r="B1705" t="str">
        <f>IF(AND(FORSIDE!$B$8&gt;=7,FORSIDE!$F$8&gt;=7,FORSIDE!$B$5&gt;=9),354+7*FORSIDE!$F$9,"")</f>
        <v/>
      </c>
      <c r="C1705" t="str">
        <f>IF(AND(FORSIDE!$B$8&gt;=7,FORSIDE!$F$8&gt;=7,FORSIDE!$B$5&gt;=9),7*FORSIDE!$B$9,"")</f>
        <v/>
      </c>
      <c r="D1705" t="str">
        <f>IF(AND(FORSIDE!$B$8&gt;=7,FORSIDE!$F$8&gt;=7,FORSIDE!$B$5&gt;=9),FORSIDE!$B$6+(9-1)*FORSIDE!$B$7,"")</f>
        <v/>
      </c>
    </row>
    <row r="1706" spans="1:4" x14ac:dyDescent="0.3">
      <c r="A1706" t="str">
        <f>IF(AND(FORSIDE!$B$8&gt;=7,FORSIDE!$F$8&gt;=7,FORSIDE!$B$5&gt;=10),1705,"")</f>
        <v/>
      </c>
      <c r="B1706" t="str">
        <f>IF(AND(FORSIDE!$B$8&gt;=7,FORSIDE!$F$8&gt;=7,FORSIDE!$B$5&gt;=10),354+7*FORSIDE!$F$9,"")</f>
        <v/>
      </c>
      <c r="C1706" t="str">
        <f>IF(AND(FORSIDE!$B$8&gt;=7,FORSIDE!$F$8&gt;=7,FORSIDE!$B$5&gt;=10),7*FORSIDE!$B$9,"")</f>
        <v/>
      </c>
      <c r="D1706" t="str">
        <f>IF(AND(FORSIDE!$B$8&gt;=7,FORSIDE!$F$8&gt;=7,FORSIDE!$B$5&gt;=10),FORSIDE!$B$6+(10-1)*FORSIDE!$B$7,"")</f>
        <v/>
      </c>
    </row>
    <row r="1707" spans="1:4" x14ac:dyDescent="0.3">
      <c r="A1707" t="str">
        <f>IF(AND(FORSIDE!$B$8&gt;=8,FORSIDE!$F$8&gt;=7,FORSIDE!$B$5&gt;=0),1706,"")</f>
        <v/>
      </c>
      <c r="B1707" t="str">
        <f>IF(AND(FORSIDE!$B$8&gt;=8,FORSIDE!$F$8&gt;=7,FORSIDE!$B$5&gt;=0),354+7*FORSIDE!$F$9,"")</f>
        <v/>
      </c>
      <c r="C1707" t="str">
        <f>IF(AND(FORSIDE!$B$8&gt;=8,FORSIDE!$F$8&gt;=7,FORSIDE!$B$5&gt;=0),8*FORSIDE!$B$9,"")</f>
        <v/>
      </c>
      <c r="D1707" t="str">
        <f>IF(AND(FORSIDE!$B$8&gt;=8,FORSIDE!$F$8&gt;=7,FORSIDE!$B$5&gt;=0),0,"")</f>
        <v/>
      </c>
    </row>
    <row r="1708" spans="1:4" x14ac:dyDescent="0.3">
      <c r="A1708" t="str">
        <f>IF(AND(FORSIDE!$B$8&gt;=8,FORSIDE!$F$8&gt;=7,FORSIDE!$B$5&gt;=1),1707,"")</f>
        <v/>
      </c>
      <c r="B1708" t="str">
        <f>IF(AND(FORSIDE!$B$8&gt;=8,FORSIDE!$F$8&gt;=7,FORSIDE!$B$5&gt;=1),354+7*FORSIDE!$F$9,"")</f>
        <v/>
      </c>
      <c r="C1708" t="str">
        <f>IF(AND(FORSIDE!$B$8&gt;=8,FORSIDE!$F$8&gt;=7,FORSIDE!$B$5&gt;=1),8*FORSIDE!$B$9,"")</f>
        <v/>
      </c>
      <c r="D1708" t="str">
        <f>IF(AND(FORSIDE!$B$8&gt;=8,FORSIDE!$F$8&gt;=7,FORSIDE!$B$5&gt;=1),FORSIDE!$B$6+(1-1)*FORSIDE!$B$7,"")</f>
        <v/>
      </c>
    </row>
    <row r="1709" spans="1:4" x14ac:dyDescent="0.3">
      <c r="A1709" t="str">
        <f>IF(AND(FORSIDE!$B$8&gt;=8,FORSIDE!$F$8&gt;=7,FORSIDE!$B$5&gt;=2),1708,"")</f>
        <v/>
      </c>
      <c r="B1709" t="str">
        <f>IF(AND(FORSIDE!$B$8&gt;=8,FORSIDE!$F$8&gt;=7,FORSIDE!$B$5&gt;=2),354+7*FORSIDE!$F$9,"")</f>
        <v/>
      </c>
      <c r="C1709" t="str">
        <f>IF(AND(FORSIDE!$B$8&gt;=8,FORSIDE!$F$8&gt;=7,FORSIDE!$B$5&gt;=2),8*FORSIDE!$B$9,"")</f>
        <v/>
      </c>
      <c r="D1709" t="str">
        <f>IF(AND(FORSIDE!$B$8&gt;=8,FORSIDE!$F$8&gt;=7,FORSIDE!$B$5&gt;=2),FORSIDE!$B$6+(2-1)*FORSIDE!$B$7,"")</f>
        <v/>
      </c>
    </row>
    <row r="1710" spans="1:4" x14ac:dyDescent="0.3">
      <c r="A1710" t="str">
        <f>IF(AND(FORSIDE!$B$8&gt;=8,FORSIDE!$F$8&gt;=7,FORSIDE!$B$5&gt;=3),1709,"")</f>
        <v/>
      </c>
      <c r="B1710" t="str">
        <f>IF(AND(FORSIDE!$B$8&gt;=8,FORSIDE!$F$8&gt;=7,FORSIDE!$B$5&gt;=3),354+7*FORSIDE!$F$9,"")</f>
        <v/>
      </c>
      <c r="C1710" t="str">
        <f>IF(AND(FORSIDE!$B$8&gt;=8,FORSIDE!$F$8&gt;=7,FORSIDE!$B$5&gt;=3),8*FORSIDE!$B$9,"")</f>
        <v/>
      </c>
      <c r="D1710" t="str">
        <f>IF(AND(FORSIDE!$B$8&gt;=8,FORSIDE!$F$8&gt;=7,FORSIDE!$B$5&gt;=3),FORSIDE!$B$6+(3-1)*FORSIDE!$B$7,"")</f>
        <v/>
      </c>
    </row>
    <row r="1711" spans="1:4" x14ac:dyDescent="0.3">
      <c r="A1711" t="str">
        <f>IF(AND(FORSIDE!$B$8&gt;=8,FORSIDE!$F$8&gt;=7,FORSIDE!$B$5&gt;=4),1710,"")</f>
        <v/>
      </c>
      <c r="B1711" t="str">
        <f>IF(AND(FORSIDE!$B$8&gt;=8,FORSIDE!$F$8&gt;=7,FORSIDE!$B$5&gt;=4),354+7*FORSIDE!$F$9,"")</f>
        <v/>
      </c>
      <c r="C1711" t="str">
        <f>IF(AND(FORSIDE!$B$8&gt;=8,FORSIDE!$F$8&gt;=7,FORSIDE!$B$5&gt;=4),8*FORSIDE!$B$9,"")</f>
        <v/>
      </c>
      <c r="D1711" t="str">
        <f>IF(AND(FORSIDE!$B$8&gt;=8,FORSIDE!$F$8&gt;=7,FORSIDE!$B$5&gt;=4),FORSIDE!$B$6+(4-1)*FORSIDE!$B$7,"")</f>
        <v/>
      </c>
    </row>
    <row r="1712" spans="1:4" x14ac:dyDescent="0.3">
      <c r="A1712" t="str">
        <f>IF(AND(FORSIDE!$B$8&gt;=8,FORSIDE!$F$8&gt;=7,FORSIDE!$B$5&gt;=5),1711,"")</f>
        <v/>
      </c>
      <c r="B1712" t="str">
        <f>IF(AND(FORSIDE!$B$8&gt;=8,FORSIDE!$F$8&gt;=7,FORSIDE!$B$5&gt;=5),354+7*FORSIDE!$F$9,"")</f>
        <v/>
      </c>
      <c r="C1712" t="str">
        <f>IF(AND(FORSIDE!$B$8&gt;=8,FORSIDE!$F$8&gt;=7,FORSIDE!$B$5&gt;=5),8*FORSIDE!$B$9,"")</f>
        <v/>
      </c>
      <c r="D1712" t="str">
        <f>IF(AND(FORSIDE!$B$8&gt;=8,FORSIDE!$F$8&gt;=7,FORSIDE!$B$5&gt;=5),FORSIDE!$B$6+(5-1)*FORSIDE!$B$7,"")</f>
        <v/>
      </c>
    </row>
    <row r="1713" spans="1:4" x14ac:dyDescent="0.3">
      <c r="A1713" t="str">
        <f>IF(AND(FORSIDE!$B$8&gt;=8,FORSIDE!$F$8&gt;=7,FORSIDE!$B$5&gt;=6),1712,"")</f>
        <v/>
      </c>
      <c r="B1713" t="str">
        <f>IF(AND(FORSIDE!$B$8&gt;=8,FORSIDE!$F$8&gt;=7,FORSIDE!$B$5&gt;=6),354+7*FORSIDE!$F$9,"")</f>
        <v/>
      </c>
      <c r="C1713" t="str">
        <f>IF(AND(FORSIDE!$B$8&gt;=8,FORSIDE!$F$8&gt;=7,FORSIDE!$B$5&gt;=6),8*FORSIDE!$B$9,"")</f>
        <v/>
      </c>
      <c r="D1713" t="str">
        <f>IF(AND(FORSIDE!$B$8&gt;=8,FORSIDE!$F$8&gt;=7,FORSIDE!$B$5&gt;=6),FORSIDE!$B$6+(6-1)*FORSIDE!$B$7,"")</f>
        <v/>
      </c>
    </row>
    <row r="1714" spans="1:4" x14ac:dyDescent="0.3">
      <c r="A1714" t="str">
        <f>IF(AND(FORSIDE!$B$8&gt;=8,FORSIDE!$F$8&gt;=7,FORSIDE!$B$5&gt;=7),1713,"")</f>
        <v/>
      </c>
      <c r="B1714" t="str">
        <f>IF(AND(FORSIDE!$B$8&gt;=8,FORSIDE!$F$8&gt;=7,FORSIDE!$B$5&gt;=7),354+7*FORSIDE!$F$9,"")</f>
        <v/>
      </c>
      <c r="C1714" t="str">
        <f>IF(AND(FORSIDE!$B$8&gt;=8,FORSIDE!$F$8&gt;=7,FORSIDE!$B$5&gt;=7),8*FORSIDE!$B$9,"")</f>
        <v/>
      </c>
      <c r="D1714" t="str">
        <f>IF(AND(FORSIDE!$B$8&gt;=8,FORSIDE!$F$8&gt;=7,FORSIDE!$B$5&gt;=7),FORSIDE!$B$6+(7-1)*FORSIDE!$B$7,"")</f>
        <v/>
      </c>
    </row>
    <row r="1715" spans="1:4" x14ac:dyDescent="0.3">
      <c r="A1715" t="str">
        <f>IF(AND(FORSIDE!$B$8&gt;=8,FORSIDE!$F$8&gt;=7,FORSIDE!$B$5&gt;=8),1714,"")</f>
        <v/>
      </c>
      <c r="B1715" t="str">
        <f>IF(AND(FORSIDE!$B$8&gt;=8,FORSIDE!$F$8&gt;=7,FORSIDE!$B$5&gt;=8),354+7*FORSIDE!$F$9,"")</f>
        <v/>
      </c>
      <c r="C1715" t="str">
        <f>IF(AND(FORSIDE!$B$8&gt;=8,FORSIDE!$F$8&gt;=7,FORSIDE!$B$5&gt;=8),8*FORSIDE!$B$9,"")</f>
        <v/>
      </c>
      <c r="D1715" t="str">
        <f>IF(AND(FORSIDE!$B$8&gt;=8,FORSIDE!$F$8&gt;=7,FORSIDE!$B$5&gt;=8),FORSIDE!$B$6+(8-1)*FORSIDE!$B$7,"")</f>
        <v/>
      </c>
    </row>
    <row r="1716" spans="1:4" x14ac:dyDescent="0.3">
      <c r="A1716" t="str">
        <f>IF(AND(FORSIDE!$B$8&gt;=8,FORSIDE!$F$8&gt;=7,FORSIDE!$B$5&gt;=9),1715,"")</f>
        <v/>
      </c>
      <c r="B1716" t="str">
        <f>IF(AND(FORSIDE!$B$8&gt;=8,FORSIDE!$F$8&gt;=7,FORSIDE!$B$5&gt;=9),354+7*FORSIDE!$F$9,"")</f>
        <v/>
      </c>
      <c r="C1716" t="str">
        <f>IF(AND(FORSIDE!$B$8&gt;=8,FORSIDE!$F$8&gt;=7,FORSIDE!$B$5&gt;=9),8*FORSIDE!$B$9,"")</f>
        <v/>
      </c>
      <c r="D1716" t="str">
        <f>IF(AND(FORSIDE!$B$8&gt;=8,FORSIDE!$F$8&gt;=7,FORSIDE!$B$5&gt;=9),FORSIDE!$B$6+(9-1)*FORSIDE!$B$7,"")</f>
        <v/>
      </c>
    </row>
    <row r="1717" spans="1:4" x14ac:dyDescent="0.3">
      <c r="A1717" t="str">
        <f>IF(AND(FORSIDE!$B$8&gt;=8,FORSIDE!$F$8&gt;=7,FORSIDE!$B$5&gt;=10),1716,"")</f>
        <v/>
      </c>
      <c r="B1717" t="str">
        <f>IF(AND(FORSIDE!$B$8&gt;=8,FORSIDE!$F$8&gt;=7,FORSIDE!$B$5&gt;=10),354+7*FORSIDE!$F$9,"")</f>
        <v/>
      </c>
      <c r="C1717" t="str">
        <f>IF(AND(FORSIDE!$B$8&gt;=8,FORSIDE!$F$8&gt;=7,FORSIDE!$B$5&gt;=10),8*FORSIDE!$B$9,"")</f>
        <v/>
      </c>
      <c r="D1717" t="str">
        <f>IF(AND(FORSIDE!$B$8&gt;=8,FORSIDE!$F$8&gt;=7,FORSIDE!$B$5&gt;=10),FORSIDE!$B$6+(10-1)*FORSIDE!$B$7,"")</f>
        <v/>
      </c>
    </row>
    <row r="1718" spans="1:4" x14ac:dyDescent="0.3">
      <c r="A1718" t="str">
        <f>IF(AND(FORSIDE!$B$8&gt;=9,FORSIDE!$F$8&gt;=7,FORSIDE!$B$5&gt;=0),1717,"")</f>
        <v/>
      </c>
      <c r="B1718" t="str">
        <f>IF(AND(FORSIDE!$B$8&gt;=9,FORSIDE!$F$8&gt;=7,FORSIDE!$B$5&gt;=0),354+7*FORSIDE!$F$9,"")</f>
        <v/>
      </c>
      <c r="C1718" t="str">
        <f>IF(AND(FORSIDE!$B$8&gt;=9,FORSIDE!$F$8&gt;=7,FORSIDE!$B$5&gt;=0),9*FORSIDE!$B$9,"")</f>
        <v/>
      </c>
      <c r="D1718" t="str">
        <f>IF(AND(FORSIDE!$B$8&gt;=9,FORSIDE!$F$8&gt;=7,FORSIDE!$B$5&gt;=0),0,"")</f>
        <v/>
      </c>
    </row>
    <row r="1719" spans="1:4" x14ac:dyDescent="0.3">
      <c r="A1719" t="str">
        <f>IF(AND(FORSIDE!$B$8&gt;=9,FORSIDE!$F$8&gt;=7,FORSIDE!$B$5&gt;=1),1718,"")</f>
        <v/>
      </c>
      <c r="B1719" t="str">
        <f>IF(AND(FORSIDE!$B$8&gt;=9,FORSIDE!$F$8&gt;=7,FORSIDE!$B$5&gt;=1),354+7*FORSIDE!$F$9,"")</f>
        <v/>
      </c>
      <c r="C1719" t="str">
        <f>IF(AND(FORSIDE!$B$8&gt;=9,FORSIDE!$F$8&gt;=7,FORSIDE!$B$5&gt;=1),9*FORSIDE!$B$9,"")</f>
        <v/>
      </c>
      <c r="D1719" t="str">
        <f>IF(AND(FORSIDE!$B$8&gt;=9,FORSIDE!$F$8&gt;=7,FORSIDE!$B$5&gt;=1),FORSIDE!$B$6+(1-1)*FORSIDE!$B$7,"")</f>
        <v/>
      </c>
    </row>
    <row r="1720" spans="1:4" x14ac:dyDescent="0.3">
      <c r="A1720" t="str">
        <f>IF(AND(FORSIDE!$B$8&gt;=9,FORSIDE!$F$8&gt;=7,FORSIDE!$B$5&gt;=2),1719,"")</f>
        <v/>
      </c>
      <c r="B1720" t="str">
        <f>IF(AND(FORSIDE!$B$8&gt;=9,FORSIDE!$F$8&gt;=7,FORSIDE!$B$5&gt;=2),354+7*FORSIDE!$F$9,"")</f>
        <v/>
      </c>
      <c r="C1720" t="str">
        <f>IF(AND(FORSIDE!$B$8&gt;=9,FORSIDE!$F$8&gt;=7,FORSIDE!$B$5&gt;=2),9*FORSIDE!$B$9,"")</f>
        <v/>
      </c>
      <c r="D1720" t="str">
        <f>IF(AND(FORSIDE!$B$8&gt;=9,FORSIDE!$F$8&gt;=7,FORSIDE!$B$5&gt;=2),FORSIDE!$B$6+(2-1)*FORSIDE!$B$7,"")</f>
        <v/>
      </c>
    </row>
    <row r="1721" spans="1:4" x14ac:dyDescent="0.3">
      <c r="A1721" t="str">
        <f>IF(AND(FORSIDE!$B$8&gt;=9,FORSIDE!$F$8&gt;=7,FORSIDE!$B$5&gt;=3),1720,"")</f>
        <v/>
      </c>
      <c r="B1721" t="str">
        <f>IF(AND(FORSIDE!$B$8&gt;=9,FORSIDE!$F$8&gt;=7,FORSIDE!$B$5&gt;=3),354+7*FORSIDE!$F$9,"")</f>
        <v/>
      </c>
      <c r="C1721" t="str">
        <f>IF(AND(FORSIDE!$B$8&gt;=9,FORSIDE!$F$8&gt;=7,FORSIDE!$B$5&gt;=3),9*FORSIDE!$B$9,"")</f>
        <v/>
      </c>
      <c r="D1721" t="str">
        <f>IF(AND(FORSIDE!$B$8&gt;=9,FORSIDE!$F$8&gt;=7,FORSIDE!$B$5&gt;=3),FORSIDE!$B$6+(3-1)*FORSIDE!$B$7,"")</f>
        <v/>
      </c>
    </row>
    <row r="1722" spans="1:4" x14ac:dyDescent="0.3">
      <c r="A1722" t="str">
        <f>IF(AND(FORSIDE!$B$8&gt;=9,FORSIDE!$F$8&gt;=7,FORSIDE!$B$5&gt;=4),1721,"")</f>
        <v/>
      </c>
      <c r="B1722" t="str">
        <f>IF(AND(FORSIDE!$B$8&gt;=9,FORSIDE!$F$8&gt;=7,FORSIDE!$B$5&gt;=4),354+7*FORSIDE!$F$9,"")</f>
        <v/>
      </c>
      <c r="C1722" t="str">
        <f>IF(AND(FORSIDE!$B$8&gt;=9,FORSIDE!$F$8&gt;=7,FORSIDE!$B$5&gt;=4),9*FORSIDE!$B$9,"")</f>
        <v/>
      </c>
      <c r="D1722" t="str">
        <f>IF(AND(FORSIDE!$B$8&gt;=9,FORSIDE!$F$8&gt;=7,FORSIDE!$B$5&gt;=4),FORSIDE!$B$6+(4-1)*FORSIDE!$B$7,"")</f>
        <v/>
      </c>
    </row>
    <row r="1723" spans="1:4" x14ac:dyDescent="0.3">
      <c r="A1723" t="str">
        <f>IF(AND(FORSIDE!$B$8&gt;=9,FORSIDE!$F$8&gt;=7,FORSIDE!$B$5&gt;=5),1722,"")</f>
        <v/>
      </c>
      <c r="B1723" t="str">
        <f>IF(AND(FORSIDE!$B$8&gt;=9,FORSIDE!$F$8&gt;=7,FORSIDE!$B$5&gt;=5),354+7*FORSIDE!$F$9,"")</f>
        <v/>
      </c>
      <c r="C1723" t="str">
        <f>IF(AND(FORSIDE!$B$8&gt;=9,FORSIDE!$F$8&gt;=7,FORSIDE!$B$5&gt;=5),9*FORSIDE!$B$9,"")</f>
        <v/>
      </c>
      <c r="D1723" t="str">
        <f>IF(AND(FORSIDE!$B$8&gt;=9,FORSIDE!$F$8&gt;=7,FORSIDE!$B$5&gt;=5),FORSIDE!$B$6+(5-1)*FORSIDE!$B$7,"")</f>
        <v/>
      </c>
    </row>
    <row r="1724" spans="1:4" x14ac:dyDescent="0.3">
      <c r="A1724" t="str">
        <f>IF(AND(FORSIDE!$B$8&gt;=9,FORSIDE!$F$8&gt;=7,FORSIDE!$B$5&gt;=6),1723,"")</f>
        <v/>
      </c>
      <c r="B1724" t="str">
        <f>IF(AND(FORSIDE!$B$8&gt;=9,FORSIDE!$F$8&gt;=7,FORSIDE!$B$5&gt;=6),354+7*FORSIDE!$F$9,"")</f>
        <v/>
      </c>
      <c r="C1724" t="str">
        <f>IF(AND(FORSIDE!$B$8&gt;=9,FORSIDE!$F$8&gt;=7,FORSIDE!$B$5&gt;=6),9*FORSIDE!$B$9,"")</f>
        <v/>
      </c>
      <c r="D1724" t="str">
        <f>IF(AND(FORSIDE!$B$8&gt;=9,FORSIDE!$F$8&gt;=7,FORSIDE!$B$5&gt;=6),FORSIDE!$B$6+(6-1)*FORSIDE!$B$7,"")</f>
        <v/>
      </c>
    </row>
    <row r="1725" spans="1:4" x14ac:dyDescent="0.3">
      <c r="A1725" t="str">
        <f>IF(AND(FORSIDE!$B$8&gt;=9,FORSIDE!$F$8&gt;=7,FORSIDE!$B$5&gt;=7),1724,"")</f>
        <v/>
      </c>
      <c r="B1725" t="str">
        <f>IF(AND(FORSIDE!$B$8&gt;=9,FORSIDE!$F$8&gt;=7,FORSIDE!$B$5&gt;=7),354+7*FORSIDE!$F$9,"")</f>
        <v/>
      </c>
      <c r="C1725" t="str">
        <f>IF(AND(FORSIDE!$B$8&gt;=9,FORSIDE!$F$8&gt;=7,FORSIDE!$B$5&gt;=7),9*FORSIDE!$B$9,"")</f>
        <v/>
      </c>
      <c r="D1725" t="str">
        <f>IF(AND(FORSIDE!$B$8&gt;=9,FORSIDE!$F$8&gt;=7,FORSIDE!$B$5&gt;=7),FORSIDE!$B$6+(7-1)*FORSIDE!$B$7,"")</f>
        <v/>
      </c>
    </row>
    <row r="1726" spans="1:4" x14ac:dyDescent="0.3">
      <c r="A1726" t="str">
        <f>IF(AND(FORSIDE!$B$8&gt;=9,FORSIDE!$F$8&gt;=7,FORSIDE!$B$5&gt;=8),1725,"")</f>
        <v/>
      </c>
      <c r="B1726" t="str">
        <f>IF(AND(FORSIDE!$B$8&gt;=9,FORSIDE!$F$8&gt;=7,FORSIDE!$B$5&gt;=8),354+7*FORSIDE!$F$9,"")</f>
        <v/>
      </c>
      <c r="C1726" t="str">
        <f>IF(AND(FORSIDE!$B$8&gt;=9,FORSIDE!$F$8&gt;=7,FORSIDE!$B$5&gt;=8),9*FORSIDE!$B$9,"")</f>
        <v/>
      </c>
      <c r="D1726" t="str">
        <f>IF(AND(FORSIDE!$B$8&gt;=9,FORSIDE!$F$8&gt;=7,FORSIDE!$B$5&gt;=8),FORSIDE!$B$6+(8-1)*FORSIDE!$B$7,"")</f>
        <v/>
      </c>
    </row>
    <row r="1727" spans="1:4" x14ac:dyDescent="0.3">
      <c r="A1727" t="str">
        <f>IF(AND(FORSIDE!$B$8&gt;=9,FORSIDE!$F$8&gt;=7,FORSIDE!$B$5&gt;=9),1726,"")</f>
        <v/>
      </c>
      <c r="B1727" t="str">
        <f>IF(AND(FORSIDE!$B$8&gt;=9,FORSIDE!$F$8&gt;=7,FORSIDE!$B$5&gt;=9),354+7*FORSIDE!$F$9,"")</f>
        <v/>
      </c>
      <c r="C1727" t="str">
        <f>IF(AND(FORSIDE!$B$8&gt;=9,FORSIDE!$F$8&gt;=7,FORSIDE!$B$5&gt;=9),9*FORSIDE!$B$9,"")</f>
        <v/>
      </c>
      <c r="D1727" t="str">
        <f>IF(AND(FORSIDE!$B$8&gt;=9,FORSIDE!$F$8&gt;=7,FORSIDE!$B$5&gt;=9),FORSIDE!$B$6+(9-1)*FORSIDE!$B$7,"")</f>
        <v/>
      </c>
    </row>
    <row r="1728" spans="1:4" x14ac:dyDescent="0.3">
      <c r="A1728" t="str">
        <f>IF(AND(FORSIDE!$B$8&gt;=9,FORSIDE!$F$8&gt;=7,FORSIDE!$B$5&gt;=10),1727,"")</f>
        <v/>
      </c>
      <c r="B1728" t="str">
        <f>IF(AND(FORSIDE!$B$8&gt;=9,FORSIDE!$F$8&gt;=7,FORSIDE!$B$5&gt;=10),354+7*FORSIDE!$F$9,"")</f>
        <v/>
      </c>
      <c r="C1728" t="str">
        <f>IF(AND(FORSIDE!$B$8&gt;=9,FORSIDE!$F$8&gt;=7,FORSIDE!$B$5&gt;=10),9*FORSIDE!$B$9,"")</f>
        <v/>
      </c>
      <c r="D1728" t="str">
        <f>IF(AND(FORSIDE!$B$8&gt;=9,FORSIDE!$F$8&gt;=7,FORSIDE!$B$5&gt;=10),FORSIDE!$B$6+(10-1)*FORSIDE!$B$7,"")</f>
        <v/>
      </c>
    </row>
    <row r="1729" spans="1:4" x14ac:dyDescent="0.3">
      <c r="A1729" t="str">
        <f>IF(AND(FORSIDE!$B$8&gt;=10,FORSIDE!$F$8&gt;=7,FORSIDE!$B$5&gt;=0),1728,"")</f>
        <v/>
      </c>
      <c r="B1729" t="str">
        <f>IF(AND(FORSIDE!$B$8&gt;=10,FORSIDE!$F$8&gt;=7,FORSIDE!$B$5&gt;=0),354+7*FORSIDE!$F$9,"")</f>
        <v/>
      </c>
      <c r="C1729" t="str">
        <f>IF(AND(FORSIDE!$B$8&gt;=10,FORSIDE!$F$8&gt;=7,FORSIDE!$B$5&gt;=0),10*FORSIDE!$B$9,"")</f>
        <v/>
      </c>
      <c r="D1729" t="str">
        <f>IF(AND(FORSIDE!$B$8&gt;=10,FORSIDE!$F$8&gt;=7,FORSIDE!$B$5&gt;=0),0,"")</f>
        <v/>
      </c>
    </row>
    <row r="1730" spans="1:4" x14ac:dyDescent="0.3">
      <c r="A1730" t="str">
        <f>IF(AND(FORSIDE!$B$8&gt;=10,FORSIDE!$F$8&gt;=7,FORSIDE!$B$5&gt;=1),1729,"")</f>
        <v/>
      </c>
      <c r="B1730" t="str">
        <f>IF(AND(FORSIDE!$B$8&gt;=10,FORSIDE!$F$8&gt;=7,FORSIDE!$B$5&gt;=1),354+7*FORSIDE!$F$9,"")</f>
        <v/>
      </c>
      <c r="C1730" t="str">
        <f>IF(AND(FORSIDE!$B$8&gt;=10,FORSIDE!$F$8&gt;=7,FORSIDE!$B$5&gt;=1),10*FORSIDE!$B$9,"")</f>
        <v/>
      </c>
      <c r="D1730" t="str">
        <f>IF(AND(FORSIDE!$B$8&gt;=10,FORSIDE!$F$8&gt;=7,FORSIDE!$B$5&gt;=1),FORSIDE!$B$6+(1-1)*FORSIDE!$B$7,"")</f>
        <v/>
      </c>
    </row>
    <row r="1731" spans="1:4" x14ac:dyDescent="0.3">
      <c r="A1731" t="str">
        <f>IF(AND(FORSIDE!$B$8&gt;=10,FORSIDE!$F$8&gt;=7,FORSIDE!$B$5&gt;=2),1730,"")</f>
        <v/>
      </c>
      <c r="B1731" t="str">
        <f>IF(AND(FORSIDE!$B$8&gt;=10,FORSIDE!$F$8&gt;=7,FORSIDE!$B$5&gt;=2),354+7*FORSIDE!$F$9,"")</f>
        <v/>
      </c>
      <c r="C1731" t="str">
        <f>IF(AND(FORSIDE!$B$8&gt;=10,FORSIDE!$F$8&gt;=7,FORSIDE!$B$5&gt;=2),10*FORSIDE!$B$9,"")</f>
        <v/>
      </c>
      <c r="D1731" t="str">
        <f>IF(AND(FORSIDE!$B$8&gt;=10,FORSIDE!$F$8&gt;=7,FORSIDE!$B$5&gt;=2),FORSIDE!$B$6+(2-1)*FORSIDE!$B$7,"")</f>
        <v/>
      </c>
    </row>
    <row r="1732" spans="1:4" x14ac:dyDescent="0.3">
      <c r="A1732" t="str">
        <f>IF(AND(FORSIDE!$B$8&gt;=10,FORSIDE!$F$8&gt;=7,FORSIDE!$B$5&gt;=3),1731,"")</f>
        <v/>
      </c>
      <c r="B1732" t="str">
        <f>IF(AND(FORSIDE!$B$8&gt;=10,FORSIDE!$F$8&gt;=7,FORSIDE!$B$5&gt;=3),354+7*FORSIDE!$F$9,"")</f>
        <v/>
      </c>
      <c r="C1732" t="str">
        <f>IF(AND(FORSIDE!$B$8&gt;=10,FORSIDE!$F$8&gt;=7,FORSIDE!$B$5&gt;=3),10*FORSIDE!$B$9,"")</f>
        <v/>
      </c>
      <c r="D1732" t="str">
        <f>IF(AND(FORSIDE!$B$8&gt;=10,FORSIDE!$F$8&gt;=7,FORSIDE!$B$5&gt;=3),FORSIDE!$B$6+(3-1)*FORSIDE!$B$7,"")</f>
        <v/>
      </c>
    </row>
    <row r="1733" spans="1:4" x14ac:dyDescent="0.3">
      <c r="A1733" t="str">
        <f>IF(AND(FORSIDE!$B$8&gt;=10,FORSIDE!$F$8&gt;=7,FORSIDE!$B$5&gt;=4),1732,"")</f>
        <v/>
      </c>
      <c r="B1733" t="str">
        <f>IF(AND(FORSIDE!$B$8&gt;=10,FORSIDE!$F$8&gt;=7,FORSIDE!$B$5&gt;=4),354+7*FORSIDE!$F$9,"")</f>
        <v/>
      </c>
      <c r="C1733" t="str">
        <f>IF(AND(FORSIDE!$B$8&gt;=10,FORSIDE!$F$8&gt;=7,FORSIDE!$B$5&gt;=4),10*FORSIDE!$B$9,"")</f>
        <v/>
      </c>
      <c r="D1733" t="str">
        <f>IF(AND(FORSIDE!$B$8&gt;=10,FORSIDE!$F$8&gt;=7,FORSIDE!$B$5&gt;=4),FORSIDE!$B$6+(4-1)*FORSIDE!$B$7,"")</f>
        <v/>
      </c>
    </row>
    <row r="1734" spans="1:4" x14ac:dyDescent="0.3">
      <c r="A1734" t="str">
        <f>IF(AND(FORSIDE!$B$8&gt;=10,FORSIDE!$F$8&gt;=7,FORSIDE!$B$5&gt;=5),1733,"")</f>
        <v/>
      </c>
      <c r="B1734" t="str">
        <f>IF(AND(FORSIDE!$B$8&gt;=10,FORSIDE!$F$8&gt;=7,FORSIDE!$B$5&gt;=5),354+7*FORSIDE!$F$9,"")</f>
        <v/>
      </c>
      <c r="C1734" t="str">
        <f>IF(AND(FORSIDE!$B$8&gt;=10,FORSIDE!$F$8&gt;=7,FORSIDE!$B$5&gt;=5),10*FORSIDE!$B$9,"")</f>
        <v/>
      </c>
      <c r="D1734" t="str">
        <f>IF(AND(FORSIDE!$B$8&gt;=10,FORSIDE!$F$8&gt;=7,FORSIDE!$B$5&gt;=5),FORSIDE!$B$6+(5-1)*FORSIDE!$B$7,"")</f>
        <v/>
      </c>
    </row>
    <row r="1735" spans="1:4" x14ac:dyDescent="0.3">
      <c r="A1735" t="str">
        <f>IF(AND(FORSIDE!$B$8&gt;=10,FORSIDE!$F$8&gt;=7,FORSIDE!$B$5&gt;=6),1734,"")</f>
        <v/>
      </c>
      <c r="B1735" t="str">
        <f>IF(AND(FORSIDE!$B$8&gt;=10,FORSIDE!$F$8&gt;=7,FORSIDE!$B$5&gt;=6),354+7*FORSIDE!$F$9,"")</f>
        <v/>
      </c>
      <c r="C1735" t="str">
        <f>IF(AND(FORSIDE!$B$8&gt;=10,FORSIDE!$F$8&gt;=7,FORSIDE!$B$5&gt;=6),10*FORSIDE!$B$9,"")</f>
        <v/>
      </c>
      <c r="D1735" t="str">
        <f>IF(AND(FORSIDE!$B$8&gt;=10,FORSIDE!$F$8&gt;=7,FORSIDE!$B$5&gt;=6),FORSIDE!$B$6+(6-1)*FORSIDE!$B$7,"")</f>
        <v/>
      </c>
    </row>
    <row r="1736" spans="1:4" x14ac:dyDescent="0.3">
      <c r="A1736" t="str">
        <f>IF(AND(FORSIDE!$B$8&gt;=10,FORSIDE!$F$8&gt;=7,FORSIDE!$B$5&gt;=7),1735,"")</f>
        <v/>
      </c>
      <c r="B1736" t="str">
        <f>IF(AND(FORSIDE!$B$8&gt;=10,FORSIDE!$F$8&gt;=7,FORSIDE!$B$5&gt;=7),354+7*FORSIDE!$F$9,"")</f>
        <v/>
      </c>
      <c r="C1736" t="str">
        <f>IF(AND(FORSIDE!$B$8&gt;=10,FORSIDE!$F$8&gt;=7,FORSIDE!$B$5&gt;=7),10*FORSIDE!$B$9,"")</f>
        <v/>
      </c>
      <c r="D1736" t="str">
        <f>IF(AND(FORSIDE!$B$8&gt;=10,FORSIDE!$F$8&gt;=7,FORSIDE!$B$5&gt;=7),FORSIDE!$B$6+(7-1)*FORSIDE!$B$7,"")</f>
        <v/>
      </c>
    </row>
    <row r="1737" spans="1:4" x14ac:dyDescent="0.3">
      <c r="A1737" t="str">
        <f>IF(AND(FORSIDE!$B$8&gt;=10,FORSIDE!$F$8&gt;=7,FORSIDE!$B$5&gt;=8),1736,"")</f>
        <v/>
      </c>
      <c r="B1737" t="str">
        <f>IF(AND(FORSIDE!$B$8&gt;=10,FORSIDE!$F$8&gt;=7,FORSIDE!$B$5&gt;=8),354+7*FORSIDE!$F$9,"")</f>
        <v/>
      </c>
      <c r="C1737" t="str">
        <f>IF(AND(FORSIDE!$B$8&gt;=10,FORSIDE!$F$8&gt;=7,FORSIDE!$B$5&gt;=8),10*FORSIDE!$B$9,"")</f>
        <v/>
      </c>
      <c r="D1737" t="str">
        <f>IF(AND(FORSIDE!$B$8&gt;=10,FORSIDE!$F$8&gt;=7,FORSIDE!$B$5&gt;=8),FORSIDE!$B$6+(8-1)*FORSIDE!$B$7,"")</f>
        <v/>
      </c>
    </row>
    <row r="1738" spans="1:4" x14ac:dyDescent="0.3">
      <c r="A1738" t="str">
        <f>IF(AND(FORSIDE!$B$8&gt;=10,FORSIDE!$F$8&gt;=7,FORSIDE!$B$5&gt;=9),1737,"")</f>
        <v/>
      </c>
      <c r="B1738" t="str">
        <f>IF(AND(FORSIDE!$B$8&gt;=10,FORSIDE!$F$8&gt;=7,FORSIDE!$B$5&gt;=9),354+7*FORSIDE!$F$9,"")</f>
        <v/>
      </c>
      <c r="C1738" t="str">
        <f>IF(AND(FORSIDE!$B$8&gt;=10,FORSIDE!$F$8&gt;=7,FORSIDE!$B$5&gt;=9),10*FORSIDE!$B$9,"")</f>
        <v/>
      </c>
      <c r="D1738" t="str">
        <f>IF(AND(FORSIDE!$B$8&gt;=10,FORSIDE!$F$8&gt;=7,FORSIDE!$B$5&gt;=9),FORSIDE!$B$6+(9-1)*FORSIDE!$B$7,"")</f>
        <v/>
      </c>
    </row>
    <row r="1739" spans="1:4" x14ac:dyDescent="0.3">
      <c r="A1739" t="str">
        <f>IF(AND(FORSIDE!$B$8&gt;=10,FORSIDE!$F$8&gt;=7,FORSIDE!$B$5&gt;=10),1738,"")</f>
        <v/>
      </c>
      <c r="B1739" t="str">
        <f>IF(AND(FORSIDE!$B$8&gt;=10,FORSIDE!$F$8&gt;=7,FORSIDE!$B$5&gt;=10),354+7*FORSIDE!$F$9,"")</f>
        <v/>
      </c>
      <c r="C1739" t="str">
        <f>IF(AND(FORSIDE!$B$8&gt;=10,FORSIDE!$F$8&gt;=7,FORSIDE!$B$5&gt;=10),10*FORSIDE!$B$9,"")</f>
        <v/>
      </c>
      <c r="D1739" t="str">
        <f>IF(AND(FORSIDE!$B$8&gt;=10,FORSIDE!$F$8&gt;=7,FORSIDE!$B$5&gt;=10),FORSIDE!$B$6+(10-1)*FORSIDE!$B$7,"")</f>
        <v/>
      </c>
    </row>
    <row r="1740" spans="1:4" x14ac:dyDescent="0.3">
      <c r="A1740" t="str">
        <f>IF(AND(FORSIDE!$B$8&gt;=11,FORSIDE!$F$8&gt;=7,FORSIDE!$B$5&gt;=0),1739,"")</f>
        <v/>
      </c>
      <c r="B1740" t="str">
        <f>IF(AND(FORSIDE!$B$8&gt;=11,FORSIDE!$F$8&gt;=7,FORSIDE!$B$5&gt;=0),354+7*FORSIDE!$F$9,"")</f>
        <v/>
      </c>
      <c r="C1740" t="str">
        <f>IF(AND(FORSIDE!$B$8&gt;=11,FORSIDE!$F$8&gt;=7,FORSIDE!$B$5&gt;=0),11*FORSIDE!$B$9,"")</f>
        <v/>
      </c>
      <c r="D1740" t="str">
        <f>IF(AND(FORSIDE!$B$8&gt;=11,FORSIDE!$F$8&gt;=7,FORSIDE!$B$5&gt;=0),0,"")</f>
        <v/>
      </c>
    </row>
    <row r="1741" spans="1:4" x14ac:dyDescent="0.3">
      <c r="A1741" t="str">
        <f>IF(AND(FORSIDE!$B$8&gt;=11,FORSIDE!$F$8&gt;=7,FORSIDE!$B$5&gt;=1),1740,"")</f>
        <v/>
      </c>
      <c r="B1741" t="str">
        <f>IF(AND(FORSIDE!$B$8&gt;=11,FORSIDE!$F$8&gt;=7,FORSIDE!$B$5&gt;=1),354+7*FORSIDE!$F$9,"")</f>
        <v/>
      </c>
      <c r="C1741" t="str">
        <f>IF(AND(FORSIDE!$B$8&gt;=11,FORSIDE!$F$8&gt;=7,FORSIDE!$B$5&gt;=1),11*FORSIDE!$B$9,"")</f>
        <v/>
      </c>
      <c r="D1741" t="str">
        <f>IF(AND(FORSIDE!$B$8&gt;=11,FORSIDE!$F$8&gt;=7,FORSIDE!$B$5&gt;=1),FORSIDE!$B$6+(1-1)*FORSIDE!$B$7,"")</f>
        <v/>
      </c>
    </row>
    <row r="1742" spans="1:4" x14ac:dyDescent="0.3">
      <c r="A1742" t="str">
        <f>IF(AND(FORSIDE!$B$8&gt;=11,FORSIDE!$F$8&gt;=7,FORSIDE!$B$5&gt;=2),1741,"")</f>
        <v/>
      </c>
      <c r="B1742" t="str">
        <f>IF(AND(FORSIDE!$B$8&gt;=11,FORSIDE!$F$8&gt;=7,FORSIDE!$B$5&gt;=2),354+7*FORSIDE!$F$9,"")</f>
        <v/>
      </c>
      <c r="C1742" t="str">
        <f>IF(AND(FORSIDE!$B$8&gt;=11,FORSIDE!$F$8&gt;=7,FORSIDE!$B$5&gt;=2),11*FORSIDE!$B$9,"")</f>
        <v/>
      </c>
      <c r="D1742" t="str">
        <f>IF(AND(FORSIDE!$B$8&gt;=11,FORSIDE!$F$8&gt;=7,FORSIDE!$B$5&gt;=2),FORSIDE!$B$6+(2-1)*FORSIDE!$B$7,"")</f>
        <v/>
      </c>
    </row>
    <row r="1743" spans="1:4" x14ac:dyDescent="0.3">
      <c r="A1743" t="str">
        <f>IF(AND(FORSIDE!$B$8&gt;=11,FORSIDE!$F$8&gt;=7,FORSIDE!$B$5&gt;=3),1742,"")</f>
        <v/>
      </c>
      <c r="B1743" t="str">
        <f>IF(AND(FORSIDE!$B$8&gt;=11,FORSIDE!$F$8&gt;=7,FORSIDE!$B$5&gt;=3),354+7*FORSIDE!$F$9,"")</f>
        <v/>
      </c>
      <c r="C1743" t="str">
        <f>IF(AND(FORSIDE!$B$8&gt;=11,FORSIDE!$F$8&gt;=7,FORSIDE!$B$5&gt;=3),11*FORSIDE!$B$9,"")</f>
        <v/>
      </c>
      <c r="D1743" t="str">
        <f>IF(AND(FORSIDE!$B$8&gt;=11,FORSIDE!$F$8&gt;=7,FORSIDE!$B$5&gt;=3),FORSIDE!$B$6+(3-1)*FORSIDE!$B$7,"")</f>
        <v/>
      </c>
    </row>
    <row r="1744" spans="1:4" x14ac:dyDescent="0.3">
      <c r="A1744" t="str">
        <f>IF(AND(FORSIDE!$B$8&gt;=11,FORSIDE!$F$8&gt;=7,FORSIDE!$B$5&gt;=4),1743,"")</f>
        <v/>
      </c>
      <c r="B1744" t="str">
        <f>IF(AND(FORSIDE!$B$8&gt;=11,FORSIDE!$F$8&gt;=7,FORSIDE!$B$5&gt;=4),354+7*FORSIDE!$F$9,"")</f>
        <v/>
      </c>
      <c r="C1744" t="str">
        <f>IF(AND(FORSIDE!$B$8&gt;=11,FORSIDE!$F$8&gt;=7,FORSIDE!$B$5&gt;=4),11*FORSIDE!$B$9,"")</f>
        <v/>
      </c>
      <c r="D1744" t="str">
        <f>IF(AND(FORSIDE!$B$8&gt;=11,FORSIDE!$F$8&gt;=7,FORSIDE!$B$5&gt;=4),FORSIDE!$B$6+(4-1)*FORSIDE!$B$7,"")</f>
        <v/>
      </c>
    </row>
    <row r="1745" spans="1:4" x14ac:dyDescent="0.3">
      <c r="A1745" t="str">
        <f>IF(AND(FORSIDE!$B$8&gt;=11,FORSIDE!$F$8&gt;=7,FORSIDE!$B$5&gt;=5),1744,"")</f>
        <v/>
      </c>
      <c r="B1745" t="str">
        <f>IF(AND(FORSIDE!$B$8&gt;=11,FORSIDE!$F$8&gt;=7,FORSIDE!$B$5&gt;=5),354+7*FORSIDE!$F$9,"")</f>
        <v/>
      </c>
      <c r="C1745" t="str">
        <f>IF(AND(FORSIDE!$B$8&gt;=11,FORSIDE!$F$8&gt;=7,FORSIDE!$B$5&gt;=5),11*FORSIDE!$B$9,"")</f>
        <v/>
      </c>
      <c r="D1745" t="str">
        <f>IF(AND(FORSIDE!$B$8&gt;=11,FORSIDE!$F$8&gt;=7,FORSIDE!$B$5&gt;=5),FORSIDE!$B$6+(5-1)*FORSIDE!$B$7,"")</f>
        <v/>
      </c>
    </row>
    <row r="1746" spans="1:4" x14ac:dyDescent="0.3">
      <c r="A1746" t="str">
        <f>IF(AND(FORSIDE!$B$8&gt;=11,FORSIDE!$F$8&gt;=7,FORSIDE!$B$5&gt;=6),1745,"")</f>
        <v/>
      </c>
      <c r="B1746" t="str">
        <f>IF(AND(FORSIDE!$B$8&gt;=11,FORSIDE!$F$8&gt;=7,FORSIDE!$B$5&gt;=6),354+7*FORSIDE!$F$9,"")</f>
        <v/>
      </c>
      <c r="C1746" t="str">
        <f>IF(AND(FORSIDE!$B$8&gt;=11,FORSIDE!$F$8&gt;=7,FORSIDE!$B$5&gt;=6),11*FORSIDE!$B$9,"")</f>
        <v/>
      </c>
      <c r="D1746" t="str">
        <f>IF(AND(FORSIDE!$B$8&gt;=11,FORSIDE!$F$8&gt;=7,FORSIDE!$B$5&gt;=6),FORSIDE!$B$6+(6-1)*FORSIDE!$B$7,"")</f>
        <v/>
      </c>
    </row>
    <row r="1747" spans="1:4" x14ac:dyDescent="0.3">
      <c r="A1747" t="str">
        <f>IF(AND(FORSIDE!$B$8&gt;=11,FORSIDE!$F$8&gt;=7,FORSIDE!$B$5&gt;=7),1746,"")</f>
        <v/>
      </c>
      <c r="B1747" t="str">
        <f>IF(AND(FORSIDE!$B$8&gt;=11,FORSIDE!$F$8&gt;=7,FORSIDE!$B$5&gt;=7),354+7*FORSIDE!$F$9,"")</f>
        <v/>
      </c>
      <c r="C1747" t="str">
        <f>IF(AND(FORSIDE!$B$8&gt;=11,FORSIDE!$F$8&gt;=7,FORSIDE!$B$5&gt;=7),11*FORSIDE!$B$9,"")</f>
        <v/>
      </c>
      <c r="D1747" t="str">
        <f>IF(AND(FORSIDE!$B$8&gt;=11,FORSIDE!$F$8&gt;=7,FORSIDE!$B$5&gt;=7),FORSIDE!$B$6+(7-1)*FORSIDE!$B$7,"")</f>
        <v/>
      </c>
    </row>
    <row r="1748" spans="1:4" x14ac:dyDescent="0.3">
      <c r="A1748" t="str">
        <f>IF(AND(FORSIDE!$B$8&gt;=11,FORSIDE!$F$8&gt;=7,FORSIDE!$B$5&gt;=8),1747,"")</f>
        <v/>
      </c>
      <c r="B1748" t="str">
        <f>IF(AND(FORSIDE!$B$8&gt;=11,FORSIDE!$F$8&gt;=7,FORSIDE!$B$5&gt;=8),354+7*FORSIDE!$F$9,"")</f>
        <v/>
      </c>
      <c r="C1748" t="str">
        <f>IF(AND(FORSIDE!$B$8&gt;=11,FORSIDE!$F$8&gt;=7,FORSIDE!$B$5&gt;=8),11*FORSIDE!$B$9,"")</f>
        <v/>
      </c>
      <c r="D1748" t="str">
        <f>IF(AND(FORSIDE!$B$8&gt;=11,FORSIDE!$F$8&gt;=7,FORSIDE!$B$5&gt;=8),FORSIDE!$B$6+(8-1)*FORSIDE!$B$7,"")</f>
        <v/>
      </c>
    </row>
    <row r="1749" spans="1:4" x14ac:dyDescent="0.3">
      <c r="A1749" t="str">
        <f>IF(AND(FORSIDE!$B$8&gt;=11,FORSIDE!$F$8&gt;=7,FORSIDE!$B$5&gt;=9),1748,"")</f>
        <v/>
      </c>
      <c r="B1749" t="str">
        <f>IF(AND(FORSIDE!$B$8&gt;=11,FORSIDE!$F$8&gt;=7,FORSIDE!$B$5&gt;=9),354+7*FORSIDE!$F$9,"")</f>
        <v/>
      </c>
      <c r="C1749" t="str">
        <f>IF(AND(FORSIDE!$B$8&gt;=11,FORSIDE!$F$8&gt;=7,FORSIDE!$B$5&gt;=9),11*FORSIDE!$B$9,"")</f>
        <v/>
      </c>
      <c r="D1749" t="str">
        <f>IF(AND(FORSIDE!$B$8&gt;=11,FORSIDE!$F$8&gt;=7,FORSIDE!$B$5&gt;=9),FORSIDE!$B$6+(9-1)*FORSIDE!$B$7,"")</f>
        <v/>
      </c>
    </row>
    <row r="1750" spans="1:4" x14ac:dyDescent="0.3">
      <c r="A1750" t="str">
        <f>IF(AND(FORSIDE!$B$8&gt;=11,FORSIDE!$F$8&gt;=7,FORSIDE!$B$5&gt;=10),1749,"")</f>
        <v/>
      </c>
      <c r="B1750" t="str">
        <f>IF(AND(FORSIDE!$B$8&gt;=11,FORSIDE!$F$8&gt;=7,FORSIDE!$B$5&gt;=10),354+7*FORSIDE!$F$9,"")</f>
        <v/>
      </c>
      <c r="C1750" t="str">
        <f>IF(AND(FORSIDE!$B$8&gt;=11,FORSIDE!$F$8&gt;=7,FORSIDE!$B$5&gt;=10),11*FORSIDE!$B$9,"")</f>
        <v/>
      </c>
      <c r="D1750" t="str">
        <f>IF(AND(FORSIDE!$B$8&gt;=11,FORSIDE!$F$8&gt;=7,FORSIDE!$B$5&gt;=10),FORSIDE!$B$6+(10-1)*FORSIDE!$B$7,"")</f>
        <v/>
      </c>
    </row>
    <row r="1751" spans="1:4" x14ac:dyDescent="0.3">
      <c r="A1751" t="str">
        <f>IF(AND(FORSIDE!$B$8&gt;=12,FORSIDE!$F$8&gt;=7,FORSIDE!$B$5&gt;=0),1750,"")</f>
        <v/>
      </c>
      <c r="B1751" t="str">
        <f>IF(AND(FORSIDE!$B$8&gt;=12,FORSIDE!$F$8&gt;=7,FORSIDE!$B$5&gt;=0),354+7*FORSIDE!$F$9,"")</f>
        <v/>
      </c>
      <c r="C1751" t="str">
        <f>IF(AND(FORSIDE!$B$8&gt;=12,FORSIDE!$F$8&gt;=7,FORSIDE!$B$5&gt;=0),12*FORSIDE!$B$9,"")</f>
        <v/>
      </c>
      <c r="D1751" t="str">
        <f>IF(AND(FORSIDE!$B$8&gt;=12,FORSIDE!$F$8&gt;=7,FORSIDE!$B$5&gt;=0),0,"")</f>
        <v/>
      </c>
    </row>
    <row r="1752" spans="1:4" x14ac:dyDescent="0.3">
      <c r="A1752" t="str">
        <f>IF(AND(FORSIDE!$B$8&gt;=12,FORSIDE!$F$8&gt;=7,FORSIDE!$B$5&gt;=1),1751,"")</f>
        <v/>
      </c>
      <c r="B1752" t="str">
        <f>IF(AND(FORSIDE!$B$8&gt;=12,FORSIDE!$F$8&gt;=7,FORSIDE!$B$5&gt;=1),354+7*FORSIDE!$F$9,"")</f>
        <v/>
      </c>
      <c r="C1752" t="str">
        <f>IF(AND(FORSIDE!$B$8&gt;=12,FORSIDE!$F$8&gt;=7,FORSIDE!$B$5&gt;=1),12*FORSIDE!$B$9,"")</f>
        <v/>
      </c>
      <c r="D1752" t="str">
        <f>IF(AND(FORSIDE!$B$8&gt;=12,FORSIDE!$F$8&gt;=7,FORSIDE!$B$5&gt;=1),FORSIDE!$B$6+(1-1)*FORSIDE!$B$7,"")</f>
        <v/>
      </c>
    </row>
    <row r="1753" spans="1:4" x14ac:dyDescent="0.3">
      <c r="A1753" t="str">
        <f>IF(AND(FORSIDE!$B$8&gt;=12,FORSIDE!$F$8&gt;=7,FORSIDE!$B$5&gt;=2),1752,"")</f>
        <v/>
      </c>
      <c r="B1753" t="str">
        <f>IF(AND(FORSIDE!$B$8&gt;=12,FORSIDE!$F$8&gt;=7,FORSIDE!$B$5&gt;=2),354+7*FORSIDE!$F$9,"")</f>
        <v/>
      </c>
      <c r="C1753" t="str">
        <f>IF(AND(FORSIDE!$B$8&gt;=12,FORSIDE!$F$8&gt;=7,FORSIDE!$B$5&gt;=2),12*FORSIDE!$B$9,"")</f>
        <v/>
      </c>
      <c r="D1753" t="str">
        <f>IF(AND(FORSIDE!$B$8&gt;=12,FORSIDE!$F$8&gt;=7,FORSIDE!$B$5&gt;=2),FORSIDE!$B$6+(2-1)*FORSIDE!$B$7,"")</f>
        <v/>
      </c>
    </row>
    <row r="1754" spans="1:4" x14ac:dyDescent="0.3">
      <c r="A1754" t="str">
        <f>IF(AND(FORSIDE!$B$8&gt;=12,FORSIDE!$F$8&gt;=7,FORSIDE!$B$5&gt;=3),1753,"")</f>
        <v/>
      </c>
      <c r="B1754" t="str">
        <f>IF(AND(FORSIDE!$B$8&gt;=12,FORSIDE!$F$8&gt;=7,FORSIDE!$B$5&gt;=3),354+7*FORSIDE!$F$9,"")</f>
        <v/>
      </c>
      <c r="C1754" t="str">
        <f>IF(AND(FORSIDE!$B$8&gt;=12,FORSIDE!$F$8&gt;=7,FORSIDE!$B$5&gt;=3),12*FORSIDE!$B$9,"")</f>
        <v/>
      </c>
      <c r="D1754" t="str">
        <f>IF(AND(FORSIDE!$B$8&gt;=12,FORSIDE!$F$8&gt;=7,FORSIDE!$B$5&gt;=3),FORSIDE!$B$6+(3-1)*FORSIDE!$B$7,"")</f>
        <v/>
      </c>
    </row>
    <row r="1755" spans="1:4" x14ac:dyDescent="0.3">
      <c r="A1755" t="str">
        <f>IF(AND(FORSIDE!$B$8&gt;=12,FORSIDE!$F$8&gt;=7,FORSIDE!$B$5&gt;=4),1754,"")</f>
        <v/>
      </c>
      <c r="B1755" t="str">
        <f>IF(AND(FORSIDE!$B$8&gt;=12,FORSIDE!$F$8&gt;=7,FORSIDE!$B$5&gt;=4),354+7*FORSIDE!$F$9,"")</f>
        <v/>
      </c>
      <c r="C1755" t="str">
        <f>IF(AND(FORSIDE!$B$8&gt;=12,FORSIDE!$F$8&gt;=7,FORSIDE!$B$5&gt;=4),12*FORSIDE!$B$9,"")</f>
        <v/>
      </c>
      <c r="D1755" t="str">
        <f>IF(AND(FORSIDE!$B$8&gt;=12,FORSIDE!$F$8&gt;=7,FORSIDE!$B$5&gt;=4),FORSIDE!$B$6+(4-1)*FORSIDE!$B$7,"")</f>
        <v/>
      </c>
    </row>
    <row r="1756" spans="1:4" x14ac:dyDescent="0.3">
      <c r="A1756" t="str">
        <f>IF(AND(FORSIDE!$B$8&gt;=12,FORSIDE!$F$8&gt;=7,FORSIDE!$B$5&gt;=5),1755,"")</f>
        <v/>
      </c>
      <c r="B1756" t="str">
        <f>IF(AND(FORSIDE!$B$8&gt;=12,FORSIDE!$F$8&gt;=7,FORSIDE!$B$5&gt;=5),354+7*FORSIDE!$F$9,"")</f>
        <v/>
      </c>
      <c r="C1756" t="str">
        <f>IF(AND(FORSIDE!$B$8&gt;=12,FORSIDE!$F$8&gt;=7,FORSIDE!$B$5&gt;=5),12*FORSIDE!$B$9,"")</f>
        <v/>
      </c>
      <c r="D1756" t="str">
        <f>IF(AND(FORSIDE!$B$8&gt;=12,FORSIDE!$F$8&gt;=7,FORSIDE!$B$5&gt;=5),FORSIDE!$B$6+(5-1)*FORSIDE!$B$7,"")</f>
        <v/>
      </c>
    </row>
    <row r="1757" spans="1:4" x14ac:dyDescent="0.3">
      <c r="A1757" t="str">
        <f>IF(AND(FORSIDE!$B$8&gt;=12,FORSIDE!$F$8&gt;=7,FORSIDE!$B$5&gt;=6),1756,"")</f>
        <v/>
      </c>
      <c r="B1757" t="str">
        <f>IF(AND(FORSIDE!$B$8&gt;=12,FORSIDE!$F$8&gt;=7,FORSIDE!$B$5&gt;=6),354+7*FORSIDE!$F$9,"")</f>
        <v/>
      </c>
      <c r="C1757" t="str">
        <f>IF(AND(FORSIDE!$B$8&gt;=12,FORSIDE!$F$8&gt;=7,FORSIDE!$B$5&gt;=6),12*FORSIDE!$B$9,"")</f>
        <v/>
      </c>
      <c r="D1757" t="str">
        <f>IF(AND(FORSIDE!$B$8&gt;=12,FORSIDE!$F$8&gt;=7,FORSIDE!$B$5&gt;=6),FORSIDE!$B$6+(6-1)*FORSIDE!$B$7,"")</f>
        <v/>
      </c>
    </row>
    <row r="1758" spans="1:4" x14ac:dyDescent="0.3">
      <c r="A1758" t="str">
        <f>IF(AND(FORSIDE!$B$8&gt;=12,FORSIDE!$F$8&gt;=7,FORSIDE!$B$5&gt;=7),1757,"")</f>
        <v/>
      </c>
      <c r="B1758" t="str">
        <f>IF(AND(FORSIDE!$B$8&gt;=12,FORSIDE!$F$8&gt;=7,FORSIDE!$B$5&gt;=7),354+7*FORSIDE!$F$9,"")</f>
        <v/>
      </c>
      <c r="C1758" t="str">
        <f>IF(AND(FORSIDE!$B$8&gt;=12,FORSIDE!$F$8&gt;=7,FORSIDE!$B$5&gt;=7),12*FORSIDE!$B$9,"")</f>
        <v/>
      </c>
      <c r="D1758" t="str">
        <f>IF(AND(FORSIDE!$B$8&gt;=12,FORSIDE!$F$8&gt;=7,FORSIDE!$B$5&gt;=7),FORSIDE!$B$6+(7-1)*FORSIDE!$B$7,"")</f>
        <v/>
      </c>
    </row>
    <row r="1759" spans="1:4" x14ac:dyDescent="0.3">
      <c r="A1759" t="str">
        <f>IF(AND(FORSIDE!$B$8&gt;=12,FORSIDE!$F$8&gt;=7,FORSIDE!$B$5&gt;=8),1758,"")</f>
        <v/>
      </c>
      <c r="B1759" t="str">
        <f>IF(AND(FORSIDE!$B$8&gt;=12,FORSIDE!$F$8&gt;=7,FORSIDE!$B$5&gt;=8),354+7*FORSIDE!$F$9,"")</f>
        <v/>
      </c>
      <c r="C1759" t="str">
        <f>IF(AND(FORSIDE!$B$8&gt;=12,FORSIDE!$F$8&gt;=7,FORSIDE!$B$5&gt;=8),12*FORSIDE!$B$9,"")</f>
        <v/>
      </c>
      <c r="D1759" t="str">
        <f>IF(AND(FORSIDE!$B$8&gt;=12,FORSIDE!$F$8&gt;=7,FORSIDE!$B$5&gt;=8),FORSIDE!$B$6+(8-1)*FORSIDE!$B$7,"")</f>
        <v/>
      </c>
    </row>
    <row r="1760" spans="1:4" x14ac:dyDescent="0.3">
      <c r="A1760" t="str">
        <f>IF(AND(FORSIDE!$B$8&gt;=12,FORSIDE!$F$8&gt;=7,FORSIDE!$B$5&gt;=9),1759,"")</f>
        <v/>
      </c>
      <c r="B1760" t="str">
        <f>IF(AND(FORSIDE!$B$8&gt;=12,FORSIDE!$F$8&gt;=7,FORSIDE!$B$5&gt;=9),354+7*FORSIDE!$F$9,"")</f>
        <v/>
      </c>
      <c r="C1760" t="str">
        <f>IF(AND(FORSIDE!$B$8&gt;=12,FORSIDE!$F$8&gt;=7,FORSIDE!$B$5&gt;=9),12*FORSIDE!$B$9,"")</f>
        <v/>
      </c>
      <c r="D1760" t="str">
        <f>IF(AND(FORSIDE!$B$8&gt;=12,FORSIDE!$F$8&gt;=7,FORSIDE!$B$5&gt;=9),FORSIDE!$B$6+(9-1)*FORSIDE!$B$7,"")</f>
        <v/>
      </c>
    </row>
    <row r="1761" spans="1:4" x14ac:dyDescent="0.3">
      <c r="A1761" t="str">
        <f>IF(AND(FORSIDE!$B$8&gt;=12,FORSIDE!$F$8&gt;=7,FORSIDE!$B$5&gt;=10),1760,"")</f>
        <v/>
      </c>
      <c r="B1761" t="str">
        <f>IF(AND(FORSIDE!$B$8&gt;=12,FORSIDE!$F$8&gt;=7,FORSIDE!$B$5&gt;=10),354+7*FORSIDE!$F$9,"")</f>
        <v/>
      </c>
      <c r="C1761" t="str">
        <f>IF(AND(FORSIDE!$B$8&gt;=12,FORSIDE!$F$8&gt;=7,FORSIDE!$B$5&gt;=10),12*FORSIDE!$B$9,"")</f>
        <v/>
      </c>
      <c r="D1761" t="str">
        <f>IF(AND(FORSIDE!$B$8&gt;=12,FORSIDE!$F$8&gt;=7,FORSIDE!$B$5&gt;=10),FORSIDE!$B$6+(10-1)*FORSIDE!$B$7,"")</f>
        <v/>
      </c>
    </row>
    <row r="1762" spans="1:4" x14ac:dyDescent="0.3">
      <c r="A1762" t="str">
        <f>IF(AND(FORSIDE!$B$8&gt;=13,FORSIDE!$F$8&gt;=7,FORSIDE!$B$5&gt;=0),1761,"")</f>
        <v/>
      </c>
      <c r="B1762" t="str">
        <f>IF(AND(FORSIDE!$B$8&gt;=13,FORSIDE!$F$8&gt;=7,FORSIDE!$B$5&gt;=0),354+7*FORSIDE!$F$9,"")</f>
        <v/>
      </c>
      <c r="C1762" t="str">
        <f>IF(AND(FORSIDE!$B$8&gt;=13,FORSIDE!$F$8&gt;=7,FORSIDE!$B$5&gt;=0),13*FORSIDE!$B$9,"")</f>
        <v/>
      </c>
      <c r="D1762" t="str">
        <f>IF(AND(FORSIDE!$B$8&gt;=13,FORSIDE!$F$8&gt;=7,FORSIDE!$B$5&gt;=0),0,"")</f>
        <v/>
      </c>
    </row>
    <row r="1763" spans="1:4" x14ac:dyDescent="0.3">
      <c r="A1763" t="str">
        <f>IF(AND(FORSIDE!$B$8&gt;=13,FORSIDE!$F$8&gt;=7,FORSIDE!$B$5&gt;=1),1762,"")</f>
        <v/>
      </c>
      <c r="B1763" t="str">
        <f>IF(AND(FORSIDE!$B$8&gt;=13,FORSIDE!$F$8&gt;=7,FORSIDE!$B$5&gt;=1),354+7*FORSIDE!$F$9,"")</f>
        <v/>
      </c>
      <c r="C1763" t="str">
        <f>IF(AND(FORSIDE!$B$8&gt;=13,FORSIDE!$F$8&gt;=7,FORSIDE!$B$5&gt;=1),13*FORSIDE!$B$9,"")</f>
        <v/>
      </c>
      <c r="D1763" t="str">
        <f>IF(AND(FORSIDE!$B$8&gt;=13,FORSIDE!$F$8&gt;=7,FORSIDE!$B$5&gt;=1),FORSIDE!$B$6+(1-1)*FORSIDE!$B$7,"")</f>
        <v/>
      </c>
    </row>
    <row r="1764" spans="1:4" x14ac:dyDescent="0.3">
      <c r="A1764" t="str">
        <f>IF(AND(FORSIDE!$B$8&gt;=13,FORSIDE!$F$8&gt;=7,FORSIDE!$B$5&gt;=2),1763,"")</f>
        <v/>
      </c>
      <c r="B1764" t="str">
        <f>IF(AND(FORSIDE!$B$8&gt;=13,FORSIDE!$F$8&gt;=7,FORSIDE!$B$5&gt;=2),354+7*FORSIDE!$F$9,"")</f>
        <v/>
      </c>
      <c r="C1764" t="str">
        <f>IF(AND(FORSIDE!$B$8&gt;=13,FORSIDE!$F$8&gt;=7,FORSIDE!$B$5&gt;=2),13*FORSIDE!$B$9,"")</f>
        <v/>
      </c>
      <c r="D1764" t="str">
        <f>IF(AND(FORSIDE!$B$8&gt;=13,FORSIDE!$F$8&gt;=7,FORSIDE!$B$5&gt;=2),FORSIDE!$B$6+(2-1)*FORSIDE!$B$7,"")</f>
        <v/>
      </c>
    </row>
    <row r="1765" spans="1:4" x14ac:dyDescent="0.3">
      <c r="A1765" t="str">
        <f>IF(AND(FORSIDE!$B$8&gt;=13,FORSIDE!$F$8&gt;=7,FORSIDE!$B$5&gt;=3),1764,"")</f>
        <v/>
      </c>
      <c r="B1765" t="str">
        <f>IF(AND(FORSIDE!$B$8&gt;=13,FORSIDE!$F$8&gt;=7,FORSIDE!$B$5&gt;=3),354+7*FORSIDE!$F$9,"")</f>
        <v/>
      </c>
      <c r="C1765" t="str">
        <f>IF(AND(FORSIDE!$B$8&gt;=13,FORSIDE!$F$8&gt;=7,FORSIDE!$B$5&gt;=3),13*FORSIDE!$B$9,"")</f>
        <v/>
      </c>
      <c r="D1765" t="str">
        <f>IF(AND(FORSIDE!$B$8&gt;=13,FORSIDE!$F$8&gt;=7,FORSIDE!$B$5&gt;=3),FORSIDE!$B$6+(3-1)*FORSIDE!$B$7,"")</f>
        <v/>
      </c>
    </row>
    <row r="1766" spans="1:4" x14ac:dyDescent="0.3">
      <c r="A1766" t="str">
        <f>IF(AND(FORSIDE!$B$8&gt;=13,FORSIDE!$F$8&gt;=7,FORSIDE!$B$5&gt;=4),1765,"")</f>
        <v/>
      </c>
      <c r="B1766" t="str">
        <f>IF(AND(FORSIDE!$B$8&gt;=13,FORSIDE!$F$8&gt;=7,FORSIDE!$B$5&gt;=4),354+7*FORSIDE!$F$9,"")</f>
        <v/>
      </c>
      <c r="C1766" t="str">
        <f>IF(AND(FORSIDE!$B$8&gt;=13,FORSIDE!$F$8&gt;=7,FORSIDE!$B$5&gt;=4),13*FORSIDE!$B$9,"")</f>
        <v/>
      </c>
      <c r="D1766" t="str">
        <f>IF(AND(FORSIDE!$B$8&gt;=13,FORSIDE!$F$8&gt;=7,FORSIDE!$B$5&gt;=4),FORSIDE!$B$6+(4-1)*FORSIDE!$B$7,"")</f>
        <v/>
      </c>
    </row>
    <row r="1767" spans="1:4" x14ac:dyDescent="0.3">
      <c r="A1767" t="str">
        <f>IF(AND(FORSIDE!$B$8&gt;=13,FORSIDE!$F$8&gt;=7,FORSIDE!$B$5&gt;=5),1766,"")</f>
        <v/>
      </c>
      <c r="B1767" t="str">
        <f>IF(AND(FORSIDE!$B$8&gt;=13,FORSIDE!$F$8&gt;=7,FORSIDE!$B$5&gt;=5),354+7*FORSIDE!$F$9,"")</f>
        <v/>
      </c>
      <c r="C1767" t="str">
        <f>IF(AND(FORSIDE!$B$8&gt;=13,FORSIDE!$F$8&gt;=7,FORSIDE!$B$5&gt;=5),13*FORSIDE!$B$9,"")</f>
        <v/>
      </c>
      <c r="D1767" t="str">
        <f>IF(AND(FORSIDE!$B$8&gt;=13,FORSIDE!$F$8&gt;=7,FORSIDE!$B$5&gt;=5),FORSIDE!$B$6+(5-1)*FORSIDE!$B$7,"")</f>
        <v/>
      </c>
    </row>
    <row r="1768" spans="1:4" x14ac:dyDescent="0.3">
      <c r="A1768" t="str">
        <f>IF(AND(FORSIDE!$B$8&gt;=13,FORSIDE!$F$8&gt;=7,FORSIDE!$B$5&gt;=6),1767,"")</f>
        <v/>
      </c>
      <c r="B1768" t="str">
        <f>IF(AND(FORSIDE!$B$8&gt;=13,FORSIDE!$F$8&gt;=7,FORSIDE!$B$5&gt;=6),354+7*FORSIDE!$F$9,"")</f>
        <v/>
      </c>
      <c r="C1768" t="str">
        <f>IF(AND(FORSIDE!$B$8&gt;=13,FORSIDE!$F$8&gt;=7,FORSIDE!$B$5&gt;=6),13*FORSIDE!$B$9,"")</f>
        <v/>
      </c>
      <c r="D1768" t="str">
        <f>IF(AND(FORSIDE!$B$8&gt;=13,FORSIDE!$F$8&gt;=7,FORSIDE!$B$5&gt;=6),FORSIDE!$B$6+(6-1)*FORSIDE!$B$7,"")</f>
        <v/>
      </c>
    </row>
    <row r="1769" spans="1:4" x14ac:dyDescent="0.3">
      <c r="A1769" t="str">
        <f>IF(AND(FORSIDE!$B$8&gt;=13,FORSIDE!$F$8&gt;=7,FORSIDE!$B$5&gt;=7),1768,"")</f>
        <v/>
      </c>
      <c r="B1769" t="str">
        <f>IF(AND(FORSIDE!$B$8&gt;=13,FORSIDE!$F$8&gt;=7,FORSIDE!$B$5&gt;=7),354+7*FORSIDE!$F$9,"")</f>
        <v/>
      </c>
      <c r="C1769" t="str">
        <f>IF(AND(FORSIDE!$B$8&gt;=13,FORSIDE!$F$8&gt;=7,FORSIDE!$B$5&gt;=7),13*FORSIDE!$B$9,"")</f>
        <v/>
      </c>
      <c r="D1769" t="str">
        <f>IF(AND(FORSIDE!$B$8&gt;=13,FORSIDE!$F$8&gt;=7,FORSIDE!$B$5&gt;=7),FORSIDE!$B$6+(7-1)*FORSIDE!$B$7,"")</f>
        <v/>
      </c>
    </row>
    <row r="1770" spans="1:4" x14ac:dyDescent="0.3">
      <c r="A1770" t="str">
        <f>IF(AND(FORSIDE!$B$8&gt;=13,FORSIDE!$F$8&gt;=7,FORSIDE!$B$5&gt;=8),1769,"")</f>
        <v/>
      </c>
      <c r="B1770" t="str">
        <f>IF(AND(FORSIDE!$B$8&gt;=13,FORSIDE!$F$8&gt;=7,FORSIDE!$B$5&gt;=8),354+7*FORSIDE!$F$9,"")</f>
        <v/>
      </c>
      <c r="C1770" t="str">
        <f>IF(AND(FORSIDE!$B$8&gt;=13,FORSIDE!$F$8&gt;=7,FORSIDE!$B$5&gt;=8),13*FORSIDE!$B$9,"")</f>
        <v/>
      </c>
      <c r="D1770" t="str">
        <f>IF(AND(FORSIDE!$B$8&gt;=13,FORSIDE!$F$8&gt;=7,FORSIDE!$B$5&gt;=8),FORSIDE!$B$6+(8-1)*FORSIDE!$B$7,"")</f>
        <v/>
      </c>
    </row>
    <row r="1771" spans="1:4" x14ac:dyDescent="0.3">
      <c r="A1771" t="str">
        <f>IF(AND(FORSIDE!$B$8&gt;=13,FORSIDE!$F$8&gt;=7,FORSIDE!$B$5&gt;=9),1770,"")</f>
        <v/>
      </c>
      <c r="B1771" t="str">
        <f>IF(AND(FORSIDE!$B$8&gt;=13,FORSIDE!$F$8&gt;=7,FORSIDE!$B$5&gt;=9),354+7*FORSIDE!$F$9,"")</f>
        <v/>
      </c>
      <c r="C1771" t="str">
        <f>IF(AND(FORSIDE!$B$8&gt;=13,FORSIDE!$F$8&gt;=7,FORSIDE!$B$5&gt;=9),13*FORSIDE!$B$9,"")</f>
        <v/>
      </c>
      <c r="D1771" t="str">
        <f>IF(AND(FORSIDE!$B$8&gt;=13,FORSIDE!$F$8&gt;=7,FORSIDE!$B$5&gt;=9),FORSIDE!$B$6+(9-1)*FORSIDE!$B$7,"")</f>
        <v/>
      </c>
    </row>
    <row r="1772" spans="1:4" x14ac:dyDescent="0.3">
      <c r="A1772" t="str">
        <f>IF(AND(FORSIDE!$B$8&gt;=13,FORSIDE!$F$8&gt;=7,FORSIDE!$B$5&gt;=10),1771,"")</f>
        <v/>
      </c>
      <c r="B1772" t="str">
        <f>IF(AND(FORSIDE!$B$8&gt;=13,FORSIDE!$F$8&gt;=7,FORSIDE!$B$5&gt;=10),354+7*FORSIDE!$F$9,"")</f>
        <v/>
      </c>
      <c r="C1772" t="str">
        <f>IF(AND(FORSIDE!$B$8&gt;=13,FORSIDE!$F$8&gt;=7,FORSIDE!$B$5&gt;=10),13*FORSIDE!$B$9,"")</f>
        <v/>
      </c>
      <c r="D1772" t="str">
        <f>IF(AND(FORSIDE!$B$8&gt;=13,FORSIDE!$F$8&gt;=7,FORSIDE!$B$5&gt;=10),FORSIDE!$B$6+(10-1)*FORSIDE!$B$7,"")</f>
        <v/>
      </c>
    </row>
    <row r="1773" spans="1:4" x14ac:dyDescent="0.3">
      <c r="A1773" t="str">
        <f>IF(AND(FORSIDE!$B$8&gt;=14,FORSIDE!$F$8&gt;=7,FORSIDE!$B$5&gt;=0),1772,"")</f>
        <v/>
      </c>
      <c r="B1773" t="str">
        <f>IF(AND(FORSIDE!$B$8&gt;=14,FORSIDE!$F$8&gt;=7,FORSIDE!$B$5&gt;=0),354+7*FORSIDE!$F$9,"")</f>
        <v/>
      </c>
      <c r="C1773" t="str">
        <f>IF(AND(FORSIDE!$B$8&gt;=14,FORSIDE!$F$8&gt;=7,FORSIDE!$B$5&gt;=0),14*FORSIDE!$B$9,"")</f>
        <v/>
      </c>
      <c r="D1773" t="str">
        <f>IF(AND(FORSIDE!$B$8&gt;=14,FORSIDE!$F$8&gt;=7,FORSIDE!$B$5&gt;=0),0,"")</f>
        <v/>
      </c>
    </row>
    <row r="1774" spans="1:4" x14ac:dyDescent="0.3">
      <c r="A1774" t="str">
        <f>IF(AND(FORSIDE!$B$8&gt;=14,FORSIDE!$F$8&gt;=7,FORSIDE!$B$5&gt;=1),1773,"")</f>
        <v/>
      </c>
      <c r="B1774" t="str">
        <f>IF(AND(FORSIDE!$B$8&gt;=14,FORSIDE!$F$8&gt;=7,FORSIDE!$B$5&gt;=1),354+7*FORSIDE!$F$9,"")</f>
        <v/>
      </c>
      <c r="C1774" t="str">
        <f>IF(AND(FORSIDE!$B$8&gt;=14,FORSIDE!$F$8&gt;=7,FORSIDE!$B$5&gt;=1),14*FORSIDE!$B$9,"")</f>
        <v/>
      </c>
      <c r="D1774" t="str">
        <f>IF(AND(FORSIDE!$B$8&gt;=14,FORSIDE!$F$8&gt;=7,FORSIDE!$B$5&gt;=1),FORSIDE!$B$6+(1-1)*FORSIDE!$B$7,"")</f>
        <v/>
      </c>
    </row>
    <row r="1775" spans="1:4" x14ac:dyDescent="0.3">
      <c r="A1775" t="str">
        <f>IF(AND(FORSIDE!$B$8&gt;=14,FORSIDE!$F$8&gt;=7,FORSIDE!$B$5&gt;=2),1774,"")</f>
        <v/>
      </c>
      <c r="B1775" t="str">
        <f>IF(AND(FORSIDE!$B$8&gt;=14,FORSIDE!$F$8&gt;=7,FORSIDE!$B$5&gt;=2),354+7*FORSIDE!$F$9,"")</f>
        <v/>
      </c>
      <c r="C1775" t="str">
        <f>IF(AND(FORSIDE!$B$8&gt;=14,FORSIDE!$F$8&gt;=7,FORSIDE!$B$5&gt;=2),14*FORSIDE!$B$9,"")</f>
        <v/>
      </c>
      <c r="D1775" t="str">
        <f>IF(AND(FORSIDE!$B$8&gt;=14,FORSIDE!$F$8&gt;=7,FORSIDE!$B$5&gt;=2),FORSIDE!$B$6+(2-1)*FORSIDE!$B$7,"")</f>
        <v/>
      </c>
    </row>
    <row r="1776" spans="1:4" x14ac:dyDescent="0.3">
      <c r="A1776" t="str">
        <f>IF(AND(FORSIDE!$B$8&gt;=14,FORSIDE!$F$8&gt;=7,FORSIDE!$B$5&gt;=3),1775,"")</f>
        <v/>
      </c>
      <c r="B1776" t="str">
        <f>IF(AND(FORSIDE!$B$8&gt;=14,FORSIDE!$F$8&gt;=7,FORSIDE!$B$5&gt;=3),354+7*FORSIDE!$F$9,"")</f>
        <v/>
      </c>
      <c r="C1776" t="str">
        <f>IF(AND(FORSIDE!$B$8&gt;=14,FORSIDE!$F$8&gt;=7,FORSIDE!$B$5&gt;=3),14*FORSIDE!$B$9,"")</f>
        <v/>
      </c>
      <c r="D1776" t="str">
        <f>IF(AND(FORSIDE!$B$8&gt;=14,FORSIDE!$F$8&gt;=7,FORSIDE!$B$5&gt;=3),FORSIDE!$B$6+(3-1)*FORSIDE!$B$7,"")</f>
        <v/>
      </c>
    </row>
    <row r="1777" spans="1:4" x14ac:dyDescent="0.3">
      <c r="A1777" t="str">
        <f>IF(AND(FORSIDE!$B$8&gt;=14,FORSIDE!$F$8&gt;=7,FORSIDE!$B$5&gt;=4),1776,"")</f>
        <v/>
      </c>
      <c r="B1777" t="str">
        <f>IF(AND(FORSIDE!$B$8&gt;=14,FORSIDE!$F$8&gt;=7,FORSIDE!$B$5&gt;=4),354+7*FORSIDE!$F$9,"")</f>
        <v/>
      </c>
      <c r="C1777" t="str">
        <f>IF(AND(FORSIDE!$B$8&gt;=14,FORSIDE!$F$8&gt;=7,FORSIDE!$B$5&gt;=4),14*FORSIDE!$B$9,"")</f>
        <v/>
      </c>
      <c r="D1777" t="str">
        <f>IF(AND(FORSIDE!$B$8&gt;=14,FORSIDE!$F$8&gt;=7,FORSIDE!$B$5&gt;=4),FORSIDE!$B$6+(4-1)*FORSIDE!$B$7,"")</f>
        <v/>
      </c>
    </row>
    <row r="1778" spans="1:4" x14ac:dyDescent="0.3">
      <c r="A1778" t="str">
        <f>IF(AND(FORSIDE!$B$8&gt;=14,FORSIDE!$F$8&gt;=7,FORSIDE!$B$5&gt;=5),1777,"")</f>
        <v/>
      </c>
      <c r="B1778" t="str">
        <f>IF(AND(FORSIDE!$B$8&gt;=14,FORSIDE!$F$8&gt;=7,FORSIDE!$B$5&gt;=5),354+7*FORSIDE!$F$9,"")</f>
        <v/>
      </c>
      <c r="C1778" t="str">
        <f>IF(AND(FORSIDE!$B$8&gt;=14,FORSIDE!$F$8&gt;=7,FORSIDE!$B$5&gt;=5),14*FORSIDE!$B$9,"")</f>
        <v/>
      </c>
      <c r="D1778" t="str">
        <f>IF(AND(FORSIDE!$B$8&gt;=14,FORSIDE!$F$8&gt;=7,FORSIDE!$B$5&gt;=5),FORSIDE!$B$6+(5-1)*FORSIDE!$B$7,"")</f>
        <v/>
      </c>
    </row>
    <row r="1779" spans="1:4" x14ac:dyDescent="0.3">
      <c r="A1779" t="str">
        <f>IF(AND(FORSIDE!$B$8&gt;=14,FORSIDE!$F$8&gt;=7,FORSIDE!$B$5&gt;=6),1778,"")</f>
        <v/>
      </c>
      <c r="B1779" t="str">
        <f>IF(AND(FORSIDE!$B$8&gt;=14,FORSIDE!$F$8&gt;=7,FORSIDE!$B$5&gt;=6),354+7*FORSIDE!$F$9,"")</f>
        <v/>
      </c>
      <c r="C1779" t="str">
        <f>IF(AND(FORSIDE!$B$8&gt;=14,FORSIDE!$F$8&gt;=7,FORSIDE!$B$5&gt;=6),14*FORSIDE!$B$9,"")</f>
        <v/>
      </c>
      <c r="D1779" t="str">
        <f>IF(AND(FORSIDE!$B$8&gt;=14,FORSIDE!$F$8&gt;=7,FORSIDE!$B$5&gt;=6),FORSIDE!$B$6+(6-1)*FORSIDE!$B$7,"")</f>
        <v/>
      </c>
    </row>
    <row r="1780" spans="1:4" x14ac:dyDescent="0.3">
      <c r="A1780" t="str">
        <f>IF(AND(FORSIDE!$B$8&gt;=14,FORSIDE!$F$8&gt;=7,FORSIDE!$B$5&gt;=7),1779,"")</f>
        <v/>
      </c>
      <c r="B1780" t="str">
        <f>IF(AND(FORSIDE!$B$8&gt;=14,FORSIDE!$F$8&gt;=7,FORSIDE!$B$5&gt;=7),354+7*FORSIDE!$F$9,"")</f>
        <v/>
      </c>
      <c r="C1780" t="str">
        <f>IF(AND(FORSIDE!$B$8&gt;=14,FORSIDE!$F$8&gt;=7,FORSIDE!$B$5&gt;=7),14*FORSIDE!$B$9,"")</f>
        <v/>
      </c>
      <c r="D1780" t="str">
        <f>IF(AND(FORSIDE!$B$8&gt;=14,FORSIDE!$F$8&gt;=7,FORSIDE!$B$5&gt;=7),FORSIDE!$B$6+(7-1)*FORSIDE!$B$7,"")</f>
        <v/>
      </c>
    </row>
    <row r="1781" spans="1:4" x14ac:dyDescent="0.3">
      <c r="A1781" t="str">
        <f>IF(AND(FORSIDE!$B$8&gt;=14,FORSIDE!$F$8&gt;=7,FORSIDE!$B$5&gt;=8),1780,"")</f>
        <v/>
      </c>
      <c r="B1781" t="str">
        <f>IF(AND(FORSIDE!$B$8&gt;=14,FORSIDE!$F$8&gt;=7,FORSIDE!$B$5&gt;=8),354+7*FORSIDE!$F$9,"")</f>
        <v/>
      </c>
      <c r="C1781" t="str">
        <f>IF(AND(FORSIDE!$B$8&gt;=14,FORSIDE!$F$8&gt;=7,FORSIDE!$B$5&gt;=8),14*FORSIDE!$B$9,"")</f>
        <v/>
      </c>
      <c r="D1781" t="str">
        <f>IF(AND(FORSIDE!$B$8&gt;=14,FORSIDE!$F$8&gt;=7,FORSIDE!$B$5&gt;=8),FORSIDE!$B$6+(8-1)*FORSIDE!$B$7,"")</f>
        <v/>
      </c>
    </row>
    <row r="1782" spans="1:4" x14ac:dyDescent="0.3">
      <c r="A1782" t="str">
        <f>IF(AND(FORSIDE!$B$8&gt;=14,FORSIDE!$F$8&gt;=7,FORSIDE!$B$5&gt;=9),1781,"")</f>
        <v/>
      </c>
      <c r="B1782" t="str">
        <f>IF(AND(FORSIDE!$B$8&gt;=14,FORSIDE!$F$8&gt;=7,FORSIDE!$B$5&gt;=9),354+7*FORSIDE!$F$9,"")</f>
        <v/>
      </c>
      <c r="C1782" t="str">
        <f>IF(AND(FORSIDE!$B$8&gt;=14,FORSIDE!$F$8&gt;=7,FORSIDE!$B$5&gt;=9),14*FORSIDE!$B$9,"")</f>
        <v/>
      </c>
      <c r="D1782" t="str">
        <f>IF(AND(FORSIDE!$B$8&gt;=14,FORSIDE!$F$8&gt;=7,FORSIDE!$B$5&gt;=9),FORSIDE!$B$6+(9-1)*FORSIDE!$B$7,"")</f>
        <v/>
      </c>
    </row>
    <row r="1783" spans="1:4" x14ac:dyDescent="0.3">
      <c r="A1783" t="str">
        <f>IF(AND(FORSIDE!$B$8&gt;=14,FORSIDE!$F$8&gt;=7,FORSIDE!$B$5&gt;=10),1782,"")</f>
        <v/>
      </c>
      <c r="B1783" t="str">
        <f>IF(AND(FORSIDE!$B$8&gt;=14,FORSIDE!$F$8&gt;=7,FORSIDE!$B$5&gt;=10),354+7*FORSIDE!$F$9,"")</f>
        <v/>
      </c>
      <c r="C1783" t="str">
        <f>IF(AND(FORSIDE!$B$8&gt;=14,FORSIDE!$F$8&gt;=7,FORSIDE!$B$5&gt;=10),14*FORSIDE!$B$9,"")</f>
        <v/>
      </c>
      <c r="D1783" t="str">
        <f>IF(AND(FORSIDE!$B$8&gt;=14,FORSIDE!$F$8&gt;=7,FORSIDE!$B$5&gt;=10),FORSIDE!$B$6+(10-1)*FORSIDE!$B$7,"")</f>
        <v/>
      </c>
    </row>
    <row r="1784" spans="1:4" x14ac:dyDescent="0.3">
      <c r="A1784" t="str">
        <f>IF(AND(FORSIDE!$B$8&gt;=15,FORSIDE!$F$8&gt;=7,FORSIDE!$B$5&gt;=0),1783,"")</f>
        <v/>
      </c>
      <c r="B1784" t="str">
        <f>IF(AND(FORSIDE!$B$8&gt;=15,FORSIDE!$F$8&gt;=7,FORSIDE!$B$5&gt;=0),354+7*FORSIDE!$F$9,"")</f>
        <v/>
      </c>
      <c r="C1784" t="str">
        <f>IF(AND(FORSIDE!$B$8&gt;=15,FORSIDE!$F$8&gt;=7,FORSIDE!$B$5&gt;=0),15*FORSIDE!$B$9,"")</f>
        <v/>
      </c>
      <c r="D1784" t="str">
        <f>IF(AND(FORSIDE!$B$8&gt;=15,FORSIDE!$F$8&gt;=7,FORSIDE!$B$5&gt;=0),0,"")</f>
        <v/>
      </c>
    </row>
    <row r="1785" spans="1:4" x14ac:dyDescent="0.3">
      <c r="A1785" t="str">
        <f>IF(AND(FORSIDE!$B$8&gt;=15,FORSIDE!$F$8&gt;=7,FORSIDE!$B$5&gt;=1),1784,"")</f>
        <v/>
      </c>
      <c r="B1785" t="str">
        <f>IF(AND(FORSIDE!$B$8&gt;=15,FORSIDE!$F$8&gt;=7,FORSIDE!$B$5&gt;=1),354+7*FORSIDE!$F$9,"")</f>
        <v/>
      </c>
      <c r="C1785" t="str">
        <f>IF(AND(FORSIDE!$B$8&gt;=15,FORSIDE!$F$8&gt;=7,FORSIDE!$B$5&gt;=1),15*FORSIDE!$B$9,"")</f>
        <v/>
      </c>
      <c r="D1785" t="str">
        <f>IF(AND(FORSIDE!$B$8&gt;=15,FORSIDE!$F$8&gt;=7,FORSIDE!$B$5&gt;=1),FORSIDE!$B$6+(1-1)*FORSIDE!$B$7,"")</f>
        <v/>
      </c>
    </row>
    <row r="1786" spans="1:4" x14ac:dyDescent="0.3">
      <c r="A1786" t="str">
        <f>IF(AND(FORSIDE!$B$8&gt;=15,FORSIDE!$F$8&gt;=7,FORSIDE!$B$5&gt;=2),1785,"")</f>
        <v/>
      </c>
      <c r="B1786" t="str">
        <f>IF(AND(FORSIDE!$B$8&gt;=15,FORSIDE!$F$8&gt;=7,FORSIDE!$B$5&gt;=2),354+7*FORSIDE!$F$9,"")</f>
        <v/>
      </c>
      <c r="C1786" t="str">
        <f>IF(AND(FORSIDE!$B$8&gt;=15,FORSIDE!$F$8&gt;=7,FORSIDE!$B$5&gt;=2),15*FORSIDE!$B$9,"")</f>
        <v/>
      </c>
      <c r="D1786" t="str">
        <f>IF(AND(FORSIDE!$B$8&gt;=15,FORSIDE!$F$8&gt;=7,FORSIDE!$B$5&gt;=2),FORSIDE!$B$6+(2-1)*FORSIDE!$B$7,"")</f>
        <v/>
      </c>
    </row>
    <row r="1787" spans="1:4" x14ac:dyDescent="0.3">
      <c r="A1787" t="str">
        <f>IF(AND(FORSIDE!$B$8&gt;=15,FORSIDE!$F$8&gt;=7,FORSIDE!$B$5&gt;=3),1786,"")</f>
        <v/>
      </c>
      <c r="B1787" t="str">
        <f>IF(AND(FORSIDE!$B$8&gt;=15,FORSIDE!$F$8&gt;=7,FORSIDE!$B$5&gt;=3),354+7*FORSIDE!$F$9,"")</f>
        <v/>
      </c>
      <c r="C1787" t="str">
        <f>IF(AND(FORSIDE!$B$8&gt;=15,FORSIDE!$F$8&gt;=7,FORSIDE!$B$5&gt;=3),15*FORSIDE!$B$9,"")</f>
        <v/>
      </c>
      <c r="D1787" t="str">
        <f>IF(AND(FORSIDE!$B$8&gt;=15,FORSIDE!$F$8&gt;=7,FORSIDE!$B$5&gt;=3),FORSIDE!$B$6+(3-1)*FORSIDE!$B$7,"")</f>
        <v/>
      </c>
    </row>
    <row r="1788" spans="1:4" x14ac:dyDescent="0.3">
      <c r="A1788" t="str">
        <f>IF(AND(FORSIDE!$B$8&gt;=15,FORSIDE!$F$8&gt;=7,FORSIDE!$B$5&gt;=4),1787,"")</f>
        <v/>
      </c>
      <c r="B1788" t="str">
        <f>IF(AND(FORSIDE!$B$8&gt;=15,FORSIDE!$F$8&gt;=7,FORSIDE!$B$5&gt;=4),354+7*FORSIDE!$F$9,"")</f>
        <v/>
      </c>
      <c r="C1788" t="str">
        <f>IF(AND(FORSIDE!$B$8&gt;=15,FORSIDE!$F$8&gt;=7,FORSIDE!$B$5&gt;=4),15*FORSIDE!$B$9,"")</f>
        <v/>
      </c>
      <c r="D1788" t="str">
        <f>IF(AND(FORSIDE!$B$8&gt;=15,FORSIDE!$F$8&gt;=7,FORSIDE!$B$5&gt;=4),FORSIDE!$B$6+(4-1)*FORSIDE!$B$7,"")</f>
        <v/>
      </c>
    </row>
    <row r="1789" spans="1:4" x14ac:dyDescent="0.3">
      <c r="A1789" t="str">
        <f>IF(AND(FORSIDE!$B$8&gt;=15,FORSIDE!$F$8&gt;=7,FORSIDE!$B$5&gt;=5),1788,"")</f>
        <v/>
      </c>
      <c r="B1789" t="str">
        <f>IF(AND(FORSIDE!$B$8&gt;=15,FORSIDE!$F$8&gt;=7,FORSIDE!$B$5&gt;=5),354+7*FORSIDE!$F$9,"")</f>
        <v/>
      </c>
      <c r="C1789" t="str">
        <f>IF(AND(FORSIDE!$B$8&gt;=15,FORSIDE!$F$8&gt;=7,FORSIDE!$B$5&gt;=5),15*FORSIDE!$B$9,"")</f>
        <v/>
      </c>
      <c r="D1789" t="str">
        <f>IF(AND(FORSIDE!$B$8&gt;=15,FORSIDE!$F$8&gt;=7,FORSIDE!$B$5&gt;=5),FORSIDE!$B$6+(5-1)*FORSIDE!$B$7,"")</f>
        <v/>
      </c>
    </row>
    <row r="1790" spans="1:4" x14ac:dyDescent="0.3">
      <c r="A1790" t="str">
        <f>IF(AND(FORSIDE!$B$8&gt;=15,FORSIDE!$F$8&gt;=7,FORSIDE!$B$5&gt;=6),1789,"")</f>
        <v/>
      </c>
      <c r="B1790" t="str">
        <f>IF(AND(FORSIDE!$B$8&gt;=15,FORSIDE!$F$8&gt;=7,FORSIDE!$B$5&gt;=6),354+7*FORSIDE!$F$9,"")</f>
        <v/>
      </c>
      <c r="C1790" t="str">
        <f>IF(AND(FORSIDE!$B$8&gt;=15,FORSIDE!$F$8&gt;=7,FORSIDE!$B$5&gt;=6),15*FORSIDE!$B$9,"")</f>
        <v/>
      </c>
      <c r="D1790" t="str">
        <f>IF(AND(FORSIDE!$B$8&gt;=15,FORSIDE!$F$8&gt;=7,FORSIDE!$B$5&gt;=6),FORSIDE!$B$6+(6-1)*FORSIDE!$B$7,"")</f>
        <v/>
      </c>
    </row>
    <row r="1791" spans="1:4" x14ac:dyDescent="0.3">
      <c r="A1791" t="str">
        <f>IF(AND(FORSIDE!$B$8&gt;=15,FORSIDE!$F$8&gt;=7,FORSIDE!$B$5&gt;=7),1790,"")</f>
        <v/>
      </c>
      <c r="B1791" t="str">
        <f>IF(AND(FORSIDE!$B$8&gt;=15,FORSIDE!$F$8&gt;=7,FORSIDE!$B$5&gt;=7),354+7*FORSIDE!$F$9,"")</f>
        <v/>
      </c>
      <c r="C1791" t="str">
        <f>IF(AND(FORSIDE!$B$8&gt;=15,FORSIDE!$F$8&gt;=7,FORSIDE!$B$5&gt;=7),15*FORSIDE!$B$9,"")</f>
        <v/>
      </c>
      <c r="D1791" t="str">
        <f>IF(AND(FORSIDE!$B$8&gt;=15,FORSIDE!$F$8&gt;=7,FORSIDE!$B$5&gt;=7),FORSIDE!$B$6+(7-1)*FORSIDE!$B$7,"")</f>
        <v/>
      </c>
    </row>
    <row r="1792" spans="1:4" x14ac:dyDescent="0.3">
      <c r="A1792" t="str">
        <f>IF(AND(FORSIDE!$B$8&gt;=15,FORSIDE!$F$8&gt;=7,FORSIDE!$B$5&gt;=8),1791,"")</f>
        <v/>
      </c>
      <c r="B1792" t="str">
        <f>IF(AND(FORSIDE!$B$8&gt;=15,FORSIDE!$F$8&gt;=7,FORSIDE!$B$5&gt;=8),354+7*FORSIDE!$F$9,"")</f>
        <v/>
      </c>
      <c r="C1792" t="str">
        <f>IF(AND(FORSIDE!$B$8&gt;=15,FORSIDE!$F$8&gt;=7,FORSIDE!$B$5&gt;=8),15*FORSIDE!$B$9,"")</f>
        <v/>
      </c>
      <c r="D1792" t="str">
        <f>IF(AND(FORSIDE!$B$8&gt;=15,FORSIDE!$F$8&gt;=7,FORSIDE!$B$5&gt;=8),FORSIDE!$B$6+(8-1)*FORSIDE!$B$7,"")</f>
        <v/>
      </c>
    </row>
    <row r="1793" spans="1:4" x14ac:dyDescent="0.3">
      <c r="A1793" t="str">
        <f>IF(AND(FORSIDE!$B$8&gt;=15,FORSIDE!$F$8&gt;=7,FORSIDE!$B$5&gt;=9),1792,"")</f>
        <v/>
      </c>
      <c r="B1793" t="str">
        <f>IF(AND(FORSIDE!$B$8&gt;=15,FORSIDE!$F$8&gt;=7,FORSIDE!$B$5&gt;=9),354+7*FORSIDE!$F$9,"")</f>
        <v/>
      </c>
      <c r="C1793" t="str">
        <f>IF(AND(FORSIDE!$B$8&gt;=15,FORSIDE!$F$8&gt;=7,FORSIDE!$B$5&gt;=9),15*FORSIDE!$B$9,"")</f>
        <v/>
      </c>
      <c r="D1793" t="str">
        <f>IF(AND(FORSIDE!$B$8&gt;=15,FORSIDE!$F$8&gt;=7,FORSIDE!$B$5&gt;=9),FORSIDE!$B$6+(9-1)*FORSIDE!$B$7,"")</f>
        <v/>
      </c>
    </row>
    <row r="1794" spans="1:4" x14ac:dyDescent="0.3">
      <c r="A1794" t="str">
        <f>IF(AND(FORSIDE!$B$8&gt;=15,FORSIDE!$F$8&gt;=7,FORSIDE!$B$5&gt;=10),1793,"")</f>
        <v/>
      </c>
      <c r="B1794" t="str">
        <f>IF(AND(FORSIDE!$B$8&gt;=15,FORSIDE!$F$8&gt;=7,FORSIDE!$B$5&gt;=10),354+7*FORSIDE!$F$9,"")</f>
        <v/>
      </c>
      <c r="C1794" t="str">
        <f>IF(AND(FORSIDE!$B$8&gt;=15,FORSIDE!$F$8&gt;=7,FORSIDE!$B$5&gt;=10),15*FORSIDE!$B$9,"")</f>
        <v/>
      </c>
      <c r="D1794" t="str">
        <f>IF(AND(FORSIDE!$B$8&gt;=15,FORSIDE!$F$8&gt;=7,FORSIDE!$B$5&gt;=10),FORSIDE!$B$6+(10-1)*FORSIDE!$B$7,"")</f>
        <v/>
      </c>
    </row>
    <row r="1795" spans="1:4" x14ac:dyDescent="0.3">
      <c r="A1795" t="str">
        <f>IF(AND(FORSIDE!$B$8&gt;=16,FORSIDE!$F$8&gt;=7,FORSIDE!$B$5&gt;=0),1794,"")</f>
        <v/>
      </c>
      <c r="B1795" t="str">
        <f>IF(AND(FORSIDE!$B$8&gt;=16,FORSIDE!$F$8&gt;=7,FORSIDE!$B$5&gt;=0),354+7*FORSIDE!$F$9,"")</f>
        <v/>
      </c>
      <c r="C1795" t="str">
        <f>IF(AND(FORSIDE!$B$8&gt;=16,FORSIDE!$F$8&gt;=7,FORSIDE!$B$5&gt;=0),16*FORSIDE!$B$9,"")</f>
        <v/>
      </c>
      <c r="D1795" t="str">
        <f>IF(AND(FORSIDE!$B$8&gt;=16,FORSIDE!$F$8&gt;=7,FORSIDE!$B$5&gt;=0),0,"")</f>
        <v/>
      </c>
    </row>
    <row r="1796" spans="1:4" x14ac:dyDescent="0.3">
      <c r="A1796" t="str">
        <f>IF(AND(FORSIDE!$B$8&gt;=16,FORSIDE!$F$8&gt;=7,FORSIDE!$B$5&gt;=1),1795,"")</f>
        <v/>
      </c>
      <c r="B1796" t="str">
        <f>IF(AND(FORSIDE!$B$8&gt;=16,FORSIDE!$F$8&gt;=7,FORSIDE!$B$5&gt;=1),354+7*FORSIDE!$F$9,"")</f>
        <v/>
      </c>
      <c r="C1796" t="str">
        <f>IF(AND(FORSIDE!$B$8&gt;=16,FORSIDE!$F$8&gt;=7,FORSIDE!$B$5&gt;=1),16*FORSIDE!$B$9,"")</f>
        <v/>
      </c>
      <c r="D1796" t="str">
        <f>IF(AND(FORSIDE!$B$8&gt;=16,FORSIDE!$F$8&gt;=7,FORSIDE!$B$5&gt;=1),FORSIDE!$B$6+(1-1)*FORSIDE!$B$7,"")</f>
        <v/>
      </c>
    </row>
    <row r="1797" spans="1:4" x14ac:dyDescent="0.3">
      <c r="A1797" t="str">
        <f>IF(AND(FORSIDE!$B$8&gt;=16,FORSIDE!$F$8&gt;=7,FORSIDE!$B$5&gt;=2),1796,"")</f>
        <v/>
      </c>
      <c r="B1797" t="str">
        <f>IF(AND(FORSIDE!$B$8&gt;=16,FORSIDE!$F$8&gt;=7,FORSIDE!$B$5&gt;=2),354+7*FORSIDE!$F$9,"")</f>
        <v/>
      </c>
      <c r="C1797" t="str">
        <f>IF(AND(FORSIDE!$B$8&gt;=16,FORSIDE!$F$8&gt;=7,FORSIDE!$B$5&gt;=2),16*FORSIDE!$B$9,"")</f>
        <v/>
      </c>
      <c r="D1797" t="str">
        <f>IF(AND(FORSIDE!$B$8&gt;=16,FORSIDE!$F$8&gt;=7,FORSIDE!$B$5&gt;=2),FORSIDE!$B$6+(2-1)*FORSIDE!$B$7,"")</f>
        <v/>
      </c>
    </row>
    <row r="1798" spans="1:4" x14ac:dyDescent="0.3">
      <c r="A1798" t="str">
        <f>IF(AND(FORSIDE!$B$8&gt;=16,FORSIDE!$F$8&gt;=7,FORSIDE!$B$5&gt;=3),1797,"")</f>
        <v/>
      </c>
      <c r="B1798" t="str">
        <f>IF(AND(FORSIDE!$B$8&gt;=16,FORSIDE!$F$8&gt;=7,FORSIDE!$B$5&gt;=3),354+7*FORSIDE!$F$9,"")</f>
        <v/>
      </c>
      <c r="C1798" t="str">
        <f>IF(AND(FORSIDE!$B$8&gt;=16,FORSIDE!$F$8&gt;=7,FORSIDE!$B$5&gt;=3),16*FORSIDE!$B$9,"")</f>
        <v/>
      </c>
      <c r="D1798" t="str">
        <f>IF(AND(FORSIDE!$B$8&gt;=16,FORSIDE!$F$8&gt;=7,FORSIDE!$B$5&gt;=3),FORSIDE!$B$6+(3-1)*FORSIDE!$B$7,"")</f>
        <v/>
      </c>
    </row>
    <row r="1799" spans="1:4" x14ac:dyDescent="0.3">
      <c r="A1799" t="str">
        <f>IF(AND(FORSIDE!$B$8&gt;=16,FORSIDE!$F$8&gt;=7,FORSIDE!$B$5&gt;=4),1798,"")</f>
        <v/>
      </c>
      <c r="B1799" t="str">
        <f>IF(AND(FORSIDE!$B$8&gt;=16,FORSIDE!$F$8&gt;=7,FORSIDE!$B$5&gt;=4),354+7*FORSIDE!$F$9,"")</f>
        <v/>
      </c>
      <c r="C1799" t="str">
        <f>IF(AND(FORSIDE!$B$8&gt;=16,FORSIDE!$F$8&gt;=7,FORSIDE!$B$5&gt;=4),16*FORSIDE!$B$9,"")</f>
        <v/>
      </c>
      <c r="D1799" t="str">
        <f>IF(AND(FORSIDE!$B$8&gt;=16,FORSIDE!$F$8&gt;=7,FORSIDE!$B$5&gt;=4),FORSIDE!$B$6+(4-1)*FORSIDE!$B$7,"")</f>
        <v/>
      </c>
    </row>
    <row r="1800" spans="1:4" x14ac:dyDescent="0.3">
      <c r="A1800" t="str">
        <f>IF(AND(FORSIDE!$B$8&gt;=16,FORSIDE!$F$8&gt;=7,FORSIDE!$B$5&gt;=5),1799,"")</f>
        <v/>
      </c>
      <c r="B1800" t="str">
        <f>IF(AND(FORSIDE!$B$8&gt;=16,FORSIDE!$F$8&gt;=7,FORSIDE!$B$5&gt;=5),354+7*FORSIDE!$F$9,"")</f>
        <v/>
      </c>
      <c r="C1800" t="str">
        <f>IF(AND(FORSIDE!$B$8&gt;=16,FORSIDE!$F$8&gt;=7,FORSIDE!$B$5&gt;=5),16*FORSIDE!$B$9,"")</f>
        <v/>
      </c>
      <c r="D1800" t="str">
        <f>IF(AND(FORSIDE!$B$8&gt;=16,FORSIDE!$F$8&gt;=7,FORSIDE!$B$5&gt;=5),FORSIDE!$B$6+(5-1)*FORSIDE!$B$7,"")</f>
        <v/>
      </c>
    </row>
    <row r="1801" spans="1:4" x14ac:dyDescent="0.3">
      <c r="A1801" t="str">
        <f>IF(AND(FORSIDE!$B$8&gt;=16,FORSIDE!$F$8&gt;=7,FORSIDE!$B$5&gt;=6),1800,"")</f>
        <v/>
      </c>
      <c r="B1801" t="str">
        <f>IF(AND(FORSIDE!$B$8&gt;=16,FORSIDE!$F$8&gt;=7,FORSIDE!$B$5&gt;=6),354+7*FORSIDE!$F$9,"")</f>
        <v/>
      </c>
      <c r="C1801" t="str">
        <f>IF(AND(FORSIDE!$B$8&gt;=16,FORSIDE!$F$8&gt;=7,FORSIDE!$B$5&gt;=6),16*FORSIDE!$B$9,"")</f>
        <v/>
      </c>
      <c r="D1801" t="str">
        <f>IF(AND(FORSIDE!$B$8&gt;=16,FORSIDE!$F$8&gt;=7,FORSIDE!$B$5&gt;=6),FORSIDE!$B$6+(6-1)*FORSIDE!$B$7,"")</f>
        <v/>
      </c>
    </row>
    <row r="1802" spans="1:4" x14ac:dyDescent="0.3">
      <c r="A1802" t="str">
        <f>IF(AND(FORSIDE!$B$8&gt;=16,FORSIDE!$F$8&gt;=7,FORSIDE!$B$5&gt;=7),1801,"")</f>
        <v/>
      </c>
      <c r="B1802" t="str">
        <f>IF(AND(FORSIDE!$B$8&gt;=16,FORSIDE!$F$8&gt;=7,FORSIDE!$B$5&gt;=7),354+7*FORSIDE!$F$9,"")</f>
        <v/>
      </c>
      <c r="C1802" t="str">
        <f>IF(AND(FORSIDE!$B$8&gt;=16,FORSIDE!$F$8&gt;=7,FORSIDE!$B$5&gt;=7),16*FORSIDE!$B$9,"")</f>
        <v/>
      </c>
      <c r="D1802" t="str">
        <f>IF(AND(FORSIDE!$B$8&gt;=16,FORSIDE!$F$8&gt;=7,FORSIDE!$B$5&gt;=7),FORSIDE!$B$6+(7-1)*FORSIDE!$B$7,"")</f>
        <v/>
      </c>
    </row>
    <row r="1803" spans="1:4" x14ac:dyDescent="0.3">
      <c r="A1803" t="str">
        <f>IF(AND(FORSIDE!$B$8&gt;=16,FORSIDE!$F$8&gt;=7,FORSIDE!$B$5&gt;=8),1802,"")</f>
        <v/>
      </c>
      <c r="B1803" t="str">
        <f>IF(AND(FORSIDE!$B$8&gt;=16,FORSIDE!$F$8&gt;=7,FORSIDE!$B$5&gt;=8),354+7*FORSIDE!$F$9,"")</f>
        <v/>
      </c>
      <c r="C1803" t="str">
        <f>IF(AND(FORSIDE!$B$8&gt;=16,FORSIDE!$F$8&gt;=7,FORSIDE!$B$5&gt;=8),16*FORSIDE!$B$9,"")</f>
        <v/>
      </c>
      <c r="D1803" t="str">
        <f>IF(AND(FORSIDE!$B$8&gt;=16,FORSIDE!$F$8&gt;=7,FORSIDE!$B$5&gt;=8),FORSIDE!$B$6+(8-1)*FORSIDE!$B$7,"")</f>
        <v/>
      </c>
    </row>
    <row r="1804" spans="1:4" x14ac:dyDescent="0.3">
      <c r="A1804" t="str">
        <f>IF(AND(FORSIDE!$B$8&gt;=16,FORSIDE!$F$8&gt;=7,FORSIDE!$B$5&gt;=9),1803,"")</f>
        <v/>
      </c>
      <c r="B1804" t="str">
        <f>IF(AND(FORSIDE!$B$8&gt;=16,FORSIDE!$F$8&gt;=7,FORSIDE!$B$5&gt;=9),354+7*FORSIDE!$F$9,"")</f>
        <v/>
      </c>
      <c r="C1804" t="str">
        <f>IF(AND(FORSIDE!$B$8&gt;=16,FORSIDE!$F$8&gt;=7,FORSIDE!$B$5&gt;=9),16*FORSIDE!$B$9,"")</f>
        <v/>
      </c>
      <c r="D1804" t="str">
        <f>IF(AND(FORSIDE!$B$8&gt;=16,FORSIDE!$F$8&gt;=7,FORSIDE!$B$5&gt;=9),FORSIDE!$B$6+(9-1)*FORSIDE!$B$7,"")</f>
        <v/>
      </c>
    </row>
    <row r="1805" spans="1:4" x14ac:dyDescent="0.3">
      <c r="A1805" t="str">
        <f>IF(AND(FORSIDE!$B$8&gt;=16,FORSIDE!$F$8&gt;=7,FORSIDE!$B$5&gt;=10),1804,"")</f>
        <v/>
      </c>
      <c r="B1805" t="str">
        <f>IF(AND(FORSIDE!$B$8&gt;=16,FORSIDE!$F$8&gt;=7,FORSIDE!$B$5&gt;=10),354+7*FORSIDE!$F$9,"")</f>
        <v/>
      </c>
      <c r="C1805" t="str">
        <f>IF(AND(FORSIDE!$B$8&gt;=16,FORSIDE!$F$8&gt;=7,FORSIDE!$B$5&gt;=10),16*FORSIDE!$B$9,"")</f>
        <v/>
      </c>
      <c r="D1805" t="str">
        <f>IF(AND(FORSIDE!$B$8&gt;=16,FORSIDE!$F$8&gt;=7,FORSIDE!$B$5&gt;=10),FORSIDE!$B$6+(10-1)*FORSIDE!$B$7,"")</f>
        <v/>
      </c>
    </row>
    <row r="1806" spans="1:4" x14ac:dyDescent="0.3">
      <c r="A1806" t="str">
        <f>IF(AND(FORSIDE!$B$8&gt;=17,FORSIDE!$F$8&gt;=7,FORSIDE!$B$5&gt;=0),1805,"")</f>
        <v/>
      </c>
      <c r="B1806" t="str">
        <f>IF(AND(FORSIDE!$B$8&gt;=17,FORSIDE!$F$8&gt;=7,FORSIDE!$B$5&gt;=0),354+7*FORSIDE!$F$9,"")</f>
        <v/>
      </c>
      <c r="C1806" t="str">
        <f>IF(AND(FORSIDE!$B$8&gt;=17,FORSIDE!$F$8&gt;=7,FORSIDE!$B$5&gt;=0),17*FORSIDE!$B$9,"")</f>
        <v/>
      </c>
      <c r="D1806" t="str">
        <f>IF(AND(FORSIDE!$B$8&gt;=17,FORSIDE!$F$8&gt;=7,FORSIDE!$B$5&gt;=0),0,"")</f>
        <v/>
      </c>
    </row>
    <row r="1807" spans="1:4" x14ac:dyDescent="0.3">
      <c r="A1807" t="str">
        <f>IF(AND(FORSIDE!$B$8&gt;=17,FORSIDE!$F$8&gt;=7,FORSIDE!$B$5&gt;=1),1806,"")</f>
        <v/>
      </c>
      <c r="B1807" t="str">
        <f>IF(AND(FORSIDE!$B$8&gt;=17,FORSIDE!$F$8&gt;=7,FORSIDE!$B$5&gt;=1),354+7*FORSIDE!$F$9,"")</f>
        <v/>
      </c>
      <c r="C1807" t="str">
        <f>IF(AND(FORSIDE!$B$8&gt;=17,FORSIDE!$F$8&gt;=7,FORSIDE!$B$5&gt;=1),17*FORSIDE!$B$9,"")</f>
        <v/>
      </c>
      <c r="D1807" t="str">
        <f>IF(AND(FORSIDE!$B$8&gt;=17,FORSIDE!$F$8&gt;=7,FORSIDE!$B$5&gt;=1),FORSIDE!$B$6+(1-1)*FORSIDE!$B$7,"")</f>
        <v/>
      </c>
    </row>
    <row r="1808" spans="1:4" x14ac:dyDescent="0.3">
      <c r="A1808" t="str">
        <f>IF(AND(FORSIDE!$B$8&gt;=17,FORSIDE!$F$8&gt;=7,FORSIDE!$B$5&gt;=2),1807,"")</f>
        <v/>
      </c>
      <c r="B1808" t="str">
        <f>IF(AND(FORSIDE!$B$8&gt;=17,FORSIDE!$F$8&gt;=7,FORSIDE!$B$5&gt;=2),354+7*FORSIDE!$F$9,"")</f>
        <v/>
      </c>
      <c r="C1808" t="str">
        <f>IF(AND(FORSIDE!$B$8&gt;=17,FORSIDE!$F$8&gt;=7,FORSIDE!$B$5&gt;=2),17*FORSIDE!$B$9,"")</f>
        <v/>
      </c>
      <c r="D1808" t="str">
        <f>IF(AND(FORSIDE!$B$8&gt;=17,FORSIDE!$F$8&gt;=7,FORSIDE!$B$5&gt;=2),FORSIDE!$B$6+(2-1)*FORSIDE!$B$7,"")</f>
        <v/>
      </c>
    </row>
    <row r="1809" spans="1:4" x14ac:dyDescent="0.3">
      <c r="A1809" t="str">
        <f>IF(AND(FORSIDE!$B$8&gt;=17,FORSIDE!$F$8&gt;=7,FORSIDE!$B$5&gt;=3),1808,"")</f>
        <v/>
      </c>
      <c r="B1809" t="str">
        <f>IF(AND(FORSIDE!$B$8&gt;=17,FORSIDE!$F$8&gt;=7,FORSIDE!$B$5&gt;=3),354+7*FORSIDE!$F$9,"")</f>
        <v/>
      </c>
      <c r="C1809" t="str">
        <f>IF(AND(FORSIDE!$B$8&gt;=17,FORSIDE!$F$8&gt;=7,FORSIDE!$B$5&gt;=3),17*FORSIDE!$B$9,"")</f>
        <v/>
      </c>
      <c r="D1809" t="str">
        <f>IF(AND(FORSIDE!$B$8&gt;=17,FORSIDE!$F$8&gt;=7,FORSIDE!$B$5&gt;=3),FORSIDE!$B$6+(3-1)*FORSIDE!$B$7,"")</f>
        <v/>
      </c>
    </row>
    <row r="1810" spans="1:4" x14ac:dyDescent="0.3">
      <c r="A1810" t="str">
        <f>IF(AND(FORSIDE!$B$8&gt;=17,FORSIDE!$F$8&gt;=7,FORSIDE!$B$5&gt;=4),1809,"")</f>
        <v/>
      </c>
      <c r="B1810" t="str">
        <f>IF(AND(FORSIDE!$B$8&gt;=17,FORSIDE!$F$8&gt;=7,FORSIDE!$B$5&gt;=4),354+7*FORSIDE!$F$9,"")</f>
        <v/>
      </c>
      <c r="C1810" t="str">
        <f>IF(AND(FORSIDE!$B$8&gt;=17,FORSIDE!$F$8&gt;=7,FORSIDE!$B$5&gt;=4),17*FORSIDE!$B$9,"")</f>
        <v/>
      </c>
      <c r="D1810" t="str">
        <f>IF(AND(FORSIDE!$B$8&gt;=17,FORSIDE!$F$8&gt;=7,FORSIDE!$B$5&gt;=4),FORSIDE!$B$6+(4-1)*FORSIDE!$B$7,"")</f>
        <v/>
      </c>
    </row>
    <row r="1811" spans="1:4" x14ac:dyDescent="0.3">
      <c r="A1811" t="str">
        <f>IF(AND(FORSIDE!$B$8&gt;=17,FORSIDE!$F$8&gt;=7,FORSIDE!$B$5&gt;=5),1810,"")</f>
        <v/>
      </c>
      <c r="B1811" t="str">
        <f>IF(AND(FORSIDE!$B$8&gt;=17,FORSIDE!$F$8&gt;=7,FORSIDE!$B$5&gt;=5),354+7*FORSIDE!$F$9,"")</f>
        <v/>
      </c>
      <c r="C1811" t="str">
        <f>IF(AND(FORSIDE!$B$8&gt;=17,FORSIDE!$F$8&gt;=7,FORSIDE!$B$5&gt;=5),17*FORSIDE!$B$9,"")</f>
        <v/>
      </c>
      <c r="D1811" t="str">
        <f>IF(AND(FORSIDE!$B$8&gt;=17,FORSIDE!$F$8&gt;=7,FORSIDE!$B$5&gt;=5),FORSIDE!$B$6+(5-1)*FORSIDE!$B$7,"")</f>
        <v/>
      </c>
    </row>
    <row r="1812" spans="1:4" x14ac:dyDescent="0.3">
      <c r="A1812" t="str">
        <f>IF(AND(FORSIDE!$B$8&gt;=17,FORSIDE!$F$8&gt;=7,FORSIDE!$B$5&gt;=6),1811,"")</f>
        <v/>
      </c>
      <c r="B1812" t="str">
        <f>IF(AND(FORSIDE!$B$8&gt;=17,FORSIDE!$F$8&gt;=7,FORSIDE!$B$5&gt;=6),354+7*FORSIDE!$F$9,"")</f>
        <v/>
      </c>
      <c r="C1812" t="str">
        <f>IF(AND(FORSIDE!$B$8&gt;=17,FORSIDE!$F$8&gt;=7,FORSIDE!$B$5&gt;=6),17*FORSIDE!$B$9,"")</f>
        <v/>
      </c>
      <c r="D1812" t="str">
        <f>IF(AND(FORSIDE!$B$8&gt;=17,FORSIDE!$F$8&gt;=7,FORSIDE!$B$5&gt;=6),FORSIDE!$B$6+(6-1)*FORSIDE!$B$7,"")</f>
        <v/>
      </c>
    </row>
    <row r="1813" spans="1:4" x14ac:dyDescent="0.3">
      <c r="A1813" t="str">
        <f>IF(AND(FORSIDE!$B$8&gt;=17,FORSIDE!$F$8&gt;=7,FORSIDE!$B$5&gt;=7),1812,"")</f>
        <v/>
      </c>
      <c r="B1813" t="str">
        <f>IF(AND(FORSIDE!$B$8&gt;=17,FORSIDE!$F$8&gt;=7,FORSIDE!$B$5&gt;=7),354+7*FORSIDE!$F$9,"")</f>
        <v/>
      </c>
      <c r="C1813" t="str">
        <f>IF(AND(FORSIDE!$B$8&gt;=17,FORSIDE!$F$8&gt;=7,FORSIDE!$B$5&gt;=7),17*FORSIDE!$B$9,"")</f>
        <v/>
      </c>
      <c r="D1813" t="str">
        <f>IF(AND(FORSIDE!$B$8&gt;=17,FORSIDE!$F$8&gt;=7,FORSIDE!$B$5&gt;=7),FORSIDE!$B$6+(7-1)*FORSIDE!$B$7,"")</f>
        <v/>
      </c>
    </row>
    <row r="1814" spans="1:4" x14ac:dyDescent="0.3">
      <c r="A1814" t="str">
        <f>IF(AND(FORSIDE!$B$8&gt;=17,FORSIDE!$F$8&gt;=7,FORSIDE!$B$5&gt;=8),1813,"")</f>
        <v/>
      </c>
      <c r="B1814" t="str">
        <f>IF(AND(FORSIDE!$B$8&gt;=17,FORSIDE!$F$8&gt;=7,FORSIDE!$B$5&gt;=8),354+7*FORSIDE!$F$9,"")</f>
        <v/>
      </c>
      <c r="C1814" t="str">
        <f>IF(AND(FORSIDE!$B$8&gt;=17,FORSIDE!$F$8&gt;=7,FORSIDE!$B$5&gt;=8),17*FORSIDE!$B$9,"")</f>
        <v/>
      </c>
      <c r="D1814" t="str">
        <f>IF(AND(FORSIDE!$B$8&gt;=17,FORSIDE!$F$8&gt;=7,FORSIDE!$B$5&gt;=8),FORSIDE!$B$6+(8-1)*FORSIDE!$B$7,"")</f>
        <v/>
      </c>
    </row>
    <row r="1815" spans="1:4" x14ac:dyDescent="0.3">
      <c r="A1815" t="str">
        <f>IF(AND(FORSIDE!$B$8&gt;=17,FORSIDE!$F$8&gt;=7,FORSIDE!$B$5&gt;=9),1814,"")</f>
        <v/>
      </c>
      <c r="B1815" t="str">
        <f>IF(AND(FORSIDE!$B$8&gt;=17,FORSIDE!$F$8&gt;=7,FORSIDE!$B$5&gt;=9),354+7*FORSIDE!$F$9,"")</f>
        <v/>
      </c>
      <c r="C1815" t="str">
        <f>IF(AND(FORSIDE!$B$8&gt;=17,FORSIDE!$F$8&gt;=7,FORSIDE!$B$5&gt;=9),17*FORSIDE!$B$9,"")</f>
        <v/>
      </c>
      <c r="D1815" t="str">
        <f>IF(AND(FORSIDE!$B$8&gt;=17,FORSIDE!$F$8&gt;=7,FORSIDE!$B$5&gt;=9),FORSIDE!$B$6+(9-1)*FORSIDE!$B$7,"")</f>
        <v/>
      </c>
    </row>
    <row r="1816" spans="1:4" x14ac:dyDescent="0.3">
      <c r="A1816" t="str">
        <f>IF(AND(FORSIDE!$B$8&gt;=17,FORSIDE!$F$8&gt;=7,FORSIDE!$B$5&gt;=10),1815,"")</f>
        <v/>
      </c>
      <c r="B1816" t="str">
        <f>IF(AND(FORSIDE!$B$8&gt;=17,FORSIDE!$F$8&gt;=7,FORSIDE!$B$5&gt;=10),354+7*FORSIDE!$F$9,"")</f>
        <v/>
      </c>
      <c r="C1816" t="str">
        <f>IF(AND(FORSIDE!$B$8&gt;=17,FORSIDE!$F$8&gt;=7,FORSIDE!$B$5&gt;=10),17*FORSIDE!$B$9,"")</f>
        <v/>
      </c>
      <c r="D1816" t="str">
        <f>IF(AND(FORSIDE!$B$8&gt;=17,FORSIDE!$F$8&gt;=7,FORSIDE!$B$5&gt;=10),FORSIDE!$B$6+(10-1)*FORSIDE!$B$7,"")</f>
        <v/>
      </c>
    </row>
    <row r="1817" spans="1:4" x14ac:dyDescent="0.3">
      <c r="A1817" t="str">
        <f>IF(AND(FORSIDE!$B$8&gt;=18,FORSIDE!$F$8&gt;=7,FORSIDE!$B$5&gt;=0),1816,"")</f>
        <v/>
      </c>
      <c r="B1817" t="str">
        <f>IF(AND(FORSIDE!$B$8&gt;=18,FORSIDE!$F$8&gt;=7,FORSIDE!$B$5&gt;=0),354+7*FORSIDE!$F$9,"")</f>
        <v/>
      </c>
      <c r="C1817" t="str">
        <f>IF(AND(FORSIDE!$B$8&gt;=18,FORSIDE!$F$8&gt;=7,FORSIDE!$B$5&gt;=0),18*FORSIDE!$B$9,"")</f>
        <v/>
      </c>
      <c r="D1817" t="str">
        <f>IF(AND(FORSIDE!$B$8&gt;=18,FORSIDE!$F$8&gt;=7,FORSIDE!$B$5&gt;=0),0,"")</f>
        <v/>
      </c>
    </row>
    <row r="1818" spans="1:4" x14ac:dyDescent="0.3">
      <c r="A1818" t="str">
        <f>IF(AND(FORSIDE!$B$8&gt;=18,FORSIDE!$F$8&gt;=7,FORSIDE!$B$5&gt;=1),1817,"")</f>
        <v/>
      </c>
      <c r="B1818" t="str">
        <f>IF(AND(FORSIDE!$B$8&gt;=18,FORSIDE!$F$8&gt;=7,FORSIDE!$B$5&gt;=1),354+7*FORSIDE!$F$9,"")</f>
        <v/>
      </c>
      <c r="C1818" t="str">
        <f>IF(AND(FORSIDE!$B$8&gt;=18,FORSIDE!$F$8&gt;=7,FORSIDE!$B$5&gt;=1),18*FORSIDE!$B$9,"")</f>
        <v/>
      </c>
      <c r="D1818" t="str">
        <f>IF(AND(FORSIDE!$B$8&gt;=18,FORSIDE!$F$8&gt;=7,FORSIDE!$B$5&gt;=1),FORSIDE!$B$6+(1-1)*FORSIDE!$B$7,"")</f>
        <v/>
      </c>
    </row>
    <row r="1819" spans="1:4" x14ac:dyDescent="0.3">
      <c r="A1819" t="str">
        <f>IF(AND(FORSIDE!$B$8&gt;=18,FORSIDE!$F$8&gt;=7,FORSIDE!$B$5&gt;=2),1818,"")</f>
        <v/>
      </c>
      <c r="B1819" t="str">
        <f>IF(AND(FORSIDE!$B$8&gt;=18,FORSIDE!$F$8&gt;=7,FORSIDE!$B$5&gt;=2),354+7*FORSIDE!$F$9,"")</f>
        <v/>
      </c>
      <c r="C1819" t="str">
        <f>IF(AND(FORSIDE!$B$8&gt;=18,FORSIDE!$F$8&gt;=7,FORSIDE!$B$5&gt;=2),18*FORSIDE!$B$9,"")</f>
        <v/>
      </c>
      <c r="D1819" t="str">
        <f>IF(AND(FORSIDE!$B$8&gt;=18,FORSIDE!$F$8&gt;=7,FORSIDE!$B$5&gt;=2),FORSIDE!$B$6+(2-1)*FORSIDE!$B$7,"")</f>
        <v/>
      </c>
    </row>
    <row r="1820" spans="1:4" x14ac:dyDescent="0.3">
      <c r="A1820" t="str">
        <f>IF(AND(FORSIDE!$B$8&gt;=18,FORSIDE!$F$8&gt;=7,FORSIDE!$B$5&gt;=3),1819,"")</f>
        <v/>
      </c>
      <c r="B1820" t="str">
        <f>IF(AND(FORSIDE!$B$8&gt;=18,FORSIDE!$F$8&gt;=7,FORSIDE!$B$5&gt;=3),354+7*FORSIDE!$F$9,"")</f>
        <v/>
      </c>
      <c r="C1820" t="str">
        <f>IF(AND(FORSIDE!$B$8&gt;=18,FORSIDE!$F$8&gt;=7,FORSIDE!$B$5&gt;=3),18*FORSIDE!$B$9,"")</f>
        <v/>
      </c>
      <c r="D1820" t="str">
        <f>IF(AND(FORSIDE!$B$8&gt;=18,FORSIDE!$F$8&gt;=7,FORSIDE!$B$5&gt;=3),FORSIDE!$B$6+(3-1)*FORSIDE!$B$7,"")</f>
        <v/>
      </c>
    </row>
    <row r="1821" spans="1:4" x14ac:dyDescent="0.3">
      <c r="A1821" t="str">
        <f>IF(AND(FORSIDE!$B$8&gt;=18,FORSIDE!$F$8&gt;=7,FORSIDE!$B$5&gt;=4),1820,"")</f>
        <v/>
      </c>
      <c r="B1821" t="str">
        <f>IF(AND(FORSIDE!$B$8&gt;=18,FORSIDE!$F$8&gt;=7,FORSIDE!$B$5&gt;=4),354+7*FORSIDE!$F$9,"")</f>
        <v/>
      </c>
      <c r="C1821" t="str">
        <f>IF(AND(FORSIDE!$B$8&gt;=18,FORSIDE!$F$8&gt;=7,FORSIDE!$B$5&gt;=4),18*FORSIDE!$B$9,"")</f>
        <v/>
      </c>
      <c r="D1821" t="str">
        <f>IF(AND(FORSIDE!$B$8&gt;=18,FORSIDE!$F$8&gt;=7,FORSIDE!$B$5&gt;=4),FORSIDE!$B$6+(4-1)*FORSIDE!$B$7,"")</f>
        <v/>
      </c>
    </row>
    <row r="1822" spans="1:4" x14ac:dyDescent="0.3">
      <c r="A1822" t="str">
        <f>IF(AND(FORSIDE!$B$8&gt;=18,FORSIDE!$F$8&gt;=7,FORSIDE!$B$5&gt;=5),1821,"")</f>
        <v/>
      </c>
      <c r="B1822" t="str">
        <f>IF(AND(FORSIDE!$B$8&gt;=18,FORSIDE!$F$8&gt;=7,FORSIDE!$B$5&gt;=5),354+7*FORSIDE!$F$9,"")</f>
        <v/>
      </c>
      <c r="C1822" t="str">
        <f>IF(AND(FORSIDE!$B$8&gt;=18,FORSIDE!$F$8&gt;=7,FORSIDE!$B$5&gt;=5),18*FORSIDE!$B$9,"")</f>
        <v/>
      </c>
      <c r="D1822" t="str">
        <f>IF(AND(FORSIDE!$B$8&gt;=18,FORSIDE!$F$8&gt;=7,FORSIDE!$B$5&gt;=5),FORSIDE!$B$6+(5-1)*FORSIDE!$B$7,"")</f>
        <v/>
      </c>
    </row>
    <row r="1823" spans="1:4" x14ac:dyDescent="0.3">
      <c r="A1823" t="str">
        <f>IF(AND(FORSIDE!$B$8&gt;=18,FORSIDE!$F$8&gt;=7,FORSIDE!$B$5&gt;=6),1822,"")</f>
        <v/>
      </c>
      <c r="B1823" t="str">
        <f>IF(AND(FORSIDE!$B$8&gt;=18,FORSIDE!$F$8&gt;=7,FORSIDE!$B$5&gt;=6),354+7*FORSIDE!$F$9,"")</f>
        <v/>
      </c>
      <c r="C1823" t="str">
        <f>IF(AND(FORSIDE!$B$8&gt;=18,FORSIDE!$F$8&gt;=7,FORSIDE!$B$5&gt;=6),18*FORSIDE!$B$9,"")</f>
        <v/>
      </c>
      <c r="D1823" t="str">
        <f>IF(AND(FORSIDE!$B$8&gt;=18,FORSIDE!$F$8&gt;=7,FORSIDE!$B$5&gt;=6),FORSIDE!$B$6+(6-1)*FORSIDE!$B$7,"")</f>
        <v/>
      </c>
    </row>
    <row r="1824" spans="1:4" x14ac:dyDescent="0.3">
      <c r="A1824" t="str">
        <f>IF(AND(FORSIDE!$B$8&gt;=18,FORSIDE!$F$8&gt;=7,FORSIDE!$B$5&gt;=7),1823,"")</f>
        <v/>
      </c>
      <c r="B1824" t="str">
        <f>IF(AND(FORSIDE!$B$8&gt;=18,FORSIDE!$F$8&gt;=7,FORSIDE!$B$5&gt;=7),354+7*FORSIDE!$F$9,"")</f>
        <v/>
      </c>
      <c r="C1824" t="str">
        <f>IF(AND(FORSIDE!$B$8&gt;=18,FORSIDE!$F$8&gt;=7,FORSIDE!$B$5&gt;=7),18*FORSIDE!$B$9,"")</f>
        <v/>
      </c>
      <c r="D1824" t="str">
        <f>IF(AND(FORSIDE!$B$8&gt;=18,FORSIDE!$F$8&gt;=7,FORSIDE!$B$5&gt;=7),FORSIDE!$B$6+(7-1)*FORSIDE!$B$7,"")</f>
        <v/>
      </c>
    </row>
    <row r="1825" spans="1:4" x14ac:dyDescent="0.3">
      <c r="A1825" t="str">
        <f>IF(AND(FORSIDE!$B$8&gt;=18,FORSIDE!$F$8&gt;=7,FORSIDE!$B$5&gt;=8),1824,"")</f>
        <v/>
      </c>
      <c r="B1825" t="str">
        <f>IF(AND(FORSIDE!$B$8&gt;=18,FORSIDE!$F$8&gt;=7,FORSIDE!$B$5&gt;=8),354+7*FORSIDE!$F$9,"")</f>
        <v/>
      </c>
      <c r="C1825" t="str">
        <f>IF(AND(FORSIDE!$B$8&gt;=18,FORSIDE!$F$8&gt;=7,FORSIDE!$B$5&gt;=8),18*FORSIDE!$B$9,"")</f>
        <v/>
      </c>
      <c r="D1825" t="str">
        <f>IF(AND(FORSIDE!$B$8&gt;=18,FORSIDE!$F$8&gt;=7,FORSIDE!$B$5&gt;=8),FORSIDE!$B$6+(8-1)*FORSIDE!$B$7,"")</f>
        <v/>
      </c>
    </row>
    <row r="1826" spans="1:4" x14ac:dyDescent="0.3">
      <c r="A1826" t="str">
        <f>IF(AND(FORSIDE!$B$8&gt;=18,FORSIDE!$F$8&gt;=7,FORSIDE!$B$5&gt;=9),1825,"")</f>
        <v/>
      </c>
      <c r="B1826" t="str">
        <f>IF(AND(FORSIDE!$B$8&gt;=18,FORSIDE!$F$8&gt;=7,FORSIDE!$B$5&gt;=9),354+7*FORSIDE!$F$9,"")</f>
        <v/>
      </c>
      <c r="C1826" t="str">
        <f>IF(AND(FORSIDE!$B$8&gt;=18,FORSIDE!$F$8&gt;=7,FORSIDE!$B$5&gt;=9),18*FORSIDE!$B$9,"")</f>
        <v/>
      </c>
      <c r="D1826" t="str">
        <f>IF(AND(FORSIDE!$B$8&gt;=18,FORSIDE!$F$8&gt;=7,FORSIDE!$B$5&gt;=9),FORSIDE!$B$6+(9-1)*FORSIDE!$B$7,"")</f>
        <v/>
      </c>
    </row>
    <row r="1827" spans="1:4" x14ac:dyDescent="0.3">
      <c r="A1827" t="str">
        <f>IF(AND(FORSIDE!$B$8&gt;=18,FORSIDE!$F$8&gt;=7,FORSIDE!$B$5&gt;=10),1826,"")</f>
        <v/>
      </c>
      <c r="B1827" t="str">
        <f>IF(AND(FORSIDE!$B$8&gt;=18,FORSIDE!$F$8&gt;=7,FORSIDE!$B$5&gt;=10),354+7*FORSIDE!$F$9,"")</f>
        <v/>
      </c>
      <c r="C1827" t="str">
        <f>IF(AND(FORSIDE!$B$8&gt;=18,FORSIDE!$F$8&gt;=7,FORSIDE!$B$5&gt;=10),18*FORSIDE!$B$9,"")</f>
        <v/>
      </c>
      <c r="D1827" t="str">
        <f>IF(AND(FORSIDE!$B$8&gt;=18,FORSIDE!$F$8&gt;=7,FORSIDE!$B$5&gt;=10),FORSIDE!$B$6+(10-1)*FORSIDE!$B$7,"")</f>
        <v/>
      </c>
    </row>
    <row r="1828" spans="1:4" x14ac:dyDescent="0.3">
      <c r="A1828" t="str">
        <f>IF(AND(FORSIDE!$B$8&gt;=19,FORSIDE!$F$8&gt;=7,FORSIDE!$B$5&gt;=0),1827,"")</f>
        <v/>
      </c>
      <c r="B1828" t="str">
        <f>IF(AND(FORSIDE!$B$8&gt;=19,FORSIDE!$F$8&gt;=7,FORSIDE!$B$5&gt;=0),354+7*FORSIDE!$F$9,"")</f>
        <v/>
      </c>
      <c r="C1828" t="str">
        <f>IF(AND(FORSIDE!$B$8&gt;=19,FORSIDE!$F$8&gt;=7,FORSIDE!$B$5&gt;=0),19*FORSIDE!$B$9,"")</f>
        <v/>
      </c>
      <c r="D1828" t="str">
        <f>IF(AND(FORSIDE!$B$8&gt;=19,FORSIDE!$F$8&gt;=7,FORSIDE!$B$5&gt;=0),0,"")</f>
        <v/>
      </c>
    </row>
    <row r="1829" spans="1:4" x14ac:dyDescent="0.3">
      <c r="A1829" t="str">
        <f>IF(AND(FORSIDE!$B$8&gt;=19,FORSIDE!$F$8&gt;=7,FORSIDE!$B$5&gt;=1),1828,"")</f>
        <v/>
      </c>
      <c r="B1829" t="str">
        <f>IF(AND(FORSIDE!$B$8&gt;=19,FORSIDE!$F$8&gt;=7,FORSIDE!$B$5&gt;=1),354+7*FORSIDE!$F$9,"")</f>
        <v/>
      </c>
      <c r="C1829" t="str">
        <f>IF(AND(FORSIDE!$B$8&gt;=19,FORSIDE!$F$8&gt;=7,FORSIDE!$B$5&gt;=1),19*FORSIDE!$B$9,"")</f>
        <v/>
      </c>
      <c r="D1829" t="str">
        <f>IF(AND(FORSIDE!$B$8&gt;=19,FORSIDE!$F$8&gt;=7,FORSIDE!$B$5&gt;=1),FORSIDE!$B$6+(1-1)*FORSIDE!$B$7,"")</f>
        <v/>
      </c>
    </row>
    <row r="1830" spans="1:4" x14ac:dyDescent="0.3">
      <c r="A1830" t="str">
        <f>IF(AND(FORSIDE!$B$8&gt;=19,FORSIDE!$F$8&gt;=7,FORSIDE!$B$5&gt;=2),1829,"")</f>
        <v/>
      </c>
      <c r="B1830" t="str">
        <f>IF(AND(FORSIDE!$B$8&gt;=19,FORSIDE!$F$8&gt;=7,FORSIDE!$B$5&gt;=2),354+7*FORSIDE!$F$9,"")</f>
        <v/>
      </c>
      <c r="C1830" t="str">
        <f>IF(AND(FORSIDE!$B$8&gt;=19,FORSIDE!$F$8&gt;=7,FORSIDE!$B$5&gt;=2),19*FORSIDE!$B$9,"")</f>
        <v/>
      </c>
      <c r="D1830" t="str">
        <f>IF(AND(FORSIDE!$B$8&gt;=19,FORSIDE!$F$8&gt;=7,FORSIDE!$B$5&gt;=2),FORSIDE!$B$6+(2-1)*FORSIDE!$B$7,"")</f>
        <v/>
      </c>
    </row>
    <row r="1831" spans="1:4" x14ac:dyDescent="0.3">
      <c r="A1831" t="str">
        <f>IF(AND(FORSIDE!$B$8&gt;=19,FORSIDE!$F$8&gt;=7,FORSIDE!$B$5&gt;=3),1830,"")</f>
        <v/>
      </c>
      <c r="B1831" t="str">
        <f>IF(AND(FORSIDE!$B$8&gt;=19,FORSIDE!$F$8&gt;=7,FORSIDE!$B$5&gt;=3),354+7*FORSIDE!$F$9,"")</f>
        <v/>
      </c>
      <c r="C1831" t="str">
        <f>IF(AND(FORSIDE!$B$8&gt;=19,FORSIDE!$F$8&gt;=7,FORSIDE!$B$5&gt;=3),19*FORSIDE!$B$9,"")</f>
        <v/>
      </c>
      <c r="D1831" t="str">
        <f>IF(AND(FORSIDE!$B$8&gt;=19,FORSIDE!$F$8&gt;=7,FORSIDE!$B$5&gt;=3),FORSIDE!$B$6+(3-1)*FORSIDE!$B$7,"")</f>
        <v/>
      </c>
    </row>
    <row r="1832" spans="1:4" x14ac:dyDescent="0.3">
      <c r="A1832" t="str">
        <f>IF(AND(FORSIDE!$B$8&gt;=19,FORSIDE!$F$8&gt;=7,FORSIDE!$B$5&gt;=4),1831,"")</f>
        <v/>
      </c>
      <c r="B1832" t="str">
        <f>IF(AND(FORSIDE!$B$8&gt;=19,FORSIDE!$F$8&gt;=7,FORSIDE!$B$5&gt;=4),354+7*FORSIDE!$F$9,"")</f>
        <v/>
      </c>
      <c r="C1832" t="str">
        <f>IF(AND(FORSIDE!$B$8&gt;=19,FORSIDE!$F$8&gt;=7,FORSIDE!$B$5&gt;=4),19*FORSIDE!$B$9,"")</f>
        <v/>
      </c>
      <c r="D1832" t="str">
        <f>IF(AND(FORSIDE!$B$8&gt;=19,FORSIDE!$F$8&gt;=7,FORSIDE!$B$5&gt;=4),FORSIDE!$B$6+(4-1)*FORSIDE!$B$7,"")</f>
        <v/>
      </c>
    </row>
    <row r="1833" spans="1:4" x14ac:dyDescent="0.3">
      <c r="A1833" t="str">
        <f>IF(AND(FORSIDE!$B$8&gt;=19,FORSIDE!$F$8&gt;=7,FORSIDE!$B$5&gt;=5),1832,"")</f>
        <v/>
      </c>
      <c r="B1833" t="str">
        <f>IF(AND(FORSIDE!$B$8&gt;=19,FORSIDE!$F$8&gt;=7,FORSIDE!$B$5&gt;=5),354+7*FORSIDE!$F$9,"")</f>
        <v/>
      </c>
      <c r="C1833" t="str">
        <f>IF(AND(FORSIDE!$B$8&gt;=19,FORSIDE!$F$8&gt;=7,FORSIDE!$B$5&gt;=5),19*FORSIDE!$B$9,"")</f>
        <v/>
      </c>
      <c r="D1833" t="str">
        <f>IF(AND(FORSIDE!$B$8&gt;=19,FORSIDE!$F$8&gt;=7,FORSIDE!$B$5&gt;=5),FORSIDE!$B$6+(5-1)*FORSIDE!$B$7,"")</f>
        <v/>
      </c>
    </row>
    <row r="1834" spans="1:4" x14ac:dyDescent="0.3">
      <c r="A1834" t="str">
        <f>IF(AND(FORSIDE!$B$8&gt;=19,FORSIDE!$F$8&gt;=7,FORSIDE!$B$5&gt;=6),1833,"")</f>
        <v/>
      </c>
      <c r="B1834" t="str">
        <f>IF(AND(FORSIDE!$B$8&gt;=19,FORSIDE!$F$8&gt;=7,FORSIDE!$B$5&gt;=6),354+7*FORSIDE!$F$9,"")</f>
        <v/>
      </c>
      <c r="C1834" t="str">
        <f>IF(AND(FORSIDE!$B$8&gt;=19,FORSIDE!$F$8&gt;=7,FORSIDE!$B$5&gt;=6),19*FORSIDE!$B$9,"")</f>
        <v/>
      </c>
      <c r="D1834" t="str">
        <f>IF(AND(FORSIDE!$B$8&gt;=19,FORSIDE!$F$8&gt;=7,FORSIDE!$B$5&gt;=6),FORSIDE!$B$6+(6-1)*FORSIDE!$B$7,"")</f>
        <v/>
      </c>
    </row>
    <row r="1835" spans="1:4" x14ac:dyDescent="0.3">
      <c r="A1835" t="str">
        <f>IF(AND(FORSIDE!$B$8&gt;=19,FORSIDE!$F$8&gt;=7,FORSIDE!$B$5&gt;=7),1834,"")</f>
        <v/>
      </c>
      <c r="B1835" t="str">
        <f>IF(AND(FORSIDE!$B$8&gt;=19,FORSIDE!$F$8&gt;=7,FORSIDE!$B$5&gt;=7),354+7*FORSIDE!$F$9,"")</f>
        <v/>
      </c>
      <c r="C1835" t="str">
        <f>IF(AND(FORSIDE!$B$8&gt;=19,FORSIDE!$F$8&gt;=7,FORSIDE!$B$5&gt;=7),19*FORSIDE!$B$9,"")</f>
        <v/>
      </c>
      <c r="D1835" t="str">
        <f>IF(AND(FORSIDE!$B$8&gt;=19,FORSIDE!$F$8&gt;=7,FORSIDE!$B$5&gt;=7),FORSIDE!$B$6+(7-1)*FORSIDE!$B$7,"")</f>
        <v/>
      </c>
    </row>
    <row r="1836" spans="1:4" x14ac:dyDescent="0.3">
      <c r="A1836" t="str">
        <f>IF(AND(FORSIDE!$B$8&gt;=19,FORSIDE!$F$8&gt;=7,FORSIDE!$B$5&gt;=8),1835,"")</f>
        <v/>
      </c>
      <c r="B1836" t="str">
        <f>IF(AND(FORSIDE!$B$8&gt;=19,FORSIDE!$F$8&gt;=7,FORSIDE!$B$5&gt;=8),354+7*FORSIDE!$F$9,"")</f>
        <v/>
      </c>
      <c r="C1836" t="str">
        <f>IF(AND(FORSIDE!$B$8&gt;=19,FORSIDE!$F$8&gt;=7,FORSIDE!$B$5&gt;=8),19*FORSIDE!$B$9,"")</f>
        <v/>
      </c>
      <c r="D1836" t="str">
        <f>IF(AND(FORSIDE!$B$8&gt;=19,FORSIDE!$F$8&gt;=7,FORSIDE!$B$5&gt;=8),FORSIDE!$B$6+(8-1)*FORSIDE!$B$7,"")</f>
        <v/>
      </c>
    </row>
    <row r="1837" spans="1:4" x14ac:dyDescent="0.3">
      <c r="A1837" t="str">
        <f>IF(AND(FORSIDE!$B$8&gt;=19,FORSIDE!$F$8&gt;=7,FORSIDE!$B$5&gt;=9),1836,"")</f>
        <v/>
      </c>
      <c r="B1837" t="str">
        <f>IF(AND(FORSIDE!$B$8&gt;=19,FORSIDE!$F$8&gt;=7,FORSIDE!$B$5&gt;=9),354+7*FORSIDE!$F$9,"")</f>
        <v/>
      </c>
      <c r="C1837" t="str">
        <f>IF(AND(FORSIDE!$B$8&gt;=19,FORSIDE!$F$8&gt;=7,FORSIDE!$B$5&gt;=9),19*FORSIDE!$B$9,"")</f>
        <v/>
      </c>
      <c r="D1837" t="str">
        <f>IF(AND(FORSIDE!$B$8&gt;=19,FORSIDE!$F$8&gt;=7,FORSIDE!$B$5&gt;=9),FORSIDE!$B$6+(9-1)*FORSIDE!$B$7,"")</f>
        <v/>
      </c>
    </row>
    <row r="1838" spans="1:4" x14ac:dyDescent="0.3">
      <c r="A1838" t="str">
        <f>IF(AND(FORSIDE!$B$8&gt;=19,FORSIDE!$F$8&gt;=7,FORSIDE!$B$5&gt;=10),1837,"")</f>
        <v/>
      </c>
      <c r="B1838" t="str">
        <f>IF(AND(FORSIDE!$B$8&gt;=19,FORSIDE!$F$8&gt;=7,FORSIDE!$B$5&gt;=10),354+7*FORSIDE!$F$9,"")</f>
        <v/>
      </c>
      <c r="C1838" t="str">
        <f>IF(AND(FORSIDE!$B$8&gt;=19,FORSIDE!$F$8&gt;=7,FORSIDE!$B$5&gt;=10),19*FORSIDE!$B$9,"")</f>
        <v/>
      </c>
      <c r="D1838" t="str">
        <f>IF(AND(FORSIDE!$B$8&gt;=19,FORSIDE!$F$8&gt;=7,FORSIDE!$B$5&gt;=10),FORSIDE!$B$6+(10-1)*FORSIDE!$B$7,"")</f>
        <v/>
      </c>
    </row>
    <row r="1839" spans="1:4" x14ac:dyDescent="0.3">
      <c r="A1839" t="str">
        <f>IF(AND(FORSIDE!$B$8&gt;=20,FORSIDE!$F$8&gt;=7,FORSIDE!$B$5&gt;=0),1838,"")</f>
        <v/>
      </c>
      <c r="B1839" t="str">
        <f>IF(AND(FORSIDE!$B$8&gt;=20,FORSIDE!$F$8&gt;=7,FORSIDE!$B$5&gt;=0),354+7*FORSIDE!$F$9,"")</f>
        <v/>
      </c>
      <c r="C1839" t="str">
        <f>IF(AND(FORSIDE!$B$8&gt;=20,FORSIDE!$F$8&gt;=7,FORSIDE!$B$5&gt;=0),20*FORSIDE!$B$9,"")</f>
        <v/>
      </c>
      <c r="D1839" t="str">
        <f>IF(AND(FORSIDE!$B$8&gt;=20,FORSIDE!$F$8&gt;=7,FORSIDE!$B$5&gt;=0),0,"")</f>
        <v/>
      </c>
    </row>
    <row r="1840" spans="1:4" x14ac:dyDescent="0.3">
      <c r="A1840" t="str">
        <f>IF(AND(FORSIDE!$B$8&gt;=20,FORSIDE!$F$8&gt;=7,FORSIDE!$B$5&gt;=1),1839,"")</f>
        <v/>
      </c>
      <c r="B1840" t="str">
        <f>IF(AND(FORSIDE!$B$8&gt;=20,FORSIDE!$F$8&gt;=7,FORSIDE!$B$5&gt;=1),354+7*FORSIDE!$F$9,"")</f>
        <v/>
      </c>
      <c r="C1840" t="str">
        <f>IF(AND(FORSIDE!$B$8&gt;=20,FORSIDE!$F$8&gt;=7,FORSIDE!$B$5&gt;=1),20*FORSIDE!$B$9,"")</f>
        <v/>
      </c>
      <c r="D1840" t="str">
        <f>IF(AND(FORSIDE!$B$8&gt;=20,FORSIDE!$F$8&gt;=7,FORSIDE!$B$5&gt;=1),FORSIDE!$B$6+(1-1)*FORSIDE!$B$7,"")</f>
        <v/>
      </c>
    </row>
    <row r="1841" spans="1:4" x14ac:dyDescent="0.3">
      <c r="A1841" t="str">
        <f>IF(AND(FORSIDE!$B$8&gt;=20,FORSIDE!$F$8&gt;=7,FORSIDE!$B$5&gt;=2),1840,"")</f>
        <v/>
      </c>
      <c r="B1841" t="str">
        <f>IF(AND(FORSIDE!$B$8&gt;=20,FORSIDE!$F$8&gt;=7,FORSIDE!$B$5&gt;=2),354+7*FORSIDE!$F$9,"")</f>
        <v/>
      </c>
      <c r="C1841" t="str">
        <f>IF(AND(FORSIDE!$B$8&gt;=20,FORSIDE!$F$8&gt;=7,FORSIDE!$B$5&gt;=2),20*FORSIDE!$B$9,"")</f>
        <v/>
      </c>
      <c r="D1841" t="str">
        <f>IF(AND(FORSIDE!$B$8&gt;=20,FORSIDE!$F$8&gt;=7,FORSIDE!$B$5&gt;=2),FORSIDE!$B$6+(2-1)*FORSIDE!$B$7,"")</f>
        <v/>
      </c>
    </row>
    <row r="1842" spans="1:4" x14ac:dyDescent="0.3">
      <c r="A1842" t="str">
        <f>IF(AND(FORSIDE!$B$8&gt;=20,FORSIDE!$F$8&gt;=7,FORSIDE!$B$5&gt;=3),1841,"")</f>
        <v/>
      </c>
      <c r="B1842" t="str">
        <f>IF(AND(FORSIDE!$B$8&gt;=20,FORSIDE!$F$8&gt;=7,FORSIDE!$B$5&gt;=3),354+7*FORSIDE!$F$9,"")</f>
        <v/>
      </c>
      <c r="C1842" t="str">
        <f>IF(AND(FORSIDE!$B$8&gt;=20,FORSIDE!$F$8&gt;=7,FORSIDE!$B$5&gt;=3),20*FORSIDE!$B$9,"")</f>
        <v/>
      </c>
      <c r="D1842" t="str">
        <f>IF(AND(FORSIDE!$B$8&gt;=20,FORSIDE!$F$8&gt;=7,FORSIDE!$B$5&gt;=3),FORSIDE!$B$6+(3-1)*FORSIDE!$B$7,"")</f>
        <v/>
      </c>
    </row>
    <row r="1843" spans="1:4" x14ac:dyDescent="0.3">
      <c r="A1843" t="str">
        <f>IF(AND(FORSIDE!$B$8&gt;=20,FORSIDE!$F$8&gt;=7,FORSIDE!$B$5&gt;=4),1842,"")</f>
        <v/>
      </c>
      <c r="B1843" t="str">
        <f>IF(AND(FORSIDE!$B$8&gt;=20,FORSIDE!$F$8&gt;=7,FORSIDE!$B$5&gt;=4),354+7*FORSIDE!$F$9,"")</f>
        <v/>
      </c>
      <c r="C1843" t="str">
        <f>IF(AND(FORSIDE!$B$8&gt;=20,FORSIDE!$F$8&gt;=7,FORSIDE!$B$5&gt;=4),20*FORSIDE!$B$9,"")</f>
        <v/>
      </c>
      <c r="D1843" t="str">
        <f>IF(AND(FORSIDE!$B$8&gt;=20,FORSIDE!$F$8&gt;=7,FORSIDE!$B$5&gt;=4),FORSIDE!$B$6+(4-1)*FORSIDE!$B$7,"")</f>
        <v/>
      </c>
    </row>
    <row r="1844" spans="1:4" x14ac:dyDescent="0.3">
      <c r="A1844" t="str">
        <f>IF(AND(FORSIDE!$B$8&gt;=20,FORSIDE!$F$8&gt;=7,FORSIDE!$B$5&gt;=5),1843,"")</f>
        <v/>
      </c>
      <c r="B1844" t="str">
        <f>IF(AND(FORSIDE!$B$8&gt;=20,FORSIDE!$F$8&gt;=7,FORSIDE!$B$5&gt;=5),354+7*FORSIDE!$F$9,"")</f>
        <v/>
      </c>
      <c r="C1844" t="str">
        <f>IF(AND(FORSIDE!$B$8&gt;=20,FORSIDE!$F$8&gt;=7,FORSIDE!$B$5&gt;=5),20*FORSIDE!$B$9,"")</f>
        <v/>
      </c>
      <c r="D1844" t="str">
        <f>IF(AND(FORSIDE!$B$8&gt;=20,FORSIDE!$F$8&gt;=7,FORSIDE!$B$5&gt;=5),FORSIDE!$B$6+(5-1)*FORSIDE!$B$7,"")</f>
        <v/>
      </c>
    </row>
    <row r="1845" spans="1:4" x14ac:dyDescent="0.3">
      <c r="A1845" t="str">
        <f>IF(AND(FORSIDE!$B$8&gt;=20,FORSIDE!$F$8&gt;=7,FORSIDE!$B$5&gt;=6),1844,"")</f>
        <v/>
      </c>
      <c r="B1845" t="str">
        <f>IF(AND(FORSIDE!$B$8&gt;=20,FORSIDE!$F$8&gt;=7,FORSIDE!$B$5&gt;=6),354+7*FORSIDE!$F$9,"")</f>
        <v/>
      </c>
      <c r="C1845" t="str">
        <f>IF(AND(FORSIDE!$B$8&gt;=20,FORSIDE!$F$8&gt;=7,FORSIDE!$B$5&gt;=6),20*FORSIDE!$B$9,"")</f>
        <v/>
      </c>
      <c r="D1845" t="str">
        <f>IF(AND(FORSIDE!$B$8&gt;=20,FORSIDE!$F$8&gt;=7,FORSIDE!$B$5&gt;=6),FORSIDE!$B$6+(6-1)*FORSIDE!$B$7,"")</f>
        <v/>
      </c>
    </row>
    <row r="1846" spans="1:4" x14ac:dyDescent="0.3">
      <c r="A1846" t="str">
        <f>IF(AND(FORSIDE!$B$8&gt;=20,FORSIDE!$F$8&gt;=7,FORSIDE!$B$5&gt;=7),1845,"")</f>
        <v/>
      </c>
      <c r="B1846" t="str">
        <f>IF(AND(FORSIDE!$B$8&gt;=20,FORSIDE!$F$8&gt;=7,FORSIDE!$B$5&gt;=7),354+7*FORSIDE!$F$9,"")</f>
        <v/>
      </c>
      <c r="C1846" t="str">
        <f>IF(AND(FORSIDE!$B$8&gt;=20,FORSIDE!$F$8&gt;=7,FORSIDE!$B$5&gt;=7),20*FORSIDE!$B$9,"")</f>
        <v/>
      </c>
      <c r="D1846" t="str">
        <f>IF(AND(FORSIDE!$B$8&gt;=20,FORSIDE!$F$8&gt;=7,FORSIDE!$B$5&gt;=7),FORSIDE!$B$6+(7-1)*FORSIDE!$B$7,"")</f>
        <v/>
      </c>
    </row>
    <row r="1847" spans="1:4" x14ac:dyDescent="0.3">
      <c r="A1847" t="str">
        <f>IF(AND(FORSIDE!$B$8&gt;=20,FORSIDE!$F$8&gt;=7,FORSIDE!$B$5&gt;=8),1846,"")</f>
        <v/>
      </c>
      <c r="B1847" t="str">
        <f>IF(AND(FORSIDE!$B$8&gt;=20,FORSIDE!$F$8&gt;=7,FORSIDE!$B$5&gt;=8),354+7*FORSIDE!$F$9,"")</f>
        <v/>
      </c>
      <c r="C1847" t="str">
        <f>IF(AND(FORSIDE!$B$8&gt;=20,FORSIDE!$F$8&gt;=7,FORSIDE!$B$5&gt;=8),20*FORSIDE!$B$9,"")</f>
        <v/>
      </c>
      <c r="D1847" t="str">
        <f>IF(AND(FORSIDE!$B$8&gt;=20,FORSIDE!$F$8&gt;=7,FORSIDE!$B$5&gt;=8),FORSIDE!$B$6+(8-1)*FORSIDE!$B$7,"")</f>
        <v/>
      </c>
    </row>
    <row r="1848" spans="1:4" x14ac:dyDescent="0.3">
      <c r="A1848" t="str">
        <f>IF(AND(FORSIDE!$B$8&gt;=20,FORSIDE!$F$8&gt;=7,FORSIDE!$B$5&gt;=9),1847,"")</f>
        <v/>
      </c>
      <c r="B1848" t="str">
        <f>IF(AND(FORSIDE!$B$8&gt;=20,FORSIDE!$F$8&gt;=7,FORSIDE!$B$5&gt;=9),354+7*FORSIDE!$F$9,"")</f>
        <v/>
      </c>
      <c r="C1848" t="str">
        <f>IF(AND(FORSIDE!$B$8&gt;=20,FORSIDE!$F$8&gt;=7,FORSIDE!$B$5&gt;=9),20*FORSIDE!$B$9,"")</f>
        <v/>
      </c>
      <c r="D1848" t="str">
        <f>IF(AND(FORSIDE!$B$8&gt;=20,FORSIDE!$F$8&gt;=7,FORSIDE!$B$5&gt;=9),FORSIDE!$B$6+(9-1)*FORSIDE!$B$7,"")</f>
        <v/>
      </c>
    </row>
    <row r="1849" spans="1:4" x14ac:dyDescent="0.3">
      <c r="A1849" t="str">
        <f>IF(AND(FORSIDE!$B$8&gt;=20,FORSIDE!$F$8&gt;=7,FORSIDE!$B$5&gt;=10),1848,"")</f>
        <v/>
      </c>
      <c r="B1849" t="str">
        <f>IF(AND(FORSIDE!$B$8&gt;=20,FORSIDE!$F$8&gt;=7,FORSIDE!$B$5&gt;=10),354+7*FORSIDE!$F$9,"")</f>
        <v/>
      </c>
      <c r="C1849" t="str">
        <f>IF(AND(FORSIDE!$B$8&gt;=20,FORSIDE!$F$8&gt;=7,FORSIDE!$B$5&gt;=10),20*FORSIDE!$B$9,"")</f>
        <v/>
      </c>
      <c r="D1849" t="str">
        <f>IF(AND(FORSIDE!$B$8&gt;=20,FORSIDE!$F$8&gt;=7,FORSIDE!$B$5&gt;=10),FORSIDE!$B$6+(10-1)*FORSIDE!$B$7,"")</f>
        <v/>
      </c>
    </row>
    <row r="1850" spans="1:4" x14ac:dyDescent="0.3">
      <c r="A1850" t="str">
        <f>IF(AND(FORSIDE!$B$8&gt;=0,FORSIDE!$F$8&gt;=8,FORSIDE!$B$5&gt;=0),1849,"")</f>
        <v/>
      </c>
      <c r="B1850" t="str">
        <f>IF(AND(FORSIDE!$B$8&gt;=0,FORSIDE!$F$8&gt;=8,FORSIDE!$B$5&gt;=0),354+8*FORSIDE!$F$9,"")</f>
        <v/>
      </c>
      <c r="C1850" t="str">
        <f>IF(AND(FORSIDE!$B$8&gt;=0,FORSIDE!$F$8&gt;=8,FORSIDE!$B$5&gt;=0),0*FORSIDE!$B$9,"")</f>
        <v/>
      </c>
      <c r="D1850" t="str">
        <f>IF(AND(FORSIDE!$B$8&gt;=0,FORSIDE!$F$8&gt;=8,FORSIDE!$B$5&gt;=0),0,"")</f>
        <v/>
      </c>
    </row>
    <row r="1851" spans="1:4" x14ac:dyDescent="0.3">
      <c r="A1851" t="str">
        <f>IF(AND(FORSIDE!$B$8&gt;=0,FORSIDE!$F$8&gt;=8,FORSIDE!$B$5&gt;=1),1850,"")</f>
        <v/>
      </c>
      <c r="B1851" t="str">
        <f>IF(AND(FORSIDE!$B$8&gt;=0,FORSIDE!$F$8&gt;=8,FORSIDE!$B$5&gt;=1),354+8*FORSIDE!$F$9,"")</f>
        <v/>
      </c>
      <c r="C1851" t="str">
        <f>IF(AND(FORSIDE!$B$8&gt;=0,FORSIDE!$F$8&gt;=8,FORSIDE!$B$5&gt;=1),0*FORSIDE!$B$9,"")</f>
        <v/>
      </c>
      <c r="D1851" t="str">
        <f>IF(AND(FORSIDE!$B$8&gt;=0,FORSIDE!$F$8&gt;=8,FORSIDE!$B$5&gt;=1),FORSIDE!$B$6+(1-1)*FORSIDE!$B$7,"")</f>
        <v/>
      </c>
    </row>
    <row r="1852" spans="1:4" x14ac:dyDescent="0.3">
      <c r="A1852" t="str">
        <f>IF(AND(FORSIDE!$B$8&gt;=0,FORSIDE!$F$8&gt;=8,FORSIDE!$B$5&gt;=2),1851,"")</f>
        <v/>
      </c>
      <c r="B1852" t="str">
        <f>IF(AND(FORSIDE!$B$8&gt;=0,FORSIDE!$F$8&gt;=8,FORSIDE!$B$5&gt;=2),354+8*FORSIDE!$F$9,"")</f>
        <v/>
      </c>
      <c r="C1852" t="str">
        <f>IF(AND(FORSIDE!$B$8&gt;=0,FORSIDE!$F$8&gt;=8,FORSIDE!$B$5&gt;=2),0*FORSIDE!$B$9,"")</f>
        <v/>
      </c>
      <c r="D1852" t="str">
        <f>IF(AND(FORSIDE!$B$8&gt;=0,FORSIDE!$F$8&gt;=8,FORSIDE!$B$5&gt;=2),FORSIDE!$B$6+(2-1)*FORSIDE!$B$7,"")</f>
        <v/>
      </c>
    </row>
    <row r="1853" spans="1:4" x14ac:dyDescent="0.3">
      <c r="A1853" t="str">
        <f>IF(AND(FORSIDE!$B$8&gt;=0,FORSIDE!$F$8&gt;=8,FORSIDE!$B$5&gt;=3),1852,"")</f>
        <v/>
      </c>
      <c r="B1853" t="str">
        <f>IF(AND(FORSIDE!$B$8&gt;=0,FORSIDE!$F$8&gt;=8,FORSIDE!$B$5&gt;=3),354+8*FORSIDE!$F$9,"")</f>
        <v/>
      </c>
      <c r="C1853" t="str">
        <f>IF(AND(FORSIDE!$B$8&gt;=0,FORSIDE!$F$8&gt;=8,FORSIDE!$B$5&gt;=3),0*FORSIDE!$B$9,"")</f>
        <v/>
      </c>
      <c r="D1853" t="str">
        <f>IF(AND(FORSIDE!$B$8&gt;=0,FORSIDE!$F$8&gt;=8,FORSIDE!$B$5&gt;=3),FORSIDE!$B$6+(3-1)*FORSIDE!$B$7,"")</f>
        <v/>
      </c>
    </row>
    <row r="1854" spans="1:4" x14ac:dyDescent="0.3">
      <c r="A1854" t="str">
        <f>IF(AND(FORSIDE!$B$8&gt;=0,FORSIDE!$F$8&gt;=8,FORSIDE!$B$5&gt;=4),1853,"")</f>
        <v/>
      </c>
      <c r="B1854" t="str">
        <f>IF(AND(FORSIDE!$B$8&gt;=0,FORSIDE!$F$8&gt;=8,FORSIDE!$B$5&gt;=4),354+8*FORSIDE!$F$9,"")</f>
        <v/>
      </c>
      <c r="C1854" t="str">
        <f>IF(AND(FORSIDE!$B$8&gt;=0,FORSIDE!$F$8&gt;=8,FORSIDE!$B$5&gt;=4),0*FORSIDE!$B$9,"")</f>
        <v/>
      </c>
      <c r="D1854" t="str">
        <f>IF(AND(FORSIDE!$B$8&gt;=0,FORSIDE!$F$8&gt;=8,FORSIDE!$B$5&gt;=4),FORSIDE!$B$6+(4-1)*FORSIDE!$B$7,"")</f>
        <v/>
      </c>
    </row>
    <row r="1855" spans="1:4" x14ac:dyDescent="0.3">
      <c r="A1855" t="str">
        <f>IF(AND(FORSIDE!$B$8&gt;=0,FORSIDE!$F$8&gt;=8,FORSIDE!$B$5&gt;=5),1854,"")</f>
        <v/>
      </c>
      <c r="B1855" t="str">
        <f>IF(AND(FORSIDE!$B$8&gt;=0,FORSIDE!$F$8&gt;=8,FORSIDE!$B$5&gt;=5),354+8*FORSIDE!$F$9,"")</f>
        <v/>
      </c>
      <c r="C1855" t="str">
        <f>IF(AND(FORSIDE!$B$8&gt;=0,FORSIDE!$F$8&gt;=8,FORSIDE!$B$5&gt;=5),0*FORSIDE!$B$9,"")</f>
        <v/>
      </c>
      <c r="D1855" t="str">
        <f>IF(AND(FORSIDE!$B$8&gt;=0,FORSIDE!$F$8&gt;=8,FORSIDE!$B$5&gt;=5),FORSIDE!$B$6+(5-1)*FORSIDE!$B$7,"")</f>
        <v/>
      </c>
    </row>
    <row r="1856" spans="1:4" x14ac:dyDescent="0.3">
      <c r="A1856" t="str">
        <f>IF(AND(FORSIDE!$B$8&gt;=0,FORSIDE!$F$8&gt;=8,FORSIDE!$B$5&gt;=6),1855,"")</f>
        <v/>
      </c>
      <c r="B1856" t="str">
        <f>IF(AND(FORSIDE!$B$8&gt;=0,FORSIDE!$F$8&gt;=8,FORSIDE!$B$5&gt;=6),354+8*FORSIDE!$F$9,"")</f>
        <v/>
      </c>
      <c r="C1856" t="str">
        <f>IF(AND(FORSIDE!$B$8&gt;=0,FORSIDE!$F$8&gt;=8,FORSIDE!$B$5&gt;=6),0*FORSIDE!$B$9,"")</f>
        <v/>
      </c>
      <c r="D1856" t="str">
        <f>IF(AND(FORSIDE!$B$8&gt;=0,FORSIDE!$F$8&gt;=8,FORSIDE!$B$5&gt;=6),FORSIDE!$B$6+(6-1)*FORSIDE!$B$7,"")</f>
        <v/>
      </c>
    </row>
    <row r="1857" spans="1:4" x14ac:dyDescent="0.3">
      <c r="A1857" t="str">
        <f>IF(AND(FORSIDE!$B$8&gt;=0,FORSIDE!$F$8&gt;=8,FORSIDE!$B$5&gt;=7),1856,"")</f>
        <v/>
      </c>
      <c r="B1857" t="str">
        <f>IF(AND(FORSIDE!$B$8&gt;=0,FORSIDE!$F$8&gt;=8,FORSIDE!$B$5&gt;=7),354+8*FORSIDE!$F$9,"")</f>
        <v/>
      </c>
      <c r="C1857" t="str">
        <f>IF(AND(FORSIDE!$B$8&gt;=0,FORSIDE!$F$8&gt;=8,FORSIDE!$B$5&gt;=7),0*FORSIDE!$B$9,"")</f>
        <v/>
      </c>
      <c r="D1857" t="str">
        <f>IF(AND(FORSIDE!$B$8&gt;=0,FORSIDE!$F$8&gt;=8,FORSIDE!$B$5&gt;=7),FORSIDE!$B$6+(7-1)*FORSIDE!$B$7,"")</f>
        <v/>
      </c>
    </row>
    <row r="1858" spans="1:4" x14ac:dyDescent="0.3">
      <c r="A1858" t="str">
        <f>IF(AND(FORSIDE!$B$8&gt;=0,FORSIDE!$F$8&gt;=8,FORSIDE!$B$5&gt;=8),1857,"")</f>
        <v/>
      </c>
      <c r="B1858" t="str">
        <f>IF(AND(FORSIDE!$B$8&gt;=0,FORSIDE!$F$8&gt;=8,FORSIDE!$B$5&gt;=8),354+8*FORSIDE!$F$9,"")</f>
        <v/>
      </c>
      <c r="C1858" t="str">
        <f>IF(AND(FORSIDE!$B$8&gt;=0,FORSIDE!$F$8&gt;=8,FORSIDE!$B$5&gt;=8),0*FORSIDE!$B$9,"")</f>
        <v/>
      </c>
      <c r="D1858" t="str">
        <f>IF(AND(FORSIDE!$B$8&gt;=0,FORSIDE!$F$8&gt;=8,FORSIDE!$B$5&gt;=8),FORSIDE!$B$6+(8-1)*FORSIDE!$B$7,"")</f>
        <v/>
      </c>
    </row>
    <row r="1859" spans="1:4" x14ac:dyDescent="0.3">
      <c r="A1859" t="str">
        <f>IF(AND(FORSIDE!$B$8&gt;=0,FORSIDE!$F$8&gt;=8,FORSIDE!$B$5&gt;=9),1858,"")</f>
        <v/>
      </c>
      <c r="B1859" t="str">
        <f>IF(AND(FORSIDE!$B$8&gt;=0,FORSIDE!$F$8&gt;=8,FORSIDE!$B$5&gt;=9),354+8*FORSIDE!$F$9,"")</f>
        <v/>
      </c>
      <c r="C1859" t="str">
        <f>IF(AND(FORSIDE!$B$8&gt;=0,FORSIDE!$F$8&gt;=8,FORSIDE!$B$5&gt;=9),0*FORSIDE!$B$9,"")</f>
        <v/>
      </c>
      <c r="D1859" t="str">
        <f>IF(AND(FORSIDE!$B$8&gt;=0,FORSIDE!$F$8&gt;=8,FORSIDE!$B$5&gt;=9),FORSIDE!$B$6+(9-1)*FORSIDE!$B$7,"")</f>
        <v/>
      </c>
    </row>
    <row r="1860" spans="1:4" x14ac:dyDescent="0.3">
      <c r="A1860" t="str">
        <f>IF(AND(FORSIDE!$B$8&gt;=0,FORSIDE!$F$8&gt;=8,FORSIDE!$B$5&gt;=10),1859,"")</f>
        <v/>
      </c>
      <c r="B1860" t="str">
        <f>IF(AND(FORSIDE!$B$8&gt;=0,FORSIDE!$F$8&gt;=8,FORSIDE!$B$5&gt;=10),354+8*FORSIDE!$F$9,"")</f>
        <v/>
      </c>
      <c r="C1860" t="str">
        <f>IF(AND(FORSIDE!$B$8&gt;=0,FORSIDE!$F$8&gt;=8,FORSIDE!$B$5&gt;=10),0*FORSIDE!$B$9,"")</f>
        <v/>
      </c>
      <c r="D1860" t="str">
        <f>IF(AND(FORSIDE!$B$8&gt;=0,FORSIDE!$F$8&gt;=8,FORSIDE!$B$5&gt;=10),FORSIDE!$B$6+(10-1)*FORSIDE!$B$7,"")</f>
        <v/>
      </c>
    </row>
    <row r="1861" spans="1:4" x14ac:dyDescent="0.3">
      <c r="A1861" t="str">
        <f>IF(AND(FORSIDE!$B$8&gt;=1,FORSIDE!$F$8&gt;=8,FORSIDE!$B$5&gt;=0),1860,"")</f>
        <v/>
      </c>
      <c r="B1861" t="str">
        <f>IF(AND(FORSIDE!$B$8&gt;=1,FORSIDE!$F$8&gt;=8,FORSIDE!$B$5&gt;=0),354+8*FORSIDE!$F$9,"")</f>
        <v/>
      </c>
      <c r="C1861" t="str">
        <f>IF(AND(FORSIDE!$B$8&gt;=1,FORSIDE!$F$8&gt;=8,FORSIDE!$B$5&gt;=0),1*FORSIDE!$B$9,"")</f>
        <v/>
      </c>
      <c r="D1861" t="str">
        <f>IF(AND(FORSIDE!$B$8&gt;=1,FORSIDE!$F$8&gt;=8,FORSIDE!$B$5&gt;=0),0,"")</f>
        <v/>
      </c>
    </row>
    <row r="1862" spans="1:4" x14ac:dyDescent="0.3">
      <c r="A1862" t="str">
        <f>IF(AND(FORSIDE!$B$8&gt;=1,FORSIDE!$F$8&gt;=8,FORSIDE!$B$5&gt;=1),1861,"")</f>
        <v/>
      </c>
      <c r="B1862" t="str">
        <f>IF(AND(FORSIDE!$B$8&gt;=1,FORSIDE!$F$8&gt;=8,FORSIDE!$B$5&gt;=1),354+8*FORSIDE!$F$9,"")</f>
        <v/>
      </c>
      <c r="C1862" t="str">
        <f>IF(AND(FORSIDE!$B$8&gt;=1,FORSIDE!$F$8&gt;=8,FORSIDE!$B$5&gt;=1),1*FORSIDE!$B$9,"")</f>
        <v/>
      </c>
      <c r="D1862" t="str">
        <f>IF(AND(FORSIDE!$B$8&gt;=1,FORSIDE!$F$8&gt;=8,FORSIDE!$B$5&gt;=1),FORSIDE!$B$6+(1-1)*FORSIDE!$B$7,"")</f>
        <v/>
      </c>
    </row>
    <row r="1863" spans="1:4" x14ac:dyDescent="0.3">
      <c r="A1863" t="str">
        <f>IF(AND(FORSIDE!$B$8&gt;=1,FORSIDE!$F$8&gt;=8,FORSIDE!$B$5&gt;=2),1862,"")</f>
        <v/>
      </c>
      <c r="B1863" t="str">
        <f>IF(AND(FORSIDE!$B$8&gt;=1,FORSIDE!$F$8&gt;=8,FORSIDE!$B$5&gt;=2),354+8*FORSIDE!$F$9,"")</f>
        <v/>
      </c>
      <c r="C1863" t="str">
        <f>IF(AND(FORSIDE!$B$8&gt;=1,FORSIDE!$F$8&gt;=8,FORSIDE!$B$5&gt;=2),1*FORSIDE!$B$9,"")</f>
        <v/>
      </c>
      <c r="D1863" t="str">
        <f>IF(AND(FORSIDE!$B$8&gt;=1,FORSIDE!$F$8&gt;=8,FORSIDE!$B$5&gt;=2),FORSIDE!$B$6+(2-1)*FORSIDE!$B$7,"")</f>
        <v/>
      </c>
    </row>
    <row r="1864" spans="1:4" x14ac:dyDescent="0.3">
      <c r="A1864" t="str">
        <f>IF(AND(FORSIDE!$B$8&gt;=1,FORSIDE!$F$8&gt;=8,FORSIDE!$B$5&gt;=3),1863,"")</f>
        <v/>
      </c>
      <c r="B1864" t="str">
        <f>IF(AND(FORSIDE!$B$8&gt;=1,FORSIDE!$F$8&gt;=8,FORSIDE!$B$5&gt;=3),354+8*FORSIDE!$F$9,"")</f>
        <v/>
      </c>
      <c r="C1864" t="str">
        <f>IF(AND(FORSIDE!$B$8&gt;=1,FORSIDE!$F$8&gt;=8,FORSIDE!$B$5&gt;=3),1*FORSIDE!$B$9,"")</f>
        <v/>
      </c>
      <c r="D1864" t="str">
        <f>IF(AND(FORSIDE!$B$8&gt;=1,FORSIDE!$F$8&gt;=8,FORSIDE!$B$5&gt;=3),FORSIDE!$B$6+(3-1)*FORSIDE!$B$7,"")</f>
        <v/>
      </c>
    </row>
    <row r="1865" spans="1:4" x14ac:dyDescent="0.3">
      <c r="A1865" t="str">
        <f>IF(AND(FORSIDE!$B$8&gt;=1,FORSIDE!$F$8&gt;=8,FORSIDE!$B$5&gt;=4),1864,"")</f>
        <v/>
      </c>
      <c r="B1865" t="str">
        <f>IF(AND(FORSIDE!$B$8&gt;=1,FORSIDE!$F$8&gt;=8,FORSIDE!$B$5&gt;=4),354+8*FORSIDE!$F$9,"")</f>
        <v/>
      </c>
      <c r="C1865" t="str">
        <f>IF(AND(FORSIDE!$B$8&gt;=1,FORSIDE!$F$8&gt;=8,FORSIDE!$B$5&gt;=4),1*FORSIDE!$B$9,"")</f>
        <v/>
      </c>
      <c r="D1865" t="str">
        <f>IF(AND(FORSIDE!$B$8&gt;=1,FORSIDE!$F$8&gt;=8,FORSIDE!$B$5&gt;=4),FORSIDE!$B$6+(4-1)*FORSIDE!$B$7,"")</f>
        <v/>
      </c>
    </row>
    <row r="1866" spans="1:4" x14ac:dyDescent="0.3">
      <c r="A1866" t="str">
        <f>IF(AND(FORSIDE!$B$8&gt;=1,FORSIDE!$F$8&gt;=8,FORSIDE!$B$5&gt;=5),1865,"")</f>
        <v/>
      </c>
      <c r="B1866" t="str">
        <f>IF(AND(FORSIDE!$B$8&gt;=1,FORSIDE!$F$8&gt;=8,FORSIDE!$B$5&gt;=5),354+8*FORSIDE!$F$9,"")</f>
        <v/>
      </c>
      <c r="C1866" t="str">
        <f>IF(AND(FORSIDE!$B$8&gt;=1,FORSIDE!$F$8&gt;=8,FORSIDE!$B$5&gt;=5),1*FORSIDE!$B$9,"")</f>
        <v/>
      </c>
      <c r="D1866" t="str">
        <f>IF(AND(FORSIDE!$B$8&gt;=1,FORSIDE!$F$8&gt;=8,FORSIDE!$B$5&gt;=5),FORSIDE!$B$6+(5-1)*FORSIDE!$B$7,"")</f>
        <v/>
      </c>
    </row>
    <row r="1867" spans="1:4" x14ac:dyDescent="0.3">
      <c r="A1867" t="str">
        <f>IF(AND(FORSIDE!$B$8&gt;=1,FORSIDE!$F$8&gt;=8,FORSIDE!$B$5&gt;=6),1866,"")</f>
        <v/>
      </c>
      <c r="B1867" t="str">
        <f>IF(AND(FORSIDE!$B$8&gt;=1,FORSIDE!$F$8&gt;=8,FORSIDE!$B$5&gt;=6),354+8*FORSIDE!$F$9,"")</f>
        <v/>
      </c>
      <c r="C1867" t="str">
        <f>IF(AND(FORSIDE!$B$8&gt;=1,FORSIDE!$F$8&gt;=8,FORSIDE!$B$5&gt;=6),1*FORSIDE!$B$9,"")</f>
        <v/>
      </c>
      <c r="D1867" t="str">
        <f>IF(AND(FORSIDE!$B$8&gt;=1,FORSIDE!$F$8&gt;=8,FORSIDE!$B$5&gt;=6),FORSIDE!$B$6+(6-1)*FORSIDE!$B$7,"")</f>
        <v/>
      </c>
    </row>
    <row r="1868" spans="1:4" x14ac:dyDescent="0.3">
      <c r="A1868" t="str">
        <f>IF(AND(FORSIDE!$B$8&gt;=1,FORSIDE!$F$8&gt;=8,FORSIDE!$B$5&gt;=7),1867,"")</f>
        <v/>
      </c>
      <c r="B1868" t="str">
        <f>IF(AND(FORSIDE!$B$8&gt;=1,FORSIDE!$F$8&gt;=8,FORSIDE!$B$5&gt;=7),354+8*FORSIDE!$F$9,"")</f>
        <v/>
      </c>
      <c r="C1868" t="str">
        <f>IF(AND(FORSIDE!$B$8&gt;=1,FORSIDE!$F$8&gt;=8,FORSIDE!$B$5&gt;=7),1*FORSIDE!$B$9,"")</f>
        <v/>
      </c>
      <c r="D1868" t="str">
        <f>IF(AND(FORSIDE!$B$8&gt;=1,FORSIDE!$F$8&gt;=8,FORSIDE!$B$5&gt;=7),FORSIDE!$B$6+(7-1)*FORSIDE!$B$7,"")</f>
        <v/>
      </c>
    </row>
    <row r="1869" spans="1:4" x14ac:dyDescent="0.3">
      <c r="A1869" t="str">
        <f>IF(AND(FORSIDE!$B$8&gt;=1,FORSIDE!$F$8&gt;=8,FORSIDE!$B$5&gt;=8),1868,"")</f>
        <v/>
      </c>
      <c r="B1869" t="str">
        <f>IF(AND(FORSIDE!$B$8&gt;=1,FORSIDE!$F$8&gt;=8,FORSIDE!$B$5&gt;=8),354+8*FORSIDE!$F$9,"")</f>
        <v/>
      </c>
      <c r="C1869" t="str">
        <f>IF(AND(FORSIDE!$B$8&gt;=1,FORSIDE!$F$8&gt;=8,FORSIDE!$B$5&gt;=8),1*FORSIDE!$B$9,"")</f>
        <v/>
      </c>
      <c r="D1869" t="str">
        <f>IF(AND(FORSIDE!$B$8&gt;=1,FORSIDE!$F$8&gt;=8,FORSIDE!$B$5&gt;=8),FORSIDE!$B$6+(8-1)*FORSIDE!$B$7,"")</f>
        <v/>
      </c>
    </row>
    <row r="1870" spans="1:4" x14ac:dyDescent="0.3">
      <c r="A1870" t="str">
        <f>IF(AND(FORSIDE!$B$8&gt;=1,FORSIDE!$F$8&gt;=8,FORSIDE!$B$5&gt;=9),1869,"")</f>
        <v/>
      </c>
      <c r="B1870" t="str">
        <f>IF(AND(FORSIDE!$B$8&gt;=1,FORSIDE!$F$8&gt;=8,FORSIDE!$B$5&gt;=9),354+8*FORSIDE!$F$9,"")</f>
        <v/>
      </c>
      <c r="C1870" t="str">
        <f>IF(AND(FORSIDE!$B$8&gt;=1,FORSIDE!$F$8&gt;=8,FORSIDE!$B$5&gt;=9),1*FORSIDE!$B$9,"")</f>
        <v/>
      </c>
      <c r="D1870" t="str">
        <f>IF(AND(FORSIDE!$B$8&gt;=1,FORSIDE!$F$8&gt;=8,FORSIDE!$B$5&gt;=9),FORSIDE!$B$6+(9-1)*FORSIDE!$B$7,"")</f>
        <v/>
      </c>
    </row>
    <row r="1871" spans="1:4" x14ac:dyDescent="0.3">
      <c r="A1871" t="str">
        <f>IF(AND(FORSIDE!$B$8&gt;=1,FORSIDE!$F$8&gt;=8,FORSIDE!$B$5&gt;=10),1870,"")</f>
        <v/>
      </c>
      <c r="B1871" t="str">
        <f>IF(AND(FORSIDE!$B$8&gt;=1,FORSIDE!$F$8&gt;=8,FORSIDE!$B$5&gt;=10),354+8*FORSIDE!$F$9,"")</f>
        <v/>
      </c>
      <c r="C1871" t="str">
        <f>IF(AND(FORSIDE!$B$8&gt;=1,FORSIDE!$F$8&gt;=8,FORSIDE!$B$5&gt;=10),1*FORSIDE!$B$9,"")</f>
        <v/>
      </c>
      <c r="D1871" t="str">
        <f>IF(AND(FORSIDE!$B$8&gt;=1,FORSIDE!$F$8&gt;=8,FORSIDE!$B$5&gt;=10),FORSIDE!$B$6+(10-1)*FORSIDE!$B$7,"")</f>
        <v/>
      </c>
    </row>
    <row r="1872" spans="1:4" x14ac:dyDescent="0.3">
      <c r="A1872" t="str">
        <f>IF(AND(FORSIDE!$B$8&gt;=2,FORSIDE!$F$8&gt;=8,FORSIDE!$B$5&gt;=0),1871,"")</f>
        <v/>
      </c>
      <c r="B1872" t="str">
        <f>IF(AND(FORSIDE!$B$8&gt;=2,FORSIDE!$F$8&gt;=8,FORSIDE!$B$5&gt;=0),354+8*FORSIDE!$F$9,"")</f>
        <v/>
      </c>
      <c r="C1872" t="str">
        <f>IF(AND(FORSIDE!$B$8&gt;=2,FORSIDE!$F$8&gt;=8,FORSIDE!$B$5&gt;=0),2*FORSIDE!$B$9,"")</f>
        <v/>
      </c>
      <c r="D1872" t="str">
        <f>IF(AND(FORSIDE!$B$8&gt;=2,FORSIDE!$F$8&gt;=8,FORSIDE!$B$5&gt;=0),0,"")</f>
        <v/>
      </c>
    </row>
    <row r="1873" spans="1:4" x14ac:dyDescent="0.3">
      <c r="A1873" t="str">
        <f>IF(AND(FORSIDE!$B$8&gt;=2,FORSIDE!$F$8&gt;=8,FORSIDE!$B$5&gt;=1),1872,"")</f>
        <v/>
      </c>
      <c r="B1873" t="str">
        <f>IF(AND(FORSIDE!$B$8&gt;=2,FORSIDE!$F$8&gt;=8,FORSIDE!$B$5&gt;=1),354+8*FORSIDE!$F$9,"")</f>
        <v/>
      </c>
      <c r="C1873" t="str">
        <f>IF(AND(FORSIDE!$B$8&gt;=2,FORSIDE!$F$8&gt;=8,FORSIDE!$B$5&gt;=1),2*FORSIDE!$B$9,"")</f>
        <v/>
      </c>
      <c r="D1873" t="str">
        <f>IF(AND(FORSIDE!$B$8&gt;=2,FORSIDE!$F$8&gt;=8,FORSIDE!$B$5&gt;=1),FORSIDE!$B$6+(1-1)*FORSIDE!$B$7,"")</f>
        <v/>
      </c>
    </row>
    <row r="1874" spans="1:4" x14ac:dyDescent="0.3">
      <c r="A1874" t="str">
        <f>IF(AND(FORSIDE!$B$8&gt;=2,FORSIDE!$F$8&gt;=8,FORSIDE!$B$5&gt;=2),1873,"")</f>
        <v/>
      </c>
      <c r="B1874" t="str">
        <f>IF(AND(FORSIDE!$B$8&gt;=2,FORSIDE!$F$8&gt;=8,FORSIDE!$B$5&gt;=2),354+8*FORSIDE!$F$9,"")</f>
        <v/>
      </c>
      <c r="C1874" t="str">
        <f>IF(AND(FORSIDE!$B$8&gt;=2,FORSIDE!$F$8&gt;=8,FORSIDE!$B$5&gt;=2),2*FORSIDE!$B$9,"")</f>
        <v/>
      </c>
      <c r="D1874" t="str">
        <f>IF(AND(FORSIDE!$B$8&gt;=2,FORSIDE!$F$8&gt;=8,FORSIDE!$B$5&gt;=2),FORSIDE!$B$6+(2-1)*FORSIDE!$B$7,"")</f>
        <v/>
      </c>
    </row>
    <row r="1875" spans="1:4" x14ac:dyDescent="0.3">
      <c r="A1875" t="str">
        <f>IF(AND(FORSIDE!$B$8&gt;=2,FORSIDE!$F$8&gt;=8,FORSIDE!$B$5&gt;=3),1874,"")</f>
        <v/>
      </c>
      <c r="B1875" t="str">
        <f>IF(AND(FORSIDE!$B$8&gt;=2,FORSIDE!$F$8&gt;=8,FORSIDE!$B$5&gt;=3),354+8*FORSIDE!$F$9,"")</f>
        <v/>
      </c>
      <c r="C1875" t="str">
        <f>IF(AND(FORSIDE!$B$8&gt;=2,FORSIDE!$F$8&gt;=8,FORSIDE!$B$5&gt;=3),2*FORSIDE!$B$9,"")</f>
        <v/>
      </c>
      <c r="D1875" t="str">
        <f>IF(AND(FORSIDE!$B$8&gt;=2,FORSIDE!$F$8&gt;=8,FORSIDE!$B$5&gt;=3),FORSIDE!$B$6+(3-1)*FORSIDE!$B$7,"")</f>
        <v/>
      </c>
    </row>
    <row r="1876" spans="1:4" x14ac:dyDescent="0.3">
      <c r="A1876" t="str">
        <f>IF(AND(FORSIDE!$B$8&gt;=2,FORSIDE!$F$8&gt;=8,FORSIDE!$B$5&gt;=4),1875,"")</f>
        <v/>
      </c>
      <c r="B1876" t="str">
        <f>IF(AND(FORSIDE!$B$8&gt;=2,FORSIDE!$F$8&gt;=8,FORSIDE!$B$5&gt;=4),354+8*FORSIDE!$F$9,"")</f>
        <v/>
      </c>
      <c r="C1876" t="str">
        <f>IF(AND(FORSIDE!$B$8&gt;=2,FORSIDE!$F$8&gt;=8,FORSIDE!$B$5&gt;=4),2*FORSIDE!$B$9,"")</f>
        <v/>
      </c>
      <c r="D1876" t="str">
        <f>IF(AND(FORSIDE!$B$8&gt;=2,FORSIDE!$F$8&gt;=8,FORSIDE!$B$5&gt;=4),FORSIDE!$B$6+(4-1)*FORSIDE!$B$7,"")</f>
        <v/>
      </c>
    </row>
    <row r="1877" spans="1:4" x14ac:dyDescent="0.3">
      <c r="A1877" t="str">
        <f>IF(AND(FORSIDE!$B$8&gt;=2,FORSIDE!$F$8&gt;=8,FORSIDE!$B$5&gt;=5),1876,"")</f>
        <v/>
      </c>
      <c r="B1877" t="str">
        <f>IF(AND(FORSIDE!$B$8&gt;=2,FORSIDE!$F$8&gt;=8,FORSIDE!$B$5&gt;=5),354+8*FORSIDE!$F$9,"")</f>
        <v/>
      </c>
      <c r="C1877" t="str">
        <f>IF(AND(FORSIDE!$B$8&gt;=2,FORSIDE!$F$8&gt;=8,FORSIDE!$B$5&gt;=5),2*FORSIDE!$B$9,"")</f>
        <v/>
      </c>
      <c r="D1877" t="str">
        <f>IF(AND(FORSIDE!$B$8&gt;=2,FORSIDE!$F$8&gt;=8,FORSIDE!$B$5&gt;=5),FORSIDE!$B$6+(5-1)*FORSIDE!$B$7,"")</f>
        <v/>
      </c>
    </row>
    <row r="1878" spans="1:4" x14ac:dyDescent="0.3">
      <c r="A1878" t="str">
        <f>IF(AND(FORSIDE!$B$8&gt;=2,FORSIDE!$F$8&gt;=8,FORSIDE!$B$5&gt;=6),1877,"")</f>
        <v/>
      </c>
      <c r="B1878" t="str">
        <f>IF(AND(FORSIDE!$B$8&gt;=2,FORSIDE!$F$8&gt;=8,FORSIDE!$B$5&gt;=6),354+8*FORSIDE!$F$9,"")</f>
        <v/>
      </c>
      <c r="C1878" t="str">
        <f>IF(AND(FORSIDE!$B$8&gt;=2,FORSIDE!$F$8&gt;=8,FORSIDE!$B$5&gt;=6),2*FORSIDE!$B$9,"")</f>
        <v/>
      </c>
      <c r="D1878" t="str">
        <f>IF(AND(FORSIDE!$B$8&gt;=2,FORSIDE!$F$8&gt;=8,FORSIDE!$B$5&gt;=6),FORSIDE!$B$6+(6-1)*FORSIDE!$B$7,"")</f>
        <v/>
      </c>
    </row>
    <row r="1879" spans="1:4" x14ac:dyDescent="0.3">
      <c r="A1879" t="str">
        <f>IF(AND(FORSIDE!$B$8&gt;=2,FORSIDE!$F$8&gt;=8,FORSIDE!$B$5&gt;=7),1878,"")</f>
        <v/>
      </c>
      <c r="B1879" t="str">
        <f>IF(AND(FORSIDE!$B$8&gt;=2,FORSIDE!$F$8&gt;=8,FORSIDE!$B$5&gt;=7),354+8*FORSIDE!$F$9,"")</f>
        <v/>
      </c>
      <c r="C1879" t="str">
        <f>IF(AND(FORSIDE!$B$8&gt;=2,FORSIDE!$F$8&gt;=8,FORSIDE!$B$5&gt;=7),2*FORSIDE!$B$9,"")</f>
        <v/>
      </c>
      <c r="D1879" t="str">
        <f>IF(AND(FORSIDE!$B$8&gt;=2,FORSIDE!$F$8&gt;=8,FORSIDE!$B$5&gt;=7),FORSIDE!$B$6+(7-1)*FORSIDE!$B$7,"")</f>
        <v/>
      </c>
    </row>
    <row r="1880" spans="1:4" x14ac:dyDescent="0.3">
      <c r="A1880" t="str">
        <f>IF(AND(FORSIDE!$B$8&gt;=2,FORSIDE!$F$8&gt;=8,FORSIDE!$B$5&gt;=8),1879,"")</f>
        <v/>
      </c>
      <c r="B1880" t="str">
        <f>IF(AND(FORSIDE!$B$8&gt;=2,FORSIDE!$F$8&gt;=8,FORSIDE!$B$5&gt;=8),354+8*FORSIDE!$F$9,"")</f>
        <v/>
      </c>
      <c r="C1880" t="str">
        <f>IF(AND(FORSIDE!$B$8&gt;=2,FORSIDE!$F$8&gt;=8,FORSIDE!$B$5&gt;=8),2*FORSIDE!$B$9,"")</f>
        <v/>
      </c>
      <c r="D1880" t="str">
        <f>IF(AND(FORSIDE!$B$8&gt;=2,FORSIDE!$F$8&gt;=8,FORSIDE!$B$5&gt;=8),FORSIDE!$B$6+(8-1)*FORSIDE!$B$7,"")</f>
        <v/>
      </c>
    </row>
    <row r="1881" spans="1:4" x14ac:dyDescent="0.3">
      <c r="A1881" t="str">
        <f>IF(AND(FORSIDE!$B$8&gt;=2,FORSIDE!$F$8&gt;=8,FORSIDE!$B$5&gt;=9),1880,"")</f>
        <v/>
      </c>
      <c r="B1881" t="str">
        <f>IF(AND(FORSIDE!$B$8&gt;=2,FORSIDE!$F$8&gt;=8,FORSIDE!$B$5&gt;=9),354+8*FORSIDE!$F$9,"")</f>
        <v/>
      </c>
      <c r="C1881" t="str">
        <f>IF(AND(FORSIDE!$B$8&gt;=2,FORSIDE!$F$8&gt;=8,FORSIDE!$B$5&gt;=9),2*FORSIDE!$B$9,"")</f>
        <v/>
      </c>
      <c r="D1881" t="str">
        <f>IF(AND(FORSIDE!$B$8&gt;=2,FORSIDE!$F$8&gt;=8,FORSIDE!$B$5&gt;=9),FORSIDE!$B$6+(9-1)*FORSIDE!$B$7,"")</f>
        <v/>
      </c>
    </row>
    <row r="1882" spans="1:4" x14ac:dyDescent="0.3">
      <c r="A1882" t="str">
        <f>IF(AND(FORSIDE!$B$8&gt;=2,FORSIDE!$F$8&gt;=8,FORSIDE!$B$5&gt;=10),1881,"")</f>
        <v/>
      </c>
      <c r="B1882" t="str">
        <f>IF(AND(FORSIDE!$B$8&gt;=2,FORSIDE!$F$8&gt;=8,FORSIDE!$B$5&gt;=10),354+8*FORSIDE!$F$9,"")</f>
        <v/>
      </c>
      <c r="C1882" t="str">
        <f>IF(AND(FORSIDE!$B$8&gt;=2,FORSIDE!$F$8&gt;=8,FORSIDE!$B$5&gt;=10),2*FORSIDE!$B$9,"")</f>
        <v/>
      </c>
      <c r="D1882" t="str">
        <f>IF(AND(FORSIDE!$B$8&gt;=2,FORSIDE!$F$8&gt;=8,FORSIDE!$B$5&gt;=10),FORSIDE!$B$6+(10-1)*FORSIDE!$B$7,"")</f>
        <v/>
      </c>
    </row>
    <row r="1883" spans="1:4" x14ac:dyDescent="0.3">
      <c r="A1883" t="str">
        <f>IF(AND(FORSIDE!$B$8&gt;=3,FORSIDE!$F$8&gt;=8,FORSIDE!$B$5&gt;=0),1882,"")</f>
        <v/>
      </c>
      <c r="B1883" t="str">
        <f>IF(AND(FORSIDE!$B$8&gt;=3,FORSIDE!$F$8&gt;=8,FORSIDE!$B$5&gt;=0),354+8*FORSIDE!$F$9,"")</f>
        <v/>
      </c>
      <c r="C1883" t="str">
        <f>IF(AND(FORSIDE!$B$8&gt;=3,FORSIDE!$F$8&gt;=8,FORSIDE!$B$5&gt;=0),3*FORSIDE!$B$9,"")</f>
        <v/>
      </c>
      <c r="D1883" t="str">
        <f>IF(AND(FORSIDE!$B$8&gt;=3,FORSIDE!$F$8&gt;=8,FORSIDE!$B$5&gt;=0),0,"")</f>
        <v/>
      </c>
    </row>
    <row r="1884" spans="1:4" x14ac:dyDescent="0.3">
      <c r="A1884" t="str">
        <f>IF(AND(FORSIDE!$B$8&gt;=3,FORSIDE!$F$8&gt;=8,FORSIDE!$B$5&gt;=1),1883,"")</f>
        <v/>
      </c>
      <c r="B1884" t="str">
        <f>IF(AND(FORSIDE!$B$8&gt;=3,FORSIDE!$F$8&gt;=8,FORSIDE!$B$5&gt;=1),354+8*FORSIDE!$F$9,"")</f>
        <v/>
      </c>
      <c r="C1884" t="str">
        <f>IF(AND(FORSIDE!$B$8&gt;=3,FORSIDE!$F$8&gt;=8,FORSIDE!$B$5&gt;=1),3*FORSIDE!$B$9,"")</f>
        <v/>
      </c>
      <c r="D1884" t="str">
        <f>IF(AND(FORSIDE!$B$8&gt;=3,FORSIDE!$F$8&gt;=8,FORSIDE!$B$5&gt;=1),FORSIDE!$B$6+(1-1)*FORSIDE!$B$7,"")</f>
        <v/>
      </c>
    </row>
    <row r="1885" spans="1:4" x14ac:dyDescent="0.3">
      <c r="A1885" t="str">
        <f>IF(AND(FORSIDE!$B$8&gt;=3,FORSIDE!$F$8&gt;=8,FORSIDE!$B$5&gt;=2),1884,"")</f>
        <v/>
      </c>
      <c r="B1885" t="str">
        <f>IF(AND(FORSIDE!$B$8&gt;=3,FORSIDE!$F$8&gt;=8,FORSIDE!$B$5&gt;=2),354+8*FORSIDE!$F$9,"")</f>
        <v/>
      </c>
      <c r="C1885" t="str">
        <f>IF(AND(FORSIDE!$B$8&gt;=3,FORSIDE!$F$8&gt;=8,FORSIDE!$B$5&gt;=2),3*FORSIDE!$B$9,"")</f>
        <v/>
      </c>
      <c r="D1885" t="str">
        <f>IF(AND(FORSIDE!$B$8&gt;=3,FORSIDE!$F$8&gt;=8,FORSIDE!$B$5&gt;=2),FORSIDE!$B$6+(2-1)*FORSIDE!$B$7,"")</f>
        <v/>
      </c>
    </row>
    <row r="1886" spans="1:4" x14ac:dyDescent="0.3">
      <c r="A1886" t="str">
        <f>IF(AND(FORSIDE!$B$8&gt;=3,FORSIDE!$F$8&gt;=8,FORSIDE!$B$5&gt;=3),1885,"")</f>
        <v/>
      </c>
      <c r="B1886" t="str">
        <f>IF(AND(FORSIDE!$B$8&gt;=3,FORSIDE!$F$8&gt;=8,FORSIDE!$B$5&gt;=3),354+8*FORSIDE!$F$9,"")</f>
        <v/>
      </c>
      <c r="C1886" t="str">
        <f>IF(AND(FORSIDE!$B$8&gt;=3,FORSIDE!$F$8&gt;=8,FORSIDE!$B$5&gt;=3),3*FORSIDE!$B$9,"")</f>
        <v/>
      </c>
      <c r="D1886" t="str">
        <f>IF(AND(FORSIDE!$B$8&gt;=3,FORSIDE!$F$8&gt;=8,FORSIDE!$B$5&gt;=3),FORSIDE!$B$6+(3-1)*FORSIDE!$B$7,"")</f>
        <v/>
      </c>
    </row>
    <row r="1887" spans="1:4" x14ac:dyDescent="0.3">
      <c r="A1887" t="str">
        <f>IF(AND(FORSIDE!$B$8&gt;=3,FORSIDE!$F$8&gt;=8,FORSIDE!$B$5&gt;=4),1886,"")</f>
        <v/>
      </c>
      <c r="B1887" t="str">
        <f>IF(AND(FORSIDE!$B$8&gt;=3,FORSIDE!$F$8&gt;=8,FORSIDE!$B$5&gt;=4),354+8*FORSIDE!$F$9,"")</f>
        <v/>
      </c>
      <c r="C1887" t="str">
        <f>IF(AND(FORSIDE!$B$8&gt;=3,FORSIDE!$F$8&gt;=8,FORSIDE!$B$5&gt;=4),3*FORSIDE!$B$9,"")</f>
        <v/>
      </c>
      <c r="D1887" t="str">
        <f>IF(AND(FORSIDE!$B$8&gt;=3,FORSIDE!$F$8&gt;=8,FORSIDE!$B$5&gt;=4),FORSIDE!$B$6+(4-1)*FORSIDE!$B$7,"")</f>
        <v/>
      </c>
    </row>
    <row r="1888" spans="1:4" x14ac:dyDescent="0.3">
      <c r="A1888" t="str">
        <f>IF(AND(FORSIDE!$B$8&gt;=3,FORSIDE!$F$8&gt;=8,FORSIDE!$B$5&gt;=5),1887,"")</f>
        <v/>
      </c>
      <c r="B1888" t="str">
        <f>IF(AND(FORSIDE!$B$8&gt;=3,FORSIDE!$F$8&gt;=8,FORSIDE!$B$5&gt;=5),354+8*FORSIDE!$F$9,"")</f>
        <v/>
      </c>
      <c r="C1888" t="str">
        <f>IF(AND(FORSIDE!$B$8&gt;=3,FORSIDE!$F$8&gt;=8,FORSIDE!$B$5&gt;=5),3*FORSIDE!$B$9,"")</f>
        <v/>
      </c>
      <c r="D1888" t="str">
        <f>IF(AND(FORSIDE!$B$8&gt;=3,FORSIDE!$F$8&gt;=8,FORSIDE!$B$5&gt;=5),FORSIDE!$B$6+(5-1)*FORSIDE!$B$7,"")</f>
        <v/>
      </c>
    </row>
    <row r="1889" spans="1:4" x14ac:dyDescent="0.3">
      <c r="A1889" t="str">
        <f>IF(AND(FORSIDE!$B$8&gt;=3,FORSIDE!$F$8&gt;=8,FORSIDE!$B$5&gt;=6),1888,"")</f>
        <v/>
      </c>
      <c r="B1889" t="str">
        <f>IF(AND(FORSIDE!$B$8&gt;=3,FORSIDE!$F$8&gt;=8,FORSIDE!$B$5&gt;=6),354+8*FORSIDE!$F$9,"")</f>
        <v/>
      </c>
      <c r="C1889" t="str">
        <f>IF(AND(FORSIDE!$B$8&gt;=3,FORSIDE!$F$8&gt;=8,FORSIDE!$B$5&gt;=6),3*FORSIDE!$B$9,"")</f>
        <v/>
      </c>
      <c r="D1889" t="str">
        <f>IF(AND(FORSIDE!$B$8&gt;=3,FORSIDE!$F$8&gt;=8,FORSIDE!$B$5&gt;=6),FORSIDE!$B$6+(6-1)*FORSIDE!$B$7,"")</f>
        <v/>
      </c>
    </row>
    <row r="1890" spans="1:4" x14ac:dyDescent="0.3">
      <c r="A1890" t="str">
        <f>IF(AND(FORSIDE!$B$8&gt;=3,FORSIDE!$F$8&gt;=8,FORSIDE!$B$5&gt;=7),1889,"")</f>
        <v/>
      </c>
      <c r="B1890" t="str">
        <f>IF(AND(FORSIDE!$B$8&gt;=3,FORSIDE!$F$8&gt;=8,FORSIDE!$B$5&gt;=7),354+8*FORSIDE!$F$9,"")</f>
        <v/>
      </c>
      <c r="C1890" t="str">
        <f>IF(AND(FORSIDE!$B$8&gt;=3,FORSIDE!$F$8&gt;=8,FORSIDE!$B$5&gt;=7),3*FORSIDE!$B$9,"")</f>
        <v/>
      </c>
      <c r="D1890" t="str">
        <f>IF(AND(FORSIDE!$B$8&gt;=3,FORSIDE!$F$8&gt;=8,FORSIDE!$B$5&gt;=7),FORSIDE!$B$6+(7-1)*FORSIDE!$B$7,"")</f>
        <v/>
      </c>
    </row>
    <row r="1891" spans="1:4" x14ac:dyDescent="0.3">
      <c r="A1891" t="str">
        <f>IF(AND(FORSIDE!$B$8&gt;=3,FORSIDE!$F$8&gt;=8,FORSIDE!$B$5&gt;=8),1890,"")</f>
        <v/>
      </c>
      <c r="B1891" t="str">
        <f>IF(AND(FORSIDE!$B$8&gt;=3,FORSIDE!$F$8&gt;=8,FORSIDE!$B$5&gt;=8),354+8*FORSIDE!$F$9,"")</f>
        <v/>
      </c>
      <c r="C1891" t="str">
        <f>IF(AND(FORSIDE!$B$8&gt;=3,FORSIDE!$F$8&gt;=8,FORSIDE!$B$5&gt;=8),3*FORSIDE!$B$9,"")</f>
        <v/>
      </c>
      <c r="D1891" t="str">
        <f>IF(AND(FORSIDE!$B$8&gt;=3,FORSIDE!$F$8&gt;=8,FORSIDE!$B$5&gt;=8),FORSIDE!$B$6+(8-1)*FORSIDE!$B$7,"")</f>
        <v/>
      </c>
    </row>
    <row r="1892" spans="1:4" x14ac:dyDescent="0.3">
      <c r="A1892" t="str">
        <f>IF(AND(FORSIDE!$B$8&gt;=3,FORSIDE!$F$8&gt;=8,FORSIDE!$B$5&gt;=9),1891,"")</f>
        <v/>
      </c>
      <c r="B1892" t="str">
        <f>IF(AND(FORSIDE!$B$8&gt;=3,FORSIDE!$F$8&gt;=8,FORSIDE!$B$5&gt;=9),354+8*FORSIDE!$F$9,"")</f>
        <v/>
      </c>
      <c r="C1892" t="str">
        <f>IF(AND(FORSIDE!$B$8&gt;=3,FORSIDE!$F$8&gt;=8,FORSIDE!$B$5&gt;=9),3*FORSIDE!$B$9,"")</f>
        <v/>
      </c>
      <c r="D1892" t="str">
        <f>IF(AND(FORSIDE!$B$8&gt;=3,FORSIDE!$F$8&gt;=8,FORSIDE!$B$5&gt;=9),FORSIDE!$B$6+(9-1)*FORSIDE!$B$7,"")</f>
        <v/>
      </c>
    </row>
    <row r="1893" spans="1:4" x14ac:dyDescent="0.3">
      <c r="A1893" t="str">
        <f>IF(AND(FORSIDE!$B$8&gt;=3,FORSIDE!$F$8&gt;=8,FORSIDE!$B$5&gt;=10),1892,"")</f>
        <v/>
      </c>
      <c r="B1893" t="str">
        <f>IF(AND(FORSIDE!$B$8&gt;=3,FORSIDE!$F$8&gt;=8,FORSIDE!$B$5&gt;=10),354+8*FORSIDE!$F$9,"")</f>
        <v/>
      </c>
      <c r="C1893" t="str">
        <f>IF(AND(FORSIDE!$B$8&gt;=3,FORSIDE!$F$8&gt;=8,FORSIDE!$B$5&gt;=10),3*FORSIDE!$B$9,"")</f>
        <v/>
      </c>
      <c r="D1893" t="str">
        <f>IF(AND(FORSIDE!$B$8&gt;=3,FORSIDE!$F$8&gt;=8,FORSIDE!$B$5&gt;=10),FORSIDE!$B$6+(10-1)*FORSIDE!$B$7,"")</f>
        <v/>
      </c>
    </row>
    <row r="1894" spans="1:4" x14ac:dyDescent="0.3">
      <c r="A1894" t="str">
        <f>IF(AND(FORSIDE!$B$8&gt;=4,FORSIDE!$F$8&gt;=8,FORSIDE!$B$5&gt;=0),1893,"")</f>
        <v/>
      </c>
      <c r="B1894" t="str">
        <f>IF(AND(FORSIDE!$B$8&gt;=4,FORSIDE!$F$8&gt;=8,FORSIDE!$B$5&gt;=0),354+8*FORSIDE!$F$9,"")</f>
        <v/>
      </c>
      <c r="C1894" t="str">
        <f>IF(AND(FORSIDE!$B$8&gt;=4,FORSIDE!$F$8&gt;=8,FORSIDE!$B$5&gt;=0),4*FORSIDE!$B$9,"")</f>
        <v/>
      </c>
      <c r="D1894" t="str">
        <f>IF(AND(FORSIDE!$B$8&gt;=4,FORSIDE!$F$8&gt;=8,FORSIDE!$B$5&gt;=0),0,"")</f>
        <v/>
      </c>
    </row>
    <row r="1895" spans="1:4" x14ac:dyDescent="0.3">
      <c r="A1895" t="str">
        <f>IF(AND(FORSIDE!$B$8&gt;=4,FORSIDE!$F$8&gt;=8,FORSIDE!$B$5&gt;=1),1894,"")</f>
        <v/>
      </c>
      <c r="B1895" t="str">
        <f>IF(AND(FORSIDE!$B$8&gt;=4,FORSIDE!$F$8&gt;=8,FORSIDE!$B$5&gt;=1),354+8*FORSIDE!$F$9,"")</f>
        <v/>
      </c>
      <c r="C1895" t="str">
        <f>IF(AND(FORSIDE!$B$8&gt;=4,FORSIDE!$F$8&gt;=8,FORSIDE!$B$5&gt;=1),4*FORSIDE!$B$9,"")</f>
        <v/>
      </c>
      <c r="D1895" t="str">
        <f>IF(AND(FORSIDE!$B$8&gt;=4,FORSIDE!$F$8&gt;=8,FORSIDE!$B$5&gt;=1),FORSIDE!$B$6+(1-1)*FORSIDE!$B$7,"")</f>
        <v/>
      </c>
    </row>
    <row r="1896" spans="1:4" x14ac:dyDescent="0.3">
      <c r="A1896" t="str">
        <f>IF(AND(FORSIDE!$B$8&gt;=4,FORSIDE!$F$8&gt;=8,FORSIDE!$B$5&gt;=2),1895,"")</f>
        <v/>
      </c>
      <c r="B1896" t="str">
        <f>IF(AND(FORSIDE!$B$8&gt;=4,FORSIDE!$F$8&gt;=8,FORSIDE!$B$5&gt;=2),354+8*FORSIDE!$F$9,"")</f>
        <v/>
      </c>
      <c r="C1896" t="str">
        <f>IF(AND(FORSIDE!$B$8&gt;=4,FORSIDE!$F$8&gt;=8,FORSIDE!$B$5&gt;=2),4*FORSIDE!$B$9,"")</f>
        <v/>
      </c>
      <c r="D1896" t="str">
        <f>IF(AND(FORSIDE!$B$8&gt;=4,FORSIDE!$F$8&gt;=8,FORSIDE!$B$5&gt;=2),FORSIDE!$B$6+(2-1)*FORSIDE!$B$7,"")</f>
        <v/>
      </c>
    </row>
    <row r="1897" spans="1:4" x14ac:dyDescent="0.3">
      <c r="A1897" t="str">
        <f>IF(AND(FORSIDE!$B$8&gt;=4,FORSIDE!$F$8&gt;=8,FORSIDE!$B$5&gt;=3),1896,"")</f>
        <v/>
      </c>
      <c r="B1897" t="str">
        <f>IF(AND(FORSIDE!$B$8&gt;=4,FORSIDE!$F$8&gt;=8,FORSIDE!$B$5&gt;=3),354+8*FORSIDE!$F$9,"")</f>
        <v/>
      </c>
      <c r="C1897" t="str">
        <f>IF(AND(FORSIDE!$B$8&gt;=4,FORSIDE!$F$8&gt;=8,FORSIDE!$B$5&gt;=3),4*FORSIDE!$B$9,"")</f>
        <v/>
      </c>
      <c r="D1897" t="str">
        <f>IF(AND(FORSIDE!$B$8&gt;=4,FORSIDE!$F$8&gt;=8,FORSIDE!$B$5&gt;=3),FORSIDE!$B$6+(3-1)*FORSIDE!$B$7,"")</f>
        <v/>
      </c>
    </row>
    <row r="1898" spans="1:4" x14ac:dyDescent="0.3">
      <c r="A1898" t="str">
        <f>IF(AND(FORSIDE!$B$8&gt;=4,FORSIDE!$F$8&gt;=8,FORSIDE!$B$5&gt;=4),1897,"")</f>
        <v/>
      </c>
      <c r="B1898" t="str">
        <f>IF(AND(FORSIDE!$B$8&gt;=4,FORSIDE!$F$8&gt;=8,FORSIDE!$B$5&gt;=4),354+8*FORSIDE!$F$9,"")</f>
        <v/>
      </c>
      <c r="C1898" t="str">
        <f>IF(AND(FORSIDE!$B$8&gt;=4,FORSIDE!$F$8&gt;=8,FORSIDE!$B$5&gt;=4),4*FORSIDE!$B$9,"")</f>
        <v/>
      </c>
      <c r="D1898" t="str">
        <f>IF(AND(FORSIDE!$B$8&gt;=4,FORSIDE!$F$8&gt;=8,FORSIDE!$B$5&gt;=4),FORSIDE!$B$6+(4-1)*FORSIDE!$B$7,"")</f>
        <v/>
      </c>
    </row>
    <row r="1899" spans="1:4" x14ac:dyDescent="0.3">
      <c r="A1899" t="str">
        <f>IF(AND(FORSIDE!$B$8&gt;=4,FORSIDE!$F$8&gt;=8,FORSIDE!$B$5&gt;=5),1898,"")</f>
        <v/>
      </c>
      <c r="B1899" t="str">
        <f>IF(AND(FORSIDE!$B$8&gt;=4,FORSIDE!$F$8&gt;=8,FORSIDE!$B$5&gt;=5),354+8*FORSIDE!$F$9,"")</f>
        <v/>
      </c>
      <c r="C1899" t="str">
        <f>IF(AND(FORSIDE!$B$8&gt;=4,FORSIDE!$F$8&gt;=8,FORSIDE!$B$5&gt;=5),4*FORSIDE!$B$9,"")</f>
        <v/>
      </c>
      <c r="D1899" t="str">
        <f>IF(AND(FORSIDE!$B$8&gt;=4,FORSIDE!$F$8&gt;=8,FORSIDE!$B$5&gt;=5),FORSIDE!$B$6+(5-1)*FORSIDE!$B$7,"")</f>
        <v/>
      </c>
    </row>
    <row r="1900" spans="1:4" x14ac:dyDescent="0.3">
      <c r="A1900" t="str">
        <f>IF(AND(FORSIDE!$B$8&gt;=4,FORSIDE!$F$8&gt;=8,FORSIDE!$B$5&gt;=6),1899,"")</f>
        <v/>
      </c>
      <c r="B1900" t="str">
        <f>IF(AND(FORSIDE!$B$8&gt;=4,FORSIDE!$F$8&gt;=8,FORSIDE!$B$5&gt;=6),354+8*FORSIDE!$F$9,"")</f>
        <v/>
      </c>
      <c r="C1900" t="str">
        <f>IF(AND(FORSIDE!$B$8&gt;=4,FORSIDE!$F$8&gt;=8,FORSIDE!$B$5&gt;=6),4*FORSIDE!$B$9,"")</f>
        <v/>
      </c>
      <c r="D1900" t="str">
        <f>IF(AND(FORSIDE!$B$8&gt;=4,FORSIDE!$F$8&gt;=8,FORSIDE!$B$5&gt;=6),FORSIDE!$B$6+(6-1)*FORSIDE!$B$7,"")</f>
        <v/>
      </c>
    </row>
    <row r="1901" spans="1:4" x14ac:dyDescent="0.3">
      <c r="A1901" t="str">
        <f>IF(AND(FORSIDE!$B$8&gt;=4,FORSIDE!$F$8&gt;=8,FORSIDE!$B$5&gt;=7),1900,"")</f>
        <v/>
      </c>
      <c r="B1901" t="str">
        <f>IF(AND(FORSIDE!$B$8&gt;=4,FORSIDE!$F$8&gt;=8,FORSIDE!$B$5&gt;=7),354+8*FORSIDE!$F$9,"")</f>
        <v/>
      </c>
      <c r="C1901" t="str">
        <f>IF(AND(FORSIDE!$B$8&gt;=4,FORSIDE!$F$8&gt;=8,FORSIDE!$B$5&gt;=7),4*FORSIDE!$B$9,"")</f>
        <v/>
      </c>
      <c r="D1901" t="str">
        <f>IF(AND(FORSIDE!$B$8&gt;=4,FORSIDE!$F$8&gt;=8,FORSIDE!$B$5&gt;=7),FORSIDE!$B$6+(7-1)*FORSIDE!$B$7,"")</f>
        <v/>
      </c>
    </row>
    <row r="1902" spans="1:4" x14ac:dyDescent="0.3">
      <c r="A1902" t="str">
        <f>IF(AND(FORSIDE!$B$8&gt;=4,FORSIDE!$F$8&gt;=8,FORSIDE!$B$5&gt;=8),1901,"")</f>
        <v/>
      </c>
      <c r="B1902" t="str">
        <f>IF(AND(FORSIDE!$B$8&gt;=4,FORSIDE!$F$8&gt;=8,FORSIDE!$B$5&gt;=8),354+8*FORSIDE!$F$9,"")</f>
        <v/>
      </c>
      <c r="C1902" t="str">
        <f>IF(AND(FORSIDE!$B$8&gt;=4,FORSIDE!$F$8&gt;=8,FORSIDE!$B$5&gt;=8),4*FORSIDE!$B$9,"")</f>
        <v/>
      </c>
      <c r="D1902" t="str">
        <f>IF(AND(FORSIDE!$B$8&gt;=4,FORSIDE!$F$8&gt;=8,FORSIDE!$B$5&gt;=8),FORSIDE!$B$6+(8-1)*FORSIDE!$B$7,"")</f>
        <v/>
      </c>
    </row>
    <row r="1903" spans="1:4" x14ac:dyDescent="0.3">
      <c r="A1903" t="str">
        <f>IF(AND(FORSIDE!$B$8&gt;=4,FORSIDE!$F$8&gt;=8,FORSIDE!$B$5&gt;=9),1902,"")</f>
        <v/>
      </c>
      <c r="B1903" t="str">
        <f>IF(AND(FORSIDE!$B$8&gt;=4,FORSIDE!$F$8&gt;=8,FORSIDE!$B$5&gt;=9),354+8*FORSIDE!$F$9,"")</f>
        <v/>
      </c>
      <c r="C1903" t="str">
        <f>IF(AND(FORSIDE!$B$8&gt;=4,FORSIDE!$F$8&gt;=8,FORSIDE!$B$5&gt;=9),4*FORSIDE!$B$9,"")</f>
        <v/>
      </c>
      <c r="D1903" t="str">
        <f>IF(AND(FORSIDE!$B$8&gt;=4,FORSIDE!$F$8&gt;=8,FORSIDE!$B$5&gt;=9),FORSIDE!$B$6+(9-1)*FORSIDE!$B$7,"")</f>
        <v/>
      </c>
    </row>
    <row r="1904" spans="1:4" x14ac:dyDescent="0.3">
      <c r="A1904" t="str">
        <f>IF(AND(FORSIDE!$B$8&gt;=4,FORSIDE!$F$8&gt;=8,FORSIDE!$B$5&gt;=10),1903,"")</f>
        <v/>
      </c>
      <c r="B1904" t="str">
        <f>IF(AND(FORSIDE!$B$8&gt;=4,FORSIDE!$F$8&gt;=8,FORSIDE!$B$5&gt;=10),354+8*FORSIDE!$F$9,"")</f>
        <v/>
      </c>
      <c r="C1904" t="str">
        <f>IF(AND(FORSIDE!$B$8&gt;=4,FORSIDE!$F$8&gt;=8,FORSIDE!$B$5&gt;=10),4*FORSIDE!$B$9,"")</f>
        <v/>
      </c>
      <c r="D1904" t="str">
        <f>IF(AND(FORSIDE!$B$8&gt;=4,FORSIDE!$F$8&gt;=8,FORSIDE!$B$5&gt;=10),FORSIDE!$B$6+(10-1)*FORSIDE!$B$7,"")</f>
        <v/>
      </c>
    </row>
    <row r="1905" spans="1:4" x14ac:dyDescent="0.3">
      <c r="A1905" t="str">
        <f>IF(AND(FORSIDE!$B$8&gt;=5,FORSIDE!$F$8&gt;=8,FORSIDE!$B$5&gt;=0),1904,"")</f>
        <v/>
      </c>
      <c r="B1905" t="str">
        <f>IF(AND(FORSIDE!$B$8&gt;=5,FORSIDE!$F$8&gt;=8,FORSIDE!$B$5&gt;=0),354+8*FORSIDE!$F$9,"")</f>
        <v/>
      </c>
      <c r="C1905" t="str">
        <f>IF(AND(FORSIDE!$B$8&gt;=5,FORSIDE!$F$8&gt;=8,FORSIDE!$B$5&gt;=0),5*FORSIDE!$B$9,"")</f>
        <v/>
      </c>
      <c r="D1905" t="str">
        <f>IF(AND(FORSIDE!$B$8&gt;=5,FORSIDE!$F$8&gt;=8,FORSIDE!$B$5&gt;=0),0,"")</f>
        <v/>
      </c>
    </row>
    <row r="1906" spans="1:4" x14ac:dyDescent="0.3">
      <c r="A1906" t="str">
        <f>IF(AND(FORSIDE!$B$8&gt;=5,FORSIDE!$F$8&gt;=8,FORSIDE!$B$5&gt;=1),1905,"")</f>
        <v/>
      </c>
      <c r="B1906" t="str">
        <f>IF(AND(FORSIDE!$B$8&gt;=5,FORSIDE!$F$8&gt;=8,FORSIDE!$B$5&gt;=1),354+8*FORSIDE!$F$9,"")</f>
        <v/>
      </c>
      <c r="C1906" t="str">
        <f>IF(AND(FORSIDE!$B$8&gt;=5,FORSIDE!$F$8&gt;=8,FORSIDE!$B$5&gt;=1),5*FORSIDE!$B$9,"")</f>
        <v/>
      </c>
      <c r="D1906" t="str">
        <f>IF(AND(FORSIDE!$B$8&gt;=5,FORSIDE!$F$8&gt;=8,FORSIDE!$B$5&gt;=1),FORSIDE!$B$6+(1-1)*FORSIDE!$B$7,"")</f>
        <v/>
      </c>
    </row>
    <row r="1907" spans="1:4" x14ac:dyDescent="0.3">
      <c r="A1907" t="str">
        <f>IF(AND(FORSIDE!$B$8&gt;=5,FORSIDE!$F$8&gt;=8,FORSIDE!$B$5&gt;=2),1906,"")</f>
        <v/>
      </c>
      <c r="B1907" t="str">
        <f>IF(AND(FORSIDE!$B$8&gt;=5,FORSIDE!$F$8&gt;=8,FORSIDE!$B$5&gt;=2),354+8*FORSIDE!$F$9,"")</f>
        <v/>
      </c>
      <c r="C1907" t="str">
        <f>IF(AND(FORSIDE!$B$8&gt;=5,FORSIDE!$F$8&gt;=8,FORSIDE!$B$5&gt;=2),5*FORSIDE!$B$9,"")</f>
        <v/>
      </c>
      <c r="D1907" t="str">
        <f>IF(AND(FORSIDE!$B$8&gt;=5,FORSIDE!$F$8&gt;=8,FORSIDE!$B$5&gt;=2),FORSIDE!$B$6+(2-1)*FORSIDE!$B$7,"")</f>
        <v/>
      </c>
    </row>
    <row r="1908" spans="1:4" x14ac:dyDescent="0.3">
      <c r="A1908" t="str">
        <f>IF(AND(FORSIDE!$B$8&gt;=5,FORSIDE!$F$8&gt;=8,FORSIDE!$B$5&gt;=3),1907,"")</f>
        <v/>
      </c>
      <c r="B1908" t="str">
        <f>IF(AND(FORSIDE!$B$8&gt;=5,FORSIDE!$F$8&gt;=8,FORSIDE!$B$5&gt;=3),354+8*FORSIDE!$F$9,"")</f>
        <v/>
      </c>
      <c r="C1908" t="str">
        <f>IF(AND(FORSIDE!$B$8&gt;=5,FORSIDE!$F$8&gt;=8,FORSIDE!$B$5&gt;=3),5*FORSIDE!$B$9,"")</f>
        <v/>
      </c>
      <c r="D1908" t="str">
        <f>IF(AND(FORSIDE!$B$8&gt;=5,FORSIDE!$F$8&gt;=8,FORSIDE!$B$5&gt;=3),FORSIDE!$B$6+(3-1)*FORSIDE!$B$7,"")</f>
        <v/>
      </c>
    </row>
    <row r="1909" spans="1:4" x14ac:dyDescent="0.3">
      <c r="A1909" t="str">
        <f>IF(AND(FORSIDE!$B$8&gt;=5,FORSIDE!$F$8&gt;=8,FORSIDE!$B$5&gt;=4),1908,"")</f>
        <v/>
      </c>
      <c r="B1909" t="str">
        <f>IF(AND(FORSIDE!$B$8&gt;=5,FORSIDE!$F$8&gt;=8,FORSIDE!$B$5&gt;=4),354+8*FORSIDE!$F$9,"")</f>
        <v/>
      </c>
      <c r="C1909" t="str">
        <f>IF(AND(FORSIDE!$B$8&gt;=5,FORSIDE!$F$8&gt;=8,FORSIDE!$B$5&gt;=4),5*FORSIDE!$B$9,"")</f>
        <v/>
      </c>
      <c r="D1909" t="str">
        <f>IF(AND(FORSIDE!$B$8&gt;=5,FORSIDE!$F$8&gt;=8,FORSIDE!$B$5&gt;=4),FORSIDE!$B$6+(4-1)*FORSIDE!$B$7,"")</f>
        <v/>
      </c>
    </row>
    <row r="1910" spans="1:4" x14ac:dyDescent="0.3">
      <c r="A1910" t="str">
        <f>IF(AND(FORSIDE!$B$8&gt;=5,FORSIDE!$F$8&gt;=8,FORSIDE!$B$5&gt;=5),1909,"")</f>
        <v/>
      </c>
      <c r="B1910" t="str">
        <f>IF(AND(FORSIDE!$B$8&gt;=5,FORSIDE!$F$8&gt;=8,FORSIDE!$B$5&gt;=5),354+8*FORSIDE!$F$9,"")</f>
        <v/>
      </c>
      <c r="C1910" t="str">
        <f>IF(AND(FORSIDE!$B$8&gt;=5,FORSIDE!$F$8&gt;=8,FORSIDE!$B$5&gt;=5),5*FORSIDE!$B$9,"")</f>
        <v/>
      </c>
      <c r="D1910" t="str">
        <f>IF(AND(FORSIDE!$B$8&gt;=5,FORSIDE!$F$8&gt;=8,FORSIDE!$B$5&gt;=5),FORSIDE!$B$6+(5-1)*FORSIDE!$B$7,"")</f>
        <v/>
      </c>
    </row>
    <row r="1911" spans="1:4" x14ac:dyDescent="0.3">
      <c r="A1911" t="str">
        <f>IF(AND(FORSIDE!$B$8&gt;=5,FORSIDE!$F$8&gt;=8,FORSIDE!$B$5&gt;=6),1910,"")</f>
        <v/>
      </c>
      <c r="B1911" t="str">
        <f>IF(AND(FORSIDE!$B$8&gt;=5,FORSIDE!$F$8&gt;=8,FORSIDE!$B$5&gt;=6),354+8*FORSIDE!$F$9,"")</f>
        <v/>
      </c>
      <c r="C1911" t="str">
        <f>IF(AND(FORSIDE!$B$8&gt;=5,FORSIDE!$F$8&gt;=8,FORSIDE!$B$5&gt;=6),5*FORSIDE!$B$9,"")</f>
        <v/>
      </c>
      <c r="D1911" t="str">
        <f>IF(AND(FORSIDE!$B$8&gt;=5,FORSIDE!$F$8&gt;=8,FORSIDE!$B$5&gt;=6),FORSIDE!$B$6+(6-1)*FORSIDE!$B$7,"")</f>
        <v/>
      </c>
    </row>
    <row r="1912" spans="1:4" x14ac:dyDescent="0.3">
      <c r="A1912" t="str">
        <f>IF(AND(FORSIDE!$B$8&gt;=5,FORSIDE!$F$8&gt;=8,FORSIDE!$B$5&gt;=7),1911,"")</f>
        <v/>
      </c>
      <c r="B1912" t="str">
        <f>IF(AND(FORSIDE!$B$8&gt;=5,FORSIDE!$F$8&gt;=8,FORSIDE!$B$5&gt;=7),354+8*FORSIDE!$F$9,"")</f>
        <v/>
      </c>
      <c r="C1912" t="str">
        <f>IF(AND(FORSIDE!$B$8&gt;=5,FORSIDE!$F$8&gt;=8,FORSIDE!$B$5&gt;=7),5*FORSIDE!$B$9,"")</f>
        <v/>
      </c>
      <c r="D1912" t="str">
        <f>IF(AND(FORSIDE!$B$8&gt;=5,FORSIDE!$F$8&gt;=8,FORSIDE!$B$5&gt;=7),FORSIDE!$B$6+(7-1)*FORSIDE!$B$7,"")</f>
        <v/>
      </c>
    </row>
    <row r="1913" spans="1:4" x14ac:dyDescent="0.3">
      <c r="A1913" t="str">
        <f>IF(AND(FORSIDE!$B$8&gt;=5,FORSIDE!$F$8&gt;=8,FORSIDE!$B$5&gt;=8),1912,"")</f>
        <v/>
      </c>
      <c r="B1913" t="str">
        <f>IF(AND(FORSIDE!$B$8&gt;=5,FORSIDE!$F$8&gt;=8,FORSIDE!$B$5&gt;=8),354+8*FORSIDE!$F$9,"")</f>
        <v/>
      </c>
      <c r="C1913" t="str">
        <f>IF(AND(FORSIDE!$B$8&gt;=5,FORSIDE!$F$8&gt;=8,FORSIDE!$B$5&gt;=8),5*FORSIDE!$B$9,"")</f>
        <v/>
      </c>
      <c r="D1913" t="str">
        <f>IF(AND(FORSIDE!$B$8&gt;=5,FORSIDE!$F$8&gt;=8,FORSIDE!$B$5&gt;=8),FORSIDE!$B$6+(8-1)*FORSIDE!$B$7,"")</f>
        <v/>
      </c>
    </row>
    <row r="1914" spans="1:4" x14ac:dyDescent="0.3">
      <c r="A1914" t="str">
        <f>IF(AND(FORSIDE!$B$8&gt;=5,FORSIDE!$F$8&gt;=8,FORSIDE!$B$5&gt;=9),1913,"")</f>
        <v/>
      </c>
      <c r="B1914" t="str">
        <f>IF(AND(FORSIDE!$B$8&gt;=5,FORSIDE!$F$8&gt;=8,FORSIDE!$B$5&gt;=9),354+8*FORSIDE!$F$9,"")</f>
        <v/>
      </c>
      <c r="C1914" t="str">
        <f>IF(AND(FORSIDE!$B$8&gt;=5,FORSIDE!$F$8&gt;=8,FORSIDE!$B$5&gt;=9),5*FORSIDE!$B$9,"")</f>
        <v/>
      </c>
      <c r="D1914" t="str">
        <f>IF(AND(FORSIDE!$B$8&gt;=5,FORSIDE!$F$8&gt;=8,FORSIDE!$B$5&gt;=9),FORSIDE!$B$6+(9-1)*FORSIDE!$B$7,"")</f>
        <v/>
      </c>
    </row>
    <row r="1915" spans="1:4" x14ac:dyDescent="0.3">
      <c r="A1915" t="str">
        <f>IF(AND(FORSIDE!$B$8&gt;=5,FORSIDE!$F$8&gt;=8,FORSIDE!$B$5&gt;=10),1914,"")</f>
        <v/>
      </c>
      <c r="B1915" t="str">
        <f>IF(AND(FORSIDE!$B$8&gt;=5,FORSIDE!$F$8&gt;=8,FORSIDE!$B$5&gt;=10),354+8*FORSIDE!$F$9,"")</f>
        <v/>
      </c>
      <c r="C1915" t="str">
        <f>IF(AND(FORSIDE!$B$8&gt;=5,FORSIDE!$F$8&gt;=8,FORSIDE!$B$5&gt;=10),5*FORSIDE!$B$9,"")</f>
        <v/>
      </c>
      <c r="D1915" t="str">
        <f>IF(AND(FORSIDE!$B$8&gt;=5,FORSIDE!$F$8&gt;=8,FORSIDE!$B$5&gt;=10),FORSIDE!$B$6+(10-1)*FORSIDE!$B$7,"")</f>
        <v/>
      </c>
    </row>
    <row r="1916" spans="1:4" x14ac:dyDescent="0.3">
      <c r="A1916" t="str">
        <f>IF(AND(FORSIDE!$B$8&gt;=6,FORSIDE!$F$8&gt;=8,FORSIDE!$B$5&gt;=0),1915,"")</f>
        <v/>
      </c>
      <c r="B1916" t="str">
        <f>IF(AND(FORSIDE!$B$8&gt;=6,FORSIDE!$F$8&gt;=8,FORSIDE!$B$5&gt;=0),354+8*FORSIDE!$F$9,"")</f>
        <v/>
      </c>
      <c r="C1916" t="str">
        <f>IF(AND(FORSIDE!$B$8&gt;=6,FORSIDE!$F$8&gt;=8,FORSIDE!$B$5&gt;=0),6*FORSIDE!$B$9,"")</f>
        <v/>
      </c>
      <c r="D1916" t="str">
        <f>IF(AND(FORSIDE!$B$8&gt;=6,FORSIDE!$F$8&gt;=8,FORSIDE!$B$5&gt;=0),0,"")</f>
        <v/>
      </c>
    </row>
    <row r="1917" spans="1:4" x14ac:dyDescent="0.3">
      <c r="A1917" t="str">
        <f>IF(AND(FORSIDE!$B$8&gt;=6,FORSIDE!$F$8&gt;=8,FORSIDE!$B$5&gt;=1),1916,"")</f>
        <v/>
      </c>
      <c r="B1917" t="str">
        <f>IF(AND(FORSIDE!$B$8&gt;=6,FORSIDE!$F$8&gt;=8,FORSIDE!$B$5&gt;=1),354+8*FORSIDE!$F$9,"")</f>
        <v/>
      </c>
      <c r="C1917" t="str">
        <f>IF(AND(FORSIDE!$B$8&gt;=6,FORSIDE!$F$8&gt;=8,FORSIDE!$B$5&gt;=1),6*FORSIDE!$B$9,"")</f>
        <v/>
      </c>
      <c r="D1917" t="str">
        <f>IF(AND(FORSIDE!$B$8&gt;=6,FORSIDE!$F$8&gt;=8,FORSIDE!$B$5&gt;=1),FORSIDE!$B$6+(1-1)*FORSIDE!$B$7,"")</f>
        <v/>
      </c>
    </row>
    <row r="1918" spans="1:4" x14ac:dyDescent="0.3">
      <c r="A1918" t="str">
        <f>IF(AND(FORSIDE!$B$8&gt;=6,FORSIDE!$F$8&gt;=8,FORSIDE!$B$5&gt;=2),1917,"")</f>
        <v/>
      </c>
      <c r="B1918" t="str">
        <f>IF(AND(FORSIDE!$B$8&gt;=6,FORSIDE!$F$8&gt;=8,FORSIDE!$B$5&gt;=2),354+8*FORSIDE!$F$9,"")</f>
        <v/>
      </c>
      <c r="C1918" t="str">
        <f>IF(AND(FORSIDE!$B$8&gt;=6,FORSIDE!$F$8&gt;=8,FORSIDE!$B$5&gt;=2),6*FORSIDE!$B$9,"")</f>
        <v/>
      </c>
      <c r="D1918" t="str">
        <f>IF(AND(FORSIDE!$B$8&gt;=6,FORSIDE!$F$8&gt;=8,FORSIDE!$B$5&gt;=2),FORSIDE!$B$6+(2-1)*FORSIDE!$B$7,"")</f>
        <v/>
      </c>
    </row>
    <row r="1919" spans="1:4" x14ac:dyDescent="0.3">
      <c r="A1919" t="str">
        <f>IF(AND(FORSIDE!$B$8&gt;=6,FORSIDE!$F$8&gt;=8,FORSIDE!$B$5&gt;=3),1918,"")</f>
        <v/>
      </c>
      <c r="B1919" t="str">
        <f>IF(AND(FORSIDE!$B$8&gt;=6,FORSIDE!$F$8&gt;=8,FORSIDE!$B$5&gt;=3),354+8*FORSIDE!$F$9,"")</f>
        <v/>
      </c>
      <c r="C1919" t="str">
        <f>IF(AND(FORSIDE!$B$8&gt;=6,FORSIDE!$F$8&gt;=8,FORSIDE!$B$5&gt;=3),6*FORSIDE!$B$9,"")</f>
        <v/>
      </c>
      <c r="D1919" t="str">
        <f>IF(AND(FORSIDE!$B$8&gt;=6,FORSIDE!$F$8&gt;=8,FORSIDE!$B$5&gt;=3),FORSIDE!$B$6+(3-1)*FORSIDE!$B$7,"")</f>
        <v/>
      </c>
    </row>
    <row r="1920" spans="1:4" x14ac:dyDescent="0.3">
      <c r="A1920" t="str">
        <f>IF(AND(FORSIDE!$B$8&gt;=6,FORSIDE!$F$8&gt;=8,FORSIDE!$B$5&gt;=4),1919,"")</f>
        <v/>
      </c>
      <c r="B1920" t="str">
        <f>IF(AND(FORSIDE!$B$8&gt;=6,FORSIDE!$F$8&gt;=8,FORSIDE!$B$5&gt;=4),354+8*FORSIDE!$F$9,"")</f>
        <v/>
      </c>
      <c r="C1920" t="str">
        <f>IF(AND(FORSIDE!$B$8&gt;=6,FORSIDE!$F$8&gt;=8,FORSIDE!$B$5&gt;=4),6*FORSIDE!$B$9,"")</f>
        <v/>
      </c>
      <c r="D1920" t="str">
        <f>IF(AND(FORSIDE!$B$8&gt;=6,FORSIDE!$F$8&gt;=8,FORSIDE!$B$5&gt;=4),FORSIDE!$B$6+(4-1)*FORSIDE!$B$7,"")</f>
        <v/>
      </c>
    </row>
    <row r="1921" spans="1:4" x14ac:dyDescent="0.3">
      <c r="A1921" t="str">
        <f>IF(AND(FORSIDE!$B$8&gt;=6,FORSIDE!$F$8&gt;=8,FORSIDE!$B$5&gt;=5),1920,"")</f>
        <v/>
      </c>
      <c r="B1921" t="str">
        <f>IF(AND(FORSIDE!$B$8&gt;=6,FORSIDE!$F$8&gt;=8,FORSIDE!$B$5&gt;=5),354+8*FORSIDE!$F$9,"")</f>
        <v/>
      </c>
      <c r="C1921" t="str">
        <f>IF(AND(FORSIDE!$B$8&gt;=6,FORSIDE!$F$8&gt;=8,FORSIDE!$B$5&gt;=5),6*FORSIDE!$B$9,"")</f>
        <v/>
      </c>
      <c r="D1921" t="str">
        <f>IF(AND(FORSIDE!$B$8&gt;=6,FORSIDE!$F$8&gt;=8,FORSIDE!$B$5&gt;=5),FORSIDE!$B$6+(5-1)*FORSIDE!$B$7,"")</f>
        <v/>
      </c>
    </row>
    <row r="1922" spans="1:4" x14ac:dyDescent="0.3">
      <c r="A1922" t="str">
        <f>IF(AND(FORSIDE!$B$8&gt;=6,FORSIDE!$F$8&gt;=8,FORSIDE!$B$5&gt;=6),1921,"")</f>
        <v/>
      </c>
      <c r="B1922" t="str">
        <f>IF(AND(FORSIDE!$B$8&gt;=6,FORSIDE!$F$8&gt;=8,FORSIDE!$B$5&gt;=6),354+8*FORSIDE!$F$9,"")</f>
        <v/>
      </c>
      <c r="C1922" t="str">
        <f>IF(AND(FORSIDE!$B$8&gt;=6,FORSIDE!$F$8&gt;=8,FORSIDE!$B$5&gt;=6),6*FORSIDE!$B$9,"")</f>
        <v/>
      </c>
      <c r="D1922" t="str">
        <f>IF(AND(FORSIDE!$B$8&gt;=6,FORSIDE!$F$8&gt;=8,FORSIDE!$B$5&gt;=6),FORSIDE!$B$6+(6-1)*FORSIDE!$B$7,"")</f>
        <v/>
      </c>
    </row>
    <row r="1923" spans="1:4" x14ac:dyDescent="0.3">
      <c r="A1923" t="str">
        <f>IF(AND(FORSIDE!$B$8&gt;=6,FORSIDE!$F$8&gt;=8,FORSIDE!$B$5&gt;=7),1922,"")</f>
        <v/>
      </c>
      <c r="B1923" t="str">
        <f>IF(AND(FORSIDE!$B$8&gt;=6,FORSIDE!$F$8&gt;=8,FORSIDE!$B$5&gt;=7),354+8*FORSIDE!$F$9,"")</f>
        <v/>
      </c>
      <c r="C1923" t="str">
        <f>IF(AND(FORSIDE!$B$8&gt;=6,FORSIDE!$F$8&gt;=8,FORSIDE!$B$5&gt;=7),6*FORSIDE!$B$9,"")</f>
        <v/>
      </c>
      <c r="D1923" t="str">
        <f>IF(AND(FORSIDE!$B$8&gt;=6,FORSIDE!$F$8&gt;=8,FORSIDE!$B$5&gt;=7),FORSIDE!$B$6+(7-1)*FORSIDE!$B$7,"")</f>
        <v/>
      </c>
    </row>
    <row r="1924" spans="1:4" x14ac:dyDescent="0.3">
      <c r="A1924" t="str">
        <f>IF(AND(FORSIDE!$B$8&gt;=6,FORSIDE!$F$8&gt;=8,FORSIDE!$B$5&gt;=8),1923,"")</f>
        <v/>
      </c>
      <c r="B1924" t="str">
        <f>IF(AND(FORSIDE!$B$8&gt;=6,FORSIDE!$F$8&gt;=8,FORSIDE!$B$5&gt;=8),354+8*FORSIDE!$F$9,"")</f>
        <v/>
      </c>
      <c r="C1924" t="str">
        <f>IF(AND(FORSIDE!$B$8&gt;=6,FORSIDE!$F$8&gt;=8,FORSIDE!$B$5&gt;=8),6*FORSIDE!$B$9,"")</f>
        <v/>
      </c>
      <c r="D1924" t="str">
        <f>IF(AND(FORSIDE!$B$8&gt;=6,FORSIDE!$F$8&gt;=8,FORSIDE!$B$5&gt;=8),FORSIDE!$B$6+(8-1)*FORSIDE!$B$7,"")</f>
        <v/>
      </c>
    </row>
    <row r="1925" spans="1:4" x14ac:dyDescent="0.3">
      <c r="A1925" t="str">
        <f>IF(AND(FORSIDE!$B$8&gt;=6,FORSIDE!$F$8&gt;=8,FORSIDE!$B$5&gt;=9),1924,"")</f>
        <v/>
      </c>
      <c r="B1925" t="str">
        <f>IF(AND(FORSIDE!$B$8&gt;=6,FORSIDE!$F$8&gt;=8,FORSIDE!$B$5&gt;=9),354+8*FORSIDE!$F$9,"")</f>
        <v/>
      </c>
      <c r="C1925" t="str">
        <f>IF(AND(FORSIDE!$B$8&gt;=6,FORSIDE!$F$8&gt;=8,FORSIDE!$B$5&gt;=9),6*FORSIDE!$B$9,"")</f>
        <v/>
      </c>
      <c r="D1925" t="str">
        <f>IF(AND(FORSIDE!$B$8&gt;=6,FORSIDE!$F$8&gt;=8,FORSIDE!$B$5&gt;=9),FORSIDE!$B$6+(9-1)*FORSIDE!$B$7,"")</f>
        <v/>
      </c>
    </row>
    <row r="1926" spans="1:4" x14ac:dyDescent="0.3">
      <c r="A1926" t="str">
        <f>IF(AND(FORSIDE!$B$8&gt;=6,FORSIDE!$F$8&gt;=8,FORSIDE!$B$5&gt;=10),1925,"")</f>
        <v/>
      </c>
      <c r="B1926" t="str">
        <f>IF(AND(FORSIDE!$B$8&gt;=6,FORSIDE!$F$8&gt;=8,FORSIDE!$B$5&gt;=10),354+8*FORSIDE!$F$9,"")</f>
        <v/>
      </c>
      <c r="C1926" t="str">
        <f>IF(AND(FORSIDE!$B$8&gt;=6,FORSIDE!$F$8&gt;=8,FORSIDE!$B$5&gt;=10),6*FORSIDE!$B$9,"")</f>
        <v/>
      </c>
      <c r="D1926" t="str">
        <f>IF(AND(FORSIDE!$B$8&gt;=6,FORSIDE!$F$8&gt;=8,FORSIDE!$B$5&gt;=10),FORSIDE!$B$6+(10-1)*FORSIDE!$B$7,"")</f>
        <v/>
      </c>
    </row>
    <row r="1927" spans="1:4" x14ac:dyDescent="0.3">
      <c r="A1927" t="str">
        <f>IF(AND(FORSIDE!$B$8&gt;=7,FORSIDE!$F$8&gt;=8,FORSIDE!$B$5&gt;=0),1926,"")</f>
        <v/>
      </c>
      <c r="B1927" t="str">
        <f>IF(AND(FORSIDE!$B$8&gt;=7,FORSIDE!$F$8&gt;=8,FORSIDE!$B$5&gt;=0),354+8*FORSIDE!$F$9,"")</f>
        <v/>
      </c>
      <c r="C1927" t="str">
        <f>IF(AND(FORSIDE!$B$8&gt;=7,FORSIDE!$F$8&gt;=8,FORSIDE!$B$5&gt;=0),7*FORSIDE!$B$9,"")</f>
        <v/>
      </c>
      <c r="D1927" t="str">
        <f>IF(AND(FORSIDE!$B$8&gt;=7,FORSIDE!$F$8&gt;=8,FORSIDE!$B$5&gt;=0),0,"")</f>
        <v/>
      </c>
    </row>
    <row r="1928" spans="1:4" x14ac:dyDescent="0.3">
      <c r="A1928" t="str">
        <f>IF(AND(FORSIDE!$B$8&gt;=7,FORSIDE!$F$8&gt;=8,FORSIDE!$B$5&gt;=1),1927,"")</f>
        <v/>
      </c>
      <c r="B1928" t="str">
        <f>IF(AND(FORSIDE!$B$8&gt;=7,FORSIDE!$F$8&gt;=8,FORSIDE!$B$5&gt;=1),354+8*FORSIDE!$F$9,"")</f>
        <v/>
      </c>
      <c r="C1928" t="str">
        <f>IF(AND(FORSIDE!$B$8&gt;=7,FORSIDE!$F$8&gt;=8,FORSIDE!$B$5&gt;=1),7*FORSIDE!$B$9,"")</f>
        <v/>
      </c>
      <c r="D1928" t="str">
        <f>IF(AND(FORSIDE!$B$8&gt;=7,FORSIDE!$F$8&gt;=8,FORSIDE!$B$5&gt;=1),FORSIDE!$B$6+(1-1)*FORSIDE!$B$7,"")</f>
        <v/>
      </c>
    </row>
    <row r="1929" spans="1:4" x14ac:dyDescent="0.3">
      <c r="A1929" t="str">
        <f>IF(AND(FORSIDE!$B$8&gt;=7,FORSIDE!$F$8&gt;=8,FORSIDE!$B$5&gt;=2),1928,"")</f>
        <v/>
      </c>
      <c r="B1929" t="str">
        <f>IF(AND(FORSIDE!$B$8&gt;=7,FORSIDE!$F$8&gt;=8,FORSIDE!$B$5&gt;=2),354+8*FORSIDE!$F$9,"")</f>
        <v/>
      </c>
      <c r="C1929" t="str">
        <f>IF(AND(FORSIDE!$B$8&gt;=7,FORSIDE!$F$8&gt;=8,FORSIDE!$B$5&gt;=2),7*FORSIDE!$B$9,"")</f>
        <v/>
      </c>
      <c r="D1929" t="str">
        <f>IF(AND(FORSIDE!$B$8&gt;=7,FORSIDE!$F$8&gt;=8,FORSIDE!$B$5&gt;=2),FORSIDE!$B$6+(2-1)*FORSIDE!$B$7,"")</f>
        <v/>
      </c>
    </row>
    <row r="1930" spans="1:4" x14ac:dyDescent="0.3">
      <c r="A1930" t="str">
        <f>IF(AND(FORSIDE!$B$8&gt;=7,FORSIDE!$F$8&gt;=8,FORSIDE!$B$5&gt;=3),1929,"")</f>
        <v/>
      </c>
      <c r="B1930" t="str">
        <f>IF(AND(FORSIDE!$B$8&gt;=7,FORSIDE!$F$8&gt;=8,FORSIDE!$B$5&gt;=3),354+8*FORSIDE!$F$9,"")</f>
        <v/>
      </c>
      <c r="C1930" t="str">
        <f>IF(AND(FORSIDE!$B$8&gt;=7,FORSIDE!$F$8&gt;=8,FORSIDE!$B$5&gt;=3),7*FORSIDE!$B$9,"")</f>
        <v/>
      </c>
      <c r="D1930" t="str">
        <f>IF(AND(FORSIDE!$B$8&gt;=7,FORSIDE!$F$8&gt;=8,FORSIDE!$B$5&gt;=3),FORSIDE!$B$6+(3-1)*FORSIDE!$B$7,"")</f>
        <v/>
      </c>
    </row>
    <row r="1931" spans="1:4" x14ac:dyDescent="0.3">
      <c r="A1931" t="str">
        <f>IF(AND(FORSIDE!$B$8&gt;=7,FORSIDE!$F$8&gt;=8,FORSIDE!$B$5&gt;=4),1930,"")</f>
        <v/>
      </c>
      <c r="B1931" t="str">
        <f>IF(AND(FORSIDE!$B$8&gt;=7,FORSIDE!$F$8&gt;=8,FORSIDE!$B$5&gt;=4),354+8*FORSIDE!$F$9,"")</f>
        <v/>
      </c>
      <c r="C1931" t="str">
        <f>IF(AND(FORSIDE!$B$8&gt;=7,FORSIDE!$F$8&gt;=8,FORSIDE!$B$5&gt;=4),7*FORSIDE!$B$9,"")</f>
        <v/>
      </c>
      <c r="D1931" t="str">
        <f>IF(AND(FORSIDE!$B$8&gt;=7,FORSIDE!$F$8&gt;=8,FORSIDE!$B$5&gt;=4),FORSIDE!$B$6+(4-1)*FORSIDE!$B$7,"")</f>
        <v/>
      </c>
    </row>
    <row r="1932" spans="1:4" x14ac:dyDescent="0.3">
      <c r="A1932" t="str">
        <f>IF(AND(FORSIDE!$B$8&gt;=7,FORSIDE!$F$8&gt;=8,FORSIDE!$B$5&gt;=5),1931,"")</f>
        <v/>
      </c>
      <c r="B1932" t="str">
        <f>IF(AND(FORSIDE!$B$8&gt;=7,FORSIDE!$F$8&gt;=8,FORSIDE!$B$5&gt;=5),354+8*FORSIDE!$F$9,"")</f>
        <v/>
      </c>
      <c r="C1932" t="str">
        <f>IF(AND(FORSIDE!$B$8&gt;=7,FORSIDE!$F$8&gt;=8,FORSIDE!$B$5&gt;=5),7*FORSIDE!$B$9,"")</f>
        <v/>
      </c>
      <c r="D1932" t="str">
        <f>IF(AND(FORSIDE!$B$8&gt;=7,FORSIDE!$F$8&gt;=8,FORSIDE!$B$5&gt;=5),FORSIDE!$B$6+(5-1)*FORSIDE!$B$7,"")</f>
        <v/>
      </c>
    </row>
    <row r="1933" spans="1:4" x14ac:dyDescent="0.3">
      <c r="A1933" t="str">
        <f>IF(AND(FORSIDE!$B$8&gt;=7,FORSIDE!$F$8&gt;=8,FORSIDE!$B$5&gt;=6),1932,"")</f>
        <v/>
      </c>
      <c r="B1933" t="str">
        <f>IF(AND(FORSIDE!$B$8&gt;=7,FORSIDE!$F$8&gt;=8,FORSIDE!$B$5&gt;=6),354+8*FORSIDE!$F$9,"")</f>
        <v/>
      </c>
      <c r="C1933" t="str">
        <f>IF(AND(FORSIDE!$B$8&gt;=7,FORSIDE!$F$8&gt;=8,FORSIDE!$B$5&gt;=6),7*FORSIDE!$B$9,"")</f>
        <v/>
      </c>
      <c r="D1933" t="str">
        <f>IF(AND(FORSIDE!$B$8&gt;=7,FORSIDE!$F$8&gt;=8,FORSIDE!$B$5&gt;=6),FORSIDE!$B$6+(6-1)*FORSIDE!$B$7,"")</f>
        <v/>
      </c>
    </row>
    <row r="1934" spans="1:4" x14ac:dyDescent="0.3">
      <c r="A1934" t="str">
        <f>IF(AND(FORSIDE!$B$8&gt;=7,FORSIDE!$F$8&gt;=8,FORSIDE!$B$5&gt;=7),1933,"")</f>
        <v/>
      </c>
      <c r="B1934" t="str">
        <f>IF(AND(FORSIDE!$B$8&gt;=7,FORSIDE!$F$8&gt;=8,FORSIDE!$B$5&gt;=7),354+8*FORSIDE!$F$9,"")</f>
        <v/>
      </c>
      <c r="C1934" t="str">
        <f>IF(AND(FORSIDE!$B$8&gt;=7,FORSIDE!$F$8&gt;=8,FORSIDE!$B$5&gt;=7),7*FORSIDE!$B$9,"")</f>
        <v/>
      </c>
      <c r="D1934" t="str">
        <f>IF(AND(FORSIDE!$B$8&gt;=7,FORSIDE!$F$8&gt;=8,FORSIDE!$B$5&gt;=7),FORSIDE!$B$6+(7-1)*FORSIDE!$B$7,"")</f>
        <v/>
      </c>
    </row>
    <row r="1935" spans="1:4" x14ac:dyDescent="0.3">
      <c r="A1935" t="str">
        <f>IF(AND(FORSIDE!$B$8&gt;=7,FORSIDE!$F$8&gt;=8,FORSIDE!$B$5&gt;=8),1934,"")</f>
        <v/>
      </c>
      <c r="B1935" t="str">
        <f>IF(AND(FORSIDE!$B$8&gt;=7,FORSIDE!$F$8&gt;=8,FORSIDE!$B$5&gt;=8),354+8*FORSIDE!$F$9,"")</f>
        <v/>
      </c>
      <c r="C1935" t="str">
        <f>IF(AND(FORSIDE!$B$8&gt;=7,FORSIDE!$F$8&gt;=8,FORSIDE!$B$5&gt;=8),7*FORSIDE!$B$9,"")</f>
        <v/>
      </c>
      <c r="D1935" t="str">
        <f>IF(AND(FORSIDE!$B$8&gt;=7,FORSIDE!$F$8&gt;=8,FORSIDE!$B$5&gt;=8),FORSIDE!$B$6+(8-1)*FORSIDE!$B$7,"")</f>
        <v/>
      </c>
    </row>
    <row r="1936" spans="1:4" x14ac:dyDescent="0.3">
      <c r="A1936" t="str">
        <f>IF(AND(FORSIDE!$B$8&gt;=7,FORSIDE!$F$8&gt;=8,FORSIDE!$B$5&gt;=9),1935,"")</f>
        <v/>
      </c>
      <c r="B1936" t="str">
        <f>IF(AND(FORSIDE!$B$8&gt;=7,FORSIDE!$F$8&gt;=8,FORSIDE!$B$5&gt;=9),354+8*FORSIDE!$F$9,"")</f>
        <v/>
      </c>
      <c r="C1936" t="str">
        <f>IF(AND(FORSIDE!$B$8&gt;=7,FORSIDE!$F$8&gt;=8,FORSIDE!$B$5&gt;=9),7*FORSIDE!$B$9,"")</f>
        <v/>
      </c>
      <c r="D1936" t="str">
        <f>IF(AND(FORSIDE!$B$8&gt;=7,FORSIDE!$F$8&gt;=8,FORSIDE!$B$5&gt;=9),FORSIDE!$B$6+(9-1)*FORSIDE!$B$7,"")</f>
        <v/>
      </c>
    </row>
    <row r="1937" spans="1:4" x14ac:dyDescent="0.3">
      <c r="A1937" t="str">
        <f>IF(AND(FORSIDE!$B$8&gt;=7,FORSIDE!$F$8&gt;=8,FORSIDE!$B$5&gt;=10),1936,"")</f>
        <v/>
      </c>
      <c r="B1937" t="str">
        <f>IF(AND(FORSIDE!$B$8&gt;=7,FORSIDE!$F$8&gt;=8,FORSIDE!$B$5&gt;=10),354+8*FORSIDE!$F$9,"")</f>
        <v/>
      </c>
      <c r="C1937" t="str">
        <f>IF(AND(FORSIDE!$B$8&gt;=7,FORSIDE!$F$8&gt;=8,FORSIDE!$B$5&gt;=10),7*FORSIDE!$B$9,"")</f>
        <v/>
      </c>
      <c r="D1937" t="str">
        <f>IF(AND(FORSIDE!$B$8&gt;=7,FORSIDE!$F$8&gt;=8,FORSIDE!$B$5&gt;=10),FORSIDE!$B$6+(10-1)*FORSIDE!$B$7,"")</f>
        <v/>
      </c>
    </row>
    <row r="1938" spans="1:4" x14ac:dyDescent="0.3">
      <c r="A1938" t="str">
        <f>IF(AND(FORSIDE!$B$8&gt;=8,FORSIDE!$F$8&gt;=8,FORSIDE!$B$5&gt;=0),1937,"")</f>
        <v/>
      </c>
      <c r="B1938" t="str">
        <f>IF(AND(FORSIDE!$B$8&gt;=8,FORSIDE!$F$8&gt;=8,FORSIDE!$B$5&gt;=0),354+8*FORSIDE!$F$9,"")</f>
        <v/>
      </c>
      <c r="C1938" t="str">
        <f>IF(AND(FORSIDE!$B$8&gt;=8,FORSIDE!$F$8&gt;=8,FORSIDE!$B$5&gt;=0),8*FORSIDE!$B$9,"")</f>
        <v/>
      </c>
      <c r="D1938" t="str">
        <f>IF(AND(FORSIDE!$B$8&gt;=8,FORSIDE!$F$8&gt;=8,FORSIDE!$B$5&gt;=0),0,"")</f>
        <v/>
      </c>
    </row>
    <row r="1939" spans="1:4" x14ac:dyDescent="0.3">
      <c r="A1939" t="str">
        <f>IF(AND(FORSIDE!$B$8&gt;=8,FORSIDE!$F$8&gt;=8,FORSIDE!$B$5&gt;=1),1938,"")</f>
        <v/>
      </c>
      <c r="B1939" t="str">
        <f>IF(AND(FORSIDE!$B$8&gt;=8,FORSIDE!$F$8&gt;=8,FORSIDE!$B$5&gt;=1),354+8*FORSIDE!$F$9,"")</f>
        <v/>
      </c>
      <c r="C1939" t="str">
        <f>IF(AND(FORSIDE!$B$8&gt;=8,FORSIDE!$F$8&gt;=8,FORSIDE!$B$5&gt;=1),8*FORSIDE!$B$9,"")</f>
        <v/>
      </c>
      <c r="D1939" t="str">
        <f>IF(AND(FORSIDE!$B$8&gt;=8,FORSIDE!$F$8&gt;=8,FORSIDE!$B$5&gt;=1),FORSIDE!$B$6+(1-1)*FORSIDE!$B$7,"")</f>
        <v/>
      </c>
    </row>
    <row r="1940" spans="1:4" x14ac:dyDescent="0.3">
      <c r="A1940" t="str">
        <f>IF(AND(FORSIDE!$B$8&gt;=8,FORSIDE!$F$8&gt;=8,FORSIDE!$B$5&gt;=2),1939,"")</f>
        <v/>
      </c>
      <c r="B1940" t="str">
        <f>IF(AND(FORSIDE!$B$8&gt;=8,FORSIDE!$F$8&gt;=8,FORSIDE!$B$5&gt;=2),354+8*FORSIDE!$F$9,"")</f>
        <v/>
      </c>
      <c r="C1940" t="str">
        <f>IF(AND(FORSIDE!$B$8&gt;=8,FORSIDE!$F$8&gt;=8,FORSIDE!$B$5&gt;=2),8*FORSIDE!$B$9,"")</f>
        <v/>
      </c>
      <c r="D1940" t="str">
        <f>IF(AND(FORSIDE!$B$8&gt;=8,FORSIDE!$F$8&gt;=8,FORSIDE!$B$5&gt;=2),FORSIDE!$B$6+(2-1)*FORSIDE!$B$7,"")</f>
        <v/>
      </c>
    </row>
    <row r="1941" spans="1:4" x14ac:dyDescent="0.3">
      <c r="A1941" t="str">
        <f>IF(AND(FORSIDE!$B$8&gt;=8,FORSIDE!$F$8&gt;=8,FORSIDE!$B$5&gt;=3),1940,"")</f>
        <v/>
      </c>
      <c r="B1941" t="str">
        <f>IF(AND(FORSIDE!$B$8&gt;=8,FORSIDE!$F$8&gt;=8,FORSIDE!$B$5&gt;=3),354+8*FORSIDE!$F$9,"")</f>
        <v/>
      </c>
      <c r="C1941" t="str">
        <f>IF(AND(FORSIDE!$B$8&gt;=8,FORSIDE!$F$8&gt;=8,FORSIDE!$B$5&gt;=3),8*FORSIDE!$B$9,"")</f>
        <v/>
      </c>
      <c r="D1941" t="str">
        <f>IF(AND(FORSIDE!$B$8&gt;=8,FORSIDE!$F$8&gt;=8,FORSIDE!$B$5&gt;=3),FORSIDE!$B$6+(3-1)*FORSIDE!$B$7,"")</f>
        <v/>
      </c>
    </row>
    <row r="1942" spans="1:4" x14ac:dyDescent="0.3">
      <c r="A1942" t="str">
        <f>IF(AND(FORSIDE!$B$8&gt;=8,FORSIDE!$F$8&gt;=8,FORSIDE!$B$5&gt;=4),1941,"")</f>
        <v/>
      </c>
      <c r="B1942" t="str">
        <f>IF(AND(FORSIDE!$B$8&gt;=8,FORSIDE!$F$8&gt;=8,FORSIDE!$B$5&gt;=4),354+8*FORSIDE!$F$9,"")</f>
        <v/>
      </c>
      <c r="C1942" t="str">
        <f>IF(AND(FORSIDE!$B$8&gt;=8,FORSIDE!$F$8&gt;=8,FORSIDE!$B$5&gt;=4),8*FORSIDE!$B$9,"")</f>
        <v/>
      </c>
      <c r="D1942" t="str">
        <f>IF(AND(FORSIDE!$B$8&gt;=8,FORSIDE!$F$8&gt;=8,FORSIDE!$B$5&gt;=4),FORSIDE!$B$6+(4-1)*FORSIDE!$B$7,"")</f>
        <v/>
      </c>
    </row>
    <row r="1943" spans="1:4" x14ac:dyDescent="0.3">
      <c r="A1943" t="str">
        <f>IF(AND(FORSIDE!$B$8&gt;=8,FORSIDE!$F$8&gt;=8,FORSIDE!$B$5&gt;=5),1942,"")</f>
        <v/>
      </c>
      <c r="B1943" t="str">
        <f>IF(AND(FORSIDE!$B$8&gt;=8,FORSIDE!$F$8&gt;=8,FORSIDE!$B$5&gt;=5),354+8*FORSIDE!$F$9,"")</f>
        <v/>
      </c>
      <c r="C1943" t="str">
        <f>IF(AND(FORSIDE!$B$8&gt;=8,FORSIDE!$F$8&gt;=8,FORSIDE!$B$5&gt;=5),8*FORSIDE!$B$9,"")</f>
        <v/>
      </c>
      <c r="D1943" t="str">
        <f>IF(AND(FORSIDE!$B$8&gt;=8,FORSIDE!$F$8&gt;=8,FORSIDE!$B$5&gt;=5),FORSIDE!$B$6+(5-1)*FORSIDE!$B$7,"")</f>
        <v/>
      </c>
    </row>
    <row r="1944" spans="1:4" x14ac:dyDescent="0.3">
      <c r="A1944" t="str">
        <f>IF(AND(FORSIDE!$B$8&gt;=8,FORSIDE!$F$8&gt;=8,FORSIDE!$B$5&gt;=6),1943,"")</f>
        <v/>
      </c>
      <c r="B1944" t="str">
        <f>IF(AND(FORSIDE!$B$8&gt;=8,FORSIDE!$F$8&gt;=8,FORSIDE!$B$5&gt;=6),354+8*FORSIDE!$F$9,"")</f>
        <v/>
      </c>
      <c r="C1944" t="str">
        <f>IF(AND(FORSIDE!$B$8&gt;=8,FORSIDE!$F$8&gt;=8,FORSIDE!$B$5&gt;=6),8*FORSIDE!$B$9,"")</f>
        <v/>
      </c>
      <c r="D1944" t="str">
        <f>IF(AND(FORSIDE!$B$8&gt;=8,FORSIDE!$F$8&gt;=8,FORSIDE!$B$5&gt;=6),FORSIDE!$B$6+(6-1)*FORSIDE!$B$7,"")</f>
        <v/>
      </c>
    </row>
    <row r="1945" spans="1:4" x14ac:dyDescent="0.3">
      <c r="A1945" t="str">
        <f>IF(AND(FORSIDE!$B$8&gt;=8,FORSIDE!$F$8&gt;=8,FORSIDE!$B$5&gt;=7),1944,"")</f>
        <v/>
      </c>
      <c r="B1945" t="str">
        <f>IF(AND(FORSIDE!$B$8&gt;=8,FORSIDE!$F$8&gt;=8,FORSIDE!$B$5&gt;=7),354+8*FORSIDE!$F$9,"")</f>
        <v/>
      </c>
      <c r="C1945" t="str">
        <f>IF(AND(FORSIDE!$B$8&gt;=8,FORSIDE!$F$8&gt;=8,FORSIDE!$B$5&gt;=7),8*FORSIDE!$B$9,"")</f>
        <v/>
      </c>
      <c r="D1945" t="str">
        <f>IF(AND(FORSIDE!$B$8&gt;=8,FORSIDE!$F$8&gt;=8,FORSIDE!$B$5&gt;=7),FORSIDE!$B$6+(7-1)*FORSIDE!$B$7,"")</f>
        <v/>
      </c>
    </row>
    <row r="1946" spans="1:4" x14ac:dyDescent="0.3">
      <c r="A1946" t="str">
        <f>IF(AND(FORSIDE!$B$8&gt;=8,FORSIDE!$F$8&gt;=8,FORSIDE!$B$5&gt;=8),1945,"")</f>
        <v/>
      </c>
      <c r="B1946" t="str">
        <f>IF(AND(FORSIDE!$B$8&gt;=8,FORSIDE!$F$8&gt;=8,FORSIDE!$B$5&gt;=8),354+8*FORSIDE!$F$9,"")</f>
        <v/>
      </c>
      <c r="C1946" t="str">
        <f>IF(AND(FORSIDE!$B$8&gt;=8,FORSIDE!$F$8&gt;=8,FORSIDE!$B$5&gt;=8),8*FORSIDE!$B$9,"")</f>
        <v/>
      </c>
      <c r="D1946" t="str">
        <f>IF(AND(FORSIDE!$B$8&gt;=8,FORSIDE!$F$8&gt;=8,FORSIDE!$B$5&gt;=8),FORSIDE!$B$6+(8-1)*FORSIDE!$B$7,"")</f>
        <v/>
      </c>
    </row>
    <row r="1947" spans="1:4" x14ac:dyDescent="0.3">
      <c r="A1947" t="str">
        <f>IF(AND(FORSIDE!$B$8&gt;=8,FORSIDE!$F$8&gt;=8,FORSIDE!$B$5&gt;=9),1946,"")</f>
        <v/>
      </c>
      <c r="B1947" t="str">
        <f>IF(AND(FORSIDE!$B$8&gt;=8,FORSIDE!$F$8&gt;=8,FORSIDE!$B$5&gt;=9),354+8*FORSIDE!$F$9,"")</f>
        <v/>
      </c>
      <c r="C1947" t="str">
        <f>IF(AND(FORSIDE!$B$8&gt;=8,FORSIDE!$F$8&gt;=8,FORSIDE!$B$5&gt;=9),8*FORSIDE!$B$9,"")</f>
        <v/>
      </c>
      <c r="D1947" t="str">
        <f>IF(AND(FORSIDE!$B$8&gt;=8,FORSIDE!$F$8&gt;=8,FORSIDE!$B$5&gt;=9),FORSIDE!$B$6+(9-1)*FORSIDE!$B$7,"")</f>
        <v/>
      </c>
    </row>
    <row r="1948" spans="1:4" x14ac:dyDescent="0.3">
      <c r="A1948" t="str">
        <f>IF(AND(FORSIDE!$B$8&gt;=8,FORSIDE!$F$8&gt;=8,FORSIDE!$B$5&gt;=10),1947,"")</f>
        <v/>
      </c>
      <c r="B1948" t="str">
        <f>IF(AND(FORSIDE!$B$8&gt;=8,FORSIDE!$F$8&gt;=8,FORSIDE!$B$5&gt;=10),354+8*FORSIDE!$F$9,"")</f>
        <v/>
      </c>
      <c r="C1948" t="str">
        <f>IF(AND(FORSIDE!$B$8&gt;=8,FORSIDE!$F$8&gt;=8,FORSIDE!$B$5&gt;=10),8*FORSIDE!$B$9,"")</f>
        <v/>
      </c>
      <c r="D1948" t="str">
        <f>IF(AND(FORSIDE!$B$8&gt;=8,FORSIDE!$F$8&gt;=8,FORSIDE!$B$5&gt;=10),FORSIDE!$B$6+(10-1)*FORSIDE!$B$7,"")</f>
        <v/>
      </c>
    </row>
    <row r="1949" spans="1:4" x14ac:dyDescent="0.3">
      <c r="A1949" t="str">
        <f>IF(AND(FORSIDE!$B$8&gt;=9,FORSIDE!$F$8&gt;=8,FORSIDE!$B$5&gt;=0),1948,"")</f>
        <v/>
      </c>
      <c r="B1949" t="str">
        <f>IF(AND(FORSIDE!$B$8&gt;=9,FORSIDE!$F$8&gt;=8,FORSIDE!$B$5&gt;=0),354+8*FORSIDE!$F$9,"")</f>
        <v/>
      </c>
      <c r="C1949" t="str">
        <f>IF(AND(FORSIDE!$B$8&gt;=9,FORSIDE!$F$8&gt;=8,FORSIDE!$B$5&gt;=0),9*FORSIDE!$B$9,"")</f>
        <v/>
      </c>
      <c r="D1949" t="str">
        <f>IF(AND(FORSIDE!$B$8&gt;=9,FORSIDE!$F$8&gt;=8,FORSIDE!$B$5&gt;=0),0,"")</f>
        <v/>
      </c>
    </row>
    <row r="1950" spans="1:4" x14ac:dyDescent="0.3">
      <c r="A1950" t="str">
        <f>IF(AND(FORSIDE!$B$8&gt;=9,FORSIDE!$F$8&gt;=8,FORSIDE!$B$5&gt;=1),1949,"")</f>
        <v/>
      </c>
      <c r="B1950" t="str">
        <f>IF(AND(FORSIDE!$B$8&gt;=9,FORSIDE!$F$8&gt;=8,FORSIDE!$B$5&gt;=1),354+8*FORSIDE!$F$9,"")</f>
        <v/>
      </c>
      <c r="C1950" t="str">
        <f>IF(AND(FORSIDE!$B$8&gt;=9,FORSIDE!$F$8&gt;=8,FORSIDE!$B$5&gt;=1),9*FORSIDE!$B$9,"")</f>
        <v/>
      </c>
      <c r="D1950" t="str">
        <f>IF(AND(FORSIDE!$B$8&gt;=9,FORSIDE!$F$8&gt;=8,FORSIDE!$B$5&gt;=1),FORSIDE!$B$6+(1-1)*FORSIDE!$B$7,"")</f>
        <v/>
      </c>
    </row>
    <row r="1951" spans="1:4" x14ac:dyDescent="0.3">
      <c r="A1951" t="str">
        <f>IF(AND(FORSIDE!$B$8&gt;=9,FORSIDE!$F$8&gt;=8,FORSIDE!$B$5&gt;=2),1950,"")</f>
        <v/>
      </c>
      <c r="B1951" t="str">
        <f>IF(AND(FORSIDE!$B$8&gt;=9,FORSIDE!$F$8&gt;=8,FORSIDE!$B$5&gt;=2),354+8*FORSIDE!$F$9,"")</f>
        <v/>
      </c>
      <c r="C1951" t="str">
        <f>IF(AND(FORSIDE!$B$8&gt;=9,FORSIDE!$F$8&gt;=8,FORSIDE!$B$5&gt;=2),9*FORSIDE!$B$9,"")</f>
        <v/>
      </c>
      <c r="D1951" t="str">
        <f>IF(AND(FORSIDE!$B$8&gt;=9,FORSIDE!$F$8&gt;=8,FORSIDE!$B$5&gt;=2),FORSIDE!$B$6+(2-1)*FORSIDE!$B$7,"")</f>
        <v/>
      </c>
    </row>
    <row r="1952" spans="1:4" x14ac:dyDescent="0.3">
      <c r="A1952" t="str">
        <f>IF(AND(FORSIDE!$B$8&gt;=9,FORSIDE!$F$8&gt;=8,FORSIDE!$B$5&gt;=3),1951,"")</f>
        <v/>
      </c>
      <c r="B1952" t="str">
        <f>IF(AND(FORSIDE!$B$8&gt;=9,FORSIDE!$F$8&gt;=8,FORSIDE!$B$5&gt;=3),354+8*FORSIDE!$F$9,"")</f>
        <v/>
      </c>
      <c r="C1952" t="str">
        <f>IF(AND(FORSIDE!$B$8&gt;=9,FORSIDE!$F$8&gt;=8,FORSIDE!$B$5&gt;=3),9*FORSIDE!$B$9,"")</f>
        <v/>
      </c>
      <c r="D1952" t="str">
        <f>IF(AND(FORSIDE!$B$8&gt;=9,FORSIDE!$F$8&gt;=8,FORSIDE!$B$5&gt;=3),FORSIDE!$B$6+(3-1)*FORSIDE!$B$7,"")</f>
        <v/>
      </c>
    </row>
    <row r="1953" spans="1:4" x14ac:dyDescent="0.3">
      <c r="A1953" t="str">
        <f>IF(AND(FORSIDE!$B$8&gt;=9,FORSIDE!$F$8&gt;=8,FORSIDE!$B$5&gt;=4),1952,"")</f>
        <v/>
      </c>
      <c r="B1953" t="str">
        <f>IF(AND(FORSIDE!$B$8&gt;=9,FORSIDE!$F$8&gt;=8,FORSIDE!$B$5&gt;=4),354+8*FORSIDE!$F$9,"")</f>
        <v/>
      </c>
      <c r="C1953" t="str">
        <f>IF(AND(FORSIDE!$B$8&gt;=9,FORSIDE!$F$8&gt;=8,FORSIDE!$B$5&gt;=4),9*FORSIDE!$B$9,"")</f>
        <v/>
      </c>
      <c r="D1953" t="str">
        <f>IF(AND(FORSIDE!$B$8&gt;=9,FORSIDE!$F$8&gt;=8,FORSIDE!$B$5&gt;=4),FORSIDE!$B$6+(4-1)*FORSIDE!$B$7,"")</f>
        <v/>
      </c>
    </row>
    <row r="1954" spans="1:4" x14ac:dyDescent="0.3">
      <c r="A1954" t="str">
        <f>IF(AND(FORSIDE!$B$8&gt;=9,FORSIDE!$F$8&gt;=8,FORSIDE!$B$5&gt;=5),1953,"")</f>
        <v/>
      </c>
      <c r="B1954" t="str">
        <f>IF(AND(FORSIDE!$B$8&gt;=9,FORSIDE!$F$8&gt;=8,FORSIDE!$B$5&gt;=5),354+8*FORSIDE!$F$9,"")</f>
        <v/>
      </c>
      <c r="C1954" t="str">
        <f>IF(AND(FORSIDE!$B$8&gt;=9,FORSIDE!$F$8&gt;=8,FORSIDE!$B$5&gt;=5),9*FORSIDE!$B$9,"")</f>
        <v/>
      </c>
      <c r="D1954" t="str">
        <f>IF(AND(FORSIDE!$B$8&gt;=9,FORSIDE!$F$8&gt;=8,FORSIDE!$B$5&gt;=5),FORSIDE!$B$6+(5-1)*FORSIDE!$B$7,"")</f>
        <v/>
      </c>
    </row>
    <row r="1955" spans="1:4" x14ac:dyDescent="0.3">
      <c r="A1955" t="str">
        <f>IF(AND(FORSIDE!$B$8&gt;=9,FORSIDE!$F$8&gt;=8,FORSIDE!$B$5&gt;=6),1954,"")</f>
        <v/>
      </c>
      <c r="B1955" t="str">
        <f>IF(AND(FORSIDE!$B$8&gt;=9,FORSIDE!$F$8&gt;=8,FORSIDE!$B$5&gt;=6),354+8*FORSIDE!$F$9,"")</f>
        <v/>
      </c>
      <c r="C1955" t="str">
        <f>IF(AND(FORSIDE!$B$8&gt;=9,FORSIDE!$F$8&gt;=8,FORSIDE!$B$5&gt;=6),9*FORSIDE!$B$9,"")</f>
        <v/>
      </c>
      <c r="D1955" t="str">
        <f>IF(AND(FORSIDE!$B$8&gt;=9,FORSIDE!$F$8&gt;=8,FORSIDE!$B$5&gt;=6),FORSIDE!$B$6+(6-1)*FORSIDE!$B$7,"")</f>
        <v/>
      </c>
    </row>
    <row r="1956" spans="1:4" x14ac:dyDescent="0.3">
      <c r="A1956" t="str">
        <f>IF(AND(FORSIDE!$B$8&gt;=9,FORSIDE!$F$8&gt;=8,FORSIDE!$B$5&gt;=7),1955,"")</f>
        <v/>
      </c>
      <c r="B1956" t="str">
        <f>IF(AND(FORSIDE!$B$8&gt;=9,FORSIDE!$F$8&gt;=8,FORSIDE!$B$5&gt;=7),354+8*FORSIDE!$F$9,"")</f>
        <v/>
      </c>
      <c r="C1956" t="str">
        <f>IF(AND(FORSIDE!$B$8&gt;=9,FORSIDE!$F$8&gt;=8,FORSIDE!$B$5&gt;=7),9*FORSIDE!$B$9,"")</f>
        <v/>
      </c>
      <c r="D1956" t="str">
        <f>IF(AND(FORSIDE!$B$8&gt;=9,FORSIDE!$F$8&gt;=8,FORSIDE!$B$5&gt;=7),FORSIDE!$B$6+(7-1)*FORSIDE!$B$7,"")</f>
        <v/>
      </c>
    </row>
    <row r="1957" spans="1:4" x14ac:dyDescent="0.3">
      <c r="A1957" t="str">
        <f>IF(AND(FORSIDE!$B$8&gt;=9,FORSIDE!$F$8&gt;=8,FORSIDE!$B$5&gt;=8),1956,"")</f>
        <v/>
      </c>
      <c r="B1957" t="str">
        <f>IF(AND(FORSIDE!$B$8&gt;=9,FORSIDE!$F$8&gt;=8,FORSIDE!$B$5&gt;=8),354+8*FORSIDE!$F$9,"")</f>
        <v/>
      </c>
      <c r="C1957" t="str">
        <f>IF(AND(FORSIDE!$B$8&gt;=9,FORSIDE!$F$8&gt;=8,FORSIDE!$B$5&gt;=8),9*FORSIDE!$B$9,"")</f>
        <v/>
      </c>
      <c r="D1957" t="str">
        <f>IF(AND(FORSIDE!$B$8&gt;=9,FORSIDE!$F$8&gt;=8,FORSIDE!$B$5&gt;=8),FORSIDE!$B$6+(8-1)*FORSIDE!$B$7,"")</f>
        <v/>
      </c>
    </row>
    <row r="1958" spans="1:4" x14ac:dyDescent="0.3">
      <c r="A1958" t="str">
        <f>IF(AND(FORSIDE!$B$8&gt;=9,FORSIDE!$F$8&gt;=8,FORSIDE!$B$5&gt;=9),1957,"")</f>
        <v/>
      </c>
      <c r="B1958" t="str">
        <f>IF(AND(FORSIDE!$B$8&gt;=9,FORSIDE!$F$8&gt;=8,FORSIDE!$B$5&gt;=9),354+8*FORSIDE!$F$9,"")</f>
        <v/>
      </c>
      <c r="C1958" t="str">
        <f>IF(AND(FORSIDE!$B$8&gt;=9,FORSIDE!$F$8&gt;=8,FORSIDE!$B$5&gt;=9),9*FORSIDE!$B$9,"")</f>
        <v/>
      </c>
      <c r="D1958" t="str">
        <f>IF(AND(FORSIDE!$B$8&gt;=9,FORSIDE!$F$8&gt;=8,FORSIDE!$B$5&gt;=9),FORSIDE!$B$6+(9-1)*FORSIDE!$B$7,"")</f>
        <v/>
      </c>
    </row>
    <row r="1959" spans="1:4" x14ac:dyDescent="0.3">
      <c r="A1959" t="str">
        <f>IF(AND(FORSIDE!$B$8&gt;=9,FORSIDE!$F$8&gt;=8,FORSIDE!$B$5&gt;=10),1958,"")</f>
        <v/>
      </c>
      <c r="B1959" t="str">
        <f>IF(AND(FORSIDE!$B$8&gt;=9,FORSIDE!$F$8&gt;=8,FORSIDE!$B$5&gt;=10),354+8*FORSIDE!$F$9,"")</f>
        <v/>
      </c>
      <c r="C1959" t="str">
        <f>IF(AND(FORSIDE!$B$8&gt;=9,FORSIDE!$F$8&gt;=8,FORSIDE!$B$5&gt;=10),9*FORSIDE!$B$9,"")</f>
        <v/>
      </c>
      <c r="D1959" t="str">
        <f>IF(AND(FORSIDE!$B$8&gt;=9,FORSIDE!$F$8&gt;=8,FORSIDE!$B$5&gt;=10),FORSIDE!$B$6+(10-1)*FORSIDE!$B$7,"")</f>
        <v/>
      </c>
    </row>
    <row r="1960" spans="1:4" x14ac:dyDescent="0.3">
      <c r="A1960" t="str">
        <f>IF(AND(FORSIDE!$B$8&gt;=10,FORSIDE!$F$8&gt;=8,FORSIDE!$B$5&gt;=0),1959,"")</f>
        <v/>
      </c>
      <c r="B1960" t="str">
        <f>IF(AND(FORSIDE!$B$8&gt;=10,FORSIDE!$F$8&gt;=8,FORSIDE!$B$5&gt;=0),354+8*FORSIDE!$F$9,"")</f>
        <v/>
      </c>
      <c r="C1960" t="str">
        <f>IF(AND(FORSIDE!$B$8&gt;=10,FORSIDE!$F$8&gt;=8,FORSIDE!$B$5&gt;=0),10*FORSIDE!$B$9,"")</f>
        <v/>
      </c>
      <c r="D1960" t="str">
        <f>IF(AND(FORSIDE!$B$8&gt;=10,FORSIDE!$F$8&gt;=8,FORSIDE!$B$5&gt;=0),0,"")</f>
        <v/>
      </c>
    </row>
    <row r="1961" spans="1:4" x14ac:dyDescent="0.3">
      <c r="A1961" t="str">
        <f>IF(AND(FORSIDE!$B$8&gt;=10,FORSIDE!$F$8&gt;=8,FORSIDE!$B$5&gt;=1),1960,"")</f>
        <v/>
      </c>
      <c r="B1961" t="str">
        <f>IF(AND(FORSIDE!$B$8&gt;=10,FORSIDE!$F$8&gt;=8,FORSIDE!$B$5&gt;=1),354+8*FORSIDE!$F$9,"")</f>
        <v/>
      </c>
      <c r="C1961" t="str">
        <f>IF(AND(FORSIDE!$B$8&gt;=10,FORSIDE!$F$8&gt;=8,FORSIDE!$B$5&gt;=1),10*FORSIDE!$B$9,"")</f>
        <v/>
      </c>
      <c r="D1961" t="str">
        <f>IF(AND(FORSIDE!$B$8&gt;=10,FORSIDE!$F$8&gt;=8,FORSIDE!$B$5&gt;=1),FORSIDE!$B$6+(1-1)*FORSIDE!$B$7,"")</f>
        <v/>
      </c>
    </row>
    <row r="1962" spans="1:4" x14ac:dyDescent="0.3">
      <c r="A1962" t="str">
        <f>IF(AND(FORSIDE!$B$8&gt;=10,FORSIDE!$F$8&gt;=8,FORSIDE!$B$5&gt;=2),1961,"")</f>
        <v/>
      </c>
      <c r="B1962" t="str">
        <f>IF(AND(FORSIDE!$B$8&gt;=10,FORSIDE!$F$8&gt;=8,FORSIDE!$B$5&gt;=2),354+8*FORSIDE!$F$9,"")</f>
        <v/>
      </c>
      <c r="C1962" t="str">
        <f>IF(AND(FORSIDE!$B$8&gt;=10,FORSIDE!$F$8&gt;=8,FORSIDE!$B$5&gt;=2),10*FORSIDE!$B$9,"")</f>
        <v/>
      </c>
      <c r="D1962" t="str">
        <f>IF(AND(FORSIDE!$B$8&gt;=10,FORSIDE!$F$8&gt;=8,FORSIDE!$B$5&gt;=2),FORSIDE!$B$6+(2-1)*FORSIDE!$B$7,"")</f>
        <v/>
      </c>
    </row>
    <row r="1963" spans="1:4" x14ac:dyDescent="0.3">
      <c r="A1963" t="str">
        <f>IF(AND(FORSIDE!$B$8&gt;=10,FORSIDE!$F$8&gt;=8,FORSIDE!$B$5&gt;=3),1962,"")</f>
        <v/>
      </c>
      <c r="B1963" t="str">
        <f>IF(AND(FORSIDE!$B$8&gt;=10,FORSIDE!$F$8&gt;=8,FORSIDE!$B$5&gt;=3),354+8*FORSIDE!$F$9,"")</f>
        <v/>
      </c>
      <c r="C1963" t="str">
        <f>IF(AND(FORSIDE!$B$8&gt;=10,FORSIDE!$F$8&gt;=8,FORSIDE!$B$5&gt;=3),10*FORSIDE!$B$9,"")</f>
        <v/>
      </c>
      <c r="D1963" t="str">
        <f>IF(AND(FORSIDE!$B$8&gt;=10,FORSIDE!$F$8&gt;=8,FORSIDE!$B$5&gt;=3),FORSIDE!$B$6+(3-1)*FORSIDE!$B$7,"")</f>
        <v/>
      </c>
    </row>
    <row r="1964" spans="1:4" x14ac:dyDescent="0.3">
      <c r="A1964" t="str">
        <f>IF(AND(FORSIDE!$B$8&gt;=10,FORSIDE!$F$8&gt;=8,FORSIDE!$B$5&gt;=4),1963,"")</f>
        <v/>
      </c>
      <c r="B1964" t="str">
        <f>IF(AND(FORSIDE!$B$8&gt;=10,FORSIDE!$F$8&gt;=8,FORSIDE!$B$5&gt;=4),354+8*FORSIDE!$F$9,"")</f>
        <v/>
      </c>
      <c r="C1964" t="str">
        <f>IF(AND(FORSIDE!$B$8&gt;=10,FORSIDE!$F$8&gt;=8,FORSIDE!$B$5&gt;=4),10*FORSIDE!$B$9,"")</f>
        <v/>
      </c>
      <c r="D1964" t="str">
        <f>IF(AND(FORSIDE!$B$8&gt;=10,FORSIDE!$F$8&gt;=8,FORSIDE!$B$5&gt;=4),FORSIDE!$B$6+(4-1)*FORSIDE!$B$7,"")</f>
        <v/>
      </c>
    </row>
    <row r="1965" spans="1:4" x14ac:dyDescent="0.3">
      <c r="A1965" t="str">
        <f>IF(AND(FORSIDE!$B$8&gt;=10,FORSIDE!$F$8&gt;=8,FORSIDE!$B$5&gt;=5),1964,"")</f>
        <v/>
      </c>
      <c r="B1965" t="str">
        <f>IF(AND(FORSIDE!$B$8&gt;=10,FORSIDE!$F$8&gt;=8,FORSIDE!$B$5&gt;=5),354+8*FORSIDE!$F$9,"")</f>
        <v/>
      </c>
      <c r="C1965" t="str">
        <f>IF(AND(FORSIDE!$B$8&gt;=10,FORSIDE!$F$8&gt;=8,FORSIDE!$B$5&gt;=5),10*FORSIDE!$B$9,"")</f>
        <v/>
      </c>
      <c r="D1965" t="str">
        <f>IF(AND(FORSIDE!$B$8&gt;=10,FORSIDE!$F$8&gt;=8,FORSIDE!$B$5&gt;=5),FORSIDE!$B$6+(5-1)*FORSIDE!$B$7,"")</f>
        <v/>
      </c>
    </row>
    <row r="1966" spans="1:4" x14ac:dyDescent="0.3">
      <c r="A1966" t="str">
        <f>IF(AND(FORSIDE!$B$8&gt;=10,FORSIDE!$F$8&gt;=8,FORSIDE!$B$5&gt;=6),1965,"")</f>
        <v/>
      </c>
      <c r="B1966" t="str">
        <f>IF(AND(FORSIDE!$B$8&gt;=10,FORSIDE!$F$8&gt;=8,FORSIDE!$B$5&gt;=6),354+8*FORSIDE!$F$9,"")</f>
        <v/>
      </c>
      <c r="C1966" t="str">
        <f>IF(AND(FORSIDE!$B$8&gt;=10,FORSIDE!$F$8&gt;=8,FORSIDE!$B$5&gt;=6),10*FORSIDE!$B$9,"")</f>
        <v/>
      </c>
      <c r="D1966" t="str">
        <f>IF(AND(FORSIDE!$B$8&gt;=10,FORSIDE!$F$8&gt;=8,FORSIDE!$B$5&gt;=6),FORSIDE!$B$6+(6-1)*FORSIDE!$B$7,"")</f>
        <v/>
      </c>
    </row>
    <row r="1967" spans="1:4" x14ac:dyDescent="0.3">
      <c r="A1967" t="str">
        <f>IF(AND(FORSIDE!$B$8&gt;=10,FORSIDE!$F$8&gt;=8,FORSIDE!$B$5&gt;=7),1966,"")</f>
        <v/>
      </c>
      <c r="B1967" t="str">
        <f>IF(AND(FORSIDE!$B$8&gt;=10,FORSIDE!$F$8&gt;=8,FORSIDE!$B$5&gt;=7),354+8*FORSIDE!$F$9,"")</f>
        <v/>
      </c>
      <c r="C1967" t="str">
        <f>IF(AND(FORSIDE!$B$8&gt;=10,FORSIDE!$F$8&gt;=8,FORSIDE!$B$5&gt;=7),10*FORSIDE!$B$9,"")</f>
        <v/>
      </c>
      <c r="D1967" t="str">
        <f>IF(AND(FORSIDE!$B$8&gt;=10,FORSIDE!$F$8&gt;=8,FORSIDE!$B$5&gt;=7),FORSIDE!$B$6+(7-1)*FORSIDE!$B$7,"")</f>
        <v/>
      </c>
    </row>
    <row r="1968" spans="1:4" x14ac:dyDescent="0.3">
      <c r="A1968" t="str">
        <f>IF(AND(FORSIDE!$B$8&gt;=10,FORSIDE!$F$8&gt;=8,FORSIDE!$B$5&gt;=8),1967,"")</f>
        <v/>
      </c>
      <c r="B1968" t="str">
        <f>IF(AND(FORSIDE!$B$8&gt;=10,FORSIDE!$F$8&gt;=8,FORSIDE!$B$5&gt;=8),354+8*FORSIDE!$F$9,"")</f>
        <v/>
      </c>
      <c r="C1968" t="str">
        <f>IF(AND(FORSIDE!$B$8&gt;=10,FORSIDE!$F$8&gt;=8,FORSIDE!$B$5&gt;=8),10*FORSIDE!$B$9,"")</f>
        <v/>
      </c>
      <c r="D1968" t="str">
        <f>IF(AND(FORSIDE!$B$8&gt;=10,FORSIDE!$F$8&gt;=8,FORSIDE!$B$5&gt;=8),FORSIDE!$B$6+(8-1)*FORSIDE!$B$7,"")</f>
        <v/>
      </c>
    </row>
    <row r="1969" spans="1:4" x14ac:dyDescent="0.3">
      <c r="A1969" t="str">
        <f>IF(AND(FORSIDE!$B$8&gt;=10,FORSIDE!$F$8&gt;=8,FORSIDE!$B$5&gt;=9),1968,"")</f>
        <v/>
      </c>
      <c r="B1969" t="str">
        <f>IF(AND(FORSIDE!$B$8&gt;=10,FORSIDE!$F$8&gt;=8,FORSIDE!$B$5&gt;=9),354+8*FORSIDE!$F$9,"")</f>
        <v/>
      </c>
      <c r="C1969" t="str">
        <f>IF(AND(FORSIDE!$B$8&gt;=10,FORSIDE!$F$8&gt;=8,FORSIDE!$B$5&gt;=9),10*FORSIDE!$B$9,"")</f>
        <v/>
      </c>
      <c r="D1969" t="str">
        <f>IF(AND(FORSIDE!$B$8&gt;=10,FORSIDE!$F$8&gt;=8,FORSIDE!$B$5&gt;=9),FORSIDE!$B$6+(9-1)*FORSIDE!$B$7,"")</f>
        <v/>
      </c>
    </row>
    <row r="1970" spans="1:4" x14ac:dyDescent="0.3">
      <c r="A1970" t="str">
        <f>IF(AND(FORSIDE!$B$8&gt;=10,FORSIDE!$F$8&gt;=8,FORSIDE!$B$5&gt;=10),1969,"")</f>
        <v/>
      </c>
      <c r="B1970" t="str">
        <f>IF(AND(FORSIDE!$B$8&gt;=10,FORSIDE!$F$8&gt;=8,FORSIDE!$B$5&gt;=10),354+8*FORSIDE!$F$9,"")</f>
        <v/>
      </c>
      <c r="C1970" t="str">
        <f>IF(AND(FORSIDE!$B$8&gt;=10,FORSIDE!$F$8&gt;=8,FORSIDE!$B$5&gt;=10),10*FORSIDE!$B$9,"")</f>
        <v/>
      </c>
      <c r="D1970" t="str">
        <f>IF(AND(FORSIDE!$B$8&gt;=10,FORSIDE!$F$8&gt;=8,FORSIDE!$B$5&gt;=10),FORSIDE!$B$6+(10-1)*FORSIDE!$B$7,"")</f>
        <v/>
      </c>
    </row>
    <row r="1971" spans="1:4" x14ac:dyDescent="0.3">
      <c r="A1971" t="str">
        <f>IF(AND(FORSIDE!$B$8&gt;=11,FORSIDE!$F$8&gt;=8,FORSIDE!$B$5&gt;=0),1970,"")</f>
        <v/>
      </c>
      <c r="B1971" t="str">
        <f>IF(AND(FORSIDE!$B$8&gt;=11,FORSIDE!$F$8&gt;=8,FORSIDE!$B$5&gt;=0),354+8*FORSIDE!$F$9,"")</f>
        <v/>
      </c>
      <c r="C1971" t="str">
        <f>IF(AND(FORSIDE!$B$8&gt;=11,FORSIDE!$F$8&gt;=8,FORSIDE!$B$5&gt;=0),11*FORSIDE!$B$9,"")</f>
        <v/>
      </c>
      <c r="D1971" t="str">
        <f>IF(AND(FORSIDE!$B$8&gt;=11,FORSIDE!$F$8&gt;=8,FORSIDE!$B$5&gt;=0),0,"")</f>
        <v/>
      </c>
    </row>
    <row r="1972" spans="1:4" x14ac:dyDescent="0.3">
      <c r="A1972" t="str">
        <f>IF(AND(FORSIDE!$B$8&gt;=11,FORSIDE!$F$8&gt;=8,FORSIDE!$B$5&gt;=1),1971,"")</f>
        <v/>
      </c>
      <c r="B1972" t="str">
        <f>IF(AND(FORSIDE!$B$8&gt;=11,FORSIDE!$F$8&gt;=8,FORSIDE!$B$5&gt;=1),354+8*FORSIDE!$F$9,"")</f>
        <v/>
      </c>
      <c r="C1972" t="str">
        <f>IF(AND(FORSIDE!$B$8&gt;=11,FORSIDE!$F$8&gt;=8,FORSIDE!$B$5&gt;=1),11*FORSIDE!$B$9,"")</f>
        <v/>
      </c>
      <c r="D1972" t="str">
        <f>IF(AND(FORSIDE!$B$8&gt;=11,FORSIDE!$F$8&gt;=8,FORSIDE!$B$5&gt;=1),FORSIDE!$B$6+(1-1)*FORSIDE!$B$7,"")</f>
        <v/>
      </c>
    </row>
    <row r="1973" spans="1:4" x14ac:dyDescent="0.3">
      <c r="A1973" t="str">
        <f>IF(AND(FORSIDE!$B$8&gt;=11,FORSIDE!$F$8&gt;=8,FORSIDE!$B$5&gt;=2),1972,"")</f>
        <v/>
      </c>
      <c r="B1973" t="str">
        <f>IF(AND(FORSIDE!$B$8&gt;=11,FORSIDE!$F$8&gt;=8,FORSIDE!$B$5&gt;=2),354+8*FORSIDE!$F$9,"")</f>
        <v/>
      </c>
      <c r="C1973" t="str">
        <f>IF(AND(FORSIDE!$B$8&gt;=11,FORSIDE!$F$8&gt;=8,FORSIDE!$B$5&gt;=2),11*FORSIDE!$B$9,"")</f>
        <v/>
      </c>
      <c r="D1973" t="str">
        <f>IF(AND(FORSIDE!$B$8&gt;=11,FORSIDE!$F$8&gt;=8,FORSIDE!$B$5&gt;=2),FORSIDE!$B$6+(2-1)*FORSIDE!$B$7,"")</f>
        <v/>
      </c>
    </row>
    <row r="1974" spans="1:4" x14ac:dyDescent="0.3">
      <c r="A1974" t="str">
        <f>IF(AND(FORSIDE!$B$8&gt;=11,FORSIDE!$F$8&gt;=8,FORSIDE!$B$5&gt;=3),1973,"")</f>
        <v/>
      </c>
      <c r="B1974" t="str">
        <f>IF(AND(FORSIDE!$B$8&gt;=11,FORSIDE!$F$8&gt;=8,FORSIDE!$B$5&gt;=3),354+8*FORSIDE!$F$9,"")</f>
        <v/>
      </c>
      <c r="C1974" t="str">
        <f>IF(AND(FORSIDE!$B$8&gt;=11,FORSIDE!$F$8&gt;=8,FORSIDE!$B$5&gt;=3),11*FORSIDE!$B$9,"")</f>
        <v/>
      </c>
      <c r="D1974" t="str">
        <f>IF(AND(FORSIDE!$B$8&gt;=11,FORSIDE!$F$8&gt;=8,FORSIDE!$B$5&gt;=3),FORSIDE!$B$6+(3-1)*FORSIDE!$B$7,"")</f>
        <v/>
      </c>
    </row>
    <row r="1975" spans="1:4" x14ac:dyDescent="0.3">
      <c r="A1975" t="str">
        <f>IF(AND(FORSIDE!$B$8&gt;=11,FORSIDE!$F$8&gt;=8,FORSIDE!$B$5&gt;=4),1974,"")</f>
        <v/>
      </c>
      <c r="B1975" t="str">
        <f>IF(AND(FORSIDE!$B$8&gt;=11,FORSIDE!$F$8&gt;=8,FORSIDE!$B$5&gt;=4),354+8*FORSIDE!$F$9,"")</f>
        <v/>
      </c>
      <c r="C1975" t="str">
        <f>IF(AND(FORSIDE!$B$8&gt;=11,FORSIDE!$F$8&gt;=8,FORSIDE!$B$5&gt;=4),11*FORSIDE!$B$9,"")</f>
        <v/>
      </c>
      <c r="D1975" t="str">
        <f>IF(AND(FORSIDE!$B$8&gt;=11,FORSIDE!$F$8&gt;=8,FORSIDE!$B$5&gt;=4),FORSIDE!$B$6+(4-1)*FORSIDE!$B$7,"")</f>
        <v/>
      </c>
    </row>
    <row r="1976" spans="1:4" x14ac:dyDescent="0.3">
      <c r="A1976" t="str">
        <f>IF(AND(FORSIDE!$B$8&gt;=11,FORSIDE!$F$8&gt;=8,FORSIDE!$B$5&gt;=5),1975,"")</f>
        <v/>
      </c>
      <c r="B1976" t="str">
        <f>IF(AND(FORSIDE!$B$8&gt;=11,FORSIDE!$F$8&gt;=8,FORSIDE!$B$5&gt;=5),354+8*FORSIDE!$F$9,"")</f>
        <v/>
      </c>
      <c r="C1976" t="str">
        <f>IF(AND(FORSIDE!$B$8&gt;=11,FORSIDE!$F$8&gt;=8,FORSIDE!$B$5&gt;=5),11*FORSIDE!$B$9,"")</f>
        <v/>
      </c>
      <c r="D1976" t="str">
        <f>IF(AND(FORSIDE!$B$8&gt;=11,FORSIDE!$F$8&gt;=8,FORSIDE!$B$5&gt;=5),FORSIDE!$B$6+(5-1)*FORSIDE!$B$7,"")</f>
        <v/>
      </c>
    </row>
    <row r="1977" spans="1:4" x14ac:dyDescent="0.3">
      <c r="A1977" t="str">
        <f>IF(AND(FORSIDE!$B$8&gt;=11,FORSIDE!$F$8&gt;=8,FORSIDE!$B$5&gt;=6),1976,"")</f>
        <v/>
      </c>
      <c r="B1977" t="str">
        <f>IF(AND(FORSIDE!$B$8&gt;=11,FORSIDE!$F$8&gt;=8,FORSIDE!$B$5&gt;=6),354+8*FORSIDE!$F$9,"")</f>
        <v/>
      </c>
      <c r="C1977" t="str">
        <f>IF(AND(FORSIDE!$B$8&gt;=11,FORSIDE!$F$8&gt;=8,FORSIDE!$B$5&gt;=6),11*FORSIDE!$B$9,"")</f>
        <v/>
      </c>
      <c r="D1977" t="str">
        <f>IF(AND(FORSIDE!$B$8&gt;=11,FORSIDE!$F$8&gt;=8,FORSIDE!$B$5&gt;=6),FORSIDE!$B$6+(6-1)*FORSIDE!$B$7,"")</f>
        <v/>
      </c>
    </row>
    <row r="1978" spans="1:4" x14ac:dyDescent="0.3">
      <c r="A1978" t="str">
        <f>IF(AND(FORSIDE!$B$8&gt;=11,FORSIDE!$F$8&gt;=8,FORSIDE!$B$5&gt;=7),1977,"")</f>
        <v/>
      </c>
      <c r="B1978" t="str">
        <f>IF(AND(FORSIDE!$B$8&gt;=11,FORSIDE!$F$8&gt;=8,FORSIDE!$B$5&gt;=7),354+8*FORSIDE!$F$9,"")</f>
        <v/>
      </c>
      <c r="C1978" t="str">
        <f>IF(AND(FORSIDE!$B$8&gt;=11,FORSIDE!$F$8&gt;=8,FORSIDE!$B$5&gt;=7),11*FORSIDE!$B$9,"")</f>
        <v/>
      </c>
      <c r="D1978" t="str">
        <f>IF(AND(FORSIDE!$B$8&gt;=11,FORSIDE!$F$8&gt;=8,FORSIDE!$B$5&gt;=7),FORSIDE!$B$6+(7-1)*FORSIDE!$B$7,"")</f>
        <v/>
      </c>
    </row>
    <row r="1979" spans="1:4" x14ac:dyDescent="0.3">
      <c r="A1979" t="str">
        <f>IF(AND(FORSIDE!$B$8&gt;=11,FORSIDE!$F$8&gt;=8,FORSIDE!$B$5&gt;=8),1978,"")</f>
        <v/>
      </c>
      <c r="B1979" t="str">
        <f>IF(AND(FORSIDE!$B$8&gt;=11,FORSIDE!$F$8&gt;=8,FORSIDE!$B$5&gt;=8),354+8*FORSIDE!$F$9,"")</f>
        <v/>
      </c>
      <c r="C1979" t="str">
        <f>IF(AND(FORSIDE!$B$8&gt;=11,FORSIDE!$F$8&gt;=8,FORSIDE!$B$5&gt;=8),11*FORSIDE!$B$9,"")</f>
        <v/>
      </c>
      <c r="D1979" t="str">
        <f>IF(AND(FORSIDE!$B$8&gt;=11,FORSIDE!$F$8&gt;=8,FORSIDE!$B$5&gt;=8),FORSIDE!$B$6+(8-1)*FORSIDE!$B$7,"")</f>
        <v/>
      </c>
    </row>
    <row r="1980" spans="1:4" x14ac:dyDescent="0.3">
      <c r="A1980" t="str">
        <f>IF(AND(FORSIDE!$B$8&gt;=11,FORSIDE!$F$8&gt;=8,FORSIDE!$B$5&gt;=9),1979,"")</f>
        <v/>
      </c>
      <c r="B1980" t="str">
        <f>IF(AND(FORSIDE!$B$8&gt;=11,FORSIDE!$F$8&gt;=8,FORSIDE!$B$5&gt;=9),354+8*FORSIDE!$F$9,"")</f>
        <v/>
      </c>
      <c r="C1980" t="str">
        <f>IF(AND(FORSIDE!$B$8&gt;=11,FORSIDE!$F$8&gt;=8,FORSIDE!$B$5&gt;=9),11*FORSIDE!$B$9,"")</f>
        <v/>
      </c>
      <c r="D1980" t="str">
        <f>IF(AND(FORSIDE!$B$8&gt;=11,FORSIDE!$F$8&gt;=8,FORSIDE!$B$5&gt;=9),FORSIDE!$B$6+(9-1)*FORSIDE!$B$7,"")</f>
        <v/>
      </c>
    </row>
    <row r="1981" spans="1:4" x14ac:dyDescent="0.3">
      <c r="A1981" t="str">
        <f>IF(AND(FORSIDE!$B$8&gt;=11,FORSIDE!$F$8&gt;=8,FORSIDE!$B$5&gt;=10),1980,"")</f>
        <v/>
      </c>
      <c r="B1981" t="str">
        <f>IF(AND(FORSIDE!$B$8&gt;=11,FORSIDE!$F$8&gt;=8,FORSIDE!$B$5&gt;=10),354+8*FORSIDE!$F$9,"")</f>
        <v/>
      </c>
      <c r="C1981" t="str">
        <f>IF(AND(FORSIDE!$B$8&gt;=11,FORSIDE!$F$8&gt;=8,FORSIDE!$B$5&gt;=10),11*FORSIDE!$B$9,"")</f>
        <v/>
      </c>
      <c r="D1981" t="str">
        <f>IF(AND(FORSIDE!$B$8&gt;=11,FORSIDE!$F$8&gt;=8,FORSIDE!$B$5&gt;=10),FORSIDE!$B$6+(10-1)*FORSIDE!$B$7,"")</f>
        <v/>
      </c>
    </row>
    <row r="1982" spans="1:4" x14ac:dyDescent="0.3">
      <c r="A1982" t="str">
        <f>IF(AND(FORSIDE!$B$8&gt;=12,FORSIDE!$F$8&gt;=8,FORSIDE!$B$5&gt;=0),1981,"")</f>
        <v/>
      </c>
      <c r="B1982" t="str">
        <f>IF(AND(FORSIDE!$B$8&gt;=12,FORSIDE!$F$8&gt;=8,FORSIDE!$B$5&gt;=0),354+8*FORSIDE!$F$9,"")</f>
        <v/>
      </c>
      <c r="C1982" t="str">
        <f>IF(AND(FORSIDE!$B$8&gt;=12,FORSIDE!$F$8&gt;=8,FORSIDE!$B$5&gt;=0),12*FORSIDE!$B$9,"")</f>
        <v/>
      </c>
      <c r="D1982" t="str">
        <f>IF(AND(FORSIDE!$B$8&gt;=12,FORSIDE!$F$8&gt;=8,FORSIDE!$B$5&gt;=0),0,"")</f>
        <v/>
      </c>
    </row>
    <row r="1983" spans="1:4" x14ac:dyDescent="0.3">
      <c r="A1983" t="str">
        <f>IF(AND(FORSIDE!$B$8&gt;=12,FORSIDE!$F$8&gt;=8,FORSIDE!$B$5&gt;=1),1982,"")</f>
        <v/>
      </c>
      <c r="B1983" t="str">
        <f>IF(AND(FORSIDE!$B$8&gt;=12,FORSIDE!$F$8&gt;=8,FORSIDE!$B$5&gt;=1),354+8*FORSIDE!$F$9,"")</f>
        <v/>
      </c>
      <c r="C1983" t="str">
        <f>IF(AND(FORSIDE!$B$8&gt;=12,FORSIDE!$F$8&gt;=8,FORSIDE!$B$5&gt;=1),12*FORSIDE!$B$9,"")</f>
        <v/>
      </c>
      <c r="D1983" t="str">
        <f>IF(AND(FORSIDE!$B$8&gt;=12,FORSIDE!$F$8&gt;=8,FORSIDE!$B$5&gt;=1),FORSIDE!$B$6+(1-1)*FORSIDE!$B$7,"")</f>
        <v/>
      </c>
    </row>
    <row r="1984" spans="1:4" x14ac:dyDescent="0.3">
      <c r="A1984" t="str">
        <f>IF(AND(FORSIDE!$B$8&gt;=12,FORSIDE!$F$8&gt;=8,FORSIDE!$B$5&gt;=2),1983,"")</f>
        <v/>
      </c>
      <c r="B1984" t="str">
        <f>IF(AND(FORSIDE!$B$8&gt;=12,FORSIDE!$F$8&gt;=8,FORSIDE!$B$5&gt;=2),354+8*FORSIDE!$F$9,"")</f>
        <v/>
      </c>
      <c r="C1984" t="str">
        <f>IF(AND(FORSIDE!$B$8&gt;=12,FORSIDE!$F$8&gt;=8,FORSIDE!$B$5&gt;=2),12*FORSIDE!$B$9,"")</f>
        <v/>
      </c>
      <c r="D1984" t="str">
        <f>IF(AND(FORSIDE!$B$8&gt;=12,FORSIDE!$F$8&gt;=8,FORSIDE!$B$5&gt;=2),FORSIDE!$B$6+(2-1)*FORSIDE!$B$7,"")</f>
        <v/>
      </c>
    </row>
    <row r="1985" spans="1:4" x14ac:dyDescent="0.3">
      <c r="A1985" t="str">
        <f>IF(AND(FORSIDE!$B$8&gt;=12,FORSIDE!$F$8&gt;=8,FORSIDE!$B$5&gt;=3),1984,"")</f>
        <v/>
      </c>
      <c r="B1985" t="str">
        <f>IF(AND(FORSIDE!$B$8&gt;=12,FORSIDE!$F$8&gt;=8,FORSIDE!$B$5&gt;=3),354+8*FORSIDE!$F$9,"")</f>
        <v/>
      </c>
      <c r="C1985" t="str">
        <f>IF(AND(FORSIDE!$B$8&gt;=12,FORSIDE!$F$8&gt;=8,FORSIDE!$B$5&gt;=3),12*FORSIDE!$B$9,"")</f>
        <v/>
      </c>
      <c r="D1985" t="str">
        <f>IF(AND(FORSIDE!$B$8&gt;=12,FORSIDE!$F$8&gt;=8,FORSIDE!$B$5&gt;=3),FORSIDE!$B$6+(3-1)*FORSIDE!$B$7,"")</f>
        <v/>
      </c>
    </row>
    <row r="1986" spans="1:4" x14ac:dyDescent="0.3">
      <c r="A1986" t="str">
        <f>IF(AND(FORSIDE!$B$8&gt;=12,FORSIDE!$F$8&gt;=8,FORSIDE!$B$5&gt;=4),1985,"")</f>
        <v/>
      </c>
      <c r="B1986" t="str">
        <f>IF(AND(FORSIDE!$B$8&gt;=12,FORSIDE!$F$8&gt;=8,FORSIDE!$B$5&gt;=4),354+8*FORSIDE!$F$9,"")</f>
        <v/>
      </c>
      <c r="C1986" t="str">
        <f>IF(AND(FORSIDE!$B$8&gt;=12,FORSIDE!$F$8&gt;=8,FORSIDE!$B$5&gt;=4),12*FORSIDE!$B$9,"")</f>
        <v/>
      </c>
      <c r="D1986" t="str">
        <f>IF(AND(FORSIDE!$B$8&gt;=12,FORSIDE!$F$8&gt;=8,FORSIDE!$B$5&gt;=4),FORSIDE!$B$6+(4-1)*FORSIDE!$B$7,"")</f>
        <v/>
      </c>
    </row>
    <row r="1987" spans="1:4" x14ac:dyDescent="0.3">
      <c r="A1987" t="str">
        <f>IF(AND(FORSIDE!$B$8&gt;=12,FORSIDE!$F$8&gt;=8,FORSIDE!$B$5&gt;=5),1986,"")</f>
        <v/>
      </c>
      <c r="B1987" t="str">
        <f>IF(AND(FORSIDE!$B$8&gt;=12,FORSIDE!$F$8&gt;=8,FORSIDE!$B$5&gt;=5),354+8*FORSIDE!$F$9,"")</f>
        <v/>
      </c>
      <c r="C1987" t="str">
        <f>IF(AND(FORSIDE!$B$8&gt;=12,FORSIDE!$F$8&gt;=8,FORSIDE!$B$5&gt;=5),12*FORSIDE!$B$9,"")</f>
        <v/>
      </c>
      <c r="D1987" t="str">
        <f>IF(AND(FORSIDE!$B$8&gt;=12,FORSIDE!$F$8&gt;=8,FORSIDE!$B$5&gt;=5),FORSIDE!$B$6+(5-1)*FORSIDE!$B$7,"")</f>
        <v/>
      </c>
    </row>
    <row r="1988" spans="1:4" x14ac:dyDescent="0.3">
      <c r="A1988" t="str">
        <f>IF(AND(FORSIDE!$B$8&gt;=12,FORSIDE!$F$8&gt;=8,FORSIDE!$B$5&gt;=6),1987,"")</f>
        <v/>
      </c>
      <c r="B1988" t="str">
        <f>IF(AND(FORSIDE!$B$8&gt;=12,FORSIDE!$F$8&gt;=8,FORSIDE!$B$5&gt;=6),354+8*FORSIDE!$F$9,"")</f>
        <v/>
      </c>
      <c r="C1988" t="str">
        <f>IF(AND(FORSIDE!$B$8&gt;=12,FORSIDE!$F$8&gt;=8,FORSIDE!$B$5&gt;=6),12*FORSIDE!$B$9,"")</f>
        <v/>
      </c>
      <c r="D1988" t="str">
        <f>IF(AND(FORSIDE!$B$8&gt;=12,FORSIDE!$F$8&gt;=8,FORSIDE!$B$5&gt;=6),FORSIDE!$B$6+(6-1)*FORSIDE!$B$7,"")</f>
        <v/>
      </c>
    </row>
    <row r="1989" spans="1:4" x14ac:dyDescent="0.3">
      <c r="A1989" t="str">
        <f>IF(AND(FORSIDE!$B$8&gt;=12,FORSIDE!$F$8&gt;=8,FORSIDE!$B$5&gt;=7),1988,"")</f>
        <v/>
      </c>
      <c r="B1989" t="str">
        <f>IF(AND(FORSIDE!$B$8&gt;=12,FORSIDE!$F$8&gt;=8,FORSIDE!$B$5&gt;=7),354+8*FORSIDE!$F$9,"")</f>
        <v/>
      </c>
      <c r="C1989" t="str">
        <f>IF(AND(FORSIDE!$B$8&gt;=12,FORSIDE!$F$8&gt;=8,FORSIDE!$B$5&gt;=7),12*FORSIDE!$B$9,"")</f>
        <v/>
      </c>
      <c r="D1989" t="str">
        <f>IF(AND(FORSIDE!$B$8&gt;=12,FORSIDE!$F$8&gt;=8,FORSIDE!$B$5&gt;=7),FORSIDE!$B$6+(7-1)*FORSIDE!$B$7,"")</f>
        <v/>
      </c>
    </row>
    <row r="1990" spans="1:4" x14ac:dyDescent="0.3">
      <c r="A1990" t="str">
        <f>IF(AND(FORSIDE!$B$8&gt;=12,FORSIDE!$F$8&gt;=8,FORSIDE!$B$5&gt;=8),1989,"")</f>
        <v/>
      </c>
      <c r="B1990" t="str">
        <f>IF(AND(FORSIDE!$B$8&gt;=12,FORSIDE!$F$8&gt;=8,FORSIDE!$B$5&gt;=8),354+8*FORSIDE!$F$9,"")</f>
        <v/>
      </c>
      <c r="C1990" t="str">
        <f>IF(AND(FORSIDE!$B$8&gt;=12,FORSIDE!$F$8&gt;=8,FORSIDE!$B$5&gt;=8),12*FORSIDE!$B$9,"")</f>
        <v/>
      </c>
      <c r="D1990" t="str">
        <f>IF(AND(FORSIDE!$B$8&gt;=12,FORSIDE!$F$8&gt;=8,FORSIDE!$B$5&gt;=8),FORSIDE!$B$6+(8-1)*FORSIDE!$B$7,"")</f>
        <v/>
      </c>
    </row>
    <row r="1991" spans="1:4" x14ac:dyDescent="0.3">
      <c r="A1991" t="str">
        <f>IF(AND(FORSIDE!$B$8&gt;=12,FORSIDE!$F$8&gt;=8,FORSIDE!$B$5&gt;=9),1990,"")</f>
        <v/>
      </c>
      <c r="B1991" t="str">
        <f>IF(AND(FORSIDE!$B$8&gt;=12,FORSIDE!$F$8&gt;=8,FORSIDE!$B$5&gt;=9),354+8*FORSIDE!$F$9,"")</f>
        <v/>
      </c>
      <c r="C1991" t="str">
        <f>IF(AND(FORSIDE!$B$8&gt;=12,FORSIDE!$F$8&gt;=8,FORSIDE!$B$5&gt;=9),12*FORSIDE!$B$9,"")</f>
        <v/>
      </c>
      <c r="D1991" t="str">
        <f>IF(AND(FORSIDE!$B$8&gt;=12,FORSIDE!$F$8&gt;=8,FORSIDE!$B$5&gt;=9),FORSIDE!$B$6+(9-1)*FORSIDE!$B$7,"")</f>
        <v/>
      </c>
    </row>
    <row r="1992" spans="1:4" x14ac:dyDescent="0.3">
      <c r="A1992" t="str">
        <f>IF(AND(FORSIDE!$B$8&gt;=12,FORSIDE!$F$8&gt;=8,FORSIDE!$B$5&gt;=10),1991,"")</f>
        <v/>
      </c>
      <c r="B1992" t="str">
        <f>IF(AND(FORSIDE!$B$8&gt;=12,FORSIDE!$F$8&gt;=8,FORSIDE!$B$5&gt;=10),354+8*FORSIDE!$F$9,"")</f>
        <v/>
      </c>
      <c r="C1992" t="str">
        <f>IF(AND(FORSIDE!$B$8&gt;=12,FORSIDE!$F$8&gt;=8,FORSIDE!$B$5&gt;=10),12*FORSIDE!$B$9,"")</f>
        <v/>
      </c>
      <c r="D1992" t="str">
        <f>IF(AND(FORSIDE!$B$8&gt;=12,FORSIDE!$F$8&gt;=8,FORSIDE!$B$5&gt;=10),FORSIDE!$B$6+(10-1)*FORSIDE!$B$7,"")</f>
        <v/>
      </c>
    </row>
    <row r="1993" spans="1:4" x14ac:dyDescent="0.3">
      <c r="A1993" t="str">
        <f>IF(AND(FORSIDE!$B$8&gt;=13,FORSIDE!$F$8&gt;=8,FORSIDE!$B$5&gt;=0),1992,"")</f>
        <v/>
      </c>
      <c r="B1993" t="str">
        <f>IF(AND(FORSIDE!$B$8&gt;=13,FORSIDE!$F$8&gt;=8,FORSIDE!$B$5&gt;=0),354+8*FORSIDE!$F$9,"")</f>
        <v/>
      </c>
      <c r="C1993" t="str">
        <f>IF(AND(FORSIDE!$B$8&gt;=13,FORSIDE!$F$8&gt;=8,FORSIDE!$B$5&gt;=0),13*FORSIDE!$B$9,"")</f>
        <v/>
      </c>
      <c r="D1993" t="str">
        <f>IF(AND(FORSIDE!$B$8&gt;=13,FORSIDE!$F$8&gt;=8,FORSIDE!$B$5&gt;=0),0,"")</f>
        <v/>
      </c>
    </row>
    <row r="1994" spans="1:4" x14ac:dyDescent="0.3">
      <c r="A1994" t="str">
        <f>IF(AND(FORSIDE!$B$8&gt;=13,FORSIDE!$F$8&gt;=8,FORSIDE!$B$5&gt;=1),1993,"")</f>
        <v/>
      </c>
      <c r="B1994" t="str">
        <f>IF(AND(FORSIDE!$B$8&gt;=13,FORSIDE!$F$8&gt;=8,FORSIDE!$B$5&gt;=1),354+8*FORSIDE!$F$9,"")</f>
        <v/>
      </c>
      <c r="C1994" t="str">
        <f>IF(AND(FORSIDE!$B$8&gt;=13,FORSIDE!$F$8&gt;=8,FORSIDE!$B$5&gt;=1),13*FORSIDE!$B$9,"")</f>
        <v/>
      </c>
      <c r="D1994" t="str">
        <f>IF(AND(FORSIDE!$B$8&gt;=13,FORSIDE!$F$8&gt;=8,FORSIDE!$B$5&gt;=1),FORSIDE!$B$6+(1-1)*FORSIDE!$B$7,"")</f>
        <v/>
      </c>
    </row>
    <row r="1995" spans="1:4" x14ac:dyDescent="0.3">
      <c r="A1995" t="str">
        <f>IF(AND(FORSIDE!$B$8&gt;=13,FORSIDE!$F$8&gt;=8,FORSIDE!$B$5&gt;=2),1994,"")</f>
        <v/>
      </c>
      <c r="B1995" t="str">
        <f>IF(AND(FORSIDE!$B$8&gt;=13,FORSIDE!$F$8&gt;=8,FORSIDE!$B$5&gt;=2),354+8*FORSIDE!$F$9,"")</f>
        <v/>
      </c>
      <c r="C1995" t="str">
        <f>IF(AND(FORSIDE!$B$8&gt;=13,FORSIDE!$F$8&gt;=8,FORSIDE!$B$5&gt;=2),13*FORSIDE!$B$9,"")</f>
        <v/>
      </c>
      <c r="D1995" t="str">
        <f>IF(AND(FORSIDE!$B$8&gt;=13,FORSIDE!$F$8&gt;=8,FORSIDE!$B$5&gt;=2),FORSIDE!$B$6+(2-1)*FORSIDE!$B$7,"")</f>
        <v/>
      </c>
    </row>
    <row r="1996" spans="1:4" x14ac:dyDescent="0.3">
      <c r="A1996" t="str">
        <f>IF(AND(FORSIDE!$B$8&gt;=13,FORSIDE!$F$8&gt;=8,FORSIDE!$B$5&gt;=3),1995,"")</f>
        <v/>
      </c>
      <c r="B1996" t="str">
        <f>IF(AND(FORSIDE!$B$8&gt;=13,FORSIDE!$F$8&gt;=8,FORSIDE!$B$5&gt;=3),354+8*FORSIDE!$F$9,"")</f>
        <v/>
      </c>
      <c r="C1996" t="str">
        <f>IF(AND(FORSIDE!$B$8&gt;=13,FORSIDE!$F$8&gt;=8,FORSIDE!$B$5&gt;=3),13*FORSIDE!$B$9,"")</f>
        <v/>
      </c>
      <c r="D1996" t="str">
        <f>IF(AND(FORSIDE!$B$8&gt;=13,FORSIDE!$F$8&gt;=8,FORSIDE!$B$5&gt;=3),FORSIDE!$B$6+(3-1)*FORSIDE!$B$7,"")</f>
        <v/>
      </c>
    </row>
    <row r="1997" spans="1:4" x14ac:dyDescent="0.3">
      <c r="A1997" t="str">
        <f>IF(AND(FORSIDE!$B$8&gt;=13,FORSIDE!$F$8&gt;=8,FORSIDE!$B$5&gt;=4),1996,"")</f>
        <v/>
      </c>
      <c r="B1997" t="str">
        <f>IF(AND(FORSIDE!$B$8&gt;=13,FORSIDE!$F$8&gt;=8,FORSIDE!$B$5&gt;=4),354+8*FORSIDE!$F$9,"")</f>
        <v/>
      </c>
      <c r="C1997" t="str">
        <f>IF(AND(FORSIDE!$B$8&gt;=13,FORSIDE!$F$8&gt;=8,FORSIDE!$B$5&gt;=4),13*FORSIDE!$B$9,"")</f>
        <v/>
      </c>
      <c r="D1997" t="str">
        <f>IF(AND(FORSIDE!$B$8&gt;=13,FORSIDE!$F$8&gt;=8,FORSIDE!$B$5&gt;=4),FORSIDE!$B$6+(4-1)*FORSIDE!$B$7,"")</f>
        <v/>
      </c>
    </row>
    <row r="1998" spans="1:4" x14ac:dyDescent="0.3">
      <c r="A1998" t="str">
        <f>IF(AND(FORSIDE!$B$8&gt;=13,FORSIDE!$F$8&gt;=8,FORSIDE!$B$5&gt;=5),1997,"")</f>
        <v/>
      </c>
      <c r="B1998" t="str">
        <f>IF(AND(FORSIDE!$B$8&gt;=13,FORSIDE!$F$8&gt;=8,FORSIDE!$B$5&gt;=5),354+8*FORSIDE!$F$9,"")</f>
        <v/>
      </c>
      <c r="C1998" t="str">
        <f>IF(AND(FORSIDE!$B$8&gt;=13,FORSIDE!$F$8&gt;=8,FORSIDE!$B$5&gt;=5),13*FORSIDE!$B$9,"")</f>
        <v/>
      </c>
      <c r="D1998" t="str">
        <f>IF(AND(FORSIDE!$B$8&gt;=13,FORSIDE!$F$8&gt;=8,FORSIDE!$B$5&gt;=5),FORSIDE!$B$6+(5-1)*FORSIDE!$B$7,"")</f>
        <v/>
      </c>
    </row>
    <row r="1999" spans="1:4" x14ac:dyDescent="0.3">
      <c r="A1999" t="str">
        <f>IF(AND(FORSIDE!$B$8&gt;=13,FORSIDE!$F$8&gt;=8,FORSIDE!$B$5&gt;=6),1998,"")</f>
        <v/>
      </c>
      <c r="B1999" t="str">
        <f>IF(AND(FORSIDE!$B$8&gt;=13,FORSIDE!$F$8&gt;=8,FORSIDE!$B$5&gt;=6),354+8*FORSIDE!$F$9,"")</f>
        <v/>
      </c>
      <c r="C1999" t="str">
        <f>IF(AND(FORSIDE!$B$8&gt;=13,FORSIDE!$F$8&gt;=8,FORSIDE!$B$5&gt;=6),13*FORSIDE!$B$9,"")</f>
        <v/>
      </c>
      <c r="D1999" t="str">
        <f>IF(AND(FORSIDE!$B$8&gt;=13,FORSIDE!$F$8&gt;=8,FORSIDE!$B$5&gt;=6),FORSIDE!$B$6+(6-1)*FORSIDE!$B$7,"")</f>
        <v/>
      </c>
    </row>
    <row r="2000" spans="1:4" x14ac:dyDescent="0.3">
      <c r="A2000" t="str">
        <f>IF(AND(FORSIDE!$B$8&gt;=13,FORSIDE!$F$8&gt;=8,FORSIDE!$B$5&gt;=7),1999,"")</f>
        <v/>
      </c>
      <c r="B2000" t="str">
        <f>IF(AND(FORSIDE!$B$8&gt;=13,FORSIDE!$F$8&gt;=8,FORSIDE!$B$5&gt;=7),354+8*FORSIDE!$F$9,"")</f>
        <v/>
      </c>
      <c r="C2000" t="str">
        <f>IF(AND(FORSIDE!$B$8&gt;=13,FORSIDE!$F$8&gt;=8,FORSIDE!$B$5&gt;=7),13*FORSIDE!$B$9,"")</f>
        <v/>
      </c>
      <c r="D2000" t="str">
        <f>IF(AND(FORSIDE!$B$8&gt;=13,FORSIDE!$F$8&gt;=8,FORSIDE!$B$5&gt;=7),FORSIDE!$B$6+(7-1)*FORSIDE!$B$7,"")</f>
        <v/>
      </c>
    </row>
    <row r="2001" spans="1:4" x14ac:dyDescent="0.3">
      <c r="A2001" t="str">
        <f>IF(AND(FORSIDE!$B$8&gt;=13,FORSIDE!$F$8&gt;=8,FORSIDE!$B$5&gt;=8),2000,"")</f>
        <v/>
      </c>
      <c r="B2001" t="str">
        <f>IF(AND(FORSIDE!$B$8&gt;=13,FORSIDE!$F$8&gt;=8,FORSIDE!$B$5&gt;=8),354+8*FORSIDE!$F$9,"")</f>
        <v/>
      </c>
      <c r="C2001" t="str">
        <f>IF(AND(FORSIDE!$B$8&gt;=13,FORSIDE!$F$8&gt;=8,FORSIDE!$B$5&gt;=8),13*FORSIDE!$B$9,"")</f>
        <v/>
      </c>
      <c r="D2001" t="str">
        <f>IF(AND(FORSIDE!$B$8&gt;=13,FORSIDE!$F$8&gt;=8,FORSIDE!$B$5&gt;=8),FORSIDE!$B$6+(8-1)*FORSIDE!$B$7,"")</f>
        <v/>
      </c>
    </row>
    <row r="2002" spans="1:4" x14ac:dyDescent="0.3">
      <c r="A2002" t="str">
        <f>IF(AND(FORSIDE!$B$8&gt;=13,FORSIDE!$F$8&gt;=8,FORSIDE!$B$5&gt;=9),2001,"")</f>
        <v/>
      </c>
      <c r="B2002" t="str">
        <f>IF(AND(FORSIDE!$B$8&gt;=13,FORSIDE!$F$8&gt;=8,FORSIDE!$B$5&gt;=9),354+8*FORSIDE!$F$9,"")</f>
        <v/>
      </c>
      <c r="C2002" t="str">
        <f>IF(AND(FORSIDE!$B$8&gt;=13,FORSIDE!$F$8&gt;=8,FORSIDE!$B$5&gt;=9),13*FORSIDE!$B$9,"")</f>
        <v/>
      </c>
      <c r="D2002" t="str">
        <f>IF(AND(FORSIDE!$B$8&gt;=13,FORSIDE!$F$8&gt;=8,FORSIDE!$B$5&gt;=9),FORSIDE!$B$6+(9-1)*FORSIDE!$B$7,"")</f>
        <v/>
      </c>
    </row>
    <row r="2003" spans="1:4" x14ac:dyDescent="0.3">
      <c r="A2003" t="str">
        <f>IF(AND(FORSIDE!$B$8&gt;=13,FORSIDE!$F$8&gt;=8,FORSIDE!$B$5&gt;=10),2002,"")</f>
        <v/>
      </c>
      <c r="B2003" t="str">
        <f>IF(AND(FORSIDE!$B$8&gt;=13,FORSIDE!$F$8&gt;=8,FORSIDE!$B$5&gt;=10),354+8*FORSIDE!$F$9,"")</f>
        <v/>
      </c>
      <c r="C2003" t="str">
        <f>IF(AND(FORSIDE!$B$8&gt;=13,FORSIDE!$F$8&gt;=8,FORSIDE!$B$5&gt;=10),13*FORSIDE!$B$9,"")</f>
        <v/>
      </c>
      <c r="D2003" t="str">
        <f>IF(AND(FORSIDE!$B$8&gt;=13,FORSIDE!$F$8&gt;=8,FORSIDE!$B$5&gt;=10),FORSIDE!$B$6+(10-1)*FORSIDE!$B$7,"")</f>
        <v/>
      </c>
    </row>
    <row r="2004" spans="1:4" x14ac:dyDescent="0.3">
      <c r="A2004" t="str">
        <f>IF(AND(FORSIDE!$B$8&gt;=14,FORSIDE!$F$8&gt;=8,FORSIDE!$B$5&gt;=0),2003,"")</f>
        <v/>
      </c>
      <c r="B2004" t="str">
        <f>IF(AND(FORSIDE!$B$8&gt;=14,FORSIDE!$F$8&gt;=8,FORSIDE!$B$5&gt;=0),354+8*FORSIDE!$F$9,"")</f>
        <v/>
      </c>
      <c r="C2004" t="str">
        <f>IF(AND(FORSIDE!$B$8&gt;=14,FORSIDE!$F$8&gt;=8,FORSIDE!$B$5&gt;=0),14*FORSIDE!$B$9,"")</f>
        <v/>
      </c>
      <c r="D2004" t="str">
        <f>IF(AND(FORSIDE!$B$8&gt;=14,FORSIDE!$F$8&gt;=8,FORSIDE!$B$5&gt;=0),0,"")</f>
        <v/>
      </c>
    </row>
    <row r="2005" spans="1:4" x14ac:dyDescent="0.3">
      <c r="A2005" t="str">
        <f>IF(AND(FORSIDE!$B$8&gt;=14,FORSIDE!$F$8&gt;=8,FORSIDE!$B$5&gt;=1),2004,"")</f>
        <v/>
      </c>
      <c r="B2005" t="str">
        <f>IF(AND(FORSIDE!$B$8&gt;=14,FORSIDE!$F$8&gt;=8,FORSIDE!$B$5&gt;=1),354+8*FORSIDE!$F$9,"")</f>
        <v/>
      </c>
      <c r="C2005" t="str">
        <f>IF(AND(FORSIDE!$B$8&gt;=14,FORSIDE!$F$8&gt;=8,FORSIDE!$B$5&gt;=1),14*FORSIDE!$B$9,"")</f>
        <v/>
      </c>
      <c r="D2005" t="str">
        <f>IF(AND(FORSIDE!$B$8&gt;=14,FORSIDE!$F$8&gt;=8,FORSIDE!$B$5&gt;=1),FORSIDE!$B$6+(1-1)*FORSIDE!$B$7,"")</f>
        <v/>
      </c>
    </row>
    <row r="2006" spans="1:4" x14ac:dyDescent="0.3">
      <c r="A2006" t="str">
        <f>IF(AND(FORSIDE!$B$8&gt;=14,FORSIDE!$F$8&gt;=8,FORSIDE!$B$5&gt;=2),2005,"")</f>
        <v/>
      </c>
      <c r="B2006" t="str">
        <f>IF(AND(FORSIDE!$B$8&gt;=14,FORSIDE!$F$8&gt;=8,FORSIDE!$B$5&gt;=2),354+8*FORSIDE!$F$9,"")</f>
        <v/>
      </c>
      <c r="C2006" t="str">
        <f>IF(AND(FORSIDE!$B$8&gt;=14,FORSIDE!$F$8&gt;=8,FORSIDE!$B$5&gt;=2),14*FORSIDE!$B$9,"")</f>
        <v/>
      </c>
      <c r="D2006" t="str">
        <f>IF(AND(FORSIDE!$B$8&gt;=14,FORSIDE!$F$8&gt;=8,FORSIDE!$B$5&gt;=2),FORSIDE!$B$6+(2-1)*FORSIDE!$B$7,"")</f>
        <v/>
      </c>
    </row>
    <row r="2007" spans="1:4" x14ac:dyDescent="0.3">
      <c r="A2007" t="str">
        <f>IF(AND(FORSIDE!$B$8&gt;=14,FORSIDE!$F$8&gt;=8,FORSIDE!$B$5&gt;=3),2006,"")</f>
        <v/>
      </c>
      <c r="B2007" t="str">
        <f>IF(AND(FORSIDE!$B$8&gt;=14,FORSIDE!$F$8&gt;=8,FORSIDE!$B$5&gt;=3),354+8*FORSIDE!$F$9,"")</f>
        <v/>
      </c>
      <c r="C2007" t="str">
        <f>IF(AND(FORSIDE!$B$8&gt;=14,FORSIDE!$F$8&gt;=8,FORSIDE!$B$5&gt;=3),14*FORSIDE!$B$9,"")</f>
        <v/>
      </c>
      <c r="D2007" t="str">
        <f>IF(AND(FORSIDE!$B$8&gt;=14,FORSIDE!$F$8&gt;=8,FORSIDE!$B$5&gt;=3),FORSIDE!$B$6+(3-1)*FORSIDE!$B$7,"")</f>
        <v/>
      </c>
    </row>
    <row r="2008" spans="1:4" x14ac:dyDescent="0.3">
      <c r="A2008" t="str">
        <f>IF(AND(FORSIDE!$B$8&gt;=14,FORSIDE!$F$8&gt;=8,FORSIDE!$B$5&gt;=4),2007,"")</f>
        <v/>
      </c>
      <c r="B2008" t="str">
        <f>IF(AND(FORSIDE!$B$8&gt;=14,FORSIDE!$F$8&gt;=8,FORSIDE!$B$5&gt;=4),354+8*FORSIDE!$F$9,"")</f>
        <v/>
      </c>
      <c r="C2008" t="str">
        <f>IF(AND(FORSIDE!$B$8&gt;=14,FORSIDE!$F$8&gt;=8,FORSIDE!$B$5&gt;=4),14*FORSIDE!$B$9,"")</f>
        <v/>
      </c>
      <c r="D2008" t="str">
        <f>IF(AND(FORSIDE!$B$8&gt;=14,FORSIDE!$F$8&gt;=8,FORSIDE!$B$5&gt;=4),FORSIDE!$B$6+(4-1)*FORSIDE!$B$7,"")</f>
        <v/>
      </c>
    </row>
    <row r="2009" spans="1:4" x14ac:dyDescent="0.3">
      <c r="A2009" t="str">
        <f>IF(AND(FORSIDE!$B$8&gt;=14,FORSIDE!$F$8&gt;=8,FORSIDE!$B$5&gt;=5),2008,"")</f>
        <v/>
      </c>
      <c r="B2009" t="str">
        <f>IF(AND(FORSIDE!$B$8&gt;=14,FORSIDE!$F$8&gt;=8,FORSIDE!$B$5&gt;=5),354+8*FORSIDE!$F$9,"")</f>
        <v/>
      </c>
      <c r="C2009" t="str">
        <f>IF(AND(FORSIDE!$B$8&gt;=14,FORSIDE!$F$8&gt;=8,FORSIDE!$B$5&gt;=5),14*FORSIDE!$B$9,"")</f>
        <v/>
      </c>
      <c r="D2009" t="str">
        <f>IF(AND(FORSIDE!$B$8&gt;=14,FORSIDE!$F$8&gt;=8,FORSIDE!$B$5&gt;=5),FORSIDE!$B$6+(5-1)*FORSIDE!$B$7,"")</f>
        <v/>
      </c>
    </row>
    <row r="2010" spans="1:4" x14ac:dyDescent="0.3">
      <c r="A2010" t="str">
        <f>IF(AND(FORSIDE!$B$8&gt;=14,FORSIDE!$F$8&gt;=8,FORSIDE!$B$5&gt;=6),2009,"")</f>
        <v/>
      </c>
      <c r="B2010" t="str">
        <f>IF(AND(FORSIDE!$B$8&gt;=14,FORSIDE!$F$8&gt;=8,FORSIDE!$B$5&gt;=6),354+8*FORSIDE!$F$9,"")</f>
        <v/>
      </c>
      <c r="C2010" t="str">
        <f>IF(AND(FORSIDE!$B$8&gt;=14,FORSIDE!$F$8&gt;=8,FORSIDE!$B$5&gt;=6),14*FORSIDE!$B$9,"")</f>
        <v/>
      </c>
      <c r="D2010" t="str">
        <f>IF(AND(FORSIDE!$B$8&gt;=14,FORSIDE!$F$8&gt;=8,FORSIDE!$B$5&gt;=6),FORSIDE!$B$6+(6-1)*FORSIDE!$B$7,"")</f>
        <v/>
      </c>
    </row>
    <row r="2011" spans="1:4" x14ac:dyDescent="0.3">
      <c r="A2011" t="str">
        <f>IF(AND(FORSIDE!$B$8&gt;=14,FORSIDE!$F$8&gt;=8,FORSIDE!$B$5&gt;=7),2010,"")</f>
        <v/>
      </c>
      <c r="B2011" t="str">
        <f>IF(AND(FORSIDE!$B$8&gt;=14,FORSIDE!$F$8&gt;=8,FORSIDE!$B$5&gt;=7),354+8*FORSIDE!$F$9,"")</f>
        <v/>
      </c>
      <c r="C2011" t="str">
        <f>IF(AND(FORSIDE!$B$8&gt;=14,FORSIDE!$F$8&gt;=8,FORSIDE!$B$5&gt;=7),14*FORSIDE!$B$9,"")</f>
        <v/>
      </c>
      <c r="D2011" t="str">
        <f>IF(AND(FORSIDE!$B$8&gt;=14,FORSIDE!$F$8&gt;=8,FORSIDE!$B$5&gt;=7),FORSIDE!$B$6+(7-1)*FORSIDE!$B$7,"")</f>
        <v/>
      </c>
    </row>
    <row r="2012" spans="1:4" x14ac:dyDescent="0.3">
      <c r="A2012" t="str">
        <f>IF(AND(FORSIDE!$B$8&gt;=14,FORSIDE!$F$8&gt;=8,FORSIDE!$B$5&gt;=8),2011,"")</f>
        <v/>
      </c>
      <c r="B2012" t="str">
        <f>IF(AND(FORSIDE!$B$8&gt;=14,FORSIDE!$F$8&gt;=8,FORSIDE!$B$5&gt;=8),354+8*FORSIDE!$F$9,"")</f>
        <v/>
      </c>
      <c r="C2012" t="str">
        <f>IF(AND(FORSIDE!$B$8&gt;=14,FORSIDE!$F$8&gt;=8,FORSIDE!$B$5&gt;=8),14*FORSIDE!$B$9,"")</f>
        <v/>
      </c>
      <c r="D2012" t="str">
        <f>IF(AND(FORSIDE!$B$8&gt;=14,FORSIDE!$F$8&gt;=8,FORSIDE!$B$5&gt;=8),FORSIDE!$B$6+(8-1)*FORSIDE!$B$7,"")</f>
        <v/>
      </c>
    </row>
    <row r="2013" spans="1:4" x14ac:dyDescent="0.3">
      <c r="A2013" t="str">
        <f>IF(AND(FORSIDE!$B$8&gt;=14,FORSIDE!$F$8&gt;=8,FORSIDE!$B$5&gt;=9),2012,"")</f>
        <v/>
      </c>
      <c r="B2013" t="str">
        <f>IF(AND(FORSIDE!$B$8&gt;=14,FORSIDE!$F$8&gt;=8,FORSIDE!$B$5&gt;=9),354+8*FORSIDE!$F$9,"")</f>
        <v/>
      </c>
      <c r="C2013" t="str">
        <f>IF(AND(FORSIDE!$B$8&gt;=14,FORSIDE!$F$8&gt;=8,FORSIDE!$B$5&gt;=9),14*FORSIDE!$B$9,"")</f>
        <v/>
      </c>
      <c r="D2013" t="str">
        <f>IF(AND(FORSIDE!$B$8&gt;=14,FORSIDE!$F$8&gt;=8,FORSIDE!$B$5&gt;=9),FORSIDE!$B$6+(9-1)*FORSIDE!$B$7,"")</f>
        <v/>
      </c>
    </row>
    <row r="2014" spans="1:4" x14ac:dyDescent="0.3">
      <c r="A2014" t="str">
        <f>IF(AND(FORSIDE!$B$8&gt;=14,FORSIDE!$F$8&gt;=8,FORSIDE!$B$5&gt;=10),2013,"")</f>
        <v/>
      </c>
      <c r="B2014" t="str">
        <f>IF(AND(FORSIDE!$B$8&gt;=14,FORSIDE!$F$8&gt;=8,FORSIDE!$B$5&gt;=10),354+8*FORSIDE!$F$9,"")</f>
        <v/>
      </c>
      <c r="C2014" t="str">
        <f>IF(AND(FORSIDE!$B$8&gt;=14,FORSIDE!$F$8&gt;=8,FORSIDE!$B$5&gt;=10),14*FORSIDE!$B$9,"")</f>
        <v/>
      </c>
      <c r="D2014" t="str">
        <f>IF(AND(FORSIDE!$B$8&gt;=14,FORSIDE!$F$8&gt;=8,FORSIDE!$B$5&gt;=10),FORSIDE!$B$6+(10-1)*FORSIDE!$B$7,"")</f>
        <v/>
      </c>
    </row>
    <row r="2015" spans="1:4" x14ac:dyDescent="0.3">
      <c r="A2015" t="str">
        <f>IF(AND(FORSIDE!$B$8&gt;=15,FORSIDE!$F$8&gt;=8,FORSIDE!$B$5&gt;=0),2014,"")</f>
        <v/>
      </c>
      <c r="B2015" t="str">
        <f>IF(AND(FORSIDE!$B$8&gt;=15,FORSIDE!$F$8&gt;=8,FORSIDE!$B$5&gt;=0),354+8*FORSIDE!$F$9,"")</f>
        <v/>
      </c>
      <c r="C2015" t="str">
        <f>IF(AND(FORSIDE!$B$8&gt;=15,FORSIDE!$F$8&gt;=8,FORSIDE!$B$5&gt;=0),15*FORSIDE!$B$9,"")</f>
        <v/>
      </c>
      <c r="D2015" t="str">
        <f>IF(AND(FORSIDE!$B$8&gt;=15,FORSIDE!$F$8&gt;=8,FORSIDE!$B$5&gt;=0),0,"")</f>
        <v/>
      </c>
    </row>
    <row r="2016" spans="1:4" x14ac:dyDescent="0.3">
      <c r="A2016" t="str">
        <f>IF(AND(FORSIDE!$B$8&gt;=15,FORSIDE!$F$8&gt;=8,FORSIDE!$B$5&gt;=1),2015,"")</f>
        <v/>
      </c>
      <c r="B2016" t="str">
        <f>IF(AND(FORSIDE!$B$8&gt;=15,FORSIDE!$F$8&gt;=8,FORSIDE!$B$5&gt;=1),354+8*FORSIDE!$F$9,"")</f>
        <v/>
      </c>
      <c r="C2016" t="str">
        <f>IF(AND(FORSIDE!$B$8&gt;=15,FORSIDE!$F$8&gt;=8,FORSIDE!$B$5&gt;=1),15*FORSIDE!$B$9,"")</f>
        <v/>
      </c>
      <c r="D2016" t="str">
        <f>IF(AND(FORSIDE!$B$8&gt;=15,FORSIDE!$F$8&gt;=8,FORSIDE!$B$5&gt;=1),FORSIDE!$B$6+(1-1)*FORSIDE!$B$7,"")</f>
        <v/>
      </c>
    </row>
    <row r="2017" spans="1:4" x14ac:dyDescent="0.3">
      <c r="A2017" t="str">
        <f>IF(AND(FORSIDE!$B$8&gt;=15,FORSIDE!$F$8&gt;=8,FORSIDE!$B$5&gt;=2),2016,"")</f>
        <v/>
      </c>
      <c r="B2017" t="str">
        <f>IF(AND(FORSIDE!$B$8&gt;=15,FORSIDE!$F$8&gt;=8,FORSIDE!$B$5&gt;=2),354+8*FORSIDE!$F$9,"")</f>
        <v/>
      </c>
      <c r="C2017" t="str">
        <f>IF(AND(FORSIDE!$B$8&gt;=15,FORSIDE!$F$8&gt;=8,FORSIDE!$B$5&gt;=2),15*FORSIDE!$B$9,"")</f>
        <v/>
      </c>
      <c r="D2017" t="str">
        <f>IF(AND(FORSIDE!$B$8&gt;=15,FORSIDE!$F$8&gt;=8,FORSIDE!$B$5&gt;=2),FORSIDE!$B$6+(2-1)*FORSIDE!$B$7,"")</f>
        <v/>
      </c>
    </row>
    <row r="2018" spans="1:4" x14ac:dyDescent="0.3">
      <c r="A2018" t="str">
        <f>IF(AND(FORSIDE!$B$8&gt;=15,FORSIDE!$F$8&gt;=8,FORSIDE!$B$5&gt;=3),2017,"")</f>
        <v/>
      </c>
      <c r="B2018" t="str">
        <f>IF(AND(FORSIDE!$B$8&gt;=15,FORSIDE!$F$8&gt;=8,FORSIDE!$B$5&gt;=3),354+8*FORSIDE!$F$9,"")</f>
        <v/>
      </c>
      <c r="C2018" t="str">
        <f>IF(AND(FORSIDE!$B$8&gt;=15,FORSIDE!$F$8&gt;=8,FORSIDE!$B$5&gt;=3),15*FORSIDE!$B$9,"")</f>
        <v/>
      </c>
      <c r="D2018" t="str">
        <f>IF(AND(FORSIDE!$B$8&gt;=15,FORSIDE!$F$8&gt;=8,FORSIDE!$B$5&gt;=3),FORSIDE!$B$6+(3-1)*FORSIDE!$B$7,"")</f>
        <v/>
      </c>
    </row>
    <row r="2019" spans="1:4" x14ac:dyDescent="0.3">
      <c r="A2019" t="str">
        <f>IF(AND(FORSIDE!$B$8&gt;=15,FORSIDE!$F$8&gt;=8,FORSIDE!$B$5&gt;=4),2018,"")</f>
        <v/>
      </c>
      <c r="B2019" t="str">
        <f>IF(AND(FORSIDE!$B$8&gt;=15,FORSIDE!$F$8&gt;=8,FORSIDE!$B$5&gt;=4),354+8*FORSIDE!$F$9,"")</f>
        <v/>
      </c>
      <c r="C2019" t="str">
        <f>IF(AND(FORSIDE!$B$8&gt;=15,FORSIDE!$F$8&gt;=8,FORSIDE!$B$5&gt;=4),15*FORSIDE!$B$9,"")</f>
        <v/>
      </c>
      <c r="D2019" t="str">
        <f>IF(AND(FORSIDE!$B$8&gt;=15,FORSIDE!$F$8&gt;=8,FORSIDE!$B$5&gt;=4),FORSIDE!$B$6+(4-1)*FORSIDE!$B$7,"")</f>
        <v/>
      </c>
    </row>
    <row r="2020" spans="1:4" x14ac:dyDescent="0.3">
      <c r="A2020" t="str">
        <f>IF(AND(FORSIDE!$B$8&gt;=15,FORSIDE!$F$8&gt;=8,FORSIDE!$B$5&gt;=5),2019,"")</f>
        <v/>
      </c>
      <c r="B2020" t="str">
        <f>IF(AND(FORSIDE!$B$8&gt;=15,FORSIDE!$F$8&gt;=8,FORSIDE!$B$5&gt;=5),354+8*FORSIDE!$F$9,"")</f>
        <v/>
      </c>
      <c r="C2020" t="str">
        <f>IF(AND(FORSIDE!$B$8&gt;=15,FORSIDE!$F$8&gt;=8,FORSIDE!$B$5&gt;=5),15*FORSIDE!$B$9,"")</f>
        <v/>
      </c>
      <c r="D2020" t="str">
        <f>IF(AND(FORSIDE!$B$8&gt;=15,FORSIDE!$F$8&gt;=8,FORSIDE!$B$5&gt;=5),FORSIDE!$B$6+(5-1)*FORSIDE!$B$7,"")</f>
        <v/>
      </c>
    </row>
    <row r="2021" spans="1:4" x14ac:dyDescent="0.3">
      <c r="A2021" t="str">
        <f>IF(AND(FORSIDE!$B$8&gt;=15,FORSIDE!$F$8&gt;=8,FORSIDE!$B$5&gt;=6),2020,"")</f>
        <v/>
      </c>
      <c r="B2021" t="str">
        <f>IF(AND(FORSIDE!$B$8&gt;=15,FORSIDE!$F$8&gt;=8,FORSIDE!$B$5&gt;=6),354+8*FORSIDE!$F$9,"")</f>
        <v/>
      </c>
      <c r="C2021" t="str">
        <f>IF(AND(FORSIDE!$B$8&gt;=15,FORSIDE!$F$8&gt;=8,FORSIDE!$B$5&gt;=6),15*FORSIDE!$B$9,"")</f>
        <v/>
      </c>
      <c r="D2021" t="str">
        <f>IF(AND(FORSIDE!$B$8&gt;=15,FORSIDE!$F$8&gt;=8,FORSIDE!$B$5&gt;=6),FORSIDE!$B$6+(6-1)*FORSIDE!$B$7,"")</f>
        <v/>
      </c>
    </row>
    <row r="2022" spans="1:4" x14ac:dyDescent="0.3">
      <c r="A2022" t="str">
        <f>IF(AND(FORSIDE!$B$8&gt;=15,FORSIDE!$F$8&gt;=8,FORSIDE!$B$5&gt;=7),2021,"")</f>
        <v/>
      </c>
      <c r="B2022" t="str">
        <f>IF(AND(FORSIDE!$B$8&gt;=15,FORSIDE!$F$8&gt;=8,FORSIDE!$B$5&gt;=7),354+8*FORSIDE!$F$9,"")</f>
        <v/>
      </c>
      <c r="C2022" t="str">
        <f>IF(AND(FORSIDE!$B$8&gt;=15,FORSIDE!$F$8&gt;=8,FORSIDE!$B$5&gt;=7),15*FORSIDE!$B$9,"")</f>
        <v/>
      </c>
      <c r="D2022" t="str">
        <f>IF(AND(FORSIDE!$B$8&gt;=15,FORSIDE!$F$8&gt;=8,FORSIDE!$B$5&gt;=7),FORSIDE!$B$6+(7-1)*FORSIDE!$B$7,"")</f>
        <v/>
      </c>
    </row>
    <row r="2023" spans="1:4" x14ac:dyDescent="0.3">
      <c r="A2023" t="str">
        <f>IF(AND(FORSIDE!$B$8&gt;=15,FORSIDE!$F$8&gt;=8,FORSIDE!$B$5&gt;=8),2022,"")</f>
        <v/>
      </c>
      <c r="B2023" t="str">
        <f>IF(AND(FORSIDE!$B$8&gt;=15,FORSIDE!$F$8&gt;=8,FORSIDE!$B$5&gt;=8),354+8*FORSIDE!$F$9,"")</f>
        <v/>
      </c>
      <c r="C2023" t="str">
        <f>IF(AND(FORSIDE!$B$8&gt;=15,FORSIDE!$F$8&gt;=8,FORSIDE!$B$5&gt;=8),15*FORSIDE!$B$9,"")</f>
        <v/>
      </c>
      <c r="D2023" t="str">
        <f>IF(AND(FORSIDE!$B$8&gt;=15,FORSIDE!$F$8&gt;=8,FORSIDE!$B$5&gt;=8),FORSIDE!$B$6+(8-1)*FORSIDE!$B$7,"")</f>
        <v/>
      </c>
    </row>
    <row r="2024" spans="1:4" x14ac:dyDescent="0.3">
      <c r="A2024" t="str">
        <f>IF(AND(FORSIDE!$B$8&gt;=15,FORSIDE!$F$8&gt;=8,FORSIDE!$B$5&gt;=9),2023,"")</f>
        <v/>
      </c>
      <c r="B2024" t="str">
        <f>IF(AND(FORSIDE!$B$8&gt;=15,FORSIDE!$F$8&gt;=8,FORSIDE!$B$5&gt;=9),354+8*FORSIDE!$F$9,"")</f>
        <v/>
      </c>
      <c r="C2024" t="str">
        <f>IF(AND(FORSIDE!$B$8&gt;=15,FORSIDE!$F$8&gt;=8,FORSIDE!$B$5&gt;=9),15*FORSIDE!$B$9,"")</f>
        <v/>
      </c>
      <c r="D2024" t="str">
        <f>IF(AND(FORSIDE!$B$8&gt;=15,FORSIDE!$F$8&gt;=8,FORSIDE!$B$5&gt;=9),FORSIDE!$B$6+(9-1)*FORSIDE!$B$7,"")</f>
        <v/>
      </c>
    </row>
    <row r="2025" spans="1:4" x14ac:dyDescent="0.3">
      <c r="A2025" t="str">
        <f>IF(AND(FORSIDE!$B$8&gt;=15,FORSIDE!$F$8&gt;=8,FORSIDE!$B$5&gt;=10),2024,"")</f>
        <v/>
      </c>
      <c r="B2025" t="str">
        <f>IF(AND(FORSIDE!$B$8&gt;=15,FORSIDE!$F$8&gt;=8,FORSIDE!$B$5&gt;=10),354+8*FORSIDE!$F$9,"")</f>
        <v/>
      </c>
      <c r="C2025" t="str">
        <f>IF(AND(FORSIDE!$B$8&gt;=15,FORSIDE!$F$8&gt;=8,FORSIDE!$B$5&gt;=10),15*FORSIDE!$B$9,"")</f>
        <v/>
      </c>
      <c r="D2025" t="str">
        <f>IF(AND(FORSIDE!$B$8&gt;=15,FORSIDE!$F$8&gt;=8,FORSIDE!$B$5&gt;=10),FORSIDE!$B$6+(10-1)*FORSIDE!$B$7,"")</f>
        <v/>
      </c>
    </row>
    <row r="2026" spans="1:4" x14ac:dyDescent="0.3">
      <c r="A2026" t="str">
        <f>IF(AND(FORSIDE!$B$8&gt;=16,FORSIDE!$F$8&gt;=8,FORSIDE!$B$5&gt;=0),2025,"")</f>
        <v/>
      </c>
      <c r="B2026" t="str">
        <f>IF(AND(FORSIDE!$B$8&gt;=16,FORSIDE!$F$8&gt;=8,FORSIDE!$B$5&gt;=0),354+8*FORSIDE!$F$9,"")</f>
        <v/>
      </c>
      <c r="C2026" t="str">
        <f>IF(AND(FORSIDE!$B$8&gt;=16,FORSIDE!$F$8&gt;=8,FORSIDE!$B$5&gt;=0),16*FORSIDE!$B$9,"")</f>
        <v/>
      </c>
      <c r="D2026" t="str">
        <f>IF(AND(FORSIDE!$B$8&gt;=16,FORSIDE!$F$8&gt;=8,FORSIDE!$B$5&gt;=0),0,"")</f>
        <v/>
      </c>
    </row>
    <row r="2027" spans="1:4" x14ac:dyDescent="0.3">
      <c r="A2027" t="str">
        <f>IF(AND(FORSIDE!$B$8&gt;=16,FORSIDE!$F$8&gt;=8,FORSIDE!$B$5&gt;=1),2026,"")</f>
        <v/>
      </c>
      <c r="B2027" t="str">
        <f>IF(AND(FORSIDE!$B$8&gt;=16,FORSIDE!$F$8&gt;=8,FORSIDE!$B$5&gt;=1),354+8*FORSIDE!$F$9,"")</f>
        <v/>
      </c>
      <c r="C2027" t="str">
        <f>IF(AND(FORSIDE!$B$8&gt;=16,FORSIDE!$F$8&gt;=8,FORSIDE!$B$5&gt;=1),16*FORSIDE!$B$9,"")</f>
        <v/>
      </c>
      <c r="D2027" t="str">
        <f>IF(AND(FORSIDE!$B$8&gt;=16,FORSIDE!$F$8&gt;=8,FORSIDE!$B$5&gt;=1),FORSIDE!$B$6+(1-1)*FORSIDE!$B$7,"")</f>
        <v/>
      </c>
    </row>
    <row r="2028" spans="1:4" x14ac:dyDescent="0.3">
      <c r="A2028" t="str">
        <f>IF(AND(FORSIDE!$B$8&gt;=16,FORSIDE!$F$8&gt;=8,FORSIDE!$B$5&gt;=2),2027,"")</f>
        <v/>
      </c>
      <c r="B2028" t="str">
        <f>IF(AND(FORSIDE!$B$8&gt;=16,FORSIDE!$F$8&gt;=8,FORSIDE!$B$5&gt;=2),354+8*FORSIDE!$F$9,"")</f>
        <v/>
      </c>
      <c r="C2028" t="str">
        <f>IF(AND(FORSIDE!$B$8&gt;=16,FORSIDE!$F$8&gt;=8,FORSIDE!$B$5&gt;=2),16*FORSIDE!$B$9,"")</f>
        <v/>
      </c>
      <c r="D2028" t="str">
        <f>IF(AND(FORSIDE!$B$8&gt;=16,FORSIDE!$F$8&gt;=8,FORSIDE!$B$5&gt;=2),FORSIDE!$B$6+(2-1)*FORSIDE!$B$7,"")</f>
        <v/>
      </c>
    </row>
    <row r="2029" spans="1:4" x14ac:dyDescent="0.3">
      <c r="A2029" t="str">
        <f>IF(AND(FORSIDE!$B$8&gt;=16,FORSIDE!$F$8&gt;=8,FORSIDE!$B$5&gt;=3),2028,"")</f>
        <v/>
      </c>
      <c r="B2029" t="str">
        <f>IF(AND(FORSIDE!$B$8&gt;=16,FORSIDE!$F$8&gt;=8,FORSIDE!$B$5&gt;=3),354+8*FORSIDE!$F$9,"")</f>
        <v/>
      </c>
      <c r="C2029" t="str">
        <f>IF(AND(FORSIDE!$B$8&gt;=16,FORSIDE!$F$8&gt;=8,FORSIDE!$B$5&gt;=3),16*FORSIDE!$B$9,"")</f>
        <v/>
      </c>
      <c r="D2029" t="str">
        <f>IF(AND(FORSIDE!$B$8&gt;=16,FORSIDE!$F$8&gt;=8,FORSIDE!$B$5&gt;=3),FORSIDE!$B$6+(3-1)*FORSIDE!$B$7,"")</f>
        <v/>
      </c>
    </row>
    <row r="2030" spans="1:4" x14ac:dyDescent="0.3">
      <c r="A2030" t="str">
        <f>IF(AND(FORSIDE!$B$8&gt;=16,FORSIDE!$F$8&gt;=8,FORSIDE!$B$5&gt;=4),2029,"")</f>
        <v/>
      </c>
      <c r="B2030" t="str">
        <f>IF(AND(FORSIDE!$B$8&gt;=16,FORSIDE!$F$8&gt;=8,FORSIDE!$B$5&gt;=4),354+8*FORSIDE!$F$9,"")</f>
        <v/>
      </c>
      <c r="C2030" t="str">
        <f>IF(AND(FORSIDE!$B$8&gt;=16,FORSIDE!$F$8&gt;=8,FORSIDE!$B$5&gt;=4),16*FORSIDE!$B$9,"")</f>
        <v/>
      </c>
      <c r="D2030" t="str">
        <f>IF(AND(FORSIDE!$B$8&gt;=16,FORSIDE!$F$8&gt;=8,FORSIDE!$B$5&gt;=4),FORSIDE!$B$6+(4-1)*FORSIDE!$B$7,"")</f>
        <v/>
      </c>
    </row>
    <row r="2031" spans="1:4" x14ac:dyDescent="0.3">
      <c r="A2031" t="str">
        <f>IF(AND(FORSIDE!$B$8&gt;=16,FORSIDE!$F$8&gt;=8,FORSIDE!$B$5&gt;=5),2030,"")</f>
        <v/>
      </c>
      <c r="B2031" t="str">
        <f>IF(AND(FORSIDE!$B$8&gt;=16,FORSIDE!$F$8&gt;=8,FORSIDE!$B$5&gt;=5),354+8*FORSIDE!$F$9,"")</f>
        <v/>
      </c>
      <c r="C2031" t="str">
        <f>IF(AND(FORSIDE!$B$8&gt;=16,FORSIDE!$F$8&gt;=8,FORSIDE!$B$5&gt;=5),16*FORSIDE!$B$9,"")</f>
        <v/>
      </c>
      <c r="D2031" t="str">
        <f>IF(AND(FORSIDE!$B$8&gt;=16,FORSIDE!$F$8&gt;=8,FORSIDE!$B$5&gt;=5),FORSIDE!$B$6+(5-1)*FORSIDE!$B$7,"")</f>
        <v/>
      </c>
    </row>
    <row r="2032" spans="1:4" x14ac:dyDescent="0.3">
      <c r="A2032" t="str">
        <f>IF(AND(FORSIDE!$B$8&gt;=16,FORSIDE!$F$8&gt;=8,FORSIDE!$B$5&gt;=6),2031,"")</f>
        <v/>
      </c>
      <c r="B2032" t="str">
        <f>IF(AND(FORSIDE!$B$8&gt;=16,FORSIDE!$F$8&gt;=8,FORSIDE!$B$5&gt;=6),354+8*FORSIDE!$F$9,"")</f>
        <v/>
      </c>
      <c r="C2032" t="str">
        <f>IF(AND(FORSIDE!$B$8&gt;=16,FORSIDE!$F$8&gt;=8,FORSIDE!$B$5&gt;=6),16*FORSIDE!$B$9,"")</f>
        <v/>
      </c>
      <c r="D2032" t="str">
        <f>IF(AND(FORSIDE!$B$8&gt;=16,FORSIDE!$F$8&gt;=8,FORSIDE!$B$5&gt;=6),FORSIDE!$B$6+(6-1)*FORSIDE!$B$7,"")</f>
        <v/>
      </c>
    </row>
    <row r="2033" spans="1:4" x14ac:dyDescent="0.3">
      <c r="A2033" t="str">
        <f>IF(AND(FORSIDE!$B$8&gt;=16,FORSIDE!$F$8&gt;=8,FORSIDE!$B$5&gt;=7),2032,"")</f>
        <v/>
      </c>
      <c r="B2033" t="str">
        <f>IF(AND(FORSIDE!$B$8&gt;=16,FORSIDE!$F$8&gt;=8,FORSIDE!$B$5&gt;=7),354+8*FORSIDE!$F$9,"")</f>
        <v/>
      </c>
      <c r="C2033" t="str">
        <f>IF(AND(FORSIDE!$B$8&gt;=16,FORSIDE!$F$8&gt;=8,FORSIDE!$B$5&gt;=7),16*FORSIDE!$B$9,"")</f>
        <v/>
      </c>
      <c r="D2033" t="str">
        <f>IF(AND(FORSIDE!$B$8&gt;=16,FORSIDE!$F$8&gt;=8,FORSIDE!$B$5&gt;=7),FORSIDE!$B$6+(7-1)*FORSIDE!$B$7,"")</f>
        <v/>
      </c>
    </row>
    <row r="2034" spans="1:4" x14ac:dyDescent="0.3">
      <c r="A2034" t="str">
        <f>IF(AND(FORSIDE!$B$8&gt;=16,FORSIDE!$F$8&gt;=8,FORSIDE!$B$5&gt;=8),2033,"")</f>
        <v/>
      </c>
      <c r="B2034" t="str">
        <f>IF(AND(FORSIDE!$B$8&gt;=16,FORSIDE!$F$8&gt;=8,FORSIDE!$B$5&gt;=8),354+8*FORSIDE!$F$9,"")</f>
        <v/>
      </c>
      <c r="C2034" t="str">
        <f>IF(AND(FORSIDE!$B$8&gt;=16,FORSIDE!$F$8&gt;=8,FORSIDE!$B$5&gt;=8),16*FORSIDE!$B$9,"")</f>
        <v/>
      </c>
      <c r="D2034" t="str">
        <f>IF(AND(FORSIDE!$B$8&gt;=16,FORSIDE!$F$8&gt;=8,FORSIDE!$B$5&gt;=8),FORSIDE!$B$6+(8-1)*FORSIDE!$B$7,"")</f>
        <v/>
      </c>
    </row>
    <row r="2035" spans="1:4" x14ac:dyDescent="0.3">
      <c r="A2035" t="str">
        <f>IF(AND(FORSIDE!$B$8&gt;=16,FORSIDE!$F$8&gt;=8,FORSIDE!$B$5&gt;=9),2034,"")</f>
        <v/>
      </c>
      <c r="B2035" t="str">
        <f>IF(AND(FORSIDE!$B$8&gt;=16,FORSIDE!$F$8&gt;=8,FORSIDE!$B$5&gt;=9),354+8*FORSIDE!$F$9,"")</f>
        <v/>
      </c>
      <c r="C2035" t="str">
        <f>IF(AND(FORSIDE!$B$8&gt;=16,FORSIDE!$F$8&gt;=8,FORSIDE!$B$5&gt;=9),16*FORSIDE!$B$9,"")</f>
        <v/>
      </c>
      <c r="D2035" t="str">
        <f>IF(AND(FORSIDE!$B$8&gt;=16,FORSIDE!$F$8&gt;=8,FORSIDE!$B$5&gt;=9),FORSIDE!$B$6+(9-1)*FORSIDE!$B$7,"")</f>
        <v/>
      </c>
    </row>
    <row r="2036" spans="1:4" x14ac:dyDescent="0.3">
      <c r="A2036" t="str">
        <f>IF(AND(FORSIDE!$B$8&gt;=16,FORSIDE!$F$8&gt;=8,FORSIDE!$B$5&gt;=10),2035,"")</f>
        <v/>
      </c>
      <c r="B2036" t="str">
        <f>IF(AND(FORSIDE!$B$8&gt;=16,FORSIDE!$F$8&gt;=8,FORSIDE!$B$5&gt;=10),354+8*FORSIDE!$F$9,"")</f>
        <v/>
      </c>
      <c r="C2036" t="str">
        <f>IF(AND(FORSIDE!$B$8&gt;=16,FORSIDE!$F$8&gt;=8,FORSIDE!$B$5&gt;=10),16*FORSIDE!$B$9,"")</f>
        <v/>
      </c>
      <c r="D2036" t="str">
        <f>IF(AND(FORSIDE!$B$8&gt;=16,FORSIDE!$F$8&gt;=8,FORSIDE!$B$5&gt;=10),FORSIDE!$B$6+(10-1)*FORSIDE!$B$7,"")</f>
        <v/>
      </c>
    </row>
    <row r="2037" spans="1:4" x14ac:dyDescent="0.3">
      <c r="A2037" t="str">
        <f>IF(AND(FORSIDE!$B$8&gt;=17,FORSIDE!$F$8&gt;=8,FORSIDE!$B$5&gt;=0),2036,"")</f>
        <v/>
      </c>
      <c r="B2037" t="str">
        <f>IF(AND(FORSIDE!$B$8&gt;=17,FORSIDE!$F$8&gt;=8,FORSIDE!$B$5&gt;=0),354+8*FORSIDE!$F$9,"")</f>
        <v/>
      </c>
      <c r="C2037" t="str">
        <f>IF(AND(FORSIDE!$B$8&gt;=17,FORSIDE!$F$8&gt;=8,FORSIDE!$B$5&gt;=0),17*FORSIDE!$B$9,"")</f>
        <v/>
      </c>
      <c r="D2037" t="str">
        <f>IF(AND(FORSIDE!$B$8&gt;=17,FORSIDE!$F$8&gt;=8,FORSIDE!$B$5&gt;=0),0,"")</f>
        <v/>
      </c>
    </row>
    <row r="2038" spans="1:4" x14ac:dyDescent="0.3">
      <c r="A2038" t="str">
        <f>IF(AND(FORSIDE!$B$8&gt;=17,FORSIDE!$F$8&gt;=8,FORSIDE!$B$5&gt;=1),2037,"")</f>
        <v/>
      </c>
      <c r="B2038" t="str">
        <f>IF(AND(FORSIDE!$B$8&gt;=17,FORSIDE!$F$8&gt;=8,FORSIDE!$B$5&gt;=1),354+8*FORSIDE!$F$9,"")</f>
        <v/>
      </c>
      <c r="C2038" t="str">
        <f>IF(AND(FORSIDE!$B$8&gt;=17,FORSIDE!$F$8&gt;=8,FORSIDE!$B$5&gt;=1),17*FORSIDE!$B$9,"")</f>
        <v/>
      </c>
      <c r="D2038" t="str">
        <f>IF(AND(FORSIDE!$B$8&gt;=17,FORSIDE!$F$8&gt;=8,FORSIDE!$B$5&gt;=1),FORSIDE!$B$6+(1-1)*FORSIDE!$B$7,"")</f>
        <v/>
      </c>
    </row>
    <row r="2039" spans="1:4" x14ac:dyDescent="0.3">
      <c r="A2039" t="str">
        <f>IF(AND(FORSIDE!$B$8&gt;=17,FORSIDE!$F$8&gt;=8,FORSIDE!$B$5&gt;=2),2038,"")</f>
        <v/>
      </c>
      <c r="B2039" t="str">
        <f>IF(AND(FORSIDE!$B$8&gt;=17,FORSIDE!$F$8&gt;=8,FORSIDE!$B$5&gt;=2),354+8*FORSIDE!$F$9,"")</f>
        <v/>
      </c>
      <c r="C2039" t="str">
        <f>IF(AND(FORSIDE!$B$8&gt;=17,FORSIDE!$F$8&gt;=8,FORSIDE!$B$5&gt;=2),17*FORSIDE!$B$9,"")</f>
        <v/>
      </c>
      <c r="D2039" t="str">
        <f>IF(AND(FORSIDE!$B$8&gt;=17,FORSIDE!$F$8&gt;=8,FORSIDE!$B$5&gt;=2),FORSIDE!$B$6+(2-1)*FORSIDE!$B$7,"")</f>
        <v/>
      </c>
    </row>
    <row r="2040" spans="1:4" x14ac:dyDescent="0.3">
      <c r="A2040" t="str">
        <f>IF(AND(FORSIDE!$B$8&gt;=17,FORSIDE!$F$8&gt;=8,FORSIDE!$B$5&gt;=3),2039,"")</f>
        <v/>
      </c>
      <c r="B2040" t="str">
        <f>IF(AND(FORSIDE!$B$8&gt;=17,FORSIDE!$F$8&gt;=8,FORSIDE!$B$5&gt;=3),354+8*FORSIDE!$F$9,"")</f>
        <v/>
      </c>
      <c r="C2040" t="str">
        <f>IF(AND(FORSIDE!$B$8&gt;=17,FORSIDE!$F$8&gt;=8,FORSIDE!$B$5&gt;=3),17*FORSIDE!$B$9,"")</f>
        <v/>
      </c>
      <c r="D2040" t="str">
        <f>IF(AND(FORSIDE!$B$8&gt;=17,FORSIDE!$F$8&gt;=8,FORSIDE!$B$5&gt;=3),FORSIDE!$B$6+(3-1)*FORSIDE!$B$7,"")</f>
        <v/>
      </c>
    </row>
    <row r="2041" spans="1:4" x14ac:dyDescent="0.3">
      <c r="A2041" t="str">
        <f>IF(AND(FORSIDE!$B$8&gt;=17,FORSIDE!$F$8&gt;=8,FORSIDE!$B$5&gt;=4),2040,"")</f>
        <v/>
      </c>
      <c r="B2041" t="str">
        <f>IF(AND(FORSIDE!$B$8&gt;=17,FORSIDE!$F$8&gt;=8,FORSIDE!$B$5&gt;=4),354+8*FORSIDE!$F$9,"")</f>
        <v/>
      </c>
      <c r="C2041" t="str">
        <f>IF(AND(FORSIDE!$B$8&gt;=17,FORSIDE!$F$8&gt;=8,FORSIDE!$B$5&gt;=4),17*FORSIDE!$B$9,"")</f>
        <v/>
      </c>
      <c r="D2041" t="str">
        <f>IF(AND(FORSIDE!$B$8&gt;=17,FORSIDE!$F$8&gt;=8,FORSIDE!$B$5&gt;=4),FORSIDE!$B$6+(4-1)*FORSIDE!$B$7,"")</f>
        <v/>
      </c>
    </row>
    <row r="2042" spans="1:4" x14ac:dyDescent="0.3">
      <c r="A2042" t="str">
        <f>IF(AND(FORSIDE!$B$8&gt;=17,FORSIDE!$F$8&gt;=8,FORSIDE!$B$5&gt;=5),2041,"")</f>
        <v/>
      </c>
      <c r="B2042" t="str">
        <f>IF(AND(FORSIDE!$B$8&gt;=17,FORSIDE!$F$8&gt;=8,FORSIDE!$B$5&gt;=5),354+8*FORSIDE!$F$9,"")</f>
        <v/>
      </c>
      <c r="C2042" t="str">
        <f>IF(AND(FORSIDE!$B$8&gt;=17,FORSIDE!$F$8&gt;=8,FORSIDE!$B$5&gt;=5),17*FORSIDE!$B$9,"")</f>
        <v/>
      </c>
      <c r="D2042" t="str">
        <f>IF(AND(FORSIDE!$B$8&gt;=17,FORSIDE!$F$8&gt;=8,FORSIDE!$B$5&gt;=5),FORSIDE!$B$6+(5-1)*FORSIDE!$B$7,"")</f>
        <v/>
      </c>
    </row>
    <row r="2043" spans="1:4" x14ac:dyDescent="0.3">
      <c r="A2043" t="str">
        <f>IF(AND(FORSIDE!$B$8&gt;=17,FORSIDE!$F$8&gt;=8,FORSIDE!$B$5&gt;=6),2042,"")</f>
        <v/>
      </c>
      <c r="B2043" t="str">
        <f>IF(AND(FORSIDE!$B$8&gt;=17,FORSIDE!$F$8&gt;=8,FORSIDE!$B$5&gt;=6),354+8*FORSIDE!$F$9,"")</f>
        <v/>
      </c>
      <c r="C2043" t="str">
        <f>IF(AND(FORSIDE!$B$8&gt;=17,FORSIDE!$F$8&gt;=8,FORSIDE!$B$5&gt;=6),17*FORSIDE!$B$9,"")</f>
        <v/>
      </c>
      <c r="D2043" t="str">
        <f>IF(AND(FORSIDE!$B$8&gt;=17,FORSIDE!$F$8&gt;=8,FORSIDE!$B$5&gt;=6),FORSIDE!$B$6+(6-1)*FORSIDE!$B$7,"")</f>
        <v/>
      </c>
    </row>
    <row r="2044" spans="1:4" x14ac:dyDescent="0.3">
      <c r="A2044" t="str">
        <f>IF(AND(FORSIDE!$B$8&gt;=17,FORSIDE!$F$8&gt;=8,FORSIDE!$B$5&gt;=7),2043,"")</f>
        <v/>
      </c>
      <c r="B2044" t="str">
        <f>IF(AND(FORSIDE!$B$8&gt;=17,FORSIDE!$F$8&gt;=8,FORSIDE!$B$5&gt;=7),354+8*FORSIDE!$F$9,"")</f>
        <v/>
      </c>
      <c r="C2044" t="str">
        <f>IF(AND(FORSIDE!$B$8&gt;=17,FORSIDE!$F$8&gt;=8,FORSIDE!$B$5&gt;=7),17*FORSIDE!$B$9,"")</f>
        <v/>
      </c>
      <c r="D2044" t="str">
        <f>IF(AND(FORSIDE!$B$8&gt;=17,FORSIDE!$F$8&gt;=8,FORSIDE!$B$5&gt;=7),FORSIDE!$B$6+(7-1)*FORSIDE!$B$7,"")</f>
        <v/>
      </c>
    </row>
    <row r="2045" spans="1:4" x14ac:dyDescent="0.3">
      <c r="A2045" t="str">
        <f>IF(AND(FORSIDE!$B$8&gt;=17,FORSIDE!$F$8&gt;=8,FORSIDE!$B$5&gt;=8),2044,"")</f>
        <v/>
      </c>
      <c r="B2045" t="str">
        <f>IF(AND(FORSIDE!$B$8&gt;=17,FORSIDE!$F$8&gt;=8,FORSIDE!$B$5&gt;=8),354+8*FORSIDE!$F$9,"")</f>
        <v/>
      </c>
      <c r="C2045" t="str">
        <f>IF(AND(FORSIDE!$B$8&gt;=17,FORSIDE!$F$8&gt;=8,FORSIDE!$B$5&gt;=8),17*FORSIDE!$B$9,"")</f>
        <v/>
      </c>
      <c r="D2045" t="str">
        <f>IF(AND(FORSIDE!$B$8&gt;=17,FORSIDE!$F$8&gt;=8,FORSIDE!$B$5&gt;=8),FORSIDE!$B$6+(8-1)*FORSIDE!$B$7,"")</f>
        <v/>
      </c>
    </row>
    <row r="2046" spans="1:4" x14ac:dyDescent="0.3">
      <c r="A2046" t="str">
        <f>IF(AND(FORSIDE!$B$8&gt;=17,FORSIDE!$F$8&gt;=8,FORSIDE!$B$5&gt;=9),2045,"")</f>
        <v/>
      </c>
      <c r="B2046" t="str">
        <f>IF(AND(FORSIDE!$B$8&gt;=17,FORSIDE!$F$8&gt;=8,FORSIDE!$B$5&gt;=9),354+8*FORSIDE!$F$9,"")</f>
        <v/>
      </c>
      <c r="C2046" t="str">
        <f>IF(AND(FORSIDE!$B$8&gt;=17,FORSIDE!$F$8&gt;=8,FORSIDE!$B$5&gt;=9),17*FORSIDE!$B$9,"")</f>
        <v/>
      </c>
      <c r="D2046" t="str">
        <f>IF(AND(FORSIDE!$B$8&gt;=17,FORSIDE!$F$8&gt;=8,FORSIDE!$B$5&gt;=9),FORSIDE!$B$6+(9-1)*FORSIDE!$B$7,"")</f>
        <v/>
      </c>
    </row>
    <row r="2047" spans="1:4" x14ac:dyDescent="0.3">
      <c r="A2047" t="str">
        <f>IF(AND(FORSIDE!$B$8&gt;=17,FORSIDE!$F$8&gt;=8,FORSIDE!$B$5&gt;=10),2046,"")</f>
        <v/>
      </c>
      <c r="B2047" t="str">
        <f>IF(AND(FORSIDE!$B$8&gt;=17,FORSIDE!$F$8&gt;=8,FORSIDE!$B$5&gt;=10),354+8*FORSIDE!$F$9,"")</f>
        <v/>
      </c>
      <c r="C2047" t="str">
        <f>IF(AND(FORSIDE!$B$8&gt;=17,FORSIDE!$F$8&gt;=8,FORSIDE!$B$5&gt;=10),17*FORSIDE!$B$9,"")</f>
        <v/>
      </c>
      <c r="D2047" t="str">
        <f>IF(AND(FORSIDE!$B$8&gt;=17,FORSIDE!$F$8&gt;=8,FORSIDE!$B$5&gt;=10),FORSIDE!$B$6+(10-1)*FORSIDE!$B$7,"")</f>
        <v/>
      </c>
    </row>
    <row r="2048" spans="1:4" x14ac:dyDescent="0.3">
      <c r="A2048" t="str">
        <f>IF(AND(FORSIDE!$B$8&gt;=18,FORSIDE!$F$8&gt;=8,FORSIDE!$B$5&gt;=0),2047,"")</f>
        <v/>
      </c>
      <c r="B2048" t="str">
        <f>IF(AND(FORSIDE!$B$8&gt;=18,FORSIDE!$F$8&gt;=8,FORSIDE!$B$5&gt;=0),354+8*FORSIDE!$F$9,"")</f>
        <v/>
      </c>
      <c r="C2048" t="str">
        <f>IF(AND(FORSIDE!$B$8&gt;=18,FORSIDE!$F$8&gt;=8,FORSIDE!$B$5&gt;=0),18*FORSIDE!$B$9,"")</f>
        <v/>
      </c>
      <c r="D2048" t="str">
        <f>IF(AND(FORSIDE!$B$8&gt;=18,FORSIDE!$F$8&gt;=8,FORSIDE!$B$5&gt;=0),0,"")</f>
        <v/>
      </c>
    </row>
    <row r="2049" spans="1:4" x14ac:dyDescent="0.3">
      <c r="A2049" t="str">
        <f>IF(AND(FORSIDE!$B$8&gt;=18,FORSIDE!$F$8&gt;=8,FORSIDE!$B$5&gt;=1),2048,"")</f>
        <v/>
      </c>
      <c r="B2049" t="str">
        <f>IF(AND(FORSIDE!$B$8&gt;=18,FORSIDE!$F$8&gt;=8,FORSIDE!$B$5&gt;=1),354+8*FORSIDE!$F$9,"")</f>
        <v/>
      </c>
      <c r="C2049" t="str">
        <f>IF(AND(FORSIDE!$B$8&gt;=18,FORSIDE!$F$8&gt;=8,FORSIDE!$B$5&gt;=1),18*FORSIDE!$B$9,"")</f>
        <v/>
      </c>
      <c r="D2049" t="str">
        <f>IF(AND(FORSIDE!$B$8&gt;=18,FORSIDE!$F$8&gt;=8,FORSIDE!$B$5&gt;=1),FORSIDE!$B$6+(1-1)*FORSIDE!$B$7,"")</f>
        <v/>
      </c>
    </row>
    <row r="2050" spans="1:4" x14ac:dyDescent="0.3">
      <c r="A2050" t="str">
        <f>IF(AND(FORSIDE!$B$8&gt;=18,FORSIDE!$F$8&gt;=8,FORSIDE!$B$5&gt;=2),2049,"")</f>
        <v/>
      </c>
      <c r="B2050" t="str">
        <f>IF(AND(FORSIDE!$B$8&gt;=18,FORSIDE!$F$8&gt;=8,FORSIDE!$B$5&gt;=2),354+8*FORSIDE!$F$9,"")</f>
        <v/>
      </c>
      <c r="C2050" t="str">
        <f>IF(AND(FORSIDE!$B$8&gt;=18,FORSIDE!$F$8&gt;=8,FORSIDE!$B$5&gt;=2),18*FORSIDE!$B$9,"")</f>
        <v/>
      </c>
      <c r="D2050" t="str">
        <f>IF(AND(FORSIDE!$B$8&gt;=18,FORSIDE!$F$8&gt;=8,FORSIDE!$B$5&gt;=2),FORSIDE!$B$6+(2-1)*FORSIDE!$B$7,"")</f>
        <v/>
      </c>
    </row>
    <row r="2051" spans="1:4" x14ac:dyDescent="0.3">
      <c r="A2051" t="str">
        <f>IF(AND(FORSIDE!$B$8&gt;=18,FORSIDE!$F$8&gt;=8,FORSIDE!$B$5&gt;=3),2050,"")</f>
        <v/>
      </c>
      <c r="B2051" t="str">
        <f>IF(AND(FORSIDE!$B$8&gt;=18,FORSIDE!$F$8&gt;=8,FORSIDE!$B$5&gt;=3),354+8*FORSIDE!$F$9,"")</f>
        <v/>
      </c>
      <c r="C2051" t="str">
        <f>IF(AND(FORSIDE!$B$8&gt;=18,FORSIDE!$F$8&gt;=8,FORSIDE!$B$5&gt;=3),18*FORSIDE!$B$9,"")</f>
        <v/>
      </c>
      <c r="D2051" t="str">
        <f>IF(AND(FORSIDE!$B$8&gt;=18,FORSIDE!$F$8&gt;=8,FORSIDE!$B$5&gt;=3),FORSIDE!$B$6+(3-1)*FORSIDE!$B$7,"")</f>
        <v/>
      </c>
    </row>
    <row r="2052" spans="1:4" x14ac:dyDescent="0.3">
      <c r="A2052" t="str">
        <f>IF(AND(FORSIDE!$B$8&gt;=18,FORSIDE!$F$8&gt;=8,FORSIDE!$B$5&gt;=4),2051,"")</f>
        <v/>
      </c>
      <c r="B2052" t="str">
        <f>IF(AND(FORSIDE!$B$8&gt;=18,FORSIDE!$F$8&gt;=8,FORSIDE!$B$5&gt;=4),354+8*FORSIDE!$F$9,"")</f>
        <v/>
      </c>
      <c r="C2052" t="str">
        <f>IF(AND(FORSIDE!$B$8&gt;=18,FORSIDE!$F$8&gt;=8,FORSIDE!$B$5&gt;=4),18*FORSIDE!$B$9,"")</f>
        <v/>
      </c>
      <c r="D2052" t="str">
        <f>IF(AND(FORSIDE!$B$8&gt;=18,FORSIDE!$F$8&gt;=8,FORSIDE!$B$5&gt;=4),FORSIDE!$B$6+(4-1)*FORSIDE!$B$7,"")</f>
        <v/>
      </c>
    </row>
    <row r="2053" spans="1:4" x14ac:dyDescent="0.3">
      <c r="A2053" t="str">
        <f>IF(AND(FORSIDE!$B$8&gt;=18,FORSIDE!$F$8&gt;=8,FORSIDE!$B$5&gt;=5),2052,"")</f>
        <v/>
      </c>
      <c r="B2053" t="str">
        <f>IF(AND(FORSIDE!$B$8&gt;=18,FORSIDE!$F$8&gt;=8,FORSIDE!$B$5&gt;=5),354+8*FORSIDE!$F$9,"")</f>
        <v/>
      </c>
      <c r="C2053" t="str">
        <f>IF(AND(FORSIDE!$B$8&gt;=18,FORSIDE!$F$8&gt;=8,FORSIDE!$B$5&gt;=5),18*FORSIDE!$B$9,"")</f>
        <v/>
      </c>
      <c r="D2053" t="str">
        <f>IF(AND(FORSIDE!$B$8&gt;=18,FORSIDE!$F$8&gt;=8,FORSIDE!$B$5&gt;=5),FORSIDE!$B$6+(5-1)*FORSIDE!$B$7,"")</f>
        <v/>
      </c>
    </row>
    <row r="2054" spans="1:4" x14ac:dyDescent="0.3">
      <c r="A2054" t="str">
        <f>IF(AND(FORSIDE!$B$8&gt;=18,FORSIDE!$F$8&gt;=8,FORSIDE!$B$5&gt;=6),2053,"")</f>
        <v/>
      </c>
      <c r="B2054" t="str">
        <f>IF(AND(FORSIDE!$B$8&gt;=18,FORSIDE!$F$8&gt;=8,FORSIDE!$B$5&gt;=6),354+8*FORSIDE!$F$9,"")</f>
        <v/>
      </c>
      <c r="C2054" t="str">
        <f>IF(AND(FORSIDE!$B$8&gt;=18,FORSIDE!$F$8&gt;=8,FORSIDE!$B$5&gt;=6),18*FORSIDE!$B$9,"")</f>
        <v/>
      </c>
      <c r="D2054" t="str">
        <f>IF(AND(FORSIDE!$B$8&gt;=18,FORSIDE!$F$8&gt;=8,FORSIDE!$B$5&gt;=6),FORSIDE!$B$6+(6-1)*FORSIDE!$B$7,"")</f>
        <v/>
      </c>
    </row>
    <row r="2055" spans="1:4" x14ac:dyDescent="0.3">
      <c r="A2055" t="str">
        <f>IF(AND(FORSIDE!$B$8&gt;=18,FORSIDE!$F$8&gt;=8,FORSIDE!$B$5&gt;=7),2054,"")</f>
        <v/>
      </c>
      <c r="B2055" t="str">
        <f>IF(AND(FORSIDE!$B$8&gt;=18,FORSIDE!$F$8&gt;=8,FORSIDE!$B$5&gt;=7),354+8*FORSIDE!$F$9,"")</f>
        <v/>
      </c>
      <c r="C2055" t="str">
        <f>IF(AND(FORSIDE!$B$8&gt;=18,FORSIDE!$F$8&gt;=8,FORSIDE!$B$5&gt;=7),18*FORSIDE!$B$9,"")</f>
        <v/>
      </c>
      <c r="D2055" t="str">
        <f>IF(AND(FORSIDE!$B$8&gt;=18,FORSIDE!$F$8&gt;=8,FORSIDE!$B$5&gt;=7),FORSIDE!$B$6+(7-1)*FORSIDE!$B$7,"")</f>
        <v/>
      </c>
    </row>
    <row r="2056" spans="1:4" x14ac:dyDescent="0.3">
      <c r="A2056" t="str">
        <f>IF(AND(FORSIDE!$B$8&gt;=18,FORSIDE!$F$8&gt;=8,FORSIDE!$B$5&gt;=8),2055,"")</f>
        <v/>
      </c>
      <c r="B2056" t="str">
        <f>IF(AND(FORSIDE!$B$8&gt;=18,FORSIDE!$F$8&gt;=8,FORSIDE!$B$5&gt;=8),354+8*FORSIDE!$F$9,"")</f>
        <v/>
      </c>
      <c r="C2056" t="str">
        <f>IF(AND(FORSIDE!$B$8&gt;=18,FORSIDE!$F$8&gt;=8,FORSIDE!$B$5&gt;=8),18*FORSIDE!$B$9,"")</f>
        <v/>
      </c>
      <c r="D2056" t="str">
        <f>IF(AND(FORSIDE!$B$8&gt;=18,FORSIDE!$F$8&gt;=8,FORSIDE!$B$5&gt;=8),FORSIDE!$B$6+(8-1)*FORSIDE!$B$7,"")</f>
        <v/>
      </c>
    </row>
    <row r="2057" spans="1:4" x14ac:dyDescent="0.3">
      <c r="A2057" t="str">
        <f>IF(AND(FORSIDE!$B$8&gt;=18,FORSIDE!$F$8&gt;=8,FORSIDE!$B$5&gt;=9),2056,"")</f>
        <v/>
      </c>
      <c r="B2057" t="str">
        <f>IF(AND(FORSIDE!$B$8&gt;=18,FORSIDE!$F$8&gt;=8,FORSIDE!$B$5&gt;=9),354+8*FORSIDE!$F$9,"")</f>
        <v/>
      </c>
      <c r="C2057" t="str">
        <f>IF(AND(FORSIDE!$B$8&gt;=18,FORSIDE!$F$8&gt;=8,FORSIDE!$B$5&gt;=9),18*FORSIDE!$B$9,"")</f>
        <v/>
      </c>
      <c r="D2057" t="str">
        <f>IF(AND(FORSIDE!$B$8&gt;=18,FORSIDE!$F$8&gt;=8,FORSIDE!$B$5&gt;=9),FORSIDE!$B$6+(9-1)*FORSIDE!$B$7,"")</f>
        <v/>
      </c>
    </row>
    <row r="2058" spans="1:4" x14ac:dyDescent="0.3">
      <c r="A2058" t="str">
        <f>IF(AND(FORSIDE!$B$8&gt;=18,FORSIDE!$F$8&gt;=8,FORSIDE!$B$5&gt;=10),2057,"")</f>
        <v/>
      </c>
      <c r="B2058" t="str">
        <f>IF(AND(FORSIDE!$B$8&gt;=18,FORSIDE!$F$8&gt;=8,FORSIDE!$B$5&gt;=10),354+8*FORSIDE!$F$9,"")</f>
        <v/>
      </c>
      <c r="C2058" t="str">
        <f>IF(AND(FORSIDE!$B$8&gt;=18,FORSIDE!$F$8&gt;=8,FORSIDE!$B$5&gt;=10),18*FORSIDE!$B$9,"")</f>
        <v/>
      </c>
      <c r="D2058" t="str">
        <f>IF(AND(FORSIDE!$B$8&gt;=18,FORSIDE!$F$8&gt;=8,FORSIDE!$B$5&gt;=10),FORSIDE!$B$6+(10-1)*FORSIDE!$B$7,"")</f>
        <v/>
      </c>
    </row>
    <row r="2059" spans="1:4" x14ac:dyDescent="0.3">
      <c r="A2059" t="str">
        <f>IF(AND(FORSIDE!$B$8&gt;=19,FORSIDE!$F$8&gt;=8,FORSIDE!$B$5&gt;=0),2058,"")</f>
        <v/>
      </c>
      <c r="B2059" t="str">
        <f>IF(AND(FORSIDE!$B$8&gt;=19,FORSIDE!$F$8&gt;=8,FORSIDE!$B$5&gt;=0),354+8*FORSIDE!$F$9,"")</f>
        <v/>
      </c>
      <c r="C2059" t="str">
        <f>IF(AND(FORSIDE!$B$8&gt;=19,FORSIDE!$F$8&gt;=8,FORSIDE!$B$5&gt;=0),19*FORSIDE!$B$9,"")</f>
        <v/>
      </c>
      <c r="D2059" t="str">
        <f>IF(AND(FORSIDE!$B$8&gt;=19,FORSIDE!$F$8&gt;=8,FORSIDE!$B$5&gt;=0),0,"")</f>
        <v/>
      </c>
    </row>
    <row r="2060" spans="1:4" x14ac:dyDescent="0.3">
      <c r="A2060" t="str">
        <f>IF(AND(FORSIDE!$B$8&gt;=19,FORSIDE!$F$8&gt;=8,FORSIDE!$B$5&gt;=1),2059,"")</f>
        <v/>
      </c>
      <c r="B2060" t="str">
        <f>IF(AND(FORSIDE!$B$8&gt;=19,FORSIDE!$F$8&gt;=8,FORSIDE!$B$5&gt;=1),354+8*FORSIDE!$F$9,"")</f>
        <v/>
      </c>
      <c r="C2060" t="str">
        <f>IF(AND(FORSIDE!$B$8&gt;=19,FORSIDE!$F$8&gt;=8,FORSIDE!$B$5&gt;=1),19*FORSIDE!$B$9,"")</f>
        <v/>
      </c>
      <c r="D2060" t="str">
        <f>IF(AND(FORSIDE!$B$8&gt;=19,FORSIDE!$F$8&gt;=8,FORSIDE!$B$5&gt;=1),FORSIDE!$B$6+(1-1)*FORSIDE!$B$7,"")</f>
        <v/>
      </c>
    </row>
    <row r="2061" spans="1:4" x14ac:dyDescent="0.3">
      <c r="A2061" t="str">
        <f>IF(AND(FORSIDE!$B$8&gt;=19,FORSIDE!$F$8&gt;=8,FORSIDE!$B$5&gt;=2),2060,"")</f>
        <v/>
      </c>
      <c r="B2061" t="str">
        <f>IF(AND(FORSIDE!$B$8&gt;=19,FORSIDE!$F$8&gt;=8,FORSIDE!$B$5&gt;=2),354+8*FORSIDE!$F$9,"")</f>
        <v/>
      </c>
      <c r="C2061" t="str">
        <f>IF(AND(FORSIDE!$B$8&gt;=19,FORSIDE!$F$8&gt;=8,FORSIDE!$B$5&gt;=2),19*FORSIDE!$B$9,"")</f>
        <v/>
      </c>
      <c r="D2061" t="str">
        <f>IF(AND(FORSIDE!$B$8&gt;=19,FORSIDE!$F$8&gt;=8,FORSIDE!$B$5&gt;=2),FORSIDE!$B$6+(2-1)*FORSIDE!$B$7,"")</f>
        <v/>
      </c>
    </row>
    <row r="2062" spans="1:4" x14ac:dyDescent="0.3">
      <c r="A2062" t="str">
        <f>IF(AND(FORSIDE!$B$8&gt;=19,FORSIDE!$F$8&gt;=8,FORSIDE!$B$5&gt;=3),2061,"")</f>
        <v/>
      </c>
      <c r="B2062" t="str">
        <f>IF(AND(FORSIDE!$B$8&gt;=19,FORSIDE!$F$8&gt;=8,FORSIDE!$B$5&gt;=3),354+8*FORSIDE!$F$9,"")</f>
        <v/>
      </c>
      <c r="C2062" t="str">
        <f>IF(AND(FORSIDE!$B$8&gt;=19,FORSIDE!$F$8&gt;=8,FORSIDE!$B$5&gt;=3),19*FORSIDE!$B$9,"")</f>
        <v/>
      </c>
      <c r="D2062" t="str">
        <f>IF(AND(FORSIDE!$B$8&gt;=19,FORSIDE!$F$8&gt;=8,FORSIDE!$B$5&gt;=3),FORSIDE!$B$6+(3-1)*FORSIDE!$B$7,"")</f>
        <v/>
      </c>
    </row>
    <row r="2063" spans="1:4" x14ac:dyDescent="0.3">
      <c r="A2063" t="str">
        <f>IF(AND(FORSIDE!$B$8&gt;=19,FORSIDE!$F$8&gt;=8,FORSIDE!$B$5&gt;=4),2062,"")</f>
        <v/>
      </c>
      <c r="B2063" t="str">
        <f>IF(AND(FORSIDE!$B$8&gt;=19,FORSIDE!$F$8&gt;=8,FORSIDE!$B$5&gt;=4),354+8*FORSIDE!$F$9,"")</f>
        <v/>
      </c>
      <c r="C2063" t="str">
        <f>IF(AND(FORSIDE!$B$8&gt;=19,FORSIDE!$F$8&gt;=8,FORSIDE!$B$5&gt;=4),19*FORSIDE!$B$9,"")</f>
        <v/>
      </c>
      <c r="D2063" t="str">
        <f>IF(AND(FORSIDE!$B$8&gt;=19,FORSIDE!$F$8&gt;=8,FORSIDE!$B$5&gt;=4),FORSIDE!$B$6+(4-1)*FORSIDE!$B$7,"")</f>
        <v/>
      </c>
    </row>
    <row r="2064" spans="1:4" x14ac:dyDescent="0.3">
      <c r="A2064" t="str">
        <f>IF(AND(FORSIDE!$B$8&gt;=19,FORSIDE!$F$8&gt;=8,FORSIDE!$B$5&gt;=5),2063,"")</f>
        <v/>
      </c>
      <c r="B2064" t="str">
        <f>IF(AND(FORSIDE!$B$8&gt;=19,FORSIDE!$F$8&gt;=8,FORSIDE!$B$5&gt;=5),354+8*FORSIDE!$F$9,"")</f>
        <v/>
      </c>
      <c r="C2064" t="str">
        <f>IF(AND(FORSIDE!$B$8&gt;=19,FORSIDE!$F$8&gt;=8,FORSIDE!$B$5&gt;=5),19*FORSIDE!$B$9,"")</f>
        <v/>
      </c>
      <c r="D2064" t="str">
        <f>IF(AND(FORSIDE!$B$8&gt;=19,FORSIDE!$F$8&gt;=8,FORSIDE!$B$5&gt;=5),FORSIDE!$B$6+(5-1)*FORSIDE!$B$7,"")</f>
        <v/>
      </c>
    </row>
    <row r="2065" spans="1:4" x14ac:dyDescent="0.3">
      <c r="A2065" t="str">
        <f>IF(AND(FORSIDE!$B$8&gt;=19,FORSIDE!$F$8&gt;=8,FORSIDE!$B$5&gt;=6),2064,"")</f>
        <v/>
      </c>
      <c r="B2065" t="str">
        <f>IF(AND(FORSIDE!$B$8&gt;=19,FORSIDE!$F$8&gt;=8,FORSIDE!$B$5&gt;=6),354+8*FORSIDE!$F$9,"")</f>
        <v/>
      </c>
      <c r="C2065" t="str">
        <f>IF(AND(FORSIDE!$B$8&gt;=19,FORSIDE!$F$8&gt;=8,FORSIDE!$B$5&gt;=6),19*FORSIDE!$B$9,"")</f>
        <v/>
      </c>
      <c r="D2065" t="str">
        <f>IF(AND(FORSIDE!$B$8&gt;=19,FORSIDE!$F$8&gt;=8,FORSIDE!$B$5&gt;=6),FORSIDE!$B$6+(6-1)*FORSIDE!$B$7,"")</f>
        <v/>
      </c>
    </row>
    <row r="2066" spans="1:4" x14ac:dyDescent="0.3">
      <c r="A2066" t="str">
        <f>IF(AND(FORSIDE!$B$8&gt;=19,FORSIDE!$F$8&gt;=8,FORSIDE!$B$5&gt;=7),2065,"")</f>
        <v/>
      </c>
      <c r="B2066" t="str">
        <f>IF(AND(FORSIDE!$B$8&gt;=19,FORSIDE!$F$8&gt;=8,FORSIDE!$B$5&gt;=7),354+8*FORSIDE!$F$9,"")</f>
        <v/>
      </c>
      <c r="C2066" t="str">
        <f>IF(AND(FORSIDE!$B$8&gt;=19,FORSIDE!$F$8&gt;=8,FORSIDE!$B$5&gt;=7),19*FORSIDE!$B$9,"")</f>
        <v/>
      </c>
      <c r="D2066" t="str">
        <f>IF(AND(FORSIDE!$B$8&gt;=19,FORSIDE!$F$8&gt;=8,FORSIDE!$B$5&gt;=7),FORSIDE!$B$6+(7-1)*FORSIDE!$B$7,"")</f>
        <v/>
      </c>
    </row>
    <row r="2067" spans="1:4" x14ac:dyDescent="0.3">
      <c r="A2067" t="str">
        <f>IF(AND(FORSIDE!$B$8&gt;=19,FORSIDE!$F$8&gt;=8,FORSIDE!$B$5&gt;=8),2066,"")</f>
        <v/>
      </c>
      <c r="B2067" t="str">
        <f>IF(AND(FORSIDE!$B$8&gt;=19,FORSIDE!$F$8&gt;=8,FORSIDE!$B$5&gt;=8),354+8*FORSIDE!$F$9,"")</f>
        <v/>
      </c>
      <c r="C2067" t="str">
        <f>IF(AND(FORSIDE!$B$8&gt;=19,FORSIDE!$F$8&gt;=8,FORSIDE!$B$5&gt;=8),19*FORSIDE!$B$9,"")</f>
        <v/>
      </c>
      <c r="D2067" t="str">
        <f>IF(AND(FORSIDE!$B$8&gt;=19,FORSIDE!$F$8&gt;=8,FORSIDE!$B$5&gt;=8),FORSIDE!$B$6+(8-1)*FORSIDE!$B$7,"")</f>
        <v/>
      </c>
    </row>
    <row r="2068" spans="1:4" x14ac:dyDescent="0.3">
      <c r="A2068" t="str">
        <f>IF(AND(FORSIDE!$B$8&gt;=19,FORSIDE!$F$8&gt;=8,FORSIDE!$B$5&gt;=9),2067,"")</f>
        <v/>
      </c>
      <c r="B2068" t="str">
        <f>IF(AND(FORSIDE!$B$8&gt;=19,FORSIDE!$F$8&gt;=8,FORSIDE!$B$5&gt;=9),354+8*FORSIDE!$F$9,"")</f>
        <v/>
      </c>
      <c r="C2068" t="str">
        <f>IF(AND(FORSIDE!$B$8&gt;=19,FORSIDE!$F$8&gt;=8,FORSIDE!$B$5&gt;=9),19*FORSIDE!$B$9,"")</f>
        <v/>
      </c>
      <c r="D2068" t="str">
        <f>IF(AND(FORSIDE!$B$8&gt;=19,FORSIDE!$F$8&gt;=8,FORSIDE!$B$5&gt;=9),FORSIDE!$B$6+(9-1)*FORSIDE!$B$7,"")</f>
        <v/>
      </c>
    </row>
    <row r="2069" spans="1:4" x14ac:dyDescent="0.3">
      <c r="A2069" t="str">
        <f>IF(AND(FORSIDE!$B$8&gt;=19,FORSIDE!$F$8&gt;=8,FORSIDE!$B$5&gt;=10),2068,"")</f>
        <v/>
      </c>
      <c r="B2069" t="str">
        <f>IF(AND(FORSIDE!$B$8&gt;=19,FORSIDE!$F$8&gt;=8,FORSIDE!$B$5&gt;=10),354+8*FORSIDE!$F$9,"")</f>
        <v/>
      </c>
      <c r="C2069" t="str">
        <f>IF(AND(FORSIDE!$B$8&gt;=19,FORSIDE!$F$8&gt;=8,FORSIDE!$B$5&gt;=10),19*FORSIDE!$B$9,"")</f>
        <v/>
      </c>
      <c r="D2069" t="str">
        <f>IF(AND(FORSIDE!$B$8&gt;=19,FORSIDE!$F$8&gt;=8,FORSIDE!$B$5&gt;=10),FORSIDE!$B$6+(10-1)*FORSIDE!$B$7,"")</f>
        <v/>
      </c>
    </row>
    <row r="2070" spans="1:4" x14ac:dyDescent="0.3">
      <c r="A2070" t="str">
        <f>IF(AND(FORSIDE!$B$8&gt;=20,FORSIDE!$F$8&gt;=8,FORSIDE!$B$5&gt;=0),2069,"")</f>
        <v/>
      </c>
      <c r="B2070" t="str">
        <f>IF(AND(FORSIDE!$B$8&gt;=20,FORSIDE!$F$8&gt;=8,FORSIDE!$B$5&gt;=0),354+8*FORSIDE!$F$9,"")</f>
        <v/>
      </c>
      <c r="C2070" t="str">
        <f>IF(AND(FORSIDE!$B$8&gt;=20,FORSIDE!$F$8&gt;=8,FORSIDE!$B$5&gt;=0),20*FORSIDE!$B$9,"")</f>
        <v/>
      </c>
      <c r="D2070" t="str">
        <f>IF(AND(FORSIDE!$B$8&gt;=20,FORSIDE!$F$8&gt;=8,FORSIDE!$B$5&gt;=0),0,"")</f>
        <v/>
      </c>
    </row>
    <row r="2071" spans="1:4" x14ac:dyDescent="0.3">
      <c r="A2071" t="str">
        <f>IF(AND(FORSIDE!$B$8&gt;=20,FORSIDE!$F$8&gt;=8,FORSIDE!$B$5&gt;=1),2070,"")</f>
        <v/>
      </c>
      <c r="B2071" t="str">
        <f>IF(AND(FORSIDE!$B$8&gt;=20,FORSIDE!$F$8&gt;=8,FORSIDE!$B$5&gt;=1),354+8*FORSIDE!$F$9,"")</f>
        <v/>
      </c>
      <c r="C2071" t="str">
        <f>IF(AND(FORSIDE!$B$8&gt;=20,FORSIDE!$F$8&gt;=8,FORSIDE!$B$5&gt;=1),20*FORSIDE!$B$9,"")</f>
        <v/>
      </c>
      <c r="D2071" t="str">
        <f>IF(AND(FORSIDE!$B$8&gt;=20,FORSIDE!$F$8&gt;=8,FORSIDE!$B$5&gt;=1),FORSIDE!$B$6+(1-1)*FORSIDE!$B$7,"")</f>
        <v/>
      </c>
    </row>
    <row r="2072" spans="1:4" x14ac:dyDescent="0.3">
      <c r="A2072" t="str">
        <f>IF(AND(FORSIDE!$B$8&gt;=20,FORSIDE!$F$8&gt;=8,FORSIDE!$B$5&gt;=2),2071,"")</f>
        <v/>
      </c>
      <c r="B2072" t="str">
        <f>IF(AND(FORSIDE!$B$8&gt;=20,FORSIDE!$F$8&gt;=8,FORSIDE!$B$5&gt;=2),354+8*FORSIDE!$F$9,"")</f>
        <v/>
      </c>
      <c r="C2072" t="str">
        <f>IF(AND(FORSIDE!$B$8&gt;=20,FORSIDE!$F$8&gt;=8,FORSIDE!$B$5&gt;=2),20*FORSIDE!$B$9,"")</f>
        <v/>
      </c>
      <c r="D2072" t="str">
        <f>IF(AND(FORSIDE!$B$8&gt;=20,FORSIDE!$F$8&gt;=8,FORSIDE!$B$5&gt;=2),FORSIDE!$B$6+(2-1)*FORSIDE!$B$7,"")</f>
        <v/>
      </c>
    </row>
    <row r="2073" spans="1:4" x14ac:dyDescent="0.3">
      <c r="A2073" t="str">
        <f>IF(AND(FORSIDE!$B$8&gt;=20,FORSIDE!$F$8&gt;=8,FORSIDE!$B$5&gt;=3),2072,"")</f>
        <v/>
      </c>
      <c r="B2073" t="str">
        <f>IF(AND(FORSIDE!$B$8&gt;=20,FORSIDE!$F$8&gt;=8,FORSIDE!$B$5&gt;=3),354+8*FORSIDE!$F$9,"")</f>
        <v/>
      </c>
      <c r="C2073" t="str">
        <f>IF(AND(FORSIDE!$B$8&gt;=20,FORSIDE!$F$8&gt;=8,FORSIDE!$B$5&gt;=3),20*FORSIDE!$B$9,"")</f>
        <v/>
      </c>
      <c r="D2073" t="str">
        <f>IF(AND(FORSIDE!$B$8&gt;=20,FORSIDE!$F$8&gt;=8,FORSIDE!$B$5&gt;=3),FORSIDE!$B$6+(3-1)*FORSIDE!$B$7,"")</f>
        <v/>
      </c>
    </row>
    <row r="2074" spans="1:4" x14ac:dyDescent="0.3">
      <c r="A2074" t="str">
        <f>IF(AND(FORSIDE!$B$8&gt;=20,FORSIDE!$F$8&gt;=8,FORSIDE!$B$5&gt;=4),2073,"")</f>
        <v/>
      </c>
      <c r="B2074" t="str">
        <f>IF(AND(FORSIDE!$B$8&gt;=20,FORSIDE!$F$8&gt;=8,FORSIDE!$B$5&gt;=4),354+8*FORSIDE!$F$9,"")</f>
        <v/>
      </c>
      <c r="C2074" t="str">
        <f>IF(AND(FORSIDE!$B$8&gt;=20,FORSIDE!$F$8&gt;=8,FORSIDE!$B$5&gt;=4),20*FORSIDE!$B$9,"")</f>
        <v/>
      </c>
      <c r="D2074" t="str">
        <f>IF(AND(FORSIDE!$B$8&gt;=20,FORSIDE!$F$8&gt;=8,FORSIDE!$B$5&gt;=4),FORSIDE!$B$6+(4-1)*FORSIDE!$B$7,"")</f>
        <v/>
      </c>
    </row>
    <row r="2075" spans="1:4" x14ac:dyDescent="0.3">
      <c r="A2075" t="str">
        <f>IF(AND(FORSIDE!$B$8&gt;=20,FORSIDE!$F$8&gt;=8,FORSIDE!$B$5&gt;=5),2074,"")</f>
        <v/>
      </c>
      <c r="B2075" t="str">
        <f>IF(AND(FORSIDE!$B$8&gt;=20,FORSIDE!$F$8&gt;=8,FORSIDE!$B$5&gt;=5),354+8*FORSIDE!$F$9,"")</f>
        <v/>
      </c>
      <c r="C2075" t="str">
        <f>IF(AND(FORSIDE!$B$8&gt;=20,FORSIDE!$F$8&gt;=8,FORSIDE!$B$5&gt;=5),20*FORSIDE!$B$9,"")</f>
        <v/>
      </c>
      <c r="D2075" t="str">
        <f>IF(AND(FORSIDE!$B$8&gt;=20,FORSIDE!$F$8&gt;=8,FORSIDE!$B$5&gt;=5),FORSIDE!$B$6+(5-1)*FORSIDE!$B$7,"")</f>
        <v/>
      </c>
    </row>
    <row r="2076" spans="1:4" x14ac:dyDescent="0.3">
      <c r="A2076" t="str">
        <f>IF(AND(FORSIDE!$B$8&gt;=20,FORSIDE!$F$8&gt;=8,FORSIDE!$B$5&gt;=6),2075,"")</f>
        <v/>
      </c>
      <c r="B2076" t="str">
        <f>IF(AND(FORSIDE!$B$8&gt;=20,FORSIDE!$F$8&gt;=8,FORSIDE!$B$5&gt;=6),354+8*FORSIDE!$F$9,"")</f>
        <v/>
      </c>
      <c r="C2076" t="str">
        <f>IF(AND(FORSIDE!$B$8&gt;=20,FORSIDE!$F$8&gt;=8,FORSIDE!$B$5&gt;=6),20*FORSIDE!$B$9,"")</f>
        <v/>
      </c>
      <c r="D2076" t="str">
        <f>IF(AND(FORSIDE!$B$8&gt;=20,FORSIDE!$F$8&gt;=8,FORSIDE!$B$5&gt;=6),FORSIDE!$B$6+(6-1)*FORSIDE!$B$7,"")</f>
        <v/>
      </c>
    </row>
    <row r="2077" spans="1:4" x14ac:dyDescent="0.3">
      <c r="A2077" t="str">
        <f>IF(AND(FORSIDE!$B$8&gt;=20,FORSIDE!$F$8&gt;=8,FORSIDE!$B$5&gt;=7),2076,"")</f>
        <v/>
      </c>
      <c r="B2077" t="str">
        <f>IF(AND(FORSIDE!$B$8&gt;=20,FORSIDE!$F$8&gt;=8,FORSIDE!$B$5&gt;=7),354+8*FORSIDE!$F$9,"")</f>
        <v/>
      </c>
      <c r="C2077" t="str">
        <f>IF(AND(FORSIDE!$B$8&gt;=20,FORSIDE!$F$8&gt;=8,FORSIDE!$B$5&gt;=7),20*FORSIDE!$B$9,"")</f>
        <v/>
      </c>
      <c r="D2077" t="str">
        <f>IF(AND(FORSIDE!$B$8&gt;=20,FORSIDE!$F$8&gt;=8,FORSIDE!$B$5&gt;=7),FORSIDE!$B$6+(7-1)*FORSIDE!$B$7,"")</f>
        <v/>
      </c>
    </row>
    <row r="2078" spans="1:4" x14ac:dyDescent="0.3">
      <c r="A2078" t="str">
        <f>IF(AND(FORSIDE!$B$8&gt;=20,FORSIDE!$F$8&gt;=8,FORSIDE!$B$5&gt;=8),2077,"")</f>
        <v/>
      </c>
      <c r="B2078" t="str">
        <f>IF(AND(FORSIDE!$B$8&gt;=20,FORSIDE!$F$8&gt;=8,FORSIDE!$B$5&gt;=8),354+8*FORSIDE!$F$9,"")</f>
        <v/>
      </c>
      <c r="C2078" t="str">
        <f>IF(AND(FORSIDE!$B$8&gt;=20,FORSIDE!$F$8&gt;=8,FORSIDE!$B$5&gt;=8),20*FORSIDE!$B$9,"")</f>
        <v/>
      </c>
      <c r="D2078" t="str">
        <f>IF(AND(FORSIDE!$B$8&gt;=20,FORSIDE!$F$8&gt;=8,FORSIDE!$B$5&gt;=8),FORSIDE!$B$6+(8-1)*FORSIDE!$B$7,"")</f>
        <v/>
      </c>
    </row>
    <row r="2079" spans="1:4" x14ac:dyDescent="0.3">
      <c r="A2079" t="str">
        <f>IF(AND(FORSIDE!$B$8&gt;=20,FORSIDE!$F$8&gt;=8,FORSIDE!$B$5&gt;=9),2078,"")</f>
        <v/>
      </c>
      <c r="B2079" t="str">
        <f>IF(AND(FORSIDE!$B$8&gt;=20,FORSIDE!$F$8&gt;=8,FORSIDE!$B$5&gt;=9),354+8*FORSIDE!$F$9,"")</f>
        <v/>
      </c>
      <c r="C2079" t="str">
        <f>IF(AND(FORSIDE!$B$8&gt;=20,FORSIDE!$F$8&gt;=8,FORSIDE!$B$5&gt;=9),20*FORSIDE!$B$9,"")</f>
        <v/>
      </c>
      <c r="D2079" t="str">
        <f>IF(AND(FORSIDE!$B$8&gt;=20,FORSIDE!$F$8&gt;=8,FORSIDE!$B$5&gt;=9),FORSIDE!$B$6+(9-1)*FORSIDE!$B$7,"")</f>
        <v/>
      </c>
    </row>
    <row r="2080" spans="1:4" x14ac:dyDescent="0.3">
      <c r="A2080" t="str">
        <f>IF(AND(FORSIDE!$B$8&gt;=20,FORSIDE!$F$8&gt;=8,FORSIDE!$B$5&gt;=10),2079,"")</f>
        <v/>
      </c>
      <c r="B2080" t="str">
        <f>IF(AND(FORSIDE!$B$8&gt;=20,FORSIDE!$F$8&gt;=8,FORSIDE!$B$5&gt;=10),354+8*FORSIDE!$F$9,"")</f>
        <v/>
      </c>
      <c r="C2080" t="str">
        <f>IF(AND(FORSIDE!$B$8&gt;=20,FORSIDE!$F$8&gt;=8,FORSIDE!$B$5&gt;=10),20*FORSIDE!$B$9,"")</f>
        <v/>
      </c>
      <c r="D2080" t="str">
        <f>IF(AND(FORSIDE!$B$8&gt;=20,FORSIDE!$F$8&gt;=8,FORSIDE!$B$5&gt;=10),FORSIDE!$B$6+(10-1)*FORSIDE!$B$7,"")</f>
        <v/>
      </c>
    </row>
    <row r="2081" spans="1:4" x14ac:dyDescent="0.3">
      <c r="A2081" t="str">
        <f>IF(AND(FORSIDE!$B$8&gt;=0,FORSIDE!$F$8&gt;=9,FORSIDE!$B$5&gt;=0),2080,"")</f>
        <v/>
      </c>
      <c r="B2081" t="str">
        <f>IF(AND(FORSIDE!$B$8&gt;=0,FORSIDE!$F$8&gt;=9,FORSIDE!$B$5&gt;=0),354+9*FORSIDE!$F$9,"")</f>
        <v/>
      </c>
      <c r="C2081" t="str">
        <f>IF(AND(FORSIDE!$B$8&gt;=0,FORSIDE!$F$8&gt;=9,FORSIDE!$B$5&gt;=0),0*FORSIDE!$B$9,"")</f>
        <v/>
      </c>
      <c r="D2081" t="str">
        <f>IF(AND(FORSIDE!$B$8&gt;=0,FORSIDE!$F$8&gt;=9,FORSIDE!$B$5&gt;=0),0,"")</f>
        <v/>
      </c>
    </row>
    <row r="2082" spans="1:4" x14ac:dyDescent="0.3">
      <c r="A2082" t="str">
        <f>IF(AND(FORSIDE!$B$8&gt;=0,FORSIDE!$F$8&gt;=9,FORSIDE!$B$5&gt;=1),2081,"")</f>
        <v/>
      </c>
      <c r="B2082" t="str">
        <f>IF(AND(FORSIDE!$B$8&gt;=0,FORSIDE!$F$8&gt;=9,FORSIDE!$B$5&gt;=1),354+9*FORSIDE!$F$9,"")</f>
        <v/>
      </c>
      <c r="C2082" t="str">
        <f>IF(AND(FORSIDE!$B$8&gt;=0,FORSIDE!$F$8&gt;=9,FORSIDE!$B$5&gt;=1),0*FORSIDE!$B$9,"")</f>
        <v/>
      </c>
      <c r="D2082" t="str">
        <f>IF(AND(FORSIDE!$B$8&gt;=0,FORSIDE!$F$8&gt;=9,FORSIDE!$B$5&gt;=1),FORSIDE!$B$6+(1-1)*FORSIDE!$B$7,"")</f>
        <v/>
      </c>
    </row>
    <row r="2083" spans="1:4" x14ac:dyDescent="0.3">
      <c r="A2083" t="str">
        <f>IF(AND(FORSIDE!$B$8&gt;=0,FORSIDE!$F$8&gt;=9,FORSIDE!$B$5&gt;=2),2082,"")</f>
        <v/>
      </c>
      <c r="B2083" t="str">
        <f>IF(AND(FORSIDE!$B$8&gt;=0,FORSIDE!$F$8&gt;=9,FORSIDE!$B$5&gt;=2),354+9*FORSIDE!$F$9,"")</f>
        <v/>
      </c>
      <c r="C2083" t="str">
        <f>IF(AND(FORSIDE!$B$8&gt;=0,FORSIDE!$F$8&gt;=9,FORSIDE!$B$5&gt;=2),0*FORSIDE!$B$9,"")</f>
        <v/>
      </c>
      <c r="D2083" t="str">
        <f>IF(AND(FORSIDE!$B$8&gt;=0,FORSIDE!$F$8&gt;=9,FORSIDE!$B$5&gt;=2),FORSIDE!$B$6+(2-1)*FORSIDE!$B$7,"")</f>
        <v/>
      </c>
    </row>
    <row r="2084" spans="1:4" x14ac:dyDescent="0.3">
      <c r="A2084" t="str">
        <f>IF(AND(FORSIDE!$B$8&gt;=0,FORSIDE!$F$8&gt;=9,FORSIDE!$B$5&gt;=3),2083,"")</f>
        <v/>
      </c>
      <c r="B2084" t="str">
        <f>IF(AND(FORSIDE!$B$8&gt;=0,FORSIDE!$F$8&gt;=9,FORSIDE!$B$5&gt;=3),354+9*FORSIDE!$F$9,"")</f>
        <v/>
      </c>
      <c r="C2084" t="str">
        <f>IF(AND(FORSIDE!$B$8&gt;=0,FORSIDE!$F$8&gt;=9,FORSIDE!$B$5&gt;=3),0*FORSIDE!$B$9,"")</f>
        <v/>
      </c>
      <c r="D2084" t="str">
        <f>IF(AND(FORSIDE!$B$8&gt;=0,FORSIDE!$F$8&gt;=9,FORSIDE!$B$5&gt;=3),FORSIDE!$B$6+(3-1)*FORSIDE!$B$7,"")</f>
        <v/>
      </c>
    </row>
    <row r="2085" spans="1:4" x14ac:dyDescent="0.3">
      <c r="A2085" t="str">
        <f>IF(AND(FORSIDE!$B$8&gt;=0,FORSIDE!$F$8&gt;=9,FORSIDE!$B$5&gt;=4),2084,"")</f>
        <v/>
      </c>
      <c r="B2085" t="str">
        <f>IF(AND(FORSIDE!$B$8&gt;=0,FORSIDE!$F$8&gt;=9,FORSIDE!$B$5&gt;=4),354+9*FORSIDE!$F$9,"")</f>
        <v/>
      </c>
      <c r="C2085" t="str">
        <f>IF(AND(FORSIDE!$B$8&gt;=0,FORSIDE!$F$8&gt;=9,FORSIDE!$B$5&gt;=4),0*FORSIDE!$B$9,"")</f>
        <v/>
      </c>
      <c r="D2085" t="str">
        <f>IF(AND(FORSIDE!$B$8&gt;=0,FORSIDE!$F$8&gt;=9,FORSIDE!$B$5&gt;=4),FORSIDE!$B$6+(4-1)*FORSIDE!$B$7,"")</f>
        <v/>
      </c>
    </row>
    <row r="2086" spans="1:4" x14ac:dyDescent="0.3">
      <c r="A2086" t="str">
        <f>IF(AND(FORSIDE!$B$8&gt;=0,FORSIDE!$F$8&gt;=9,FORSIDE!$B$5&gt;=5),2085,"")</f>
        <v/>
      </c>
      <c r="B2086" t="str">
        <f>IF(AND(FORSIDE!$B$8&gt;=0,FORSIDE!$F$8&gt;=9,FORSIDE!$B$5&gt;=5),354+9*FORSIDE!$F$9,"")</f>
        <v/>
      </c>
      <c r="C2086" t="str">
        <f>IF(AND(FORSIDE!$B$8&gt;=0,FORSIDE!$F$8&gt;=9,FORSIDE!$B$5&gt;=5),0*FORSIDE!$B$9,"")</f>
        <v/>
      </c>
      <c r="D2086" t="str">
        <f>IF(AND(FORSIDE!$B$8&gt;=0,FORSIDE!$F$8&gt;=9,FORSIDE!$B$5&gt;=5),FORSIDE!$B$6+(5-1)*FORSIDE!$B$7,"")</f>
        <v/>
      </c>
    </row>
    <row r="2087" spans="1:4" x14ac:dyDescent="0.3">
      <c r="A2087" t="str">
        <f>IF(AND(FORSIDE!$B$8&gt;=0,FORSIDE!$F$8&gt;=9,FORSIDE!$B$5&gt;=6),2086,"")</f>
        <v/>
      </c>
      <c r="B2087" t="str">
        <f>IF(AND(FORSIDE!$B$8&gt;=0,FORSIDE!$F$8&gt;=9,FORSIDE!$B$5&gt;=6),354+9*FORSIDE!$F$9,"")</f>
        <v/>
      </c>
      <c r="C2087" t="str">
        <f>IF(AND(FORSIDE!$B$8&gt;=0,FORSIDE!$F$8&gt;=9,FORSIDE!$B$5&gt;=6),0*FORSIDE!$B$9,"")</f>
        <v/>
      </c>
      <c r="D2087" t="str">
        <f>IF(AND(FORSIDE!$B$8&gt;=0,FORSIDE!$F$8&gt;=9,FORSIDE!$B$5&gt;=6),FORSIDE!$B$6+(6-1)*FORSIDE!$B$7,"")</f>
        <v/>
      </c>
    </row>
    <row r="2088" spans="1:4" x14ac:dyDescent="0.3">
      <c r="A2088" t="str">
        <f>IF(AND(FORSIDE!$B$8&gt;=0,FORSIDE!$F$8&gt;=9,FORSIDE!$B$5&gt;=7),2087,"")</f>
        <v/>
      </c>
      <c r="B2088" t="str">
        <f>IF(AND(FORSIDE!$B$8&gt;=0,FORSIDE!$F$8&gt;=9,FORSIDE!$B$5&gt;=7),354+9*FORSIDE!$F$9,"")</f>
        <v/>
      </c>
      <c r="C2088" t="str">
        <f>IF(AND(FORSIDE!$B$8&gt;=0,FORSIDE!$F$8&gt;=9,FORSIDE!$B$5&gt;=7),0*FORSIDE!$B$9,"")</f>
        <v/>
      </c>
      <c r="D2088" t="str">
        <f>IF(AND(FORSIDE!$B$8&gt;=0,FORSIDE!$F$8&gt;=9,FORSIDE!$B$5&gt;=7),FORSIDE!$B$6+(7-1)*FORSIDE!$B$7,"")</f>
        <v/>
      </c>
    </row>
    <row r="2089" spans="1:4" x14ac:dyDescent="0.3">
      <c r="A2089" t="str">
        <f>IF(AND(FORSIDE!$B$8&gt;=0,FORSIDE!$F$8&gt;=9,FORSIDE!$B$5&gt;=8),2088,"")</f>
        <v/>
      </c>
      <c r="B2089" t="str">
        <f>IF(AND(FORSIDE!$B$8&gt;=0,FORSIDE!$F$8&gt;=9,FORSIDE!$B$5&gt;=8),354+9*FORSIDE!$F$9,"")</f>
        <v/>
      </c>
      <c r="C2089" t="str">
        <f>IF(AND(FORSIDE!$B$8&gt;=0,FORSIDE!$F$8&gt;=9,FORSIDE!$B$5&gt;=8),0*FORSIDE!$B$9,"")</f>
        <v/>
      </c>
      <c r="D2089" t="str">
        <f>IF(AND(FORSIDE!$B$8&gt;=0,FORSIDE!$F$8&gt;=9,FORSIDE!$B$5&gt;=8),FORSIDE!$B$6+(8-1)*FORSIDE!$B$7,"")</f>
        <v/>
      </c>
    </row>
    <row r="2090" spans="1:4" x14ac:dyDescent="0.3">
      <c r="A2090" t="str">
        <f>IF(AND(FORSIDE!$B$8&gt;=0,FORSIDE!$F$8&gt;=9,FORSIDE!$B$5&gt;=9),2089,"")</f>
        <v/>
      </c>
      <c r="B2090" t="str">
        <f>IF(AND(FORSIDE!$B$8&gt;=0,FORSIDE!$F$8&gt;=9,FORSIDE!$B$5&gt;=9),354+9*FORSIDE!$F$9,"")</f>
        <v/>
      </c>
      <c r="C2090" t="str">
        <f>IF(AND(FORSIDE!$B$8&gt;=0,FORSIDE!$F$8&gt;=9,FORSIDE!$B$5&gt;=9),0*FORSIDE!$B$9,"")</f>
        <v/>
      </c>
      <c r="D2090" t="str">
        <f>IF(AND(FORSIDE!$B$8&gt;=0,FORSIDE!$F$8&gt;=9,FORSIDE!$B$5&gt;=9),FORSIDE!$B$6+(9-1)*FORSIDE!$B$7,"")</f>
        <v/>
      </c>
    </row>
    <row r="2091" spans="1:4" x14ac:dyDescent="0.3">
      <c r="A2091" t="str">
        <f>IF(AND(FORSIDE!$B$8&gt;=0,FORSIDE!$F$8&gt;=9,FORSIDE!$B$5&gt;=10),2090,"")</f>
        <v/>
      </c>
      <c r="B2091" t="str">
        <f>IF(AND(FORSIDE!$B$8&gt;=0,FORSIDE!$F$8&gt;=9,FORSIDE!$B$5&gt;=10),354+9*FORSIDE!$F$9,"")</f>
        <v/>
      </c>
      <c r="C2091" t="str">
        <f>IF(AND(FORSIDE!$B$8&gt;=0,FORSIDE!$F$8&gt;=9,FORSIDE!$B$5&gt;=10),0*FORSIDE!$B$9,"")</f>
        <v/>
      </c>
      <c r="D2091" t="str">
        <f>IF(AND(FORSIDE!$B$8&gt;=0,FORSIDE!$F$8&gt;=9,FORSIDE!$B$5&gt;=10),FORSIDE!$B$6+(10-1)*FORSIDE!$B$7,"")</f>
        <v/>
      </c>
    </row>
    <row r="2092" spans="1:4" x14ac:dyDescent="0.3">
      <c r="A2092" t="str">
        <f>IF(AND(FORSIDE!$B$8&gt;=1,FORSIDE!$F$8&gt;=9,FORSIDE!$B$5&gt;=0),2091,"")</f>
        <v/>
      </c>
      <c r="B2092" t="str">
        <f>IF(AND(FORSIDE!$B$8&gt;=1,FORSIDE!$F$8&gt;=9,FORSIDE!$B$5&gt;=0),354+9*FORSIDE!$F$9,"")</f>
        <v/>
      </c>
      <c r="C2092" t="str">
        <f>IF(AND(FORSIDE!$B$8&gt;=1,FORSIDE!$F$8&gt;=9,FORSIDE!$B$5&gt;=0),1*FORSIDE!$B$9,"")</f>
        <v/>
      </c>
      <c r="D2092" t="str">
        <f>IF(AND(FORSIDE!$B$8&gt;=1,FORSIDE!$F$8&gt;=9,FORSIDE!$B$5&gt;=0),0,"")</f>
        <v/>
      </c>
    </row>
    <row r="2093" spans="1:4" x14ac:dyDescent="0.3">
      <c r="A2093" t="str">
        <f>IF(AND(FORSIDE!$B$8&gt;=1,FORSIDE!$F$8&gt;=9,FORSIDE!$B$5&gt;=1),2092,"")</f>
        <v/>
      </c>
      <c r="B2093" t="str">
        <f>IF(AND(FORSIDE!$B$8&gt;=1,FORSIDE!$F$8&gt;=9,FORSIDE!$B$5&gt;=1),354+9*FORSIDE!$F$9,"")</f>
        <v/>
      </c>
      <c r="C2093" t="str">
        <f>IF(AND(FORSIDE!$B$8&gt;=1,FORSIDE!$F$8&gt;=9,FORSIDE!$B$5&gt;=1),1*FORSIDE!$B$9,"")</f>
        <v/>
      </c>
      <c r="D2093" t="str">
        <f>IF(AND(FORSIDE!$B$8&gt;=1,FORSIDE!$F$8&gt;=9,FORSIDE!$B$5&gt;=1),FORSIDE!$B$6+(1-1)*FORSIDE!$B$7,"")</f>
        <v/>
      </c>
    </row>
    <row r="2094" spans="1:4" x14ac:dyDescent="0.3">
      <c r="A2094" t="str">
        <f>IF(AND(FORSIDE!$B$8&gt;=1,FORSIDE!$F$8&gt;=9,FORSIDE!$B$5&gt;=2),2093,"")</f>
        <v/>
      </c>
      <c r="B2094" t="str">
        <f>IF(AND(FORSIDE!$B$8&gt;=1,FORSIDE!$F$8&gt;=9,FORSIDE!$B$5&gt;=2),354+9*FORSIDE!$F$9,"")</f>
        <v/>
      </c>
      <c r="C2094" t="str">
        <f>IF(AND(FORSIDE!$B$8&gt;=1,FORSIDE!$F$8&gt;=9,FORSIDE!$B$5&gt;=2),1*FORSIDE!$B$9,"")</f>
        <v/>
      </c>
      <c r="D2094" t="str">
        <f>IF(AND(FORSIDE!$B$8&gt;=1,FORSIDE!$F$8&gt;=9,FORSIDE!$B$5&gt;=2),FORSIDE!$B$6+(2-1)*FORSIDE!$B$7,"")</f>
        <v/>
      </c>
    </row>
    <row r="2095" spans="1:4" x14ac:dyDescent="0.3">
      <c r="A2095" t="str">
        <f>IF(AND(FORSIDE!$B$8&gt;=1,FORSIDE!$F$8&gt;=9,FORSIDE!$B$5&gt;=3),2094,"")</f>
        <v/>
      </c>
      <c r="B2095" t="str">
        <f>IF(AND(FORSIDE!$B$8&gt;=1,FORSIDE!$F$8&gt;=9,FORSIDE!$B$5&gt;=3),354+9*FORSIDE!$F$9,"")</f>
        <v/>
      </c>
      <c r="C2095" t="str">
        <f>IF(AND(FORSIDE!$B$8&gt;=1,FORSIDE!$F$8&gt;=9,FORSIDE!$B$5&gt;=3),1*FORSIDE!$B$9,"")</f>
        <v/>
      </c>
      <c r="D2095" t="str">
        <f>IF(AND(FORSIDE!$B$8&gt;=1,FORSIDE!$F$8&gt;=9,FORSIDE!$B$5&gt;=3),FORSIDE!$B$6+(3-1)*FORSIDE!$B$7,"")</f>
        <v/>
      </c>
    </row>
    <row r="2096" spans="1:4" x14ac:dyDescent="0.3">
      <c r="A2096" t="str">
        <f>IF(AND(FORSIDE!$B$8&gt;=1,FORSIDE!$F$8&gt;=9,FORSIDE!$B$5&gt;=4),2095,"")</f>
        <v/>
      </c>
      <c r="B2096" t="str">
        <f>IF(AND(FORSIDE!$B$8&gt;=1,FORSIDE!$F$8&gt;=9,FORSIDE!$B$5&gt;=4),354+9*FORSIDE!$F$9,"")</f>
        <v/>
      </c>
      <c r="C2096" t="str">
        <f>IF(AND(FORSIDE!$B$8&gt;=1,FORSIDE!$F$8&gt;=9,FORSIDE!$B$5&gt;=4),1*FORSIDE!$B$9,"")</f>
        <v/>
      </c>
      <c r="D2096" t="str">
        <f>IF(AND(FORSIDE!$B$8&gt;=1,FORSIDE!$F$8&gt;=9,FORSIDE!$B$5&gt;=4),FORSIDE!$B$6+(4-1)*FORSIDE!$B$7,"")</f>
        <v/>
      </c>
    </row>
    <row r="2097" spans="1:4" x14ac:dyDescent="0.3">
      <c r="A2097" t="str">
        <f>IF(AND(FORSIDE!$B$8&gt;=1,FORSIDE!$F$8&gt;=9,FORSIDE!$B$5&gt;=5),2096,"")</f>
        <v/>
      </c>
      <c r="B2097" t="str">
        <f>IF(AND(FORSIDE!$B$8&gt;=1,FORSIDE!$F$8&gt;=9,FORSIDE!$B$5&gt;=5),354+9*FORSIDE!$F$9,"")</f>
        <v/>
      </c>
      <c r="C2097" t="str">
        <f>IF(AND(FORSIDE!$B$8&gt;=1,FORSIDE!$F$8&gt;=9,FORSIDE!$B$5&gt;=5),1*FORSIDE!$B$9,"")</f>
        <v/>
      </c>
      <c r="D2097" t="str">
        <f>IF(AND(FORSIDE!$B$8&gt;=1,FORSIDE!$F$8&gt;=9,FORSIDE!$B$5&gt;=5),FORSIDE!$B$6+(5-1)*FORSIDE!$B$7,"")</f>
        <v/>
      </c>
    </row>
    <row r="2098" spans="1:4" x14ac:dyDescent="0.3">
      <c r="A2098" t="str">
        <f>IF(AND(FORSIDE!$B$8&gt;=1,FORSIDE!$F$8&gt;=9,FORSIDE!$B$5&gt;=6),2097,"")</f>
        <v/>
      </c>
      <c r="B2098" t="str">
        <f>IF(AND(FORSIDE!$B$8&gt;=1,FORSIDE!$F$8&gt;=9,FORSIDE!$B$5&gt;=6),354+9*FORSIDE!$F$9,"")</f>
        <v/>
      </c>
      <c r="C2098" t="str">
        <f>IF(AND(FORSIDE!$B$8&gt;=1,FORSIDE!$F$8&gt;=9,FORSIDE!$B$5&gt;=6),1*FORSIDE!$B$9,"")</f>
        <v/>
      </c>
      <c r="D2098" t="str">
        <f>IF(AND(FORSIDE!$B$8&gt;=1,FORSIDE!$F$8&gt;=9,FORSIDE!$B$5&gt;=6),FORSIDE!$B$6+(6-1)*FORSIDE!$B$7,"")</f>
        <v/>
      </c>
    </row>
    <row r="2099" spans="1:4" x14ac:dyDescent="0.3">
      <c r="A2099" t="str">
        <f>IF(AND(FORSIDE!$B$8&gt;=1,FORSIDE!$F$8&gt;=9,FORSIDE!$B$5&gt;=7),2098,"")</f>
        <v/>
      </c>
      <c r="B2099" t="str">
        <f>IF(AND(FORSIDE!$B$8&gt;=1,FORSIDE!$F$8&gt;=9,FORSIDE!$B$5&gt;=7),354+9*FORSIDE!$F$9,"")</f>
        <v/>
      </c>
      <c r="C2099" t="str">
        <f>IF(AND(FORSIDE!$B$8&gt;=1,FORSIDE!$F$8&gt;=9,FORSIDE!$B$5&gt;=7),1*FORSIDE!$B$9,"")</f>
        <v/>
      </c>
      <c r="D2099" t="str">
        <f>IF(AND(FORSIDE!$B$8&gt;=1,FORSIDE!$F$8&gt;=9,FORSIDE!$B$5&gt;=7),FORSIDE!$B$6+(7-1)*FORSIDE!$B$7,"")</f>
        <v/>
      </c>
    </row>
    <row r="2100" spans="1:4" x14ac:dyDescent="0.3">
      <c r="A2100" t="str">
        <f>IF(AND(FORSIDE!$B$8&gt;=1,FORSIDE!$F$8&gt;=9,FORSIDE!$B$5&gt;=8),2099,"")</f>
        <v/>
      </c>
      <c r="B2100" t="str">
        <f>IF(AND(FORSIDE!$B$8&gt;=1,FORSIDE!$F$8&gt;=9,FORSIDE!$B$5&gt;=8),354+9*FORSIDE!$F$9,"")</f>
        <v/>
      </c>
      <c r="C2100" t="str">
        <f>IF(AND(FORSIDE!$B$8&gt;=1,FORSIDE!$F$8&gt;=9,FORSIDE!$B$5&gt;=8),1*FORSIDE!$B$9,"")</f>
        <v/>
      </c>
      <c r="D2100" t="str">
        <f>IF(AND(FORSIDE!$B$8&gt;=1,FORSIDE!$F$8&gt;=9,FORSIDE!$B$5&gt;=8),FORSIDE!$B$6+(8-1)*FORSIDE!$B$7,"")</f>
        <v/>
      </c>
    </row>
    <row r="2101" spans="1:4" x14ac:dyDescent="0.3">
      <c r="A2101" t="str">
        <f>IF(AND(FORSIDE!$B$8&gt;=1,FORSIDE!$F$8&gt;=9,FORSIDE!$B$5&gt;=9),2100,"")</f>
        <v/>
      </c>
      <c r="B2101" t="str">
        <f>IF(AND(FORSIDE!$B$8&gt;=1,FORSIDE!$F$8&gt;=9,FORSIDE!$B$5&gt;=9),354+9*FORSIDE!$F$9,"")</f>
        <v/>
      </c>
      <c r="C2101" t="str">
        <f>IF(AND(FORSIDE!$B$8&gt;=1,FORSIDE!$F$8&gt;=9,FORSIDE!$B$5&gt;=9),1*FORSIDE!$B$9,"")</f>
        <v/>
      </c>
      <c r="D2101" t="str">
        <f>IF(AND(FORSIDE!$B$8&gt;=1,FORSIDE!$F$8&gt;=9,FORSIDE!$B$5&gt;=9),FORSIDE!$B$6+(9-1)*FORSIDE!$B$7,"")</f>
        <v/>
      </c>
    </row>
    <row r="2102" spans="1:4" x14ac:dyDescent="0.3">
      <c r="A2102" t="str">
        <f>IF(AND(FORSIDE!$B$8&gt;=1,FORSIDE!$F$8&gt;=9,FORSIDE!$B$5&gt;=10),2101,"")</f>
        <v/>
      </c>
      <c r="B2102" t="str">
        <f>IF(AND(FORSIDE!$B$8&gt;=1,FORSIDE!$F$8&gt;=9,FORSIDE!$B$5&gt;=10),354+9*FORSIDE!$F$9,"")</f>
        <v/>
      </c>
      <c r="C2102" t="str">
        <f>IF(AND(FORSIDE!$B$8&gt;=1,FORSIDE!$F$8&gt;=9,FORSIDE!$B$5&gt;=10),1*FORSIDE!$B$9,"")</f>
        <v/>
      </c>
      <c r="D2102" t="str">
        <f>IF(AND(FORSIDE!$B$8&gt;=1,FORSIDE!$F$8&gt;=9,FORSIDE!$B$5&gt;=10),FORSIDE!$B$6+(10-1)*FORSIDE!$B$7,"")</f>
        <v/>
      </c>
    </row>
    <row r="2103" spans="1:4" x14ac:dyDescent="0.3">
      <c r="A2103" t="str">
        <f>IF(AND(FORSIDE!$B$8&gt;=2,FORSIDE!$F$8&gt;=9,FORSIDE!$B$5&gt;=0),2102,"")</f>
        <v/>
      </c>
      <c r="B2103" t="str">
        <f>IF(AND(FORSIDE!$B$8&gt;=2,FORSIDE!$F$8&gt;=9,FORSIDE!$B$5&gt;=0),354+9*FORSIDE!$F$9,"")</f>
        <v/>
      </c>
      <c r="C2103" t="str">
        <f>IF(AND(FORSIDE!$B$8&gt;=2,FORSIDE!$F$8&gt;=9,FORSIDE!$B$5&gt;=0),2*FORSIDE!$B$9,"")</f>
        <v/>
      </c>
      <c r="D2103" t="str">
        <f>IF(AND(FORSIDE!$B$8&gt;=2,FORSIDE!$F$8&gt;=9,FORSIDE!$B$5&gt;=0),0,"")</f>
        <v/>
      </c>
    </row>
    <row r="2104" spans="1:4" x14ac:dyDescent="0.3">
      <c r="A2104" t="str">
        <f>IF(AND(FORSIDE!$B$8&gt;=2,FORSIDE!$F$8&gt;=9,FORSIDE!$B$5&gt;=1),2103,"")</f>
        <v/>
      </c>
      <c r="B2104" t="str">
        <f>IF(AND(FORSIDE!$B$8&gt;=2,FORSIDE!$F$8&gt;=9,FORSIDE!$B$5&gt;=1),354+9*FORSIDE!$F$9,"")</f>
        <v/>
      </c>
      <c r="C2104" t="str">
        <f>IF(AND(FORSIDE!$B$8&gt;=2,FORSIDE!$F$8&gt;=9,FORSIDE!$B$5&gt;=1),2*FORSIDE!$B$9,"")</f>
        <v/>
      </c>
      <c r="D2104" t="str">
        <f>IF(AND(FORSIDE!$B$8&gt;=2,FORSIDE!$F$8&gt;=9,FORSIDE!$B$5&gt;=1),FORSIDE!$B$6+(1-1)*FORSIDE!$B$7,"")</f>
        <v/>
      </c>
    </row>
    <row r="2105" spans="1:4" x14ac:dyDescent="0.3">
      <c r="A2105" t="str">
        <f>IF(AND(FORSIDE!$B$8&gt;=2,FORSIDE!$F$8&gt;=9,FORSIDE!$B$5&gt;=2),2104,"")</f>
        <v/>
      </c>
      <c r="B2105" t="str">
        <f>IF(AND(FORSIDE!$B$8&gt;=2,FORSIDE!$F$8&gt;=9,FORSIDE!$B$5&gt;=2),354+9*FORSIDE!$F$9,"")</f>
        <v/>
      </c>
      <c r="C2105" t="str">
        <f>IF(AND(FORSIDE!$B$8&gt;=2,FORSIDE!$F$8&gt;=9,FORSIDE!$B$5&gt;=2),2*FORSIDE!$B$9,"")</f>
        <v/>
      </c>
      <c r="D2105" t="str">
        <f>IF(AND(FORSIDE!$B$8&gt;=2,FORSIDE!$F$8&gt;=9,FORSIDE!$B$5&gt;=2),FORSIDE!$B$6+(2-1)*FORSIDE!$B$7,"")</f>
        <v/>
      </c>
    </row>
    <row r="2106" spans="1:4" x14ac:dyDescent="0.3">
      <c r="A2106" t="str">
        <f>IF(AND(FORSIDE!$B$8&gt;=2,FORSIDE!$F$8&gt;=9,FORSIDE!$B$5&gt;=3),2105,"")</f>
        <v/>
      </c>
      <c r="B2106" t="str">
        <f>IF(AND(FORSIDE!$B$8&gt;=2,FORSIDE!$F$8&gt;=9,FORSIDE!$B$5&gt;=3),354+9*FORSIDE!$F$9,"")</f>
        <v/>
      </c>
      <c r="C2106" t="str">
        <f>IF(AND(FORSIDE!$B$8&gt;=2,FORSIDE!$F$8&gt;=9,FORSIDE!$B$5&gt;=3),2*FORSIDE!$B$9,"")</f>
        <v/>
      </c>
      <c r="D2106" t="str">
        <f>IF(AND(FORSIDE!$B$8&gt;=2,FORSIDE!$F$8&gt;=9,FORSIDE!$B$5&gt;=3),FORSIDE!$B$6+(3-1)*FORSIDE!$B$7,"")</f>
        <v/>
      </c>
    </row>
    <row r="2107" spans="1:4" x14ac:dyDescent="0.3">
      <c r="A2107" t="str">
        <f>IF(AND(FORSIDE!$B$8&gt;=2,FORSIDE!$F$8&gt;=9,FORSIDE!$B$5&gt;=4),2106,"")</f>
        <v/>
      </c>
      <c r="B2107" t="str">
        <f>IF(AND(FORSIDE!$B$8&gt;=2,FORSIDE!$F$8&gt;=9,FORSIDE!$B$5&gt;=4),354+9*FORSIDE!$F$9,"")</f>
        <v/>
      </c>
      <c r="C2107" t="str">
        <f>IF(AND(FORSIDE!$B$8&gt;=2,FORSIDE!$F$8&gt;=9,FORSIDE!$B$5&gt;=4),2*FORSIDE!$B$9,"")</f>
        <v/>
      </c>
      <c r="D2107" t="str">
        <f>IF(AND(FORSIDE!$B$8&gt;=2,FORSIDE!$F$8&gt;=9,FORSIDE!$B$5&gt;=4),FORSIDE!$B$6+(4-1)*FORSIDE!$B$7,"")</f>
        <v/>
      </c>
    </row>
    <row r="2108" spans="1:4" x14ac:dyDescent="0.3">
      <c r="A2108" t="str">
        <f>IF(AND(FORSIDE!$B$8&gt;=2,FORSIDE!$F$8&gt;=9,FORSIDE!$B$5&gt;=5),2107,"")</f>
        <v/>
      </c>
      <c r="B2108" t="str">
        <f>IF(AND(FORSIDE!$B$8&gt;=2,FORSIDE!$F$8&gt;=9,FORSIDE!$B$5&gt;=5),354+9*FORSIDE!$F$9,"")</f>
        <v/>
      </c>
      <c r="C2108" t="str">
        <f>IF(AND(FORSIDE!$B$8&gt;=2,FORSIDE!$F$8&gt;=9,FORSIDE!$B$5&gt;=5),2*FORSIDE!$B$9,"")</f>
        <v/>
      </c>
      <c r="D2108" t="str">
        <f>IF(AND(FORSIDE!$B$8&gt;=2,FORSIDE!$F$8&gt;=9,FORSIDE!$B$5&gt;=5),FORSIDE!$B$6+(5-1)*FORSIDE!$B$7,"")</f>
        <v/>
      </c>
    </row>
    <row r="2109" spans="1:4" x14ac:dyDescent="0.3">
      <c r="A2109" t="str">
        <f>IF(AND(FORSIDE!$B$8&gt;=2,FORSIDE!$F$8&gt;=9,FORSIDE!$B$5&gt;=6),2108,"")</f>
        <v/>
      </c>
      <c r="B2109" t="str">
        <f>IF(AND(FORSIDE!$B$8&gt;=2,FORSIDE!$F$8&gt;=9,FORSIDE!$B$5&gt;=6),354+9*FORSIDE!$F$9,"")</f>
        <v/>
      </c>
      <c r="C2109" t="str">
        <f>IF(AND(FORSIDE!$B$8&gt;=2,FORSIDE!$F$8&gt;=9,FORSIDE!$B$5&gt;=6),2*FORSIDE!$B$9,"")</f>
        <v/>
      </c>
      <c r="D2109" t="str">
        <f>IF(AND(FORSIDE!$B$8&gt;=2,FORSIDE!$F$8&gt;=9,FORSIDE!$B$5&gt;=6),FORSIDE!$B$6+(6-1)*FORSIDE!$B$7,"")</f>
        <v/>
      </c>
    </row>
    <row r="2110" spans="1:4" x14ac:dyDescent="0.3">
      <c r="A2110" t="str">
        <f>IF(AND(FORSIDE!$B$8&gt;=2,FORSIDE!$F$8&gt;=9,FORSIDE!$B$5&gt;=7),2109,"")</f>
        <v/>
      </c>
      <c r="B2110" t="str">
        <f>IF(AND(FORSIDE!$B$8&gt;=2,FORSIDE!$F$8&gt;=9,FORSIDE!$B$5&gt;=7),354+9*FORSIDE!$F$9,"")</f>
        <v/>
      </c>
      <c r="C2110" t="str">
        <f>IF(AND(FORSIDE!$B$8&gt;=2,FORSIDE!$F$8&gt;=9,FORSIDE!$B$5&gt;=7),2*FORSIDE!$B$9,"")</f>
        <v/>
      </c>
      <c r="D2110" t="str">
        <f>IF(AND(FORSIDE!$B$8&gt;=2,FORSIDE!$F$8&gt;=9,FORSIDE!$B$5&gt;=7),FORSIDE!$B$6+(7-1)*FORSIDE!$B$7,"")</f>
        <v/>
      </c>
    </row>
    <row r="2111" spans="1:4" x14ac:dyDescent="0.3">
      <c r="A2111" t="str">
        <f>IF(AND(FORSIDE!$B$8&gt;=2,FORSIDE!$F$8&gt;=9,FORSIDE!$B$5&gt;=8),2110,"")</f>
        <v/>
      </c>
      <c r="B2111" t="str">
        <f>IF(AND(FORSIDE!$B$8&gt;=2,FORSIDE!$F$8&gt;=9,FORSIDE!$B$5&gt;=8),354+9*FORSIDE!$F$9,"")</f>
        <v/>
      </c>
      <c r="C2111" t="str">
        <f>IF(AND(FORSIDE!$B$8&gt;=2,FORSIDE!$F$8&gt;=9,FORSIDE!$B$5&gt;=8),2*FORSIDE!$B$9,"")</f>
        <v/>
      </c>
      <c r="D2111" t="str">
        <f>IF(AND(FORSIDE!$B$8&gt;=2,FORSIDE!$F$8&gt;=9,FORSIDE!$B$5&gt;=8),FORSIDE!$B$6+(8-1)*FORSIDE!$B$7,"")</f>
        <v/>
      </c>
    </row>
    <row r="2112" spans="1:4" x14ac:dyDescent="0.3">
      <c r="A2112" t="str">
        <f>IF(AND(FORSIDE!$B$8&gt;=2,FORSIDE!$F$8&gt;=9,FORSIDE!$B$5&gt;=9),2111,"")</f>
        <v/>
      </c>
      <c r="B2112" t="str">
        <f>IF(AND(FORSIDE!$B$8&gt;=2,FORSIDE!$F$8&gt;=9,FORSIDE!$B$5&gt;=9),354+9*FORSIDE!$F$9,"")</f>
        <v/>
      </c>
      <c r="C2112" t="str">
        <f>IF(AND(FORSIDE!$B$8&gt;=2,FORSIDE!$F$8&gt;=9,FORSIDE!$B$5&gt;=9),2*FORSIDE!$B$9,"")</f>
        <v/>
      </c>
      <c r="D2112" t="str">
        <f>IF(AND(FORSIDE!$B$8&gt;=2,FORSIDE!$F$8&gt;=9,FORSIDE!$B$5&gt;=9),FORSIDE!$B$6+(9-1)*FORSIDE!$B$7,"")</f>
        <v/>
      </c>
    </row>
    <row r="2113" spans="1:4" x14ac:dyDescent="0.3">
      <c r="A2113" t="str">
        <f>IF(AND(FORSIDE!$B$8&gt;=2,FORSIDE!$F$8&gt;=9,FORSIDE!$B$5&gt;=10),2112,"")</f>
        <v/>
      </c>
      <c r="B2113" t="str">
        <f>IF(AND(FORSIDE!$B$8&gt;=2,FORSIDE!$F$8&gt;=9,FORSIDE!$B$5&gt;=10),354+9*FORSIDE!$F$9,"")</f>
        <v/>
      </c>
      <c r="C2113" t="str">
        <f>IF(AND(FORSIDE!$B$8&gt;=2,FORSIDE!$F$8&gt;=9,FORSIDE!$B$5&gt;=10),2*FORSIDE!$B$9,"")</f>
        <v/>
      </c>
      <c r="D2113" t="str">
        <f>IF(AND(FORSIDE!$B$8&gt;=2,FORSIDE!$F$8&gt;=9,FORSIDE!$B$5&gt;=10),FORSIDE!$B$6+(10-1)*FORSIDE!$B$7,"")</f>
        <v/>
      </c>
    </row>
    <row r="2114" spans="1:4" x14ac:dyDescent="0.3">
      <c r="A2114" t="str">
        <f>IF(AND(FORSIDE!$B$8&gt;=3,FORSIDE!$F$8&gt;=9,FORSIDE!$B$5&gt;=0),2113,"")</f>
        <v/>
      </c>
      <c r="B2114" t="str">
        <f>IF(AND(FORSIDE!$B$8&gt;=3,FORSIDE!$F$8&gt;=9,FORSIDE!$B$5&gt;=0),354+9*FORSIDE!$F$9,"")</f>
        <v/>
      </c>
      <c r="C2114" t="str">
        <f>IF(AND(FORSIDE!$B$8&gt;=3,FORSIDE!$F$8&gt;=9,FORSIDE!$B$5&gt;=0),3*FORSIDE!$B$9,"")</f>
        <v/>
      </c>
      <c r="D2114" t="str">
        <f>IF(AND(FORSIDE!$B$8&gt;=3,FORSIDE!$F$8&gt;=9,FORSIDE!$B$5&gt;=0),0,"")</f>
        <v/>
      </c>
    </row>
    <row r="2115" spans="1:4" x14ac:dyDescent="0.3">
      <c r="A2115" t="str">
        <f>IF(AND(FORSIDE!$B$8&gt;=3,FORSIDE!$F$8&gt;=9,FORSIDE!$B$5&gt;=1),2114,"")</f>
        <v/>
      </c>
      <c r="B2115" t="str">
        <f>IF(AND(FORSIDE!$B$8&gt;=3,FORSIDE!$F$8&gt;=9,FORSIDE!$B$5&gt;=1),354+9*FORSIDE!$F$9,"")</f>
        <v/>
      </c>
      <c r="C2115" t="str">
        <f>IF(AND(FORSIDE!$B$8&gt;=3,FORSIDE!$F$8&gt;=9,FORSIDE!$B$5&gt;=1),3*FORSIDE!$B$9,"")</f>
        <v/>
      </c>
      <c r="D2115" t="str">
        <f>IF(AND(FORSIDE!$B$8&gt;=3,FORSIDE!$F$8&gt;=9,FORSIDE!$B$5&gt;=1),FORSIDE!$B$6+(1-1)*FORSIDE!$B$7,"")</f>
        <v/>
      </c>
    </row>
    <row r="2116" spans="1:4" x14ac:dyDescent="0.3">
      <c r="A2116" t="str">
        <f>IF(AND(FORSIDE!$B$8&gt;=3,FORSIDE!$F$8&gt;=9,FORSIDE!$B$5&gt;=2),2115,"")</f>
        <v/>
      </c>
      <c r="B2116" t="str">
        <f>IF(AND(FORSIDE!$B$8&gt;=3,FORSIDE!$F$8&gt;=9,FORSIDE!$B$5&gt;=2),354+9*FORSIDE!$F$9,"")</f>
        <v/>
      </c>
      <c r="C2116" t="str">
        <f>IF(AND(FORSIDE!$B$8&gt;=3,FORSIDE!$F$8&gt;=9,FORSIDE!$B$5&gt;=2),3*FORSIDE!$B$9,"")</f>
        <v/>
      </c>
      <c r="D2116" t="str">
        <f>IF(AND(FORSIDE!$B$8&gt;=3,FORSIDE!$F$8&gt;=9,FORSIDE!$B$5&gt;=2),FORSIDE!$B$6+(2-1)*FORSIDE!$B$7,"")</f>
        <v/>
      </c>
    </row>
    <row r="2117" spans="1:4" x14ac:dyDescent="0.3">
      <c r="A2117" t="str">
        <f>IF(AND(FORSIDE!$B$8&gt;=3,FORSIDE!$F$8&gt;=9,FORSIDE!$B$5&gt;=3),2116,"")</f>
        <v/>
      </c>
      <c r="B2117" t="str">
        <f>IF(AND(FORSIDE!$B$8&gt;=3,FORSIDE!$F$8&gt;=9,FORSIDE!$B$5&gt;=3),354+9*FORSIDE!$F$9,"")</f>
        <v/>
      </c>
      <c r="C2117" t="str">
        <f>IF(AND(FORSIDE!$B$8&gt;=3,FORSIDE!$F$8&gt;=9,FORSIDE!$B$5&gt;=3),3*FORSIDE!$B$9,"")</f>
        <v/>
      </c>
      <c r="D2117" t="str">
        <f>IF(AND(FORSIDE!$B$8&gt;=3,FORSIDE!$F$8&gt;=9,FORSIDE!$B$5&gt;=3),FORSIDE!$B$6+(3-1)*FORSIDE!$B$7,"")</f>
        <v/>
      </c>
    </row>
    <row r="2118" spans="1:4" x14ac:dyDescent="0.3">
      <c r="A2118" t="str">
        <f>IF(AND(FORSIDE!$B$8&gt;=3,FORSIDE!$F$8&gt;=9,FORSIDE!$B$5&gt;=4),2117,"")</f>
        <v/>
      </c>
      <c r="B2118" t="str">
        <f>IF(AND(FORSIDE!$B$8&gt;=3,FORSIDE!$F$8&gt;=9,FORSIDE!$B$5&gt;=4),354+9*FORSIDE!$F$9,"")</f>
        <v/>
      </c>
      <c r="C2118" t="str">
        <f>IF(AND(FORSIDE!$B$8&gt;=3,FORSIDE!$F$8&gt;=9,FORSIDE!$B$5&gt;=4),3*FORSIDE!$B$9,"")</f>
        <v/>
      </c>
      <c r="D2118" t="str">
        <f>IF(AND(FORSIDE!$B$8&gt;=3,FORSIDE!$F$8&gt;=9,FORSIDE!$B$5&gt;=4),FORSIDE!$B$6+(4-1)*FORSIDE!$B$7,"")</f>
        <v/>
      </c>
    </row>
    <row r="2119" spans="1:4" x14ac:dyDescent="0.3">
      <c r="A2119" t="str">
        <f>IF(AND(FORSIDE!$B$8&gt;=3,FORSIDE!$F$8&gt;=9,FORSIDE!$B$5&gt;=5),2118,"")</f>
        <v/>
      </c>
      <c r="B2119" t="str">
        <f>IF(AND(FORSIDE!$B$8&gt;=3,FORSIDE!$F$8&gt;=9,FORSIDE!$B$5&gt;=5),354+9*FORSIDE!$F$9,"")</f>
        <v/>
      </c>
      <c r="C2119" t="str">
        <f>IF(AND(FORSIDE!$B$8&gt;=3,FORSIDE!$F$8&gt;=9,FORSIDE!$B$5&gt;=5),3*FORSIDE!$B$9,"")</f>
        <v/>
      </c>
      <c r="D2119" t="str">
        <f>IF(AND(FORSIDE!$B$8&gt;=3,FORSIDE!$F$8&gt;=9,FORSIDE!$B$5&gt;=5),FORSIDE!$B$6+(5-1)*FORSIDE!$B$7,"")</f>
        <v/>
      </c>
    </row>
    <row r="2120" spans="1:4" x14ac:dyDescent="0.3">
      <c r="A2120" t="str">
        <f>IF(AND(FORSIDE!$B$8&gt;=3,FORSIDE!$F$8&gt;=9,FORSIDE!$B$5&gt;=6),2119,"")</f>
        <v/>
      </c>
      <c r="B2120" t="str">
        <f>IF(AND(FORSIDE!$B$8&gt;=3,FORSIDE!$F$8&gt;=9,FORSIDE!$B$5&gt;=6),354+9*FORSIDE!$F$9,"")</f>
        <v/>
      </c>
      <c r="C2120" t="str">
        <f>IF(AND(FORSIDE!$B$8&gt;=3,FORSIDE!$F$8&gt;=9,FORSIDE!$B$5&gt;=6),3*FORSIDE!$B$9,"")</f>
        <v/>
      </c>
      <c r="D2120" t="str">
        <f>IF(AND(FORSIDE!$B$8&gt;=3,FORSIDE!$F$8&gt;=9,FORSIDE!$B$5&gt;=6),FORSIDE!$B$6+(6-1)*FORSIDE!$B$7,"")</f>
        <v/>
      </c>
    </row>
    <row r="2121" spans="1:4" x14ac:dyDescent="0.3">
      <c r="A2121" t="str">
        <f>IF(AND(FORSIDE!$B$8&gt;=3,FORSIDE!$F$8&gt;=9,FORSIDE!$B$5&gt;=7),2120,"")</f>
        <v/>
      </c>
      <c r="B2121" t="str">
        <f>IF(AND(FORSIDE!$B$8&gt;=3,FORSIDE!$F$8&gt;=9,FORSIDE!$B$5&gt;=7),354+9*FORSIDE!$F$9,"")</f>
        <v/>
      </c>
      <c r="C2121" t="str">
        <f>IF(AND(FORSIDE!$B$8&gt;=3,FORSIDE!$F$8&gt;=9,FORSIDE!$B$5&gt;=7),3*FORSIDE!$B$9,"")</f>
        <v/>
      </c>
      <c r="D2121" t="str">
        <f>IF(AND(FORSIDE!$B$8&gt;=3,FORSIDE!$F$8&gt;=9,FORSIDE!$B$5&gt;=7),FORSIDE!$B$6+(7-1)*FORSIDE!$B$7,"")</f>
        <v/>
      </c>
    </row>
    <row r="2122" spans="1:4" x14ac:dyDescent="0.3">
      <c r="A2122" t="str">
        <f>IF(AND(FORSIDE!$B$8&gt;=3,FORSIDE!$F$8&gt;=9,FORSIDE!$B$5&gt;=8),2121,"")</f>
        <v/>
      </c>
      <c r="B2122" t="str">
        <f>IF(AND(FORSIDE!$B$8&gt;=3,FORSIDE!$F$8&gt;=9,FORSIDE!$B$5&gt;=8),354+9*FORSIDE!$F$9,"")</f>
        <v/>
      </c>
      <c r="C2122" t="str">
        <f>IF(AND(FORSIDE!$B$8&gt;=3,FORSIDE!$F$8&gt;=9,FORSIDE!$B$5&gt;=8),3*FORSIDE!$B$9,"")</f>
        <v/>
      </c>
      <c r="D2122" t="str">
        <f>IF(AND(FORSIDE!$B$8&gt;=3,FORSIDE!$F$8&gt;=9,FORSIDE!$B$5&gt;=8),FORSIDE!$B$6+(8-1)*FORSIDE!$B$7,"")</f>
        <v/>
      </c>
    </row>
    <row r="2123" spans="1:4" x14ac:dyDescent="0.3">
      <c r="A2123" t="str">
        <f>IF(AND(FORSIDE!$B$8&gt;=3,FORSIDE!$F$8&gt;=9,FORSIDE!$B$5&gt;=9),2122,"")</f>
        <v/>
      </c>
      <c r="B2123" t="str">
        <f>IF(AND(FORSIDE!$B$8&gt;=3,FORSIDE!$F$8&gt;=9,FORSIDE!$B$5&gt;=9),354+9*FORSIDE!$F$9,"")</f>
        <v/>
      </c>
      <c r="C2123" t="str">
        <f>IF(AND(FORSIDE!$B$8&gt;=3,FORSIDE!$F$8&gt;=9,FORSIDE!$B$5&gt;=9),3*FORSIDE!$B$9,"")</f>
        <v/>
      </c>
      <c r="D2123" t="str">
        <f>IF(AND(FORSIDE!$B$8&gt;=3,FORSIDE!$F$8&gt;=9,FORSIDE!$B$5&gt;=9),FORSIDE!$B$6+(9-1)*FORSIDE!$B$7,"")</f>
        <v/>
      </c>
    </row>
    <row r="2124" spans="1:4" x14ac:dyDescent="0.3">
      <c r="A2124" t="str">
        <f>IF(AND(FORSIDE!$B$8&gt;=3,FORSIDE!$F$8&gt;=9,FORSIDE!$B$5&gt;=10),2123,"")</f>
        <v/>
      </c>
      <c r="B2124" t="str">
        <f>IF(AND(FORSIDE!$B$8&gt;=3,FORSIDE!$F$8&gt;=9,FORSIDE!$B$5&gt;=10),354+9*FORSIDE!$F$9,"")</f>
        <v/>
      </c>
      <c r="C2124" t="str">
        <f>IF(AND(FORSIDE!$B$8&gt;=3,FORSIDE!$F$8&gt;=9,FORSIDE!$B$5&gt;=10),3*FORSIDE!$B$9,"")</f>
        <v/>
      </c>
      <c r="D2124" t="str">
        <f>IF(AND(FORSIDE!$B$8&gt;=3,FORSIDE!$F$8&gt;=9,FORSIDE!$B$5&gt;=10),FORSIDE!$B$6+(10-1)*FORSIDE!$B$7,"")</f>
        <v/>
      </c>
    </row>
    <row r="2125" spans="1:4" x14ac:dyDescent="0.3">
      <c r="A2125" t="str">
        <f>IF(AND(FORSIDE!$B$8&gt;=4,FORSIDE!$F$8&gt;=9,FORSIDE!$B$5&gt;=0),2124,"")</f>
        <v/>
      </c>
      <c r="B2125" t="str">
        <f>IF(AND(FORSIDE!$B$8&gt;=4,FORSIDE!$F$8&gt;=9,FORSIDE!$B$5&gt;=0),354+9*FORSIDE!$F$9,"")</f>
        <v/>
      </c>
      <c r="C2125" t="str">
        <f>IF(AND(FORSIDE!$B$8&gt;=4,FORSIDE!$F$8&gt;=9,FORSIDE!$B$5&gt;=0),4*FORSIDE!$B$9,"")</f>
        <v/>
      </c>
      <c r="D2125" t="str">
        <f>IF(AND(FORSIDE!$B$8&gt;=4,FORSIDE!$F$8&gt;=9,FORSIDE!$B$5&gt;=0),0,"")</f>
        <v/>
      </c>
    </row>
    <row r="2126" spans="1:4" x14ac:dyDescent="0.3">
      <c r="A2126" t="str">
        <f>IF(AND(FORSIDE!$B$8&gt;=4,FORSIDE!$F$8&gt;=9,FORSIDE!$B$5&gt;=1),2125,"")</f>
        <v/>
      </c>
      <c r="B2126" t="str">
        <f>IF(AND(FORSIDE!$B$8&gt;=4,FORSIDE!$F$8&gt;=9,FORSIDE!$B$5&gt;=1),354+9*FORSIDE!$F$9,"")</f>
        <v/>
      </c>
      <c r="C2126" t="str">
        <f>IF(AND(FORSIDE!$B$8&gt;=4,FORSIDE!$F$8&gt;=9,FORSIDE!$B$5&gt;=1),4*FORSIDE!$B$9,"")</f>
        <v/>
      </c>
      <c r="D2126" t="str">
        <f>IF(AND(FORSIDE!$B$8&gt;=4,FORSIDE!$F$8&gt;=9,FORSIDE!$B$5&gt;=1),FORSIDE!$B$6+(1-1)*FORSIDE!$B$7,"")</f>
        <v/>
      </c>
    </row>
    <row r="2127" spans="1:4" x14ac:dyDescent="0.3">
      <c r="A2127" t="str">
        <f>IF(AND(FORSIDE!$B$8&gt;=4,FORSIDE!$F$8&gt;=9,FORSIDE!$B$5&gt;=2),2126,"")</f>
        <v/>
      </c>
      <c r="B2127" t="str">
        <f>IF(AND(FORSIDE!$B$8&gt;=4,FORSIDE!$F$8&gt;=9,FORSIDE!$B$5&gt;=2),354+9*FORSIDE!$F$9,"")</f>
        <v/>
      </c>
      <c r="C2127" t="str">
        <f>IF(AND(FORSIDE!$B$8&gt;=4,FORSIDE!$F$8&gt;=9,FORSIDE!$B$5&gt;=2),4*FORSIDE!$B$9,"")</f>
        <v/>
      </c>
      <c r="D2127" t="str">
        <f>IF(AND(FORSIDE!$B$8&gt;=4,FORSIDE!$F$8&gt;=9,FORSIDE!$B$5&gt;=2),FORSIDE!$B$6+(2-1)*FORSIDE!$B$7,"")</f>
        <v/>
      </c>
    </row>
    <row r="2128" spans="1:4" x14ac:dyDescent="0.3">
      <c r="A2128" t="str">
        <f>IF(AND(FORSIDE!$B$8&gt;=4,FORSIDE!$F$8&gt;=9,FORSIDE!$B$5&gt;=3),2127,"")</f>
        <v/>
      </c>
      <c r="B2128" t="str">
        <f>IF(AND(FORSIDE!$B$8&gt;=4,FORSIDE!$F$8&gt;=9,FORSIDE!$B$5&gt;=3),354+9*FORSIDE!$F$9,"")</f>
        <v/>
      </c>
      <c r="C2128" t="str">
        <f>IF(AND(FORSIDE!$B$8&gt;=4,FORSIDE!$F$8&gt;=9,FORSIDE!$B$5&gt;=3),4*FORSIDE!$B$9,"")</f>
        <v/>
      </c>
      <c r="D2128" t="str">
        <f>IF(AND(FORSIDE!$B$8&gt;=4,FORSIDE!$F$8&gt;=9,FORSIDE!$B$5&gt;=3),FORSIDE!$B$6+(3-1)*FORSIDE!$B$7,"")</f>
        <v/>
      </c>
    </row>
    <row r="2129" spans="1:4" x14ac:dyDescent="0.3">
      <c r="A2129" t="str">
        <f>IF(AND(FORSIDE!$B$8&gt;=4,FORSIDE!$F$8&gt;=9,FORSIDE!$B$5&gt;=4),2128,"")</f>
        <v/>
      </c>
      <c r="B2129" t="str">
        <f>IF(AND(FORSIDE!$B$8&gt;=4,FORSIDE!$F$8&gt;=9,FORSIDE!$B$5&gt;=4),354+9*FORSIDE!$F$9,"")</f>
        <v/>
      </c>
      <c r="C2129" t="str">
        <f>IF(AND(FORSIDE!$B$8&gt;=4,FORSIDE!$F$8&gt;=9,FORSIDE!$B$5&gt;=4),4*FORSIDE!$B$9,"")</f>
        <v/>
      </c>
      <c r="D2129" t="str">
        <f>IF(AND(FORSIDE!$B$8&gt;=4,FORSIDE!$F$8&gt;=9,FORSIDE!$B$5&gt;=4),FORSIDE!$B$6+(4-1)*FORSIDE!$B$7,"")</f>
        <v/>
      </c>
    </row>
    <row r="2130" spans="1:4" x14ac:dyDescent="0.3">
      <c r="A2130" t="str">
        <f>IF(AND(FORSIDE!$B$8&gt;=4,FORSIDE!$F$8&gt;=9,FORSIDE!$B$5&gt;=5),2129,"")</f>
        <v/>
      </c>
      <c r="B2130" t="str">
        <f>IF(AND(FORSIDE!$B$8&gt;=4,FORSIDE!$F$8&gt;=9,FORSIDE!$B$5&gt;=5),354+9*FORSIDE!$F$9,"")</f>
        <v/>
      </c>
      <c r="C2130" t="str">
        <f>IF(AND(FORSIDE!$B$8&gt;=4,FORSIDE!$F$8&gt;=9,FORSIDE!$B$5&gt;=5),4*FORSIDE!$B$9,"")</f>
        <v/>
      </c>
      <c r="D2130" t="str">
        <f>IF(AND(FORSIDE!$B$8&gt;=4,FORSIDE!$F$8&gt;=9,FORSIDE!$B$5&gt;=5),FORSIDE!$B$6+(5-1)*FORSIDE!$B$7,"")</f>
        <v/>
      </c>
    </row>
    <row r="2131" spans="1:4" x14ac:dyDescent="0.3">
      <c r="A2131" t="str">
        <f>IF(AND(FORSIDE!$B$8&gt;=4,FORSIDE!$F$8&gt;=9,FORSIDE!$B$5&gt;=6),2130,"")</f>
        <v/>
      </c>
      <c r="B2131" t="str">
        <f>IF(AND(FORSIDE!$B$8&gt;=4,FORSIDE!$F$8&gt;=9,FORSIDE!$B$5&gt;=6),354+9*FORSIDE!$F$9,"")</f>
        <v/>
      </c>
      <c r="C2131" t="str">
        <f>IF(AND(FORSIDE!$B$8&gt;=4,FORSIDE!$F$8&gt;=9,FORSIDE!$B$5&gt;=6),4*FORSIDE!$B$9,"")</f>
        <v/>
      </c>
      <c r="D2131" t="str">
        <f>IF(AND(FORSIDE!$B$8&gt;=4,FORSIDE!$F$8&gt;=9,FORSIDE!$B$5&gt;=6),FORSIDE!$B$6+(6-1)*FORSIDE!$B$7,"")</f>
        <v/>
      </c>
    </row>
    <row r="2132" spans="1:4" x14ac:dyDescent="0.3">
      <c r="A2132" t="str">
        <f>IF(AND(FORSIDE!$B$8&gt;=4,FORSIDE!$F$8&gt;=9,FORSIDE!$B$5&gt;=7),2131,"")</f>
        <v/>
      </c>
      <c r="B2132" t="str">
        <f>IF(AND(FORSIDE!$B$8&gt;=4,FORSIDE!$F$8&gt;=9,FORSIDE!$B$5&gt;=7),354+9*FORSIDE!$F$9,"")</f>
        <v/>
      </c>
      <c r="C2132" t="str">
        <f>IF(AND(FORSIDE!$B$8&gt;=4,FORSIDE!$F$8&gt;=9,FORSIDE!$B$5&gt;=7),4*FORSIDE!$B$9,"")</f>
        <v/>
      </c>
      <c r="D2132" t="str">
        <f>IF(AND(FORSIDE!$B$8&gt;=4,FORSIDE!$F$8&gt;=9,FORSIDE!$B$5&gt;=7),FORSIDE!$B$6+(7-1)*FORSIDE!$B$7,"")</f>
        <v/>
      </c>
    </row>
    <row r="2133" spans="1:4" x14ac:dyDescent="0.3">
      <c r="A2133" t="str">
        <f>IF(AND(FORSIDE!$B$8&gt;=4,FORSIDE!$F$8&gt;=9,FORSIDE!$B$5&gt;=8),2132,"")</f>
        <v/>
      </c>
      <c r="B2133" t="str">
        <f>IF(AND(FORSIDE!$B$8&gt;=4,FORSIDE!$F$8&gt;=9,FORSIDE!$B$5&gt;=8),354+9*FORSIDE!$F$9,"")</f>
        <v/>
      </c>
      <c r="C2133" t="str">
        <f>IF(AND(FORSIDE!$B$8&gt;=4,FORSIDE!$F$8&gt;=9,FORSIDE!$B$5&gt;=8),4*FORSIDE!$B$9,"")</f>
        <v/>
      </c>
      <c r="D2133" t="str">
        <f>IF(AND(FORSIDE!$B$8&gt;=4,FORSIDE!$F$8&gt;=9,FORSIDE!$B$5&gt;=8),FORSIDE!$B$6+(8-1)*FORSIDE!$B$7,"")</f>
        <v/>
      </c>
    </row>
    <row r="2134" spans="1:4" x14ac:dyDescent="0.3">
      <c r="A2134" t="str">
        <f>IF(AND(FORSIDE!$B$8&gt;=4,FORSIDE!$F$8&gt;=9,FORSIDE!$B$5&gt;=9),2133,"")</f>
        <v/>
      </c>
      <c r="B2134" t="str">
        <f>IF(AND(FORSIDE!$B$8&gt;=4,FORSIDE!$F$8&gt;=9,FORSIDE!$B$5&gt;=9),354+9*FORSIDE!$F$9,"")</f>
        <v/>
      </c>
      <c r="C2134" t="str">
        <f>IF(AND(FORSIDE!$B$8&gt;=4,FORSIDE!$F$8&gt;=9,FORSIDE!$B$5&gt;=9),4*FORSIDE!$B$9,"")</f>
        <v/>
      </c>
      <c r="D2134" t="str">
        <f>IF(AND(FORSIDE!$B$8&gt;=4,FORSIDE!$F$8&gt;=9,FORSIDE!$B$5&gt;=9),FORSIDE!$B$6+(9-1)*FORSIDE!$B$7,"")</f>
        <v/>
      </c>
    </row>
    <row r="2135" spans="1:4" x14ac:dyDescent="0.3">
      <c r="A2135" t="str">
        <f>IF(AND(FORSIDE!$B$8&gt;=4,FORSIDE!$F$8&gt;=9,FORSIDE!$B$5&gt;=10),2134,"")</f>
        <v/>
      </c>
      <c r="B2135" t="str">
        <f>IF(AND(FORSIDE!$B$8&gt;=4,FORSIDE!$F$8&gt;=9,FORSIDE!$B$5&gt;=10),354+9*FORSIDE!$F$9,"")</f>
        <v/>
      </c>
      <c r="C2135" t="str">
        <f>IF(AND(FORSIDE!$B$8&gt;=4,FORSIDE!$F$8&gt;=9,FORSIDE!$B$5&gt;=10),4*FORSIDE!$B$9,"")</f>
        <v/>
      </c>
      <c r="D2135" t="str">
        <f>IF(AND(FORSIDE!$B$8&gt;=4,FORSIDE!$F$8&gt;=9,FORSIDE!$B$5&gt;=10),FORSIDE!$B$6+(10-1)*FORSIDE!$B$7,"")</f>
        <v/>
      </c>
    </row>
    <row r="2136" spans="1:4" x14ac:dyDescent="0.3">
      <c r="A2136" t="str">
        <f>IF(AND(FORSIDE!$B$8&gt;=5,FORSIDE!$F$8&gt;=9,FORSIDE!$B$5&gt;=0),2135,"")</f>
        <v/>
      </c>
      <c r="B2136" t="str">
        <f>IF(AND(FORSIDE!$B$8&gt;=5,FORSIDE!$F$8&gt;=9,FORSIDE!$B$5&gt;=0),354+9*FORSIDE!$F$9,"")</f>
        <v/>
      </c>
      <c r="C2136" t="str">
        <f>IF(AND(FORSIDE!$B$8&gt;=5,FORSIDE!$F$8&gt;=9,FORSIDE!$B$5&gt;=0),5*FORSIDE!$B$9,"")</f>
        <v/>
      </c>
      <c r="D2136" t="str">
        <f>IF(AND(FORSIDE!$B$8&gt;=5,FORSIDE!$F$8&gt;=9,FORSIDE!$B$5&gt;=0),0,"")</f>
        <v/>
      </c>
    </row>
    <row r="2137" spans="1:4" x14ac:dyDescent="0.3">
      <c r="A2137" t="str">
        <f>IF(AND(FORSIDE!$B$8&gt;=5,FORSIDE!$F$8&gt;=9,FORSIDE!$B$5&gt;=1),2136,"")</f>
        <v/>
      </c>
      <c r="B2137" t="str">
        <f>IF(AND(FORSIDE!$B$8&gt;=5,FORSIDE!$F$8&gt;=9,FORSIDE!$B$5&gt;=1),354+9*FORSIDE!$F$9,"")</f>
        <v/>
      </c>
      <c r="C2137" t="str">
        <f>IF(AND(FORSIDE!$B$8&gt;=5,FORSIDE!$F$8&gt;=9,FORSIDE!$B$5&gt;=1),5*FORSIDE!$B$9,"")</f>
        <v/>
      </c>
      <c r="D2137" t="str">
        <f>IF(AND(FORSIDE!$B$8&gt;=5,FORSIDE!$F$8&gt;=9,FORSIDE!$B$5&gt;=1),FORSIDE!$B$6+(1-1)*FORSIDE!$B$7,"")</f>
        <v/>
      </c>
    </row>
    <row r="2138" spans="1:4" x14ac:dyDescent="0.3">
      <c r="A2138" t="str">
        <f>IF(AND(FORSIDE!$B$8&gt;=5,FORSIDE!$F$8&gt;=9,FORSIDE!$B$5&gt;=2),2137,"")</f>
        <v/>
      </c>
      <c r="B2138" t="str">
        <f>IF(AND(FORSIDE!$B$8&gt;=5,FORSIDE!$F$8&gt;=9,FORSIDE!$B$5&gt;=2),354+9*FORSIDE!$F$9,"")</f>
        <v/>
      </c>
      <c r="C2138" t="str">
        <f>IF(AND(FORSIDE!$B$8&gt;=5,FORSIDE!$F$8&gt;=9,FORSIDE!$B$5&gt;=2),5*FORSIDE!$B$9,"")</f>
        <v/>
      </c>
      <c r="D2138" t="str">
        <f>IF(AND(FORSIDE!$B$8&gt;=5,FORSIDE!$F$8&gt;=9,FORSIDE!$B$5&gt;=2),FORSIDE!$B$6+(2-1)*FORSIDE!$B$7,"")</f>
        <v/>
      </c>
    </row>
    <row r="2139" spans="1:4" x14ac:dyDescent="0.3">
      <c r="A2139" t="str">
        <f>IF(AND(FORSIDE!$B$8&gt;=5,FORSIDE!$F$8&gt;=9,FORSIDE!$B$5&gt;=3),2138,"")</f>
        <v/>
      </c>
      <c r="B2139" t="str">
        <f>IF(AND(FORSIDE!$B$8&gt;=5,FORSIDE!$F$8&gt;=9,FORSIDE!$B$5&gt;=3),354+9*FORSIDE!$F$9,"")</f>
        <v/>
      </c>
      <c r="C2139" t="str">
        <f>IF(AND(FORSIDE!$B$8&gt;=5,FORSIDE!$F$8&gt;=9,FORSIDE!$B$5&gt;=3),5*FORSIDE!$B$9,"")</f>
        <v/>
      </c>
      <c r="D2139" t="str">
        <f>IF(AND(FORSIDE!$B$8&gt;=5,FORSIDE!$F$8&gt;=9,FORSIDE!$B$5&gt;=3),FORSIDE!$B$6+(3-1)*FORSIDE!$B$7,"")</f>
        <v/>
      </c>
    </row>
    <row r="2140" spans="1:4" x14ac:dyDescent="0.3">
      <c r="A2140" t="str">
        <f>IF(AND(FORSIDE!$B$8&gt;=5,FORSIDE!$F$8&gt;=9,FORSIDE!$B$5&gt;=4),2139,"")</f>
        <v/>
      </c>
      <c r="B2140" t="str">
        <f>IF(AND(FORSIDE!$B$8&gt;=5,FORSIDE!$F$8&gt;=9,FORSIDE!$B$5&gt;=4),354+9*FORSIDE!$F$9,"")</f>
        <v/>
      </c>
      <c r="C2140" t="str">
        <f>IF(AND(FORSIDE!$B$8&gt;=5,FORSIDE!$F$8&gt;=9,FORSIDE!$B$5&gt;=4),5*FORSIDE!$B$9,"")</f>
        <v/>
      </c>
      <c r="D2140" t="str">
        <f>IF(AND(FORSIDE!$B$8&gt;=5,FORSIDE!$F$8&gt;=9,FORSIDE!$B$5&gt;=4),FORSIDE!$B$6+(4-1)*FORSIDE!$B$7,"")</f>
        <v/>
      </c>
    </row>
    <row r="2141" spans="1:4" x14ac:dyDescent="0.3">
      <c r="A2141" t="str">
        <f>IF(AND(FORSIDE!$B$8&gt;=5,FORSIDE!$F$8&gt;=9,FORSIDE!$B$5&gt;=5),2140,"")</f>
        <v/>
      </c>
      <c r="B2141" t="str">
        <f>IF(AND(FORSIDE!$B$8&gt;=5,FORSIDE!$F$8&gt;=9,FORSIDE!$B$5&gt;=5),354+9*FORSIDE!$F$9,"")</f>
        <v/>
      </c>
      <c r="C2141" t="str">
        <f>IF(AND(FORSIDE!$B$8&gt;=5,FORSIDE!$F$8&gt;=9,FORSIDE!$B$5&gt;=5),5*FORSIDE!$B$9,"")</f>
        <v/>
      </c>
      <c r="D2141" t="str">
        <f>IF(AND(FORSIDE!$B$8&gt;=5,FORSIDE!$F$8&gt;=9,FORSIDE!$B$5&gt;=5),FORSIDE!$B$6+(5-1)*FORSIDE!$B$7,"")</f>
        <v/>
      </c>
    </row>
    <row r="2142" spans="1:4" x14ac:dyDescent="0.3">
      <c r="A2142" t="str">
        <f>IF(AND(FORSIDE!$B$8&gt;=5,FORSIDE!$F$8&gt;=9,FORSIDE!$B$5&gt;=6),2141,"")</f>
        <v/>
      </c>
      <c r="B2142" t="str">
        <f>IF(AND(FORSIDE!$B$8&gt;=5,FORSIDE!$F$8&gt;=9,FORSIDE!$B$5&gt;=6),354+9*FORSIDE!$F$9,"")</f>
        <v/>
      </c>
      <c r="C2142" t="str">
        <f>IF(AND(FORSIDE!$B$8&gt;=5,FORSIDE!$F$8&gt;=9,FORSIDE!$B$5&gt;=6),5*FORSIDE!$B$9,"")</f>
        <v/>
      </c>
      <c r="D2142" t="str">
        <f>IF(AND(FORSIDE!$B$8&gt;=5,FORSIDE!$F$8&gt;=9,FORSIDE!$B$5&gt;=6),FORSIDE!$B$6+(6-1)*FORSIDE!$B$7,"")</f>
        <v/>
      </c>
    </row>
    <row r="2143" spans="1:4" x14ac:dyDescent="0.3">
      <c r="A2143" t="str">
        <f>IF(AND(FORSIDE!$B$8&gt;=5,FORSIDE!$F$8&gt;=9,FORSIDE!$B$5&gt;=7),2142,"")</f>
        <v/>
      </c>
      <c r="B2143" t="str">
        <f>IF(AND(FORSIDE!$B$8&gt;=5,FORSIDE!$F$8&gt;=9,FORSIDE!$B$5&gt;=7),354+9*FORSIDE!$F$9,"")</f>
        <v/>
      </c>
      <c r="C2143" t="str">
        <f>IF(AND(FORSIDE!$B$8&gt;=5,FORSIDE!$F$8&gt;=9,FORSIDE!$B$5&gt;=7),5*FORSIDE!$B$9,"")</f>
        <v/>
      </c>
      <c r="D2143" t="str">
        <f>IF(AND(FORSIDE!$B$8&gt;=5,FORSIDE!$F$8&gt;=9,FORSIDE!$B$5&gt;=7),FORSIDE!$B$6+(7-1)*FORSIDE!$B$7,"")</f>
        <v/>
      </c>
    </row>
    <row r="2144" spans="1:4" x14ac:dyDescent="0.3">
      <c r="A2144" t="str">
        <f>IF(AND(FORSIDE!$B$8&gt;=5,FORSIDE!$F$8&gt;=9,FORSIDE!$B$5&gt;=8),2143,"")</f>
        <v/>
      </c>
      <c r="B2144" t="str">
        <f>IF(AND(FORSIDE!$B$8&gt;=5,FORSIDE!$F$8&gt;=9,FORSIDE!$B$5&gt;=8),354+9*FORSIDE!$F$9,"")</f>
        <v/>
      </c>
      <c r="C2144" t="str">
        <f>IF(AND(FORSIDE!$B$8&gt;=5,FORSIDE!$F$8&gt;=9,FORSIDE!$B$5&gt;=8),5*FORSIDE!$B$9,"")</f>
        <v/>
      </c>
      <c r="D2144" t="str">
        <f>IF(AND(FORSIDE!$B$8&gt;=5,FORSIDE!$F$8&gt;=9,FORSIDE!$B$5&gt;=8),FORSIDE!$B$6+(8-1)*FORSIDE!$B$7,"")</f>
        <v/>
      </c>
    </row>
    <row r="2145" spans="1:4" x14ac:dyDescent="0.3">
      <c r="A2145" t="str">
        <f>IF(AND(FORSIDE!$B$8&gt;=5,FORSIDE!$F$8&gt;=9,FORSIDE!$B$5&gt;=9),2144,"")</f>
        <v/>
      </c>
      <c r="B2145" t="str">
        <f>IF(AND(FORSIDE!$B$8&gt;=5,FORSIDE!$F$8&gt;=9,FORSIDE!$B$5&gt;=9),354+9*FORSIDE!$F$9,"")</f>
        <v/>
      </c>
      <c r="C2145" t="str">
        <f>IF(AND(FORSIDE!$B$8&gt;=5,FORSIDE!$F$8&gt;=9,FORSIDE!$B$5&gt;=9),5*FORSIDE!$B$9,"")</f>
        <v/>
      </c>
      <c r="D2145" t="str">
        <f>IF(AND(FORSIDE!$B$8&gt;=5,FORSIDE!$F$8&gt;=9,FORSIDE!$B$5&gt;=9),FORSIDE!$B$6+(9-1)*FORSIDE!$B$7,"")</f>
        <v/>
      </c>
    </row>
    <row r="2146" spans="1:4" x14ac:dyDescent="0.3">
      <c r="A2146" t="str">
        <f>IF(AND(FORSIDE!$B$8&gt;=5,FORSIDE!$F$8&gt;=9,FORSIDE!$B$5&gt;=10),2145,"")</f>
        <v/>
      </c>
      <c r="B2146" t="str">
        <f>IF(AND(FORSIDE!$B$8&gt;=5,FORSIDE!$F$8&gt;=9,FORSIDE!$B$5&gt;=10),354+9*FORSIDE!$F$9,"")</f>
        <v/>
      </c>
      <c r="C2146" t="str">
        <f>IF(AND(FORSIDE!$B$8&gt;=5,FORSIDE!$F$8&gt;=9,FORSIDE!$B$5&gt;=10),5*FORSIDE!$B$9,"")</f>
        <v/>
      </c>
      <c r="D2146" t="str">
        <f>IF(AND(FORSIDE!$B$8&gt;=5,FORSIDE!$F$8&gt;=9,FORSIDE!$B$5&gt;=10),FORSIDE!$B$6+(10-1)*FORSIDE!$B$7,"")</f>
        <v/>
      </c>
    </row>
    <row r="2147" spans="1:4" x14ac:dyDescent="0.3">
      <c r="A2147" t="str">
        <f>IF(AND(FORSIDE!$B$8&gt;=6,FORSIDE!$F$8&gt;=9,FORSIDE!$B$5&gt;=0),2146,"")</f>
        <v/>
      </c>
      <c r="B2147" t="str">
        <f>IF(AND(FORSIDE!$B$8&gt;=6,FORSIDE!$F$8&gt;=9,FORSIDE!$B$5&gt;=0),354+9*FORSIDE!$F$9,"")</f>
        <v/>
      </c>
      <c r="C2147" t="str">
        <f>IF(AND(FORSIDE!$B$8&gt;=6,FORSIDE!$F$8&gt;=9,FORSIDE!$B$5&gt;=0),6*FORSIDE!$B$9,"")</f>
        <v/>
      </c>
      <c r="D2147" t="str">
        <f>IF(AND(FORSIDE!$B$8&gt;=6,FORSIDE!$F$8&gt;=9,FORSIDE!$B$5&gt;=0),0,"")</f>
        <v/>
      </c>
    </row>
    <row r="2148" spans="1:4" x14ac:dyDescent="0.3">
      <c r="A2148" t="str">
        <f>IF(AND(FORSIDE!$B$8&gt;=6,FORSIDE!$F$8&gt;=9,FORSIDE!$B$5&gt;=1),2147,"")</f>
        <v/>
      </c>
      <c r="B2148" t="str">
        <f>IF(AND(FORSIDE!$B$8&gt;=6,FORSIDE!$F$8&gt;=9,FORSIDE!$B$5&gt;=1),354+9*FORSIDE!$F$9,"")</f>
        <v/>
      </c>
      <c r="C2148" t="str">
        <f>IF(AND(FORSIDE!$B$8&gt;=6,FORSIDE!$F$8&gt;=9,FORSIDE!$B$5&gt;=1),6*FORSIDE!$B$9,"")</f>
        <v/>
      </c>
      <c r="D2148" t="str">
        <f>IF(AND(FORSIDE!$B$8&gt;=6,FORSIDE!$F$8&gt;=9,FORSIDE!$B$5&gt;=1),FORSIDE!$B$6+(1-1)*FORSIDE!$B$7,"")</f>
        <v/>
      </c>
    </row>
    <row r="2149" spans="1:4" x14ac:dyDescent="0.3">
      <c r="A2149" t="str">
        <f>IF(AND(FORSIDE!$B$8&gt;=6,FORSIDE!$F$8&gt;=9,FORSIDE!$B$5&gt;=2),2148,"")</f>
        <v/>
      </c>
      <c r="B2149" t="str">
        <f>IF(AND(FORSIDE!$B$8&gt;=6,FORSIDE!$F$8&gt;=9,FORSIDE!$B$5&gt;=2),354+9*FORSIDE!$F$9,"")</f>
        <v/>
      </c>
      <c r="C2149" t="str">
        <f>IF(AND(FORSIDE!$B$8&gt;=6,FORSIDE!$F$8&gt;=9,FORSIDE!$B$5&gt;=2),6*FORSIDE!$B$9,"")</f>
        <v/>
      </c>
      <c r="D2149" t="str">
        <f>IF(AND(FORSIDE!$B$8&gt;=6,FORSIDE!$F$8&gt;=9,FORSIDE!$B$5&gt;=2),FORSIDE!$B$6+(2-1)*FORSIDE!$B$7,"")</f>
        <v/>
      </c>
    </row>
    <row r="2150" spans="1:4" x14ac:dyDescent="0.3">
      <c r="A2150" t="str">
        <f>IF(AND(FORSIDE!$B$8&gt;=6,FORSIDE!$F$8&gt;=9,FORSIDE!$B$5&gt;=3),2149,"")</f>
        <v/>
      </c>
      <c r="B2150" t="str">
        <f>IF(AND(FORSIDE!$B$8&gt;=6,FORSIDE!$F$8&gt;=9,FORSIDE!$B$5&gt;=3),354+9*FORSIDE!$F$9,"")</f>
        <v/>
      </c>
      <c r="C2150" t="str">
        <f>IF(AND(FORSIDE!$B$8&gt;=6,FORSIDE!$F$8&gt;=9,FORSIDE!$B$5&gt;=3),6*FORSIDE!$B$9,"")</f>
        <v/>
      </c>
      <c r="D2150" t="str">
        <f>IF(AND(FORSIDE!$B$8&gt;=6,FORSIDE!$F$8&gt;=9,FORSIDE!$B$5&gt;=3),FORSIDE!$B$6+(3-1)*FORSIDE!$B$7,"")</f>
        <v/>
      </c>
    </row>
    <row r="2151" spans="1:4" x14ac:dyDescent="0.3">
      <c r="A2151" t="str">
        <f>IF(AND(FORSIDE!$B$8&gt;=6,FORSIDE!$F$8&gt;=9,FORSIDE!$B$5&gt;=4),2150,"")</f>
        <v/>
      </c>
      <c r="B2151" t="str">
        <f>IF(AND(FORSIDE!$B$8&gt;=6,FORSIDE!$F$8&gt;=9,FORSIDE!$B$5&gt;=4),354+9*FORSIDE!$F$9,"")</f>
        <v/>
      </c>
      <c r="C2151" t="str">
        <f>IF(AND(FORSIDE!$B$8&gt;=6,FORSIDE!$F$8&gt;=9,FORSIDE!$B$5&gt;=4),6*FORSIDE!$B$9,"")</f>
        <v/>
      </c>
      <c r="D2151" t="str">
        <f>IF(AND(FORSIDE!$B$8&gt;=6,FORSIDE!$F$8&gt;=9,FORSIDE!$B$5&gt;=4),FORSIDE!$B$6+(4-1)*FORSIDE!$B$7,"")</f>
        <v/>
      </c>
    </row>
    <row r="2152" spans="1:4" x14ac:dyDescent="0.3">
      <c r="A2152" t="str">
        <f>IF(AND(FORSIDE!$B$8&gt;=6,FORSIDE!$F$8&gt;=9,FORSIDE!$B$5&gt;=5),2151,"")</f>
        <v/>
      </c>
      <c r="B2152" t="str">
        <f>IF(AND(FORSIDE!$B$8&gt;=6,FORSIDE!$F$8&gt;=9,FORSIDE!$B$5&gt;=5),354+9*FORSIDE!$F$9,"")</f>
        <v/>
      </c>
      <c r="C2152" t="str">
        <f>IF(AND(FORSIDE!$B$8&gt;=6,FORSIDE!$F$8&gt;=9,FORSIDE!$B$5&gt;=5),6*FORSIDE!$B$9,"")</f>
        <v/>
      </c>
      <c r="D2152" t="str">
        <f>IF(AND(FORSIDE!$B$8&gt;=6,FORSIDE!$F$8&gt;=9,FORSIDE!$B$5&gt;=5),FORSIDE!$B$6+(5-1)*FORSIDE!$B$7,"")</f>
        <v/>
      </c>
    </row>
    <row r="2153" spans="1:4" x14ac:dyDescent="0.3">
      <c r="A2153" t="str">
        <f>IF(AND(FORSIDE!$B$8&gt;=6,FORSIDE!$F$8&gt;=9,FORSIDE!$B$5&gt;=6),2152,"")</f>
        <v/>
      </c>
      <c r="B2153" t="str">
        <f>IF(AND(FORSIDE!$B$8&gt;=6,FORSIDE!$F$8&gt;=9,FORSIDE!$B$5&gt;=6),354+9*FORSIDE!$F$9,"")</f>
        <v/>
      </c>
      <c r="C2153" t="str">
        <f>IF(AND(FORSIDE!$B$8&gt;=6,FORSIDE!$F$8&gt;=9,FORSIDE!$B$5&gt;=6),6*FORSIDE!$B$9,"")</f>
        <v/>
      </c>
      <c r="D2153" t="str">
        <f>IF(AND(FORSIDE!$B$8&gt;=6,FORSIDE!$F$8&gt;=9,FORSIDE!$B$5&gt;=6),FORSIDE!$B$6+(6-1)*FORSIDE!$B$7,"")</f>
        <v/>
      </c>
    </row>
    <row r="2154" spans="1:4" x14ac:dyDescent="0.3">
      <c r="A2154" t="str">
        <f>IF(AND(FORSIDE!$B$8&gt;=6,FORSIDE!$F$8&gt;=9,FORSIDE!$B$5&gt;=7),2153,"")</f>
        <v/>
      </c>
      <c r="B2154" t="str">
        <f>IF(AND(FORSIDE!$B$8&gt;=6,FORSIDE!$F$8&gt;=9,FORSIDE!$B$5&gt;=7),354+9*FORSIDE!$F$9,"")</f>
        <v/>
      </c>
      <c r="C2154" t="str">
        <f>IF(AND(FORSIDE!$B$8&gt;=6,FORSIDE!$F$8&gt;=9,FORSIDE!$B$5&gt;=7),6*FORSIDE!$B$9,"")</f>
        <v/>
      </c>
      <c r="D2154" t="str">
        <f>IF(AND(FORSIDE!$B$8&gt;=6,FORSIDE!$F$8&gt;=9,FORSIDE!$B$5&gt;=7),FORSIDE!$B$6+(7-1)*FORSIDE!$B$7,"")</f>
        <v/>
      </c>
    </row>
    <row r="2155" spans="1:4" x14ac:dyDescent="0.3">
      <c r="A2155" t="str">
        <f>IF(AND(FORSIDE!$B$8&gt;=6,FORSIDE!$F$8&gt;=9,FORSIDE!$B$5&gt;=8),2154,"")</f>
        <v/>
      </c>
      <c r="B2155" t="str">
        <f>IF(AND(FORSIDE!$B$8&gt;=6,FORSIDE!$F$8&gt;=9,FORSIDE!$B$5&gt;=8),354+9*FORSIDE!$F$9,"")</f>
        <v/>
      </c>
      <c r="C2155" t="str">
        <f>IF(AND(FORSIDE!$B$8&gt;=6,FORSIDE!$F$8&gt;=9,FORSIDE!$B$5&gt;=8),6*FORSIDE!$B$9,"")</f>
        <v/>
      </c>
      <c r="D2155" t="str">
        <f>IF(AND(FORSIDE!$B$8&gt;=6,FORSIDE!$F$8&gt;=9,FORSIDE!$B$5&gt;=8),FORSIDE!$B$6+(8-1)*FORSIDE!$B$7,"")</f>
        <v/>
      </c>
    </row>
    <row r="2156" spans="1:4" x14ac:dyDescent="0.3">
      <c r="A2156" t="str">
        <f>IF(AND(FORSIDE!$B$8&gt;=6,FORSIDE!$F$8&gt;=9,FORSIDE!$B$5&gt;=9),2155,"")</f>
        <v/>
      </c>
      <c r="B2156" t="str">
        <f>IF(AND(FORSIDE!$B$8&gt;=6,FORSIDE!$F$8&gt;=9,FORSIDE!$B$5&gt;=9),354+9*FORSIDE!$F$9,"")</f>
        <v/>
      </c>
      <c r="C2156" t="str">
        <f>IF(AND(FORSIDE!$B$8&gt;=6,FORSIDE!$F$8&gt;=9,FORSIDE!$B$5&gt;=9),6*FORSIDE!$B$9,"")</f>
        <v/>
      </c>
      <c r="D2156" t="str">
        <f>IF(AND(FORSIDE!$B$8&gt;=6,FORSIDE!$F$8&gt;=9,FORSIDE!$B$5&gt;=9),FORSIDE!$B$6+(9-1)*FORSIDE!$B$7,"")</f>
        <v/>
      </c>
    </row>
    <row r="2157" spans="1:4" x14ac:dyDescent="0.3">
      <c r="A2157" t="str">
        <f>IF(AND(FORSIDE!$B$8&gt;=6,FORSIDE!$F$8&gt;=9,FORSIDE!$B$5&gt;=10),2156,"")</f>
        <v/>
      </c>
      <c r="B2157" t="str">
        <f>IF(AND(FORSIDE!$B$8&gt;=6,FORSIDE!$F$8&gt;=9,FORSIDE!$B$5&gt;=10),354+9*FORSIDE!$F$9,"")</f>
        <v/>
      </c>
      <c r="C2157" t="str">
        <f>IF(AND(FORSIDE!$B$8&gt;=6,FORSIDE!$F$8&gt;=9,FORSIDE!$B$5&gt;=10),6*FORSIDE!$B$9,"")</f>
        <v/>
      </c>
      <c r="D2157" t="str">
        <f>IF(AND(FORSIDE!$B$8&gt;=6,FORSIDE!$F$8&gt;=9,FORSIDE!$B$5&gt;=10),FORSIDE!$B$6+(10-1)*FORSIDE!$B$7,"")</f>
        <v/>
      </c>
    </row>
    <row r="2158" spans="1:4" x14ac:dyDescent="0.3">
      <c r="A2158" t="str">
        <f>IF(AND(FORSIDE!$B$8&gt;=7,FORSIDE!$F$8&gt;=9,FORSIDE!$B$5&gt;=0),2157,"")</f>
        <v/>
      </c>
      <c r="B2158" t="str">
        <f>IF(AND(FORSIDE!$B$8&gt;=7,FORSIDE!$F$8&gt;=9,FORSIDE!$B$5&gt;=0),354+9*FORSIDE!$F$9,"")</f>
        <v/>
      </c>
      <c r="C2158" t="str">
        <f>IF(AND(FORSIDE!$B$8&gt;=7,FORSIDE!$F$8&gt;=9,FORSIDE!$B$5&gt;=0),7*FORSIDE!$B$9,"")</f>
        <v/>
      </c>
      <c r="D2158" t="str">
        <f>IF(AND(FORSIDE!$B$8&gt;=7,FORSIDE!$F$8&gt;=9,FORSIDE!$B$5&gt;=0),0,"")</f>
        <v/>
      </c>
    </row>
    <row r="2159" spans="1:4" x14ac:dyDescent="0.3">
      <c r="A2159" t="str">
        <f>IF(AND(FORSIDE!$B$8&gt;=7,FORSIDE!$F$8&gt;=9,FORSIDE!$B$5&gt;=1),2158,"")</f>
        <v/>
      </c>
      <c r="B2159" t="str">
        <f>IF(AND(FORSIDE!$B$8&gt;=7,FORSIDE!$F$8&gt;=9,FORSIDE!$B$5&gt;=1),354+9*FORSIDE!$F$9,"")</f>
        <v/>
      </c>
      <c r="C2159" t="str">
        <f>IF(AND(FORSIDE!$B$8&gt;=7,FORSIDE!$F$8&gt;=9,FORSIDE!$B$5&gt;=1),7*FORSIDE!$B$9,"")</f>
        <v/>
      </c>
      <c r="D2159" t="str">
        <f>IF(AND(FORSIDE!$B$8&gt;=7,FORSIDE!$F$8&gt;=9,FORSIDE!$B$5&gt;=1),FORSIDE!$B$6+(1-1)*FORSIDE!$B$7,"")</f>
        <v/>
      </c>
    </row>
    <row r="2160" spans="1:4" x14ac:dyDescent="0.3">
      <c r="A2160" t="str">
        <f>IF(AND(FORSIDE!$B$8&gt;=7,FORSIDE!$F$8&gt;=9,FORSIDE!$B$5&gt;=2),2159,"")</f>
        <v/>
      </c>
      <c r="B2160" t="str">
        <f>IF(AND(FORSIDE!$B$8&gt;=7,FORSIDE!$F$8&gt;=9,FORSIDE!$B$5&gt;=2),354+9*FORSIDE!$F$9,"")</f>
        <v/>
      </c>
      <c r="C2160" t="str">
        <f>IF(AND(FORSIDE!$B$8&gt;=7,FORSIDE!$F$8&gt;=9,FORSIDE!$B$5&gt;=2),7*FORSIDE!$B$9,"")</f>
        <v/>
      </c>
      <c r="D2160" t="str">
        <f>IF(AND(FORSIDE!$B$8&gt;=7,FORSIDE!$F$8&gt;=9,FORSIDE!$B$5&gt;=2),FORSIDE!$B$6+(2-1)*FORSIDE!$B$7,"")</f>
        <v/>
      </c>
    </row>
    <row r="2161" spans="1:4" x14ac:dyDescent="0.3">
      <c r="A2161" t="str">
        <f>IF(AND(FORSIDE!$B$8&gt;=7,FORSIDE!$F$8&gt;=9,FORSIDE!$B$5&gt;=3),2160,"")</f>
        <v/>
      </c>
      <c r="B2161" t="str">
        <f>IF(AND(FORSIDE!$B$8&gt;=7,FORSIDE!$F$8&gt;=9,FORSIDE!$B$5&gt;=3),354+9*FORSIDE!$F$9,"")</f>
        <v/>
      </c>
      <c r="C2161" t="str">
        <f>IF(AND(FORSIDE!$B$8&gt;=7,FORSIDE!$F$8&gt;=9,FORSIDE!$B$5&gt;=3),7*FORSIDE!$B$9,"")</f>
        <v/>
      </c>
      <c r="D2161" t="str">
        <f>IF(AND(FORSIDE!$B$8&gt;=7,FORSIDE!$F$8&gt;=9,FORSIDE!$B$5&gt;=3),FORSIDE!$B$6+(3-1)*FORSIDE!$B$7,"")</f>
        <v/>
      </c>
    </row>
    <row r="2162" spans="1:4" x14ac:dyDescent="0.3">
      <c r="A2162" t="str">
        <f>IF(AND(FORSIDE!$B$8&gt;=7,FORSIDE!$F$8&gt;=9,FORSIDE!$B$5&gt;=4),2161,"")</f>
        <v/>
      </c>
      <c r="B2162" t="str">
        <f>IF(AND(FORSIDE!$B$8&gt;=7,FORSIDE!$F$8&gt;=9,FORSIDE!$B$5&gt;=4),354+9*FORSIDE!$F$9,"")</f>
        <v/>
      </c>
      <c r="C2162" t="str">
        <f>IF(AND(FORSIDE!$B$8&gt;=7,FORSIDE!$F$8&gt;=9,FORSIDE!$B$5&gt;=4),7*FORSIDE!$B$9,"")</f>
        <v/>
      </c>
      <c r="D2162" t="str">
        <f>IF(AND(FORSIDE!$B$8&gt;=7,FORSIDE!$F$8&gt;=9,FORSIDE!$B$5&gt;=4),FORSIDE!$B$6+(4-1)*FORSIDE!$B$7,"")</f>
        <v/>
      </c>
    </row>
    <row r="2163" spans="1:4" x14ac:dyDescent="0.3">
      <c r="A2163" t="str">
        <f>IF(AND(FORSIDE!$B$8&gt;=7,FORSIDE!$F$8&gt;=9,FORSIDE!$B$5&gt;=5),2162,"")</f>
        <v/>
      </c>
      <c r="B2163" t="str">
        <f>IF(AND(FORSIDE!$B$8&gt;=7,FORSIDE!$F$8&gt;=9,FORSIDE!$B$5&gt;=5),354+9*FORSIDE!$F$9,"")</f>
        <v/>
      </c>
      <c r="C2163" t="str">
        <f>IF(AND(FORSIDE!$B$8&gt;=7,FORSIDE!$F$8&gt;=9,FORSIDE!$B$5&gt;=5),7*FORSIDE!$B$9,"")</f>
        <v/>
      </c>
      <c r="D2163" t="str">
        <f>IF(AND(FORSIDE!$B$8&gt;=7,FORSIDE!$F$8&gt;=9,FORSIDE!$B$5&gt;=5),FORSIDE!$B$6+(5-1)*FORSIDE!$B$7,"")</f>
        <v/>
      </c>
    </row>
    <row r="2164" spans="1:4" x14ac:dyDescent="0.3">
      <c r="A2164" t="str">
        <f>IF(AND(FORSIDE!$B$8&gt;=7,FORSIDE!$F$8&gt;=9,FORSIDE!$B$5&gt;=6),2163,"")</f>
        <v/>
      </c>
      <c r="B2164" t="str">
        <f>IF(AND(FORSIDE!$B$8&gt;=7,FORSIDE!$F$8&gt;=9,FORSIDE!$B$5&gt;=6),354+9*FORSIDE!$F$9,"")</f>
        <v/>
      </c>
      <c r="C2164" t="str">
        <f>IF(AND(FORSIDE!$B$8&gt;=7,FORSIDE!$F$8&gt;=9,FORSIDE!$B$5&gt;=6),7*FORSIDE!$B$9,"")</f>
        <v/>
      </c>
      <c r="D2164" t="str">
        <f>IF(AND(FORSIDE!$B$8&gt;=7,FORSIDE!$F$8&gt;=9,FORSIDE!$B$5&gt;=6),FORSIDE!$B$6+(6-1)*FORSIDE!$B$7,"")</f>
        <v/>
      </c>
    </row>
    <row r="2165" spans="1:4" x14ac:dyDescent="0.3">
      <c r="A2165" t="str">
        <f>IF(AND(FORSIDE!$B$8&gt;=7,FORSIDE!$F$8&gt;=9,FORSIDE!$B$5&gt;=7),2164,"")</f>
        <v/>
      </c>
      <c r="B2165" t="str">
        <f>IF(AND(FORSIDE!$B$8&gt;=7,FORSIDE!$F$8&gt;=9,FORSIDE!$B$5&gt;=7),354+9*FORSIDE!$F$9,"")</f>
        <v/>
      </c>
      <c r="C2165" t="str">
        <f>IF(AND(FORSIDE!$B$8&gt;=7,FORSIDE!$F$8&gt;=9,FORSIDE!$B$5&gt;=7),7*FORSIDE!$B$9,"")</f>
        <v/>
      </c>
      <c r="D2165" t="str">
        <f>IF(AND(FORSIDE!$B$8&gt;=7,FORSIDE!$F$8&gt;=9,FORSIDE!$B$5&gt;=7),FORSIDE!$B$6+(7-1)*FORSIDE!$B$7,"")</f>
        <v/>
      </c>
    </row>
    <row r="2166" spans="1:4" x14ac:dyDescent="0.3">
      <c r="A2166" t="str">
        <f>IF(AND(FORSIDE!$B$8&gt;=7,FORSIDE!$F$8&gt;=9,FORSIDE!$B$5&gt;=8),2165,"")</f>
        <v/>
      </c>
      <c r="B2166" t="str">
        <f>IF(AND(FORSIDE!$B$8&gt;=7,FORSIDE!$F$8&gt;=9,FORSIDE!$B$5&gt;=8),354+9*FORSIDE!$F$9,"")</f>
        <v/>
      </c>
      <c r="C2166" t="str">
        <f>IF(AND(FORSIDE!$B$8&gt;=7,FORSIDE!$F$8&gt;=9,FORSIDE!$B$5&gt;=8),7*FORSIDE!$B$9,"")</f>
        <v/>
      </c>
      <c r="D2166" t="str">
        <f>IF(AND(FORSIDE!$B$8&gt;=7,FORSIDE!$F$8&gt;=9,FORSIDE!$B$5&gt;=8),FORSIDE!$B$6+(8-1)*FORSIDE!$B$7,"")</f>
        <v/>
      </c>
    </row>
    <row r="2167" spans="1:4" x14ac:dyDescent="0.3">
      <c r="A2167" t="str">
        <f>IF(AND(FORSIDE!$B$8&gt;=7,FORSIDE!$F$8&gt;=9,FORSIDE!$B$5&gt;=9),2166,"")</f>
        <v/>
      </c>
      <c r="B2167" t="str">
        <f>IF(AND(FORSIDE!$B$8&gt;=7,FORSIDE!$F$8&gt;=9,FORSIDE!$B$5&gt;=9),354+9*FORSIDE!$F$9,"")</f>
        <v/>
      </c>
      <c r="C2167" t="str">
        <f>IF(AND(FORSIDE!$B$8&gt;=7,FORSIDE!$F$8&gt;=9,FORSIDE!$B$5&gt;=9),7*FORSIDE!$B$9,"")</f>
        <v/>
      </c>
      <c r="D2167" t="str">
        <f>IF(AND(FORSIDE!$B$8&gt;=7,FORSIDE!$F$8&gt;=9,FORSIDE!$B$5&gt;=9),FORSIDE!$B$6+(9-1)*FORSIDE!$B$7,"")</f>
        <v/>
      </c>
    </row>
    <row r="2168" spans="1:4" x14ac:dyDescent="0.3">
      <c r="A2168" t="str">
        <f>IF(AND(FORSIDE!$B$8&gt;=7,FORSIDE!$F$8&gt;=9,FORSIDE!$B$5&gt;=10),2167,"")</f>
        <v/>
      </c>
      <c r="B2168" t="str">
        <f>IF(AND(FORSIDE!$B$8&gt;=7,FORSIDE!$F$8&gt;=9,FORSIDE!$B$5&gt;=10),354+9*FORSIDE!$F$9,"")</f>
        <v/>
      </c>
      <c r="C2168" t="str">
        <f>IF(AND(FORSIDE!$B$8&gt;=7,FORSIDE!$F$8&gt;=9,FORSIDE!$B$5&gt;=10),7*FORSIDE!$B$9,"")</f>
        <v/>
      </c>
      <c r="D2168" t="str">
        <f>IF(AND(FORSIDE!$B$8&gt;=7,FORSIDE!$F$8&gt;=9,FORSIDE!$B$5&gt;=10),FORSIDE!$B$6+(10-1)*FORSIDE!$B$7,"")</f>
        <v/>
      </c>
    </row>
    <row r="2169" spans="1:4" x14ac:dyDescent="0.3">
      <c r="A2169" t="str">
        <f>IF(AND(FORSIDE!$B$8&gt;=8,FORSIDE!$F$8&gt;=9,FORSIDE!$B$5&gt;=0),2168,"")</f>
        <v/>
      </c>
      <c r="B2169" t="str">
        <f>IF(AND(FORSIDE!$B$8&gt;=8,FORSIDE!$F$8&gt;=9,FORSIDE!$B$5&gt;=0),354+9*FORSIDE!$F$9,"")</f>
        <v/>
      </c>
      <c r="C2169" t="str">
        <f>IF(AND(FORSIDE!$B$8&gt;=8,FORSIDE!$F$8&gt;=9,FORSIDE!$B$5&gt;=0),8*FORSIDE!$B$9,"")</f>
        <v/>
      </c>
      <c r="D2169" t="str">
        <f>IF(AND(FORSIDE!$B$8&gt;=8,FORSIDE!$F$8&gt;=9,FORSIDE!$B$5&gt;=0),0,"")</f>
        <v/>
      </c>
    </row>
    <row r="2170" spans="1:4" x14ac:dyDescent="0.3">
      <c r="A2170" t="str">
        <f>IF(AND(FORSIDE!$B$8&gt;=8,FORSIDE!$F$8&gt;=9,FORSIDE!$B$5&gt;=1),2169,"")</f>
        <v/>
      </c>
      <c r="B2170" t="str">
        <f>IF(AND(FORSIDE!$B$8&gt;=8,FORSIDE!$F$8&gt;=9,FORSIDE!$B$5&gt;=1),354+9*FORSIDE!$F$9,"")</f>
        <v/>
      </c>
      <c r="C2170" t="str">
        <f>IF(AND(FORSIDE!$B$8&gt;=8,FORSIDE!$F$8&gt;=9,FORSIDE!$B$5&gt;=1),8*FORSIDE!$B$9,"")</f>
        <v/>
      </c>
      <c r="D2170" t="str">
        <f>IF(AND(FORSIDE!$B$8&gt;=8,FORSIDE!$F$8&gt;=9,FORSIDE!$B$5&gt;=1),FORSIDE!$B$6+(1-1)*FORSIDE!$B$7,"")</f>
        <v/>
      </c>
    </row>
    <row r="2171" spans="1:4" x14ac:dyDescent="0.3">
      <c r="A2171" t="str">
        <f>IF(AND(FORSIDE!$B$8&gt;=8,FORSIDE!$F$8&gt;=9,FORSIDE!$B$5&gt;=2),2170,"")</f>
        <v/>
      </c>
      <c r="B2171" t="str">
        <f>IF(AND(FORSIDE!$B$8&gt;=8,FORSIDE!$F$8&gt;=9,FORSIDE!$B$5&gt;=2),354+9*FORSIDE!$F$9,"")</f>
        <v/>
      </c>
      <c r="C2171" t="str">
        <f>IF(AND(FORSIDE!$B$8&gt;=8,FORSIDE!$F$8&gt;=9,FORSIDE!$B$5&gt;=2),8*FORSIDE!$B$9,"")</f>
        <v/>
      </c>
      <c r="D2171" t="str">
        <f>IF(AND(FORSIDE!$B$8&gt;=8,FORSIDE!$F$8&gt;=9,FORSIDE!$B$5&gt;=2),FORSIDE!$B$6+(2-1)*FORSIDE!$B$7,"")</f>
        <v/>
      </c>
    </row>
    <row r="2172" spans="1:4" x14ac:dyDescent="0.3">
      <c r="A2172" t="str">
        <f>IF(AND(FORSIDE!$B$8&gt;=8,FORSIDE!$F$8&gt;=9,FORSIDE!$B$5&gt;=3),2171,"")</f>
        <v/>
      </c>
      <c r="B2172" t="str">
        <f>IF(AND(FORSIDE!$B$8&gt;=8,FORSIDE!$F$8&gt;=9,FORSIDE!$B$5&gt;=3),354+9*FORSIDE!$F$9,"")</f>
        <v/>
      </c>
      <c r="C2172" t="str">
        <f>IF(AND(FORSIDE!$B$8&gt;=8,FORSIDE!$F$8&gt;=9,FORSIDE!$B$5&gt;=3),8*FORSIDE!$B$9,"")</f>
        <v/>
      </c>
      <c r="D2172" t="str">
        <f>IF(AND(FORSIDE!$B$8&gt;=8,FORSIDE!$F$8&gt;=9,FORSIDE!$B$5&gt;=3),FORSIDE!$B$6+(3-1)*FORSIDE!$B$7,"")</f>
        <v/>
      </c>
    </row>
    <row r="2173" spans="1:4" x14ac:dyDescent="0.3">
      <c r="A2173" t="str">
        <f>IF(AND(FORSIDE!$B$8&gt;=8,FORSIDE!$F$8&gt;=9,FORSIDE!$B$5&gt;=4),2172,"")</f>
        <v/>
      </c>
      <c r="B2173" t="str">
        <f>IF(AND(FORSIDE!$B$8&gt;=8,FORSIDE!$F$8&gt;=9,FORSIDE!$B$5&gt;=4),354+9*FORSIDE!$F$9,"")</f>
        <v/>
      </c>
      <c r="C2173" t="str">
        <f>IF(AND(FORSIDE!$B$8&gt;=8,FORSIDE!$F$8&gt;=9,FORSIDE!$B$5&gt;=4),8*FORSIDE!$B$9,"")</f>
        <v/>
      </c>
      <c r="D2173" t="str">
        <f>IF(AND(FORSIDE!$B$8&gt;=8,FORSIDE!$F$8&gt;=9,FORSIDE!$B$5&gt;=4),FORSIDE!$B$6+(4-1)*FORSIDE!$B$7,"")</f>
        <v/>
      </c>
    </row>
    <row r="2174" spans="1:4" x14ac:dyDescent="0.3">
      <c r="A2174" t="str">
        <f>IF(AND(FORSIDE!$B$8&gt;=8,FORSIDE!$F$8&gt;=9,FORSIDE!$B$5&gt;=5),2173,"")</f>
        <v/>
      </c>
      <c r="B2174" t="str">
        <f>IF(AND(FORSIDE!$B$8&gt;=8,FORSIDE!$F$8&gt;=9,FORSIDE!$B$5&gt;=5),354+9*FORSIDE!$F$9,"")</f>
        <v/>
      </c>
      <c r="C2174" t="str">
        <f>IF(AND(FORSIDE!$B$8&gt;=8,FORSIDE!$F$8&gt;=9,FORSIDE!$B$5&gt;=5),8*FORSIDE!$B$9,"")</f>
        <v/>
      </c>
      <c r="D2174" t="str">
        <f>IF(AND(FORSIDE!$B$8&gt;=8,FORSIDE!$F$8&gt;=9,FORSIDE!$B$5&gt;=5),FORSIDE!$B$6+(5-1)*FORSIDE!$B$7,"")</f>
        <v/>
      </c>
    </row>
    <row r="2175" spans="1:4" x14ac:dyDescent="0.3">
      <c r="A2175" t="str">
        <f>IF(AND(FORSIDE!$B$8&gt;=8,FORSIDE!$F$8&gt;=9,FORSIDE!$B$5&gt;=6),2174,"")</f>
        <v/>
      </c>
      <c r="B2175" t="str">
        <f>IF(AND(FORSIDE!$B$8&gt;=8,FORSIDE!$F$8&gt;=9,FORSIDE!$B$5&gt;=6),354+9*FORSIDE!$F$9,"")</f>
        <v/>
      </c>
      <c r="C2175" t="str">
        <f>IF(AND(FORSIDE!$B$8&gt;=8,FORSIDE!$F$8&gt;=9,FORSIDE!$B$5&gt;=6),8*FORSIDE!$B$9,"")</f>
        <v/>
      </c>
      <c r="D2175" t="str">
        <f>IF(AND(FORSIDE!$B$8&gt;=8,FORSIDE!$F$8&gt;=9,FORSIDE!$B$5&gt;=6),FORSIDE!$B$6+(6-1)*FORSIDE!$B$7,"")</f>
        <v/>
      </c>
    </row>
    <row r="2176" spans="1:4" x14ac:dyDescent="0.3">
      <c r="A2176" t="str">
        <f>IF(AND(FORSIDE!$B$8&gt;=8,FORSIDE!$F$8&gt;=9,FORSIDE!$B$5&gt;=7),2175,"")</f>
        <v/>
      </c>
      <c r="B2176" t="str">
        <f>IF(AND(FORSIDE!$B$8&gt;=8,FORSIDE!$F$8&gt;=9,FORSIDE!$B$5&gt;=7),354+9*FORSIDE!$F$9,"")</f>
        <v/>
      </c>
      <c r="C2176" t="str">
        <f>IF(AND(FORSIDE!$B$8&gt;=8,FORSIDE!$F$8&gt;=9,FORSIDE!$B$5&gt;=7),8*FORSIDE!$B$9,"")</f>
        <v/>
      </c>
      <c r="D2176" t="str">
        <f>IF(AND(FORSIDE!$B$8&gt;=8,FORSIDE!$F$8&gt;=9,FORSIDE!$B$5&gt;=7),FORSIDE!$B$6+(7-1)*FORSIDE!$B$7,"")</f>
        <v/>
      </c>
    </row>
    <row r="2177" spans="1:4" x14ac:dyDescent="0.3">
      <c r="A2177" t="str">
        <f>IF(AND(FORSIDE!$B$8&gt;=8,FORSIDE!$F$8&gt;=9,FORSIDE!$B$5&gt;=8),2176,"")</f>
        <v/>
      </c>
      <c r="B2177" t="str">
        <f>IF(AND(FORSIDE!$B$8&gt;=8,FORSIDE!$F$8&gt;=9,FORSIDE!$B$5&gt;=8),354+9*FORSIDE!$F$9,"")</f>
        <v/>
      </c>
      <c r="C2177" t="str">
        <f>IF(AND(FORSIDE!$B$8&gt;=8,FORSIDE!$F$8&gt;=9,FORSIDE!$B$5&gt;=8),8*FORSIDE!$B$9,"")</f>
        <v/>
      </c>
      <c r="D2177" t="str">
        <f>IF(AND(FORSIDE!$B$8&gt;=8,FORSIDE!$F$8&gt;=9,FORSIDE!$B$5&gt;=8),FORSIDE!$B$6+(8-1)*FORSIDE!$B$7,"")</f>
        <v/>
      </c>
    </row>
    <row r="2178" spans="1:4" x14ac:dyDescent="0.3">
      <c r="A2178" t="str">
        <f>IF(AND(FORSIDE!$B$8&gt;=8,FORSIDE!$F$8&gt;=9,FORSIDE!$B$5&gt;=9),2177,"")</f>
        <v/>
      </c>
      <c r="B2178" t="str">
        <f>IF(AND(FORSIDE!$B$8&gt;=8,FORSIDE!$F$8&gt;=9,FORSIDE!$B$5&gt;=9),354+9*FORSIDE!$F$9,"")</f>
        <v/>
      </c>
      <c r="C2178" t="str">
        <f>IF(AND(FORSIDE!$B$8&gt;=8,FORSIDE!$F$8&gt;=9,FORSIDE!$B$5&gt;=9),8*FORSIDE!$B$9,"")</f>
        <v/>
      </c>
      <c r="D2178" t="str">
        <f>IF(AND(FORSIDE!$B$8&gt;=8,FORSIDE!$F$8&gt;=9,FORSIDE!$B$5&gt;=9),FORSIDE!$B$6+(9-1)*FORSIDE!$B$7,"")</f>
        <v/>
      </c>
    </row>
    <row r="2179" spans="1:4" x14ac:dyDescent="0.3">
      <c r="A2179" t="str">
        <f>IF(AND(FORSIDE!$B$8&gt;=8,FORSIDE!$F$8&gt;=9,FORSIDE!$B$5&gt;=10),2178,"")</f>
        <v/>
      </c>
      <c r="B2179" t="str">
        <f>IF(AND(FORSIDE!$B$8&gt;=8,FORSIDE!$F$8&gt;=9,FORSIDE!$B$5&gt;=10),354+9*FORSIDE!$F$9,"")</f>
        <v/>
      </c>
      <c r="C2179" t="str">
        <f>IF(AND(FORSIDE!$B$8&gt;=8,FORSIDE!$F$8&gt;=9,FORSIDE!$B$5&gt;=10),8*FORSIDE!$B$9,"")</f>
        <v/>
      </c>
      <c r="D2179" t="str">
        <f>IF(AND(FORSIDE!$B$8&gt;=8,FORSIDE!$F$8&gt;=9,FORSIDE!$B$5&gt;=10),FORSIDE!$B$6+(10-1)*FORSIDE!$B$7,"")</f>
        <v/>
      </c>
    </row>
    <row r="2180" spans="1:4" x14ac:dyDescent="0.3">
      <c r="A2180" t="str">
        <f>IF(AND(FORSIDE!$B$8&gt;=9,FORSIDE!$F$8&gt;=9,FORSIDE!$B$5&gt;=0),2179,"")</f>
        <v/>
      </c>
      <c r="B2180" t="str">
        <f>IF(AND(FORSIDE!$B$8&gt;=9,FORSIDE!$F$8&gt;=9,FORSIDE!$B$5&gt;=0),354+9*FORSIDE!$F$9,"")</f>
        <v/>
      </c>
      <c r="C2180" t="str">
        <f>IF(AND(FORSIDE!$B$8&gt;=9,FORSIDE!$F$8&gt;=9,FORSIDE!$B$5&gt;=0),9*FORSIDE!$B$9,"")</f>
        <v/>
      </c>
      <c r="D2180" t="str">
        <f>IF(AND(FORSIDE!$B$8&gt;=9,FORSIDE!$F$8&gt;=9,FORSIDE!$B$5&gt;=0),0,"")</f>
        <v/>
      </c>
    </row>
    <row r="2181" spans="1:4" x14ac:dyDescent="0.3">
      <c r="A2181" t="str">
        <f>IF(AND(FORSIDE!$B$8&gt;=9,FORSIDE!$F$8&gt;=9,FORSIDE!$B$5&gt;=1),2180,"")</f>
        <v/>
      </c>
      <c r="B2181" t="str">
        <f>IF(AND(FORSIDE!$B$8&gt;=9,FORSIDE!$F$8&gt;=9,FORSIDE!$B$5&gt;=1),354+9*FORSIDE!$F$9,"")</f>
        <v/>
      </c>
      <c r="C2181" t="str">
        <f>IF(AND(FORSIDE!$B$8&gt;=9,FORSIDE!$F$8&gt;=9,FORSIDE!$B$5&gt;=1),9*FORSIDE!$B$9,"")</f>
        <v/>
      </c>
      <c r="D2181" t="str">
        <f>IF(AND(FORSIDE!$B$8&gt;=9,FORSIDE!$F$8&gt;=9,FORSIDE!$B$5&gt;=1),FORSIDE!$B$6+(1-1)*FORSIDE!$B$7,"")</f>
        <v/>
      </c>
    </row>
    <row r="2182" spans="1:4" x14ac:dyDescent="0.3">
      <c r="A2182" t="str">
        <f>IF(AND(FORSIDE!$B$8&gt;=9,FORSIDE!$F$8&gt;=9,FORSIDE!$B$5&gt;=2),2181,"")</f>
        <v/>
      </c>
      <c r="B2182" t="str">
        <f>IF(AND(FORSIDE!$B$8&gt;=9,FORSIDE!$F$8&gt;=9,FORSIDE!$B$5&gt;=2),354+9*FORSIDE!$F$9,"")</f>
        <v/>
      </c>
      <c r="C2182" t="str">
        <f>IF(AND(FORSIDE!$B$8&gt;=9,FORSIDE!$F$8&gt;=9,FORSIDE!$B$5&gt;=2),9*FORSIDE!$B$9,"")</f>
        <v/>
      </c>
      <c r="D2182" t="str">
        <f>IF(AND(FORSIDE!$B$8&gt;=9,FORSIDE!$F$8&gt;=9,FORSIDE!$B$5&gt;=2),FORSIDE!$B$6+(2-1)*FORSIDE!$B$7,"")</f>
        <v/>
      </c>
    </row>
    <row r="2183" spans="1:4" x14ac:dyDescent="0.3">
      <c r="A2183" t="str">
        <f>IF(AND(FORSIDE!$B$8&gt;=9,FORSIDE!$F$8&gt;=9,FORSIDE!$B$5&gt;=3),2182,"")</f>
        <v/>
      </c>
      <c r="B2183" t="str">
        <f>IF(AND(FORSIDE!$B$8&gt;=9,FORSIDE!$F$8&gt;=9,FORSIDE!$B$5&gt;=3),354+9*FORSIDE!$F$9,"")</f>
        <v/>
      </c>
      <c r="C2183" t="str">
        <f>IF(AND(FORSIDE!$B$8&gt;=9,FORSIDE!$F$8&gt;=9,FORSIDE!$B$5&gt;=3),9*FORSIDE!$B$9,"")</f>
        <v/>
      </c>
      <c r="D2183" t="str">
        <f>IF(AND(FORSIDE!$B$8&gt;=9,FORSIDE!$F$8&gt;=9,FORSIDE!$B$5&gt;=3),FORSIDE!$B$6+(3-1)*FORSIDE!$B$7,"")</f>
        <v/>
      </c>
    </row>
    <row r="2184" spans="1:4" x14ac:dyDescent="0.3">
      <c r="A2184" t="str">
        <f>IF(AND(FORSIDE!$B$8&gt;=9,FORSIDE!$F$8&gt;=9,FORSIDE!$B$5&gt;=4),2183,"")</f>
        <v/>
      </c>
      <c r="B2184" t="str">
        <f>IF(AND(FORSIDE!$B$8&gt;=9,FORSIDE!$F$8&gt;=9,FORSIDE!$B$5&gt;=4),354+9*FORSIDE!$F$9,"")</f>
        <v/>
      </c>
      <c r="C2184" t="str">
        <f>IF(AND(FORSIDE!$B$8&gt;=9,FORSIDE!$F$8&gt;=9,FORSIDE!$B$5&gt;=4),9*FORSIDE!$B$9,"")</f>
        <v/>
      </c>
      <c r="D2184" t="str">
        <f>IF(AND(FORSIDE!$B$8&gt;=9,FORSIDE!$F$8&gt;=9,FORSIDE!$B$5&gt;=4),FORSIDE!$B$6+(4-1)*FORSIDE!$B$7,"")</f>
        <v/>
      </c>
    </row>
    <row r="2185" spans="1:4" x14ac:dyDescent="0.3">
      <c r="A2185" t="str">
        <f>IF(AND(FORSIDE!$B$8&gt;=9,FORSIDE!$F$8&gt;=9,FORSIDE!$B$5&gt;=5),2184,"")</f>
        <v/>
      </c>
      <c r="B2185" t="str">
        <f>IF(AND(FORSIDE!$B$8&gt;=9,FORSIDE!$F$8&gt;=9,FORSIDE!$B$5&gt;=5),354+9*FORSIDE!$F$9,"")</f>
        <v/>
      </c>
      <c r="C2185" t="str">
        <f>IF(AND(FORSIDE!$B$8&gt;=9,FORSIDE!$F$8&gt;=9,FORSIDE!$B$5&gt;=5),9*FORSIDE!$B$9,"")</f>
        <v/>
      </c>
      <c r="D2185" t="str">
        <f>IF(AND(FORSIDE!$B$8&gt;=9,FORSIDE!$F$8&gt;=9,FORSIDE!$B$5&gt;=5),FORSIDE!$B$6+(5-1)*FORSIDE!$B$7,"")</f>
        <v/>
      </c>
    </row>
    <row r="2186" spans="1:4" x14ac:dyDescent="0.3">
      <c r="A2186" t="str">
        <f>IF(AND(FORSIDE!$B$8&gt;=9,FORSIDE!$F$8&gt;=9,FORSIDE!$B$5&gt;=6),2185,"")</f>
        <v/>
      </c>
      <c r="B2186" t="str">
        <f>IF(AND(FORSIDE!$B$8&gt;=9,FORSIDE!$F$8&gt;=9,FORSIDE!$B$5&gt;=6),354+9*FORSIDE!$F$9,"")</f>
        <v/>
      </c>
      <c r="C2186" t="str">
        <f>IF(AND(FORSIDE!$B$8&gt;=9,FORSIDE!$F$8&gt;=9,FORSIDE!$B$5&gt;=6),9*FORSIDE!$B$9,"")</f>
        <v/>
      </c>
      <c r="D2186" t="str">
        <f>IF(AND(FORSIDE!$B$8&gt;=9,FORSIDE!$F$8&gt;=9,FORSIDE!$B$5&gt;=6),FORSIDE!$B$6+(6-1)*FORSIDE!$B$7,"")</f>
        <v/>
      </c>
    </row>
    <row r="2187" spans="1:4" x14ac:dyDescent="0.3">
      <c r="A2187" t="str">
        <f>IF(AND(FORSIDE!$B$8&gt;=9,FORSIDE!$F$8&gt;=9,FORSIDE!$B$5&gt;=7),2186,"")</f>
        <v/>
      </c>
      <c r="B2187" t="str">
        <f>IF(AND(FORSIDE!$B$8&gt;=9,FORSIDE!$F$8&gt;=9,FORSIDE!$B$5&gt;=7),354+9*FORSIDE!$F$9,"")</f>
        <v/>
      </c>
      <c r="C2187" t="str">
        <f>IF(AND(FORSIDE!$B$8&gt;=9,FORSIDE!$F$8&gt;=9,FORSIDE!$B$5&gt;=7),9*FORSIDE!$B$9,"")</f>
        <v/>
      </c>
      <c r="D2187" t="str">
        <f>IF(AND(FORSIDE!$B$8&gt;=9,FORSIDE!$F$8&gt;=9,FORSIDE!$B$5&gt;=7),FORSIDE!$B$6+(7-1)*FORSIDE!$B$7,"")</f>
        <v/>
      </c>
    </row>
    <row r="2188" spans="1:4" x14ac:dyDescent="0.3">
      <c r="A2188" t="str">
        <f>IF(AND(FORSIDE!$B$8&gt;=9,FORSIDE!$F$8&gt;=9,FORSIDE!$B$5&gt;=8),2187,"")</f>
        <v/>
      </c>
      <c r="B2188" t="str">
        <f>IF(AND(FORSIDE!$B$8&gt;=9,FORSIDE!$F$8&gt;=9,FORSIDE!$B$5&gt;=8),354+9*FORSIDE!$F$9,"")</f>
        <v/>
      </c>
      <c r="C2188" t="str">
        <f>IF(AND(FORSIDE!$B$8&gt;=9,FORSIDE!$F$8&gt;=9,FORSIDE!$B$5&gt;=8),9*FORSIDE!$B$9,"")</f>
        <v/>
      </c>
      <c r="D2188" t="str">
        <f>IF(AND(FORSIDE!$B$8&gt;=9,FORSIDE!$F$8&gt;=9,FORSIDE!$B$5&gt;=8),FORSIDE!$B$6+(8-1)*FORSIDE!$B$7,"")</f>
        <v/>
      </c>
    </row>
    <row r="2189" spans="1:4" x14ac:dyDescent="0.3">
      <c r="A2189" t="str">
        <f>IF(AND(FORSIDE!$B$8&gt;=9,FORSIDE!$F$8&gt;=9,FORSIDE!$B$5&gt;=9),2188,"")</f>
        <v/>
      </c>
      <c r="B2189" t="str">
        <f>IF(AND(FORSIDE!$B$8&gt;=9,FORSIDE!$F$8&gt;=9,FORSIDE!$B$5&gt;=9),354+9*FORSIDE!$F$9,"")</f>
        <v/>
      </c>
      <c r="C2189" t="str">
        <f>IF(AND(FORSIDE!$B$8&gt;=9,FORSIDE!$F$8&gt;=9,FORSIDE!$B$5&gt;=9),9*FORSIDE!$B$9,"")</f>
        <v/>
      </c>
      <c r="D2189" t="str">
        <f>IF(AND(FORSIDE!$B$8&gt;=9,FORSIDE!$F$8&gt;=9,FORSIDE!$B$5&gt;=9),FORSIDE!$B$6+(9-1)*FORSIDE!$B$7,"")</f>
        <v/>
      </c>
    </row>
    <row r="2190" spans="1:4" x14ac:dyDescent="0.3">
      <c r="A2190" t="str">
        <f>IF(AND(FORSIDE!$B$8&gt;=9,FORSIDE!$F$8&gt;=9,FORSIDE!$B$5&gt;=10),2189,"")</f>
        <v/>
      </c>
      <c r="B2190" t="str">
        <f>IF(AND(FORSIDE!$B$8&gt;=9,FORSIDE!$F$8&gt;=9,FORSIDE!$B$5&gt;=10),354+9*FORSIDE!$F$9,"")</f>
        <v/>
      </c>
      <c r="C2190" t="str">
        <f>IF(AND(FORSIDE!$B$8&gt;=9,FORSIDE!$F$8&gt;=9,FORSIDE!$B$5&gt;=10),9*FORSIDE!$B$9,"")</f>
        <v/>
      </c>
      <c r="D2190" t="str">
        <f>IF(AND(FORSIDE!$B$8&gt;=9,FORSIDE!$F$8&gt;=9,FORSIDE!$B$5&gt;=10),FORSIDE!$B$6+(10-1)*FORSIDE!$B$7,"")</f>
        <v/>
      </c>
    </row>
    <row r="2191" spans="1:4" x14ac:dyDescent="0.3">
      <c r="A2191" t="str">
        <f>IF(AND(FORSIDE!$B$8&gt;=10,FORSIDE!$F$8&gt;=9,FORSIDE!$B$5&gt;=0),2190,"")</f>
        <v/>
      </c>
      <c r="B2191" t="str">
        <f>IF(AND(FORSIDE!$B$8&gt;=10,FORSIDE!$F$8&gt;=9,FORSIDE!$B$5&gt;=0),354+9*FORSIDE!$F$9,"")</f>
        <v/>
      </c>
      <c r="C2191" t="str">
        <f>IF(AND(FORSIDE!$B$8&gt;=10,FORSIDE!$F$8&gt;=9,FORSIDE!$B$5&gt;=0),10*FORSIDE!$B$9,"")</f>
        <v/>
      </c>
      <c r="D2191" t="str">
        <f>IF(AND(FORSIDE!$B$8&gt;=10,FORSIDE!$F$8&gt;=9,FORSIDE!$B$5&gt;=0),0,"")</f>
        <v/>
      </c>
    </row>
    <row r="2192" spans="1:4" x14ac:dyDescent="0.3">
      <c r="A2192" t="str">
        <f>IF(AND(FORSIDE!$B$8&gt;=10,FORSIDE!$F$8&gt;=9,FORSIDE!$B$5&gt;=1),2191,"")</f>
        <v/>
      </c>
      <c r="B2192" t="str">
        <f>IF(AND(FORSIDE!$B$8&gt;=10,FORSIDE!$F$8&gt;=9,FORSIDE!$B$5&gt;=1),354+9*FORSIDE!$F$9,"")</f>
        <v/>
      </c>
      <c r="C2192" t="str">
        <f>IF(AND(FORSIDE!$B$8&gt;=10,FORSIDE!$F$8&gt;=9,FORSIDE!$B$5&gt;=1),10*FORSIDE!$B$9,"")</f>
        <v/>
      </c>
      <c r="D2192" t="str">
        <f>IF(AND(FORSIDE!$B$8&gt;=10,FORSIDE!$F$8&gt;=9,FORSIDE!$B$5&gt;=1),FORSIDE!$B$6+(1-1)*FORSIDE!$B$7,"")</f>
        <v/>
      </c>
    </row>
    <row r="2193" spans="1:4" x14ac:dyDescent="0.3">
      <c r="A2193" t="str">
        <f>IF(AND(FORSIDE!$B$8&gt;=10,FORSIDE!$F$8&gt;=9,FORSIDE!$B$5&gt;=2),2192,"")</f>
        <v/>
      </c>
      <c r="B2193" t="str">
        <f>IF(AND(FORSIDE!$B$8&gt;=10,FORSIDE!$F$8&gt;=9,FORSIDE!$B$5&gt;=2),354+9*FORSIDE!$F$9,"")</f>
        <v/>
      </c>
      <c r="C2193" t="str">
        <f>IF(AND(FORSIDE!$B$8&gt;=10,FORSIDE!$F$8&gt;=9,FORSIDE!$B$5&gt;=2),10*FORSIDE!$B$9,"")</f>
        <v/>
      </c>
      <c r="D2193" t="str">
        <f>IF(AND(FORSIDE!$B$8&gt;=10,FORSIDE!$F$8&gt;=9,FORSIDE!$B$5&gt;=2),FORSIDE!$B$6+(2-1)*FORSIDE!$B$7,"")</f>
        <v/>
      </c>
    </row>
    <row r="2194" spans="1:4" x14ac:dyDescent="0.3">
      <c r="A2194" t="str">
        <f>IF(AND(FORSIDE!$B$8&gt;=10,FORSIDE!$F$8&gt;=9,FORSIDE!$B$5&gt;=3),2193,"")</f>
        <v/>
      </c>
      <c r="B2194" t="str">
        <f>IF(AND(FORSIDE!$B$8&gt;=10,FORSIDE!$F$8&gt;=9,FORSIDE!$B$5&gt;=3),354+9*FORSIDE!$F$9,"")</f>
        <v/>
      </c>
      <c r="C2194" t="str">
        <f>IF(AND(FORSIDE!$B$8&gt;=10,FORSIDE!$F$8&gt;=9,FORSIDE!$B$5&gt;=3),10*FORSIDE!$B$9,"")</f>
        <v/>
      </c>
      <c r="D2194" t="str">
        <f>IF(AND(FORSIDE!$B$8&gt;=10,FORSIDE!$F$8&gt;=9,FORSIDE!$B$5&gt;=3),FORSIDE!$B$6+(3-1)*FORSIDE!$B$7,"")</f>
        <v/>
      </c>
    </row>
    <row r="2195" spans="1:4" x14ac:dyDescent="0.3">
      <c r="A2195" t="str">
        <f>IF(AND(FORSIDE!$B$8&gt;=10,FORSIDE!$F$8&gt;=9,FORSIDE!$B$5&gt;=4),2194,"")</f>
        <v/>
      </c>
      <c r="B2195" t="str">
        <f>IF(AND(FORSIDE!$B$8&gt;=10,FORSIDE!$F$8&gt;=9,FORSIDE!$B$5&gt;=4),354+9*FORSIDE!$F$9,"")</f>
        <v/>
      </c>
      <c r="C2195" t="str">
        <f>IF(AND(FORSIDE!$B$8&gt;=10,FORSIDE!$F$8&gt;=9,FORSIDE!$B$5&gt;=4),10*FORSIDE!$B$9,"")</f>
        <v/>
      </c>
      <c r="D2195" t="str">
        <f>IF(AND(FORSIDE!$B$8&gt;=10,FORSIDE!$F$8&gt;=9,FORSIDE!$B$5&gt;=4),FORSIDE!$B$6+(4-1)*FORSIDE!$B$7,"")</f>
        <v/>
      </c>
    </row>
    <row r="2196" spans="1:4" x14ac:dyDescent="0.3">
      <c r="A2196" t="str">
        <f>IF(AND(FORSIDE!$B$8&gt;=10,FORSIDE!$F$8&gt;=9,FORSIDE!$B$5&gt;=5),2195,"")</f>
        <v/>
      </c>
      <c r="B2196" t="str">
        <f>IF(AND(FORSIDE!$B$8&gt;=10,FORSIDE!$F$8&gt;=9,FORSIDE!$B$5&gt;=5),354+9*FORSIDE!$F$9,"")</f>
        <v/>
      </c>
      <c r="C2196" t="str">
        <f>IF(AND(FORSIDE!$B$8&gt;=10,FORSIDE!$F$8&gt;=9,FORSIDE!$B$5&gt;=5),10*FORSIDE!$B$9,"")</f>
        <v/>
      </c>
      <c r="D2196" t="str">
        <f>IF(AND(FORSIDE!$B$8&gt;=10,FORSIDE!$F$8&gt;=9,FORSIDE!$B$5&gt;=5),FORSIDE!$B$6+(5-1)*FORSIDE!$B$7,"")</f>
        <v/>
      </c>
    </row>
    <row r="2197" spans="1:4" x14ac:dyDescent="0.3">
      <c r="A2197" t="str">
        <f>IF(AND(FORSIDE!$B$8&gt;=10,FORSIDE!$F$8&gt;=9,FORSIDE!$B$5&gt;=6),2196,"")</f>
        <v/>
      </c>
      <c r="B2197" t="str">
        <f>IF(AND(FORSIDE!$B$8&gt;=10,FORSIDE!$F$8&gt;=9,FORSIDE!$B$5&gt;=6),354+9*FORSIDE!$F$9,"")</f>
        <v/>
      </c>
      <c r="C2197" t="str">
        <f>IF(AND(FORSIDE!$B$8&gt;=10,FORSIDE!$F$8&gt;=9,FORSIDE!$B$5&gt;=6),10*FORSIDE!$B$9,"")</f>
        <v/>
      </c>
      <c r="D2197" t="str">
        <f>IF(AND(FORSIDE!$B$8&gt;=10,FORSIDE!$F$8&gt;=9,FORSIDE!$B$5&gt;=6),FORSIDE!$B$6+(6-1)*FORSIDE!$B$7,"")</f>
        <v/>
      </c>
    </row>
    <row r="2198" spans="1:4" x14ac:dyDescent="0.3">
      <c r="A2198" t="str">
        <f>IF(AND(FORSIDE!$B$8&gt;=10,FORSIDE!$F$8&gt;=9,FORSIDE!$B$5&gt;=7),2197,"")</f>
        <v/>
      </c>
      <c r="B2198" t="str">
        <f>IF(AND(FORSIDE!$B$8&gt;=10,FORSIDE!$F$8&gt;=9,FORSIDE!$B$5&gt;=7),354+9*FORSIDE!$F$9,"")</f>
        <v/>
      </c>
      <c r="C2198" t="str">
        <f>IF(AND(FORSIDE!$B$8&gt;=10,FORSIDE!$F$8&gt;=9,FORSIDE!$B$5&gt;=7),10*FORSIDE!$B$9,"")</f>
        <v/>
      </c>
      <c r="D2198" t="str">
        <f>IF(AND(FORSIDE!$B$8&gt;=10,FORSIDE!$F$8&gt;=9,FORSIDE!$B$5&gt;=7),FORSIDE!$B$6+(7-1)*FORSIDE!$B$7,"")</f>
        <v/>
      </c>
    </row>
    <row r="2199" spans="1:4" x14ac:dyDescent="0.3">
      <c r="A2199" t="str">
        <f>IF(AND(FORSIDE!$B$8&gt;=10,FORSIDE!$F$8&gt;=9,FORSIDE!$B$5&gt;=8),2198,"")</f>
        <v/>
      </c>
      <c r="B2199" t="str">
        <f>IF(AND(FORSIDE!$B$8&gt;=10,FORSIDE!$F$8&gt;=9,FORSIDE!$B$5&gt;=8),354+9*FORSIDE!$F$9,"")</f>
        <v/>
      </c>
      <c r="C2199" t="str">
        <f>IF(AND(FORSIDE!$B$8&gt;=10,FORSIDE!$F$8&gt;=9,FORSIDE!$B$5&gt;=8),10*FORSIDE!$B$9,"")</f>
        <v/>
      </c>
      <c r="D2199" t="str">
        <f>IF(AND(FORSIDE!$B$8&gt;=10,FORSIDE!$F$8&gt;=9,FORSIDE!$B$5&gt;=8),FORSIDE!$B$6+(8-1)*FORSIDE!$B$7,"")</f>
        <v/>
      </c>
    </row>
    <row r="2200" spans="1:4" x14ac:dyDescent="0.3">
      <c r="A2200" t="str">
        <f>IF(AND(FORSIDE!$B$8&gt;=10,FORSIDE!$F$8&gt;=9,FORSIDE!$B$5&gt;=9),2199,"")</f>
        <v/>
      </c>
      <c r="B2200" t="str">
        <f>IF(AND(FORSIDE!$B$8&gt;=10,FORSIDE!$F$8&gt;=9,FORSIDE!$B$5&gt;=9),354+9*FORSIDE!$F$9,"")</f>
        <v/>
      </c>
      <c r="C2200" t="str">
        <f>IF(AND(FORSIDE!$B$8&gt;=10,FORSIDE!$F$8&gt;=9,FORSIDE!$B$5&gt;=9),10*FORSIDE!$B$9,"")</f>
        <v/>
      </c>
      <c r="D2200" t="str">
        <f>IF(AND(FORSIDE!$B$8&gt;=10,FORSIDE!$F$8&gt;=9,FORSIDE!$B$5&gt;=9),FORSIDE!$B$6+(9-1)*FORSIDE!$B$7,"")</f>
        <v/>
      </c>
    </row>
    <row r="2201" spans="1:4" x14ac:dyDescent="0.3">
      <c r="A2201" t="str">
        <f>IF(AND(FORSIDE!$B$8&gt;=10,FORSIDE!$F$8&gt;=9,FORSIDE!$B$5&gt;=10),2200,"")</f>
        <v/>
      </c>
      <c r="B2201" t="str">
        <f>IF(AND(FORSIDE!$B$8&gt;=10,FORSIDE!$F$8&gt;=9,FORSIDE!$B$5&gt;=10),354+9*FORSIDE!$F$9,"")</f>
        <v/>
      </c>
      <c r="C2201" t="str">
        <f>IF(AND(FORSIDE!$B$8&gt;=10,FORSIDE!$F$8&gt;=9,FORSIDE!$B$5&gt;=10),10*FORSIDE!$B$9,"")</f>
        <v/>
      </c>
      <c r="D2201" t="str">
        <f>IF(AND(FORSIDE!$B$8&gt;=10,FORSIDE!$F$8&gt;=9,FORSIDE!$B$5&gt;=10),FORSIDE!$B$6+(10-1)*FORSIDE!$B$7,"")</f>
        <v/>
      </c>
    </row>
    <row r="2202" spans="1:4" x14ac:dyDescent="0.3">
      <c r="A2202" t="str">
        <f>IF(AND(FORSIDE!$B$8&gt;=11,FORSIDE!$F$8&gt;=9,FORSIDE!$B$5&gt;=0),2201,"")</f>
        <v/>
      </c>
      <c r="B2202" t="str">
        <f>IF(AND(FORSIDE!$B$8&gt;=11,FORSIDE!$F$8&gt;=9,FORSIDE!$B$5&gt;=0),354+9*FORSIDE!$F$9,"")</f>
        <v/>
      </c>
      <c r="C2202" t="str">
        <f>IF(AND(FORSIDE!$B$8&gt;=11,FORSIDE!$F$8&gt;=9,FORSIDE!$B$5&gt;=0),11*FORSIDE!$B$9,"")</f>
        <v/>
      </c>
      <c r="D2202" t="str">
        <f>IF(AND(FORSIDE!$B$8&gt;=11,FORSIDE!$F$8&gt;=9,FORSIDE!$B$5&gt;=0),0,"")</f>
        <v/>
      </c>
    </row>
    <row r="2203" spans="1:4" x14ac:dyDescent="0.3">
      <c r="A2203" t="str">
        <f>IF(AND(FORSIDE!$B$8&gt;=11,FORSIDE!$F$8&gt;=9,FORSIDE!$B$5&gt;=1),2202,"")</f>
        <v/>
      </c>
      <c r="B2203" t="str">
        <f>IF(AND(FORSIDE!$B$8&gt;=11,FORSIDE!$F$8&gt;=9,FORSIDE!$B$5&gt;=1),354+9*FORSIDE!$F$9,"")</f>
        <v/>
      </c>
      <c r="C2203" t="str">
        <f>IF(AND(FORSIDE!$B$8&gt;=11,FORSIDE!$F$8&gt;=9,FORSIDE!$B$5&gt;=1),11*FORSIDE!$B$9,"")</f>
        <v/>
      </c>
      <c r="D2203" t="str">
        <f>IF(AND(FORSIDE!$B$8&gt;=11,FORSIDE!$F$8&gt;=9,FORSIDE!$B$5&gt;=1),FORSIDE!$B$6+(1-1)*FORSIDE!$B$7,"")</f>
        <v/>
      </c>
    </row>
    <row r="2204" spans="1:4" x14ac:dyDescent="0.3">
      <c r="A2204" t="str">
        <f>IF(AND(FORSIDE!$B$8&gt;=11,FORSIDE!$F$8&gt;=9,FORSIDE!$B$5&gt;=2),2203,"")</f>
        <v/>
      </c>
      <c r="B2204" t="str">
        <f>IF(AND(FORSIDE!$B$8&gt;=11,FORSIDE!$F$8&gt;=9,FORSIDE!$B$5&gt;=2),354+9*FORSIDE!$F$9,"")</f>
        <v/>
      </c>
      <c r="C2204" t="str">
        <f>IF(AND(FORSIDE!$B$8&gt;=11,FORSIDE!$F$8&gt;=9,FORSIDE!$B$5&gt;=2),11*FORSIDE!$B$9,"")</f>
        <v/>
      </c>
      <c r="D2204" t="str">
        <f>IF(AND(FORSIDE!$B$8&gt;=11,FORSIDE!$F$8&gt;=9,FORSIDE!$B$5&gt;=2),FORSIDE!$B$6+(2-1)*FORSIDE!$B$7,"")</f>
        <v/>
      </c>
    </row>
    <row r="2205" spans="1:4" x14ac:dyDescent="0.3">
      <c r="A2205" t="str">
        <f>IF(AND(FORSIDE!$B$8&gt;=11,FORSIDE!$F$8&gt;=9,FORSIDE!$B$5&gt;=3),2204,"")</f>
        <v/>
      </c>
      <c r="B2205" t="str">
        <f>IF(AND(FORSIDE!$B$8&gt;=11,FORSIDE!$F$8&gt;=9,FORSIDE!$B$5&gt;=3),354+9*FORSIDE!$F$9,"")</f>
        <v/>
      </c>
      <c r="C2205" t="str">
        <f>IF(AND(FORSIDE!$B$8&gt;=11,FORSIDE!$F$8&gt;=9,FORSIDE!$B$5&gt;=3),11*FORSIDE!$B$9,"")</f>
        <v/>
      </c>
      <c r="D2205" t="str">
        <f>IF(AND(FORSIDE!$B$8&gt;=11,FORSIDE!$F$8&gt;=9,FORSIDE!$B$5&gt;=3),FORSIDE!$B$6+(3-1)*FORSIDE!$B$7,"")</f>
        <v/>
      </c>
    </row>
    <row r="2206" spans="1:4" x14ac:dyDescent="0.3">
      <c r="A2206" t="str">
        <f>IF(AND(FORSIDE!$B$8&gt;=11,FORSIDE!$F$8&gt;=9,FORSIDE!$B$5&gt;=4),2205,"")</f>
        <v/>
      </c>
      <c r="B2206" t="str">
        <f>IF(AND(FORSIDE!$B$8&gt;=11,FORSIDE!$F$8&gt;=9,FORSIDE!$B$5&gt;=4),354+9*FORSIDE!$F$9,"")</f>
        <v/>
      </c>
      <c r="C2206" t="str">
        <f>IF(AND(FORSIDE!$B$8&gt;=11,FORSIDE!$F$8&gt;=9,FORSIDE!$B$5&gt;=4),11*FORSIDE!$B$9,"")</f>
        <v/>
      </c>
      <c r="D2206" t="str">
        <f>IF(AND(FORSIDE!$B$8&gt;=11,FORSIDE!$F$8&gt;=9,FORSIDE!$B$5&gt;=4),FORSIDE!$B$6+(4-1)*FORSIDE!$B$7,"")</f>
        <v/>
      </c>
    </row>
    <row r="2207" spans="1:4" x14ac:dyDescent="0.3">
      <c r="A2207" t="str">
        <f>IF(AND(FORSIDE!$B$8&gt;=11,FORSIDE!$F$8&gt;=9,FORSIDE!$B$5&gt;=5),2206,"")</f>
        <v/>
      </c>
      <c r="B2207" t="str">
        <f>IF(AND(FORSIDE!$B$8&gt;=11,FORSIDE!$F$8&gt;=9,FORSIDE!$B$5&gt;=5),354+9*FORSIDE!$F$9,"")</f>
        <v/>
      </c>
      <c r="C2207" t="str">
        <f>IF(AND(FORSIDE!$B$8&gt;=11,FORSIDE!$F$8&gt;=9,FORSIDE!$B$5&gt;=5),11*FORSIDE!$B$9,"")</f>
        <v/>
      </c>
      <c r="D2207" t="str">
        <f>IF(AND(FORSIDE!$B$8&gt;=11,FORSIDE!$F$8&gt;=9,FORSIDE!$B$5&gt;=5),FORSIDE!$B$6+(5-1)*FORSIDE!$B$7,"")</f>
        <v/>
      </c>
    </row>
    <row r="2208" spans="1:4" x14ac:dyDescent="0.3">
      <c r="A2208" t="str">
        <f>IF(AND(FORSIDE!$B$8&gt;=11,FORSIDE!$F$8&gt;=9,FORSIDE!$B$5&gt;=6),2207,"")</f>
        <v/>
      </c>
      <c r="B2208" t="str">
        <f>IF(AND(FORSIDE!$B$8&gt;=11,FORSIDE!$F$8&gt;=9,FORSIDE!$B$5&gt;=6),354+9*FORSIDE!$F$9,"")</f>
        <v/>
      </c>
      <c r="C2208" t="str">
        <f>IF(AND(FORSIDE!$B$8&gt;=11,FORSIDE!$F$8&gt;=9,FORSIDE!$B$5&gt;=6),11*FORSIDE!$B$9,"")</f>
        <v/>
      </c>
      <c r="D2208" t="str">
        <f>IF(AND(FORSIDE!$B$8&gt;=11,FORSIDE!$F$8&gt;=9,FORSIDE!$B$5&gt;=6),FORSIDE!$B$6+(6-1)*FORSIDE!$B$7,"")</f>
        <v/>
      </c>
    </row>
    <row r="2209" spans="1:4" x14ac:dyDescent="0.3">
      <c r="A2209" t="str">
        <f>IF(AND(FORSIDE!$B$8&gt;=11,FORSIDE!$F$8&gt;=9,FORSIDE!$B$5&gt;=7),2208,"")</f>
        <v/>
      </c>
      <c r="B2209" t="str">
        <f>IF(AND(FORSIDE!$B$8&gt;=11,FORSIDE!$F$8&gt;=9,FORSIDE!$B$5&gt;=7),354+9*FORSIDE!$F$9,"")</f>
        <v/>
      </c>
      <c r="C2209" t="str">
        <f>IF(AND(FORSIDE!$B$8&gt;=11,FORSIDE!$F$8&gt;=9,FORSIDE!$B$5&gt;=7),11*FORSIDE!$B$9,"")</f>
        <v/>
      </c>
      <c r="D2209" t="str">
        <f>IF(AND(FORSIDE!$B$8&gt;=11,FORSIDE!$F$8&gt;=9,FORSIDE!$B$5&gt;=7),FORSIDE!$B$6+(7-1)*FORSIDE!$B$7,"")</f>
        <v/>
      </c>
    </row>
    <row r="2210" spans="1:4" x14ac:dyDescent="0.3">
      <c r="A2210" t="str">
        <f>IF(AND(FORSIDE!$B$8&gt;=11,FORSIDE!$F$8&gt;=9,FORSIDE!$B$5&gt;=8),2209,"")</f>
        <v/>
      </c>
      <c r="B2210" t="str">
        <f>IF(AND(FORSIDE!$B$8&gt;=11,FORSIDE!$F$8&gt;=9,FORSIDE!$B$5&gt;=8),354+9*FORSIDE!$F$9,"")</f>
        <v/>
      </c>
      <c r="C2210" t="str">
        <f>IF(AND(FORSIDE!$B$8&gt;=11,FORSIDE!$F$8&gt;=9,FORSIDE!$B$5&gt;=8),11*FORSIDE!$B$9,"")</f>
        <v/>
      </c>
      <c r="D2210" t="str">
        <f>IF(AND(FORSIDE!$B$8&gt;=11,FORSIDE!$F$8&gt;=9,FORSIDE!$B$5&gt;=8),FORSIDE!$B$6+(8-1)*FORSIDE!$B$7,"")</f>
        <v/>
      </c>
    </row>
    <row r="2211" spans="1:4" x14ac:dyDescent="0.3">
      <c r="A2211" t="str">
        <f>IF(AND(FORSIDE!$B$8&gt;=11,FORSIDE!$F$8&gt;=9,FORSIDE!$B$5&gt;=9),2210,"")</f>
        <v/>
      </c>
      <c r="B2211" t="str">
        <f>IF(AND(FORSIDE!$B$8&gt;=11,FORSIDE!$F$8&gt;=9,FORSIDE!$B$5&gt;=9),354+9*FORSIDE!$F$9,"")</f>
        <v/>
      </c>
      <c r="C2211" t="str">
        <f>IF(AND(FORSIDE!$B$8&gt;=11,FORSIDE!$F$8&gt;=9,FORSIDE!$B$5&gt;=9),11*FORSIDE!$B$9,"")</f>
        <v/>
      </c>
      <c r="D2211" t="str">
        <f>IF(AND(FORSIDE!$B$8&gt;=11,FORSIDE!$F$8&gt;=9,FORSIDE!$B$5&gt;=9),FORSIDE!$B$6+(9-1)*FORSIDE!$B$7,"")</f>
        <v/>
      </c>
    </row>
    <row r="2212" spans="1:4" x14ac:dyDescent="0.3">
      <c r="A2212" t="str">
        <f>IF(AND(FORSIDE!$B$8&gt;=11,FORSIDE!$F$8&gt;=9,FORSIDE!$B$5&gt;=10),2211,"")</f>
        <v/>
      </c>
      <c r="B2212" t="str">
        <f>IF(AND(FORSIDE!$B$8&gt;=11,FORSIDE!$F$8&gt;=9,FORSIDE!$B$5&gt;=10),354+9*FORSIDE!$F$9,"")</f>
        <v/>
      </c>
      <c r="C2212" t="str">
        <f>IF(AND(FORSIDE!$B$8&gt;=11,FORSIDE!$F$8&gt;=9,FORSIDE!$B$5&gt;=10),11*FORSIDE!$B$9,"")</f>
        <v/>
      </c>
      <c r="D2212" t="str">
        <f>IF(AND(FORSIDE!$B$8&gt;=11,FORSIDE!$F$8&gt;=9,FORSIDE!$B$5&gt;=10),FORSIDE!$B$6+(10-1)*FORSIDE!$B$7,"")</f>
        <v/>
      </c>
    </row>
    <row r="2213" spans="1:4" x14ac:dyDescent="0.3">
      <c r="A2213" t="str">
        <f>IF(AND(FORSIDE!$B$8&gt;=12,FORSIDE!$F$8&gt;=9,FORSIDE!$B$5&gt;=0),2212,"")</f>
        <v/>
      </c>
      <c r="B2213" t="str">
        <f>IF(AND(FORSIDE!$B$8&gt;=12,FORSIDE!$F$8&gt;=9,FORSIDE!$B$5&gt;=0),354+9*FORSIDE!$F$9,"")</f>
        <v/>
      </c>
      <c r="C2213" t="str">
        <f>IF(AND(FORSIDE!$B$8&gt;=12,FORSIDE!$F$8&gt;=9,FORSIDE!$B$5&gt;=0),12*FORSIDE!$B$9,"")</f>
        <v/>
      </c>
      <c r="D2213" t="str">
        <f>IF(AND(FORSIDE!$B$8&gt;=12,FORSIDE!$F$8&gt;=9,FORSIDE!$B$5&gt;=0),0,"")</f>
        <v/>
      </c>
    </row>
    <row r="2214" spans="1:4" x14ac:dyDescent="0.3">
      <c r="A2214" t="str">
        <f>IF(AND(FORSIDE!$B$8&gt;=12,FORSIDE!$F$8&gt;=9,FORSIDE!$B$5&gt;=1),2213,"")</f>
        <v/>
      </c>
      <c r="B2214" t="str">
        <f>IF(AND(FORSIDE!$B$8&gt;=12,FORSIDE!$F$8&gt;=9,FORSIDE!$B$5&gt;=1),354+9*FORSIDE!$F$9,"")</f>
        <v/>
      </c>
      <c r="C2214" t="str">
        <f>IF(AND(FORSIDE!$B$8&gt;=12,FORSIDE!$F$8&gt;=9,FORSIDE!$B$5&gt;=1),12*FORSIDE!$B$9,"")</f>
        <v/>
      </c>
      <c r="D2214" t="str">
        <f>IF(AND(FORSIDE!$B$8&gt;=12,FORSIDE!$F$8&gt;=9,FORSIDE!$B$5&gt;=1),FORSIDE!$B$6+(1-1)*FORSIDE!$B$7,"")</f>
        <v/>
      </c>
    </row>
    <row r="2215" spans="1:4" x14ac:dyDescent="0.3">
      <c r="A2215" t="str">
        <f>IF(AND(FORSIDE!$B$8&gt;=12,FORSIDE!$F$8&gt;=9,FORSIDE!$B$5&gt;=2),2214,"")</f>
        <v/>
      </c>
      <c r="B2215" t="str">
        <f>IF(AND(FORSIDE!$B$8&gt;=12,FORSIDE!$F$8&gt;=9,FORSIDE!$B$5&gt;=2),354+9*FORSIDE!$F$9,"")</f>
        <v/>
      </c>
      <c r="C2215" t="str">
        <f>IF(AND(FORSIDE!$B$8&gt;=12,FORSIDE!$F$8&gt;=9,FORSIDE!$B$5&gt;=2),12*FORSIDE!$B$9,"")</f>
        <v/>
      </c>
      <c r="D2215" t="str">
        <f>IF(AND(FORSIDE!$B$8&gt;=12,FORSIDE!$F$8&gt;=9,FORSIDE!$B$5&gt;=2),FORSIDE!$B$6+(2-1)*FORSIDE!$B$7,"")</f>
        <v/>
      </c>
    </row>
    <row r="2216" spans="1:4" x14ac:dyDescent="0.3">
      <c r="A2216" t="str">
        <f>IF(AND(FORSIDE!$B$8&gt;=12,FORSIDE!$F$8&gt;=9,FORSIDE!$B$5&gt;=3),2215,"")</f>
        <v/>
      </c>
      <c r="B2216" t="str">
        <f>IF(AND(FORSIDE!$B$8&gt;=12,FORSIDE!$F$8&gt;=9,FORSIDE!$B$5&gt;=3),354+9*FORSIDE!$F$9,"")</f>
        <v/>
      </c>
      <c r="C2216" t="str">
        <f>IF(AND(FORSIDE!$B$8&gt;=12,FORSIDE!$F$8&gt;=9,FORSIDE!$B$5&gt;=3),12*FORSIDE!$B$9,"")</f>
        <v/>
      </c>
      <c r="D2216" t="str">
        <f>IF(AND(FORSIDE!$B$8&gt;=12,FORSIDE!$F$8&gt;=9,FORSIDE!$B$5&gt;=3),FORSIDE!$B$6+(3-1)*FORSIDE!$B$7,"")</f>
        <v/>
      </c>
    </row>
    <row r="2217" spans="1:4" x14ac:dyDescent="0.3">
      <c r="A2217" t="str">
        <f>IF(AND(FORSIDE!$B$8&gt;=12,FORSIDE!$F$8&gt;=9,FORSIDE!$B$5&gt;=4),2216,"")</f>
        <v/>
      </c>
      <c r="B2217" t="str">
        <f>IF(AND(FORSIDE!$B$8&gt;=12,FORSIDE!$F$8&gt;=9,FORSIDE!$B$5&gt;=4),354+9*FORSIDE!$F$9,"")</f>
        <v/>
      </c>
      <c r="C2217" t="str">
        <f>IF(AND(FORSIDE!$B$8&gt;=12,FORSIDE!$F$8&gt;=9,FORSIDE!$B$5&gt;=4),12*FORSIDE!$B$9,"")</f>
        <v/>
      </c>
      <c r="D2217" t="str">
        <f>IF(AND(FORSIDE!$B$8&gt;=12,FORSIDE!$F$8&gt;=9,FORSIDE!$B$5&gt;=4),FORSIDE!$B$6+(4-1)*FORSIDE!$B$7,"")</f>
        <v/>
      </c>
    </row>
    <row r="2218" spans="1:4" x14ac:dyDescent="0.3">
      <c r="A2218" t="str">
        <f>IF(AND(FORSIDE!$B$8&gt;=12,FORSIDE!$F$8&gt;=9,FORSIDE!$B$5&gt;=5),2217,"")</f>
        <v/>
      </c>
      <c r="B2218" t="str">
        <f>IF(AND(FORSIDE!$B$8&gt;=12,FORSIDE!$F$8&gt;=9,FORSIDE!$B$5&gt;=5),354+9*FORSIDE!$F$9,"")</f>
        <v/>
      </c>
      <c r="C2218" t="str">
        <f>IF(AND(FORSIDE!$B$8&gt;=12,FORSIDE!$F$8&gt;=9,FORSIDE!$B$5&gt;=5),12*FORSIDE!$B$9,"")</f>
        <v/>
      </c>
      <c r="D2218" t="str">
        <f>IF(AND(FORSIDE!$B$8&gt;=12,FORSIDE!$F$8&gt;=9,FORSIDE!$B$5&gt;=5),FORSIDE!$B$6+(5-1)*FORSIDE!$B$7,"")</f>
        <v/>
      </c>
    </row>
    <row r="2219" spans="1:4" x14ac:dyDescent="0.3">
      <c r="A2219" t="str">
        <f>IF(AND(FORSIDE!$B$8&gt;=12,FORSIDE!$F$8&gt;=9,FORSIDE!$B$5&gt;=6),2218,"")</f>
        <v/>
      </c>
      <c r="B2219" t="str">
        <f>IF(AND(FORSIDE!$B$8&gt;=12,FORSIDE!$F$8&gt;=9,FORSIDE!$B$5&gt;=6),354+9*FORSIDE!$F$9,"")</f>
        <v/>
      </c>
      <c r="C2219" t="str">
        <f>IF(AND(FORSIDE!$B$8&gt;=12,FORSIDE!$F$8&gt;=9,FORSIDE!$B$5&gt;=6),12*FORSIDE!$B$9,"")</f>
        <v/>
      </c>
      <c r="D2219" t="str">
        <f>IF(AND(FORSIDE!$B$8&gt;=12,FORSIDE!$F$8&gt;=9,FORSIDE!$B$5&gt;=6),FORSIDE!$B$6+(6-1)*FORSIDE!$B$7,"")</f>
        <v/>
      </c>
    </row>
    <row r="2220" spans="1:4" x14ac:dyDescent="0.3">
      <c r="A2220" t="str">
        <f>IF(AND(FORSIDE!$B$8&gt;=12,FORSIDE!$F$8&gt;=9,FORSIDE!$B$5&gt;=7),2219,"")</f>
        <v/>
      </c>
      <c r="B2220" t="str">
        <f>IF(AND(FORSIDE!$B$8&gt;=12,FORSIDE!$F$8&gt;=9,FORSIDE!$B$5&gt;=7),354+9*FORSIDE!$F$9,"")</f>
        <v/>
      </c>
      <c r="C2220" t="str">
        <f>IF(AND(FORSIDE!$B$8&gt;=12,FORSIDE!$F$8&gt;=9,FORSIDE!$B$5&gt;=7),12*FORSIDE!$B$9,"")</f>
        <v/>
      </c>
      <c r="D2220" t="str">
        <f>IF(AND(FORSIDE!$B$8&gt;=12,FORSIDE!$F$8&gt;=9,FORSIDE!$B$5&gt;=7),FORSIDE!$B$6+(7-1)*FORSIDE!$B$7,"")</f>
        <v/>
      </c>
    </row>
    <row r="2221" spans="1:4" x14ac:dyDescent="0.3">
      <c r="A2221" t="str">
        <f>IF(AND(FORSIDE!$B$8&gt;=12,FORSIDE!$F$8&gt;=9,FORSIDE!$B$5&gt;=8),2220,"")</f>
        <v/>
      </c>
      <c r="B2221" t="str">
        <f>IF(AND(FORSIDE!$B$8&gt;=12,FORSIDE!$F$8&gt;=9,FORSIDE!$B$5&gt;=8),354+9*FORSIDE!$F$9,"")</f>
        <v/>
      </c>
      <c r="C2221" t="str">
        <f>IF(AND(FORSIDE!$B$8&gt;=12,FORSIDE!$F$8&gt;=9,FORSIDE!$B$5&gt;=8),12*FORSIDE!$B$9,"")</f>
        <v/>
      </c>
      <c r="D2221" t="str">
        <f>IF(AND(FORSIDE!$B$8&gt;=12,FORSIDE!$F$8&gt;=9,FORSIDE!$B$5&gt;=8),FORSIDE!$B$6+(8-1)*FORSIDE!$B$7,"")</f>
        <v/>
      </c>
    </row>
    <row r="2222" spans="1:4" x14ac:dyDescent="0.3">
      <c r="A2222" t="str">
        <f>IF(AND(FORSIDE!$B$8&gt;=12,FORSIDE!$F$8&gt;=9,FORSIDE!$B$5&gt;=9),2221,"")</f>
        <v/>
      </c>
      <c r="B2222" t="str">
        <f>IF(AND(FORSIDE!$B$8&gt;=12,FORSIDE!$F$8&gt;=9,FORSIDE!$B$5&gt;=9),354+9*FORSIDE!$F$9,"")</f>
        <v/>
      </c>
      <c r="C2222" t="str">
        <f>IF(AND(FORSIDE!$B$8&gt;=12,FORSIDE!$F$8&gt;=9,FORSIDE!$B$5&gt;=9),12*FORSIDE!$B$9,"")</f>
        <v/>
      </c>
      <c r="D2222" t="str">
        <f>IF(AND(FORSIDE!$B$8&gt;=12,FORSIDE!$F$8&gt;=9,FORSIDE!$B$5&gt;=9),FORSIDE!$B$6+(9-1)*FORSIDE!$B$7,"")</f>
        <v/>
      </c>
    </row>
    <row r="2223" spans="1:4" x14ac:dyDescent="0.3">
      <c r="A2223" t="str">
        <f>IF(AND(FORSIDE!$B$8&gt;=12,FORSIDE!$F$8&gt;=9,FORSIDE!$B$5&gt;=10),2222,"")</f>
        <v/>
      </c>
      <c r="B2223" t="str">
        <f>IF(AND(FORSIDE!$B$8&gt;=12,FORSIDE!$F$8&gt;=9,FORSIDE!$B$5&gt;=10),354+9*FORSIDE!$F$9,"")</f>
        <v/>
      </c>
      <c r="C2223" t="str">
        <f>IF(AND(FORSIDE!$B$8&gt;=12,FORSIDE!$F$8&gt;=9,FORSIDE!$B$5&gt;=10),12*FORSIDE!$B$9,"")</f>
        <v/>
      </c>
      <c r="D2223" t="str">
        <f>IF(AND(FORSIDE!$B$8&gt;=12,FORSIDE!$F$8&gt;=9,FORSIDE!$B$5&gt;=10),FORSIDE!$B$6+(10-1)*FORSIDE!$B$7,"")</f>
        <v/>
      </c>
    </row>
    <row r="2224" spans="1:4" x14ac:dyDescent="0.3">
      <c r="A2224" t="str">
        <f>IF(AND(FORSIDE!$B$8&gt;=13,FORSIDE!$F$8&gt;=9,FORSIDE!$B$5&gt;=0),2223,"")</f>
        <v/>
      </c>
      <c r="B2224" t="str">
        <f>IF(AND(FORSIDE!$B$8&gt;=13,FORSIDE!$F$8&gt;=9,FORSIDE!$B$5&gt;=0),354+9*FORSIDE!$F$9,"")</f>
        <v/>
      </c>
      <c r="C2224" t="str">
        <f>IF(AND(FORSIDE!$B$8&gt;=13,FORSIDE!$F$8&gt;=9,FORSIDE!$B$5&gt;=0),13*FORSIDE!$B$9,"")</f>
        <v/>
      </c>
      <c r="D2224" t="str">
        <f>IF(AND(FORSIDE!$B$8&gt;=13,FORSIDE!$F$8&gt;=9,FORSIDE!$B$5&gt;=0),0,"")</f>
        <v/>
      </c>
    </row>
    <row r="2225" spans="1:4" x14ac:dyDescent="0.3">
      <c r="A2225" t="str">
        <f>IF(AND(FORSIDE!$B$8&gt;=13,FORSIDE!$F$8&gt;=9,FORSIDE!$B$5&gt;=1),2224,"")</f>
        <v/>
      </c>
      <c r="B2225" t="str">
        <f>IF(AND(FORSIDE!$B$8&gt;=13,FORSIDE!$F$8&gt;=9,FORSIDE!$B$5&gt;=1),354+9*FORSIDE!$F$9,"")</f>
        <v/>
      </c>
      <c r="C2225" t="str">
        <f>IF(AND(FORSIDE!$B$8&gt;=13,FORSIDE!$F$8&gt;=9,FORSIDE!$B$5&gt;=1),13*FORSIDE!$B$9,"")</f>
        <v/>
      </c>
      <c r="D2225" t="str">
        <f>IF(AND(FORSIDE!$B$8&gt;=13,FORSIDE!$F$8&gt;=9,FORSIDE!$B$5&gt;=1),FORSIDE!$B$6+(1-1)*FORSIDE!$B$7,"")</f>
        <v/>
      </c>
    </row>
    <row r="2226" spans="1:4" x14ac:dyDescent="0.3">
      <c r="A2226" t="str">
        <f>IF(AND(FORSIDE!$B$8&gt;=13,FORSIDE!$F$8&gt;=9,FORSIDE!$B$5&gt;=2),2225,"")</f>
        <v/>
      </c>
      <c r="B2226" t="str">
        <f>IF(AND(FORSIDE!$B$8&gt;=13,FORSIDE!$F$8&gt;=9,FORSIDE!$B$5&gt;=2),354+9*FORSIDE!$F$9,"")</f>
        <v/>
      </c>
      <c r="C2226" t="str">
        <f>IF(AND(FORSIDE!$B$8&gt;=13,FORSIDE!$F$8&gt;=9,FORSIDE!$B$5&gt;=2),13*FORSIDE!$B$9,"")</f>
        <v/>
      </c>
      <c r="D2226" t="str">
        <f>IF(AND(FORSIDE!$B$8&gt;=13,FORSIDE!$F$8&gt;=9,FORSIDE!$B$5&gt;=2),FORSIDE!$B$6+(2-1)*FORSIDE!$B$7,"")</f>
        <v/>
      </c>
    </row>
    <row r="2227" spans="1:4" x14ac:dyDescent="0.3">
      <c r="A2227" t="str">
        <f>IF(AND(FORSIDE!$B$8&gt;=13,FORSIDE!$F$8&gt;=9,FORSIDE!$B$5&gt;=3),2226,"")</f>
        <v/>
      </c>
      <c r="B2227" t="str">
        <f>IF(AND(FORSIDE!$B$8&gt;=13,FORSIDE!$F$8&gt;=9,FORSIDE!$B$5&gt;=3),354+9*FORSIDE!$F$9,"")</f>
        <v/>
      </c>
      <c r="C2227" t="str">
        <f>IF(AND(FORSIDE!$B$8&gt;=13,FORSIDE!$F$8&gt;=9,FORSIDE!$B$5&gt;=3),13*FORSIDE!$B$9,"")</f>
        <v/>
      </c>
      <c r="D2227" t="str">
        <f>IF(AND(FORSIDE!$B$8&gt;=13,FORSIDE!$F$8&gt;=9,FORSIDE!$B$5&gt;=3),FORSIDE!$B$6+(3-1)*FORSIDE!$B$7,"")</f>
        <v/>
      </c>
    </row>
    <row r="2228" spans="1:4" x14ac:dyDescent="0.3">
      <c r="A2228" t="str">
        <f>IF(AND(FORSIDE!$B$8&gt;=13,FORSIDE!$F$8&gt;=9,FORSIDE!$B$5&gt;=4),2227,"")</f>
        <v/>
      </c>
      <c r="B2228" t="str">
        <f>IF(AND(FORSIDE!$B$8&gt;=13,FORSIDE!$F$8&gt;=9,FORSIDE!$B$5&gt;=4),354+9*FORSIDE!$F$9,"")</f>
        <v/>
      </c>
      <c r="C2228" t="str">
        <f>IF(AND(FORSIDE!$B$8&gt;=13,FORSIDE!$F$8&gt;=9,FORSIDE!$B$5&gt;=4),13*FORSIDE!$B$9,"")</f>
        <v/>
      </c>
      <c r="D2228" t="str">
        <f>IF(AND(FORSIDE!$B$8&gt;=13,FORSIDE!$F$8&gt;=9,FORSIDE!$B$5&gt;=4),FORSIDE!$B$6+(4-1)*FORSIDE!$B$7,"")</f>
        <v/>
      </c>
    </row>
    <row r="2229" spans="1:4" x14ac:dyDescent="0.3">
      <c r="A2229" t="str">
        <f>IF(AND(FORSIDE!$B$8&gt;=13,FORSIDE!$F$8&gt;=9,FORSIDE!$B$5&gt;=5),2228,"")</f>
        <v/>
      </c>
      <c r="B2229" t="str">
        <f>IF(AND(FORSIDE!$B$8&gt;=13,FORSIDE!$F$8&gt;=9,FORSIDE!$B$5&gt;=5),354+9*FORSIDE!$F$9,"")</f>
        <v/>
      </c>
      <c r="C2229" t="str">
        <f>IF(AND(FORSIDE!$B$8&gt;=13,FORSIDE!$F$8&gt;=9,FORSIDE!$B$5&gt;=5),13*FORSIDE!$B$9,"")</f>
        <v/>
      </c>
      <c r="D2229" t="str">
        <f>IF(AND(FORSIDE!$B$8&gt;=13,FORSIDE!$F$8&gt;=9,FORSIDE!$B$5&gt;=5),FORSIDE!$B$6+(5-1)*FORSIDE!$B$7,"")</f>
        <v/>
      </c>
    </row>
    <row r="2230" spans="1:4" x14ac:dyDescent="0.3">
      <c r="A2230" t="str">
        <f>IF(AND(FORSIDE!$B$8&gt;=13,FORSIDE!$F$8&gt;=9,FORSIDE!$B$5&gt;=6),2229,"")</f>
        <v/>
      </c>
      <c r="B2230" t="str">
        <f>IF(AND(FORSIDE!$B$8&gt;=13,FORSIDE!$F$8&gt;=9,FORSIDE!$B$5&gt;=6),354+9*FORSIDE!$F$9,"")</f>
        <v/>
      </c>
      <c r="C2230" t="str">
        <f>IF(AND(FORSIDE!$B$8&gt;=13,FORSIDE!$F$8&gt;=9,FORSIDE!$B$5&gt;=6),13*FORSIDE!$B$9,"")</f>
        <v/>
      </c>
      <c r="D2230" t="str">
        <f>IF(AND(FORSIDE!$B$8&gt;=13,FORSIDE!$F$8&gt;=9,FORSIDE!$B$5&gt;=6),FORSIDE!$B$6+(6-1)*FORSIDE!$B$7,"")</f>
        <v/>
      </c>
    </row>
    <row r="2231" spans="1:4" x14ac:dyDescent="0.3">
      <c r="A2231" t="str">
        <f>IF(AND(FORSIDE!$B$8&gt;=13,FORSIDE!$F$8&gt;=9,FORSIDE!$B$5&gt;=7),2230,"")</f>
        <v/>
      </c>
      <c r="B2231" t="str">
        <f>IF(AND(FORSIDE!$B$8&gt;=13,FORSIDE!$F$8&gt;=9,FORSIDE!$B$5&gt;=7),354+9*FORSIDE!$F$9,"")</f>
        <v/>
      </c>
      <c r="C2231" t="str">
        <f>IF(AND(FORSIDE!$B$8&gt;=13,FORSIDE!$F$8&gt;=9,FORSIDE!$B$5&gt;=7),13*FORSIDE!$B$9,"")</f>
        <v/>
      </c>
      <c r="D2231" t="str">
        <f>IF(AND(FORSIDE!$B$8&gt;=13,FORSIDE!$F$8&gt;=9,FORSIDE!$B$5&gt;=7),FORSIDE!$B$6+(7-1)*FORSIDE!$B$7,"")</f>
        <v/>
      </c>
    </row>
    <row r="2232" spans="1:4" x14ac:dyDescent="0.3">
      <c r="A2232" t="str">
        <f>IF(AND(FORSIDE!$B$8&gt;=13,FORSIDE!$F$8&gt;=9,FORSIDE!$B$5&gt;=8),2231,"")</f>
        <v/>
      </c>
      <c r="B2232" t="str">
        <f>IF(AND(FORSIDE!$B$8&gt;=13,FORSIDE!$F$8&gt;=9,FORSIDE!$B$5&gt;=8),354+9*FORSIDE!$F$9,"")</f>
        <v/>
      </c>
      <c r="C2232" t="str">
        <f>IF(AND(FORSIDE!$B$8&gt;=13,FORSIDE!$F$8&gt;=9,FORSIDE!$B$5&gt;=8),13*FORSIDE!$B$9,"")</f>
        <v/>
      </c>
      <c r="D2232" t="str">
        <f>IF(AND(FORSIDE!$B$8&gt;=13,FORSIDE!$F$8&gt;=9,FORSIDE!$B$5&gt;=8),FORSIDE!$B$6+(8-1)*FORSIDE!$B$7,"")</f>
        <v/>
      </c>
    </row>
    <row r="2233" spans="1:4" x14ac:dyDescent="0.3">
      <c r="A2233" t="str">
        <f>IF(AND(FORSIDE!$B$8&gt;=13,FORSIDE!$F$8&gt;=9,FORSIDE!$B$5&gt;=9),2232,"")</f>
        <v/>
      </c>
      <c r="B2233" t="str">
        <f>IF(AND(FORSIDE!$B$8&gt;=13,FORSIDE!$F$8&gt;=9,FORSIDE!$B$5&gt;=9),354+9*FORSIDE!$F$9,"")</f>
        <v/>
      </c>
      <c r="C2233" t="str">
        <f>IF(AND(FORSIDE!$B$8&gt;=13,FORSIDE!$F$8&gt;=9,FORSIDE!$B$5&gt;=9),13*FORSIDE!$B$9,"")</f>
        <v/>
      </c>
      <c r="D2233" t="str">
        <f>IF(AND(FORSIDE!$B$8&gt;=13,FORSIDE!$F$8&gt;=9,FORSIDE!$B$5&gt;=9),FORSIDE!$B$6+(9-1)*FORSIDE!$B$7,"")</f>
        <v/>
      </c>
    </row>
    <row r="2234" spans="1:4" x14ac:dyDescent="0.3">
      <c r="A2234" t="str">
        <f>IF(AND(FORSIDE!$B$8&gt;=13,FORSIDE!$F$8&gt;=9,FORSIDE!$B$5&gt;=10),2233,"")</f>
        <v/>
      </c>
      <c r="B2234" t="str">
        <f>IF(AND(FORSIDE!$B$8&gt;=13,FORSIDE!$F$8&gt;=9,FORSIDE!$B$5&gt;=10),354+9*FORSIDE!$F$9,"")</f>
        <v/>
      </c>
      <c r="C2234" t="str">
        <f>IF(AND(FORSIDE!$B$8&gt;=13,FORSIDE!$F$8&gt;=9,FORSIDE!$B$5&gt;=10),13*FORSIDE!$B$9,"")</f>
        <v/>
      </c>
      <c r="D2234" t="str">
        <f>IF(AND(FORSIDE!$B$8&gt;=13,FORSIDE!$F$8&gt;=9,FORSIDE!$B$5&gt;=10),FORSIDE!$B$6+(10-1)*FORSIDE!$B$7,"")</f>
        <v/>
      </c>
    </row>
    <row r="2235" spans="1:4" x14ac:dyDescent="0.3">
      <c r="A2235" t="str">
        <f>IF(AND(FORSIDE!$B$8&gt;=14,FORSIDE!$F$8&gt;=9,FORSIDE!$B$5&gt;=0),2234,"")</f>
        <v/>
      </c>
      <c r="B2235" t="str">
        <f>IF(AND(FORSIDE!$B$8&gt;=14,FORSIDE!$F$8&gt;=9,FORSIDE!$B$5&gt;=0),354+9*FORSIDE!$F$9,"")</f>
        <v/>
      </c>
      <c r="C2235" t="str">
        <f>IF(AND(FORSIDE!$B$8&gt;=14,FORSIDE!$F$8&gt;=9,FORSIDE!$B$5&gt;=0),14*FORSIDE!$B$9,"")</f>
        <v/>
      </c>
      <c r="D2235" t="str">
        <f>IF(AND(FORSIDE!$B$8&gt;=14,FORSIDE!$F$8&gt;=9,FORSIDE!$B$5&gt;=0),0,"")</f>
        <v/>
      </c>
    </row>
    <row r="2236" spans="1:4" x14ac:dyDescent="0.3">
      <c r="A2236" t="str">
        <f>IF(AND(FORSIDE!$B$8&gt;=14,FORSIDE!$F$8&gt;=9,FORSIDE!$B$5&gt;=1),2235,"")</f>
        <v/>
      </c>
      <c r="B2236" t="str">
        <f>IF(AND(FORSIDE!$B$8&gt;=14,FORSIDE!$F$8&gt;=9,FORSIDE!$B$5&gt;=1),354+9*FORSIDE!$F$9,"")</f>
        <v/>
      </c>
      <c r="C2236" t="str">
        <f>IF(AND(FORSIDE!$B$8&gt;=14,FORSIDE!$F$8&gt;=9,FORSIDE!$B$5&gt;=1),14*FORSIDE!$B$9,"")</f>
        <v/>
      </c>
      <c r="D2236" t="str">
        <f>IF(AND(FORSIDE!$B$8&gt;=14,FORSIDE!$F$8&gt;=9,FORSIDE!$B$5&gt;=1),FORSIDE!$B$6+(1-1)*FORSIDE!$B$7,"")</f>
        <v/>
      </c>
    </row>
    <row r="2237" spans="1:4" x14ac:dyDescent="0.3">
      <c r="A2237" t="str">
        <f>IF(AND(FORSIDE!$B$8&gt;=14,FORSIDE!$F$8&gt;=9,FORSIDE!$B$5&gt;=2),2236,"")</f>
        <v/>
      </c>
      <c r="B2237" t="str">
        <f>IF(AND(FORSIDE!$B$8&gt;=14,FORSIDE!$F$8&gt;=9,FORSIDE!$B$5&gt;=2),354+9*FORSIDE!$F$9,"")</f>
        <v/>
      </c>
      <c r="C2237" t="str">
        <f>IF(AND(FORSIDE!$B$8&gt;=14,FORSIDE!$F$8&gt;=9,FORSIDE!$B$5&gt;=2),14*FORSIDE!$B$9,"")</f>
        <v/>
      </c>
      <c r="D2237" t="str">
        <f>IF(AND(FORSIDE!$B$8&gt;=14,FORSIDE!$F$8&gt;=9,FORSIDE!$B$5&gt;=2),FORSIDE!$B$6+(2-1)*FORSIDE!$B$7,"")</f>
        <v/>
      </c>
    </row>
    <row r="2238" spans="1:4" x14ac:dyDescent="0.3">
      <c r="A2238" t="str">
        <f>IF(AND(FORSIDE!$B$8&gt;=14,FORSIDE!$F$8&gt;=9,FORSIDE!$B$5&gt;=3),2237,"")</f>
        <v/>
      </c>
      <c r="B2238" t="str">
        <f>IF(AND(FORSIDE!$B$8&gt;=14,FORSIDE!$F$8&gt;=9,FORSIDE!$B$5&gt;=3),354+9*FORSIDE!$F$9,"")</f>
        <v/>
      </c>
      <c r="C2238" t="str">
        <f>IF(AND(FORSIDE!$B$8&gt;=14,FORSIDE!$F$8&gt;=9,FORSIDE!$B$5&gt;=3),14*FORSIDE!$B$9,"")</f>
        <v/>
      </c>
      <c r="D2238" t="str">
        <f>IF(AND(FORSIDE!$B$8&gt;=14,FORSIDE!$F$8&gt;=9,FORSIDE!$B$5&gt;=3),FORSIDE!$B$6+(3-1)*FORSIDE!$B$7,"")</f>
        <v/>
      </c>
    </row>
    <row r="2239" spans="1:4" x14ac:dyDescent="0.3">
      <c r="A2239" t="str">
        <f>IF(AND(FORSIDE!$B$8&gt;=14,FORSIDE!$F$8&gt;=9,FORSIDE!$B$5&gt;=4),2238,"")</f>
        <v/>
      </c>
      <c r="B2239" t="str">
        <f>IF(AND(FORSIDE!$B$8&gt;=14,FORSIDE!$F$8&gt;=9,FORSIDE!$B$5&gt;=4),354+9*FORSIDE!$F$9,"")</f>
        <v/>
      </c>
      <c r="C2239" t="str">
        <f>IF(AND(FORSIDE!$B$8&gt;=14,FORSIDE!$F$8&gt;=9,FORSIDE!$B$5&gt;=4),14*FORSIDE!$B$9,"")</f>
        <v/>
      </c>
      <c r="D2239" t="str">
        <f>IF(AND(FORSIDE!$B$8&gt;=14,FORSIDE!$F$8&gt;=9,FORSIDE!$B$5&gt;=4),FORSIDE!$B$6+(4-1)*FORSIDE!$B$7,"")</f>
        <v/>
      </c>
    </row>
    <row r="2240" spans="1:4" x14ac:dyDescent="0.3">
      <c r="A2240" t="str">
        <f>IF(AND(FORSIDE!$B$8&gt;=14,FORSIDE!$F$8&gt;=9,FORSIDE!$B$5&gt;=5),2239,"")</f>
        <v/>
      </c>
      <c r="B2240" t="str">
        <f>IF(AND(FORSIDE!$B$8&gt;=14,FORSIDE!$F$8&gt;=9,FORSIDE!$B$5&gt;=5),354+9*FORSIDE!$F$9,"")</f>
        <v/>
      </c>
      <c r="C2240" t="str">
        <f>IF(AND(FORSIDE!$B$8&gt;=14,FORSIDE!$F$8&gt;=9,FORSIDE!$B$5&gt;=5),14*FORSIDE!$B$9,"")</f>
        <v/>
      </c>
      <c r="D2240" t="str">
        <f>IF(AND(FORSIDE!$B$8&gt;=14,FORSIDE!$F$8&gt;=9,FORSIDE!$B$5&gt;=5),FORSIDE!$B$6+(5-1)*FORSIDE!$B$7,"")</f>
        <v/>
      </c>
    </row>
    <row r="2241" spans="1:4" x14ac:dyDescent="0.3">
      <c r="A2241" t="str">
        <f>IF(AND(FORSIDE!$B$8&gt;=14,FORSIDE!$F$8&gt;=9,FORSIDE!$B$5&gt;=6),2240,"")</f>
        <v/>
      </c>
      <c r="B2241" t="str">
        <f>IF(AND(FORSIDE!$B$8&gt;=14,FORSIDE!$F$8&gt;=9,FORSIDE!$B$5&gt;=6),354+9*FORSIDE!$F$9,"")</f>
        <v/>
      </c>
      <c r="C2241" t="str">
        <f>IF(AND(FORSIDE!$B$8&gt;=14,FORSIDE!$F$8&gt;=9,FORSIDE!$B$5&gt;=6),14*FORSIDE!$B$9,"")</f>
        <v/>
      </c>
      <c r="D2241" t="str">
        <f>IF(AND(FORSIDE!$B$8&gt;=14,FORSIDE!$F$8&gt;=9,FORSIDE!$B$5&gt;=6),FORSIDE!$B$6+(6-1)*FORSIDE!$B$7,"")</f>
        <v/>
      </c>
    </row>
    <row r="2242" spans="1:4" x14ac:dyDescent="0.3">
      <c r="A2242" t="str">
        <f>IF(AND(FORSIDE!$B$8&gt;=14,FORSIDE!$F$8&gt;=9,FORSIDE!$B$5&gt;=7),2241,"")</f>
        <v/>
      </c>
      <c r="B2242" t="str">
        <f>IF(AND(FORSIDE!$B$8&gt;=14,FORSIDE!$F$8&gt;=9,FORSIDE!$B$5&gt;=7),354+9*FORSIDE!$F$9,"")</f>
        <v/>
      </c>
      <c r="C2242" t="str">
        <f>IF(AND(FORSIDE!$B$8&gt;=14,FORSIDE!$F$8&gt;=9,FORSIDE!$B$5&gt;=7),14*FORSIDE!$B$9,"")</f>
        <v/>
      </c>
      <c r="D2242" t="str">
        <f>IF(AND(FORSIDE!$B$8&gt;=14,FORSIDE!$F$8&gt;=9,FORSIDE!$B$5&gt;=7),FORSIDE!$B$6+(7-1)*FORSIDE!$B$7,"")</f>
        <v/>
      </c>
    </row>
    <row r="2243" spans="1:4" x14ac:dyDescent="0.3">
      <c r="A2243" t="str">
        <f>IF(AND(FORSIDE!$B$8&gt;=14,FORSIDE!$F$8&gt;=9,FORSIDE!$B$5&gt;=8),2242,"")</f>
        <v/>
      </c>
      <c r="B2243" t="str">
        <f>IF(AND(FORSIDE!$B$8&gt;=14,FORSIDE!$F$8&gt;=9,FORSIDE!$B$5&gt;=8),354+9*FORSIDE!$F$9,"")</f>
        <v/>
      </c>
      <c r="C2243" t="str">
        <f>IF(AND(FORSIDE!$B$8&gt;=14,FORSIDE!$F$8&gt;=9,FORSIDE!$B$5&gt;=8),14*FORSIDE!$B$9,"")</f>
        <v/>
      </c>
      <c r="D2243" t="str">
        <f>IF(AND(FORSIDE!$B$8&gt;=14,FORSIDE!$F$8&gt;=9,FORSIDE!$B$5&gt;=8),FORSIDE!$B$6+(8-1)*FORSIDE!$B$7,"")</f>
        <v/>
      </c>
    </row>
    <row r="2244" spans="1:4" x14ac:dyDescent="0.3">
      <c r="A2244" t="str">
        <f>IF(AND(FORSIDE!$B$8&gt;=14,FORSIDE!$F$8&gt;=9,FORSIDE!$B$5&gt;=9),2243,"")</f>
        <v/>
      </c>
      <c r="B2244" t="str">
        <f>IF(AND(FORSIDE!$B$8&gt;=14,FORSIDE!$F$8&gt;=9,FORSIDE!$B$5&gt;=9),354+9*FORSIDE!$F$9,"")</f>
        <v/>
      </c>
      <c r="C2244" t="str">
        <f>IF(AND(FORSIDE!$B$8&gt;=14,FORSIDE!$F$8&gt;=9,FORSIDE!$B$5&gt;=9),14*FORSIDE!$B$9,"")</f>
        <v/>
      </c>
      <c r="D2244" t="str">
        <f>IF(AND(FORSIDE!$B$8&gt;=14,FORSIDE!$F$8&gt;=9,FORSIDE!$B$5&gt;=9),FORSIDE!$B$6+(9-1)*FORSIDE!$B$7,"")</f>
        <v/>
      </c>
    </row>
    <row r="2245" spans="1:4" x14ac:dyDescent="0.3">
      <c r="A2245" t="str">
        <f>IF(AND(FORSIDE!$B$8&gt;=14,FORSIDE!$F$8&gt;=9,FORSIDE!$B$5&gt;=10),2244,"")</f>
        <v/>
      </c>
      <c r="B2245" t="str">
        <f>IF(AND(FORSIDE!$B$8&gt;=14,FORSIDE!$F$8&gt;=9,FORSIDE!$B$5&gt;=10),354+9*FORSIDE!$F$9,"")</f>
        <v/>
      </c>
      <c r="C2245" t="str">
        <f>IF(AND(FORSIDE!$B$8&gt;=14,FORSIDE!$F$8&gt;=9,FORSIDE!$B$5&gt;=10),14*FORSIDE!$B$9,"")</f>
        <v/>
      </c>
      <c r="D2245" t="str">
        <f>IF(AND(FORSIDE!$B$8&gt;=14,FORSIDE!$F$8&gt;=9,FORSIDE!$B$5&gt;=10),FORSIDE!$B$6+(10-1)*FORSIDE!$B$7,"")</f>
        <v/>
      </c>
    </row>
    <row r="2246" spans="1:4" x14ac:dyDescent="0.3">
      <c r="A2246" t="str">
        <f>IF(AND(FORSIDE!$B$8&gt;=15,FORSIDE!$F$8&gt;=9,FORSIDE!$B$5&gt;=0),2245,"")</f>
        <v/>
      </c>
      <c r="B2246" t="str">
        <f>IF(AND(FORSIDE!$B$8&gt;=15,FORSIDE!$F$8&gt;=9,FORSIDE!$B$5&gt;=0),354+9*FORSIDE!$F$9,"")</f>
        <v/>
      </c>
      <c r="C2246" t="str">
        <f>IF(AND(FORSIDE!$B$8&gt;=15,FORSIDE!$F$8&gt;=9,FORSIDE!$B$5&gt;=0),15*FORSIDE!$B$9,"")</f>
        <v/>
      </c>
      <c r="D2246" t="str">
        <f>IF(AND(FORSIDE!$B$8&gt;=15,FORSIDE!$F$8&gt;=9,FORSIDE!$B$5&gt;=0),0,"")</f>
        <v/>
      </c>
    </row>
    <row r="2247" spans="1:4" x14ac:dyDescent="0.3">
      <c r="A2247" t="str">
        <f>IF(AND(FORSIDE!$B$8&gt;=15,FORSIDE!$F$8&gt;=9,FORSIDE!$B$5&gt;=1),2246,"")</f>
        <v/>
      </c>
      <c r="B2247" t="str">
        <f>IF(AND(FORSIDE!$B$8&gt;=15,FORSIDE!$F$8&gt;=9,FORSIDE!$B$5&gt;=1),354+9*FORSIDE!$F$9,"")</f>
        <v/>
      </c>
      <c r="C2247" t="str">
        <f>IF(AND(FORSIDE!$B$8&gt;=15,FORSIDE!$F$8&gt;=9,FORSIDE!$B$5&gt;=1),15*FORSIDE!$B$9,"")</f>
        <v/>
      </c>
      <c r="D2247" t="str">
        <f>IF(AND(FORSIDE!$B$8&gt;=15,FORSIDE!$F$8&gt;=9,FORSIDE!$B$5&gt;=1),FORSIDE!$B$6+(1-1)*FORSIDE!$B$7,"")</f>
        <v/>
      </c>
    </row>
    <row r="2248" spans="1:4" x14ac:dyDescent="0.3">
      <c r="A2248" t="str">
        <f>IF(AND(FORSIDE!$B$8&gt;=15,FORSIDE!$F$8&gt;=9,FORSIDE!$B$5&gt;=2),2247,"")</f>
        <v/>
      </c>
      <c r="B2248" t="str">
        <f>IF(AND(FORSIDE!$B$8&gt;=15,FORSIDE!$F$8&gt;=9,FORSIDE!$B$5&gt;=2),354+9*FORSIDE!$F$9,"")</f>
        <v/>
      </c>
      <c r="C2248" t="str">
        <f>IF(AND(FORSIDE!$B$8&gt;=15,FORSIDE!$F$8&gt;=9,FORSIDE!$B$5&gt;=2),15*FORSIDE!$B$9,"")</f>
        <v/>
      </c>
      <c r="D2248" t="str">
        <f>IF(AND(FORSIDE!$B$8&gt;=15,FORSIDE!$F$8&gt;=9,FORSIDE!$B$5&gt;=2),FORSIDE!$B$6+(2-1)*FORSIDE!$B$7,"")</f>
        <v/>
      </c>
    </row>
    <row r="2249" spans="1:4" x14ac:dyDescent="0.3">
      <c r="A2249" t="str">
        <f>IF(AND(FORSIDE!$B$8&gt;=15,FORSIDE!$F$8&gt;=9,FORSIDE!$B$5&gt;=3),2248,"")</f>
        <v/>
      </c>
      <c r="B2249" t="str">
        <f>IF(AND(FORSIDE!$B$8&gt;=15,FORSIDE!$F$8&gt;=9,FORSIDE!$B$5&gt;=3),354+9*FORSIDE!$F$9,"")</f>
        <v/>
      </c>
      <c r="C2249" t="str">
        <f>IF(AND(FORSIDE!$B$8&gt;=15,FORSIDE!$F$8&gt;=9,FORSIDE!$B$5&gt;=3),15*FORSIDE!$B$9,"")</f>
        <v/>
      </c>
      <c r="D2249" t="str">
        <f>IF(AND(FORSIDE!$B$8&gt;=15,FORSIDE!$F$8&gt;=9,FORSIDE!$B$5&gt;=3),FORSIDE!$B$6+(3-1)*FORSIDE!$B$7,"")</f>
        <v/>
      </c>
    </row>
    <row r="2250" spans="1:4" x14ac:dyDescent="0.3">
      <c r="A2250" t="str">
        <f>IF(AND(FORSIDE!$B$8&gt;=15,FORSIDE!$F$8&gt;=9,FORSIDE!$B$5&gt;=4),2249,"")</f>
        <v/>
      </c>
      <c r="B2250" t="str">
        <f>IF(AND(FORSIDE!$B$8&gt;=15,FORSIDE!$F$8&gt;=9,FORSIDE!$B$5&gt;=4),354+9*FORSIDE!$F$9,"")</f>
        <v/>
      </c>
      <c r="C2250" t="str">
        <f>IF(AND(FORSIDE!$B$8&gt;=15,FORSIDE!$F$8&gt;=9,FORSIDE!$B$5&gt;=4),15*FORSIDE!$B$9,"")</f>
        <v/>
      </c>
      <c r="D2250" t="str">
        <f>IF(AND(FORSIDE!$B$8&gt;=15,FORSIDE!$F$8&gt;=9,FORSIDE!$B$5&gt;=4),FORSIDE!$B$6+(4-1)*FORSIDE!$B$7,"")</f>
        <v/>
      </c>
    </row>
    <row r="2251" spans="1:4" x14ac:dyDescent="0.3">
      <c r="A2251" t="str">
        <f>IF(AND(FORSIDE!$B$8&gt;=15,FORSIDE!$F$8&gt;=9,FORSIDE!$B$5&gt;=5),2250,"")</f>
        <v/>
      </c>
      <c r="B2251" t="str">
        <f>IF(AND(FORSIDE!$B$8&gt;=15,FORSIDE!$F$8&gt;=9,FORSIDE!$B$5&gt;=5),354+9*FORSIDE!$F$9,"")</f>
        <v/>
      </c>
      <c r="C2251" t="str">
        <f>IF(AND(FORSIDE!$B$8&gt;=15,FORSIDE!$F$8&gt;=9,FORSIDE!$B$5&gt;=5),15*FORSIDE!$B$9,"")</f>
        <v/>
      </c>
      <c r="D2251" t="str">
        <f>IF(AND(FORSIDE!$B$8&gt;=15,FORSIDE!$F$8&gt;=9,FORSIDE!$B$5&gt;=5),FORSIDE!$B$6+(5-1)*FORSIDE!$B$7,"")</f>
        <v/>
      </c>
    </row>
    <row r="2252" spans="1:4" x14ac:dyDescent="0.3">
      <c r="A2252" t="str">
        <f>IF(AND(FORSIDE!$B$8&gt;=15,FORSIDE!$F$8&gt;=9,FORSIDE!$B$5&gt;=6),2251,"")</f>
        <v/>
      </c>
      <c r="B2252" t="str">
        <f>IF(AND(FORSIDE!$B$8&gt;=15,FORSIDE!$F$8&gt;=9,FORSIDE!$B$5&gt;=6),354+9*FORSIDE!$F$9,"")</f>
        <v/>
      </c>
      <c r="C2252" t="str">
        <f>IF(AND(FORSIDE!$B$8&gt;=15,FORSIDE!$F$8&gt;=9,FORSIDE!$B$5&gt;=6),15*FORSIDE!$B$9,"")</f>
        <v/>
      </c>
      <c r="D2252" t="str">
        <f>IF(AND(FORSIDE!$B$8&gt;=15,FORSIDE!$F$8&gt;=9,FORSIDE!$B$5&gt;=6),FORSIDE!$B$6+(6-1)*FORSIDE!$B$7,"")</f>
        <v/>
      </c>
    </row>
    <row r="2253" spans="1:4" x14ac:dyDescent="0.3">
      <c r="A2253" t="str">
        <f>IF(AND(FORSIDE!$B$8&gt;=15,FORSIDE!$F$8&gt;=9,FORSIDE!$B$5&gt;=7),2252,"")</f>
        <v/>
      </c>
      <c r="B2253" t="str">
        <f>IF(AND(FORSIDE!$B$8&gt;=15,FORSIDE!$F$8&gt;=9,FORSIDE!$B$5&gt;=7),354+9*FORSIDE!$F$9,"")</f>
        <v/>
      </c>
      <c r="C2253" t="str">
        <f>IF(AND(FORSIDE!$B$8&gt;=15,FORSIDE!$F$8&gt;=9,FORSIDE!$B$5&gt;=7),15*FORSIDE!$B$9,"")</f>
        <v/>
      </c>
      <c r="D2253" t="str">
        <f>IF(AND(FORSIDE!$B$8&gt;=15,FORSIDE!$F$8&gt;=9,FORSIDE!$B$5&gt;=7),FORSIDE!$B$6+(7-1)*FORSIDE!$B$7,"")</f>
        <v/>
      </c>
    </row>
    <row r="2254" spans="1:4" x14ac:dyDescent="0.3">
      <c r="A2254" t="str">
        <f>IF(AND(FORSIDE!$B$8&gt;=15,FORSIDE!$F$8&gt;=9,FORSIDE!$B$5&gt;=8),2253,"")</f>
        <v/>
      </c>
      <c r="B2254" t="str">
        <f>IF(AND(FORSIDE!$B$8&gt;=15,FORSIDE!$F$8&gt;=9,FORSIDE!$B$5&gt;=8),354+9*FORSIDE!$F$9,"")</f>
        <v/>
      </c>
      <c r="C2254" t="str">
        <f>IF(AND(FORSIDE!$B$8&gt;=15,FORSIDE!$F$8&gt;=9,FORSIDE!$B$5&gt;=8),15*FORSIDE!$B$9,"")</f>
        <v/>
      </c>
      <c r="D2254" t="str">
        <f>IF(AND(FORSIDE!$B$8&gt;=15,FORSIDE!$F$8&gt;=9,FORSIDE!$B$5&gt;=8),FORSIDE!$B$6+(8-1)*FORSIDE!$B$7,"")</f>
        <v/>
      </c>
    </row>
    <row r="2255" spans="1:4" x14ac:dyDescent="0.3">
      <c r="A2255" t="str">
        <f>IF(AND(FORSIDE!$B$8&gt;=15,FORSIDE!$F$8&gt;=9,FORSIDE!$B$5&gt;=9),2254,"")</f>
        <v/>
      </c>
      <c r="B2255" t="str">
        <f>IF(AND(FORSIDE!$B$8&gt;=15,FORSIDE!$F$8&gt;=9,FORSIDE!$B$5&gt;=9),354+9*FORSIDE!$F$9,"")</f>
        <v/>
      </c>
      <c r="C2255" t="str">
        <f>IF(AND(FORSIDE!$B$8&gt;=15,FORSIDE!$F$8&gt;=9,FORSIDE!$B$5&gt;=9),15*FORSIDE!$B$9,"")</f>
        <v/>
      </c>
      <c r="D2255" t="str">
        <f>IF(AND(FORSIDE!$B$8&gt;=15,FORSIDE!$F$8&gt;=9,FORSIDE!$B$5&gt;=9),FORSIDE!$B$6+(9-1)*FORSIDE!$B$7,"")</f>
        <v/>
      </c>
    </row>
    <row r="2256" spans="1:4" x14ac:dyDescent="0.3">
      <c r="A2256" t="str">
        <f>IF(AND(FORSIDE!$B$8&gt;=15,FORSIDE!$F$8&gt;=9,FORSIDE!$B$5&gt;=10),2255,"")</f>
        <v/>
      </c>
      <c r="B2256" t="str">
        <f>IF(AND(FORSIDE!$B$8&gt;=15,FORSIDE!$F$8&gt;=9,FORSIDE!$B$5&gt;=10),354+9*FORSIDE!$F$9,"")</f>
        <v/>
      </c>
      <c r="C2256" t="str">
        <f>IF(AND(FORSIDE!$B$8&gt;=15,FORSIDE!$F$8&gt;=9,FORSIDE!$B$5&gt;=10),15*FORSIDE!$B$9,"")</f>
        <v/>
      </c>
      <c r="D2256" t="str">
        <f>IF(AND(FORSIDE!$B$8&gt;=15,FORSIDE!$F$8&gt;=9,FORSIDE!$B$5&gt;=10),FORSIDE!$B$6+(10-1)*FORSIDE!$B$7,"")</f>
        <v/>
      </c>
    </row>
    <row r="2257" spans="1:4" x14ac:dyDescent="0.3">
      <c r="A2257" t="str">
        <f>IF(AND(FORSIDE!$B$8&gt;=16,FORSIDE!$F$8&gt;=9,FORSIDE!$B$5&gt;=0),2256,"")</f>
        <v/>
      </c>
      <c r="B2257" t="str">
        <f>IF(AND(FORSIDE!$B$8&gt;=16,FORSIDE!$F$8&gt;=9,FORSIDE!$B$5&gt;=0),354+9*FORSIDE!$F$9,"")</f>
        <v/>
      </c>
      <c r="C2257" t="str">
        <f>IF(AND(FORSIDE!$B$8&gt;=16,FORSIDE!$F$8&gt;=9,FORSIDE!$B$5&gt;=0),16*FORSIDE!$B$9,"")</f>
        <v/>
      </c>
      <c r="D2257" t="str">
        <f>IF(AND(FORSIDE!$B$8&gt;=16,FORSIDE!$F$8&gt;=9,FORSIDE!$B$5&gt;=0),0,"")</f>
        <v/>
      </c>
    </row>
    <row r="2258" spans="1:4" x14ac:dyDescent="0.3">
      <c r="A2258" t="str">
        <f>IF(AND(FORSIDE!$B$8&gt;=16,FORSIDE!$F$8&gt;=9,FORSIDE!$B$5&gt;=1),2257,"")</f>
        <v/>
      </c>
      <c r="B2258" t="str">
        <f>IF(AND(FORSIDE!$B$8&gt;=16,FORSIDE!$F$8&gt;=9,FORSIDE!$B$5&gt;=1),354+9*FORSIDE!$F$9,"")</f>
        <v/>
      </c>
      <c r="C2258" t="str">
        <f>IF(AND(FORSIDE!$B$8&gt;=16,FORSIDE!$F$8&gt;=9,FORSIDE!$B$5&gt;=1),16*FORSIDE!$B$9,"")</f>
        <v/>
      </c>
      <c r="D2258" t="str">
        <f>IF(AND(FORSIDE!$B$8&gt;=16,FORSIDE!$F$8&gt;=9,FORSIDE!$B$5&gt;=1),FORSIDE!$B$6+(1-1)*FORSIDE!$B$7,"")</f>
        <v/>
      </c>
    </row>
    <row r="2259" spans="1:4" x14ac:dyDescent="0.3">
      <c r="A2259" t="str">
        <f>IF(AND(FORSIDE!$B$8&gt;=16,FORSIDE!$F$8&gt;=9,FORSIDE!$B$5&gt;=2),2258,"")</f>
        <v/>
      </c>
      <c r="B2259" t="str">
        <f>IF(AND(FORSIDE!$B$8&gt;=16,FORSIDE!$F$8&gt;=9,FORSIDE!$B$5&gt;=2),354+9*FORSIDE!$F$9,"")</f>
        <v/>
      </c>
      <c r="C2259" t="str">
        <f>IF(AND(FORSIDE!$B$8&gt;=16,FORSIDE!$F$8&gt;=9,FORSIDE!$B$5&gt;=2),16*FORSIDE!$B$9,"")</f>
        <v/>
      </c>
      <c r="D2259" t="str">
        <f>IF(AND(FORSIDE!$B$8&gt;=16,FORSIDE!$F$8&gt;=9,FORSIDE!$B$5&gt;=2),FORSIDE!$B$6+(2-1)*FORSIDE!$B$7,"")</f>
        <v/>
      </c>
    </row>
    <row r="2260" spans="1:4" x14ac:dyDescent="0.3">
      <c r="A2260" t="str">
        <f>IF(AND(FORSIDE!$B$8&gt;=16,FORSIDE!$F$8&gt;=9,FORSIDE!$B$5&gt;=3),2259,"")</f>
        <v/>
      </c>
      <c r="B2260" t="str">
        <f>IF(AND(FORSIDE!$B$8&gt;=16,FORSIDE!$F$8&gt;=9,FORSIDE!$B$5&gt;=3),354+9*FORSIDE!$F$9,"")</f>
        <v/>
      </c>
      <c r="C2260" t="str">
        <f>IF(AND(FORSIDE!$B$8&gt;=16,FORSIDE!$F$8&gt;=9,FORSIDE!$B$5&gt;=3),16*FORSIDE!$B$9,"")</f>
        <v/>
      </c>
      <c r="D2260" t="str">
        <f>IF(AND(FORSIDE!$B$8&gt;=16,FORSIDE!$F$8&gt;=9,FORSIDE!$B$5&gt;=3),FORSIDE!$B$6+(3-1)*FORSIDE!$B$7,"")</f>
        <v/>
      </c>
    </row>
    <row r="2261" spans="1:4" x14ac:dyDescent="0.3">
      <c r="A2261" t="str">
        <f>IF(AND(FORSIDE!$B$8&gt;=16,FORSIDE!$F$8&gt;=9,FORSIDE!$B$5&gt;=4),2260,"")</f>
        <v/>
      </c>
      <c r="B2261" t="str">
        <f>IF(AND(FORSIDE!$B$8&gt;=16,FORSIDE!$F$8&gt;=9,FORSIDE!$B$5&gt;=4),354+9*FORSIDE!$F$9,"")</f>
        <v/>
      </c>
      <c r="C2261" t="str">
        <f>IF(AND(FORSIDE!$B$8&gt;=16,FORSIDE!$F$8&gt;=9,FORSIDE!$B$5&gt;=4),16*FORSIDE!$B$9,"")</f>
        <v/>
      </c>
      <c r="D2261" t="str">
        <f>IF(AND(FORSIDE!$B$8&gt;=16,FORSIDE!$F$8&gt;=9,FORSIDE!$B$5&gt;=4),FORSIDE!$B$6+(4-1)*FORSIDE!$B$7,"")</f>
        <v/>
      </c>
    </row>
    <row r="2262" spans="1:4" x14ac:dyDescent="0.3">
      <c r="A2262" t="str">
        <f>IF(AND(FORSIDE!$B$8&gt;=16,FORSIDE!$F$8&gt;=9,FORSIDE!$B$5&gt;=5),2261,"")</f>
        <v/>
      </c>
      <c r="B2262" t="str">
        <f>IF(AND(FORSIDE!$B$8&gt;=16,FORSIDE!$F$8&gt;=9,FORSIDE!$B$5&gt;=5),354+9*FORSIDE!$F$9,"")</f>
        <v/>
      </c>
      <c r="C2262" t="str">
        <f>IF(AND(FORSIDE!$B$8&gt;=16,FORSIDE!$F$8&gt;=9,FORSIDE!$B$5&gt;=5),16*FORSIDE!$B$9,"")</f>
        <v/>
      </c>
      <c r="D2262" t="str">
        <f>IF(AND(FORSIDE!$B$8&gt;=16,FORSIDE!$F$8&gt;=9,FORSIDE!$B$5&gt;=5),FORSIDE!$B$6+(5-1)*FORSIDE!$B$7,"")</f>
        <v/>
      </c>
    </row>
    <row r="2263" spans="1:4" x14ac:dyDescent="0.3">
      <c r="A2263" t="str">
        <f>IF(AND(FORSIDE!$B$8&gt;=16,FORSIDE!$F$8&gt;=9,FORSIDE!$B$5&gt;=6),2262,"")</f>
        <v/>
      </c>
      <c r="B2263" t="str">
        <f>IF(AND(FORSIDE!$B$8&gt;=16,FORSIDE!$F$8&gt;=9,FORSIDE!$B$5&gt;=6),354+9*FORSIDE!$F$9,"")</f>
        <v/>
      </c>
      <c r="C2263" t="str">
        <f>IF(AND(FORSIDE!$B$8&gt;=16,FORSIDE!$F$8&gt;=9,FORSIDE!$B$5&gt;=6),16*FORSIDE!$B$9,"")</f>
        <v/>
      </c>
      <c r="D2263" t="str">
        <f>IF(AND(FORSIDE!$B$8&gt;=16,FORSIDE!$F$8&gt;=9,FORSIDE!$B$5&gt;=6),FORSIDE!$B$6+(6-1)*FORSIDE!$B$7,"")</f>
        <v/>
      </c>
    </row>
    <row r="2264" spans="1:4" x14ac:dyDescent="0.3">
      <c r="A2264" t="str">
        <f>IF(AND(FORSIDE!$B$8&gt;=16,FORSIDE!$F$8&gt;=9,FORSIDE!$B$5&gt;=7),2263,"")</f>
        <v/>
      </c>
      <c r="B2264" t="str">
        <f>IF(AND(FORSIDE!$B$8&gt;=16,FORSIDE!$F$8&gt;=9,FORSIDE!$B$5&gt;=7),354+9*FORSIDE!$F$9,"")</f>
        <v/>
      </c>
      <c r="C2264" t="str">
        <f>IF(AND(FORSIDE!$B$8&gt;=16,FORSIDE!$F$8&gt;=9,FORSIDE!$B$5&gt;=7),16*FORSIDE!$B$9,"")</f>
        <v/>
      </c>
      <c r="D2264" t="str">
        <f>IF(AND(FORSIDE!$B$8&gt;=16,FORSIDE!$F$8&gt;=9,FORSIDE!$B$5&gt;=7),FORSIDE!$B$6+(7-1)*FORSIDE!$B$7,"")</f>
        <v/>
      </c>
    </row>
    <row r="2265" spans="1:4" x14ac:dyDescent="0.3">
      <c r="A2265" t="str">
        <f>IF(AND(FORSIDE!$B$8&gt;=16,FORSIDE!$F$8&gt;=9,FORSIDE!$B$5&gt;=8),2264,"")</f>
        <v/>
      </c>
      <c r="B2265" t="str">
        <f>IF(AND(FORSIDE!$B$8&gt;=16,FORSIDE!$F$8&gt;=9,FORSIDE!$B$5&gt;=8),354+9*FORSIDE!$F$9,"")</f>
        <v/>
      </c>
      <c r="C2265" t="str">
        <f>IF(AND(FORSIDE!$B$8&gt;=16,FORSIDE!$F$8&gt;=9,FORSIDE!$B$5&gt;=8),16*FORSIDE!$B$9,"")</f>
        <v/>
      </c>
      <c r="D2265" t="str">
        <f>IF(AND(FORSIDE!$B$8&gt;=16,FORSIDE!$F$8&gt;=9,FORSIDE!$B$5&gt;=8),FORSIDE!$B$6+(8-1)*FORSIDE!$B$7,"")</f>
        <v/>
      </c>
    </row>
    <row r="2266" spans="1:4" x14ac:dyDescent="0.3">
      <c r="A2266" t="str">
        <f>IF(AND(FORSIDE!$B$8&gt;=16,FORSIDE!$F$8&gt;=9,FORSIDE!$B$5&gt;=9),2265,"")</f>
        <v/>
      </c>
      <c r="B2266" t="str">
        <f>IF(AND(FORSIDE!$B$8&gt;=16,FORSIDE!$F$8&gt;=9,FORSIDE!$B$5&gt;=9),354+9*FORSIDE!$F$9,"")</f>
        <v/>
      </c>
      <c r="C2266" t="str">
        <f>IF(AND(FORSIDE!$B$8&gt;=16,FORSIDE!$F$8&gt;=9,FORSIDE!$B$5&gt;=9),16*FORSIDE!$B$9,"")</f>
        <v/>
      </c>
      <c r="D2266" t="str">
        <f>IF(AND(FORSIDE!$B$8&gt;=16,FORSIDE!$F$8&gt;=9,FORSIDE!$B$5&gt;=9),FORSIDE!$B$6+(9-1)*FORSIDE!$B$7,"")</f>
        <v/>
      </c>
    </row>
    <row r="2267" spans="1:4" x14ac:dyDescent="0.3">
      <c r="A2267" t="str">
        <f>IF(AND(FORSIDE!$B$8&gt;=16,FORSIDE!$F$8&gt;=9,FORSIDE!$B$5&gt;=10),2266,"")</f>
        <v/>
      </c>
      <c r="B2267" t="str">
        <f>IF(AND(FORSIDE!$B$8&gt;=16,FORSIDE!$F$8&gt;=9,FORSIDE!$B$5&gt;=10),354+9*FORSIDE!$F$9,"")</f>
        <v/>
      </c>
      <c r="C2267" t="str">
        <f>IF(AND(FORSIDE!$B$8&gt;=16,FORSIDE!$F$8&gt;=9,FORSIDE!$B$5&gt;=10),16*FORSIDE!$B$9,"")</f>
        <v/>
      </c>
      <c r="D2267" t="str">
        <f>IF(AND(FORSIDE!$B$8&gt;=16,FORSIDE!$F$8&gt;=9,FORSIDE!$B$5&gt;=10),FORSIDE!$B$6+(10-1)*FORSIDE!$B$7,"")</f>
        <v/>
      </c>
    </row>
    <row r="2268" spans="1:4" x14ac:dyDescent="0.3">
      <c r="A2268" t="str">
        <f>IF(AND(FORSIDE!$B$8&gt;=17,FORSIDE!$F$8&gt;=9,FORSIDE!$B$5&gt;=0),2267,"")</f>
        <v/>
      </c>
      <c r="B2268" t="str">
        <f>IF(AND(FORSIDE!$B$8&gt;=17,FORSIDE!$F$8&gt;=9,FORSIDE!$B$5&gt;=0),354+9*FORSIDE!$F$9,"")</f>
        <v/>
      </c>
      <c r="C2268" t="str">
        <f>IF(AND(FORSIDE!$B$8&gt;=17,FORSIDE!$F$8&gt;=9,FORSIDE!$B$5&gt;=0),17*FORSIDE!$B$9,"")</f>
        <v/>
      </c>
      <c r="D2268" t="str">
        <f>IF(AND(FORSIDE!$B$8&gt;=17,FORSIDE!$F$8&gt;=9,FORSIDE!$B$5&gt;=0),0,"")</f>
        <v/>
      </c>
    </row>
    <row r="2269" spans="1:4" x14ac:dyDescent="0.3">
      <c r="A2269" t="str">
        <f>IF(AND(FORSIDE!$B$8&gt;=17,FORSIDE!$F$8&gt;=9,FORSIDE!$B$5&gt;=1),2268,"")</f>
        <v/>
      </c>
      <c r="B2269" t="str">
        <f>IF(AND(FORSIDE!$B$8&gt;=17,FORSIDE!$F$8&gt;=9,FORSIDE!$B$5&gt;=1),354+9*FORSIDE!$F$9,"")</f>
        <v/>
      </c>
      <c r="C2269" t="str">
        <f>IF(AND(FORSIDE!$B$8&gt;=17,FORSIDE!$F$8&gt;=9,FORSIDE!$B$5&gt;=1),17*FORSIDE!$B$9,"")</f>
        <v/>
      </c>
      <c r="D2269" t="str">
        <f>IF(AND(FORSIDE!$B$8&gt;=17,FORSIDE!$F$8&gt;=9,FORSIDE!$B$5&gt;=1),FORSIDE!$B$6+(1-1)*FORSIDE!$B$7,"")</f>
        <v/>
      </c>
    </row>
    <row r="2270" spans="1:4" x14ac:dyDescent="0.3">
      <c r="A2270" t="str">
        <f>IF(AND(FORSIDE!$B$8&gt;=17,FORSIDE!$F$8&gt;=9,FORSIDE!$B$5&gt;=2),2269,"")</f>
        <v/>
      </c>
      <c r="B2270" t="str">
        <f>IF(AND(FORSIDE!$B$8&gt;=17,FORSIDE!$F$8&gt;=9,FORSIDE!$B$5&gt;=2),354+9*FORSIDE!$F$9,"")</f>
        <v/>
      </c>
      <c r="C2270" t="str">
        <f>IF(AND(FORSIDE!$B$8&gt;=17,FORSIDE!$F$8&gt;=9,FORSIDE!$B$5&gt;=2),17*FORSIDE!$B$9,"")</f>
        <v/>
      </c>
      <c r="D2270" t="str">
        <f>IF(AND(FORSIDE!$B$8&gt;=17,FORSIDE!$F$8&gt;=9,FORSIDE!$B$5&gt;=2),FORSIDE!$B$6+(2-1)*FORSIDE!$B$7,"")</f>
        <v/>
      </c>
    </row>
    <row r="2271" spans="1:4" x14ac:dyDescent="0.3">
      <c r="A2271" t="str">
        <f>IF(AND(FORSIDE!$B$8&gt;=17,FORSIDE!$F$8&gt;=9,FORSIDE!$B$5&gt;=3),2270,"")</f>
        <v/>
      </c>
      <c r="B2271" t="str">
        <f>IF(AND(FORSIDE!$B$8&gt;=17,FORSIDE!$F$8&gt;=9,FORSIDE!$B$5&gt;=3),354+9*FORSIDE!$F$9,"")</f>
        <v/>
      </c>
      <c r="C2271" t="str">
        <f>IF(AND(FORSIDE!$B$8&gt;=17,FORSIDE!$F$8&gt;=9,FORSIDE!$B$5&gt;=3),17*FORSIDE!$B$9,"")</f>
        <v/>
      </c>
      <c r="D2271" t="str">
        <f>IF(AND(FORSIDE!$B$8&gt;=17,FORSIDE!$F$8&gt;=9,FORSIDE!$B$5&gt;=3),FORSIDE!$B$6+(3-1)*FORSIDE!$B$7,"")</f>
        <v/>
      </c>
    </row>
    <row r="2272" spans="1:4" x14ac:dyDescent="0.3">
      <c r="A2272" t="str">
        <f>IF(AND(FORSIDE!$B$8&gt;=17,FORSIDE!$F$8&gt;=9,FORSIDE!$B$5&gt;=4),2271,"")</f>
        <v/>
      </c>
      <c r="B2272" t="str">
        <f>IF(AND(FORSIDE!$B$8&gt;=17,FORSIDE!$F$8&gt;=9,FORSIDE!$B$5&gt;=4),354+9*FORSIDE!$F$9,"")</f>
        <v/>
      </c>
      <c r="C2272" t="str">
        <f>IF(AND(FORSIDE!$B$8&gt;=17,FORSIDE!$F$8&gt;=9,FORSIDE!$B$5&gt;=4),17*FORSIDE!$B$9,"")</f>
        <v/>
      </c>
      <c r="D2272" t="str">
        <f>IF(AND(FORSIDE!$B$8&gt;=17,FORSIDE!$F$8&gt;=9,FORSIDE!$B$5&gt;=4),FORSIDE!$B$6+(4-1)*FORSIDE!$B$7,"")</f>
        <v/>
      </c>
    </row>
    <row r="2273" spans="1:4" x14ac:dyDescent="0.3">
      <c r="A2273" t="str">
        <f>IF(AND(FORSIDE!$B$8&gt;=17,FORSIDE!$F$8&gt;=9,FORSIDE!$B$5&gt;=5),2272,"")</f>
        <v/>
      </c>
      <c r="B2273" t="str">
        <f>IF(AND(FORSIDE!$B$8&gt;=17,FORSIDE!$F$8&gt;=9,FORSIDE!$B$5&gt;=5),354+9*FORSIDE!$F$9,"")</f>
        <v/>
      </c>
      <c r="C2273" t="str">
        <f>IF(AND(FORSIDE!$B$8&gt;=17,FORSIDE!$F$8&gt;=9,FORSIDE!$B$5&gt;=5),17*FORSIDE!$B$9,"")</f>
        <v/>
      </c>
      <c r="D2273" t="str">
        <f>IF(AND(FORSIDE!$B$8&gt;=17,FORSIDE!$F$8&gt;=9,FORSIDE!$B$5&gt;=5),FORSIDE!$B$6+(5-1)*FORSIDE!$B$7,"")</f>
        <v/>
      </c>
    </row>
    <row r="2274" spans="1:4" x14ac:dyDescent="0.3">
      <c r="A2274" t="str">
        <f>IF(AND(FORSIDE!$B$8&gt;=17,FORSIDE!$F$8&gt;=9,FORSIDE!$B$5&gt;=6),2273,"")</f>
        <v/>
      </c>
      <c r="B2274" t="str">
        <f>IF(AND(FORSIDE!$B$8&gt;=17,FORSIDE!$F$8&gt;=9,FORSIDE!$B$5&gt;=6),354+9*FORSIDE!$F$9,"")</f>
        <v/>
      </c>
      <c r="C2274" t="str">
        <f>IF(AND(FORSIDE!$B$8&gt;=17,FORSIDE!$F$8&gt;=9,FORSIDE!$B$5&gt;=6),17*FORSIDE!$B$9,"")</f>
        <v/>
      </c>
      <c r="D2274" t="str">
        <f>IF(AND(FORSIDE!$B$8&gt;=17,FORSIDE!$F$8&gt;=9,FORSIDE!$B$5&gt;=6),FORSIDE!$B$6+(6-1)*FORSIDE!$B$7,"")</f>
        <v/>
      </c>
    </row>
    <row r="2275" spans="1:4" x14ac:dyDescent="0.3">
      <c r="A2275" t="str">
        <f>IF(AND(FORSIDE!$B$8&gt;=17,FORSIDE!$F$8&gt;=9,FORSIDE!$B$5&gt;=7),2274,"")</f>
        <v/>
      </c>
      <c r="B2275" t="str">
        <f>IF(AND(FORSIDE!$B$8&gt;=17,FORSIDE!$F$8&gt;=9,FORSIDE!$B$5&gt;=7),354+9*FORSIDE!$F$9,"")</f>
        <v/>
      </c>
      <c r="C2275" t="str">
        <f>IF(AND(FORSIDE!$B$8&gt;=17,FORSIDE!$F$8&gt;=9,FORSIDE!$B$5&gt;=7),17*FORSIDE!$B$9,"")</f>
        <v/>
      </c>
      <c r="D2275" t="str">
        <f>IF(AND(FORSIDE!$B$8&gt;=17,FORSIDE!$F$8&gt;=9,FORSIDE!$B$5&gt;=7),FORSIDE!$B$6+(7-1)*FORSIDE!$B$7,"")</f>
        <v/>
      </c>
    </row>
    <row r="2276" spans="1:4" x14ac:dyDescent="0.3">
      <c r="A2276" t="str">
        <f>IF(AND(FORSIDE!$B$8&gt;=17,FORSIDE!$F$8&gt;=9,FORSIDE!$B$5&gt;=8),2275,"")</f>
        <v/>
      </c>
      <c r="B2276" t="str">
        <f>IF(AND(FORSIDE!$B$8&gt;=17,FORSIDE!$F$8&gt;=9,FORSIDE!$B$5&gt;=8),354+9*FORSIDE!$F$9,"")</f>
        <v/>
      </c>
      <c r="C2276" t="str">
        <f>IF(AND(FORSIDE!$B$8&gt;=17,FORSIDE!$F$8&gt;=9,FORSIDE!$B$5&gt;=8),17*FORSIDE!$B$9,"")</f>
        <v/>
      </c>
      <c r="D2276" t="str">
        <f>IF(AND(FORSIDE!$B$8&gt;=17,FORSIDE!$F$8&gt;=9,FORSIDE!$B$5&gt;=8),FORSIDE!$B$6+(8-1)*FORSIDE!$B$7,"")</f>
        <v/>
      </c>
    </row>
    <row r="2277" spans="1:4" x14ac:dyDescent="0.3">
      <c r="A2277" t="str">
        <f>IF(AND(FORSIDE!$B$8&gt;=17,FORSIDE!$F$8&gt;=9,FORSIDE!$B$5&gt;=9),2276,"")</f>
        <v/>
      </c>
      <c r="B2277" t="str">
        <f>IF(AND(FORSIDE!$B$8&gt;=17,FORSIDE!$F$8&gt;=9,FORSIDE!$B$5&gt;=9),354+9*FORSIDE!$F$9,"")</f>
        <v/>
      </c>
      <c r="C2277" t="str">
        <f>IF(AND(FORSIDE!$B$8&gt;=17,FORSIDE!$F$8&gt;=9,FORSIDE!$B$5&gt;=9),17*FORSIDE!$B$9,"")</f>
        <v/>
      </c>
      <c r="D2277" t="str">
        <f>IF(AND(FORSIDE!$B$8&gt;=17,FORSIDE!$F$8&gt;=9,FORSIDE!$B$5&gt;=9),FORSIDE!$B$6+(9-1)*FORSIDE!$B$7,"")</f>
        <v/>
      </c>
    </row>
    <row r="2278" spans="1:4" x14ac:dyDescent="0.3">
      <c r="A2278" t="str">
        <f>IF(AND(FORSIDE!$B$8&gt;=17,FORSIDE!$F$8&gt;=9,FORSIDE!$B$5&gt;=10),2277,"")</f>
        <v/>
      </c>
      <c r="B2278" t="str">
        <f>IF(AND(FORSIDE!$B$8&gt;=17,FORSIDE!$F$8&gt;=9,FORSIDE!$B$5&gt;=10),354+9*FORSIDE!$F$9,"")</f>
        <v/>
      </c>
      <c r="C2278" t="str">
        <f>IF(AND(FORSIDE!$B$8&gt;=17,FORSIDE!$F$8&gt;=9,FORSIDE!$B$5&gt;=10),17*FORSIDE!$B$9,"")</f>
        <v/>
      </c>
      <c r="D2278" t="str">
        <f>IF(AND(FORSIDE!$B$8&gt;=17,FORSIDE!$F$8&gt;=9,FORSIDE!$B$5&gt;=10),FORSIDE!$B$6+(10-1)*FORSIDE!$B$7,"")</f>
        <v/>
      </c>
    </row>
    <row r="2279" spans="1:4" x14ac:dyDescent="0.3">
      <c r="A2279" t="str">
        <f>IF(AND(FORSIDE!$B$8&gt;=18,FORSIDE!$F$8&gt;=9,FORSIDE!$B$5&gt;=0),2278,"")</f>
        <v/>
      </c>
      <c r="B2279" t="str">
        <f>IF(AND(FORSIDE!$B$8&gt;=18,FORSIDE!$F$8&gt;=9,FORSIDE!$B$5&gt;=0),354+9*FORSIDE!$F$9,"")</f>
        <v/>
      </c>
      <c r="C2279" t="str">
        <f>IF(AND(FORSIDE!$B$8&gt;=18,FORSIDE!$F$8&gt;=9,FORSIDE!$B$5&gt;=0),18*FORSIDE!$B$9,"")</f>
        <v/>
      </c>
      <c r="D2279" t="str">
        <f>IF(AND(FORSIDE!$B$8&gt;=18,FORSIDE!$F$8&gt;=9,FORSIDE!$B$5&gt;=0),0,"")</f>
        <v/>
      </c>
    </row>
    <row r="2280" spans="1:4" x14ac:dyDescent="0.3">
      <c r="A2280" t="str">
        <f>IF(AND(FORSIDE!$B$8&gt;=18,FORSIDE!$F$8&gt;=9,FORSIDE!$B$5&gt;=1),2279,"")</f>
        <v/>
      </c>
      <c r="B2280" t="str">
        <f>IF(AND(FORSIDE!$B$8&gt;=18,FORSIDE!$F$8&gt;=9,FORSIDE!$B$5&gt;=1),354+9*FORSIDE!$F$9,"")</f>
        <v/>
      </c>
      <c r="C2280" t="str">
        <f>IF(AND(FORSIDE!$B$8&gt;=18,FORSIDE!$F$8&gt;=9,FORSIDE!$B$5&gt;=1),18*FORSIDE!$B$9,"")</f>
        <v/>
      </c>
      <c r="D2280" t="str">
        <f>IF(AND(FORSIDE!$B$8&gt;=18,FORSIDE!$F$8&gt;=9,FORSIDE!$B$5&gt;=1),FORSIDE!$B$6+(1-1)*FORSIDE!$B$7,"")</f>
        <v/>
      </c>
    </row>
    <row r="2281" spans="1:4" x14ac:dyDescent="0.3">
      <c r="A2281" t="str">
        <f>IF(AND(FORSIDE!$B$8&gt;=18,FORSIDE!$F$8&gt;=9,FORSIDE!$B$5&gt;=2),2280,"")</f>
        <v/>
      </c>
      <c r="B2281" t="str">
        <f>IF(AND(FORSIDE!$B$8&gt;=18,FORSIDE!$F$8&gt;=9,FORSIDE!$B$5&gt;=2),354+9*FORSIDE!$F$9,"")</f>
        <v/>
      </c>
      <c r="C2281" t="str">
        <f>IF(AND(FORSIDE!$B$8&gt;=18,FORSIDE!$F$8&gt;=9,FORSIDE!$B$5&gt;=2),18*FORSIDE!$B$9,"")</f>
        <v/>
      </c>
      <c r="D2281" t="str">
        <f>IF(AND(FORSIDE!$B$8&gt;=18,FORSIDE!$F$8&gt;=9,FORSIDE!$B$5&gt;=2),FORSIDE!$B$6+(2-1)*FORSIDE!$B$7,"")</f>
        <v/>
      </c>
    </row>
    <row r="2282" spans="1:4" x14ac:dyDescent="0.3">
      <c r="A2282" t="str">
        <f>IF(AND(FORSIDE!$B$8&gt;=18,FORSIDE!$F$8&gt;=9,FORSIDE!$B$5&gt;=3),2281,"")</f>
        <v/>
      </c>
      <c r="B2282" t="str">
        <f>IF(AND(FORSIDE!$B$8&gt;=18,FORSIDE!$F$8&gt;=9,FORSIDE!$B$5&gt;=3),354+9*FORSIDE!$F$9,"")</f>
        <v/>
      </c>
      <c r="C2282" t="str">
        <f>IF(AND(FORSIDE!$B$8&gt;=18,FORSIDE!$F$8&gt;=9,FORSIDE!$B$5&gt;=3),18*FORSIDE!$B$9,"")</f>
        <v/>
      </c>
      <c r="D2282" t="str">
        <f>IF(AND(FORSIDE!$B$8&gt;=18,FORSIDE!$F$8&gt;=9,FORSIDE!$B$5&gt;=3),FORSIDE!$B$6+(3-1)*FORSIDE!$B$7,"")</f>
        <v/>
      </c>
    </row>
    <row r="2283" spans="1:4" x14ac:dyDescent="0.3">
      <c r="A2283" t="str">
        <f>IF(AND(FORSIDE!$B$8&gt;=18,FORSIDE!$F$8&gt;=9,FORSIDE!$B$5&gt;=4),2282,"")</f>
        <v/>
      </c>
      <c r="B2283" t="str">
        <f>IF(AND(FORSIDE!$B$8&gt;=18,FORSIDE!$F$8&gt;=9,FORSIDE!$B$5&gt;=4),354+9*FORSIDE!$F$9,"")</f>
        <v/>
      </c>
      <c r="C2283" t="str">
        <f>IF(AND(FORSIDE!$B$8&gt;=18,FORSIDE!$F$8&gt;=9,FORSIDE!$B$5&gt;=4),18*FORSIDE!$B$9,"")</f>
        <v/>
      </c>
      <c r="D2283" t="str">
        <f>IF(AND(FORSIDE!$B$8&gt;=18,FORSIDE!$F$8&gt;=9,FORSIDE!$B$5&gt;=4),FORSIDE!$B$6+(4-1)*FORSIDE!$B$7,"")</f>
        <v/>
      </c>
    </row>
    <row r="2284" spans="1:4" x14ac:dyDescent="0.3">
      <c r="A2284" t="str">
        <f>IF(AND(FORSIDE!$B$8&gt;=18,FORSIDE!$F$8&gt;=9,FORSIDE!$B$5&gt;=5),2283,"")</f>
        <v/>
      </c>
      <c r="B2284" t="str">
        <f>IF(AND(FORSIDE!$B$8&gt;=18,FORSIDE!$F$8&gt;=9,FORSIDE!$B$5&gt;=5),354+9*FORSIDE!$F$9,"")</f>
        <v/>
      </c>
      <c r="C2284" t="str">
        <f>IF(AND(FORSIDE!$B$8&gt;=18,FORSIDE!$F$8&gt;=9,FORSIDE!$B$5&gt;=5),18*FORSIDE!$B$9,"")</f>
        <v/>
      </c>
      <c r="D2284" t="str">
        <f>IF(AND(FORSIDE!$B$8&gt;=18,FORSIDE!$F$8&gt;=9,FORSIDE!$B$5&gt;=5),FORSIDE!$B$6+(5-1)*FORSIDE!$B$7,"")</f>
        <v/>
      </c>
    </row>
    <row r="2285" spans="1:4" x14ac:dyDescent="0.3">
      <c r="A2285" t="str">
        <f>IF(AND(FORSIDE!$B$8&gt;=18,FORSIDE!$F$8&gt;=9,FORSIDE!$B$5&gt;=6),2284,"")</f>
        <v/>
      </c>
      <c r="B2285" t="str">
        <f>IF(AND(FORSIDE!$B$8&gt;=18,FORSIDE!$F$8&gt;=9,FORSIDE!$B$5&gt;=6),354+9*FORSIDE!$F$9,"")</f>
        <v/>
      </c>
      <c r="C2285" t="str">
        <f>IF(AND(FORSIDE!$B$8&gt;=18,FORSIDE!$F$8&gt;=9,FORSIDE!$B$5&gt;=6),18*FORSIDE!$B$9,"")</f>
        <v/>
      </c>
      <c r="D2285" t="str">
        <f>IF(AND(FORSIDE!$B$8&gt;=18,FORSIDE!$F$8&gt;=9,FORSIDE!$B$5&gt;=6),FORSIDE!$B$6+(6-1)*FORSIDE!$B$7,"")</f>
        <v/>
      </c>
    </row>
    <row r="2286" spans="1:4" x14ac:dyDescent="0.3">
      <c r="A2286" t="str">
        <f>IF(AND(FORSIDE!$B$8&gt;=18,FORSIDE!$F$8&gt;=9,FORSIDE!$B$5&gt;=7),2285,"")</f>
        <v/>
      </c>
      <c r="B2286" t="str">
        <f>IF(AND(FORSIDE!$B$8&gt;=18,FORSIDE!$F$8&gt;=9,FORSIDE!$B$5&gt;=7),354+9*FORSIDE!$F$9,"")</f>
        <v/>
      </c>
      <c r="C2286" t="str">
        <f>IF(AND(FORSIDE!$B$8&gt;=18,FORSIDE!$F$8&gt;=9,FORSIDE!$B$5&gt;=7),18*FORSIDE!$B$9,"")</f>
        <v/>
      </c>
      <c r="D2286" t="str">
        <f>IF(AND(FORSIDE!$B$8&gt;=18,FORSIDE!$F$8&gt;=9,FORSIDE!$B$5&gt;=7),FORSIDE!$B$6+(7-1)*FORSIDE!$B$7,"")</f>
        <v/>
      </c>
    </row>
    <row r="2287" spans="1:4" x14ac:dyDescent="0.3">
      <c r="A2287" t="str">
        <f>IF(AND(FORSIDE!$B$8&gt;=18,FORSIDE!$F$8&gt;=9,FORSIDE!$B$5&gt;=8),2286,"")</f>
        <v/>
      </c>
      <c r="B2287" t="str">
        <f>IF(AND(FORSIDE!$B$8&gt;=18,FORSIDE!$F$8&gt;=9,FORSIDE!$B$5&gt;=8),354+9*FORSIDE!$F$9,"")</f>
        <v/>
      </c>
      <c r="C2287" t="str">
        <f>IF(AND(FORSIDE!$B$8&gt;=18,FORSIDE!$F$8&gt;=9,FORSIDE!$B$5&gt;=8),18*FORSIDE!$B$9,"")</f>
        <v/>
      </c>
      <c r="D2287" t="str">
        <f>IF(AND(FORSIDE!$B$8&gt;=18,FORSIDE!$F$8&gt;=9,FORSIDE!$B$5&gt;=8),FORSIDE!$B$6+(8-1)*FORSIDE!$B$7,"")</f>
        <v/>
      </c>
    </row>
    <row r="2288" spans="1:4" x14ac:dyDescent="0.3">
      <c r="A2288" t="str">
        <f>IF(AND(FORSIDE!$B$8&gt;=18,FORSIDE!$F$8&gt;=9,FORSIDE!$B$5&gt;=9),2287,"")</f>
        <v/>
      </c>
      <c r="B2288" t="str">
        <f>IF(AND(FORSIDE!$B$8&gt;=18,FORSIDE!$F$8&gt;=9,FORSIDE!$B$5&gt;=9),354+9*FORSIDE!$F$9,"")</f>
        <v/>
      </c>
      <c r="C2288" t="str">
        <f>IF(AND(FORSIDE!$B$8&gt;=18,FORSIDE!$F$8&gt;=9,FORSIDE!$B$5&gt;=9),18*FORSIDE!$B$9,"")</f>
        <v/>
      </c>
      <c r="D2288" t="str">
        <f>IF(AND(FORSIDE!$B$8&gt;=18,FORSIDE!$F$8&gt;=9,FORSIDE!$B$5&gt;=9),FORSIDE!$B$6+(9-1)*FORSIDE!$B$7,"")</f>
        <v/>
      </c>
    </row>
    <row r="2289" spans="1:4" x14ac:dyDescent="0.3">
      <c r="A2289" t="str">
        <f>IF(AND(FORSIDE!$B$8&gt;=18,FORSIDE!$F$8&gt;=9,FORSIDE!$B$5&gt;=10),2288,"")</f>
        <v/>
      </c>
      <c r="B2289" t="str">
        <f>IF(AND(FORSIDE!$B$8&gt;=18,FORSIDE!$F$8&gt;=9,FORSIDE!$B$5&gt;=10),354+9*FORSIDE!$F$9,"")</f>
        <v/>
      </c>
      <c r="C2289" t="str">
        <f>IF(AND(FORSIDE!$B$8&gt;=18,FORSIDE!$F$8&gt;=9,FORSIDE!$B$5&gt;=10),18*FORSIDE!$B$9,"")</f>
        <v/>
      </c>
      <c r="D2289" t="str">
        <f>IF(AND(FORSIDE!$B$8&gt;=18,FORSIDE!$F$8&gt;=9,FORSIDE!$B$5&gt;=10),FORSIDE!$B$6+(10-1)*FORSIDE!$B$7,"")</f>
        <v/>
      </c>
    </row>
    <row r="2290" spans="1:4" x14ac:dyDescent="0.3">
      <c r="A2290" t="str">
        <f>IF(AND(FORSIDE!$B$8&gt;=19,FORSIDE!$F$8&gt;=9,FORSIDE!$B$5&gt;=0),2289,"")</f>
        <v/>
      </c>
      <c r="B2290" t="str">
        <f>IF(AND(FORSIDE!$B$8&gt;=19,FORSIDE!$F$8&gt;=9,FORSIDE!$B$5&gt;=0),354+9*FORSIDE!$F$9,"")</f>
        <v/>
      </c>
      <c r="C2290" t="str">
        <f>IF(AND(FORSIDE!$B$8&gt;=19,FORSIDE!$F$8&gt;=9,FORSIDE!$B$5&gt;=0),19*FORSIDE!$B$9,"")</f>
        <v/>
      </c>
      <c r="D2290" t="str">
        <f>IF(AND(FORSIDE!$B$8&gt;=19,FORSIDE!$F$8&gt;=9,FORSIDE!$B$5&gt;=0),0,"")</f>
        <v/>
      </c>
    </row>
    <row r="2291" spans="1:4" x14ac:dyDescent="0.3">
      <c r="A2291" t="str">
        <f>IF(AND(FORSIDE!$B$8&gt;=19,FORSIDE!$F$8&gt;=9,FORSIDE!$B$5&gt;=1),2290,"")</f>
        <v/>
      </c>
      <c r="B2291" t="str">
        <f>IF(AND(FORSIDE!$B$8&gt;=19,FORSIDE!$F$8&gt;=9,FORSIDE!$B$5&gt;=1),354+9*FORSIDE!$F$9,"")</f>
        <v/>
      </c>
      <c r="C2291" t="str">
        <f>IF(AND(FORSIDE!$B$8&gt;=19,FORSIDE!$F$8&gt;=9,FORSIDE!$B$5&gt;=1),19*FORSIDE!$B$9,"")</f>
        <v/>
      </c>
      <c r="D2291" t="str">
        <f>IF(AND(FORSIDE!$B$8&gt;=19,FORSIDE!$F$8&gt;=9,FORSIDE!$B$5&gt;=1),FORSIDE!$B$6+(1-1)*FORSIDE!$B$7,"")</f>
        <v/>
      </c>
    </row>
    <row r="2292" spans="1:4" x14ac:dyDescent="0.3">
      <c r="A2292" t="str">
        <f>IF(AND(FORSIDE!$B$8&gt;=19,FORSIDE!$F$8&gt;=9,FORSIDE!$B$5&gt;=2),2291,"")</f>
        <v/>
      </c>
      <c r="B2292" t="str">
        <f>IF(AND(FORSIDE!$B$8&gt;=19,FORSIDE!$F$8&gt;=9,FORSIDE!$B$5&gt;=2),354+9*FORSIDE!$F$9,"")</f>
        <v/>
      </c>
      <c r="C2292" t="str">
        <f>IF(AND(FORSIDE!$B$8&gt;=19,FORSIDE!$F$8&gt;=9,FORSIDE!$B$5&gt;=2),19*FORSIDE!$B$9,"")</f>
        <v/>
      </c>
      <c r="D2292" t="str">
        <f>IF(AND(FORSIDE!$B$8&gt;=19,FORSIDE!$F$8&gt;=9,FORSIDE!$B$5&gt;=2),FORSIDE!$B$6+(2-1)*FORSIDE!$B$7,"")</f>
        <v/>
      </c>
    </row>
    <row r="2293" spans="1:4" x14ac:dyDescent="0.3">
      <c r="A2293" t="str">
        <f>IF(AND(FORSIDE!$B$8&gt;=19,FORSIDE!$F$8&gt;=9,FORSIDE!$B$5&gt;=3),2292,"")</f>
        <v/>
      </c>
      <c r="B2293" t="str">
        <f>IF(AND(FORSIDE!$B$8&gt;=19,FORSIDE!$F$8&gt;=9,FORSIDE!$B$5&gt;=3),354+9*FORSIDE!$F$9,"")</f>
        <v/>
      </c>
      <c r="C2293" t="str">
        <f>IF(AND(FORSIDE!$B$8&gt;=19,FORSIDE!$F$8&gt;=9,FORSIDE!$B$5&gt;=3),19*FORSIDE!$B$9,"")</f>
        <v/>
      </c>
      <c r="D2293" t="str">
        <f>IF(AND(FORSIDE!$B$8&gt;=19,FORSIDE!$F$8&gt;=9,FORSIDE!$B$5&gt;=3),FORSIDE!$B$6+(3-1)*FORSIDE!$B$7,"")</f>
        <v/>
      </c>
    </row>
    <row r="2294" spans="1:4" x14ac:dyDescent="0.3">
      <c r="A2294" t="str">
        <f>IF(AND(FORSIDE!$B$8&gt;=19,FORSIDE!$F$8&gt;=9,FORSIDE!$B$5&gt;=4),2293,"")</f>
        <v/>
      </c>
      <c r="B2294" t="str">
        <f>IF(AND(FORSIDE!$B$8&gt;=19,FORSIDE!$F$8&gt;=9,FORSIDE!$B$5&gt;=4),354+9*FORSIDE!$F$9,"")</f>
        <v/>
      </c>
      <c r="C2294" t="str">
        <f>IF(AND(FORSIDE!$B$8&gt;=19,FORSIDE!$F$8&gt;=9,FORSIDE!$B$5&gt;=4),19*FORSIDE!$B$9,"")</f>
        <v/>
      </c>
      <c r="D2294" t="str">
        <f>IF(AND(FORSIDE!$B$8&gt;=19,FORSIDE!$F$8&gt;=9,FORSIDE!$B$5&gt;=4),FORSIDE!$B$6+(4-1)*FORSIDE!$B$7,"")</f>
        <v/>
      </c>
    </row>
    <row r="2295" spans="1:4" x14ac:dyDescent="0.3">
      <c r="A2295" t="str">
        <f>IF(AND(FORSIDE!$B$8&gt;=19,FORSIDE!$F$8&gt;=9,FORSIDE!$B$5&gt;=5),2294,"")</f>
        <v/>
      </c>
      <c r="B2295" t="str">
        <f>IF(AND(FORSIDE!$B$8&gt;=19,FORSIDE!$F$8&gt;=9,FORSIDE!$B$5&gt;=5),354+9*FORSIDE!$F$9,"")</f>
        <v/>
      </c>
      <c r="C2295" t="str">
        <f>IF(AND(FORSIDE!$B$8&gt;=19,FORSIDE!$F$8&gt;=9,FORSIDE!$B$5&gt;=5),19*FORSIDE!$B$9,"")</f>
        <v/>
      </c>
      <c r="D2295" t="str">
        <f>IF(AND(FORSIDE!$B$8&gt;=19,FORSIDE!$F$8&gt;=9,FORSIDE!$B$5&gt;=5),FORSIDE!$B$6+(5-1)*FORSIDE!$B$7,"")</f>
        <v/>
      </c>
    </row>
    <row r="2296" spans="1:4" x14ac:dyDescent="0.3">
      <c r="A2296" t="str">
        <f>IF(AND(FORSIDE!$B$8&gt;=19,FORSIDE!$F$8&gt;=9,FORSIDE!$B$5&gt;=6),2295,"")</f>
        <v/>
      </c>
      <c r="B2296" t="str">
        <f>IF(AND(FORSIDE!$B$8&gt;=19,FORSIDE!$F$8&gt;=9,FORSIDE!$B$5&gt;=6),354+9*FORSIDE!$F$9,"")</f>
        <v/>
      </c>
      <c r="C2296" t="str">
        <f>IF(AND(FORSIDE!$B$8&gt;=19,FORSIDE!$F$8&gt;=9,FORSIDE!$B$5&gt;=6),19*FORSIDE!$B$9,"")</f>
        <v/>
      </c>
      <c r="D2296" t="str">
        <f>IF(AND(FORSIDE!$B$8&gt;=19,FORSIDE!$F$8&gt;=9,FORSIDE!$B$5&gt;=6),FORSIDE!$B$6+(6-1)*FORSIDE!$B$7,"")</f>
        <v/>
      </c>
    </row>
    <row r="2297" spans="1:4" x14ac:dyDescent="0.3">
      <c r="A2297" t="str">
        <f>IF(AND(FORSIDE!$B$8&gt;=19,FORSIDE!$F$8&gt;=9,FORSIDE!$B$5&gt;=7),2296,"")</f>
        <v/>
      </c>
      <c r="B2297" t="str">
        <f>IF(AND(FORSIDE!$B$8&gt;=19,FORSIDE!$F$8&gt;=9,FORSIDE!$B$5&gt;=7),354+9*FORSIDE!$F$9,"")</f>
        <v/>
      </c>
      <c r="C2297" t="str">
        <f>IF(AND(FORSIDE!$B$8&gt;=19,FORSIDE!$F$8&gt;=9,FORSIDE!$B$5&gt;=7),19*FORSIDE!$B$9,"")</f>
        <v/>
      </c>
      <c r="D2297" t="str">
        <f>IF(AND(FORSIDE!$B$8&gt;=19,FORSIDE!$F$8&gt;=9,FORSIDE!$B$5&gt;=7),FORSIDE!$B$6+(7-1)*FORSIDE!$B$7,"")</f>
        <v/>
      </c>
    </row>
    <row r="2298" spans="1:4" x14ac:dyDescent="0.3">
      <c r="A2298" t="str">
        <f>IF(AND(FORSIDE!$B$8&gt;=19,FORSIDE!$F$8&gt;=9,FORSIDE!$B$5&gt;=8),2297,"")</f>
        <v/>
      </c>
      <c r="B2298" t="str">
        <f>IF(AND(FORSIDE!$B$8&gt;=19,FORSIDE!$F$8&gt;=9,FORSIDE!$B$5&gt;=8),354+9*FORSIDE!$F$9,"")</f>
        <v/>
      </c>
      <c r="C2298" t="str">
        <f>IF(AND(FORSIDE!$B$8&gt;=19,FORSIDE!$F$8&gt;=9,FORSIDE!$B$5&gt;=8),19*FORSIDE!$B$9,"")</f>
        <v/>
      </c>
      <c r="D2298" t="str">
        <f>IF(AND(FORSIDE!$B$8&gt;=19,FORSIDE!$F$8&gt;=9,FORSIDE!$B$5&gt;=8),FORSIDE!$B$6+(8-1)*FORSIDE!$B$7,"")</f>
        <v/>
      </c>
    </row>
    <row r="2299" spans="1:4" x14ac:dyDescent="0.3">
      <c r="A2299" t="str">
        <f>IF(AND(FORSIDE!$B$8&gt;=19,FORSIDE!$F$8&gt;=9,FORSIDE!$B$5&gt;=9),2298,"")</f>
        <v/>
      </c>
      <c r="B2299" t="str">
        <f>IF(AND(FORSIDE!$B$8&gt;=19,FORSIDE!$F$8&gt;=9,FORSIDE!$B$5&gt;=9),354+9*FORSIDE!$F$9,"")</f>
        <v/>
      </c>
      <c r="C2299" t="str">
        <f>IF(AND(FORSIDE!$B$8&gt;=19,FORSIDE!$F$8&gt;=9,FORSIDE!$B$5&gt;=9),19*FORSIDE!$B$9,"")</f>
        <v/>
      </c>
      <c r="D2299" t="str">
        <f>IF(AND(FORSIDE!$B$8&gt;=19,FORSIDE!$F$8&gt;=9,FORSIDE!$B$5&gt;=9),FORSIDE!$B$6+(9-1)*FORSIDE!$B$7,"")</f>
        <v/>
      </c>
    </row>
    <row r="2300" spans="1:4" x14ac:dyDescent="0.3">
      <c r="A2300" t="str">
        <f>IF(AND(FORSIDE!$B$8&gt;=19,FORSIDE!$F$8&gt;=9,FORSIDE!$B$5&gt;=10),2299,"")</f>
        <v/>
      </c>
      <c r="B2300" t="str">
        <f>IF(AND(FORSIDE!$B$8&gt;=19,FORSIDE!$F$8&gt;=9,FORSIDE!$B$5&gt;=10),354+9*FORSIDE!$F$9,"")</f>
        <v/>
      </c>
      <c r="C2300" t="str">
        <f>IF(AND(FORSIDE!$B$8&gt;=19,FORSIDE!$F$8&gt;=9,FORSIDE!$B$5&gt;=10),19*FORSIDE!$B$9,"")</f>
        <v/>
      </c>
      <c r="D2300" t="str">
        <f>IF(AND(FORSIDE!$B$8&gt;=19,FORSIDE!$F$8&gt;=9,FORSIDE!$B$5&gt;=10),FORSIDE!$B$6+(10-1)*FORSIDE!$B$7,"")</f>
        <v/>
      </c>
    </row>
    <row r="2301" spans="1:4" x14ac:dyDescent="0.3">
      <c r="A2301" t="str">
        <f>IF(AND(FORSIDE!$B$8&gt;=20,FORSIDE!$F$8&gt;=9,FORSIDE!$B$5&gt;=0),2300,"")</f>
        <v/>
      </c>
      <c r="B2301" t="str">
        <f>IF(AND(FORSIDE!$B$8&gt;=20,FORSIDE!$F$8&gt;=9,FORSIDE!$B$5&gt;=0),354+9*FORSIDE!$F$9,"")</f>
        <v/>
      </c>
      <c r="C2301" t="str">
        <f>IF(AND(FORSIDE!$B$8&gt;=20,FORSIDE!$F$8&gt;=9,FORSIDE!$B$5&gt;=0),20*FORSIDE!$B$9,"")</f>
        <v/>
      </c>
      <c r="D2301" t="str">
        <f>IF(AND(FORSIDE!$B$8&gt;=20,FORSIDE!$F$8&gt;=9,FORSIDE!$B$5&gt;=0),0,"")</f>
        <v/>
      </c>
    </row>
    <row r="2302" spans="1:4" x14ac:dyDescent="0.3">
      <c r="A2302" t="str">
        <f>IF(AND(FORSIDE!$B$8&gt;=20,FORSIDE!$F$8&gt;=9,FORSIDE!$B$5&gt;=1),2301,"")</f>
        <v/>
      </c>
      <c r="B2302" t="str">
        <f>IF(AND(FORSIDE!$B$8&gt;=20,FORSIDE!$F$8&gt;=9,FORSIDE!$B$5&gt;=1),354+9*FORSIDE!$F$9,"")</f>
        <v/>
      </c>
      <c r="C2302" t="str">
        <f>IF(AND(FORSIDE!$B$8&gt;=20,FORSIDE!$F$8&gt;=9,FORSIDE!$B$5&gt;=1),20*FORSIDE!$B$9,"")</f>
        <v/>
      </c>
      <c r="D2302" t="str">
        <f>IF(AND(FORSIDE!$B$8&gt;=20,FORSIDE!$F$8&gt;=9,FORSIDE!$B$5&gt;=1),FORSIDE!$B$6+(1-1)*FORSIDE!$B$7,"")</f>
        <v/>
      </c>
    </row>
    <row r="2303" spans="1:4" x14ac:dyDescent="0.3">
      <c r="A2303" t="str">
        <f>IF(AND(FORSIDE!$B$8&gt;=20,FORSIDE!$F$8&gt;=9,FORSIDE!$B$5&gt;=2),2302,"")</f>
        <v/>
      </c>
      <c r="B2303" t="str">
        <f>IF(AND(FORSIDE!$B$8&gt;=20,FORSIDE!$F$8&gt;=9,FORSIDE!$B$5&gt;=2),354+9*FORSIDE!$F$9,"")</f>
        <v/>
      </c>
      <c r="C2303" t="str">
        <f>IF(AND(FORSIDE!$B$8&gt;=20,FORSIDE!$F$8&gt;=9,FORSIDE!$B$5&gt;=2),20*FORSIDE!$B$9,"")</f>
        <v/>
      </c>
      <c r="D2303" t="str">
        <f>IF(AND(FORSIDE!$B$8&gt;=20,FORSIDE!$F$8&gt;=9,FORSIDE!$B$5&gt;=2),FORSIDE!$B$6+(2-1)*FORSIDE!$B$7,"")</f>
        <v/>
      </c>
    </row>
    <row r="2304" spans="1:4" x14ac:dyDescent="0.3">
      <c r="A2304" t="str">
        <f>IF(AND(FORSIDE!$B$8&gt;=20,FORSIDE!$F$8&gt;=9,FORSIDE!$B$5&gt;=3),2303,"")</f>
        <v/>
      </c>
      <c r="B2304" t="str">
        <f>IF(AND(FORSIDE!$B$8&gt;=20,FORSIDE!$F$8&gt;=9,FORSIDE!$B$5&gt;=3),354+9*FORSIDE!$F$9,"")</f>
        <v/>
      </c>
      <c r="C2304" t="str">
        <f>IF(AND(FORSIDE!$B$8&gt;=20,FORSIDE!$F$8&gt;=9,FORSIDE!$B$5&gt;=3),20*FORSIDE!$B$9,"")</f>
        <v/>
      </c>
      <c r="D2304" t="str">
        <f>IF(AND(FORSIDE!$B$8&gt;=20,FORSIDE!$F$8&gt;=9,FORSIDE!$B$5&gt;=3),FORSIDE!$B$6+(3-1)*FORSIDE!$B$7,"")</f>
        <v/>
      </c>
    </row>
    <row r="2305" spans="1:4" x14ac:dyDescent="0.3">
      <c r="A2305" t="str">
        <f>IF(AND(FORSIDE!$B$8&gt;=20,FORSIDE!$F$8&gt;=9,FORSIDE!$B$5&gt;=4),2304,"")</f>
        <v/>
      </c>
      <c r="B2305" t="str">
        <f>IF(AND(FORSIDE!$B$8&gt;=20,FORSIDE!$F$8&gt;=9,FORSIDE!$B$5&gt;=4),354+9*FORSIDE!$F$9,"")</f>
        <v/>
      </c>
      <c r="C2305" t="str">
        <f>IF(AND(FORSIDE!$B$8&gt;=20,FORSIDE!$F$8&gt;=9,FORSIDE!$B$5&gt;=4),20*FORSIDE!$B$9,"")</f>
        <v/>
      </c>
      <c r="D2305" t="str">
        <f>IF(AND(FORSIDE!$B$8&gt;=20,FORSIDE!$F$8&gt;=9,FORSIDE!$B$5&gt;=4),FORSIDE!$B$6+(4-1)*FORSIDE!$B$7,"")</f>
        <v/>
      </c>
    </row>
    <row r="2306" spans="1:4" x14ac:dyDescent="0.3">
      <c r="A2306" t="str">
        <f>IF(AND(FORSIDE!$B$8&gt;=20,FORSIDE!$F$8&gt;=9,FORSIDE!$B$5&gt;=5),2305,"")</f>
        <v/>
      </c>
      <c r="B2306" t="str">
        <f>IF(AND(FORSIDE!$B$8&gt;=20,FORSIDE!$F$8&gt;=9,FORSIDE!$B$5&gt;=5),354+9*FORSIDE!$F$9,"")</f>
        <v/>
      </c>
      <c r="C2306" t="str">
        <f>IF(AND(FORSIDE!$B$8&gt;=20,FORSIDE!$F$8&gt;=9,FORSIDE!$B$5&gt;=5),20*FORSIDE!$B$9,"")</f>
        <v/>
      </c>
      <c r="D2306" t="str">
        <f>IF(AND(FORSIDE!$B$8&gt;=20,FORSIDE!$F$8&gt;=9,FORSIDE!$B$5&gt;=5),FORSIDE!$B$6+(5-1)*FORSIDE!$B$7,"")</f>
        <v/>
      </c>
    </row>
    <row r="2307" spans="1:4" x14ac:dyDescent="0.3">
      <c r="A2307" t="str">
        <f>IF(AND(FORSIDE!$B$8&gt;=20,FORSIDE!$F$8&gt;=9,FORSIDE!$B$5&gt;=6),2306,"")</f>
        <v/>
      </c>
      <c r="B2307" t="str">
        <f>IF(AND(FORSIDE!$B$8&gt;=20,FORSIDE!$F$8&gt;=9,FORSIDE!$B$5&gt;=6),354+9*FORSIDE!$F$9,"")</f>
        <v/>
      </c>
      <c r="C2307" t="str">
        <f>IF(AND(FORSIDE!$B$8&gt;=20,FORSIDE!$F$8&gt;=9,FORSIDE!$B$5&gt;=6),20*FORSIDE!$B$9,"")</f>
        <v/>
      </c>
      <c r="D2307" t="str">
        <f>IF(AND(FORSIDE!$B$8&gt;=20,FORSIDE!$F$8&gt;=9,FORSIDE!$B$5&gt;=6),FORSIDE!$B$6+(6-1)*FORSIDE!$B$7,"")</f>
        <v/>
      </c>
    </row>
    <row r="2308" spans="1:4" x14ac:dyDescent="0.3">
      <c r="A2308" t="str">
        <f>IF(AND(FORSIDE!$B$8&gt;=20,FORSIDE!$F$8&gt;=9,FORSIDE!$B$5&gt;=7),2307,"")</f>
        <v/>
      </c>
      <c r="B2308" t="str">
        <f>IF(AND(FORSIDE!$B$8&gt;=20,FORSIDE!$F$8&gt;=9,FORSIDE!$B$5&gt;=7),354+9*FORSIDE!$F$9,"")</f>
        <v/>
      </c>
      <c r="C2308" t="str">
        <f>IF(AND(FORSIDE!$B$8&gt;=20,FORSIDE!$F$8&gt;=9,FORSIDE!$B$5&gt;=7),20*FORSIDE!$B$9,"")</f>
        <v/>
      </c>
      <c r="D2308" t="str">
        <f>IF(AND(FORSIDE!$B$8&gt;=20,FORSIDE!$F$8&gt;=9,FORSIDE!$B$5&gt;=7),FORSIDE!$B$6+(7-1)*FORSIDE!$B$7,"")</f>
        <v/>
      </c>
    </row>
    <row r="2309" spans="1:4" x14ac:dyDescent="0.3">
      <c r="A2309" t="str">
        <f>IF(AND(FORSIDE!$B$8&gt;=20,FORSIDE!$F$8&gt;=9,FORSIDE!$B$5&gt;=8),2308,"")</f>
        <v/>
      </c>
      <c r="B2309" t="str">
        <f>IF(AND(FORSIDE!$B$8&gt;=20,FORSIDE!$F$8&gt;=9,FORSIDE!$B$5&gt;=8),354+9*FORSIDE!$F$9,"")</f>
        <v/>
      </c>
      <c r="C2309" t="str">
        <f>IF(AND(FORSIDE!$B$8&gt;=20,FORSIDE!$F$8&gt;=9,FORSIDE!$B$5&gt;=8),20*FORSIDE!$B$9,"")</f>
        <v/>
      </c>
      <c r="D2309" t="str">
        <f>IF(AND(FORSIDE!$B$8&gt;=20,FORSIDE!$F$8&gt;=9,FORSIDE!$B$5&gt;=8),FORSIDE!$B$6+(8-1)*FORSIDE!$B$7,"")</f>
        <v/>
      </c>
    </row>
    <row r="2310" spans="1:4" x14ac:dyDescent="0.3">
      <c r="A2310" t="str">
        <f>IF(AND(FORSIDE!$B$8&gt;=20,FORSIDE!$F$8&gt;=9,FORSIDE!$B$5&gt;=9),2309,"")</f>
        <v/>
      </c>
      <c r="B2310" t="str">
        <f>IF(AND(FORSIDE!$B$8&gt;=20,FORSIDE!$F$8&gt;=9,FORSIDE!$B$5&gt;=9),354+9*FORSIDE!$F$9,"")</f>
        <v/>
      </c>
      <c r="C2310" t="str">
        <f>IF(AND(FORSIDE!$B$8&gt;=20,FORSIDE!$F$8&gt;=9,FORSIDE!$B$5&gt;=9),20*FORSIDE!$B$9,"")</f>
        <v/>
      </c>
      <c r="D2310" t="str">
        <f>IF(AND(FORSIDE!$B$8&gt;=20,FORSIDE!$F$8&gt;=9,FORSIDE!$B$5&gt;=9),FORSIDE!$B$6+(9-1)*FORSIDE!$B$7,"")</f>
        <v/>
      </c>
    </row>
    <row r="2311" spans="1:4" x14ac:dyDescent="0.3">
      <c r="A2311" t="str">
        <f>IF(AND(FORSIDE!$B$8&gt;=20,FORSIDE!$F$8&gt;=9,FORSIDE!$B$5&gt;=10),2310,"")</f>
        <v/>
      </c>
      <c r="B2311" t="str">
        <f>IF(AND(FORSIDE!$B$8&gt;=20,FORSIDE!$F$8&gt;=9,FORSIDE!$B$5&gt;=10),354+9*FORSIDE!$F$9,"")</f>
        <v/>
      </c>
      <c r="C2311" t="str">
        <f>IF(AND(FORSIDE!$B$8&gt;=20,FORSIDE!$F$8&gt;=9,FORSIDE!$B$5&gt;=10),20*FORSIDE!$B$9,"")</f>
        <v/>
      </c>
      <c r="D2311" t="str">
        <f>IF(AND(FORSIDE!$B$8&gt;=20,FORSIDE!$F$8&gt;=9,FORSIDE!$B$5&gt;=10),FORSIDE!$B$6+(10-1)*FORSIDE!$B$7,"")</f>
        <v/>
      </c>
    </row>
    <row r="2312" spans="1:4" x14ac:dyDescent="0.3">
      <c r="A2312" t="str">
        <f>IF(AND(FORSIDE!$B$8&gt;=0,FORSIDE!$F$8&gt;=10,FORSIDE!$B$5&gt;=0),2311,"")</f>
        <v/>
      </c>
      <c r="B2312" t="str">
        <f>IF(AND(FORSIDE!$B$8&gt;=0,FORSIDE!$F$8&gt;=10,FORSIDE!$B$5&gt;=0),354+10*FORSIDE!$F$9,"")</f>
        <v/>
      </c>
      <c r="C2312" t="str">
        <f>IF(AND(FORSIDE!$B$8&gt;=0,FORSIDE!$F$8&gt;=10,FORSIDE!$B$5&gt;=0),0*FORSIDE!$B$9,"")</f>
        <v/>
      </c>
      <c r="D2312" t="str">
        <f>IF(AND(FORSIDE!$B$8&gt;=0,FORSIDE!$F$8&gt;=10,FORSIDE!$B$5&gt;=0),0,"")</f>
        <v/>
      </c>
    </row>
    <row r="2313" spans="1:4" x14ac:dyDescent="0.3">
      <c r="A2313" t="str">
        <f>IF(AND(FORSIDE!$B$8&gt;=0,FORSIDE!$F$8&gt;=10,FORSIDE!$B$5&gt;=1),2312,"")</f>
        <v/>
      </c>
      <c r="B2313" t="str">
        <f>IF(AND(FORSIDE!$B$8&gt;=0,FORSIDE!$F$8&gt;=10,FORSIDE!$B$5&gt;=1),354+10*FORSIDE!$F$9,"")</f>
        <v/>
      </c>
      <c r="C2313" t="str">
        <f>IF(AND(FORSIDE!$B$8&gt;=0,FORSIDE!$F$8&gt;=10,FORSIDE!$B$5&gt;=1),0*FORSIDE!$B$9,"")</f>
        <v/>
      </c>
      <c r="D2313" t="str">
        <f>IF(AND(FORSIDE!$B$8&gt;=0,FORSIDE!$F$8&gt;=10,FORSIDE!$B$5&gt;=1),FORSIDE!$B$6+(1-1)*FORSIDE!$B$7,"")</f>
        <v/>
      </c>
    </row>
    <row r="2314" spans="1:4" x14ac:dyDescent="0.3">
      <c r="A2314" t="str">
        <f>IF(AND(FORSIDE!$B$8&gt;=0,FORSIDE!$F$8&gt;=10,FORSIDE!$B$5&gt;=2),2313,"")</f>
        <v/>
      </c>
      <c r="B2314" t="str">
        <f>IF(AND(FORSIDE!$B$8&gt;=0,FORSIDE!$F$8&gt;=10,FORSIDE!$B$5&gt;=2),354+10*FORSIDE!$F$9,"")</f>
        <v/>
      </c>
      <c r="C2314" t="str">
        <f>IF(AND(FORSIDE!$B$8&gt;=0,FORSIDE!$F$8&gt;=10,FORSIDE!$B$5&gt;=2),0*FORSIDE!$B$9,"")</f>
        <v/>
      </c>
      <c r="D2314" t="str">
        <f>IF(AND(FORSIDE!$B$8&gt;=0,FORSIDE!$F$8&gt;=10,FORSIDE!$B$5&gt;=2),FORSIDE!$B$6+(2-1)*FORSIDE!$B$7,"")</f>
        <v/>
      </c>
    </row>
    <row r="2315" spans="1:4" x14ac:dyDescent="0.3">
      <c r="A2315" t="str">
        <f>IF(AND(FORSIDE!$B$8&gt;=0,FORSIDE!$F$8&gt;=10,FORSIDE!$B$5&gt;=3),2314,"")</f>
        <v/>
      </c>
      <c r="B2315" t="str">
        <f>IF(AND(FORSIDE!$B$8&gt;=0,FORSIDE!$F$8&gt;=10,FORSIDE!$B$5&gt;=3),354+10*FORSIDE!$F$9,"")</f>
        <v/>
      </c>
      <c r="C2315" t="str">
        <f>IF(AND(FORSIDE!$B$8&gt;=0,FORSIDE!$F$8&gt;=10,FORSIDE!$B$5&gt;=3),0*FORSIDE!$B$9,"")</f>
        <v/>
      </c>
      <c r="D2315" t="str">
        <f>IF(AND(FORSIDE!$B$8&gt;=0,FORSIDE!$F$8&gt;=10,FORSIDE!$B$5&gt;=3),FORSIDE!$B$6+(3-1)*FORSIDE!$B$7,"")</f>
        <v/>
      </c>
    </row>
    <row r="2316" spans="1:4" x14ac:dyDescent="0.3">
      <c r="A2316" t="str">
        <f>IF(AND(FORSIDE!$B$8&gt;=0,FORSIDE!$F$8&gt;=10,FORSIDE!$B$5&gt;=4),2315,"")</f>
        <v/>
      </c>
      <c r="B2316" t="str">
        <f>IF(AND(FORSIDE!$B$8&gt;=0,FORSIDE!$F$8&gt;=10,FORSIDE!$B$5&gt;=4),354+10*FORSIDE!$F$9,"")</f>
        <v/>
      </c>
      <c r="C2316" t="str">
        <f>IF(AND(FORSIDE!$B$8&gt;=0,FORSIDE!$F$8&gt;=10,FORSIDE!$B$5&gt;=4),0*FORSIDE!$B$9,"")</f>
        <v/>
      </c>
      <c r="D2316" t="str">
        <f>IF(AND(FORSIDE!$B$8&gt;=0,FORSIDE!$F$8&gt;=10,FORSIDE!$B$5&gt;=4),FORSIDE!$B$6+(4-1)*FORSIDE!$B$7,"")</f>
        <v/>
      </c>
    </row>
    <row r="2317" spans="1:4" x14ac:dyDescent="0.3">
      <c r="A2317" t="str">
        <f>IF(AND(FORSIDE!$B$8&gt;=0,FORSIDE!$F$8&gt;=10,FORSIDE!$B$5&gt;=5),2316,"")</f>
        <v/>
      </c>
      <c r="B2317" t="str">
        <f>IF(AND(FORSIDE!$B$8&gt;=0,FORSIDE!$F$8&gt;=10,FORSIDE!$B$5&gt;=5),354+10*FORSIDE!$F$9,"")</f>
        <v/>
      </c>
      <c r="C2317" t="str">
        <f>IF(AND(FORSIDE!$B$8&gt;=0,FORSIDE!$F$8&gt;=10,FORSIDE!$B$5&gt;=5),0*FORSIDE!$B$9,"")</f>
        <v/>
      </c>
      <c r="D2317" t="str">
        <f>IF(AND(FORSIDE!$B$8&gt;=0,FORSIDE!$F$8&gt;=10,FORSIDE!$B$5&gt;=5),FORSIDE!$B$6+(5-1)*FORSIDE!$B$7,"")</f>
        <v/>
      </c>
    </row>
    <row r="2318" spans="1:4" x14ac:dyDescent="0.3">
      <c r="A2318" t="str">
        <f>IF(AND(FORSIDE!$B$8&gt;=0,FORSIDE!$F$8&gt;=10,FORSIDE!$B$5&gt;=6),2317,"")</f>
        <v/>
      </c>
      <c r="B2318" t="str">
        <f>IF(AND(FORSIDE!$B$8&gt;=0,FORSIDE!$F$8&gt;=10,FORSIDE!$B$5&gt;=6),354+10*FORSIDE!$F$9,"")</f>
        <v/>
      </c>
      <c r="C2318" t="str">
        <f>IF(AND(FORSIDE!$B$8&gt;=0,FORSIDE!$F$8&gt;=10,FORSIDE!$B$5&gt;=6),0*FORSIDE!$B$9,"")</f>
        <v/>
      </c>
      <c r="D2318" t="str">
        <f>IF(AND(FORSIDE!$B$8&gt;=0,FORSIDE!$F$8&gt;=10,FORSIDE!$B$5&gt;=6),FORSIDE!$B$6+(6-1)*FORSIDE!$B$7,"")</f>
        <v/>
      </c>
    </row>
    <row r="2319" spans="1:4" x14ac:dyDescent="0.3">
      <c r="A2319" t="str">
        <f>IF(AND(FORSIDE!$B$8&gt;=0,FORSIDE!$F$8&gt;=10,FORSIDE!$B$5&gt;=7),2318,"")</f>
        <v/>
      </c>
      <c r="B2319" t="str">
        <f>IF(AND(FORSIDE!$B$8&gt;=0,FORSIDE!$F$8&gt;=10,FORSIDE!$B$5&gt;=7),354+10*FORSIDE!$F$9,"")</f>
        <v/>
      </c>
      <c r="C2319" t="str">
        <f>IF(AND(FORSIDE!$B$8&gt;=0,FORSIDE!$F$8&gt;=10,FORSIDE!$B$5&gt;=7),0*FORSIDE!$B$9,"")</f>
        <v/>
      </c>
      <c r="D2319" t="str">
        <f>IF(AND(FORSIDE!$B$8&gt;=0,FORSIDE!$F$8&gt;=10,FORSIDE!$B$5&gt;=7),FORSIDE!$B$6+(7-1)*FORSIDE!$B$7,"")</f>
        <v/>
      </c>
    </row>
    <row r="2320" spans="1:4" x14ac:dyDescent="0.3">
      <c r="A2320" t="str">
        <f>IF(AND(FORSIDE!$B$8&gt;=0,FORSIDE!$F$8&gt;=10,FORSIDE!$B$5&gt;=8),2319,"")</f>
        <v/>
      </c>
      <c r="B2320" t="str">
        <f>IF(AND(FORSIDE!$B$8&gt;=0,FORSIDE!$F$8&gt;=10,FORSIDE!$B$5&gt;=8),354+10*FORSIDE!$F$9,"")</f>
        <v/>
      </c>
      <c r="C2320" t="str">
        <f>IF(AND(FORSIDE!$B$8&gt;=0,FORSIDE!$F$8&gt;=10,FORSIDE!$B$5&gt;=8),0*FORSIDE!$B$9,"")</f>
        <v/>
      </c>
      <c r="D2320" t="str">
        <f>IF(AND(FORSIDE!$B$8&gt;=0,FORSIDE!$F$8&gt;=10,FORSIDE!$B$5&gt;=8),FORSIDE!$B$6+(8-1)*FORSIDE!$B$7,"")</f>
        <v/>
      </c>
    </row>
    <row r="2321" spans="1:4" x14ac:dyDescent="0.3">
      <c r="A2321" t="str">
        <f>IF(AND(FORSIDE!$B$8&gt;=0,FORSIDE!$F$8&gt;=10,FORSIDE!$B$5&gt;=9),2320,"")</f>
        <v/>
      </c>
      <c r="B2321" t="str">
        <f>IF(AND(FORSIDE!$B$8&gt;=0,FORSIDE!$F$8&gt;=10,FORSIDE!$B$5&gt;=9),354+10*FORSIDE!$F$9,"")</f>
        <v/>
      </c>
      <c r="C2321" t="str">
        <f>IF(AND(FORSIDE!$B$8&gt;=0,FORSIDE!$F$8&gt;=10,FORSIDE!$B$5&gt;=9),0*FORSIDE!$B$9,"")</f>
        <v/>
      </c>
      <c r="D2321" t="str">
        <f>IF(AND(FORSIDE!$B$8&gt;=0,FORSIDE!$F$8&gt;=10,FORSIDE!$B$5&gt;=9),FORSIDE!$B$6+(9-1)*FORSIDE!$B$7,"")</f>
        <v/>
      </c>
    </row>
    <row r="2322" spans="1:4" x14ac:dyDescent="0.3">
      <c r="A2322" t="str">
        <f>IF(AND(FORSIDE!$B$8&gt;=0,FORSIDE!$F$8&gt;=10,FORSIDE!$B$5&gt;=10),2321,"")</f>
        <v/>
      </c>
      <c r="B2322" t="str">
        <f>IF(AND(FORSIDE!$B$8&gt;=0,FORSIDE!$F$8&gt;=10,FORSIDE!$B$5&gt;=10),354+10*FORSIDE!$F$9,"")</f>
        <v/>
      </c>
      <c r="C2322" t="str">
        <f>IF(AND(FORSIDE!$B$8&gt;=0,FORSIDE!$F$8&gt;=10,FORSIDE!$B$5&gt;=10),0*FORSIDE!$B$9,"")</f>
        <v/>
      </c>
      <c r="D2322" t="str">
        <f>IF(AND(FORSIDE!$B$8&gt;=0,FORSIDE!$F$8&gt;=10,FORSIDE!$B$5&gt;=10),FORSIDE!$B$6+(10-1)*FORSIDE!$B$7,"")</f>
        <v/>
      </c>
    </row>
    <row r="2323" spans="1:4" x14ac:dyDescent="0.3">
      <c r="A2323" t="str">
        <f>IF(AND(FORSIDE!$B$8&gt;=1,FORSIDE!$F$8&gt;=10,FORSIDE!$B$5&gt;=0),2322,"")</f>
        <v/>
      </c>
      <c r="B2323" t="str">
        <f>IF(AND(FORSIDE!$B$8&gt;=1,FORSIDE!$F$8&gt;=10,FORSIDE!$B$5&gt;=0),354+10*FORSIDE!$F$9,"")</f>
        <v/>
      </c>
      <c r="C2323" t="str">
        <f>IF(AND(FORSIDE!$B$8&gt;=1,FORSIDE!$F$8&gt;=10,FORSIDE!$B$5&gt;=0),1*FORSIDE!$B$9,"")</f>
        <v/>
      </c>
      <c r="D2323" t="str">
        <f>IF(AND(FORSIDE!$B$8&gt;=1,FORSIDE!$F$8&gt;=10,FORSIDE!$B$5&gt;=0),0,"")</f>
        <v/>
      </c>
    </row>
    <row r="2324" spans="1:4" x14ac:dyDescent="0.3">
      <c r="A2324" t="str">
        <f>IF(AND(FORSIDE!$B$8&gt;=1,FORSIDE!$F$8&gt;=10,FORSIDE!$B$5&gt;=1),2323,"")</f>
        <v/>
      </c>
      <c r="B2324" t="str">
        <f>IF(AND(FORSIDE!$B$8&gt;=1,FORSIDE!$F$8&gt;=10,FORSIDE!$B$5&gt;=1),354+10*FORSIDE!$F$9,"")</f>
        <v/>
      </c>
      <c r="C2324" t="str">
        <f>IF(AND(FORSIDE!$B$8&gt;=1,FORSIDE!$F$8&gt;=10,FORSIDE!$B$5&gt;=1),1*FORSIDE!$B$9,"")</f>
        <v/>
      </c>
      <c r="D2324" t="str">
        <f>IF(AND(FORSIDE!$B$8&gt;=1,FORSIDE!$F$8&gt;=10,FORSIDE!$B$5&gt;=1),FORSIDE!$B$6+(1-1)*FORSIDE!$B$7,"")</f>
        <v/>
      </c>
    </row>
    <row r="2325" spans="1:4" x14ac:dyDescent="0.3">
      <c r="A2325" t="str">
        <f>IF(AND(FORSIDE!$B$8&gt;=1,FORSIDE!$F$8&gt;=10,FORSIDE!$B$5&gt;=2),2324,"")</f>
        <v/>
      </c>
      <c r="B2325" t="str">
        <f>IF(AND(FORSIDE!$B$8&gt;=1,FORSIDE!$F$8&gt;=10,FORSIDE!$B$5&gt;=2),354+10*FORSIDE!$F$9,"")</f>
        <v/>
      </c>
      <c r="C2325" t="str">
        <f>IF(AND(FORSIDE!$B$8&gt;=1,FORSIDE!$F$8&gt;=10,FORSIDE!$B$5&gt;=2),1*FORSIDE!$B$9,"")</f>
        <v/>
      </c>
      <c r="D2325" t="str">
        <f>IF(AND(FORSIDE!$B$8&gt;=1,FORSIDE!$F$8&gt;=10,FORSIDE!$B$5&gt;=2),FORSIDE!$B$6+(2-1)*FORSIDE!$B$7,"")</f>
        <v/>
      </c>
    </row>
    <row r="2326" spans="1:4" x14ac:dyDescent="0.3">
      <c r="A2326" t="str">
        <f>IF(AND(FORSIDE!$B$8&gt;=1,FORSIDE!$F$8&gt;=10,FORSIDE!$B$5&gt;=3),2325,"")</f>
        <v/>
      </c>
      <c r="B2326" t="str">
        <f>IF(AND(FORSIDE!$B$8&gt;=1,FORSIDE!$F$8&gt;=10,FORSIDE!$B$5&gt;=3),354+10*FORSIDE!$F$9,"")</f>
        <v/>
      </c>
      <c r="C2326" t="str">
        <f>IF(AND(FORSIDE!$B$8&gt;=1,FORSIDE!$F$8&gt;=10,FORSIDE!$B$5&gt;=3),1*FORSIDE!$B$9,"")</f>
        <v/>
      </c>
      <c r="D2326" t="str">
        <f>IF(AND(FORSIDE!$B$8&gt;=1,FORSIDE!$F$8&gt;=10,FORSIDE!$B$5&gt;=3),FORSIDE!$B$6+(3-1)*FORSIDE!$B$7,"")</f>
        <v/>
      </c>
    </row>
    <row r="2327" spans="1:4" x14ac:dyDescent="0.3">
      <c r="A2327" t="str">
        <f>IF(AND(FORSIDE!$B$8&gt;=1,FORSIDE!$F$8&gt;=10,FORSIDE!$B$5&gt;=4),2326,"")</f>
        <v/>
      </c>
      <c r="B2327" t="str">
        <f>IF(AND(FORSIDE!$B$8&gt;=1,FORSIDE!$F$8&gt;=10,FORSIDE!$B$5&gt;=4),354+10*FORSIDE!$F$9,"")</f>
        <v/>
      </c>
      <c r="C2327" t="str">
        <f>IF(AND(FORSIDE!$B$8&gt;=1,FORSIDE!$F$8&gt;=10,FORSIDE!$B$5&gt;=4),1*FORSIDE!$B$9,"")</f>
        <v/>
      </c>
      <c r="D2327" t="str">
        <f>IF(AND(FORSIDE!$B$8&gt;=1,FORSIDE!$F$8&gt;=10,FORSIDE!$B$5&gt;=4),FORSIDE!$B$6+(4-1)*FORSIDE!$B$7,"")</f>
        <v/>
      </c>
    </row>
    <row r="2328" spans="1:4" x14ac:dyDescent="0.3">
      <c r="A2328" t="str">
        <f>IF(AND(FORSIDE!$B$8&gt;=1,FORSIDE!$F$8&gt;=10,FORSIDE!$B$5&gt;=5),2327,"")</f>
        <v/>
      </c>
      <c r="B2328" t="str">
        <f>IF(AND(FORSIDE!$B$8&gt;=1,FORSIDE!$F$8&gt;=10,FORSIDE!$B$5&gt;=5),354+10*FORSIDE!$F$9,"")</f>
        <v/>
      </c>
      <c r="C2328" t="str">
        <f>IF(AND(FORSIDE!$B$8&gt;=1,FORSIDE!$F$8&gt;=10,FORSIDE!$B$5&gt;=5),1*FORSIDE!$B$9,"")</f>
        <v/>
      </c>
      <c r="D2328" t="str">
        <f>IF(AND(FORSIDE!$B$8&gt;=1,FORSIDE!$F$8&gt;=10,FORSIDE!$B$5&gt;=5),FORSIDE!$B$6+(5-1)*FORSIDE!$B$7,"")</f>
        <v/>
      </c>
    </row>
    <row r="2329" spans="1:4" x14ac:dyDescent="0.3">
      <c r="A2329" t="str">
        <f>IF(AND(FORSIDE!$B$8&gt;=1,FORSIDE!$F$8&gt;=10,FORSIDE!$B$5&gt;=6),2328,"")</f>
        <v/>
      </c>
      <c r="B2329" t="str">
        <f>IF(AND(FORSIDE!$B$8&gt;=1,FORSIDE!$F$8&gt;=10,FORSIDE!$B$5&gt;=6),354+10*FORSIDE!$F$9,"")</f>
        <v/>
      </c>
      <c r="C2329" t="str">
        <f>IF(AND(FORSIDE!$B$8&gt;=1,FORSIDE!$F$8&gt;=10,FORSIDE!$B$5&gt;=6),1*FORSIDE!$B$9,"")</f>
        <v/>
      </c>
      <c r="D2329" t="str">
        <f>IF(AND(FORSIDE!$B$8&gt;=1,FORSIDE!$F$8&gt;=10,FORSIDE!$B$5&gt;=6),FORSIDE!$B$6+(6-1)*FORSIDE!$B$7,"")</f>
        <v/>
      </c>
    </row>
    <row r="2330" spans="1:4" x14ac:dyDescent="0.3">
      <c r="A2330" t="str">
        <f>IF(AND(FORSIDE!$B$8&gt;=1,FORSIDE!$F$8&gt;=10,FORSIDE!$B$5&gt;=7),2329,"")</f>
        <v/>
      </c>
      <c r="B2330" t="str">
        <f>IF(AND(FORSIDE!$B$8&gt;=1,FORSIDE!$F$8&gt;=10,FORSIDE!$B$5&gt;=7),354+10*FORSIDE!$F$9,"")</f>
        <v/>
      </c>
      <c r="C2330" t="str">
        <f>IF(AND(FORSIDE!$B$8&gt;=1,FORSIDE!$F$8&gt;=10,FORSIDE!$B$5&gt;=7),1*FORSIDE!$B$9,"")</f>
        <v/>
      </c>
      <c r="D2330" t="str">
        <f>IF(AND(FORSIDE!$B$8&gt;=1,FORSIDE!$F$8&gt;=10,FORSIDE!$B$5&gt;=7),FORSIDE!$B$6+(7-1)*FORSIDE!$B$7,"")</f>
        <v/>
      </c>
    </row>
    <row r="2331" spans="1:4" x14ac:dyDescent="0.3">
      <c r="A2331" t="str">
        <f>IF(AND(FORSIDE!$B$8&gt;=1,FORSIDE!$F$8&gt;=10,FORSIDE!$B$5&gt;=8),2330,"")</f>
        <v/>
      </c>
      <c r="B2331" t="str">
        <f>IF(AND(FORSIDE!$B$8&gt;=1,FORSIDE!$F$8&gt;=10,FORSIDE!$B$5&gt;=8),354+10*FORSIDE!$F$9,"")</f>
        <v/>
      </c>
      <c r="C2331" t="str">
        <f>IF(AND(FORSIDE!$B$8&gt;=1,FORSIDE!$F$8&gt;=10,FORSIDE!$B$5&gt;=8),1*FORSIDE!$B$9,"")</f>
        <v/>
      </c>
      <c r="D2331" t="str">
        <f>IF(AND(FORSIDE!$B$8&gt;=1,FORSIDE!$F$8&gt;=10,FORSIDE!$B$5&gt;=8),FORSIDE!$B$6+(8-1)*FORSIDE!$B$7,"")</f>
        <v/>
      </c>
    </row>
    <row r="2332" spans="1:4" x14ac:dyDescent="0.3">
      <c r="A2332" t="str">
        <f>IF(AND(FORSIDE!$B$8&gt;=1,FORSIDE!$F$8&gt;=10,FORSIDE!$B$5&gt;=9),2331,"")</f>
        <v/>
      </c>
      <c r="B2332" t="str">
        <f>IF(AND(FORSIDE!$B$8&gt;=1,FORSIDE!$F$8&gt;=10,FORSIDE!$B$5&gt;=9),354+10*FORSIDE!$F$9,"")</f>
        <v/>
      </c>
      <c r="C2332" t="str">
        <f>IF(AND(FORSIDE!$B$8&gt;=1,FORSIDE!$F$8&gt;=10,FORSIDE!$B$5&gt;=9),1*FORSIDE!$B$9,"")</f>
        <v/>
      </c>
      <c r="D2332" t="str">
        <f>IF(AND(FORSIDE!$B$8&gt;=1,FORSIDE!$F$8&gt;=10,FORSIDE!$B$5&gt;=9),FORSIDE!$B$6+(9-1)*FORSIDE!$B$7,"")</f>
        <v/>
      </c>
    </row>
    <row r="2333" spans="1:4" x14ac:dyDescent="0.3">
      <c r="A2333" t="str">
        <f>IF(AND(FORSIDE!$B$8&gt;=1,FORSIDE!$F$8&gt;=10,FORSIDE!$B$5&gt;=10),2332,"")</f>
        <v/>
      </c>
      <c r="B2333" t="str">
        <f>IF(AND(FORSIDE!$B$8&gt;=1,FORSIDE!$F$8&gt;=10,FORSIDE!$B$5&gt;=10),354+10*FORSIDE!$F$9,"")</f>
        <v/>
      </c>
      <c r="C2333" t="str">
        <f>IF(AND(FORSIDE!$B$8&gt;=1,FORSIDE!$F$8&gt;=10,FORSIDE!$B$5&gt;=10),1*FORSIDE!$B$9,"")</f>
        <v/>
      </c>
      <c r="D2333" t="str">
        <f>IF(AND(FORSIDE!$B$8&gt;=1,FORSIDE!$F$8&gt;=10,FORSIDE!$B$5&gt;=10),FORSIDE!$B$6+(10-1)*FORSIDE!$B$7,"")</f>
        <v/>
      </c>
    </row>
    <row r="2334" spans="1:4" x14ac:dyDescent="0.3">
      <c r="A2334" t="str">
        <f>IF(AND(FORSIDE!$B$8&gt;=2,FORSIDE!$F$8&gt;=10,FORSIDE!$B$5&gt;=0),2333,"")</f>
        <v/>
      </c>
      <c r="B2334" t="str">
        <f>IF(AND(FORSIDE!$B$8&gt;=2,FORSIDE!$F$8&gt;=10,FORSIDE!$B$5&gt;=0),354+10*FORSIDE!$F$9,"")</f>
        <v/>
      </c>
      <c r="C2334" t="str">
        <f>IF(AND(FORSIDE!$B$8&gt;=2,FORSIDE!$F$8&gt;=10,FORSIDE!$B$5&gt;=0),2*FORSIDE!$B$9,"")</f>
        <v/>
      </c>
      <c r="D2334" t="str">
        <f>IF(AND(FORSIDE!$B$8&gt;=2,FORSIDE!$F$8&gt;=10,FORSIDE!$B$5&gt;=0),0,"")</f>
        <v/>
      </c>
    </row>
    <row r="2335" spans="1:4" x14ac:dyDescent="0.3">
      <c r="A2335" t="str">
        <f>IF(AND(FORSIDE!$B$8&gt;=2,FORSIDE!$F$8&gt;=10,FORSIDE!$B$5&gt;=1),2334,"")</f>
        <v/>
      </c>
      <c r="B2335" t="str">
        <f>IF(AND(FORSIDE!$B$8&gt;=2,FORSIDE!$F$8&gt;=10,FORSIDE!$B$5&gt;=1),354+10*FORSIDE!$F$9,"")</f>
        <v/>
      </c>
      <c r="C2335" t="str">
        <f>IF(AND(FORSIDE!$B$8&gt;=2,FORSIDE!$F$8&gt;=10,FORSIDE!$B$5&gt;=1),2*FORSIDE!$B$9,"")</f>
        <v/>
      </c>
      <c r="D2335" t="str">
        <f>IF(AND(FORSIDE!$B$8&gt;=2,FORSIDE!$F$8&gt;=10,FORSIDE!$B$5&gt;=1),FORSIDE!$B$6+(1-1)*FORSIDE!$B$7,"")</f>
        <v/>
      </c>
    </row>
    <row r="2336" spans="1:4" x14ac:dyDescent="0.3">
      <c r="A2336" t="str">
        <f>IF(AND(FORSIDE!$B$8&gt;=2,FORSIDE!$F$8&gt;=10,FORSIDE!$B$5&gt;=2),2335,"")</f>
        <v/>
      </c>
      <c r="B2336" t="str">
        <f>IF(AND(FORSIDE!$B$8&gt;=2,FORSIDE!$F$8&gt;=10,FORSIDE!$B$5&gt;=2),354+10*FORSIDE!$F$9,"")</f>
        <v/>
      </c>
      <c r="C2336" t="str">
        <f>IF(AND(FORSIDE!$B$8&gt;=2,FORSIDE!$F$8&gt;=10,FORSIDE!$B$5&gt;=2),2*FORSIDE!$B$9,"")</f>
        <v/>
      </c>
      <c r="D2336" t="str">
        <f>IF(AND(FORSIDE!$B$8&gt;=2,FORSIDE!$F$8&gt;=10,FORSIDE!$B$5&gt;=2),FORSIDE!$B$6+(2-1)*FORSIDE!$B$7,"")</f>
        <v/>
      </c>
    </row>
    <row r="2337" spans="1:4" x14ac:dyDescent="0.3">
      <c r="A2337" t="str">
        <f>IF(AND(FORSIDE!$B$8&gt;=2,FORSIDE!$F$8&gt;=10,FORSIDE!$B$5&gt;=3),2336,"")</f>
        <v/>
      </c>
      <c r="B2337" t="str">
        <f>IF(AND(FORSIDE!$B$8&gt;=2,FORSIDE!$F$8&gt;=10,FORSIDE!$B$5&gt;=3),354+10*FORSIDE!$F$9,"")</f>
        <v/>
      </c>
      <c r="C2337" t="str">
        <f>IF(AND(FORSIDE!$B$8&gt;=2,FORSIDE!$F$8&gt;=10,FORSIDE!$B$5&gt;=3),2*FORSIDE!$B$9,"")</f>
        <v/>
      </c>
      <c r="D2337" t="str">
        <f>IF(AND(FORSIDE!$B$8&gt;=2,FORSIDE!$F$8&gt;=10,FORSIDE!$B$5&gt;=3),FORSIDE!$B$6+(3-1)*FORSIDE!$B$7,"")</f>
        <v/>
      </c>
    </row>
    <row r="2338" spans="1:4" x14ac:dyDescent="0.3">
      <c r="A2338" t="str">
        <f>IF(AND(FORSIDE!$B$8&gt;=2,FORSIDE!$F$8&gt;=10,FORSIDE!$B$5&gt;=4),2337,"")</f>
        <v/>
      </c>
      <c r="B2338" t="str">
        <f>IF(AND(FORSIDE!$B$8&gt;=2,FORSIDE!$F$8&gt;=10,FORSIDE!$B$5&gt;=4),354+10*FORSIDE!$F$9,"")</f>
        <v/>
      </c>
      <c r="C2338" t="str">
        <f>IF(AND(FORSIDE!$B$8&gt;=2,FORSIDE!$F$8&gt;=10,FORSIDE!$B$5&gt;=4),2*FORSIDE!$B$9,"")</f>
        <v/>
      </c>
      <c r="D2338" t="str">
        <f>IF(AND(FORSIDE!$B$8&gt;=2,FORSIDE!$F$8&gt;=10,FORSIDE!$B$5&gt;=4),FORSIDE!$B$6+(4-1)*FORSIDE!$B$7,"")</f>
        <v/>
      </c>
    </row>
    <row r="2339" spans="1:4" x14ac:dyDescent="0.3">
      <c r="A2339" t="str">
        <f>IF(AND(FORSIDE!$B$8&gt;=2,FORSIDE!$F$8&gt;=10,FORSIDE!$B$5&gt;=5),2338,"")</f>
        <v/>
      </c>
      <c r="B2339" t="str">
        <f>IF(AND(FORSIDE!$B$8&gt;=2,FORSIDE!$F$8&gt;=10,FORSIDE!$B$5&gt;=5),354+10*FORSIDE!$F$9,"")</f>
        <v/>
      </c>
      <c r="C2339" t="str">
        <f>IF(AND(FORSIDE!$B$8&gt;=2,FORSIDE!$F$8&gt;=10,FORSIDE!$B$5&gt;=5),2*FORSIDE!$B$9,"")</f>
        <v/>
      </c>
      <c r="D2339" t="str">
        <f>IF(AND(FORSIDE!$B$8&gt;=2,FORSIDE!$F$8&gt;=10,FORSIDE!$B$5&gt;=5),FORSIDE!$B$6+(5-1)*FORSIDE!$B$7,"")</f>
        <v/>
      </c>
    </row>
    <row r="2340" spans="1:4" x14ac:dyDescent="0.3">
      <c r="A2340" t="str">
        <f>IF(AND(FORSIDE!$B$8&gt;=2,FORSIDE!$F$8&gt;=10,FORSIDE!$B$5&gt;=6),2339,"")</f>
        <v/>
      </c>
      <c r="B2340" t="str">
        <f>IF(AND(FORSIDE!$B$8&gt;=2,FORSIDE!$F$8&gt;=10,FORSIDE!$B$5&gt;=6),354+10*FORSIDE!$F$9,"")</f>
        <v/>
      </c>
      <c r="C2340" t="str">
        <f>IF(AND(FORSIDE!$B$8&gt;=2,FORSIDE!$F$8&gt;=10,FORSIDE!$B$5&gt;=6),2*FORSIDE!$B$9,"")</f>
        <v/>
      </c>
      <c r="D2340" t="str">
        <f>IF(AND(FORSIDE!$B$8&gt;=2,FORSIDE!$F$8&gt;=10,FORSIDE!$B$5&gt;=6),FORSIDE!$B$6+(6-1)*FORSIDE!$B$7,"")</f>
        <v/>
      </c>
    </row>
    <row r="2341" spans="1:4" x14ac:dyDescent="0.3">
      <c r="A2341" t="str">
        <f>IF(AND(FORSIDE!$B$8&gt;=2,FORSIDE!$F$8&gt;=10,FORSIDE!$B$5&gt;=7),2340,"")</f>
        <v/>
      </c>
      <c r="B2341" t="str">
        <f>IF(AND(FORSIDE!$B$8&gt;=2,FORSIDE!$F$8&gt;=10,FORSIDE!$B$5&gt;=7),354+10*FORSIDE!$F$9,"")</f>
        <v/>
      </c>
      <c r="C2341" t="str">
        <f>IF(AND(FORSIDE!$B$8&gt;=2,FORSIDE!$F$8&gt;=10,FORSIDE!$B$5&gt;=7),2*FORSIDE!$B$9,"")</f>
        <v/>
      </c>
      <c r="D2341" t="str">
        <f>IF(AND(FORSIDE!$B$8&gt;=2,FORSIDE!$F$8&gt;=10,FORSIDE!$B$5&gt;=7),FORSIDE!$B$6+(7-1)*FORSIDE!$B$7,"")</f>
        <v/>
      </c>
    </row>
    <row r="2342" spans="1:4" x14ac:dyDescent="0.3">
      <c r="A2342" t="str">
        <f>IF(AND(FORSIDE!$B$8&gt;=2,FORSIDE!$F$8&gt;=10,FORSIDE!$B$5&gt;=8),2341,"")</f>
        <v/>
      </c>
      <c r="B2342" t="str">
        <f>IF(AND(FORSIDE!$B$8&gt;=2,FORSIDE!$F$8&gt;=10,FORSIDE!$B$5&gt;=8),354+10*FORSIDE!$F$9,"")</f>
        <v/>
      </c>
      <c r="C2342" t="str">
        <f>IF(AND(FORSIDE!$B$8&gt;=2,FORSIDE!$F$8&gt;=10,FORSIDE!$B$5&gt;=8),2*FORSIDE!$B$9,"")</f>
        <v/>
      </c>
      <c r="D2342" t="str">
        <f>IF(AND(FORSIDE!$B$8&gt;=2,FORSIDE!$F$8&gt;=10,FORSIDE!$B$5&gt;=8),FORSIDE!$B$6+(8-1)*FORSIDE!$B$7,"")</f>
        <v/>
      </c>
    </row>
    <row r="2343" spans="1:4" x14ac:dyDescent="0.3">
      <c r="A2343" t="str">
        <f>IF(AND(FORSIDE!$B$8&gt;=2,FORSIDE!$F$8&gt;=10,FORSIDE!$B$5&gt;=9),2342,"")</f>
        <v/>
      </c>
      <c r="B2343" t="str">
        <f>IF(AND(FORSIDE!$B$8&gt;=2,FORSIDE!$F$8&gt;=10,FORSIDE!$B$5&gt;=9),354+10*FORSIDE!$F$9,"")</f>
        <v/>
      </c>
      <c r="C2343" t="str">
        <f>IF(AND(FORSIDE!$B$8&gt;=2,FORSIDE!$F$8&gt;=10,FORSIDE!$B$5&gt;=9),2*FORSIDE!$B$9,"")</f>
        <v/>
      </c>
      <c r="D2343" t="str">
        <f>IF(AND(FORSIDE!$B$8&gt;=2,FORSIDE!$F$8&gt;=10,FORSIDE!$B$5&gt;=9),FORSIDE!$B$6+(9-1)*FORSIDE!$B$7,"")</f>
        <v/>
      </c>
    </row>
    <row r="2344" spans="1:4" x14ac:dyDescent="0.3">
      <c r="A2344" t="str">
        <f>IF(AND(FORSIDE!$B$8&gt;=2,FORSIDE!$F$8&gt;=10,FORSIDE!$B$5&gt;=10),2343,"")</f>
        <v/>
      </c>
      <c r="B2344" t="str">
        <f>IF(AND(FORSIDE!$B$8&gt;=2,FORSIDE!$F$8&gt;=10,FORSIDE!$B$5&gt;=10),354+10*FORSIDE!$F$9,"")</f>
        <v/>
      </c>
      <c r="C2344" t="str">
        <f>IF(AND(FORSIDE!$B$8&gt;=2,FORSIDE!$F$8&gt;=10,FORSIDE!$B$5&gt;=10),2*FORSIDE!$B$9,"")</f>
        <v/>
      </c>
      <c r="D2344" t="str">
        <f>IF(AND(FORSIDE!$B$8&gt;=2,FORSIDE!$F$8&gt;=10,FORSIDE!$B$5&gt;=10),FORSIDE!$B$6+(10-1)*FORSIDE!$B$7,"")</f>
        <v/>
      </c>
    </row>
    <row r="2345" spans="1:4" x14ac:dyDescent="0.3">
      <c r="A2345" t="str">
        <f>IF(AND(FORSIDE!$B$8&gt;=3,FORSIDE!$F$8&gt;=10,FORSIDE!$B$5&gt;=0),2344,"")</f>
        <v/>
      </c>
      <c r="B2345" t="str">
        <f>IF(AND(FORSIDE!$B$8&gt;=3,FORSIDE!$F$8&gt;=10,FORSIDE!$B$5&gt;=0),354+10*FORSIDE!$F$9,"")</f>
        <v/>
      </c>
      <c r="C2345" t="str">
        <f>IF(AND(FORSIDE!$B$8&gt;=3,FORSIDE!$F$8&gt;=10,FORSIDE!$B$5&gt;=0),3*FORSIDE!$B$9,"")</f>
        <v/>
      </c>
      <c r="D2345" t="str">
        <f>IF(AND(FORSIDE!$B$8&gt;=3,FORSIDE!$F$8&gt;=10,FORSIDE!$B$5&gt;=0),0,"")</f>
        <v/>
      </c>
    </row>
    <row r="2346" spans="1:4" x14ac:dyDescent="0.3">
      <c r="A2346" t="str">
        <f>IF(AND(FORSIDE!$B$8&gt;=3,FORSIDE!$F$8&gt;=10,FORSIDE!$B$5&gt;=1),2345,"")</f>
        <v/>
      </c>
      <c r="B2346" t="str">
        <f>IF(AND(FORSIDE!$B$8&gt;=3,FORSIDE!$F$8&gt;=10,FORSIDE!$B$5&gt;=1),354+10*FORSIDE!$F$9,"")</f>
        <v/>
      </c>
      <c r="C2346" t="str">
        <f>IF(AND(FORSIDE!$B$8&gt;=3,FORSIDE!$F$8&gt;=10,FORSIDE!$B$5&gt;=1),3*FORSIDE!$B$9,"")</f>
        <v/>
      </c>
      <c r="D2346" t="str">
        <f>IF(AND(FORSIDE!$B$8&gt;=3,FORSIDE!$F$8&gt;=10,FORSIDE!$B$5&gt;=1),FORSIDE!$B$6+(1-1)*FORSIDE!$B$7,"")</f>
        <v/>
      </c>
    </row>
    <row r="2347" spans="1:4" x14ac:dyDescent="0.3">
      <c r="A2347" t="str">
        <f>IF(AND(FORSIDE!$B$8&gt;=3,FORSIDE!$F$8&gt;=10,FORSIDE!$B$5&gt;=2),2346,"")</f>
        <v/>
      </c>
      <c r="B2347" t="str">
        <f>IF(AND(FORSIDE!$B$8&gt;=3,FORSIDE!$F$8&gt;=10,FORSIDE!$B$5&gt;=2),354+10*FORSIDE!$F$9,"")</f>
        <v/>
      </c>
      <c r="C2347" t="str">
        <f>IF(AND(FORSIDE!$B$8&gt;=3,FORSIDE!$F$8&gt;=10,FORSIDE!$B$5&gt;=2),3*FORSIDE!$B$9,"")</f>
        <v/>
      </c>
      <c r="D2347" t="str">
        <f>IF(AND(FORSIDE!$B$8&gt;=3,FORSIDE!$F$8&gt;=10,FORSIDE!$B$5&gt;=2),FORSIDE!$B$6+(2-1)*FORSIDE!$B$7,"")</f>
        <v/>
      </c>
    </row>
    <row r="2348" spans="1:4" x14ac:dyDescent="0.3">
      <c r="A2348" t="str">
        <f>IF(AND(FORSIDE!$B$8&gt;=3,FORSIDE!$F$8&gt;=10,FORSIDE!$B$5&gt;=3),2347,"")</f>
        <v/>
      </c>
      <c r="B2348" t="str">
        <f>IF(AND(FORSIDE!$B$8&gt;=3,FORSIDE!$F$8&gt;=10,FORSIDE!$B$5&gt;=3),354+10*FORSIDE!$F$9,"")</f>
        <v/>
      </c>
      <c r="C2348" t="str">
        <f>IF(AND(FORSIDE!$B$8&gt;=3,FORSIDE!$F$8&gt;=10,FORSIDE!$B$5&gt;=3),3*FORSIDE!$B$9,"")</f>
        <v/>
      </c>
      <c r="D2348" t="str">
        <f>IF(AND(FORSIDE!$B$8&gt;=3,FORSIDE!$F$8&gt;=10,FORSIDE!$B$5&gt;=3),FORSIDE!$B$6+(3-1)*FORSIDE!$B$7,"")</f>
        <v/>
      </c>
    </row>
    <row r="2349" spans="1:4" x14ac:dyDescent="0.3">
      <c r="A2349" t="str">
        <f>IF(AND(FORSIDE!$B$8&gt;=3,FORSIDE!$F$8&gt;=10,FORSIDE!$B$5&gt;=4),2348,"")</f>
        <v/>
      </c>
      <c r="B2349" t="str">
        <f>IF(AND(FORSIDE!$B$8&gt;=3,FORSIDE!$F$8&gt;=10,FORSIDE!$B$5&gt;=4),354+10*FORSIDE!$F$9,"")</f>
        <v/>
      </c>
      <c r="C2349" t="str">
        <f>IF(AND(FORSIDE!$B$8&gt;=3,FORSIDE!$F$8&gt;=10,FORSIDE!$B$5&gt;=4),3*FORSIDE!$B$9,"")</f>
        <v/>
      </c>
      <c r="D2349" t="str">
        <f>IF(AND(FORSIDE!$B$8&gt;=3,FORSIDE!$F$8&gt;=10,FORSIDE!$B$5&gt;=4),FORSIDE!$B$6+(4-1)*FORSIDE!$B$7,"")</f>
        <v/>
      </c>
    </row>
    <row r="2350" spans="1:4" x14ac:dyDescent="0.3">
      <c r="A2350" t="str">
        <f>IF(AND(FORSIDE!$B$8&gt;=3,FORSIDE!$F$8&gt;=10,FORSIDE!$B$5&gt;=5),2349,"")</f>
        <v/>
      </c>
      <c r="B2350" t="str">
        <f>IF(AND(FORSIDE!$B$8&gt;=3,FORSIDE!$F$8&gt;=10,FORSIDE!$B$5&gt;=5),354+10*FORSIDE!$F$9,"")</f>
        <v/>
      </c>
      <c r="C2350" t="str">
        <f>IF(AND(FORSIDE!$B$8&gt;=3,FORSIDE!$F$8&gt;=10,FORSIDE!$B$5&gt;=5),3*FORSIDE!$B$9,"")</f>
        <v/>
      </c>
      <c r="D2350" t="str">
        <f>IF(AND(FORSIDE!$B$8&gt;=3,FORSIDE!$F$8&gt;=10,FORSIDE!$B$5&gt;=5),FORSIDE!$B$6+(5-1)*FORSIDE!$B$7,"")</f>
        <v/>
      </c>
    </row>
    <row r="2351" spans="1:4" x14ac:dyDescent="0.3">
      <c r="A2351" t="str">
        <f>IF(AND(FORSIDE!$B$8&gt;=3,FORSIDE!$F$8&gt;=10,FORSIDE!$B$5&gt;=6),2350,"")</f>
        <v/>
      </c>
      <c r="B2351" t="str">
        <f>IF(AND(FORSIDE!$B$8&gt;=3,FORSIDE!$F$8&gt;=10,FORSIDE!$B$5&gt;=6),354+10*FORSIDE!$F$9,"")</f>
        <v/>
      </c>
      <c r="C2351" t="str">
        <f>IF(AND(FORSIDE!$B$8&gt;=3,FORSIDE!$F$8&gt;=10,FORSIDE!$B$5&gt;=6),3*FORSIDE!$B$9,"")</f>
        <v/>
      </c>
      <c r="D2351" t="str">
        <f>IF(AND(FORSIDE!$B$8&gt;=3,FORSIDE!$F$8&gt;=10,FORSIDE!$B$5&gt;=6),FORSIDE!$B$6+(6-1)*FORSIDE!$B$7,"")</f>
        <v/>
      </c>
    </row>
    <row r="2352" spans="1:4" x14ac:dyDescent="0.3">
      <c r="A2352" t="str">
        <f>IF(AND(FORSIDE!$B$8&gt;=3,FORSIDE!$F$8&gt;=10,FORSIDE!$B$5&gt;=7),2351,"")</f>
        <v/>
      </c>
      <c r="B2352" t="str">
        <f>IF(AND(FORSIDE!$B$8&gt;=3,FORSIDE!$F$8&gt;=10,FORSIDE!$B$5&gt;=7),354+10*FORSIDE!$F$9,"")</f>
        <v/>
      </c>
      <c r="C2352" t="str">
        <f>IF(AND(FORSIDE!$B$8&gt;=3,FORSIDE!$F$8&gt;=10,FORSIDE!$B$5&gt;=7),3*FORSIDE!$B$9,"")</f>
        <v/>
      </c>
      <c r="D2352" t="str">
        <f>IF(AND(FORSIDE!$B$8&gt;=3,FORSIDE!$F$8&gt;=10,FORSIDE!$B$5&gt;=7),FORSIDE!$B$6+(7-1)*FORSIDE!$B$7,"")</f>
        <v/>
      </c>
    </row>
    <row r="2353" spans="1:4" x14ac:dyDescent="0.3">
      <c r="A2353" t="str">
        <f>IF(AND(FORSIDE!$B$8&gt;=3,FORSIDE!$F$8&gt;=10,FORSIDE!$B$5&gt;=8),2352,"")</f>
        <v/>
      </c>
      <c r="B2353" t="str">
        <f>IF(AND(FORSIDE!$B$8&gt;=3,FORSIDE!$F$8&gt;=10,FORSIDE!$B$5&gt;=8),354+10*FORSIDE!$F$9,"")</f>
        <v/>
      </c>
      <c r="C2353" t="str">
        <f>IF(AND(FORSIDE!$B$8&gt;=3,FORSIDE!$F$8&gt;=10,FORSIDE!$B$5&gt;=8),3*FORSIDE!$B$9,"")</f>
        <v/>
      </c>
      <c r="D2353" t="str">
        <f>IF(AND(FORSIDE!$B$8&gt;=3,FORSIDE!$F$8&gt;=10,FORSIDE!$B$5&gt;=8),FORSIDE!$B$6+(8-1)*FORSIDE!$B$7,"")</f>
        <v/>
      </c>
    </row>
    <row r="2354" spans="1:4" x14ac:dyDescent="0.3">
      <c r="A2354" t="str">
        <f>IF(AND(FORSIDE!$B$8&gt;=3,FORSIDE!$F$8&gt;=10,FORSIDE!$B$5&gt;=9),2353,"")</f>
        <v/>
      </c>
      <c r="B2354" t="str">
        <f>IF(AND(FORSIDE!$B$8&gt;=3,FORSIDE!$F$8&gt;=10,FORSIDE!$B$5&gt;=9),354+10*FORSIDE!$F$9,"")</f>
        <v/>
      </c>
      <c r="C2354" t="str">
        <f>IF(AND(FORSIDE!$B$8&gt;=3,FORSIDE!$F$8&gt;=10,FORSIDE!$B$5&gt;=9),3*FORSIDE!$B$9,"")</f>
        <v/>
      </c>
      <c r="D2354" t="str">
        <f>IF(AND(FORSIDE!$B$8&gt;=3,FORSIDE!$F$8&gt;=10,FORSIDE!$B$5&gt;=9),FORSIDE!$B$6+(9-1)*FORSIDE!$B$7,"")</f>
        <v/>
      </c>
    </row>
    <row r="2355" spans="1:4" x14ac:dyDescent="0.3">
      <c r="A2355" t="str">
        <f>IF(AND(FORSIDE!$B$8&gt;=3,FORSIDE!$F$8&gt;=10,FORSIDE!$B$5&gt;=10),2354,"")</f>
        <v/>
      </c>
      <c r="B2355" t="str">
        <f>IF(AND(FORSIDE!$B$8&gt;=3,FORSIDE!$F$8&gt;=10,FORSIDE!$B$5&gt;=10),354+10*FORSIDE!$F$9,"")</f>
        <v/>
      </c>
      <c r="C2355" t="str">
        <f>IF(AND(FORSIDE!$B$8&gt;=3,FORSIDE!$F$8&gt;=10,FORSIDE!$B$5&gt;=10),3*FORSIDE!$B$9,"")</f>
        <v/>
      </c>
      <c r="D2355" t="str">
        <f>IF(AND(FORSIDE!$B$8&gt;=3,FORSIDE!$F$8&gt;=10,FORSIDE!$B$5&gt;=10),FORSIDE!$B$6+(10-1)*FORSIDE!$B$7,"")</f>
        <v/>
      </c>
    </row>
    <row r="2356" spans="1:4" x14ac:dyDescent="0.3">
      <c r="A2356" t="str">
        <f>IF(AND(FORSIDE!$B$8&gt;=4,FORSIDE!$F$8&gt;=10,FORSIDE!$B$5&gt;=0),2355,"")</f>
        <v/>
      </c>
      <c r="B2356" t="str">
        <f>IF(AND(FORSIDE!$B$8&gt;=4,FORSIDE!$F$8&gt;=10,FORSIDE!$B$5&gt;=0),354+10*FORSIDE!$F$9,"")</f>
        <v/>
      </c>
      <c r="C2356" t="str">
        <f>IF(AND(FORSIDE!$B$8&gt;=4,FORSIDE!$F$8&gt;=10,FORSIDE!$B$5&gt;=0),4*FORSIDE!$B$9,"")</f>
        <v/>
      </c>
      <c r="D2356" t="str">
        <f>IF(AND(FORSIDE!$B$8&gt;=4,FORSIDE!$F$8&gt;=10,FORSIDE!$B$5&gt;=0),0,"")</f>
        <v/>
      </c>
    </row>
    <row r="2357" spans="1:4" x14ac:dyDescent="0.3">
      <c r="A2357" t="str">
        <f>IF(AND(FORSIDE!$B$8&gt;=4,FORSIDE!$F$8&gt;=10,FORSIDE!$B$5&gt;=1),2356,"")</f>
        <v/>
      </c>
      <c r="B2357" t="str">
        <f>IF(AND(FORSIDE!$B$8&gt;=4,FORSIDE!$F$8&gt;=10,FORSIDE!$B$5&gt;=1),354+10*FORSIDE!$F$9,"")</f>
        <v/>
      </c>
      <c r="C2357" t="str">
        <f>IF(AND(FORSIDE!$B$8&gt;=4,FORSIDE!$F$8&gt;=10,FORSIDE!$B$5&gt;=1),4*FORSIDE!$B$9,"")</f>
        <v/>
      </c>
      <c r="D2357" t="str">
        <f>IF(AND(FORSIDE!$B$8&gt;=4,FORSIDE!$F$8&gt;=10,FORSIDE!$B$5&gt;=1),FORSIDE!$B$6+(1-1)*FORSIDE!$B$7,"")</f>
        <v/>
      </c>
    </row>
    <row r="2358" spans="1:4" x14ac:dyDescent="0.3">
      <c r="A2358" t="str">
        <f>IF(AND(FORSIDE!$B$8&gt;=4,FORSIDE!$F$8&gt;=10,FORSIDE!$B$5&gt;=2),2357,"")</f>
        <v/>
      </c>
      <c r="B2358" t="str">
        <f>IF(AND(FORSIDE!$B$8&gt;=4,FORSIDE!$F$8&gt;=10,FORSIDE!$B$5&gt;=2),354+10*FORSIDE!$F$9,"")</f>
        <v/>
      </c>
      <c r="C2358" t="str">
        <f>IF(AND(FORSIDE!$B$8&gt;=4,FORSIDE!$F$8&gt;=10,FORSIDE!$B$5&gt;=2),4*FORSIDE!$B$9,"")</f>
        <v/>
      </c>
      <c r="D2358" t="str">
        <f>IF(AND(FORSIDE!$B$8&gt;=4,FORSIDE!$F$8&gt;=10,FORSIDE!$B$5&gt;=2),FORSIDE!$B$6+(2-1)*FORSIDE!$B$7,"")</f>
        <v/>
      </c>
    </row>
    <row r="2359" spans="1:4" x14ac:dyDescent="0.3">
      <c r="A2359" t="str">
        <f>IF(AND(FORSIDE!$B$8&gt;=4,FORSIDE!$F$8&gt;=10,FORSIDE!$B$5&gt;=3),2358,"")</f>
        <v/>
      </c>
      <c r="B2359" t="str">
        <f>IF(AND(FORSIDE!$B$8&gt;=4,FORSIDE!$F$8&gt;=10,FORSIDE!$B$5&gt;=3),354+10*FORSIDE!$F$9,"")</f>
        <v/>
      </c>
      <c r="C2359" t="str">
        <f>IF(AND(FORSIDE!$B$8&gt;=4,FORSIDE!$F$8&gt;=10,FORSIDE!$B$5&gt;=3),4*FORSIDE!$B$9,"")</f>
        <v/>
      </c>
      <c r="D2359" t="str">
        <f>IF(AND(FORSIDE!$B$8&gt;=4,FORSIDE!$F$8&gt;=10,FORSIDE!$B$5&gt;=3),FORSIDE!$B$6+(3-1)*FORSIDE!$B$7,"")</f>
        <v/>
      </c>
    </row>
    <row r="2360" spans="1:4" x14ac:dyDescent="0.3">
      <c r="A2360" t="str">
        <f>IF(AND(FORSIDE!$B$8&gt;=4,FORSIDE!$F$8&gt;=10,FORSIDE!$B$5&gt;=4),2359,"")</f>
        <v/>
      </c>
      <c r="B2360" t="str">
        <f>IF(AND(FORSIDE!$B$8&gt;=4,FORSIDE!$F$8&gt;=10,FORSIDE!$B$5&gt;=4),354+10*FORSIDE!$F$9,"")</f>
        <v/>
      </c>
      <c r="C2360" t="str">
        <f>IF(AND(FORSIDE!$B$8&gt;=4,FORSIDE!$F$8&gt;=10,FORSIDE!$B$5&gt;=4),4*FORSIDE!$B$9,"")</f>
        <v/>
      </c>
      <c r="D2360" t="str">
        <f>IF(AND(FORSIDE!$B$8&gt;=4,FORSIDE!$F$8&gt;=10,FORSIDE!$B$5&gt;=4),FORSIDE!$B$6+(4-1)*FORSIDE!$B$7,"")</f>
        <v/>
      </c>
    </row>
    <row r="2361" spans="1:4" x14ac:dyDescent="0.3">
      <c r="A2361" t="str">
        <f>IF(AND(FORSIDE!$B$8&gt;=4,FORSIDE!$F$8&gt;=10,FORSIDE!$B$5&gt;=5),2360,"")</f>
        <v/>
      </c>
      <c r="B2361" t="str">
        <f>IF(AND(FORSIDE!$B$8&gt;=4,FORSIDE!$F$8&gt;=10,FORSIDE!$B$5&gt;=5),354+10*FORSIDE!$F$9,"")</f>
        <v/>
      </c>
      <c r="C2361" t="str">
        <f>IF(AND(FORSIDE!$B$8&gt;=4,FORSIDE!$F$8&gt;=10,FORSIDE!$B$5&gt;=5),4*FORSIDE!$B$9,"")</f>
        <v/>
      </c>
      <c r="D2361" t="str">
        <f>IF(AND(FORSIDE!$B$8&gt;=4,FORSIDE!$F$8&gt;=10,FORSIDE!$B$5&gt;=5),FORSIDE!$B$6+(5-1)*FORSIDE!$B$7,"")</f>
        <v/>
      </c>
    </row>
    <row r="2362" spans="1:4" x14ac:dyDescent="0.3">
      <c r="A2362" t="str">
        <f>IF(AND(FORSIDE!$B$8&gt;=4,FORSIDE!$F$8&gt;=10,FORSIDE!$B$5&gt;=6),2361,"")</f>
        <v/>
      </c>
      <c r="B2362" t="str">
        <f>IF(AND(FORSIDE!$B$8&gt;=4,FORSIDE!$F$8&gt;=10,FORSIDE!$B$5&gt;=6),354+10*FORSIDE!$F$9,"")</f>
        <v/>
      </c>
      <c r="C2362" t="str">
        <f>IF(AND(FORSIDE!$B$8&gt;=4,FORSIDE!$F$8&gt;=10,FORSIDE!$B$5&gt;=6),4*FORSIDE!$B$9,"")</f>
        <v/>
      </c>
      <c r="D2362" t="str">
        <f>IF(AND(FORSIDE!$B$8&gt;=4,FORSIDE!$F$8&gt;=10,FORSIDE!$B$5&gt;=6),FORSIDE!$B$6+(6-1)*FORSIDE!$B$7,"")</f>
        <v/>
      </c>
    </row>
    <row r="2363" spans="1:4" x14ac:dyDescent="0.3">
      <c r="A2363" t="str">
        <f>IF(AND(FORSIDE!$B$8&gt;=4,FORSIDE!$F$8&gt;=10,FORSIDE!$B$5&gt;=7),2362,"")</f>
        <v/>
      </c>
      <c r="B2363" t="str">
        <f>IF(AND(FORSIDE!$B$8&gt;=4,FORSIDE!$F$8&gt;=10,FORSIDE!$B$5&gt;=7),354+10*FORSIDE!$F$9,"")</f>
        <v/>
      </c>
      <c r="C2363" t="str">
        <f>IF(AND(FORSIDE!$B$8&gt;=4,FORSIDE!$F$8&gt;=10,FORSIDE!$B$5&gt;=7),4*FORSIDE!$B$9,"")</f>
        <v/>
      </c>
      <c r="D2363" t="str">
        <f>IF(AND(FORSIDE!$B$8&gt;=4,FORSIDE!$F$8&gt;=10,FORSIDE!$B$5&gt;=7),FORSIDE!$B$6+(7-1)*FORSIDE!$B$7,"")</f>
        <v/>
      </c>
    </row>
    <row r="2364" spans="1:4" x14ac:dyDescent="0.3">
      <c r="A2364" t="str">
        <f>IF(AND(FORSIDE!$B$8&gt;=4,FORSIDE!$F$8&gt;=10,FORSIDE!$B$5&gt;=8),2363,"")</f>
        <v/>
      </c>
      <c r="B2364" t="str">
        <f>IF(AND(FORSIDE!$B$8&gt;=4,FORSIDE!$F$8&gt;=10,FORSIDE!$B$5&gt;=8),354+10*FORSIDE!$F$9,"")</f>
        <v/>
      </c>
      <c r="C2364" t="str">
        <f>IF(AND(FORSIDE!$B$8&gt;=4,FORSIDE!$F$8&gt;=10,FORSIDE!$B$5&gt;=8),4*FORSIDE!$B$9,"")</f>
        <v/>
      </c>
      <c r="D2364" t="str">
        <f>IF(AND(FORSIDE!$B$8&gt;=4,FORSIDE!$F$8&gt;=10,FORSIDE!$B$5&gt;=8),FORSIDE!$B$6+(8-1)*FORSIDE!$B$7,"")</f>
        <v/>
      </c>
    </row>
    <row r="2365" spans="1:4" x14ac:dyDescent="0.3">
      <c r="A2365" t="str">
        <f>IF(AND(FORSIDE!$B$8&gt;=4,FORSIDE!$F$8&gt;=10,FORSIDE!$B$5&gt;=9),2364,"")</f>
        <v/>
      </c>
      <c r="B2365" t="str">
        <f>IF(AND(FORSIDE!$B$8&gt;=4,FORSIDE!$F$8&gt;=10,FORSIDE!$B$5&gt;=9),354+10*FORSIDE!$F$9,"")</f>
        <v/>
      </c>
      <c r="C2365" t="str">
        <f>IF(AND(FORSIDE!$B$8&gt;=4,FORSIDE!$F$8&gt;=10,FORSIDE!$B$5&gt;=9),4*FORSIDE!$B$9,"")</f>
        <v/>
      </c>
      <c r="D2365" t="str">
        <f>IF(AND(FORSIDE!$B$8&gt;=4,FORSIDE!$F$8&gt;=10,FORSIDE!$B$5&gt;=9),FORSIDE!$B$6+(9-1)*FORSIDE!$B$7,"")</f>
        <v/>
      </c>
    </row>
    <row r="2366" spans="1:4" x14ac:dyDescent="0.3">
      <c r="A2366" t="str">
        <f>IF(AND(FORSIDE!$B$8&gt;=4,FORSIDE!$F$8&gt;=10,FORSIDE!$B$5&gt;=10),2365,"")</f>
        <v/>
      </c>
      <c r="B2366" t="str">
        <f>IF(AND(FORSIDE!$B$8&gt;=4,FORSIDE!$F$8&gt;=10,FORSIDE!$B$5&gt;=10),354+10*FORSIDE!$F$9,"")</f>
        <v/>
      </c>
      <c r="C2366" t="str">
        <f>IF(AND(FORSIDE!$B$8&gt;=4,FORSIDE!$F$8&gt;=10,FORSIDE!$B$5&gt;=10),4*FORSIDE!$B$9,"")</f>
        <v/>
      </c>
      <c r="D2366" t="str">
        <f>IF(AND(FORSIDE!$B$8&gt;=4,FORSIDE!$F$8&gt;=10,FORSIDE!$B$5&gt;=10),FORSIDE!$B$6+(10-1)*FORSIDE!$B$7,"")</f>
        <v/>
      </c>
    </row>
    <row r="2367" spans="1:4" x14ac:dyDescent="0.3">
      <c r="A2367" t="str">
        <f>IF(AND(FORSIDE!$B$8&gt;=5,FORSIDE!$F$8&gt;=10,FORSIDE!$B$5&gt;=0),2366,"")</f>
        <v/>
      </c>
      <c r="B2367" t="str">
        <f>IF(AND(FORSIDE!$B$8&gt;=5,FORSIDE!$F$8&gt;=10,FORSIDE!$B$5&gt;=0),354+10*FORSIDE!$F$9,"")</f>
        <v/>
      </c>
      <c r="C2367" t="str">
        <f>IF(AND(FORSIDE!$B$8&gt;=5,FORSIDE!$F$8&gt;=10,FORSIDE!$B$5&gt;=0),5*FORSIDE!$B$9,"")</f>
        <v/>
      </c>
      <c r="D2367" t="str">
        <f>IF(AND(FORSIDE!$B$8&gt;=5,FORSIDE!$F$8&gt;=10,FORSIDE!$B$5&gt;=0),0,"")</f>
        <v/>
      </c>
    </row>
    <row r="2368" spans="1:4" x14ac:dyDescent="0.3">
      <c r="A2368" t="str">
        <f>IF(AND(FORSIDE!$B$8&gt;=5,FORSIDE!$F$8&gt;=10,FORSIDE!$B$5&gt;=1),2367,"")</f>
        <v/>
      </c>
      <c r="B2368" t="str">
        <f>IF(AND(FORSIDE!$B$8&gt;=5,FORSIDE!$F$8&gt;=10,FORSIDE!$B$5&gt;=1),354+10*FORSIDE!$F$9,"")</f>
        <v/>
      </c>
      <c r="C2368" t="str">
        <f>IF(AND(FORSIDE!$B$8&gt;=5,FORSIDE!$F$8&gt;=10,FORSIDE!$B$5&gt;=1),5*FORSIDE!$B$9,"")</f>
        <v/>
      </c>
      <c r="D2368" t="str">
        <f>IF(AND(FORSIDE!$B$8&gt;=5,FORSIDE!$F$8&gt;=10,FORSIDE!$B$5&gt;=1),FORSIDE!$B$6+(1-1)*FORSIDE!$B$7,"")</f>
        <v/>
      </c>
    </row>
    <row r="2369" spans="1:4" x14ac:dyDescent="0.3">
      <c r="A2369" t="str">
        <f>IF(AND(FORSIDE!$B$8&gt;=5,FORSIDE!$F$8&gt;=10,FORSIDE!$B$5&gt;=2),2368,"")</f>
        <v/>
      </c>
      <c r="B2369" t="str">
        <f>IF(AND(FORSIDE!$B$8&gt;=5,FORSIDE!$F$8&gt;=10,FORSIDE!$B$5&gt;=2),354+10*FORSIDE!$F$9,"")</f>
        <v/>
      </c>
      <c r="C2369" t="str">
        <f>IF(AND(FORSIDE!$B$8&gt;=5,FORSIDE!$F$8&gt;=10,FORSIDE!$B$5&gt;=2),5*FORSIDE!$B$9,"")</f>
        <v/>
      </c>
      <c r="D2369" t="str">
        <f>IF(AND(FORSIDE!$B$8&gt;=5,FORSIDE!$F$8&gt;=10,FORSIDE!$B$5&gt;=2),FORSIDE!$B$6+(2-1)*FORSIDE!$B$7,"")</f>
        <v/>
      </c>
    </row>
    <row r="2370" spans="1:4" x14ac:dyDescent="0.3">
      <c r="A2370" t="str">
        <f>IF(AND(FORSIDE!$B$8&gt;=5,FORSIDE!$F$8&gt;=10,FORSIDE!$B$5&gt;=3),2369,"")</f>
        <v/>
      </c>
      <c r="B2370" t="str">
        <f>IF(AND(FORSIDE!$B$8&gt;=5,FORSIDE!$F$8&gt;=10,FORSIDE!$B$5&gt;=3),354+10*FORSIDE!$F$9,"")</f>
        <v/>
      </c>
      <c r="C2370" t="str">
        <f>IF(AND(FORSIDE!$B$8&gt;=5,FORSIDE!$F$8&gt;=10,FORSIDE!$B$5&gt;=3),5*FORSIDE!$B$9,"")</f>
        <v/>
      </c>
      <c r="D2370" t="str">
        <f>IF(AND(FORSIDE!$B$8&gt;=5,FORSIDE!$F$8&gt;=10,FORSIDE!$B$5&gt;=3),FORSIDE!$B$6+(3-1)*FORSIDE!$B$7,"")</f>
        <v/>
      </c>
    </row>
    <row r="2371" spans="1:4" x14ac:dyDescent="0.3">
      <c r="A2371" t="str">
        <f>IF(AND(FORSIDE!$B$8&gt;=5,FORSIDE!$F$8&gt;=10,FORSIDE!$B$5&gt;=4),2370,"")</f>
        <v/>
      </c>
      <c r="B2371" t="str">
        <f>IF(AND(FORSIDE!$B$8&gt;=5,FORSIDE!$F$8&gt;=10,FORSIDE!$B$5&gt;=4),354+10*FORSIDE!$F$9,"")</f>
        <v/>
      </c>
      <c r="C2371" t="str">
        <f>IF(AND(FORSIDE!$B$8&gt;=5,FORSIDE!$F$8&gt;=10,FORSIDE!$B$5&gt;=4),5*FORSIDE!$B$9,"")</f>
        <v/>
      </c>
      <c r="D2371" t="str">
        <f>IF(AND(FORSIDE!$B$8&gt;=5,FORSIDE!$F$8&gt;=10,FORSIDE!$B$5&gt;=4),FORSIDE!$B$6+(4-1)*FORSIDE!$B$7,"")</f>
        <v/>
      </c>
    </row>
    <row r="2372" spans="1:4" x14ac:dyDescent="0.3">
      <c r="A2372" t="str">
        <f>IF(AND(FORSIDE!$B$8&gt;=5,FORSIDE!$F$8&gt;=10,FORSIDE!$B$5&gt;=5),2371,"")</f>
        <v/>
      </c>
      <c r="B2372" t="str">
        <f>IF(AND(FORSIDE!$B$8&gt;=5,FORSIDE!$F$8&gt;=10,FORSIDE!$B$5&gt;=5),354+10*FORSIDE!$F$9,"")</f>
        <v/>
      </c>
      <c r="C2372" t="str">
        <f>IF(AND(FORSIDE!$B$8&gt;=5,FORSIDE!$F$8&gt;=10,FORSIDE!$B$5&gt;=5),5*FORSIDE!$B$9,"")</f>
        <v/>
      </c>
      <c r="D2372" t="str">
        <f>IF(AND(FORSIDE!$B$8&gt;=5,FORSIDE!$F$8&gt;=10,FORSIDE!$B$5&gt;=5),FORSIDE!$B$6+(5-1)*FORSIDE!$B$7,"")</f>
        <v/>
      </c>
    </row>
    <row r="2373" spans="1:4" x14ac:dyDescent="0.3">
      <c r="A2373" t="str">
        <f>IF(AND(FORSIDE!$B$8&gt;=5,FORSIDE!$F$8&gt;=10,FORSIDE!$B$5&gt;=6),2372,"")</f>
        <v/>
      </c>
      <c r="B2373" t="str">
        <f>IF(AND(FORSIDE!$B$8&gt;=5,FORSIDE!$F$8&gt;=10,FORSIDE!$B$5&gt;=6),354+10*FORSIDE!$F$9,"")</f>
        <v/>
      </c>
      <c r="C2373" t="str">
        <f>IF(AND(FORSIDE!$B$8&gt;=5,FORSIDE!$F$8&gt;=10,FORSIDE!$B$5&gt;=6),5*FORSIDE!$B$9,"")</f>
        <v/>
      </c>
      <c r="D2373" t="str">
        <f>IF(AND(FORSIDE!$B$8&gt;=5,FORSIDE!$F$8&gt;=10,FORSIDE!$B$5&gt;=6),FORSIDE!$B$6+(6-1)*FORSIDE!$B$7,"")</f>
        <v/>
      </c>
    </row>
    <row r="2374" spans="1:4" x14ac:dyDescent="0.3">
      <c r="A2374" t="str">
        <f>IF(AND(FORSIDE!$B$8&gt;=5,FORSIDE!$F$8&gt;=10,FORSIDE!$B$5&gt;=7),2373,"")</f>
        <v/>
      </c>
      <c r="B2374" t="str">
        <f>IF(AND(FORSIDE!$B$8&gt;=5,FORSIDE!$F$8&gt;=10,FORSIDE!$B$5&gt;=7),354+10*FORSIDE!$F$9,"")</f>
        <v/>
      </c>
      <c r="C2374" t="str">
        <f>IF(AND(FORSIDE!$B$8&gt;=5,FORSIDE!$F$8&gt;=10,FORSIDE!$B$5&gt;=7),5*FORSIDE!$B$9,"")</f>
        <v/>
      </c>
      <c r="D2374" t="str">
        <f>IF(AND(FORSIDE!$B$8&gt;=5,FORSIDE!$F$8&gt;=10,FORSIDE!$B$5&gt;=7),FORSIDE!$B$6+(7-1)*FORSIDE!$B$7,"")</f>
        <v/>
      </c>
    </row>
    <row r="2375" spans="1:4" x14ac:dyDescent="0.3">
      <c r="A2375" t="str">
        <f>IF(AND(FORSIDE!$B$8&gt;=5,FORSIDE!$F$8&gt;=10,FORSIDE!$B$5&gt;=8),2374,"")</f>
        <v/>
      </c>
      <c r="B2375" t="str">
        <f>IF(AND(FORSIDE!$B$8&gt;=5,FORSIDE!$F$8&gt;=10,FORSIDE!$B$5&gt;=8),354+10*FORSIDE!$F$9,"")</f>
        <v/>
      </c>
      <c r="C2375" t="str">
        <f>IF(AND(FORSIDE!$B$8&gt;=5,FORSIDE!$F$8&gt;=10,FORSIDE!$B$5&gt;=8),5*FORSIDE!$B$9,"")</f>
        <v/>
      </c>
      <c r="D2375" t="str">
        <f>IF(AND(FORSIDE!$B$8&gt;=5,FORSIDE!$F$8&gt;=10,FORSIDE!$B$5&gt;=8),FORSIDE!$B$6+(8-1)*FORSIDE!$B$7,"")</f>
        <v/>
      </c>
    </row>
    <row r="2376" spans="1:4" x14ac:dyDescent="0.3">
      <c r="A2376" t="str">
        <f>IF(AND(FORSIDE!$B$8&gt;=5,FORSIDE!$F$8&gt;=10,FORSIDE!$B$5&gt;=9),2375,"")</f>
        <v/>
      </c>
      <c r="B2376" t="str">
        <f>IF(AND(FORSIDE!$B$8&gt;=5,FORSIDE!$F$8&gt;=10,FORSIDE!$B$5&gt;=9),354+10*FORSIDE!$F$9,"")</f>
        <v/>
      </c>
      <c r="C2376" t="str">
        <f>IF(AND(FORSIDE!$B$8&gt;=5,FORSIDE!$F$8&gt;=10,FORSIDE!$B$5&gt;=9),5*FORSIDE!$B$9,"")</f>
        <v/>
      </c>
      <c r="D2376" t="str">
        <f>IF(AND(FORSIDE!$B$8&gt;=5,FORSIDE!$F$8&gt;=10,FORSIDE!$B$5&gt;=9),FORSIDE!$B$6+(9-1)*FORSIDE!$B$7,"")</f>
        <v/>
      </c>
    </row>
    <row r="2377" spans="1:4" x14ac:dyDescent="0.3">
      <c r="A2377" t="str">
        <f>IF(AND(FORSIDE!$B$8&gt;=5,FORSIDE!$F$8&gt;=10,FORSIDE!$B$5&gt;=10),2376,"")</f>
        <v/>
      </c>
      <c r="B2377" t="str">
        <f>IF(AND(FORSIDE!$B$8&gt;=5,FORSIDE!$F$8&gt;=10,FORSIDE!$B$5&gt;=10),354+10*FORSIDE!$F$9,"")</f>
        <v/>
      </c>
      <c r="C2377" t="str">
        <f>IF(AND(FORSIDE!$B$8&gt;=5,FORSIDE!$F$8&gt;=10,FORSIDE!$B$5&gt;=10),5*FORSIDE!$B$9,"")</f>
        <v/>
      </c>
      <c r="D2377" t="str">
        <f>IF(AND(FORSIDE!$B$8&gt;=5,FORSIDE!$F$8&gt;=10,FORSIDE!$B$5&gt;=10),FORSIDE!$B$6+(10-1)*FORSIDE!$B$7,"")</f>
        <v/>
      </c>
    </row>
    <row r="2378" spans="1:4" x14ac:dyDescent="0.3">
      <c r="A2378" t="str">
        <f>IF(AND(FORSIDE!$B$8&gt;=6,FORSIDE!$F$8&gt;=10,FORSIDE!$B$5&gt;=0),2377,"")</f>
        <v/>
      </c>
      <c r="B2378" t="str">
        <f>IF(AND(FORSIDE!$B$8&gt;=6,FORSIDE!$F$8&gt;=10,FORSIDE!$B$5&gt;=0),354+10*FORSIDE!$F$9,"")</f>
        <v/>
      </c>
      <c r="C2378" t="str">
        <f>IF(AND(FORSIDE!$B$8&gt;=6,FORSIDE!$F$8&gt;=10,FORSIDE!$B$5&gt;=0),6*FORSIDE!$B$9,"")</f>
        <v/>
      </c>
      <c r="D2378" t="str">
        <f>IF(AND(FORSIDE!$B$8&gt;=6,FORSIDE!$F$8&gt;=10,FORSIDE!$B$5&gt;=0),0,"")</f>
        <v/>
      </c>
    </row>
    <row r="2379" spans="1:4" x14ac:dyDescent="0.3">
      <c r="A2379" t="str">
        <f>IF(AND(FORSIDE!$B$8&gt;=6,FORSIDE!$F$8&gt;=10,FORSIDE!$B$5&gt;=1),2378,"")</f>
        <v/>
      </c>
      <c r="B2379" t="str">
        <f>IF(AND(FORSIDE!$B$8&gt;=6,FORSIDE!$F$8&gt;=10,FORSIDE!$B$5&gt;=1),354+10*FORSIDE!$F$9,"")</f>
        <v/>
      </c>
      <c r="C2379" t="str">
        <f>IF(AND(FORSIDE!$B$8&gt;=6,FORSIDE!$F$8&gt;=10,FORSIDE!$B$5&gt;=1),6*FORSIDE!$B$9,"")</f>
        <v/>
      </c>
      <c r="D2379" t="str">
        <f>IF(AND(FORSIDE!$B$8&gt;=6,FORSIDE!$F$8&gt;=10,FORSIDE!$B$5&gt;=1),FORSIDE!$B$6+(1-1)*FORSIDE!$B$7,"")</f>
        <v/>
      </c>
    </row>
    <row r="2380" spans="1:4" x14ac:dyDescent="0.3">
      <c r="A2380" t="str">
        <f>IF(AND(FORSIDE!$B$8&gt;=6,FORSIDE!$F$8&gt;=10,FORSIDE!$B$5&gt;=2),2379,"")</f>
        <v/>
      </c>
      <c r="B2380" t="str">
        <f>IF(AND(FORSIDE!$B$8&gt;=6,FORSIDE!$F$8&gt;=10,FORSIDE!$B$5&gt;=2),354+10*FORSIDE!$F$9,"")</f>
        <v/>
      </c>
      <c r="C2380" t="str">
        <f>IF(AND(FORSIDE!$B$8&gt;=6,FORSIDE!$F$8&gt;=10,FORSIDE!$B$5&gt;=2),6*FORSIDE!$B$9,"")</f>
        <v/>
      </c>
      <c r="D2380" t="str">
        <f>IF(AND(FORSIDE!$B$8&gt;=6,FORSIDE!$F$8&gt;=10,FORSIDE!$B$5&gt;=2),FORSIDE!$B$6+(2-1)*FORSIDE!$B$7,"")</f>
        <v/>
      </c>
    </row>
    <row r="2381" spans="1:4" x14ac:dyDescent="0.3">
      <c r="A2381" t="str">
        <f>IF(AND(FORSIDE!$B$8&gt;=6,FORSIDE!$F$8&gt;=10,FORSIDE!$B$5&gt;=3),2380,"")</f>
        <v/>
      </c>
      <c r="B2381" t="str">
        <f>IF(AND(FORSIDE!$B$8&gt;=6,FORSIDE!$F$8&gt;=10,FORSIDE!$B$5&gt;=3),354+10*FORSIDE!$F$9,"")</f>
        <v/>
      </c>
      <c r="C2381" t="str">
        <f>IF(AND(FORSIDE!$B$8&gt;=6,FORSIDE!$F$8&gt;=10,FORSIDE!$B$5&gt;=3),6*FORSIDE!$B$9,"")</f>
        <v/>
      </c>
      <c r="D2381" t="str">
        <f>IF(AND(FORSIDE!$B$8&gt;=6,FORSIDE!$F$8&gt;=10,FORSIDE!$B$5&gt;=3),FORSIDE!$B$6+(3-1)*FORSIDE!$B$7,"")</f>
        <v/>
      </c>
    </row>
    <row r="2382" spans="1:4" x14ac:dyDescent="0.3">
      <c r="A2382" t="str">
        <f>IF(AND(FORSIDE!$B$8&gt;=6,FORSIDE!$F$8&gt;=10,FORSIDE!$B$5&gt;=4),2381,"")</f>
        <v/>
      </c>
      <c r="B2382" t="str">
        <f>IF(AND(FORSIDE!$B$8&gt;=6,FORSIDE!$F$8&gt;=10,FORSIDE!$B$5&gt;=4),354+10*FORSIDE!$F$9,"")</f>
        <v/>
      </c>
      <c r="C2382" t="str">
        <f>IF(AND(FORSIDE!$B$8&gt;=6,FORSIDE!$F$8&gt;=10,FORSIDE!$B$5&gt;=4),6*FORSIDE!$B$9,"")</f>
        <v/>
      </c>
      <c r="D2382" t="str">
        <f>IF(AND(FORSIDE!$B$8&gt;=6,FORSIDE!$F$8&gt;=10,FORSIDE!$B$5&gt;=4),FORSIDE!$B$6+(4-1)*FORSIDE!$B$7,"")</f>
        <v/>
      </c>
    </row>
    <row r="2383" spans="1:4" x14ac:dyDescent="0.3">
      <c r="A2383" t="str">
        <f>IF(AND(FORSIDE!$B$8&gt;=6,FORSIDE!$F$8&gt;=10,FORSIDE!$B$5&gt;=5),2382,"")</f>
        <v/>
      </c>
      <c r="B2383" t="str">
        <f>IF(AND(FORSIDE!$B$8&gt;=6,FORSIDE!$F$8&gt;=10,FORSIDE!$B$5&gt;=5),354+10*FORSIDE!$F$9,"")</f>
        <v/>
      </c>
      <c r="C2383" t="str">
        <f>IF(AND(FORSIDE!$B$8&gt;=6,FORSIDE!$F$8&gt;=10,FORSIDE!$B$5&gt;=5),6*FORSIDE!$B$9,"")</f>
        <v/>
      </c>
      <c r="D2383" t="str">
        <f>IF(AND(FORSIDE!$B$8&gt;=6,FORSIDE!$F$8&gt;=10,FORSIDE!$B$5&gt;=5),FORSIDE!$B$6+(5-1)*FORSIDE!$B$7,"")</f>
        <v/>
      </c>
    </row>
    <row r="2384" spans="1:4" x14ac:dyDescent="0.3">
      <c r="A2384" t="str">
        <f>IF(AND(FORSIDE!$B$8&gt;=6,FORSIDE!$F$8&gt;=10,FORSIDE!$B$5&gt;=6),2383,"")</f>
        <v/>
      </c>
      <c r="B2384" t="str">
        <f>IF(AND(FORSIDE!$B$8&gt;=6,FORSIDE!$F$8&gt;=10,FORSIDE!$B$5&gt;=6),354+10*FORSIDE!$F$9,"")</f>
        <v/>
      </c>
      <c r="C2384" t="str">
        <f>IF(AND(FORSIDE!$B$8&gt;=6,FORSIDE!$F$8&gt;=10,FORSIDE!$B$5&gt;=6),6*FORSIDE!$B$9,"")</f>
        <v/>
      </c>
      <c r="D2384" t="str">
        <f>IF(AND(FORSIDE!$B$8&gt;=6,FORSIDE!$F$8&gt;=10,FORSIDE!$B$5&gt;=6),FORSIDE!$B$6+(6-1)*FORSIDE!$B$7,"")</f>
        <v/>
      </c>
    </row>
    <row r="2385" spans="1:4" x14ac:dyDescent="0.3">
      <c r="A2385" t="str">
        <f>IF(AND(FORSIDE!$B$8&gt;=6,FORSIDE!$F$8&gt;=10,FORSIDE!$B$5&gt;=7),2384,"")</f>
        <v/>
      </c>
      <c r="B2385" t="str">
        <f>IF(AND(FORSIDE!$B$8&gt;=6,FORSIDE!$F$8&gt;=10,FORSIDE!$B$5&gt;=7),354+10*FORSIDE!$F$9,"")</f>
        <v/>
      </c>
      <c r="C2385" t="str">
        <f>IF(AND(FORSIDE!$B$8&gt;=6,FORSIDE!$F$8&gt;=10,FORSIDE!$B$5&gt;=7),6*FORSIDE!$B$9,"")</f>
        <v/>
      </c>
      <c r="D2385" t="str">
        <f>IF(AND(FORSIDE!$B$8&gt;=6,FORSIDE!$F$8&gt;=10,FORSIDE!$B$5&gt;=7),FORSIDE!$B$6+(7-1)*FORSIDE!$B$7,"")</f>
        <v/>
      </c>
    </row>
    <row r="2386" spans="1:4" x14ac:dyDescent="0.3">
      <c r="A2386" t="str">
        <f>IF(AND(FORSIDE!$B$8&gt;=6,FORSIDE!$F$8&gt;=10,FORSIDE!$B$5&gt;=8),2385,"")</f>
        <v/>
      </c>
      <c r="B2386" t="str">
        <f>IF(AND(FORSIDE!$B$8&gt;=6,FORSIDE!$F$8&gt;=10,FORSIDE!$B$5&gt;=8),354+10*FORSIDE!$F$9,"")</f>
        <v/>
      </c>
      <c r="C2386" t="str">
        <f>IF(AND(FORSIDE!$B$8&gt;=6,FORSIDE!$F$8&gt;=10,FORSIDE!$B$5&gt;=8),6*FORSIDE!$B$9,"")</f>
        <v/>
      </c>
      <c r="D2386" t="str">
        <f>IF(AND(FORSIDE!$B$8&gt;=6,FORSIDE!$F$8&gt;=10,FORSIDE!$B$5&gt;=8),FORSIDE!$B$6+(8-1)*FORSIDE!$B$7,"")</f>
        <v/>
      </c>
    </row>
    <row r="2387" spans="1:4" x14ac:dyDescent="0.3">
      <c r="A2387" t="str">
        <f>IF(AND(FORSIDE!$B$8&gt;=6,FORSIDE!$F$8&gt;=10,FORSIDE!$B$5&gt;=9),2386,"")</f>
        <v/>
      </c>
      <c r="B2387" t="str">
        <f>IF(AND(FORSIDE!$B$8&gt;=6,FORSIDE!$F$8&gt;=10,FORSIDE!$B$5&gt;=9),354+10*FORSIDE!$F$9,"")</f>
        <v/>
      </c>
      <c r="C2387" t="str">
        <f>IF(AND(FORSIDE!$B$8&gt;=6,FORSIDE!$F$8&gt;=10,FORSIDE!$B$5&gt;=9),6*FORSIDE!$B$9,"")</f>
        <v/>
      </c>
      <c r="D2387" t="str">
        <f>IF(AND(FORSIDE!$B$8&gt;=6,FORSIDE!$F$8&gt;=10,FORSIDE!$B$5&gt;=9),FORSIDE!$B$6+(9-1)*FORSIDE!$B$7,"")</f>
        <v/>
      </c>
    </row>
    <row r="2388" spans="1:4" x14ac:dyDescent="0.3">
      <c r="A2388" t="str">
        <f>IF(AND(FORSIDE!$B$8&gt;=6,FORSIDE!$F$8&gt;=10,FORSIDE!$B$5&gt;=10),2387,"")</f>
        <v/>
      </c>
      <c r="B2388" t="str">
        <f>IF(AND(FORSIDE!$B$8&gt;=6,FORSIDE!$F$8&gt;=10,FORSIDE!$B$5&gt;=10),354+10*FORSIDE!$F$9,"")</f>
        <v/>
      </c>
      <c r="C2388" t="str">
        <f>IF(AND(FORSIDE!$B$8&gt;=6,FORSIDE!$F$8&gt;=10,FORSIDE!$B$5&gt;=10),6*FORSIDE!$B$9,"")</f>
        <v/>
      </c>
      <c r="D2388" t="str">
        <f>IF(AND(FORSIDE!$B$8&gt;=6,FORSIDE!$F$8&gt;=10,FORSIDE!$B$5&gt;=10),FORSIDE!$B$6+(10-1)*FORSIDE!$B$7,"")</f>
        <v/>
      </c>
    </row>
    <row r="2389" spans="1:4" x14ac:dyDescent="0.3">
      <c r="A2389" t="str">
        <f>IF(AND(FORSIDE!$B$8&gt;=7,FORSIDE!$F$8&gt;=10,FORSIDE!$B$5&gt;=0),2388,"")</f>
        <v/>
      </c>
      <c r="B2389" t="str">
        <f>IF(AND(FORSIDE!$B$8&gt;=7,FORSIDE!$F$8&gt;=10,FORSIDE!$B$5&gt;=0),354+10*FORSIDE!$F$9,"")</f>
        <v/>
      </c>
      <c r="C2389" t="str">
        <f>IF(AND(FORSIDE!$B$8&gt;=7,FORSIDE!$F$8&gt;=10,FORSIDE!$B$5&gt;=0),7*FORSIDE!$B$9,"")</f>
        <v/>
      </c>
      <c r="D2389" t="str">
        <f>IF(AND(FORSIDE!$B$8&gt;=7,FORSIDE!$F$8&gt;=10,FORSIDE!$B$5&gt;=0),0,"")</f>
        <v/>
      </c>
    </row>
    <row r="2390" spans="1:4" x14ac:dyDescent="0.3">
      <c r="A2390" t="str">
        <f>IF(AND(FORSIDE!$B$8&gt;=7,FORSIDE!$F$8&gt;=10,FORSIDE!$B$5&gt;=1),2389,"")</f>
        <v/>
      </c>
      <c r="B2390" t="str">
        <f>IF(AND(FORSIDE!$B$8&gt;=7,FORSIDE!$F$8&gt;=10,FORSIDE!$B$5&gt;=1),354+10*FORSIDE!$F$9,"")</f>
        <v/>
      </c>
      <c r="C2390" t="str">
        <f>IF(AND(FORSIDE!$B$8&gt;=7,FORSIDE!$F$8&gt;=10,FORSIDE!$B$5&gt;=1),7*FORSIDE!$B$9,"")</f>
        <v/>
      </c>
      <c r="D2390" t="str">
        <f>IF(AND(FORSIDE!$B$8&gt;=7,FORSIDE!$F$8&gt;=10,FORSIDE!$B$5&gt;=1),FORSIDE!$B$6+(1-1)*FORSIDE!$B$7,"")</f>
        <v/>
      </c>
    </row>
    <row r="2391" spans="1:4" x14ac:dyDescent="0.3">
      <c r="A2391" t="str">
        <f>IF(AND(FORSIDE!$B$8&gt;=7,FORSIDE!$F$8&gt;=10,FORSIDE!$B$5&gt;=2),2390,"")</f>
        <v/>
      </c>
      <c r="B2391" t="str">
        <f>IF(AND(FORSIDE!$B$8&gt;=7,FORSIDE!$F$8&gt;=10,FORSIDE!$B$5&gt;=2),354+10*FORSIDE!$F$9,"")</f>
        <v/>
      </c>
      <c r="C2391" t="str">
        <f>IF(AND(FORSIDE!$B$8&gt;=7,FORSIDE!$F$8&gt;=10,FORSIDE!$B$5&gt;=2),7*FORSIDE!$B$9,"")</f>
        <v/>
      </c>
      <c r="D2391" t="str">
        <f>IF(AND(FORSIDE!$B$8&gt;=7,FORSIDE!$F$8&gt;=10,FORSIDE!$B$5&gt;=2),FORSIDE!$B$6+(2-1)*FORSIDE!$B$7,"")</f>
        <v/>
      </c>
    </row>
    <row r="2392" spans="1:4" x14ac:dyDescent="0.3">
      <c r="A2392" t="str">
        <f>IF(AND(FORSIDE!$B$8&gt;=7,FORSIDE!$F$8&gt;=10,FORSIDE!$B$5&gt;=3),2391,"")</f>
        <v/>
      </c>
      <c r="B2392" t="str">
        <f>IF(AND(FORSIDE!$B$8&gt;=7,FORSIDE!$F$8&gt;=10,FORSIDE!$B$5&gt;=3),354+10*FORSIDE!$F$9,"")</f>
        <v/>
      </c>
      <c r="C2392" t="str">
        <f>IF(AND(FORSIDE!$B$8&gt;=7,FORSIDE!$F$8&gt;=10,FORSIDE!$B$5&gt;=3),7*FORSIDE!$B$9,"")</f>
        <v/>
      </c>
      <c r="D2392" t="str">
        <f>IF(AND(FORSIDE!$B$8&gt;=7,FORSIDE!$F$8&gt;=10,FORSIDE!$B$5&gt;=3),FORSIDE!$B$6+(3-1)*FORSIDE!$B$7,"")</f>
        <v/>
      </c>
    </row>
    <row r="2393" spans="1:4" x14ac:dyDescent="0.3">
      <c r="A2393" t="str">
        <f>IF(AND(FORSIDE!$B$8&gt;=7,FORSIDE!$F$8&gt;=10,FORSIDE!$B$5&gt;=4),2392,"")</f>
        <v/>
      </c>
      <c r="B2393" t="str">
        <f>IF(AND(FORSIDE!$B$8&gt;=7,FORSIDE!$F$8&gt;=10,FORSIDE!$B$5&gt;=4),354+10*FORSIDE!$F$9,"")</f>
        <v/>
      </c>
      <c r="C2393" t="str">
        <f>IF(AND(FORSIDE!$B$8&gt;=7,FORSIDE!$F$8&gt;=10,FORSIDE!$B$5&gt;=4),7*FORSIDE!$B$9,"")</f>
        <v/>
      </c>
      <c r="D2393" t="str">
        <f>IF(AND(FORSIDE!$B$8&gt;=7,FORSIDE!$F$8&gt;=10,FORSIDE!$B$5&gt;=4),FORSIDE!$B$6+(4-1)*FORSIDE!$B$7,"")</f>
        <v/>
      </c>
    </row>
    <row r="2394" spans="1:4" x14ac:dyDescent="0.3">
      <c r="A2394" t="str">
        <f>IF(AND(FORSIDE!$B$8&gt;=7,FORSIDE!$F$8&gt;=10,FORSIDE!$B$5&gt;=5),2393,"")</f>
        <v/>
      </c>
      <c r="B2394" t="str">
        <f>IF(AND(FORSIDE!$B$8&gt;=7,FORSIDE!$F$8&gt;=10,FORSIDE!$B$5&gt;=5),354+10*FORSIDE!$F$9,"")</f>
        <v/>
      </c>
      <c r="C2394" t="str">
        <f>IF(AND(FORSIDE!$B$8&gt;=7,FORSIDE!$F$8&gt;=10,FORSIDE!$B$5&gt;=5),7*FORSIDE!$B$9,"")</f>
        <v/>
      </c>
      <c r="D2394" t="str">
        <f>IF(AND(FORSIDE!$B$8&gt;=7,FORSIDE!$F$8&gt;=10,FORSIDE!$B$5&gt;=5),FORSIDE!$B$6+(5-1)*FORSIDE!$B$7,"")</f>
        <v/>
      </c>
    </row>
    <row r="2395" spans="1:4" x14ac:dyDescent="0.3">
      <c r="A2395" t="str">
        <f>IF(AND(FORSIDE!$B$8&gt;=7,FORSIDE!$F$8&gt;=10,FORSIDE!$B$5&gt;=6),2394,"")</f>
        <v/>
      </c>
      <c r="B2395" t="str">
        <f>IF(AND(FORSIDE!$B$8&gt;=7,FORSIDE!$F$8&gt;=10,FORSIDE!$B$5&gt;=6),354+10*FORSIDE!$F$9,"")</f>
        <v/>
      </c>
      <c r="C2395" t="str">
        <f>IF(AND(FORSIDE!$B$8&gt;=7,FORSIDE!$F$8&gt;=10,FORSIDE!$B$5&gt;=6),7*FORSIDE!$B$9,"")</f>
        <v/>
      </c>
      <c r="D2395" t="str">
        <f>IF(AND(FORSIDE!$B$8&gt;=7,FORSIDE!$F$8&gt;=10,FORSIDE!$B$5&gt;=6),FORSIDE!$B$6+(6-1)*FORSIDE!$B$7,"")</f>
        <v/>
      </c>
    </row>
    <row r="2396" spans="1:4" x14ac:dyDescent="0.3">
      <c r="A2396" t="str">
        <f>IF(AND(FORSIDE!$B$8&gt;=7,FORSIDE!$F$8&gt;=10,FORSIDE!$B$5&gt;=7),2395,"")</f>
        <v/>
      </c>
      <c r="B2396" t="str">
        <f>IF(AND(FORSIDE!$B$8&gt;=7,FORSIDE!$F$8&gt;=10,FORSIDE!$B$5&gt;=7),354+10*FORSIDE!$F$9,"")</f>
        <v/>
      </c>
      <c r="C2396" t="str">
        <f>IF(AND(FORSIDE!$B$8&gt;=7,FORSIDE!$F$8&gt;=10,FORSIDE!$B$5&gt;=7),7*FORSIDE!$B$9,"")</f>
        <v/>
      </c>
      <c r="D2396" t="str">
        <f>IF(AND(FORSIDE!$B$8&gt;=7,FORSIDE!$F$8&gt;=10,FORSIDE!$B$5&gt;=7),FORSIDE!$B$6+(7-1)*FORSIDE!$B$7,"")</f>
        <v/>
      </c>
    </row>
    <row r="2397" spans="1:4" x14ac:dyDescent="0.3">
      <c r="A2397" t="str">
        <f>IF(AND(FORSIDE!$B$8&gt;=7,FORSIDE!$F$8&gt;=10,FORSIDE!$B$5&gt;=8),2396,"")</f>
        <v/>
      </c>
      <c r="B2397" t="str">
        <f>IF(AND(FORSIDE!$B$8&gt;=7,FORSIDE!$F$8&gt;=10,FORSIDE!$B$5&gt;=8),354+10*FORSIDE!$F$9,"")</f>
        <v/>
      </c>
      <c r="C2397" t="str">
        <f>IF(AND(FORSIDE!$B$8&gt;=7,FORSIDE!$F$8&gt;=10,FORSIDE!$B$5&gt;=8),7*FORSIDE!$B$9,"")</f>
        <v/>
      </c>
      <c r="D2397" t="str">
        <f>IF(AND(FORSIDE!$B$8&gt;=7,FORSIDE!$F$8&gt;=10,FORSIDE!$B$5&gt;=8),FORSIDE!$B$6+(8-1)*FORSIDE!$B$7,"")</f>
        <v/>
      </c>
    </row>
    <row r="2398" spans="1:4" x14ac:dyDescent="0.3">
      <c r="A2398" t="str">
        <f>IF(AND(FORSIDE!$B$8&gt;=7,FORSIDE!$F$8&gt;=10,FORSIDE!$B$5&gt;=9),2397,"")</f>
        <v/>
      </c>
      <c r="B2398" t="str">
        <f>IF(AND(FORSIDE!$B$8&gt;=7,FORSIDE!$F$8&gt;=10,FORSIDE!$B$5&gt;=9),354+10*FORSIDE!$F$9,"")</f>
        <v/>
      </c>
      <c r="C2398" t="str">
        <f>IF(AND(FORSIDE!$B$8&gt;=7,FORSIDE!$F$8&gt;=10,FORSIDE!$B$5&gt;=9),7*FORSIDE!$B$9,"")</f>
        <v/>
      </c>
      <c r="D2398" t="str">
        <f>IF(AND(FORSIDE!$B$8&gt;=7,FORSIDE!$F$8&gt;=10,FORSIDE!$B$5&gt;=9),FORSIDE!$B$6+(9-1)*FORSIDE!$B$7,"")</f>
        <v/>
      </c>
    </row>
    <row r="2399" spans="1:4" x14ac:dyDescent="0.3">
      <c r="A2399" t="str">
        <f>IF(AND(FORSIDE!$B$8&gt;=7,FORSIDE!$F$8&gt;=10,FORSIDE!$B$5&gt;=10),2398,"")</f>
        <v/>
      </c>
      <c r="B2399" t="str">
        <f>IF(AND(FORSIDE!$B$8&gt;=7,FORSIDE!$F$8&gt;=10,FORSIDE!$B$5&gt;=10),354+10*FORSIDE!$F$9,"")</f>
        <v/>
      </c>
      <c r="C2399" t="str">
        <f>IF(AND(FORSIDE!$B$8&gt;=7,FORSIDE!$F$8&gt;=10,FORSIDE!$B$5&gt;=10),7*FORSIDE!$B$9,"")</f>
        <v/>
      </c>
      <c r="D2399" t="str">
        <f>IF(AND(FORSIDE!$B$8&gt;=7,FORSIDE!$F$8&gt;=10,FORSIDE!$B$5&gt;=10),FORSIDE!$B$6+(10-1)*FORSIDE!$B$7,"")</f>
        <v/>
      </c>
    </row>
    <row r="2400" spans="1:4" x14ac:dyDescent="0.3">
      <c r="A2400" t="str">
        <f>IF(AND(FORSIDE!$B$8&gt;=8,FORSIDE!$F$8&gt;=10,FORSIDE!$B$5&gt;=0),2399,"")</f>
        <v/>
      </c>
      <c r="B2400" t="str">
        <f>IF(AND(FORSIDE!$B$8&gt;=8,FORSIDE!$F$8&gt;=10,FORSIDE!$B$5&gt;=0),354+10*FORSIDE!$F$9,"")</f>
        <v/>
      </c>
      <c r="C2400" t="str">
        <f>IF(AND(FORSIDE!$B$8&gt;=8,FORSIDE!$F$8&gt;=10,FORSIDE!$B$5&gt;=0),8*FORSIDE!$B$9,"")</f>
        <v/>
      </c>
      <c r="D2400" t="str">
        <f>IF(AND(FORSIDE!$B$8&gt;=8,FORSIDE!$F$8&gt;=10,FORSIDE!$B$5&gt;=0),0,"")</f>
        <v/>
      </c>
    </row>
    <row r="2401" spans="1:4" x14ac:dyDescent="0.3">
      <c r="A2401" t="str">
        <f>IF(AND(FORSIDE!$B$8&gt;=8,FORSIDE!$F$8&gt;=10,FORSIDE!$B$5&gt;=1),2400,"")</f>
        <v/>
      </c>
      <c r="B2401" t="str">
        <f>IF(AND(FORSIDE!$B$8&gt;=8,FORSIDE!$F$8&gt;=10,FORSIDE!$B$5&gt;=1),354+10*FORSIDE!$F$9,"")</f>
        <v/>
      </c>
      <c r="C2401" t="str">
        <f>IF(AND(FORSIDE!$B$8&gt;=8,FORSIDE!$F$8&gt;=10,FORSIDE!$B$5&gt;=1),8*FORSIDE!$B$9,"")</f>
        <v/>
      </c>
      <c r="D2401" t="str">
        <f>IF(AND(FORSIDE!$B$8&gt;=8,FORSIDE!$F$8&gt;=10,FORSIDE!$B$5&gt;=1),FORSIDE!$B$6+(1-1)*FORSIDE!$B$7,"")</f>
        <v/>
      </c>
    </row>
    <row r="2402" spans="1:4" x14ac:dyDescent="0.3">
      <c r="A2402" t="str">
        <f>IF(AND(FORSIDE!$B$8&gt;=8,FORSIDE!$F$8&gt;=10,FORSIDE!$B$5&gt;=2),2401,"")</f>
        <v/>
      </c>
      <c r="B2402" t="str">
        <f>IF(AND(FORSIDE!$B$8&gt;=8,FORSIDE!$F$8&gt;=10,FORSIDE!$B$5&gt;=2),354+10*FORSIDE!$F$9,"")</f>
        <v/>
      </c>
      <c r="C2402" t="str">
        <f>IF(AND(FORSIDE!$B$8&gt;=8,FORSIDE!$F$8&gt;=10,FORSIDE!$B$5&gt;=2),8*FORSIDE!$B$9,"")</f>
        <v/>
      </c>
      <c r="D2402" t="str">
        <f>IF(AND(FORSIDE!$B$8&gt;=8,FORSIDE!$F$8&gt;=10,FORSIDE!$B$5&gt;=2),FORSIDE!$B$6+(2-1)*FORSIDE!$B$7,"")</f>
        <v/>
      </c>
    </row>
    <row r="2403" spans="1:4" x14ac:dyDescent="0.3">
      <c r="A2403" t="str">
        <f>IF(AND(FORSIDE!$B$8&gt;=8,FORSIDE!$F$8&gt;=10,FORSIDE!$B$5&gt;=3),2402,"")</f>
        <v/>
      </c>
      <c r="B2403" t="str">
        <f>IF(AND(FORSIDE!$B$8&gt;=8,FORSIDE!$F$8&gt;=10,FORSIDE!$B$5&gt;=3),354+10*FORSIDE!$F$9,"")</f>
        <v/>
      </c>
      <c r="C2403" t="str">
        <f>IF(AND(FORSIDE!$B$8&gt;=8,FORSIDE!$F$8&gt;=10,FORSIDE!$B$5&gt;=3),8*FORSIDE!$B$9,"")</f>
        <v/>
      </c>
      <c r="D2403" t="str">
        <f>IF(AND(FORSIDE!$B$8&gt;=8,FORSIDE!$F$8&gt;=10,FORSIDE!$B$5&gt;=3),FORSIDE!$B$6+(3-1)*FORSIDE!$B$7,"")</f>
        <v/>
      </c>
    </row>
    <row r="2404" spans="1:4" x14ac:dyDescent="0.3">
      <c r="A2404" t="str">
        <f>IF(AND(FORSIDE!$B$8&gt;=8,FORSIDE!$F$8&gt;=10,FORSIDE!$B$5&gt;=4),2403,"")</f>
        <v/>
      </c>
      <c r="B2404" t="str">
        <f>IF(AND(FORSIDE!$B$8&gt;=8,FORSIDE!$F$8&gt;=10,FORSIDE!$B$5&gt;=4),354+10*FORSIDE!$F$9,"")</f>
        <v/>
      </c>
      <c r="C2404" t="str">
        <f>IF(AND(FORSIDE!$B$8&gt;=8,FORSIDE!$F$8&gt;=10,FORSIDE!$B$5&gt;=4),8*FORSIDE!$B$9,"")</f>
        <v/>
      </c>
      <c r="D2404" t="str">
        <f>IF(AND(FORSIDE!$B$8&gt;=8,FORSIDE!$F$8&gt;=10,FORSIDE!$B$5&gt;=4),FORSIDE!$B$6+(4-1)*FORSIDE!$B$7,"")</f>
        <v/>
      </c>
    </row>
    <row r="2405" spans="1:4" x14ac:dyDescent="0.3">
      <c r="A2405" t="str">
        <f>IF(AND(FORSIDE!$B$8&gt;=8,FORSIDE!$F$8&gt;=10,FORSIDE!$B$5&gt;=5),2404,"")</f>
        <v/>
      </c>
      <c r="B2405" t="str">
        <f>IF(AND(FORSIDE!$B$8&gt;=8,FORSIDE!$F$8&gt;=10,FORSIDE!$B$5&gt;=5),354+10*FORSIDE!$F$9,"")</f>
        <v/>
      </c>
      <c r="C2405" t="str">
        <f>IF(AND(FORSIDE!$B$8&gt;=8,FORSIDE!$F$8&gt;=10,FORSIDE!$B$5&gt;=5),8*FORSIDE!$B$9,"")</f>
        <v/>
      </c>
      <c r="D2405" t="str">
        <f>IF(AND(FORSIDE!$B$8&gt;=8,FORSIDE!$F$8&gt;=10,FORSIDE!$B$5&gt;=5),FORSIDE!$B$6+(5-1)*FORSIDE!$B$7,"")</f>
        <v/>
      </c>
    </row>
    <row r="2406" spans="1:4" x14ac:dyDescent="0.3">
      <c r="A2406" t="str">
        <f>IF(AND(FORSIDE!$B$8&gt;=8,FORSIDE!$F$8&gt;=10,FORSIDE!$B$5&gt;=6),2405,"")</f>
        <v/>
      </c>
      <c r="B2406" t="str">
        <f>IF(AND(FORSIDE!$B$8&gt;=8,FORSIDE!$F$8&gt;=10,FORSIDE!$B$5&gt;=6),354+10*FORSIDE!$F$9,"")</f>
        <v/>
      </c>
      <c r="C2406" t="str">
        <f>IF(AND(FORSIDE!$B$8&gt;=8,FORSIDE!$F$8&gt;=10,FORSIDE!$B$5&gt;=6),8*FORSIDE!$B$9,"")</f>
        <v/>
      </c>
      <c r="D2406" t="str">
        <f>IF(AND(FORSIDE!$B$8&gt;=8,FORSIDE!$F$8&gt;=10,FORSIDE!$B$5&gt;=6),FORSIDE!$B$6+(6-1)*FORSIDE!$B$7,"")</f>
        <v/>
      </c>
    </row>
    <row r="2407" spans="1:4" x14ac:dyDescent="0.3">
      <c r="A2407" t="str">
        <f>IF(AND(FORSIDE!$B$8&gt;=8,FORSIDE!$F$8&gt;=10,FORSIDE!$B$5&gt;=7),2406,"")</f>
        <v/>
      </c>
      <c r="B2407" t="str">
        <f>IF(AND(FORSIDE!$B$8&gt;=8,FORSIDE!$F$8&gt;=10,FORSIDE!$B$5&gt;=7),354+10*FORSIDE!$F$9,"")</f>
        <v/>
      </c>
      <c r="C2407" t="str">
        <f>IF(AND(FORSIDE!$B$8&gt;=8,FORSIDE!$F$8&gt;=10,FORSIDE!$B$5&gt;=7),8*FORSIDE!$B$9,"")</f>
        <v/>
      </c>
      <c r="D2407" t="str">
        <f>IF(AND(FORSIDE!$B$8&gt;=8,FORSIDE!$F$8&gt;=10,FORSIDE!$B$5&gt;=7),FORSIDE!$B$6+(7-1)*FORSIDE!$B$7,"")</f>
        <v/>
      </c>
    </row>
    <row r="2408" spans="1:4" x14ac:dyDescent="0.3">
      <c r="A2408" t="str">
        <f>IF(AND(FORSIDE!$B$8&gt;=8,FORSIDE!$F$8&gt;=10,FORSIDE!$B$5&gt;=8),2407,"")</f>
        <v/>
      </c>
      <c r="B2408" t="str">
        <f>IF(AND(FORSIDE!$B$8&gt;=8,FORSIDE!$F$8&gt;=10,FORSIDE!$B$5&gt;=8),354+10*FORSIDE!$F$9,"")</f>
        <v/>
      </c>
      <c r="C2408" t="str">
        <f>IF(AND(FORSIDE!$B$8&gt;=8,FORSIDE!$F$8&gt;=10,FORSIDE!$B$5&gt;=8),8*FORSIDE!$B$9,"")</f>
        <v/>
      </c>
      <c r="D2408" t="str">
        <f>IF(AND(FORSIDE!$B$8&gt;=8,FORSIDE!$F$8&gt;=10,FORSIDE!$B$5&gt;=8),FORSIDE!$B$6+(8-1)*FORSIDE!$B$7,"")</f>
        <v/>
      </c>
    </row>
    <row r="2409" spans="1:4" x14ac:dyDescent="0.3">
      <c r="A2409" t="str">
        <f>IF(AND(FORSIDE!$B$8&gt;=8,FORSIDE!$F$8&gt;=10,FORSIDE!$B$5&gt;=9),2408,"")</f>
        <v/>
      </c>
      <c r="B2409" t="str">
        <f>IF(AND(FORSIDE!$B$8&gt;=8,FORSIDE!$F$8&gt;=10,FORSIDE!$B$5&gt;=9),354+10*FORSIDE!$F$9,"")</f>
        <v/>
      </c>
      <c r="C2409" t="str">
        <f>IF(AND(FORSIDE!$B$8&gt;=8,FORSIDE!$F$8&gt;=10,FORSIDE!$B$5&gt;=9),8*FORSIDE!$B$9,"")</f>
        <v/>
      </c>
      <c r="D2409" t="str">
        <f>IF(AND(FORSIDE!$B$8&gt;=8,FORSIDE!$F$8&gt;=10,FORSIDE!$B$5&gt;=9),FORSIDE!$B$6+(9-1)*FORSIDE!$B$7,"")</f>
        <v/>
      </c>
    </row>
    <row r="2410" spans="1:4" x14ac:dyDescent="0.3">
      <c r="A2410" t="str">
        <f>IF(AND(FORSIDE!$B$8&gt;=8,FORSIDE!$F$8&gt;=10,FORSIDE!$B$5&gt;=10),2409,"")</f>
        <v/>
      </c>
      <c r="B2410" t="str">
        <f>IF(AND(FORSIDE!$B$8&gt;=8,FORSIDE!$F$8&gt;=10,FORSIDE!$B$5&gt;=10),354+10*FORSIDE!$F$9,"")</f>
        <v/>
      </c>
      <c r="C2410" t="str">
        <f>IF(AND(FORSIDE!$B$8&gt;=8,FORSIDE!$F$8&gt;=10,FORSIDE!$B$5&gt;=10),8*FORSIDE!$B$9,"")</f>
        <v/>
      </c>
      <c r="D2410" t="str">
        <f>IF(AND(FORSIDE!$B$8&gt;=8,FORSIDE!$F$8&gt;=10,FORSIDE!$B$5&gt;=10),FORSIDE!$B$6+(10-1)*FORSIDE!$B$7,"")</f>
        <v/>
      </c>
    </row>
    <row r="2411" spans="1:4" x14ac:dyDescent="0.3">
      <c r="A2411" t="str">
        <f>IF(AND(FORSIDE!$B$8&gt;=9,FORSIDE!$F$8&gt;=10,FORSIDE!$B$5&gt;=0),2410,"")</f>
        <v/>
      </c>
      <c r="B2411" t="str">
        <f>IF(AND(FORSIDE!$B$8&gt;=9,FORSIDE!$F$8&gt;=10,FORSIDE!$B$5&gt;=0),354+10*FORSIDE!$F$9,"")</f>
        <v/>
      </c>
      <c r="C2411" t="str">
        <f>IF(AND(FORSIDE!$B$8&gt;=9,FORSIDE!$F$8&gt;=10,FORSIDE!$B$5&gt;=0),9*FORSIDE!$B$9,"")</f>
        <v/>
      </c>
      <c r="D2411" t="str">
        <f>IF(AND(FORSIDE!$B$8&gt;=9,FORSIDE!$F$8&gt;=10,FORSIDE!$B$5&gt;=0),0,"")</f>
        <v/>
      </c>
    </row>
    <row r="2412" spans="1:4" x14ac:dyDescent="0.3">
      <c r="A2412" t="str">
        <f>IF(AND(FORSIDE!$B$8&gt;=9,FORSIDE!$F$8&gt;=10,FORSIDE!$B$5&gt;=1),2411,"")</f>
        <v/>
      </c>
      <c r="B2412" t="str">
        <f>IF(AND(FORSIDE!$B$8&gt;=9,FORSIDE!$F$8&gt;=10,FORSIDE!$B$5&gt;=1),354+10*FORSIDE!$F$9,"")</f>
        <v/>
      </c>
      <c r="C2412" t="str">
        <f>IF(AND(FORSIDE!$B$8&gt;=9,FORSIDE!$F$8&gt;=10,FORSIDE!$B$5&gt;=1),9*FORSIDE!$B$9,"")</f>
        <v/>
      </c>
      <c r="D2412" t="str">
        <f>IF(AND(FORSIDE!$B$8&gt;=9,FORSIDE!$F$8&gt;=10,FORSIDE!$B$5&gt;=1),FORSIDE!$B$6+(1-1)*FORSIDE!$B$7,"")</f>
        <v/>
      </c>
    </row>
    <row r="2413" spans="1:4" x14ac:dyDescent="0.3">
      <c r="A2413" t="str">
        <f>IF(AND(FORSIDE!$B$8&gt;=9,FORSIDE!$F$8&gt;=10,FORSIDE!$B$5&gt;=2),2412,"")</f>
        <v/>
      </c>
      <c r="B2413" t="str">
        <f>IF(AND(FORSIDE!$B$8&gt;=9,FORSIDE!$F$8&gt;=10,FORSIDE!$B$5&gt;=2),354+10*FORSIDE!$F$9,"")</f>
        <v/>
      </c>
      <c r="C2413" t="str">
        <f>IF(AND(FORSIDE!$B$8&gt;=9,FORSIDE!$F$8&gt;=10,FORSIDE!$B$5&gt;=2),9*FORSIDE!$B$9,"")</f>
        <v/>
      </c>
      <c r="D2413" t="str">
        <f>IF(AND(FORSIDE!$B$8&gt;=9,FORSIDE!$F$8&gt;=10,FORSIDE!$B$5&gt;=2),FORSIDE!$B$6+(2-1)*FORSIDE!$B$7,"")</f>
        <v/>
      </c>
    </row>
    <row r="2414" spans="1:4" x14ac:dyDescent="0.3">
      <c r="A2414" t="str">
        <f>IF(AND(FORSIDE!$B$8&gt;=9,FORSIDE!$F$8&gt;=10,FORSIDE!$B$5&gt;=3),2413,"")</f>
        <v/>
      </c>
      <c r="B2414" t="str">
        <f>IF(AND(FORSIDE!$B$8&gt;=9,FORSIDE!$F$8&gt;=10,FORSIDE!$B$5&gt;=3),354+10*FORSIDE!$F$9,"")</f>
        <v/>
      </c>
      <c r="C2414" t="str">
        <f>IF(AND(FORSIDE!$B$8&gt;=9,FORSIDE!$F$8&gt;=10,FORSIDE!$B$5&gt;=3),9*FORSIDE!$B$9,"")</f>
        <v/>
      </c>
      <c r="D2414" t="str">
        <f>IF(AND(FORSIDE!$B$8&gt;=9,FORSIDE!$F$8&gt;=10,FORSIDE!$B$5&gt;=3),FORSIDE!$B$6+(3-1)*FORSIDE!$B$7,"")</f>
        <v/>
      </c>
    </row>
    <row r="2415" spans="1:4" x14ac:dyDescent="0.3">
      <c r="A2415" t="str">
        <f>IF(AND(FORSIDE!$B$8&gt;=9,FORSIDE!$F$8&gt;=10,FORSIDE!$B$5&gt;=4),2414,"")</f>
        <v/>
      </c>
      <c r="B2415" t="str">
        <f>IF(AND(FORSIDE!$B$8&gt;=9,FORSIDE!$F$8&gt;=10,FORSIDE!$B$5&gt;=4),354+10*FORSIDE!$F$9,"")</f>
        <v/>
      </c>
      <c r="C2415" t="str">
        <f>IF(AND(FORSIDE!$B$8&gt;=9,FORSIDE!$F$8&gt;=10,FORSIDE!$B$5&gt;=4),9*FORSIDE!$B$9,"")</f>
        <v/>
      </c>
      <c r="D2415" t="str">
        <f>IF(AND(FORSIDE!$B$8&gt;=9,FORSIDE!$F$8&gt;=10,FORSIDE!$B$5&gt;=4),FORSIDE!$B$6+(4-1)*FORSIDE!$B$7,"")</f>
        <v/>
      </c>
    </row>
    <row r="2416" spans="1:4" x14ac:dyDescent="0.3">
      <c r="A2416" t="str">
        <f>IF(AND(FORSIDE!$B$8&gt;=9,FORSIDE!$F$8&gt;=10,FORSIDE!$B$5&gt;=5),2415,"")</f>
        <v/>
      </c>
      <c r="B2416" t="str">
        <f>IF(AND(FORSIDE!$B$8&gt;=9,FORSIDE!$F$8&gt;=10,FORSIDE!$B$5&gt;=5),354+10*FORSIDE!$F$9,"")</f>
        <v/>
      </c>
      <c r="C2416" t="str">
        <f>IF(AND(FORSIDE!$B$8&gt;=9,FORSIDE!$F$8&gt;=10,FORSIDE!$B$5&gt;=5),9*FORSIDE!$B$9,"")</f>
        <v/>
      </c>
      <c r="D2416" t="str">
        <f>IF(AND(FORSIDE!$B$8&gt;=9,FORSIDE!$F$8&gt;=10,FORSIDE!$B$5&gt;=5),FORSIDE!$B$6+(5-1)*FORSIDE!$B$7,"")</f>
        <v/>
      </c>
    </row>
    <row r="2417" spans="1:4" x14ac:dyDescent="0.3">
      <c r="A2417" t="str">
        <f>IF(AND(FORSIDE!$B$8&gt;=9,FORSIDE!$F$8&gt;=10,FORSIDE!$B$5&gt;=6),2416,"")</f>
        <v/>
      </c>
      <c r="B2417" t="str">
        <f>IF(AND(FORSIDE!$B$8&gt;=9,FORSIDE!$F$8&gt;=10,FORSIDE!$B$5&gt;=6),354+10*FORSIDE!$F$9,"")</f>
        <v/>
      </c>
      <c r="C2417" t="str">
        <f>IF(AND(FORSIDE!$B$8&gt;=9,FORSIDE!$F$8&gt;=10,FORSIDE!$B$5&gt;=6),9*FORSIDE!$B$9,"")</f>
        <v/>
      </c>
      <c r="D2417" t="str">
        <f>IF(AND(FORSIDE!$B$8&gt;=9,FORSIDE!$F$8&gt;=10,FORSIDE!$B$5&gt;=6),FORSIDE!$B$6+(6-1)*FORSIDE!$B$7,"")</f>
        <v/>
      </c>
    </row>
    <row r="2418" spans="1:4" x14ac:dyDescent="0.3">
      <c r="A2418" t="str">
        <f>IF(AND(FORSIDE!$B$8&gt;=9,FORSIDE!$F$8&gt;=10,FORSIDE!$B$5&gt;=7),2417,"")</f>
        <v/>
      </c>
      <c r="B2418" t="str">
        <f>IF(AND(FORSIDE!$B$8&gt;=9,FORSIDE!$F$8&gt;=10,FORSIDE!$B$5&gt;=7),354+10*FORSIDE!$F$9,"")</f>
        <v/>
      </c>
      <c r="C2418" t="str">
        <f>IF(AND(FORSIDE!$B$8&gt;=9,FORSIDE!$F$8&gt;=10,FORSIDE!$B$5&gt;=7),9*FORSIDE!$B$9,"")</f>
        <v/>
      </c>
      <c r="D2418" t="str">
        <f>IF(AND(FORSIDE!$B$8&gt;=9,FORSIDE!$F$8&gt;=10,FORSIDE!$B$5&gt;=7),FORSIDE!$B$6+(7-1)*FORSIDE!$B$7,"")</f>
        <v/>
      </c>
    </row>
    <row r="2419" spans="1:4" x14ac:dyDescent="0.3">
      <c r="A2419" t="str">
        <f>IF(AND(FORSIDE!$B$8&gt;=9,FORSIDE!$F$8&gt;=10,FORSIDE!$B$5&gt;=8),2418,"")</f>
        <v/>
      </c>
      <c r="B2419" t="str">
        <f>IF(AND(FORSIDE!$B$8&gt;=9,FORSIDE!$F$8&gt;=10,FORSIDE!$B$5&gt;=8),354+10*FORSIDE!$F$9,"")</f>
        <v/>
      </c>
      <c r="C2419" t="str">
        <f>IF(AND(FORSIDE!$B$8&gt;=9,FORSIDE!$F$8&gt;=10,FORSIDE!$B$5&gt;=8),9*FORSIDE!$B$9,"")</f>
        <v/>
      </c>
      <c r="D2419" t="str">
        <f>IF(AND(FORSIDE!$B$8&gt;=9,FORSIDE!$F$8&gt;=10,FORSIDE!$B$5&gt;=8),FORSIDE!$B$6+(8-1)*FORSIDE!$B$7,"")</f>
        <v/>
      </c>
    </row>
    <row r="2420" spans="1:4" x14ac:dyDescent="0.3">
      <c r="A2420" t="str">
        <f>IF(AND(FORSIDE!$B$8&gt;=9,FORSIDE!$F$8&gt;=10,FORSIDE!$B$5&gt;=9),2419,"")</f>
        <v/>
      </c>
      <c r="B2420" t="str">
        <f>IF(AND(FORSIDE!$B$8&gt;=9,FORSIDE!$F$8&gt;=10,FORSIDE!$B$5&gt;=9),354+10*FORSIDE!$F$9,"")</f>
        <v/>
      </c>
      <c r="C2420" t="str">
        <f>IF(AND(FORSIDE!$B$8&gt;=9,FORSIDE!$F$8&gt;=10,FORSIDE!$B$5&gt;=9),9*FORSIDE!$B$9,"")</f>
        <v/>
      </c>
      <c r="D2420" t="str">
        <f>IF(AND(FORSIDE!$B$8&gt;=9,FORSIDE!$F$8&gt;=10,FORSIDE!$B$5&gt;=9),FORSIDE!$B$6+(9-1)*FORSIDE!$B$7,"")</f>
        <v/>
      </c>
    </row>
    <row r="2421" spans="1:4" x14ac:dyDescent="0.3">
      <c r="A2421" t="str">
        <f>IF(AND(FORSIDE!$B$8&gt;=9,FORSIDE!$F$8&gt;=10,FORSIDE!$B$5&gt;=10),2420,"")</f>
        <v/>
      </c>
      <c r="B2421" t="str">
        <f>IF(AND(FORSIDE!$B$8&gt;=9,FORSIDE!$F$8&gt;=10,FORSIDE!$B$5&gt;=10),354+10*FORSIDE!$F$9,"")</f>
        <v/>
      </c>
      <c r="C2421" t="str">
        <f>IF(AND(FORSIDE!$B$8&gt;=9,FORSIDE!$F$8&gt;=10,FORSIDE!$B$5&gt;=10),9*FORSIDE!$B$9,"")</f>
        <v/>
      </c>
      <c r="D2421" t="str">
        <f>IF(AND(FORSIDE!$B$8&gt;=9,FORSIDE!$F$8&gt;=10,FORSIDE!$B$5&gt;=10),FORSIDE!$B$6+(10-1)*FORSIDE!$B$7,"")</f>
        <v/>
      </c>
    </row>
    <row r="2422" spans="1:4" x14ac:dyDescent="0.3">
      <c r="A2422" t="str">
        <f>IF(AND(FORSIDE!$B$8&gt;=10,FORSIDE!$F$8&gt;=10,FORSIDE!$B$5&gt;=0),2421,"")</f>
        <v/>
      </c>
      <c r="B2422" t="str">
        <f>IF(AND(FORSIDE!$B$8&gt;=10,FORSIDE!$F$8&gt;=10,FORSIDE!$B$5&gt;=0),354+10*FORSIDE!$F$9,"")</f>
        <v/>
      </c>
      <c r="C2422" t="str">
        <f>IF(AND(FORSIDE!$B$8&gt;=10,FORSIDE!$F$8&gt;=10,FORSIDE!$B$5&gt;=0),10*FORSIDE!$B$9,"")</f>
        <v/>
      </c>
      <c r="D2422" t="str">
        <f>IF(AND(FORSIDE!$B$8&gt;=10,FORSIDE!$F$8&gt;=10,FORSIDE!$B$5&gt;=0),0,"")</f>
        <v/>
      </c>
    </row>
    <row r="2423" spans="1:4" x14ac:dyDescent="0.3">
      <c r="A2423" t="str">
        <f>IF(AND(FORSIDE!$B$8&gt;=10,FORSIDE!$F$8&gt;=10,FORSIDE!$B$5&gt;=1),2422,"")</f>
        <v/>
      </c>
      <c r="B2423" t="str">
        <f>IF(AND(FORSIDE!$B$8&gt;=10,FORSIDE!$F$8&gt;=10,FORSIDE!$B$5&gt;=1),354+10*FORSIDE!$F$9,"")</f>
        <v/>
      </c>
      <c r="C2423" t="str">
        <f>IF(AND(FORSIDE!$B$8&gt;=10,FORSIDE!$F$8&gt;=10,FORSIDE!$B$5&gt;=1),10*FORSIDE!$B$9,"")</f>
        <v/>
      </c>
      <c r="D2423" t="str">
        <f>IF(AND(FORSIDE!$B$8&gt;=10,FORSIDE!$F$8&gt;=10,FORSIDE!$B$5&gt;=1),FORSIDE!$B$6+(1-1)*FORSIDE!$B$7,"")</f>
        <v/>
      </c>
    </row>
    <row r="2424" spans="1:4" x14ac:dyDescent="0.3">
      <c r="A2424" t="str">
        <f>IF(AND(FORSIDE!$B$8&gt;=10,FORSIDE!$F$8&gt;=10,FORSIDE!$B$5&gt;=2),2423,"")</f>
        <v/>
      </c>
      <c r="B2424" t="str">
        <f>IF(AND(FORSIDE!$B$8&gt;=10,FORSIDE!$F$8&gt;=10,FORSIDE!$B$5&gt;=2),354+10*FORSIDE!$F$9,"")</f>
        <v/>
      </c>
      <c r="C2424" t="str">
        <f>IF(AND(FORSIDE!$B$8&gt;=10,FORSIDE!$F$8&gt;=10,FORSIDE!$B$5&gt;=2),10*FORSIDE!$B$9,"")</f>
        <v/>
      </c>
      <c r="D2424" t="str">
        <f>IF(AND(FORSIDE!$B$8&gt;=10,FORSIDE!$F$8&gt;=10,FORSIDE!$B$5&gt;=2),FORSIDE!$B$6+(2-1)*FORSIDE!$B$7,"")</f>
        <v/>
      </c>
    </row>
    <row r="2425" spans="1:4" x14ac:dyDescent="0.3">
      <c r="A2425" t="str">
        <f>IF(AND(FORSIDE!$B$8&gt;=10,FORSIDE!$F$8&gt;=10,FORSIDE!$B$5&gt;=3),2424,"")</f>
        <v/>
      </c>
      <c r="B2425" t="str">
        <f>IF(AND(FORSIDE!$B$8&gt;=10,FORSIDE!$F$8&gt;=10,FORSIDE!$B$5&gt;=3),354+10*FORSIDE!$F$9,"")</f>
        <v/>
      </c>
      <c r="C2425" t="str">
        <f>IF(AND(FORSIDE!$B$8&gt;=10,FORSIDE!$F$8&gt;=10,FORSIDE!$B$5&gt;=3),10*FORSIDE!$B$9,"")</f>
        <v/>
      </c>
      <c r="D2425" t="str">
        <f>IF(AND(FORSIDE!$B$8&gt;=10,FORSIDE!$F$8&gt;=10,FORSIDE!$B$5&gt;=3),FORSIDE!$B$6+(3-1)*FORSIDE!$B$7,"")</f>
        <v/>
      </c>
    </row>
    <row r="2426" spans="1:4" x14ac:dyDescent="0.3">
      <c r="A2426" t="str">
        <f>IF(AND(FORSIDE!$B$8&gt;=10,FORSIDE!$F$8&gt;=10,FORSIDE!$B$5&gt;=4),2425,"")</f>
        <v/>
      </c>
      <c r="B2426" t="str">
        <f>IF(AND(FORSIDE!$B$8&gt;=10,FORSIDE!$F$8&gt;=10,FORSIDE!$B$5&gt;=4),354+10*FORSIDE!$F$9,"")</f>
        <v/>
      </c>
      <c r="C2426" t="str">
        <f>IF(AND(FORSIDE!$B$8&gt;=10,FORSIDE!$F$8&gt;=10,FORSIDE!$B$5&gt;=4),10*FORSIDE!$B$9,"")</f>
        <v/>
      </c>
      <c r="D2426" t="str">
        <f>IF(AND(FORSIDE!$B$8&gt;=10,FORSIDE!$F$8&gt;=10,FORSIDE!$B$5&gt;=4),FORSIDE!$B$6+(4-1)*FORSIDE!$B$7,"")</f>
        <v/>
      </c>
    </row>
    <row r="2427" spans="1:4" x14ac:dyDescent="0.3">
      <c r="A2427" t="str">
        <f>IF(AND(FORSIDE!$B$8&gt;=10,FORSIDE!$F$8&gt;=10,FORSIDE!$B$5&gt;=5),2426,"")</f>
        <v/>
      </c>
      <c r="B2427" t="str">
        <f>IF(AND(FORSIDE!$B$8&gt;=10,FORSIDE!$F$8&gt;=10,FORSIDE!$B$5&gt;=5),354+10*FORSIDE!$F$9,"")</f>
        <v/>
      </c>
      <c r="C2427" t="str">
        <f>IF(AND(FORSIDE!$B$8&gt;=10,FORSIDE!$F$8&gt;=10,FORSIDE!$B$5&gt;=5),10*FORSIDE!$B$9,"")</f>
        <v/>
      </c>
      <c r="D2427" t="str">
        <f>IF(AND(FORSIDE!$B$8&gt;=10,FORSIDE!$F$8&gt;=10,FORSIDE!$B$5&gt;=5),FORSIDE!$B$6+(5-1)*FORSIDE!$B$7,"")</f>
        <v/>
      </c>
    </row>
    <row r="2428" spans="1:4" x14ac:dyDescent="0.3">
      <c r="A2428" t="str">
        <f>IF(AND(FORSIDE!$B$8&gt;=10,FORSIDE!$F$8&gt;=10,FORSIDE!$B$5&gt;=6),2427,"")</f>
        <v/>
      </c>
      <c r="B2428" t="str">
        <f>IF(AND(FORSIDE!$B$8&gt;=10,FORSIDE!$F$8&gt;=10,FORSIDE!$B$5&gt;=6),354+10*FORSIDE!$F$9,"")</f>
        <v/>
      </c>
      <c r="C2428" t="str">
        <f>IF(AND(FORSIDE!$B$8&gt;=10,FORSIDE!$F$8&gt;=10,FORSIDE!$B$5&gt;=6),10*FORSIDE!$B$9,"")</f>
        <v/>
      </c>
      <c r="D2428" t="str">
        <f>IF(AND(FORSIDE!$B$8&gt;=10,FORSIDE!$F$8&gt;=10,FORSIDE!$B$5&gt;=6),FORSIDE!$B$6+(6-1)*FORSIDE!$B$7,"")</f>
        <v/>
      </c>
    </row>
    <row r="2429" spans="1:4" x14ac:dyDescent="0.3">
      <c r="A2429" t="str">
        <f>IF(AND(FORSIDE!$B$8&gt;=10,FORSIDE!$F$8&gt;=10,FORSIDE!$B$5&gt;=7),2428,"")</f>
        <v/>
      </c>
      <c r="B2429" t="str">
        <f>IF(AND(FORSIDE!$B$8&gt;=10,FORSIDE!$F$8&gt;=10,FORSIDE!$B$5&gt;=7),354+10*FORSIDE!$F$9,"")</f>
        <v/>
      </c>
      <c r="C2429" t="str">
        <f>IF(AND(FORSIDE!$B$8&gt;=10,FORSIDE!$F$8&gt;=10,FORSIDE!$B$5&gt;=7),10*FORSIDE!$B$9,"")</f>
        <v/>
      </c>
      <c r="D2429" t="str">
        <f>IF(AND(FORSIDE!$B$8&gt;=10,FORSIDE!$F$8&gt;=10,FORSIDE!$B$5&gt;=7),FORSIDE!$B$6+(7-1)*FORSIDE!$B$7,"")</f>
        <v/>
      </c>
    </row>
    <row r="2430" spans="1:4" x14ac:dyDescent="0.3">
      <c r="A2430" t="str">
        <f>IF(AND(FORSIDE!$B$8&gt;=10,FORSIDE!$F$8&gt;=10,FORSIDE!$B$5&gt;=8),2429,"")</f>
        <v/>
      </c>
      <c r="B2430" t="str">
        <f>IF(AND(FORSIDE!$B$8&gt;=10,FORSIDE!$F$8&gt;=10,FORSIDE!$B$5&gt;=8),354+10*FORSIDE!$F$9,"")</f>
        <v/>
      </c>
      <c r="C2430" t="str">
        <f>IF(AND(FORSIDE!$B$8&gt;=10,FORSIDE!$F$8&gt;=10,FORSIDE!$B$5&gt;=8),10*FORSIDE!$B$9,"")</f>
        <v/>
      </c>
      <c r="D2430" t="str">
        <f>IF(AND(FORSIDE!$B$8&gt;=10,FORSIDE!$F$8&gt;=10,FORSIDE!$B$5&gt;=8),FORSIDE!$B$6+(8-1)*FORSIDE!$B$7,"")</f>
        <v/>
      </c>
    </row>
    <row r="2431" spans="1:4" x14ac:dyDescent="0.3">
      <c r="A2431" t="str">
        <f>IF(AND(FORSIDE!$B$8&gt;=10,FORSIDE!$F$8&gt;=10,FORSIDE!$B$5&gt;=9),2430,"")</f>
        <v/>
      </c>
      <c r="B2431" t="str">
        <f>IF(AND(FORSIDE!$B$8&gt;=10,FORSIDE!$F$8&gt;=10,FORSIDE!$B$5&gt;=9),354+10*FORSIDE!$F$9,"")</f>
        <v/>
      </c>
      <c r="C2431" t="str">
        <f>IF(AND(FORSIDE!$B$8&gt;=10,FORSIDE!$F$8&gt;=10,FORSIDE!$B$5&gt;=9),10*FORSIDE!$B$9,"")</f>
        <v/>
      </c>
      <c r="D2431" t="str">
        <f>IF(AND(FORSIDE!$B$8&gt;=10,FORSIDE!$F$8&gt;=10,FORSIDE!$B$5&gt;=9),FORSIDE!$B$6+(9-1)*FORSIDE!$B$7,"")</f>
        <v/>
      </c>
    </row>
    <row r="2432" spans="1:4" x14ac:dyDescent="0.3">
      <c r="A2432" t="str">
        <f>IF(AND(FORSIDE!$B$8&gt;=10,FORSIDE!$F$8&gt;=10,FORSIDE!$B$5&gt;=10),2431,"")</f>
        <v/>
      </c>
      <c r="B2432" t="str">
        <f>IF(AND(FORSIDE!$B$8&gt;=10,FORSIDE!$F$8&gt;=10,FORSIDE!$B$5&gt;=10),354+10*FORSIDE!$F$9,"")</f>
        <v/>
      </c>
      <c r="C2432" t="str">
        <f>IF(AND(FORSIDE!$B$8&gt;=10,FORSIDE!$F$8&gt;=10,FORSIDE!$B$5&gt;=10),10*FORSIDE!$B$9,"")</f>
        <v/>
      </c>
      <c r="D2432" t="str">
        <f>IF(AND(FORSIDE!$B$8&gt;=10,FORSIDE!$F$8&gt;=10,FORSIDE!$B$5&gt;=10),FORSIDE!$B$6+(10-1)*FORSIDE!$B$7,"")</f>
        <v/>
      </c>
    </row>
    <row r="2433" spans="1:4" x14ac:dyDescent="0.3">
      <c r="A2433" t="str">
        <f>IF(AND(FORSIDE!$B$8&gt;=11,FORSIDE!$F$8&gt;=10,FORSIDE!$B$5&gt;=0),2432,"")</f>
        <v/>
      </c>
      <c r="B2433" t="str">
        <f>IF(AND(FORSIDE!$B$8&gt;=11,FORSIDE!$F$8&gt;=10,FORSIDE!$B$5&gt;=0),354+10*FORSIDE!$F$9,"")</f>
        <v/>
      </c>
      <c r="C2433" t="str">
        <f>IF(AND(FORSIDE!$B$8&gt;=11,FORSIDE!$F$8&gt;=10,FORSIDE!$B$5&gt;=0),11*FORSIDE!$B$9,"")</f>
        <v/>
      </c>
      <c r="D2433" t="str">
        <f>IF(AND(FORSIDE!$B$8&gt;=11,FORSIDE!$F$8&gt;=10,FORSIDE!$B$5&gt;=0),0,"")</f>
        <v/>
      </c>
    </row>
    <row r="2434" spans="1:4" x14ac:dyDescent="0.3">
      <c r="A2434" t="str">
        <f>IF(AND(FORSIDE!$B$8&gt;=11,FORSIDE!$F$8&gt;=10,FORSIDE!$B$5&gt;=1),2433,"")</f>
        <v/>
      </c>
      <c r="B2434" t="str">
        <f>IF(AND(FORSIDE!$B$8&gt;=11,FORSIDE!$F$8&gt;=10,FORSIDE!$B$5&gt;=1),354+10*FORSIDE!$F$9,"")</f>
        <v/>
      </c>
      <c r="C2434" t="str">
        <f>IF(AND(FORSIDE!$B$8&gt;=11,FORSIDE!$F$8&gt;=10,FORSIDE!$B$5&gt;=1),11*FORSIDE!$B$9,"")</f>
        <v/>
      </c>
      <c r="D2434" t="str">
        <f>IF(AND(FORSIDE!$B$8&gt;=11,FORSIDE!$F$8&gt;=10,FORSIDE!$B$5&gt;=1),FORSIDE!$B$6+(1-1)*FORSIDE!$B$7,"")</f>
        <v/>
      </c>
    </row>
    <row r="2435" spans="1:4" x14ac:dyDescent="0.3">
      <c r="A2435" t="str">
        <f>IF(AND(FORSIDE!$B$8&gt;=11,FORSIDE!$F$8&gt;=10,FORSIDE!$B$5&gt;=2),2434,"")</f>
        <v/>
      </c>
      <c r="B2435" t="str">
        <f>IF(AND(FORSIDE!$B$8&gt;=11,FORSIDE!$F$8&gt;=10,FORSIDE!$B$5&gt;=2),354+10*FORSIDE!$F$9,"")</f>
        <v/>
      </c>
      <c r="C2435" t="str">
        <f>IF(AND(FORSIDE!$B$8&gt;=11,FORSIDE!$F$8&gt;=10,FORSIDE!$B$5&gt;=2),11*FORSIDE!$B$9,"")</f>
        <v/>
      </c>
      <c r="D2435" t="str">
        <f>IF(AND(FORSIDE!$B$8&gt;=11,FORSIDE!$F$8&gt;=10,FORSIDE!$B$5&gt;=2),FORSIDE!$B$6+(2-1)*FORSIDE!$B$7,"")</f>
        <v/>
      </c>
    </row>
    <row r="2436" spans="1:4" x14ac:dyDescent="0.3">
      <c r="A2436" t="str">
        <f>IF(AND(FORSIDE!$B$8&gt;=11,FORSIDE!$F$8&gt;=10,FORSIDE!$B$5&gt;=3),2435,"")</f>
        <v/>
      </c>
      <c r="B2436" t="str">
        <f>IF(AND(FORSIDE!$B$8&gt;=11,FORSIDE!$F$8&gt;=10,FORSIDE!$B$5&gt;=3),354+10*FORSIDE!$F$9,"")</f>
        <v/>
      </c>
      <c r="C2436" t="str">
        <f>IF(AND(FORSIDE!$B$8&gt;=11,FORSIDE!$F$8&gt;=10,FORSIDE!$B$5&gt;=3),11*FORSIDE!$B$9,"")</f>
        <v/>
      </c>
      <c r="D2436" t="str">
        <f>IF(AND(FORSIDE!$B$8&gt;=11,FORSIDE!$F$8&gt;=10,FORSIDE!$B$5&gt;=3),FORSIDE!$B$6+(3-1)*FORSIDE!$B$7,"")</f>
        <v/>
      </c>
    </row>
    <row r="2437" spans="1:4" x14ac:dyDescent="0.3">
      <c r="A2437" t="str">
        <f>IF(AND(FORSIDE!$B$8&gt;=11,FORSIDE!$F$8&gt;=10,FORSIDE!$B$5&gt;=4),2436,"")</f>
        <v/>
      </c>
      <c r="B2437" t="str">
        <f>IF(AND(FORSIDE!$B$8&gt;=11,FORSIDE!$F$8&gt;=10,FORSIDE!$B$5&gt;=4),354+10*FORSIDE!$F$9,"")</f>
        <v/>
      </c>
      <c r="C2437" t="str">
        <f>IF(AND(FORSIDE!$B$8&gt;=11,FORSIDE!$F$8&gt;=10,FORSIDE!$B$5&gt;=4),11*FORSIDE!$B$9,"")</f>
        <v/>
      </c>
      <c r="D2437" t="str">
        <f>IF(AND(FORSIDE!$B$8&gt;=11,FORSIDE!$F$8&gt;=10,FORSIDE!$B$5&gt;=4),FORSIDE!$B$6+(4-1)*FORSIDE!$B$7,"")</f>
        <v/>
      </c>
    </row>
    <row r="2438" spans="1:4" x14ac:dyDescent="0.3">
      <c r="A2438" t="str">
        <f>IF(AND(FORSIDE!$B$8&gt;=11,FORSIDE!$F$8&gt;=10,FORSIDE!$B$5&gt;=5),2437,"")</f>
        <v/>
      </c>
      <c r="B2438" t="str">
        <f>IF(AND(FORSIDE!$B$8&gt;=11,FORSIDE!$F$8&gt;=10,FORSIDE!$B$5&gt;=5),354+10*FORSIDE!$F$9,"")</f>
        <v/>
      </c>
      <c r="C2438" t="str">
        <f>IF(AND(FORSIDE!$B$8&gt;=11,FORSIDE!$F$8&gt;=10,FORSIDE!$B$5&gt;=5),11*FORSIDE!$B$9,"")</f>
        <v/>
      </c>
      <c r="D2438" t="str">
        <f>IF(AND(FORSIDE!$B$8&gt;=11,FORSIDE!$F$8&gt;=10,FORSIDE!$B$5&gt;=5),FORSIDE!$B$6+(5-1)*FORSIDE!$B$7,"")</f>
        <v/>
      </c>
    </row>
    <row r="2439" spans="1:4" x14ac:dyDescent="0.3">
      <c r="A2439" t="str">
        <f>IF(AND(FORSIDE!$B$8&gt;=11,FORSIDE!$F$8&gt;=10,FORSIDE!$B$5&gt;=6),2438,"")</f>
        <v/>
      </c>
      <c r="B2439" t="str">
        <f>IF(AND(FORSIDE!$B$8&gt;=11,FORSIDE!$F$8&gt;=10,FORSIDE!$B$5&gt;=6),354+10*FORSIDE!$F$9,"")</f>
        <v/>
      </c>
      <c r="C2439" t="str">
        <f>IF(AND(FORSIDE!$B$8&gt;=11,FORSIDE!$F$8&gt;=10,FORSIDE!$B$5&gt;=6),11*FORSIDE!$B$9,"")</f>
        <v/>
      </c>
      <c r="D2439" t="str">
        <f>IF(AND(FORSIDE!$B$8&gt;=11,FORSIDE!$F$8&gt;=10,FORSIDE!$B$5&gt;=6),FORSIDE!$B$6+(6-1)*FORSIDE!$B$7,"")</f>
        <v/>
      </c>
    </row>
    <row r="2440" spans="1:4" x14ac:dyDescent="0.3">
      <c r="A2440" t="str">
        <f>IF(AND(FORSIDE!$B$8&gt;=11,FORSIDE!$F$8&gt;=10,FORSIDE!$B$5&gt;=7),2439,"")</f>
        <v/>
      </c>
      <c r="B2440" t="str">
        <f>IF(AND(FORSIDE!$B$8&gt;=11,FORSIDE!$F$8&gt;=10,FORSIDE!$B$5&gt;=7),354+10*FORSIDE!$F$9,"")</f>
        <v/>
      </c>
      <c r="C2440" t="str">
        <f>IF(AND(FORSIDE!$B$8&gt;=11,FORSIDE!$F$8&gt;=10,FORSIDE!$B$5&gt;=7),11*FORSIDE!$B$9,"")</f>
        <v/>
      </c>
      <c r="D2440" t="str">
        <f>IF(AND(FORSIDE!$B$8&gt;=11,FORSIDE!$F$8&gt;=10,FORSIDE!$B$5&gt;=7),FORSIDE!$B$6+(7-1)*FORSIDE!$B$7,"")</f>
        <v/>
      </c>
    </row>
    <row r="2441" spans="1:4" x14ac:dyDescent="0.3">
      <c r="A2441" t="str">
        <f>IF(AND(FORSIDE!$B$8&gt;=11,FORSIDE!$F$8&gt;=10,FORSIDE!$B$5&gt;=8),2440,"")</f>
        <v/>
      </c>
      <c r="B2441" t="str">
        <f>IF(AND(FORSIDE!$B$8&gt;=11,FORSIDE!$F$8&gt;=10,FORSIDE!$B$5&gt;=8),354+10*FORSIDE!$F$9,"")</f>
        <v/>
      </c>
      <c r="C2441" t="str">
        <f>IF(AND(FORSIDE!$B$8&gt;=11,FORSIDE!$F$8&gt;=10,FORSIDE!$B$5&gt;=8),11*FORSIDE!$B$9,"")</f>
        <v/>
      </c>
      <c r="D2441" t="str">
        <f>IF(AND(FORSIDE!$B$8&gt;=11,FORSIDE!$F$8&gt;=10,FORSIDE!$B$5&gt;=8),FORSIDE!$B$6+(8-1)*FORSIDE!$B$7,"")</f>
        <v/>
      </c>
    </row>
    <row r="2442" spans="1:4" x14ac:dyDescent="0.3">
      <c r="A2442" t="str">
        <f>IF(AND(FORSIDE!$B$8&gt;=11,FORSIDE!$F$8&gt;=10,FORSIDE!$B$5&gt;=9),2441,"")</f>
        <v/>
      </c>
      <c r="B2442" t="str">
        <f>IF(AND(FORSIDE!$B$8&gt;=11,FORSIDE!$F$8&gt;=10,FORSIDE!$B$5&gt;=9),354+10*FORSIDE!$F$9,"")</f>
        <v/>
      </c>
      <c r="C2442" t="str">
        <f>IF(AND(FORSIDE!$B$8&gt;=11,FORSIDE!$F$8&gt;=10,FORSIDE!$B$5&gt;=9),11*FORSIDE!$B$9,"")</f>
        <v/>
      </c>
      <c r="D2442" t="str">
        <f>IF(AND(FORSIDE!$B$8&gt;=11,FORSIDE!$F$8&gt;=10,FORSIDE!$B$5&gt;=9),FORSIDE!$B$6+(9-1)*FORSIDE!$B$7,"")</f>
        <v/>
      </c>
    </row>
    <row r="2443" spans="1:4" x14ac:dyDescent="0.3">
      <c r="A2443" t="str">
        <f>IF(AND(FORSIDE!$B$8&gt;=11,FORSIDE!$F$8&gt;=10,FORSIDE!$B$5&gt;=10),2442,"")</f>
        <v/>
      </c>
      <c r="B2443" t="str">
        <f>IF(AND(FORSIDE!$B$8&gt;=11,FORSIDE!$F$8&gt;=10,FORSIDE!$B$5&gt;=10),354+10*FORSIDE!$F$9,"")</f>
        <v/>
      </c>
      <c r="C2443" t="str">
        <f>IF(AND(FORSIDE!$B$8&gt;=11,FORSIDE!$F$8&gt;=10,FORSIDE!$B$5&gt;=10),11*FORSIDE!$B$9,"")</f>
        <v/>
      </c>
      <c r="D2443" t="str">
        <f>IF(AND(FORSIDE!$B$8&gt;=11,FORSIDE!$F$8&gt;=10,FORSIDE!$B$5&gt;=10),FORSIDE!$B$6+(10-1)*FORSIDE!$B$7,"")</f>
        <v/>
      </c>
    </row>
    <row r="2444" spans="1:4" x14ac:dyDescent="0.3">
      <c r="A2444" t="str">
        <f>IF(AND(FORSIDE!$B$8&gt;=12,FORSIDE!$F$8&gt;=10,FORSIDE!$B$5&gt;=0),2443,"")</f>
        <v/>
      </c>
      <c r="B2444" t="str">
        <f>IF(AND(FORSIDE!$B$8&gt;=12,FORSIDE!$F$8&gt;=10,FORSIDE!$B$5&gt;=0),354+10*FORSIDE!$F$9,"")</f>
        <v/>
      </c>
      <c r="C2444" t="str">
        <f>IF(AND(FORSIDE!$B$8&gt;=12,FORSIDE!$F$8&gt;=10,FORSIDE!$B$5&gt;=0),12*FORSIDE!$B$9,"")</f>
        <v/>
      </c>
      <c r="D2444" t="str">
        <f>IF(AND(FORSIDE!$B$8&gt;=12,FORSIDE!$F$8&gt;=10,FORSIDE!$B$5&gt;=0),0,"")</f>
        <v/>
      </c>
    </row>
    <row r="2445" spans="1:4" x14ac:dyDescent="0.3">
      <c r="A2445" t="str">
        <f>IF(AND(FORSIDE!$B$8&gt;=12,FORSIDE!$F$8&gt;=10,FORSIDE!$B$5&gt;=1),2444,"")</f>
        <v/>
      </c>
      <c r="B2445" t="str">
        <f>IF(AND(FORSIDE!$B$8&gt;=12,FORSIDE!$F$8&gt;=10,FORSIDE!$B$5&gt;=1),354+10*FORSIDE!$F$9,"")</f>
        <v/>
      </c>
      <c r="C2445" t="str">
        <f>IF(AND(FORSIDE!$B$8&gt;=12,FORSIDE!$F$8&gt;=10,FORSIDE!$B$5&gt;=1),12*FORSIDE!$B$9,"")</f>
        <v/>
      </c>
      <c r="D2445" t="str">
        <f>IF(AND(FORSIDE!$B$8&gt;=12,FORSIDE!$F$8&gt;=10,FORSIDE!$B$5&gt;=1),FORSIDE!$B$6+(1-1)*FORSIDE!$B$7,"")</f>
        <v/>
      </c>
    </row>
    <row r="2446" spans="1:4" x14ac:dyDescent="0.3">
      <c r="A2446" t="str">
        <f>IF(AND(FORSIDE!$B$8&gt;=12,FORSIDE!$F$8&gt;=10,FORSIDE!$B$5&gt;=2),2445,"")</f>
        <v/>
      </c>
      <c r="B2446" t="str">
        <f>IF(AND(FORSIDE!$B$8&gt;=12,FORSIDE!$F$8&gt;=10,FORSIDE!$B$5&gt;=2),354+10*FORSIDE!$F$9,"")</f>
        <v/>
      </c>
      <c r="C2446" t="str">
        <f>IF(AND(FORSIDE!$B$8&gt;=12,FORSIDE!$F$8&gt;=10,FORSIDE!$B$5&gt;=2),12*FORSIDE!$B$9,"")</f>
        <v/>
      </c>
      <c r="D2446" t="str">
        <f>IF(AND(FORSIDE!$B$8&gt;=12,FORSIDE!$F$8&gt;=10,FORSIDE!$B$5&gt;=2),FORSIDE!$B$6+(2-1)*FORSIDE!$B$7,"")</f>
        <v/>
      </c>
    </row>
    <row r="2447" spans="1:4" x14ac:dyDescent="0.3">
      <c r="A2447" t="str">
        <f>IF(AND(FORSIDE!$B$8&gt;=12,FORSIDE!$F$8&gt;=10,FORSIDE!$B$5&gt;=3),2446,"")</f>
        <v/>
      </c>
      <c r="B2447" t="str">
        <f>IF(AND(FORSIDE!$B$8&gt;=12,FORSIDE!$F$8&gt;=10,FORSIDE!$B$5&gt;=3),354+10*FORSIDE!$F$9,"")</f>
        <v/>
      </c>
      <c r="C2447" t="str">
        <f>IF(AND(FORSIDE!$B$8&gt;=12,FORSIDE!$F$8&gt;=10,FORSIDE!$B$5&gt;=3),12*FORSIDE!$B$9,"")</f>
        <v/>
      </c>
      <c r="D2447" t="str">
        <f>IF(AND(FORSIDE!$B$8&gt;=12,FORSIDE!$F$8&gt;=10,FORSIDE!$B$5&gt;=3),FORSIDE!$B$6+(3-1)*FORSIDE!$B$7,"")</f>
        <v/>
      </c>
    </row>
    <row r="2448" spans="1:4" x14ac:dyDescent="0.3">
      <c r="A2448" t="str">
        <f>IF(AND(FORSIDE!$B$8&gt;=12,FORSIDE!$F$8&gt;=10,FORSIDE!$B$5&gt;=4),2447,"")</f>
        <v/>
      </c>
      <c r="B2448" t="str">
        <f>IF(AND(FORSIDE!$B$8&gt;=12,FORSIDE!$F$8&gt;=10,FORSIDE!$B$5&gt;=4),354+10*FORSIDE!$F$9,"")</f>
        <v/>
      </c>
      <c r="C2448" t="str">
        <f>IF(AND(FORSIDE!$B$8&gt;=12,FORSIDE!$F$8&gt;=10,FORSIDE!$B$5&gt;=4),12*FORSIDE!$B$9,"")</f>
        <v/>
      </c>
      <c r="D2448" t="str">
        <f>IF(AND(FORSIDE!$B$8&gt;=12,FORSIDE!$F$8&gt;=10,FORSIDE!$B$5&gt;=4),FORSIDE!$B$6+(4-1)*FORSIDE!$B$7,"")</f>
        <v/>
      </c>
    </row>
    <row r="2449" spans="1:4" x14ac:dyDescent="0.3">
      <c r="A2449" t="str">
        <f>IF(AND(FORSIDE!$B$8&gt;=12,FORSIDE!$F$8&gt;=10,FORSIDE!$B$5&gt;=5),2448,"")</f>
        <v/>
      </c>
      <c r="B2449" t="str">
        <f>IF(AND(FORSIDE!$B$8&gt;=12,FORSIDE!$F$8&gt;=10,FORSIDE!$B$5&gt;=5),354+10*FORSIDE!$F$9,"")</f>
        <v/>
      </c>
      <c r="C2449" t="str">
        <f>IF(AND(FORSIDE!$B$8&gt;=12,FORSIDE!$F$8&gt;=10,FORSIDE!$B$5&gt;=5),12*FORSIDE!$B$9,"")</f>
        <v/>
      </c>
      <c r="D2449" t="str">
        <f>IF(AND(FORSIDE!$B$8&gt;=12,FORSIDE!$F$8&gt;=10,FORSIDE!$B$5&gt;=5),FORSIDE!$B$6+(5-1)*FORSIDE!$B$7,"")</f>
        <v/>
      </c>
    </row>
    <row r="2450" spans="1:4" x14ac:dyDescent="0.3">
      <c r="A2450" t="str">
        <f>IF(AND(FORSIDE!$B$8&gt;=12,FORSIDE!$F$8&gt;=10,FORSIDE!$B$5&gt;=6),2449,"")</f>
        <v/>
      </c>
      <c r="B2450" t="str">
        <f>IF(AND(FORSIDE!$B$8&gt;=12,FORSIDE!$F$8&gt;=10,FORSIDE!$B$5&gt;=6),354+10*FORSIDE!$F$9,"")</f>
        <v/>
      </c>
      <c r="C2450" t="str">
        <f>IF(AND(FORSIDE!$B$8&gt;=12,FORSIDE!$F$8&gt;=10,FORSIDE!$B$5&gt;=6),12*FORSIDE!$B$9,"")</f>
        <v/>
      </c>
      <c r="D2450" t="str">
        <f>IF(AND(FORSIDE!$B$8&gt;=12,FORSIDE!$F$8&gt;=10,FORSIDE!$B$5&gt;=6),FORSIDE!$B$6+(6-1)*FORSIDE!$B$7,"")</f>
        <v/>
      </c>
    </row>
    <row r="2451" spans="1:4" x14ac:dyDescent="0.3">
      <c r="A2451" t="str">
        <f>IF(AND(FORSIDE!$B$8&gt;=12,FORSIDE!$F$8&gt;=10,FORSIDE!$B$5&gt;=7),2450,"")</f>
        <v/>
      </c>
      <c r="B2451" t="str">
        <f>IF(AND(FORSIDE!$B$8&gt;=12,FORSIDE!$F$8&gt;=10,FORSIDE!$B$5&gt;=7),354+10*FORSIDE!$F$9,"")</f>
        <v/>
      </c>
      <c r="C2451" t="str">
        <f>IF(AND(FORSIDE!$B$8&gt;=12,FORSIDE!$F$8&gt;=10,FORSIDE!$B$5&gt;=7),12*FORSIDE!$B$9,"")</f>
        <v/>
      </c>
      <c r="D2451" t="str">
        <f>IF(AND(FORSIDE!$B$8&gt;=12,FORSIDE!$F$8&gt;=10,FORSIDE!$B$5&gt;=7),FORSIDE!$B$6+(7-1)*FORSIDE!$B$7,"")</f>
        <v/>
      </c>
    </row>
    <row r="2452" spans="1:4" x14ac:dyDescent="0.3">
      <c r="A2452" t="str">
        <f>IF(AND(FORSIDE!$B$8&gt;=12,FORSIDE!$F$8&gt;=10,FORSIDE!$B$5&gt;=8),2451,"")</f>
        <v/>
      </c>
      <c r="B2452" t="str">
        <f>IF(AND(FORSIDE!$B$8&gt;=12,FORSIDE!$F$8&gt;=10,FORSIDE!$B$5&gt;=8),354+10*FORSIDE!$F$9,"")</f>
        <v/>
      </c>
      <c r="C2452" t="str">
        <f>IF(AND(FORSIDE!$B$8&gt;=12,FORSIDE!$F$8&gt;=10,FORSIDE!$B$5&gt;=8),12*FORSIDE!$B$9,"")</f>
        <v/>
      </c>
      <c r="D2452" t="str">
        <f>IF(AND(FORSIDE!$B$8&gt;=12,FORSIDE!$F$8&gt;=10,FORSIDE!$B$5&gt;=8),FORSIDE!$B$6+(8-1)*FORSIDE!$B$7,"")</f>
        <v/>
      </c>
    </row>
    <row r="2453" spans="1:4" x14ac:dyDescent="0.3">
      <c r="A2453" t="str">
        <f>IF(AND(FORSIDE!$B$8&gt;=12,FORSIDE!$F$8&gt;=10,FORSIDE!$B$5&gt;=9),2452,"")</f>
        <v/>
      </c>
      <c r="B2453" t="str">
        <f>IF(AND(FORSIDE!$B$8&gt;=12,FORSIDE!$F$8&gt;=10,FORSIDE!$B$5&gt;=9),354+10*FORSIDE!$F$9,"")</f>
        <v/>
      </c>
      <c r="C2453" t="str">
        <f>IF(AND(FORSIDE!$B$8&gt;=12,FORSIDE!$F$8&gt;=10,FORSIDE!$B$5&gt;=9),12*FORSIDE!$B$9,"")</f>
        <v/>
      </c>
      <c r="D2453" t="str">
        <f>IF(AND(FORSIDE!$B$8&gt;=12,FORSIDE!$F$8&gt;=10,FORSIDE!$B$5&gt;=9),FORSIDE!$B$6+(9-1)*FORSIDE!$B$7,"")</f>
        <v/>
      </c>
    </row>
    <row r="2454" spans="1:4" x14ac:dyDescent="0.3">
      <c r="A2454" t="str">
        <f>IF(AND(FORSIDE!$B$8&gt;=12,FORSIDE!$F$8&gt;=10,FORSIDE!$B$5&gt;=10),2453,"")</f>
        <v/>
      </c>
      <c r="B2454" t="str">
        <f>IF(AND(FORSIDE!$B$8&gt;=12,FORSIDE!$F$8&gt;=10,FORSIDE!$B$5&gt;=10),354+10*FORSIDE!$F$9,"")</f>
        <v/>
      </c>
      <c r="C2454" t="str">
        <f>IF(AND(FORSIDE!$B$8&gt;=12,FORSIDE!$F$8&gt;=10,FORSIDE!$B$5&gt;=10),12*FORSIDE!$B$9,"")</f>
        <v/>
      </c>
      <c r="D2454" t="str">
        <f>IF(AND(FORSIDE!$B$8&gt;=12,FORSIDE!$F$8&gt;=10,FORSIDE!$B$5&gt;=10),FORSIDE!$B$6+(10-1)*FORSIDE!$B$7,"")</f>
        <v/>
      </c>
    </row>
    <row r="2455" spans="1:4" x14ac:dyDescent="0.3">
      <c r="A2455" t="str">
        <f>IF(AND(FORSIDE!$B$8&gt;=13,FORSIDE!$F$8&gt;=10,FORSIDE!$B$5&gt;=0),2454,"")</f>
        <v/>
      </c>
      <c r="B2455" t="str">
        <f>IF(AND(FORSIDE!$B$8&gt;=13,FORSIDE!$F$8&gt;=10,FORSIDE!$B$5&gt;=0),354+10*FORSIDE!$F$9,"")</f>
        <v/>
      </c>
      <c r="C2455" t="str">
        <f>IF(AND(FORSIDE!$B$8&gt;=13,FORSIDE!$F$8&gt;=10,FORSIDE!$B$5&gt;=0),13*FORSIDE!$B$9,"")</f>
        <v/>
      </c>
      <c r="D2455" t="str">
        <f>IF(AND(FORSIDE!$B$8&gt;=13,FORSIDE!$F$8&gt;=10,FORSIDE!$B$5&gt;=0),0,"")</f>
        <v/>
      </c>
    </row>
    <row r="2456" spans="1:4" x14ac:dyDescent="0.3">
      <c r="A2456" t="str">
        <f>IF(AND(FORSIDE!$B$8&gt;=13,FORSIDE!$F$8&gt;=10,FORSIDE!$B$5&gt;=1),2455,"")</f>
        <v/>
      </c>
      <c r="B2456" t="str">
        <f>IF(AND(FORSIDE!$B$8&gt;=13,FORSIDE!$F$8&gt;=10,FORSIDE!$B$5&gt;=1),354+10*FORSIDE!$F$9,"")</f>
        <v/>
      </c>
      <c r="C2456" t="str">
        <f>IF(AND(FORSIDE!$B$8&gt;=13,FORSIDE!$F$8&gt;=10,FORSIDE!$B$5&gt;=1),13*FORSIDE!$B$9,"")</f>
        <v/>
      </c>
      <c r="D2456" t="str">
        <f>IF(AND(FORSIDE!$B$8&gt;=13,FORSIDE!$F$8&gt;=10,FORSIDE!$B$5&gt;=1),FORSIDE!$B$6+(1-1)*FORSIDE!$B$7,"")</f>
        <v/>
      </c>
    </row>
    <row r="2457" spans="1:4" x14ac:dyDescent="0.3">
      <c r="A2457" t="str">
        <f>IF(AND(FORSIDE!$B$8&gt;=13,FORSIDE!$F$8&gt;=10,FORSIDE!$B$5&gt;=2),2456,"")</f>
        <v/>
      </c>
      <c r="B2457" t="str">
        <f>IF(AND(FORSIDE!$B$8&gt;=13,FORSIDE!$F$8&gt;=10,FORSIDE!$B$5&gt;=2),354+10*FORSIDE!$F$9,"")</f>
        <v/>
      </c>
      <c r="C2457" t="str">
        <f>IF(AND(FORSIDE!$B$8&gt;=13,FORSIDE!$F$8&gt;=10,FORSIDE!$B$5&gt;=2),13*FORSIDE!$B$9,"")</f>
        <v/>
      </c>
      <c r="D2457" t="str">
        <f>IF(AND(FORSIDE!$B$8&gt;=13,FORSIDE!$F$8&gt;=10,FORSIDE!$B$5&gt;=2),FORSIDE!$B$6+(2-1)*FORSIDE!$B$7,"")</f>
        <v/>
      </c>
    </row>
    <row r="2458" spans="1:4" x14ac:dyDescent="0.3">
      <c r="A2458" t="str">
        <f>IF(AND(FORSIDE!$B$8&gt;=13,FORSIDE!$F$8&gt;=10,FORSIDE!$B$5&gt;=3),2457,"")</f>
        <v/>
      </c>
      <c r="B2458" t="str">
        <f>IF(AND(FORSIDE!$B$8&gt;=13,FORSIDE!$F$8&gt;=10,FORSIDE!$B$5&gt;=3),354+10*FORSIDE!$F$9,"")</f>
        <v/>
      </c>
      <c r="C2458" t="str">
        <f>IF(AND(FORSIDE!$B$8&gt;=13,FORSIDE!$F$8&gt;=10,FORSIDE!$B$5&gt;=3),13*FORSIDE!$B$9,"")</f>
        <v/>
      </c>
      <c r="D2458" t="str">
        <f>IF(AND(FORSIDE!$B$8&gt;=13,FORSIDE!$F$8&gt;=10,FORSIDE!$B$5&gt;=3),FORSIDE!$B$6+(3-1)*FORSIDE!$B$7,"")</f>
        <v/>
      </c>
    </row>
    <row r="2459" spans="1:4" x14ac:dyDescent="0.3">
      <c r="A2459" t="str">
        <f>IF(AND(FORSIDE!$B$8&gt;=13,FORSIDE!$F$8&gt;=10,FORSIDE!$B$5&gt;=4),2458,"")</f>
        <v/>
      </c>
      <c r="B2459" t="str">
        <f>IF(AND(FORSIDE!$B$8&gt;=13,FORSIDE!$F$8&gt;=10,FORSIDE!$B$5&gt;=4),354+10*FORSIDE!$F$9,"")</f>
        <v/>
      </c>
      <c r="C2459" t="str">
        <f>IF(AND(FORSIDE!$B$8&gt;=13,FORSIDE!$F$8&gt;=10,FORSIDE!$B$5&gt;=4),13*FORSIDE!$B$9,"")</f>
        <v/>
      </c>
      <c r="D2459" t="str">
        <f>IF(AND(FORSIDE!$B$8&gt;=13,FORSIDE!$F$8&gt;=10,FORSIDE!$B$5&gt;=4),FORSIDE!$B$6+(4-1)*FORSIDE!$B$7,"")</f>
        <v/>
      </c>
    </row>
    <row r="2460" spans="1:4" x14ac:dyDescent="0.3">
      <c r="A2460" t="str">
        <f>IF(AND(FORSIDE!$B$8&gt;=13,FORSIDE!$F$8&gt;=10,FORSIDE!$B$5&gt;=5),2459,"")</f>
        <v/>
      </c>
      <c r="B2460" t="str">
        <f>IF(AND(FORSIDE!$B$8&gt;=13,FORSIDE!$F$8&gt;=10,FORSIDE!$B$5&gt;=5),354+10*FORSIDE!$F$9,"")</f>
        <v/>
      </c>
      <c r="C2460" t="str">
        <f>IF(AND(FORSIDE!$B$8&gt;=13,FORSIDE!$F$8&gt;=10,FORSIDE!$B$5&gt;=5),13*FORSIDE!$B$9,"")</f>
        <v/>
      </c>
      <c r="D2460" t="str">
        <f>IF(AND(FORSIDE!$B$8&gt;=13,FORSIDE!$F$8&gt;=10,FORSIDE!$B$5&gt;=5),FORSIDE!$B$6+(5-1)*FORSIDE!$B$7,"")</f>
        <v/>
      </c>
    </row>
    <row r="2461" spans="1:4" x14ac:dyDescent="0.3">
      <c r="A2461" t="str">
        <f>IF(AND(FORSIDE!$B$8&gt;=13,FORSIDE!$F$8&gt;=10,FORSIDE!$B$5&gt;=6),2460,"")</f>
        <v/>
      </c>
      <c r="B2461" t="str">
        <f>IF(AND(FORSIDE!$B$8&gt;=13,FORSIDE!$F$8&gt;=10,FORSIDE!$B$5&gt;=6),354+10*FORSIDE!$F$9,"")</f>
        <v/>
      </c>
      <c r="C2461" t="str">
        <f>IF(AND(FORSIDE!$B$8&gt;=13,FORSIDE!$F$8&gt;=10,FORSIDE!$B$5&gt;=6),13*FORSIDE!$B$9,"")</f>
        <v/>
      </c>
      <c r="D2461" t="str">
        <f>IF(AND(FORSIDE!$B$8&gt;=13,FORSIDE!$F$8&gt;=10,FORSIDE!$B$5&gt;=6),FORSIDE!$B$6+(6-1)*FORSIDE!$B$7,"")</f>
        <v/>
      </c>
    </row>
    <row r="2462" spans="1:4" x14ac:dyDescent="0.3">
      <c r="A2462" t="str">
        <f>IF(AND(FORSIDE!$B$8&gt;=13,FORSIDE!$F$8&gt;=10,FORSIDE!$B$5&gt;=7),2461,"")</f>
        <v/>
      </c>
      <c r="B2462" t="str">
        <f>IF(AND(FORSIDE!$B$8&gt;=13,FORSIDE!$F$8&gt;=10,FORSIDE!$B$5&gt;=7),354+10*FORSIDE!$F$9,"")</f>
        <v/>
      </c>
      <c r="C2462" t="str">
        <f>IF(AND(FORSIDE!$B$8&gt;=13,FORSIDE!$F$8&gt;=10,FORSIDE!$B$5&gt;=7),13*FORSIDE!$B$9,"")</f>
        <v/>
      </c>
      <c r="D2462" t="str">
        <f>IF(AND(FORSIDE!$B$8&gt;=13,FORSIDE!$F$8&gt;=10,FORSIDE!$B$5&gt;=7),FORSIDE!$B$6+(7-1)*FORSIDE!$B$7,"")</f>
        <v/>
      </c>
    </row>
    <row r="2463" spans="1:4" x14ac:dyDescent="0.3">
      <c r="A2463" t="str">
        <f>IF(AND(FORSIDE!$B$8&gt;=13,FORSIDE!$F$8&gt;=10,FORSIDE!$B$5&gt;=8),2462,"")</f>
        <v/>
      </c>
      <c r="B2463" t="str">
        <f>IF(AND(FORSIDE!$B$8&gt;=13,FORSIDE!$F$8&gt;=10,FORSIDE!$B$5&gt;=8),354+10*FORSIDE!$F$9,"")</f>
        <v/>
      </c>
      <c r="C2463" t="str">
        <f>IF(AND(FORSIDE!$B$8&gt;=13,FORSIDE!$F$8&gt;=10,FORSIDE!$B$5&gt;=8),13*FORSIDE!$B$9,"")</f>
        <v/>
      </c>
      <c r="D2463" t="str">
        <f>IF(AND(FORSIDE!$B$8&gt;=13,FORSIDE!$F$8&gt;=10,FORSIDE!$B$5&gt;=8),FORSIDE!$B$6+(8-1)*FORSIDE!$B$7,"")</f>
        <v/>
      </c>
    </row>
    <row r="2464" spans="1:4" x14ac:dyDescent="0.3">
      <c r="A2464" t="str">
        <f>IF(AND(FORSIDE!$B$8&gt;=13,FORSIDE!$F$8&gt;=10,FORSIDE!$B$5&gt;=9),2463,"")</f>
        <v/>
      </c>
      <c r="B2464" t="str">
        <f>IF(AND(FORSIDE!$B$8&gt;=13,FORSIDE!$F$8&gt;=10,FORSIDE!$B$5&gt;=9),354+10*FORSIDE!$F$9,"")</f>
        <v/>
      </c>
      <c r="C2464" t="str">
        <f>IF(AND(FORSIDE!$B$8&gt;=13,FORSIDE!$F$8&gt;=10,FORSIDE!$B$5&gt;=9),13*FORSIDE!$B$9,"")</f>
        <v/>
      </c>
      <c r="D2464" t="str">
        <f>IF(AND(FORSIDE!$B$8&gt;=13,FORSIDE!$F$8&gt;=10,FORSIDE!$B$5&gt;=9),FORSIDE!$B$6+(9-1)*FORSIDE!$B$7,"")</f>
        <v/>
      </c>
    </row>
    <row r="2465" spans="1:4" x14ac:dyDescent="0.3">
      <c r="A2465" t="str">
        <f>IF(AND(FORSIDE!$B$8&gt;=13,FORSIDE!$F$8&gt;=10,FORSIDE!$B$5&gt;=10),2464,"")</f>
        <v/>
      </c>
      <c r="B2465" t="str">
        <f>IF(AND(FORSIDE!$B$8&gt;=13,FORSIDE!$F$8&gt;=10,FORSIDE!$B$5&gt;=10),354+10*FORSIDE!$F$9,"")</f>
        <v/>
      </c>
      <c r="C2465" t="str">
        <f>IF(AND(FORSIDE!$B$8&gt;=13,FORSIDE!$F$8&gt;=10,FORSIDE!$B$5&gt;=10),13*FORSIDE!$B$9,"")</f>
        <v/>
      </c>
      <c r="D2465" t="str">
        <f>IF(AND(FORSIDE!$B$8&gt;=13,FORSIDE!$F$8&gt;=10,FORSIDE!$B$5&gt;=10),FORSIDE!$B$6+(10-1)*FORSIDE!$B$7,"")</f>
        <v/>
      </c>
    </row>
    <row r="2466" spans="1:4" x14ac:dyDescent="0.3">
      <c r="A2466" t="str">
        <f>IF(AND(FORSIDE!$B$8&gt;=14,FORSIDE!$F$8&gt;=10,FORSIDE!$B$5&gt;=0),2465,"")</f>
        <v/>
      </c>
      <c r="B2466" t="str">
        <f>IF(AND(FORSIDE!$B$8&gt;=14,FORSIDE!$F$8&gt;=10,FORSIDE!$B$5&gt;=0),354+10*FORSIDE!$F$9,"")</f>
        <v/>
      </c>
      <c r="C2466" t="str">
        <f>IF(AND(FORSIDE!$B$8&gt;=14,FORSIDE!$F$8&gt;=10,FORSIDE!$B$5&gt;=0),14*FORSIDE!$B$9,"")</f>
        <v/>
      </c>
      <c r="D2466" t="str">
        <f>IF(AND(FORSIDE!$B$8&gt;=14,FORSIDE!$F$8&gt;=10,FORSIDE!$B$5&gt;=0),0,"")</f>
        <v/>
      </c>
    </row>
    <row r="2467" spans="1:4" x14ac:dyDescent="0.3">
      <c r="A2467" t="str">
        <f>IF(AND(FORSIDE!$B$8&gt;=14,FORSIDE!$F$8&gt;=10,FORSIDE!$B$5&gt;=1),2466,"")</f>
        <v/>
      </c>
      <c r="B2467" t="str">
        <f>IF(AND(FORSIDE!$B$8&gt;=14,FORSIDE!$F$8&gt;=10,FORSIDE!$B$5&gt;=1),354+10*FORSIDE!$F$9,"")</f>
        <v/>
      </c>
      <c r="C2467" t="str">
        <f>IF(AND(FORSIDE!$B$8&gt;=14,FORSIDE!$F$8&gt;=10,FORSIDE!$B$5&gt;=1),14*FORSIDE!$B$9,"")</f>
        <v/>
      </c>
      <c r="D2467" t="str">
        <f>IF(AND(FORSIDE!$B$8&gt;=14,FORSIDE!$F$8&gt;=10,FORSIDE!$B$5&gt;=1),FORSIDE!$B$6+(1-1)*FORSIDE!$B$7,"")</f>
        <v/>
      </c>
    </row>
    <row r="2468" spans="1:4" x14ac:dyDescent="0.3">
      <c r="A2468" t="str">
        <f>IF(AND(FORSIDE!$B$8&gt;=14,FORSIDE!$F$8&gt;=10,FORSIDE!$B$5&gt;=2),2467,"")</f>
        <v/>
      </c>
      <c r="B2468" t="str">
        <f>IF(AND(FORSIDE!$B$8&gt;=14,FORSIDE!$F$8&gt;=10,FORSIDE!$B$5&gt;=2),354+10*FORSIDE!$F$9,"")</f>
        <v/>
      </c>
      <c r="C2468" t="str">
        <f>IF(AND(FORSIDE!$B$8&gt;=14,FORSIDE!$F$8&gt;=10,FORSIDE!$B$5&gt;=2),14*FORSIDE!$B$9,"")</f>
        <v/>
      </c>
      <c r="D2468" t="str">
        <f>IF(AND(FORSIDE!$B$8&gt;=14,FORSIDE!$F$8&gt;=10,FORSIDE!$B$5&gt;=2),FORSIDE!$B$6+(2-1)*FORSIDE!$B$7,"")</f>
        <v/>
      </c>
    </row>
    <row r="2469" spans="1:4" x14ac:dyDescent="0.3">
      <c r="A2469" t="str">
        <f>IF(AND(FORSIDE!$B$8&gt;=14,FORSIDE!$F$8&gt;=10,FORSIDE!$B$5&gt;=3),2468,"")</f>
        <v/>
      </c>
      <c r="B2469" t="str">
        <f>IF(AND(FORSIDE!$B$8&gt;=14,FORSIDE!$F$8&gt;=10,FORSIDE!$B$5&gt;=3),354+10*FORSIDE!$F$9,"")</f>
        <v/>
      </c>
      <c r="C2469" t="str">
        <f>IF(AND(FORSIDE!$B$8&gt;=14,FORSIDE!$F$8&gt;=10,FORSIDE!$B$5&gt;=3),14*FORSIDE!$B$9,"")</f>
        <v/>
      </c>
      <c r="D2469" t="str">
        <f>IF(AND(FORSIDE!$B$8&gt;=14,FORSIDE!$F$8&gt;=10,FORSIDE!$B$5&gt;=3),FORSIDE!$B$6+(3-1)*FORSIDE!$B$7,"")</f>
        <v/>
      </c>
    </row>
    <row r="2470" spans="1:4" x14ac:dyDescent="0.3">
      <c r="A2470" t="str">
        <f>IF(AND(FORSIDE!$B$8&gt;=14,FORSIDE!$F$8&gt;=10,FORSIDE!$B$5&gt;=4),2469,"")</f>
        <v/>
      </c>
      <c r="B2470" t="str">
        <f>IF(AND(FORSIDE!$B$8&gt;=14,FORSIDE!$F$8&gt;=10,FORSIDE!$B$5&gt;=4),354+10*FORSIDE!$F$9,"")</f>
        <v/>
      </c>
      <c r="C2470" t="str">
        <f>IF(AND(FORSIDE!$B$8&gt;=14,FORSIDE!$F$8&gt;=10,FORSIDE!$B$5&gt;=4),14*FORSIDE!$B$9,"")</f>
        <v/>
      </c>
      <c r="D2470" t="str">
        <f>IF(AND(FORSIDE!$B$8&gt;=14,FORSIDE!$F$8&gt;=10,FORSIDE!$B$5&gt;=4),FORSIDE!$B$6+(4-1)*FORSIDE!$B$7,"")</f>
        <v/>
      </c>
    </row>
    <row r="2471" spans="1:4" x14ac:dyDescent="0.3">
      <c r="A2471" t="str">
        <f>IF(AND(FORSIDE!$B$8&gt;=14,FORSIDE!$F$8&gt;=10,FORSIDE!$B$5&gt;=5),2470,"")</f>
        <v/>
      </c>
      <c r="B2471" t="str">
        <f>IF(AND(FORSIDE!$B$8&gt;=14,FORSIDE!$F$8&gt;=10,FORSIDE!$B$5&gt;=5),354+10*FORSIDE!$F$9,"")</f>
        <v/>
      </c>
      <c r="C2471" t="str">
        <f>IF(AND(FORSIDE!$B$8&gt;=14,FORSIDE!$F$8&gt;=10,FORSIDE!$B$5&gt;=5),14*FORSIDE!$B$9,"")</f>
        <v/>
      </c>
      <c r="D2471" t="str">
        <f>IF(AND(FORSIDE!$B$8&gt;=14,FORSIDE!$F$8&gt;=10,FORSIDE!$B$5&gt;=5),FORSIDE!$B$6+(5-1)*FORSIDE!$B$7,"")</f>
        <v/>
      </c>
    </row>
    <row r="2472" spans="1:4" x14ac:dyDescent="0.3">
      <c r="A2472" t="str">
        <f>IF(AND(FORSIDE!$B$8&gt;=14,FORSIDE!$F$8&gt;=10,FORSIDE!$B$5&gt;=6),2471,"")</f>
        <v/>
      </c>
      <c r="B2472" t="str">
        <f>IF(AND(FORSIDE!$B$8&gt;=14,FORSIDE!$F$8&gt;=10,FORSIDE!$B$5&gt;=6),354+10*FORSIDE!$F$9,"")</f>
        <v/>
      </c>
      <c r="C2472" t="str">
        <f>IF(AND(FORSIDE!$B$8&gt;=14,FORSIDE!$F$8&gt;=10,FORSIDE!$B$5&gt;=6),14*FORSIDE!$B$9,"")</f>
        <v/>
      </c>
      <c r="D2472" t="str">
        <f>IF(AND(FORSIDE!$B$8&gt;=14,FORSIDE!$F$8&gt;=10,FORSIDE!$B$5&gt;=6),FORSIDE!$B$6+(6-1)*FORSIDE!$B$7,"")</f>
        <v/>
      </c>
    </row>
    <row r="2473" spans="1:4" x14ac:dyDescent="0.3">
      <c r="A2473" t="str">
        <f>IF(AND(FORSIDE!$B$8&gt;=14,FORSIDE!$F$8&gt;=10,FORSIDE!$B$5&gt;=7),2472,"")</f>
        <v/>
      </c>
      <c r="B2473" t="str">
        <f>IF(AND(FORSIDE!$B$8&gt;=14,FORSIDE!$F$8&gt;=10,FORSIDE!$B$5&gt;=7),354+10*FORSIDE!$F$9,"")</f>
        <v/>
      </c>
      <c r="C2473" t="str">
        <f>IF(AND(FORSIDE!$B$8&gt;=14,FORSIDE!$F$8&gt;=10,FORSIDE!$B$5&gt;=7),14*FORSIDE!$B$9,"")</f>
        <v/>
      </c>
      <c r="D2473" t="str">
        <f>IF(AND(FORSIDE!$B$8&gt;=14,FORSIDE!$F$8&gt;=10,FORSIDE!$B$5&gt;=7),FORSIDE!$B$6+(7-1)*FORSIDE!$B$7,"")</f>
        <v/>
      </c>
    </row>
    <row r="2474" spans="1:4" x14ac:dyDescent="0.3">
      <c r="A2474" t="str">
        <f>IF(AND(FORSIDE!$B$8&gt;=14,FORSIDE!$F$8&gt;=10,FORSIDE!$B$5&gt;=8),2473,"")</f>
        <v/>
      </c>
      <c r="B2474" t="str">
        <f>IF(AND(FORSIDE!$B$8&gt;=14,FORSIDE!$F$8&gt;=10,FORSIDE!$B$5&gt;=8),354+10*FORSIDE!$F$9,"")</f>
        <v/>
      </c>
      <c r="C2474" t="str">
        <f>IF(AND(FORSIDE!$B$8&gt;=14,FORSIDE!$F$8&gt;=10,FORSIDE!$B$5&gt;=8),14*FORSIDE!$B$9,"")</f>
        <v/>
      </c>
      <c r="D2474" t="str">
        <f>IF(AND(FORSIDE!$B$8&gt;=14,FORSIDE!$F$8&gt;=10,FORSIDE!$B$5&gt;=8),FORSIDE!$B$6+(8-1)*FORSIDE!$B$7,"")</f>
        <v/>
      </c>
    </row>
    <row r="2475" spans="1:4" x14ac:dyDescent="0.3">
      <c r="A2475" t="str">
        <f>IF(AND(FORSIDE!$B$8&gt;=14,FORSIDE!$F$8&gt;=10,FORSIDE!$B$5&gt;=9),2474,"")</f>
        <v/>
      </c>
      <c r="B2475" t="str">
        <f>IF(AND(FORSIDE!$B$8&gt;=14,FORSIDE!$F$8&gt;=10,FORSIDE!$B$5&gt;=9),354+10*FORSIDE!$F$9,"")</f>
        <v/>
      </c>
      <c r="C2475" t="str">
        <f>IF(AND(FORSIDE!$B$8&gt;=14,FORSIDE!$F$8&gt;=10,FORSIDE!$B$5&gt;=9),14*FORSIDE!$B$9,"")</f>
        <v/>
      </c>
      <c r="D2475" t="str">
        <f>IF(AND(FORSIDE!$B$8&gt;=14,FORSIDE!$F$8&gt;=10,FORSIDE!$B$5&gt;=9),FORSIDE!$B$6+(9-1)*FORSIDE!$B$7,"")</f>
        <v/>
      </c>
    </row>
    <row r="2476" spans="1:4" x14ac:dyDescent="0.3">
      <c r="A2476" t="str">
        <f>IF(AND(FORSIDE!$B$8&gt;=14,FORSIDE!$F$8&gt;=10,FORSIDE!$B$5&gt;=10),2475,"")</f>
        <v/>
      </c>
      <c r="B2476" t="str">
        <f>IF(AND(FORSIDE!$B$8&gt;=14,FORSIDE!$F$8&gt;=10,FORSIDE!$B$5&gt;=10),354+10*FORSIDE!$F$9,"")</f>
        <v/>
      </c>
      <c r="C2476" t="str">
        <f>IF(AND(FORSIDE!$B$8&gt;=14,FORSIDE!$F$8&gt;=10,FORSIDE!$B$5&gt;=10),14*FORSIDE!$B$9,"")</f>
        <v/>
      </c>
      <c r="D2476" t="str">
        <f>IF(AND(FORSIDE!$B$8&gt;=14,FORSIDE!$F$8&gt;=10,FORSIDE!$B$5&gt;=10),FORSIDE!$B$6+(10-1)*FORSIDE!$B$7,"")</f>
        <v/>
      </c>
    </row>
    <row r="2477" spans="1:4" x14ac:dyDescent="0.3">
      <c r="A2477" t="str">
        <f>IF(AND(FORSIDE!$B$8&gt;=15,FORSIDE!$F$8&gt;=10,FORSIDE!$B$5&gt;=0),2476,"")</f>
        <v/>
      </c>
      <c r="B2477" t="str">
        <f>IF(AND(FORSIDE!$B$8&gt;=15,FORSIDE!$F$8&gt;=10,FORSIDE!$B$5&gt;=0),354+10*FORSIDE!$F$9,"")</f>
        <v/>
      </c>
      <c r="C2477" t="str">
        <f>IF(AND(FORSIDE!$B$8&gt;=15,FORSIDE!$F$8&gt;=10,FORSIDE!$B$5&gt;=0),15*FORSIDE!$B$9,"")</f>
        <v/>
      </c>
      <c r="D2477" t="str">
        <f>IF(AND(FORSIDE!$B$8&gt;=15,FORSIDE!$F$8&gt;=10,FORSIDE!$B$5&gt;=0),0,"")</f>
        <v/>
      </c>
    </row>
    <row r="2478" spans="1:4" x14ac:dyDescent="0.3">
      <c r="A2478" t="str">
        <f>IF(AND(FORSIDE!$B$8&gt;=15,FORSIDE!$F$8&gt;=10,FORSIDE!$B$5&gt;=1),2477,"")</f>
        <v/>
      </c>
      <c r="B2478" t="str">
        <f>IF(AND(FORSIDE!$B$8&gt;=15,FORSIDE!$F$8&gt;=10,FORSIDE!$B$5&gt;=1),354+10*FORSIDE!$F$9,"")</f>
        <v/>
      </c>
      <c r="C2478" t="str">
        <f>IF(AND(FORSIDE!$B$8&gt;=15,FORSIDE!$F$8&gt;=10,FORSIDE!$B$5&gt;=1),15*FORSIDE!$B$9,"")</f>
        <v/>
      </c>
      <c r="D2478" t="str">
        <f>IF(AND(FORSIDE!$B$8&gt;=15,FORSIDE!$F$8&gt;=10,FORSIDE!$B$5&gt;=1),FORSIDE!$B$6+(1-1)*FORSIDE!$B$7,"")</f>
        <v/>
      </c>
    </row>
    <row r="2479" spans="1:4" x14ac:dyDescent="0.3">
      <c r="A2479" t="str">
        <f>IF(AND(FORSIDE!$B$8&gt;=15,FORSIDE!$F$8&gt;=10,FORSIDE!$B$5&gt;=2),2478,"")</f>
        <v/>
      </c>
      <c r="B2479" t="str">
        <f>IF(AND(FORSIDE!$B$8&gt;=15,FORSIDE!$F$8&gt;=10,FORSIDE!$B$5&gt;=2),354+10*FORSIDE!$F$9,"")</f>
        <v/>
      </c>
      <c r="C2479" t="str">
        <f>IF(AND(FORSIDE!$B$8&gt;=15,FORSIDE!$F$8&gt;=10,FORSIDE!$B$5&gt;=2),15*FORSIDE!$B$9,"")</f>
        <v/>
      </c>
      <c r="D2479" t="str">
        <f>IF(AND(FORSIDE!$B$8&gt;=15,FORSIDE!$F$8&gt;=10,FORSIDE!$B$5&gt;=2),FORSIDE!$B$6+(2-1)*FORSIDE!$B$7,"")</f>
        <v/>
      </c>
    </row>
    <row r="2480" spans="1:4" x14ac:dyDescent="0.3">
      <c r="A2480" t="str">
        <f>IF(AND(FORSIDE!$B$8&gt;=15,FORSIDE!$F$8&gt;=10,FORSIDE!$B$5&gt;=3),2479,"")</f>
        <v/>
      </c>
      <c r="B2480" t="str">
        <f>IF(AND(FORSIDE!$B$8&gt;=15,FORSIDE!$F$8&gt;=10,FORSIDE!$B$5&gt;=3),354+10*FORSIDE!$F$9,"")</f>
        <v/>
      </c>
      <c r="C2480" t="str">
        <f>IF(AND(FORSIDE!$B$8&gt;=15,FORSIDE!$F$8&gt;=10,FORSIDE!$B$5&gt;=3),15*FORSIDE!$B$9,"")</f>
        <v/>
      </c>
      <c r="D2480" t="str">
        <f>IF(AND(FORSIDE!$B$8&gt;=15,FORSIDE!$F$8&gt;=10,FORSIDE!$B$5&gt;=3),FORSIDE!$B$6+(3-1)*FORSIDE!$B$7,"")</f>
        <v/>
      </c>
    </row>
    <row r="2481" spans="1:4" x14ac:dyDescent="0.3">
      <c r="A2481" t="str">
        <f>IF(AND(FORSIDE!$B$8&gt;=15,FORSIDE!$F$8&gt;=10,FORSIDE!$B$5&gt;=4),2480,"")</f>
        <v/>
      </c>
      <c r="B2481" t="str">
        <f>IF(AND(FORSIDE!$B$8&gt;=15,FORSIDE!$F$8&gt;=10,FORSIDE!$B$5&gt;=4),354+10*FORSIDE!$F$9,"")</f>
        <v/>
      </c>
      <c r="C2481" t="str">
        <f>IF(AND(FORSIDE!$B$8&gt;=15,FORSIDE!$F$8&gt;=10,FORSIDE!$B$5&gt;=4),15*FORSIDE!$B$9,"")</f>
        <v/>
      </c>
      <c r="D2481" t="str">
        <f>IF(AND(FORSIDE!$B$8&gt;=15,FORSIDE!$F$8&gt;=10,FORSIDE!$B$5&gt;=4),FORSIDE!$B$6+(4-1)*FORSIDE!$B$7,"")</f>
        <v/>
      </c>
    </row>
    <row r="2482" spans="1:4" x14ac:dyDescent="0.3">
      <c r="A2482" t="str">
        <f>IF(AND(FORSIDE!$B$8&gt;=15,FORSIDE!$F$8&gt;=10,FORSIDE!$B$5&gt;=5),2481,"")</f>
        <v/>
      </c>
      <c r="B2482" t="str">
        <f>IF(AND(FORSIDE!$B$8&gt;=15,FORSIDE!$F$8&gt;=10,FORSIDE!$B$5&gt;=5),354+10*FORSIDE!$F$9,"")</f>
        <v/>
      </c>
      <c r="C2482" t="str">
        <f>IF(AND(FORSIDE!$B$8&gt;=15,FORSIDE!$F$8&gt;=10,FORSIDE!$B$5&gt;=5),15*FORSIDE!$B$9,"")</f>
        <v/>
      </c>
      <c r="D2482" t="str">
        <f>IF(AND(FORSIDE!$B$8&gt;=15,FORSIDE!$F$8&gt;=10,FORSIDE!$B$5&gt;=5),FORSIDE!$B$6+(5-1)*FORSIDE!$B$7,"")</f>
        <v/>
      </c>
    </row>
    <row r="2483" spans="1:4" x14ac:dyDescent="0.3">
      <c r="A2483" t="str">
        <f>IF(AND(FORSIDE!$B$8&gt;=15,FORSIDE!$F$8&gt;=10,FORSIDE!$B$5&gt;=6),2482,"")</f>
        <v/>
      </c>
      <c r="B2483" t="str">
        <f>IF(AND(FORSIDE!$B$8&gt;=15,FORSIDE!$F$8&gt;=10,FORSIDE!$B$5&gt;=6),354+10*FORSIDE!$F$9,"")</f>
        <v/>
      </c>
      <c r="C2483" t="str">
        <f>IF(AND(FORSIDE!$B$8&gt;=15,FORSIDE!$F$8&gt;=10,FORSIDE!$B$5&gt;=6),15*FORSIDE!$B$9,"")</f>
        <v/>
      </c>
      <c r="D2483" t="str">
        <f>IF(AND(FORSIDE!$B$8&gt;=15,FORSIDE!$F$8&gt;=10,FORSIDE!$B$5&gt;=6),FORSIDE!$B$6+(6-1)*FORSIDE!$B$7,"")</f>
        <v/>
      </c>
    </row>
    <row r="2484" spans="1:4" x14ac:dyDescent="0.3">
      <c r="A2484" t="str">
        <f>IF(AND(FORSIDE!$B$8&gt;=15,FORSIDE!$F$8&gt;=10,FORSIDE!$B$5&gt;=7),2483,"")</f>
        <v/>
      </c>
      <c r="B2484" t="str">
        <f>IF(AND(FORSIDE!$B$8&gt;=15,FORSIDE!$F$8&gt;=10,FORSIDE!$B$5&gt;=7),354+10*FORSIDE!$F$9,"")</f>
        <v/>
      </c>
      <c r="C2484" t="str">
        <f>IF(AND(FORSIDE!$B$8&gt;=15,FORSIDE!$F$8&gt;=10,FORSIDE!$B$5&gt;=7),15*FORSIDE!$B$9,"")</f>
        <v/>
      </c>
      <c r="D2484" t="str">
        <f>IF(AND(FORSIDE!$B$8&gt;=15,FORSIDE!$F$8&gt;=10,FORSIDE!$B$5&gt;=7),FORSIDE!$B$6+(7-1)*FORSIDE!$B$7,"")</f>
        <v/>
      </c>
    </row>
    <row r="2485" spans="1:4" x14ac:dyDescent="0.3">
      <c r="A2485" t="str">
        <f>IF(AND(FORSIDE!$B$8&gt;=15,FORSIDE!$F$8&gt;=10,FORSIDE!$B$5&gt;=8),2484,"")</f>
        <v/>
      </c>
      <c r="B2485" t="str">
        <f>IF(AND(FORSIDE!$B$8&gt;=15,FORSIDE!$F$8&gt;=10,FORSIDE!$B$5&gt;=8),354+10*FORSIDE!$F$9,"")</f>
        <v/>
      </c>
      <c r="C2485" t="str">
        <f>IF(AND(FORSIDE!$B$8&gt;=15,FORSIDE!$F$8&gt;=10,FORSIDE!$B$5&gt;=8),15*FORSIDE!$B$9,"")</f>
        <v/>
      </c>
      <c r="D2485" t="str">
        <f>IF(AND(FORSIDE!$B$8&gt;=15,FORSIDE!$F$8&gt;=10,FORSIDE!$B$5&gt;=8),FORSIDE!$B$6+(8-1)*FORSIDE!$B$7,"")</f>
        <v/>
      </c>
    </row>
    <row r="2486" spans="1:4" x14ac:dyDescent="0.3">
      <c r="A2486" t="str">
        <f>IF(AND(FORSIDE!$B$8&gt;=15,FORSIDE!$F$8&gt;=10,FORSIDE!$B$5&gt;=9),2485,"")</f>
        <v/>
      </c>
      <c r="B2486" t="str">
        <f>IF(AND(FORSIDE!$B$8&gt;=15,FORSIDE!$F$8&gt;=10,FORSIDE!$B$5&gt;=9),354+10*FORSIDE!$F$9,"")</f>
        <v/>
      </c>
      <c r="C2486" t="str">
        <f>IF(AND(FORSIDE!$B$8&gt;=15,FORSIDE!$F$8&gt;=10,FORSIDE!$B$5&gt;=9),15*FORSIDE!$B$9,"")</f>
        <v/>
      </c>
      <c r="D2486" t="str">
        <f>IF(AND(FORSIDE!$B$8&gt;=15,FORSIDE!$F$8&gt;=10,FORSIDE!$B$5&gt;=9),FORSIDE!$B$6+(9-1)*FORSIDE!$B$7,"")</f>
        <v/>
      </c>
    </row>
    <row r="2487" spans="1:4" x14ac:dyDescent="0.3">
      <c r="A2487" t="str">
        <f>IF(AND(FORSIDE!$B$8&gt;=15,FORSIDE!$F$8&gt;=10,FORSIDE!$B$5&gt;=10),2486,"")</f>
        <v/>
      </c>
      <c r="B2487" t="str">
        <f>IF(AND(FORSIDE!$B$8&gt;=15,FORSIDE!$F$8&gt;=10,FORSIDE!$B$5&gt;=10),354+10*FORSIDE!$F$9,"")</f>
        <v/>
      </c>
      <c r="C2487" t="str">
        <f>IF(AND(FORSIDE!$B$8&gt;=15,FORSIDE!$F$8&gt;=10,FORSIDE!$B$5&gt;=10),15*FORSIDE!$B$9,"")</f>
        <v/>
      </c>
      <c r="D2487" t="str">
        <f>IF(AND(FORSIDE!$B$8&gt;=15,FORSIDE!$F$8&gt;=10,FORSIDE!$B$5&gt;=10),FORSIDE!$B$6+(10-1)*FORSIDE!$B$7,"")</f>
        <v/>
      </c>
    </row>
    <row r="2488" spans="1:4" x14ac:dyDescent="0.3">
      <c r="A2488" t="str">
        <f>IF(AND(FORSIDE!$B$8&gt;=16,FORSIDE!$F$8&gt;=10,FORSIDE!$B$5&gt;=0),2487,"")</f>
        <v/>
      </c>
      <c r="B2488" t="str">
        <f>IF(AND(FORSIDE!$B$8&gt;=16,FORSIDE!$F$8&gt;=10,FORSIDE!$B$5&gt;=0),354+10*FORSIDE!$F$9,"")</f>
        <v/>
      </c>
      <c r="C2488" t="str">
        <f>IF(AND(FORSIDE!$B$8&gt;=16,FORSIDE!$F$8&gt;=10,FORSIDE!$B$5&gt;=0),16*FORSIDE!$B$9,"")</f>
        <v/>
      </c>
      <c r="D2488" t="str">
        <f>IF(AND(FORSIDE!$B$8&gt;=16,FORSIDE!$F$8&gt;=10,FORSIDE!$B$5&gt;=0),0,"")</f>
        <v/>
      </c>
    </row>
    <row r="2489" spans="1:4" x14ac:dyDescent="0.3">
      <c r="A2489" t="str">
        <f>IF(AND(FORSIDE!$B$8&gt;=16,FORSIDE!$F$8&gt;=10,FORSIDE!$B$5&gt;=1),2488,"")</f>
        <v/>
      </c>
      <c r="B2489" t="str">
        <f>IF(AND(FORSIDE!$B$8&gt;=16,FORSIDE!$F$8&gt;=10,FORSIDE!$B$5&gt;=1),354+10*FORSIDE!$F$9,"")</f>
        <v/>
      </c>
      <c r="C2489" t="str">
        <f>IF(AND(FORSIDE!$B$8&gt;=16,FORSIDE!$F$8&gt;=10,FORSIDE!$B$5&gt;=1),16*FORSIDE!$B$9,"")</f>
        <v/>
      </c>
      <c r="D2489" t="str">
        <f>IF(AND(FORSIDE!$B$8&gt;=16,FORSIDE!$F$8&gt;=10,FORSIDE!$B$5&gt;=1),FORSIDE!$B$6+(1-1)*FORSIDE!$B$7,"")</f>
        <v/>
      </c>
    </row>
    <row r="2490" spans="1:4" x14ac:dyDescent="0.3">
      <c r="A2490" t="str">
        <f>IF(AND(FORSIDE!$B$8&gt;=16,FORSIDE!$F$8&gt;=10,FORSIDE!$B$5&gt;=2),2489,"")</f>
        <v/>
      </c>
      <c r="B2490" t="str">
        <f>IF(AND(FORSIDE!$B$8&gt;=16,FORSIDE!$F$8&gt;=10,FORSIDE!$B$5&gt;=2),354+10*FORSIDE!$F$9,"")</f>
        <v/>
      </c>
      <c r="C2490" t="str">
        <f>IF(AND(FORSIDE!$B$8&gt;=16,FORSIDE!$F$8&gt;=10,FORSIDE!$B$5&gt;=2),16*FORSIDE!$B$9,"")</f>
        <v/>
      </c>
      <c r="D2490" t="str">
        <f>IF(AND(FORSIDE!$B$8&gt;=16,FORSIDE!$F$8&gt;=10,FORSIDE!$B$5&gt;=2),FORSIDE!$B$6+(2-1)*FORSIDE!$B$7,"")</f>
        <v/>
      </c>
    </row>
    <row r="2491" spans="1:4" x14ac:dyDescent="0.3">
      <c r="A2491" t="str">
        <f>IF(AND(FORSIDE!$B$8&gt;=16,FORSIDE!$F$8&gt;=10,FORSIDE!$B$5&gt;=3),2490,"")</f>
        <v/>
      </c>
      <c r="B2491" t="str">
        <f>IF(AND(FORSIDE!$B$8&gt;=16,FORSIDE!$F$8&gt;=10,FORSIDE!$B$5&gt;=3),354+10*FORSIDE!$F$9,"")</f>
        <v/>
      </c>
      <c r="C2491" t="str">
        <f>IF(AND(FORSIDE!$B$8&gt;=16,FORSIDE!$F$8&gt;=10,FORSIDE!$B$5&gt;=3),16*FORSIDE!$B$9,"")</f>
        <v/>
      </c>
      <c r="D2491" t="str">
        <f>IF(AND(FORSIDE!$B$8&gt;=16,FORSIDE!$F$8&gt;=10,FORSIDE!$B$5&gt;=3),FORSIDE!$B$6+(3-1)*FORSIDE!$B$7,"")</f>
        <v/>
      </c>
    </row>
    <row r="2492" spans="1:4" x14ac:dyDescent="0.3">
      <c r="A2492" t="str">
        <f>IF(AND(FORSIDE!$B$8&gt;=16,FORSIDE!$F$8&gt;=10,FORSIDE!$B$5&gt;=4),2491,"")</f>
        <v/>
      </c>
      <c r="B2492" t="str">
        <f>IF(AND(FORSIDE!$B$8&gt;=16,FORSIDE!$F$8&gt;=10,FORSIDE!$B$5&gt;=4),354+10*FORSIDE!$F$9,"")</f>
        <v/>
      </c>
      <c r="C2492" t="str">
        <f>IF(AND(FORSIDE!$B$8&gt;=16,FORSIDE!$F$8&gt;=10,FORSIDE!$B$5&gt;=4),16*FORSIDE!$B$9,"")</f>
        <v/>
      </c>
      <c r="D2492" t="str">
        <f>IF(AND(FORSIDE!$B$8&gt;=16,FORSIDE!$F$8&gt;=10,FORSIDE!$B$5&gt;=4),FORSIDE!$B$6+(4-1)*FORSIDE!$B$7,"")</f>
        <v/>
      </c>
    </row>
    <row r="2493" spans="1:4" x14ac:dyDescent="0.3">
      <c r="A2493" t="str">
        <f>IF(AND(FORSIDE!$B$8&gt;=16,FORSIDE!$F$8&gt;=10,FORSIDE!$B$5&gt;=5),2492,"")</f>
        <v/>
      </c>
      <c r="B2493" t="str">
        <f>IF(AND(FORSIDE!$B$8&gt;=16,FORSIDE!$F$8&gt;=10,FORSIDE!$B$5&gt;=5),354+10*FORSIDE!$F$9,"")</f>
        <v/>
      </c>
      <c r="C2493" t="str">
        <f>IF(AND(FORSIDE!$B$8&gt;=16,FORSIDE!$F$8&gt;=10,FORSIDE!$B$5&gt;=5),16*FORSIDE!$B$9,"")</f>
        <v/>
      </c>
      <c r="D2493" t="str">
        <f>IF(AND(FORSIDE!$B$8&gt;=16,FORSIDE!$F$8&gt;=10,FORSIDE!$B$5&gt;=5),FORSIDE!$B$6+(5-1)*FORSIDE!$B$7,"")</f>
        <v/>
      </c>
    </row>
    <row r="2494" spans="1:4" x14ac:dyDescent="0.3">
      <c r="A2494" t="str">
        <f>IF(AND(FORSIDE!$B$8&gt;=16,FORSIDE!$F$8&gt;=10,FORSIDE!$B$5&gt;=6),2493,"")</f>
        <v/>
      </c>
      <c r="B2494" t="str">
        <f>IF(AND(FORSIDE!$B$8&gt;=16,FORSIDE!$F$8&gt;=10,FORSIDE!$B$5&gt;=6),354+10*FORSIDE!$F$9,"")</f>
        <v/>
      </c>
      <c r="C2494" t="str">
        <f>IF(AND(FORSIDE!$B$8&gt;=16,FORSIDE!$F$8&gt;=10,FORSIDE!$B$5&gt;=6),16*FORSIDE!$B$9,"")</f>
        <v/>
      </c>
      <c r="D2494" t="str">
        <f>IF(AND(FORSIDE!$B$8&gt;=16,FORSIDE!$F$8&gt;=10,FORSIDE!$B$5&gt;=6),FORSIDE!$B$6+(6-1)*FORSIDE!$B$7,"")</f>
        <v/>
      </c>
    </row>
    <row r="2495" spans="1:4" x14ac:dyDescent="0.3">
      <c r="A2495" t="str">
        <f>IF(AND(FORSIDE!$B$8&gt;=16,FORSIDE!$F$8&gt;=10,FORSIDE!$B$5&gt;=7),2494,"")</f>
        <v/>
      </c>
      <c r="B2495" t="str">
        <f>IF(AND(FORSIDE!$B$8&gt;=16,FORSIDE!$F$8&gt;=10,FORSIDE!$B$5&gt;=7),354+10*FORSIDE!$F$9,"")</f>
        <v/>
      </c>
      <c r="C2495" t="str">
        <f>IF(AND(FORSIDE!$B$8&gt;=16,FORSIDE!$F$8&gt;=10,FORSIDE!$B$5&gt;=7),16*FORSIDE!$B$9,"")</f>
        <v/>
      </c>
      <c r="D2495" t="str">
        <f>IF(AND(FORSIDE!$B$8&gt;=16,FORSIDE!$F$8&gt;=10,FORSIDE!$B$5&gt;=7),FORSIDE!$B$6+(7-1)*FORSIDE!$B$7,"")</f>
        <v/>
      </c>
    </row>
    <row r="2496" spans="1:4" x14ac:dyDescent="0.3">
      <c r="A2496" t="str">
        <f>IF(AND(FORSIDE!$B$8&gt;=16,FORSIDE!$F$8&gt;=10,FORSIDE!$B$5&gt;=8),2495,"")</f>
        <v/>
      </c>
      <c r="B2496" t="str">
        <f>IF(AND(FORSIDE!$B$8&gt;=16,FORSIDE!$F$8&gt;=10,FORSIDE!$B$5&gt;=8),354+10*FORSIDE!$F$9,"")</f>
        <v/>
      </c>
      <c r="C2496" t="str">
        <f>IF(AND(FORSIDE!$B$8&gt;=16,FORSIDE!$F$8&gt;=10,FORSIDE!$B$5&gt;=8),16*FORSIDE!$B$9,"")</f>
        <v/>
      </c>
      <c r="D2496" t="str">
        <f>IF(AND(FORSIDE!$B$8&gt;=16,FORSIDE!$F$8&gt;=10,FORSIDE!$B$5&gt;=8),FORSIDE!$B$6+(8-1)*FORSIDE!$B$7,"")</f>
        <v/>
      </c>
    </row>
    <row r="2497" spans="1:4" x14ac:dyDescent="0.3">
      <c r="A2497" t="str">
        <f>IF(AND(FORSIDE!$B$8&gt;=16,FORSIDE!$F$8&gt;=10,FORSIDE!$B$5&gt;=9),2496,"")</f>
        <v/>
      </c>
      <c r="B2497" t="str">
        <f>IF(AND(FORSIDE!$B$8&gt;=16,FORSIDE!$F$8&gt;=10,FORSIDE!$B$5&gt;=9),354+10*FORSIDE!$F$9,"")</f>
        <v/>
      </c>
      <c r="C2497" t="str">
        <f>IF(AND(FORSIDE!$B$8&gt;=16,FORSIDE!$F$8&gt;=10,FORSIDE!$B$5&gt;=9),16*FORSIDE!$B$9,"")</f>
        <v/>
      </c>
      <c r="D2497" t="str">
        <f>IF(AND(FORSIDE!$B$8&gt;=16,FORSIDE!$F$8&gt;=10,FORSIDE!$B$5&gt;=9),FORSIDE!$B$6+(9-1)*FORSIDE!$B$7,"")</f>
        <v/>
      </c>
    </row>
    <row r="2498" spans="1:4" x14ac:dyDescent="0.3">
      <c r="A2498" t="str">
        <f>IF(AND(FORSIDE!$B$8&gt;=16,FORSIDE!$F$8&gt;=10,FORSIDE!$B$5&gt;=10),2497,"")</f>
        <v/>
      </c>
      <c r="B2498" t="str">
        <f>IF(AND(FORSIDE!$B$8&gt;=16,FORSIDE!$F$8&gt;=10,FORSIDE!$B$5&gt;=10),354+10*FORSIDE!$F$9,"")</f>
        <v/>
      </c>
      <c r="C2498" t="str">
        <f>IF(AND(FORSIDE!$B$8&gt;=16,FORSIDE!$F$8&gt;=10,FORSIDE!$B$5&gt;=10),16*FORSIDE!$B$9,"")</f>
        <v/>
      </c>
      <c r="D2498" t="str">
        <f>IF(AND(FORSIDE!$B$8&gt;=16,FORSIDE!$F$8&gt;=10,FORSIDE!$B$5&gt;=10),FORSIDE!$B$6+(10-1)*FORSIDE!$B$7,"")</f>
        <v/>
      </c>
    </row>
    <row r="2499" spans="1:4" x14ac:dyDescent="0.3">
      <c r="A2499" t="str">
        <f>IF(AND(FORSIDE!$B$8&gt;=17,FORSIDE!$F$8&gt;=10,FORSIDE!$B$5&gt;=0),2498,"")</f>
        <v/>
      </c>
      <c r="B2499" t="str">
        <f>IF(AND(FORSIDE!$B$8&gt;=17,FORSIDE!$F$8&gt;=10,FORSIDE!$B$5&gt;=0),354+10*FORSIDE!$F$9,"")</f>
        <v/>
      </c>
      <c r="C2499" t="str">
        <f>IF(AND(FORSIDE!$B$8&gt;=17,FORSIDE!$F$8&gt;=10,FORSIDE!$B$5&gt;=0),17*FORSIDE!$B$9,"")</f>
        <v/>
      </c>
      <c r="D2499" t="str">
        <f>IF(AND(FORSIDE!$B$8&gt;=17,FORSIDE!$F$8&gt;=10,FORSIDE!$B$5&gt;=0),0,"")</f>
        <v/>
      </c>
    </row>
    <row r="2500" spans="1:4" x14ac:dyDescent="0.3">
      <c r="A2500" t="str">
        <f>IF(AND(FORSIDE!$B$8&gt;=17,FORSIDE!$F$8&gt;=10,FORSIDE!$B$5&gt;=1),2499,"")</f>
        <v/>
      </c>
      <c r="B2500" t="str">
        <f>IF(AND(FORSIDE!$B$8&gt;=17,FORSIDE!$F$8&gt;=10,FORSIDE!$B$5&gt;=1),354+10*FORSIDE!$F$9,"")</f>
        <v/>
      </c>
      <c r="C2500" t="str">
        <f>IF(AND(FORSIDE!$B$8&gt;=17,FORSIDE!$F$8&gt;=10,FORSIDE!$B$5&gt;=1),17*FORSIDE!$B$9,"")</f>
        <v/>
      </c>
      <c r="D2500" t="str">
        <f>IF(AND(FORSIDE!$B$8&gt;=17,FORSIDE!$F$8&gt;=10,FORSIDE!$B$5&gt;=1),FORSIDE!$B$6+(1-1)*FORSIDE!$B$7,"")</f>
        <v/>
      </c>
    </row>
    <row r="2501" spans="1:4" x14ac:dyDescent="0.3">
      <c r="A2501" t="str">
        <f>IF(AND(FORSIDE!$B$8&gt;=17,FORSIDE!$F$8&gt;=10,FORSIDE!$B$5&gt;=2),2500,"")</f>
        <v/>
      </c>
      <c r="B2501" t="str">
        <f>IF(AND(FORSIDE!$B$8&gt;=17,FORSIDE!$F$8&gt;=10,FORSIDE!$B$5&gt;=2),354+10*FORSIDE!$F$9,"")</f>
        <v/>
      </c>
      <c r="C2501" t="str">
        <f>IF(AND(FORSIDE!$B$8&gt;=17,FORSIDE!$F$8&gt;=10,FORSIDE!$B$5&gt;=2),17*FORSIDE!$B$9,"")</f>
        <v/>
      </c>
      <c r="D2501" t="str">
        <f>IF(AND(FORSIDE!$B$8&gt;=17,FORSIDE!$F$8&gt;=10,FORSIDE!$B$5&gt;=2),FORSIDE!$B$6+(2-1)*FORSIDE!$B$7,"")</f>
        <v/>
      </c>
    </row>
    <row r="2502" spans="1:4" x14ac:dyDescent="0.3">
      <c r="A2502" t="str">
        <f>IF(AND(FORSIDE!$B$8&gt;=17,FORSIDE!$F$8&gt;=10,FORSIDE!$B$5&gt;=3),2501,"")</f>
        <v/>
      </c>
      <c r="B2502" t="str">
        <f>IF(AND(FORSIDE!$B$8&gt;=17,FORSIDE!$F$8&gt;=10,FORSIDE!$B$5&gt;=3),354+10*FORSIDE!$F$9,"")</f>
        <v/>
      </c>
      <c r="C2502" t="str">
        <f>IF(AND(FORSIDE!$B$8&gt;=17,FORSIDE!$F$8&gt;=10,FORSIDE!$B$5&gt;=3),17*FORSIDE!$B$9,"")</f>
        <v/>
      </c>
      <c r="D2502" t="str">
        <f>IF(AND(FORSIDE!$B$8&gt;=17,FORSIDE!$F$8&gt;=10,FORSIDE!$B$5&gt;=3),FORSIDE!$B$6+(3-1)*FORSIDE!$B$7,"")</f>
        <v/>
      </c>
    </row>
    <row r="2503" spans="1:4" x14ac:dyDescent="0.3">
      <c r="A2503" t="str">
        <f>IF(AND(FORSIDE!$B$8&gt;=17,FORSIDE!$F$8&gt;=10,FORSIDE!$B$5&gt;=4),2502,"")</f>
        <v/>
      </c>
      <c r="B2503" t="str">
        <f>IF(AND(FORSIDE!$B$8&gt;=17,FORSIDE!$F$8&gt;=10,FORSIDE!$B$5&gt;=4),354+10*FORSIDE!$F$9,"")</f>
        <v/>
      </c>
      <c r="C2503" t="str">
        <f>IF(AND(FORSIDE!$B$8&gt;=17,FORSIDE!$F$8&gt;=10,FORSIDE!$B$5&gt;=4),17*FORSIDE!$B$9,"")</f>
        <v/>
      </c>
      <c r="D2503" t="str">
        <f>IF(AND(FORSIDE!$B$8&gt;=17,FORSIDE!$F$8&gt;=10,FORSIDE!$B$5&gt;=4),FORSIDE!$B$6+(4-1)*FORSIDE!$B$7,"")</f>
        <v/>
      </c>
    </row>
    <row r="2504" spans="1:4" x14ac:dyDescent="0.3">
      <c r="A2504" t="str">
        <f>IF(AND(FORSIDE!$B$8&gt;=17,FORSIDE!$F$8&gt;=10,FORSIDE!$B$5&gt;=5),2503,"")</f>
        <v/>
      </c>
      <c r="B2504" t="str">
        <f>IF(AND(FORSIDE!$B$8&gt;=17,FORSIDE!$F$8&gt;=10,FORSIDE!$B$5&gt;=5),354+10*FORSIDE!$F$9,"")</f>
        <v/>
      </c>
      <c r="C2504" t="str">
        <f>IF(AND(FORSIDE!$B$8&gt;=17,FORSIDE!$F$8&gt;=10,FORSIDE!$B$5&gt;=5),17*FORSIDE!$B$9,"")</f>
        <v/>
      </c>
      <c r="D2504" t="str">
        <f>IF(AND(FORSIDE!$B$8&gt;=17,FORSIDE!$F$8&gt;=10,FORSIDE!$B$5&gt;=5),FORSIDE!$B$6+(5-1)*FORSIDE!$B$7,"")</f>
        <v/>
      </c>
    </row>
    <row r="2505" spans="1:4" x14ac:dyDescent="0.3">
      <c r="A2505" t="str">
        <f>IF(AND(FORSIDE!$B$8&gt;=17,FORSIDE!$F$8&gt;=10,FORSIDE!$B$5&gt;=6),2504,"")</f>
        <v/>
      </c>
      <c r="B2505" t="str">
        <f>IF(AND(FORSIDE!$B$8&gt;=17,FORSIDE!$F$8&gt;=10,FORSIDE!$B$5&gt;=6),354+10*FORSIDE!$F$9,"")</f>
        <v/>
      </c>
      <c r="C2505" t="str">
        <f>IF(AND(FORSIDE!$B$8&gt;=17,FORSIDE!$F$8&gt;=10,FORSIDE!$B$5&gt;=6),17*FORSIDE!$B$9,"")</f>
        <v/>
      </c>
      <c r="D2505" t="str">
        <f>IF(AND(FORSIDE!$B$8&gt;=17,FORSIDE!$F$8&gt;=10,FORSIDE!$B$5&gt;=6),FORSIDE!$B$6+(6-1)*FORSIDE!$B$7,"")</f>
        <v/>
      </c>
    </row>
    <row r="2506" spans="1:4" x14ac:dyDescent="0.3">
      <c r="A2506" t="str">
        <f>IF(AND(FORSIDE!$B$8&gt;=17,FORSIDE!$F$8&gt;=10,FORSIDE!$B$5&gt;=7),2505,"")</f>
        <v/>
      </c>
      <c r="B2506" t="str">
        <f>IF(AND(FORSIDE!$B$8&gt;=17,FORSIDE!$F$8&gt;=10,FORSIDE!$B$5&gt;=7),354+10*FORSIDE!$F$9,"")</f>
        <v/>
      </c>
      <c r="C2506" t="str">
        <f>IF(AND(FORSIDE!$B$8&gt;=17,FORSIDE!$F$8&gt;=10,FORSIDE!$B$5&gt;=7),17*FORSIDE!$B$9,"")</f>
        <v/>
      </c>
      <c r="D2506" t="str">
        <f>IF(AND(FORSIDE!$B$8&gt;=17,FORSIDE!$F$8&gt;=10,FORSIDE!$B$5&gt;=7),FORSIDE!$B$6+(7-1)*FORSIDE!$B$7,"")</f>
        <v/>
      </c>
    </row>
    <row r="2507" spans="1:4" x14ac:dyDescent="0.3">
      <c r="A2507" t="str">
        <f>IF(AND(FORSIDE!$B$8&gt;=17,FORSIDE!$F$8&gt;=10,FORSIDE!$B$5&gt;=8),2506,"")</f>
        <v/>
      </c>
      <c r="B2507" t="str">
        <f>IF(AND(FORSIDE!$B$8&gt;=17,FORSIDE!$F$8&gt;=10,FORSIDE!$B$5&gt;=8),354+10*FORSIDE!$F$9,"")</f>
        <v/>
      </c>
      <c r="C2507" t="str">
        <f>IF(AND(FORSIDE!$B$8&gt;=17,FORSIDE!$F$8&gt;=10,FORSIDE!$B$5&gt;=8),17*FORSIDE!$B$9,"")</f>
        <v/>
      </c>
      <c r="D2507" t="str">
        <f>IF(AND(FORSIDE!$B$8&gt;=17,FORSIDE!$F$8&gt;=10,FORSIDE!$B$5&gt;=8),FORSIDE!$B$6+(8-1)*FORSIDE!$B$7,"")</f>
        <v/>
      </c>
    </row>
    <row r="2508" spans="1:4" x14ac:dyDescent="0.3">
      <c r="A2508" t="str">
        <f>IF(AND(FORSIDE!$B$8&gt;=17,FORSIDE!$F$8&gt;=10,FORSIDE!$B$5&gt;=9),2507,"")</f>
        <v/>
      </c>
      <c r="B2508" t="str">
        <f>IF(AND(FORSIDE!$B$8&gt;=17,FORSIDE!$F$8&gt;=10,FORSIDE!$B$5&gt;=9),354+10*FORSIDE!$F$9,"")</f>
        <v/>
      </c>
      <c r="C2508" t="str">
        <f>IF(AND(FORSIDE!$B$8&gt;=17,FORSIDE!$F$8&gt;=10,FORSIDE!$B$5&gt;=9),17*FORSIDE!$B$9,"")</f>
        <v/>
      </c>
      <c r="D2508" t="str">
        <f>IF(AND(FORSIDE!$B$8&gt;=17,FORSIDE!$F$8&gt;=10,FORSIDE!$B$5&gt;=9),FORSIDE!$B$6+(9-1)*FORSIDE!$B$7,"")</f>
        <v/>
      </c>
    </row>
    <row r="2509" spans="1:4" x14ac:dyDescent="0.3">
      <c r="A2509" t="str">
        <f>IF(AND(FORSIDE!$B$8&gt;=17,FORSIDE!$F$8&gt;=10,FORSIDE!$B$5&gt;=10),2508,"")</f>
        <v/>
      </c>
      <c r="B2509" t="str">
        <f>IF(AND(FORSIDE!$B$8&gt;=17,FORSIDE!$F$8&gt;=10,FORSIDE!$B$5&gt;=10),354+10*FORSIDE!$F$9,"")</f>
        <v/>
      </c>
      <c r="C2509" t="str">
        <f>IF(AND(FORSIDE!$B$8&gt;=17,FORSIDE!$F$8&gt;=10,FORSIDE!$B$5&gt;=10),17*FORSIDE!$B$9,"")</f>
        <v/>
      </c>
      <c r="D2509" t="str">
        <f>IF(AND(FORSIDE!$B$8&gt;=17,FORSIDE!$F$8&gt;=10,FORSIDE!$B$5&gt;=10),FORSIDE!$B$6+(10-1)*FORSIDE!$B$7,"")</f>
        <v/>
      </c>
    </row>
    <row r="2510" spans="1:4" x14ac:dyDescent="0.3">
      <c r="A2510" t="str">
        <f>IF(AND(FORSIDE!$B$8&gt;=18,FORSIDE!$F$8&gt;=10,FORSIDE!$B$5&gt;=0),2509,"")</f>
        <v/>
      </c>
      <c r="B2510" t="str">
        <f>IF(AND(FORSIDE!$B$8&gt;=18,FORSIDE!$F$8&gt;=10,FORSIDE!$B$5&gt;=0),354+10*FORSIDE!$F$9,"")</f>
        <v/>
      </c>
      <c r="C2510" t="str">
        <f>IF(AND(FORSIDE!$B$8&gt;=18,FORSIDE!$F$8&gt;=10,FORSIDE!$B$5&gt;=0),18*FORSIDE!$B$9,"")</f>
        <v/>
      </c>
      <c r="D2510" t="str">
        <f>IF(AND(FORSIDE!$B$8&gt;=18,FORSIDE!$F$8&gt;=10,FORSIDE!$B$5&gt;=0),0,"")</f>
        <v/>
      </c>
    </row>
    <row r="2511" spans="1:4" x14ac:dyDescent="0.3">
      <c r="A2511" t="str">
        <f>IF(AND(FORSIDE!$B$8&gt;=18,FORSIDE!$F$8&gt;=10,FORSIDE!$B$5&gt;=1),2510,"")</f>
        <v/>
      </c>
      <c r="B2511" t="str">
        <f>IF(AND(FORSIDE!$B$8&gt;=18,FORSIDE!$F$8&gt;=10,FORSIDE!$B$5&gt;=1),354+10*FORSIDE!$F$9,"")</f>
        <v/>
      </c>
      <c r="C2511" t="str">
        <f>IF(AND(FORSIDE!$B$8&gt;=18,FORSIDE!$F$8&gt;=10,FORSIDE!$B$5&gt;=1),18*FORSIDE!$B$9,"")</f>
        <v/>
      </c>
      <c r="D2511" t="str">
        <f>IF(AND(FORSIDE!$B$8&gt;=18,FORSIDE!$F$8&gt;=10,FORSIDE!$B$5&gt;=1),FORSIDE!$B$6+(1-1)*FORSIDE!$B$7,"")</f>
        <v/>
      </c>
    </row>
    <row r="2512" spans="1:4" x14ac:dyDescent="0.3">
      <c r="A2512" t="str">
        <f>IF(AND(FORSIDE!$B$8&gt;=18,FORSIDE!$F$8&gt;=10,FORSIDE!$B$5&gt;=2),2511,"")</f>
        <v/>
      </c>
      <c r="B2512" t="str">
        <f>IF(AND(FORSIDE!$B$8&gt;=18,FORSIDE!$F$8&gt;=10,FORSIDE!$B$5&gt;=2),354+10*FORSIDE!$F$9,"")</f>
        <v/>
      </c>
      <c r="C2512" t="str">
        <f>IF(AND(FORSIDE!$B$8&gt;=18,FORSIDE!$F$8&gt;=10,FORSIDE!$B$5&gt;=2),18*FORSIDE!$B$9,"")</f>
        <v/>
      </c>
      <c r="D2512" t="str">
        <f>IF(AND(FORSIDE!$B$8&gt;=18,FORSIDE!$F$8&gt;=10,FORSIDE!$B$5&gt;=2),FORSIDE!$B$6+(2-1)*FORSIDE!$B$7,"")</f>
        <v/>
      </c>
    </row>
    <row r="2513" spans="1:4" x14ac:dyDescent="0.3">
      <c r="A2513" t="str">
        <f>IF(AND(FORSIDE!$B$8&gt;=18,FORSIDE!$F$8&gt;=10,FORSIDE!$B$5&gt;=3),2512,"")</f>
        <v/>
      </c>
      <c r="B2513" t="str">
        <f>IF(AND(FORSIDE!$B$8&gt;=18,FORSIDE!$F$8&gt;=10,FORSIDE!$B$5&gt;=3),354+10*FORSIDE!$F$9,"")</f>
        <v/>
      </c>
      <c r="C2513" t="str">
        <f>IF(AND(FORSIDE!$B$8&gt;=18,FORSIDE!$F$8&gt;=10,FORSIDE!$B$5&gt;=3),18*FORSIDE!$B$9,"")</f>
        <v/>
      </c>
      <c r="D2513" t="str">
        <f>IF(AND(FORSIDE!$B$8&gt;=18,FORSIDE!$F$8&gt;=10,FORSIDE!$B$5&gt;=3),FORSIDE!$B$6+(3-1)*FORSIDE!$B$7,"")</f>
        <v/>
      </c>
    </row>
    <row r="2514" spans="1:4" x14ac:dyDescent="0.3">
      <c r="A2514" t="str">
        <f>IF(AND(FORSIDE!$B$8&gt;=18,FORSIDE!$F$8&gt;=10,FORSIDE!$B$5&gt;=4),2513,"")</f>
        <v/>
      </c>
      <c r="B2514" t="str">
        <f>IF(AND(FORSIDE!$B$8&gt;=18,FORSIDE!$F$8&gt;=10,FORSIDE!$B$5&gt;=4),354+10*FORSIDE!$F$9,"")</f>
        <v/>
      </c>
      <c r="C2514" t="str">
        <f>IF(AND(FORSIDE!$B$8&gt;=18,FORSIDE!$F$8&gt;=10,FORSIDE!$B$5&gt;=4),18*FORSIDE!$B$9,"")</f>
        <v/>
      </c>
      <c r="D2514" t="str">
        <f>IF(AND(FORSIDE!$B$8&gt;=18,FORSIDE!$F$8&gt;=10,FORSIDE!$B$5&gt;=4),FORSIDE!$B$6+(4-1)*FORSIDE!$B$7,"")</f>
        <v/>
      </c>
    </row>
    <row r="2515" spans="1:4" x14ac:dyDescent="0.3">
      <c r="A2515" t="str">
        <f>IF(AND(FORSIDE!$B$8&gt;=18,FORSIDE!$F$8&gt;=10,FORSIDE!$B$5&gt;=5),2514,"")</f>
        <v/>
      </c>
      <c r="B2515" t="str">
        <f>IF(AND(FORSIDE!$B$8&gt;=18,FORSIDE!$F$8&gt;=10,FORSIDE!$B$5&gt;=5),354+10*FORSIDE!$F$9,"")</f>
        <v/>
      </c>
      <c r="C2515" t="str">
        <f>IF(AND(FORSIDE!$B$8&gt;=18,FORSIDE!$F$8&gt;=10,FORSIDE!$B$5&gt;=5),18*FORSIDE!$B$9,"")</f>
        <v/>
      </c>
      <c r="D2515" t="str">
        <f>IF(AND(FORSIDE!$B$8&gt;=18,FORSIDE!$F$8&gt;=10,FORSIDE!$B$5&gt;=5),FORSIDE!$B$6+(5-1)*FORSIDE!$B$7,"")</f>
        <v/>
      </c>
    </row>
    <row r="2516" spans="1:4" x14ac:dyDescent="0.3">
      <c r="A2516" t="str">
        <f>IF(AND(FORSIDE!$B$8&gt;=18,FORSIDE!$F$8&gt;=10,FORSIDE!$B$5&gt;=6),2515,"")</f>
        <v/>
      </c>
      <c r="B2516" t="str">
        <f>IF(AND(FORSIDE!$B$8&gt;=18,FORSIDE!$F$8&gt;=10,FORSIDE!$B$5&gt;=6),354+10*FORSIDE!$F$9,"")</f>
        <v/>
      </c>
      <c r="C2516" t="str">
        <f>IF(AND(FORSIDE!$B$8&gt;=18,FORSIDE!$F$8&gt;=10,FORSIDE!$B$5&gt;=6),18*FORSIDE!$B$9,"")</f>
        <v/>
      </c>
      <c r="D2516" t="str">
        <f>IF(AND(FORSIDE!$B$8&gt;=18,FORSIDE!$F$8&gt;=10,FORSIDE!$B$5&gt;=6),FORSIDE!$B$6+(6-1)*FORSIDE!$B$7,"")</f>
        <v/>
      </c>
    </row>
    <row r="2517" spans="1:4" x14ac:dyDescent="0.3">
      <c r="A2517" t="str">
        <f>IF(AND(FORSIDE!$B$8&gt;=18,FORSIDE!$F$8&gt;=10,FORSIDE!$B$5&gt;=7),2516,"")</f>
        <v/>
      </c>
      <c r="B2517" t="str">
        <f>IF(AND(FORSIDE!$B$8&gt;=18,FORSIDE!$F$8&gt;=10,FORSIDE!$B$5&gt;=7),354+10*FORSIDE!$F$9,"")</f>
        <v/>
      </c>
      <c r="C2517" t="str">
        <f>IF(AND(FORSIDE!$B$8&gt;=18,FORSIDE!$F$8&gt;=10,FORSIDE!$B$5&gt;=7),18*FORSIDE!$B$9,"")</f>
        <v/>
      </c>
      <c r="D2517" t="str">
        <f>IF(AND(FORSIDE!$B$8&gt;=18,FORSIDE!$F$8&gt;=10,FORSIDE!$B$5&gt;=7),FORSIDE!$B$6+(7-1)*FORSIDE!$B$7,"")</f>
        <v/>
      </c>
    </row>
    <row r="2518" spans="1:4" x14ac:dyDescent="0.3">
      <c r="A2518" t="str">
        <f>IF(AND(FORSIDE!$B$8&gt;=18,FORSIDE!$F$8&gt;=10,FORSIDE!$B$5&gt;=8),2517,"")</f>
        <v/>
      </c>
      <c r="B2518" t="str">
        <f>IF(AND(FORSIDE!$B$8&gt;=18,FORSIDE!$F$8&gt;=10,FORSIDE!$B$5&gt;=8),354+10*FORSIDE!$F$9,"")</f>
        <v/>
      </c>
      <c r="C2518" t="str">
        <f>IF(AND(FORSIDE!$B$8&gt;=18,FORSIDE!$F$8&gt;=10,FORSIDE!$B$5&gt;=8),18*FORSIDE!$B$9,"")</f>
        <v/>
      </c>
      <c r="D2518" t="str">
        <f>IF(AND(FORSIDE!$B$8&gt;=18,FORSIDE!$F$8&gt;=10,FORSIDE!$B$5&gt;=8),FORSIDE!$B$6+(8-1)*FORSIDE!$B$7,"")</f>
        <v/>
      </c>
    </row>
    <row r="2519" spans="1:4" x14ac:dyDescent="0.3">
      <c r="A2519" t="str">
        <f>IF(AND(FORSIDE!$B$8&gt;=18,FORSIDE!$F$8&gt;=10,FORSIDE!$B$5&gt;=9),2518,"")</f>
        <v/>
      </c>
      <c r="B2519" t="str">
        <f>IF(AND(FORSIDE!$B$8&gt;=18,FORSIDE!$F$8&gt;=10,FORSIDE!$B$5&gt;=9),354+10*FORSIDE!$F$9,"")</f>
        <v/>
      </c>
      <c r="C2519" t="str">
        <f>IF(AND(FORSIDE!$B$8&gt;=18,FORSIDE!$F$8&gt;=10,FORSIDE!$B$5&gt;=9),18*FORSIDE!$B$9,"")</f>
        <v/>
      </c>
      <c r="D2519" t="str">
        <f>IF(AND(FORSIDE!$B$8&gt;=18,FORSIDE!$F$8&gt;=10,FORSIDE!$B$5&gt;=9),FORSIDE!$B$6+(9-1)*FORSIDE!$B$7,"")</f>
        <v/>
      </c>
    </row>
    <row r="2520" spans="1:4" x14ac:dyDescent="0.3">
      <c r="A2520" t="str">
        <f>IF(AND(FORSIDE!$B$8&gt;=18,FORSIDE!$F$8&gt;=10,FORSIDE!$B$5&gt;=10),2519,"")</f>
        <v/>
      </c>
      <c r="B2520" t="str">
        <f>IF(AND(FORSIDE!$B$8&gt;=18,FORSIDE!$F$8&gt;=10,FORSIDE!$B$5&gt;=10),354+10*FORSIDE!$F$9,"")</f>
        <v/>
      </c>
      <c r="C2520" t="str">
        <f>IF(AND(FORSIDE!$B$8&gt;=18,FORSIDE!$F$8&gt;=10,FORSIDE!$B$5&gt;=10),18*FORSIDE!$B$9,"")</f>
        <v/>
      </c>
      <c r="D2520" t="str">
        <f>IF(AND(FORSIDE!$B$8&gt;=18,FORSIDE!$F$8&gt;=10,FORSIDE!$B$5&gt;=10),FORSIDE!$B$6+(10-1)*FORSIDE!$B$7,"")</f>
        <v/>
      </c>
    </row>
    <row r="2521" spans="1:4" x14ac:dyDescent="0.3">
      <c r="A2521" t="str">
        <f>IF(AND(FORSIDE!$B$8&gt;=19,FORSIDE!$F$8&gt;=10,FORSIDE!$B$5&gt;=0),2520,"")</f>
        <v/>
      </c>
      <c r="B2521" t="str">
        <f>IF(AND(FORSIDE!$B$8&gt;=19,FORSIDE!$F$8&gt;=10,FORSIDE!$B$5&gt;=0),354+10*FORSIDE!$F$9,"")</f>
        <v/>
      </c>
      <c r="C2521" t="str">
        <f>IF(AND(FORSIDE!$B$8&gt;=19,FORSIDE!$F$8&gt;=10,FORSIDE!$B$5&gt;=0),19*FORSIDE!$B$9,"")</f>
        <v/>
      </c>
      <c r="D2521" t="str">
        <f>IF(AND(FORSIDE!$B$8&gt;=19,FORSIDE!$F$8&gt;=10,FORSIDE!$B$5&gt;=0),0,"")</f>
        <v/>
      </c>
    </row>
    <row r="2522" spans="1:4" x14ac:dyDescent="0.3">
      <c r="A2522" t="str">
        <f>IF(AND(FORSIDE!$B$8&gt;=19,FORSIDE!$F$8&gt;=10,FORSIDE!$B$5&gt;=1),2521,"")</f>
        <v/>
      </c>
      <c r="B2522" t="str">
        <f>IF(AND(FORSIDE!$B$8&gt;=19,FORSIDE!$F$8&gt;=10,FORSIDE!$B$5&gt;=1),354+10*FORSIDE!$F$9,"")</f>
        <v/>
      </c>
      <c r="C2522" t="str">
        <f>IF(AND(FORSIDE!$B$8&gt;=19,FORSIDE!$F$8&gt;=10,FORSIDE!$B$5&gt;=1),19*FORSIDE!$B$9,"")</f>
        <v/>
      </c>
      <c r="D2522" t="str">
        <f>IF(AND(FORSIDE!$B$8&gt;=19,FORSIDE!$F$8&gt;=10,FORSIDE!$B$5&gt;=1),FORSIDE!$B$6+(1-1)*FORSIDE!$B$7,"")</f>
        <v/>
      </c>
    </row>
    <row r="2523" spans="1:4" x14ac:dyDescent="0.3">
      <c r="A2523" t="str">
        <f>IF(AND(FORSIDE!$B$8&gt;=19,FORSIDE!$F$8&gt;=10,FORSIDE!$B$5&gt;=2),2522,"")</f>
        <v/>
      </c>
      <c r="B2523" t="str">
        <f>IF(AND(FORSIDE!$B$8&gt;=19,FORSIDE!$F$8&gt;=10,FORSIDE!$B$5&gt;=2),354+10*FORSIDE!$F$9,"")</f>
        <v/>
      </c>
      <c r="C2523" t="str">
        <f>IF(AND(FORSIDE!$B$8&gt;=19,FORSIDE!$F$8&gt;=10,FORSIDE!$B$5&gt;=2),19*FORSIDE!$B$9,"")</f>
        <v/>
      </c>
      <c r="D2523" t="str">
        <f>IF(AND(FORSIDE!$B$8&gt;=19,FORSIDE!$F$8&gt;=10,FORSIDE!$B$5&gt;=2),FORSIDE!$B$6+(2-1)*FORSIDE!$B$7,"")</f>
        <v/>
      </c>
    </row>
    <row r="2524" spans="1:4" x14ac:dyDescent="0.3">
      <c r="A2524" t="str">
        <f>IF(AND(FORSIDE!$B$8&gt;=19,FORSIDE!$F$8&gt;=10,FORSIDE!$B$5&gt;=3),2523,"")</f>
        <v/>
      </c>
      <c r="B2524" t="str">
        <f>IF(AND(FORSIDE!$B$8&gt;=19,FORSIDE!$F$8&gt;=10,FORSIDE!$B$5&gt;=3),354+10*FORSIDE!$F$9,"")</f>
        <v/>
      </c>
      <c r="C2524" t="str">
        <f>IF(AND(FORSIDE!$B$8&gt;=19,FORSIDE!$F$8&gt;=10,FORSIDE!$B$5&gt;=3),19*FORSIDE!$B$9,"")</f>
        <v/>
      </c>
      <c r="D2524" t="str">
        <f>IF(AND(FORSIDE!$B$8&gt;=19,FORSIDE!$F$8&gt;=10,FORSIDE!$B$5&gt;=3),FORSIDE!$B$6+(3-1)*FORSIDE!$B$7,"")</f>
        <v/>
      </c>
    </row>
    <row r="2525" spans="1:4" x14ac:dyDescent="0.3">
      <c r="A2525" t="str">
        <f>IF(AND(FORSIDE!$B$8&gt;=19,FORSIDE!$F$8&gt;=10,FORSIDE!$B$5&gt;=4),2524,"")</f>
        <v/>
      </c>
      <c r="B2525" t="str">
        <f>IF(AND(FORSIDE!$B$8&gt;=19,FORSIDE!$F$8&gt;=10,FORSIDE!$B$5&gt;=4),354+10*FORSIDE!$F$9,"")</f>
        <v/>
      </c>
      <c r="C2525" t="str">
        <f>IF(AND(FORSIDE!$B$8&gt;=19,FORSIDE!$F$8&gt;=10,FORSIDE!$B$5&gt;=4),19*FORSIDE!$B$9,"")</f>
        <v/>
      </c>
      <c r="D2525" t="str">
        <f>IF(AND(FORSIDE!$B$8&gt;=19,FORSIDE!$F$8&gt;=10,FORSIDE!$B$5&gt;=4),FORSIDE!$B$6+(4-1)*FORSIDE!$B$7,"")</f>
        <v/>
      </c>
    </row>
    <row r="2526" spans="1:4" x14ac:dyDescent="0.3">
      <c r="A2526" t="str">
        <f>IF(AND(FORSIDE!$B$8&gt;=19,FORSIDE!$F$8&gt;=10,FORSIDE!$B$5&gt;=5),2525,"")</f>
        <v/>
      </c>
      <c r="B2526" t="str">
        <f>IF(AND(FORSIDE!$B$8&gt;=19,FORSIDE!$F$8&gt;=10,FORSIDE!$B$5&gt;=5),354+10*FORSIDE!$F$9,"")</f>
        <v/>
      </c>
      <c r="C2526" t="str">
        <f>IF(AND(FORSIDE!$B$8&gt;=19,FORSIDE!$F$8&gt;=10,FORSIDE!$B$5&gt;=5),19*FORSIDE!$B$9,"")</f>
        <v/>
      </c>
      <c r="D2526" t="str">
        <f>IF(AND(FORSIDE!$B$8&gt;=19,FORSIDE!$F$8&gt;=10,FORSIDE!$B$5&gt;=5),FORSIDE!$B$6+(5-1)*FORSIDE!$B$7,"")</f>
        <v/>
      </c>
    </row>
    <row r="2527" spans="1:4" x14ac:dyDescent="0.3">
      <c r="A2527" t="str">
        <f>IF(AND(FORSIDE!$B$8&gt;=19,FORSIDE!$F$8&gt;=10,FORSIDE!$B$5&gt;=6),2526,"")</f>
        <v/>
      </c>
      <c r="B2527" t="str">
        <f>IF(AND(FORSIDE!$B$8&gt;=19,FORSIDE!$F$8&gt;=10,FORSIDE!$B$5&gt;=6),354+10*FORSIDE!$F$9,"")</f>
        <v/>
      </c>
      <c r="C2527" t="str">
        <f>IF(AND(FORSIDE!$B$8&gt;=19,FORSIDE!$F$8&gt;=10,FORSIDE!$B$5&gt;=6),19*FORSIDE!$B$9,"")</f>
        <v/>
      </c>
      <c r="D2527" t="str">
        <f>IF(AND(FORSIDE!$B$8&gt;=19,FORSIDE!$F$8&gt;=10,FORSIDE!$B$5&gt;=6),FORSIDE!$B$6+(6-1)*FORSIDE!$B$7,"")</f>
        <v/>
      </c>
    </row>
    <row r="2528" spans="1:4" x14ac:dyDescent="0.3">
      <c r="A2528" t="str">
        <f>IF(AND(FORSIDE!$B$8&gt;=19,FORSIDE!$F$8&gt;=10,FORSIDE!$B$5&gt;=7),2527,"")</f>
        <v/>
      </c>
      <c r="B2528" t="str">
        <f>IF(AND(FORSIDE!$B$8&gt;=19,FORSIDE!$F$8&gt;=10,FORSIDE!$B$5&gt;=7),354+10*FORSIDE!$F$9,"")</f>
        <v/>
      </c>
      <c r="C2528" t="str">
        <f>IF(AND(FORSIDE!$B$8&gt;=19,FORSIDE!$F$8&gt;=10,FORSIDE!$B$5&gt;=7),19*FORSIDE!$B$9,"")</f>
        <v/>
      </c>
      <c r="D2528" t="str">
        <f>IF(AND(FORSIDE!$B$8&gt;=19,FORSIDE!$F$8&gt;=10,FORSIDE!$B$5&gt;=7),FORSIDE!$B$6+(7-1)*FORSIDE!$B$7,"")</f>
        <v/>
      </c>
    </row>
    <row r="2529" spans="1:4" x14ac:dyDescent="0.3">
      <c r="A2529" t="str">
        <f>IF(AND(FORSIDE!$B$8&gt;=19,FORSIDE!$F$8&gt;=10,FORSIDE!$B$5&gt;=8),2528,"")</f>
        <v/>
      </c>
      <c r="B2529" t="str">
        <f>IF(AND(FORSIDE!$B$8&gt;=19,FORSIDE!$F$8&gt;=10,FORSIDE!$B$5&gt;=8),354+10*FORSIDE!$F$9,"")</f>
        <v/>
      </c>
      <c r="C2529" t="str">
        <f>IF(AND(FORSIDE!$B$8&gt;=19,FORSIDE!$F$8&gt;=10,FORSIDE!$B$5&gt;=8),19*FORSIDE!$B$9,"")</f>
        <v/>
      </c>
      <c r="D2529" t="str">
        <f>IF(AND(FORSIDE!$B$8&gt;=19,FORSIDE!$F$8&gt;=10,FORSIDE!$B$5&gt;=8),FORSIDE!$B$6+(8-1)*FORSIDE!$B$7,"")</f>
        <v/>
      </c>
    </row>
    <row r="2530" spans="1:4" x14ac:dyDescent="0.3">
      <c r="A2530" t="str">
        <f>IF(AND(FORSIDE!$B$8&gt;=19,FORSIDE!$F$8&gt;=10,FORSIDE!$B$5&gt;=9),2529,"")</f>
        <v/>
      </c>
      <c r="B2530" t="str">
        <f>IF(AND(FORSIDE!$B$8&gt;=19,FORSIDE!$F$8&gt;=10,FORSIDE!$B$5&gt;=9),354+10*FORSIDE!$F$9,"")</f>
        <v/>
      </c>
      <c r="C2530" t="str">
        <f>IF(AND(FORSIDE!$B$8&gt;=19,FORSIDE!$F$8&gt;=10,FORSIDE!$B$5&gt;=9),19*FORSIDE!$B$9,"")</f>
        <v/>
      </c>
      <c r="D2530" t="str">
        <f>IF(AND(FORSIDE!$B$8&gt;=19,FORSIDE!$F$8&gt;=10,FORSIDE!$B$5&gt;=9),FORSIDE!$B$6+(9-1)*FORSIDE!$B$7,"")</f>
        <v/>
      </c>
    </row>
    <row r="2531" spans="1:4" x14ac:dyDescent="0.3">
      <c r="A2531" t="str">
        <f>IF(AND(FORSIDE!$B$8&gt;=19,FORSIDE!$F$8&gt;=10,FORSIDE!$B$5&gt;=10),2530,"")</f>
        <v/>
      </c>
      <c r="B2531" t="str">
        <f>IF(AND(FORSIDE!$B$8&gt;=19,FORSIDE!$F$8&gt;=10,FORSIDE!$B$5&gt;=10),354+10*FORSIDE!$F$9,"")</f>
        <v/>
      </c>
      <c r="C2531" t="str">
        <f>IF(AND(FORSIDE!$B$8&gt;=19,FORSIDE!$F$8&gt;=10,FORSIDE!$B$5&gt;=10),19*FORSIDE!$B$9,"")</f>
        <v/>
      </c>
      <c r="D2531" t="str">
        <f>IF(AND(FORSIDE!$B$8&gt;=19,FORSIDE!$F$8&gt;=10,FORSIDE!$B$5&gt;=10),FORSIDE!$B$6+(10-1)*FORSIDE!$B$7,"")</f>
        <v/>
      </c>
    </row>
    <row r="2532" spans="1:4" x14ac:dyDescent="0.3">
      <c r="A2532" t="str">
        <f>IF(AND(FORSIDE!$B$8&gt;=20,FORSIDE!$F$8&gt;=10,FORSIDE!$B$5&gt;=0),2531,"")</f>
        <v/>
      </c>
      <c r="B2532" t="str">
        <f>IF(AND(FORSIDE!$B$8&gt;=20,FORSIDE!$F$8&gt;=10,FORSIDE!$B$5&gt;=0),354+10*FORSIDE!$F$9,"")</f>
        <v/>
      </c>
      <c r="C2532" t="str">
        <f>IF(AND(FORSIDE!$B$8&gt;=20,FORSIDE!$F$8&gt;=10,FORSIDE!$B$5&gt;=0),20*FORSIDE!$B$9,"")</f>
        <v/>
      </c>
      <c r="D2532" t="str">
        <f>IF(AND(FORSIDE!$B$8&gt;=20,FORSIDE!$F$8&gt;=10,FORSIDE!$B$5&gt;=0),0,"")</f>
        <v/>
      </c>
    </row>
    <row r="2533" spans="1:4" x14ac:dyDescent="0.3">
      <c r="A2533" t="str">
        <f>IF(AND(FORSIDE!$B$8&gt;=20,FORSIDE!$F$8&gt;=10,FORSIDE!$B$5&gt;=1),2532,"")</f>
        <v/>
      </c>
      <c r="B2533" t="str">
        <f>IF(AND(FORSIDE!$B$8&gt;=20,FORSIDE!$F$8&gt;=10,FORSIDE!$B$5&gt;=1),354+10*FORSIDE!$F$9,"")</f>
        <v/>
      </c>
      <c r="C2533" t="str">
        <f>IF(AND(FORSIDE!$B$8&gt;=20,FORSIDE!$F$8&gt;=10,FORSIDE!$B$5&gt;=1),20*FORSIDE!$B$9,"")</f>
        <v/>
      </c>
      <c r="D2533" t="str">
        <f>IF(AND(FORSIDE!$B$8&gt;=20,FORSIDE!$F$8&gt;=10,FORSIDE!$B$5&gt;=1),FORSIDE!$B$6+(1-1)*FORSIDE!$B$7,"")</f>
        <v/>
      </c>
    </row>
    <row r="2534" spans="1:4" x14ac:dyDescent="0.3">
      <c r="A2534" t="str">
        <f>IF(AND(FORSIDE!$B$8&gt;=20,FORSIDE!$F$8&gt;=10,FORSIDE!$B$5&gt;=2),2533,"")</f>
        <v/>
      </c>
      <c r="B2534" t="str">
        <f>IF(AND(FORSIDE!$B$8&gt;=20,FORSIDE!$F$8&gt;=10,FORSIDE!$B$5&gt;=2),354+10*FORSIDE!$F$9,"")</f>
        <v/>
      </c>
      <c r="C2534" t="str">
        <f>IF(AND(FORSIDE!$B$8&gt;=20,FORSIDE!$F$8&gt;=10,FORSIDE!$B$5&gt;=2),20*FORSIDE!$B$9,"")</f>
        <v/>
      </c>
      <c r="D2534" t="str">
        <f>IF(AND(FORSIDE!$B$8&gt;=20,FORSIDE!$F$8&gt;=10,FORSIDE!$B$5&gt;=2),FORSIDE!$B$6+(2-1)*FORSIDE!$B$7,"")</f>
        <v/>
      </c>
    </row>
    <row r="2535" spans="1:4" x14ac:dyDescent="0.3">
      <c r="A2535" t="str">
        <f>IF(AND(FORSIDE!$B$8&gt;=20,FORSIDE!$F$8&gt;=10,FORSIDE!$B$5&gt;=3),2534,"")</f>
        <v/>
      </c>
      <c r="B2535" t="str">
        <f>IF(AND(FORSIDE!$B$8&gt;=20,FORSIDE!$F$8&gt;=10,FORSIDE!$B$5&gt;=3),354+10*FORSIDE!$F$9,"")</f>
        <v/>
      </c>
      <c r="C2535" t="str">
        <f>IF(AND(FORSIDE!$B$8&gt;=20,FORSIDE!$F$8&gt;=10,FORSIDE!$B$5&gt;=3),20*FORSIDE!$B$9,"")</f>
        <v/>
      </c>
      <c r="D2535" t="str">
        <f>IF(AND(FORSIDE!$B$8&gt;=20,FORSIDE!$F$8&gt;=10,FORSIDE!$B$5&gt;=3),FORSIDE!$B$6+(3-1)*FORSIDE!$B$7,"")</f>
        <v/>
      </c>
    </row>
    <row r="2536" spans="1:4" x14ac:dyDescent="0.3">
      <c r="A2536" t="str">
        <f>IF(AND(FORSIDE!$B$8&gt;=20,FORSIDE!$F$8&gt;=10,FORSIDE!$B$5&gt;=4),2535,"")</f>
        <v/>
      </c>
      <c r="B2536" t="str">
        <f>IF(AND(FORSIDE!$B$8&gt;=20,FORSIDE!$F$8&gt;=10,FORSIDE!$B$5&gt;=4),354+10*FORSIDE!$F$9,"")</f>
        <v/>
      </c>
      <c r="C2536" t="str">
        <f>IF(AND(FORSIDE!$B$8&gt;=20,FORSIDE!$F$8&gt;=10,FORSIDE!$B$5&gt;=4),20*FORSIDE!$B$9,"")</f>
        <v/>
      </c>
      <c r="D2536" t="str">
        <f>IF(AND(FORSIDE!$B$8&gt;=20,FORSIDE!$F$8&gt;=10,FORSIDE!$B$5&gt;=4),FORSIDE!$B$6+(4-1)*FORSIDE!$B$7,"")</f>
        <v/>
      </c>
    </row>
    <row r="2537" spans="1:4" x14ac:dyDescent="0.3">
      <c r="A2537" t="str">
        <f>IF(AND(FORSIDE!$B$8&gt;=20,FORSIDE!$F$8&gt;=10,FORSIDE!$B$5&gt;=5),2536,"")</f>
        <v/>
      </c>
      <c r="B2537" t="str">
        <f>IF(AND(FORSIDE!$B$8&gt;=20,FORSIDE!$F$8&gt;=10,FORSIDE!$B$5&gt;=5),354+10*FORSIDE!$F$9,"")</f>
        <v/>
      </c>
      <c r="C2537" t="str">
        <f>IF(AND(FORSIDE!$B$8&gt;=20,FORSIDE!$F$8&gt;=10,FORSIDE!$B$5&gt;=5),20*FORSIDE!$B$9,"")</f>
        <v/>
      </c>
      <c r="D2537" t="str">
        <f>IF(AND(FORSIDE!$B$8&gt;=20,FORSIDE!$F$8&gt;=10,FORSIDE!$B$5&gt;=5),FORSIDE!$B$6+(5-1)*FORSIDE!$B$7,"")</f>
        <v/>
      </c>
    </row>
    <row r="2538" spans="1:4" x14ac:dyDescent="0.3">
      <c r="A2538" t="str">
        <f>IF(AND(FORSIDE!$B$8&gt;=20,FORSIDE!$F$8&gt;=10,FORSIDE!$B$5&gt;=6),2537,"")</f>
        <v/>
      </c>
      <c r="B2538" t="str">
        <f>IF(AND(FORSIDE!$B$8&gt;=20,FORSIDE!$F$8&gt;=10,FORSIDE!$B$5&gt;=6),354+10*FORSIDE!$F$9,"")</f>
        <v/>
      </c>
      <c r="C2538" t="str">
        <f>IF(AND(FORSIDE!$B$8&gt;=20,FORSIDE!$F$8&gt;=10,FORSIDE!$B$5&gt;=6),20*FORSIDE!$B$9,"")</f>
        <v/>
      </c>
      <c r="D2538" t="str">
        <f>IF(AND(FORSIDE!$B$8&gt;=20,FORSIDE!$F$8&gt;=10,FORSIDE!$B$5&gt;=6),FORSIDE!$B$6+(6-1)*FORSIDE!$B$7,"")</f>
        <v/>
      </c>
    </row>
    <row r="2539" spans="1:4" x14ac:dyDescent="0.3">
      <c r="A2539" t="str">
        <f>IF(AND(FORSIDE!$B$8&gt;=20,FORSIDE!$F$8&gt;=10,FORSIDE!$B$5&gt;=7),2538,"")</f>
        <v/>
      </c>
      <c r="B2539" t="str">
        <f>IF(AND(FORSIDE!$B$8&gt;=20,FORSIDE!$F$8&gt;=10,FORSIDE!$B$5&gt;=7),354+10*FORSIDE!$F$9,"")</f>
        <v/>
      </c>
      <c r="C2539" t="str">
        <f>IF(AND(FORSIDE!$B$8&gt;=20,FORSIDE!$F$8&gt;=10,FORSIDE!$B$5&gt;=7),20*FORSIDE!$B$9,"")</f>
        <v/>
      </c>
      <c r="D2539" t="str">
        <f>IF(AND(FORSIDE!$B$8&gt;=20,FORSIDE!$F$8&gt;=10,FORSIDE!$B$5&gt;=7),FORSIDE!$B$6+(7-1)*FORSIDE!$B$7,"")</f>
        <v/>
      </c>
    </row>
    <row r="2540" spans="1:4" x14ac:dyDescent="0.3">
      <c r="A2540" t="str">
        <f>IF(AND(FORSIDE!$B$8&gt;=20,FORSIDE!$F$8&gt;=10,FORSIDE!$B$5&gt;=8),2539,"")</f>
        <v/>
      </c>
      <c r="B2540" t="str">
        <f>IF(AND(FORSIDE!$B$8&gt;=20,FORSIDE!$F$8&gt;=10,FORSIDE!$B$5&gt;=8),354+10*FORSIDE!$F$9,"")</f>
        <v/>
      </c>
      <c r="C2540" t="str">
        <f>IF(AND(FORSIDE!$B$8&gt;=20,FORSIDE!$F$8&gt;=10,FORSIDE!$B$5&gt;=8),20*FORSIDE!$B$9,"")</f>
        <v/>
      </c>
      <c r="D2540" t="str">
        <f>IF(AND(FORSIDE!$B$8&gt;=20,FORSIDE!$F$8&gt;=10,FORSIDE!$B$5&gt;=8),FORSIDE!$B$6+(8-1)*FORSIDE!$B$7,"")</f>
        <v/>
      </c>
    </row>
    <row r="2541" spans="1:4" x14ac:dyDescent="0.3">
      <c r="A2541" t="str">
        <f>IF(AND(FORSIDE!$B$8&gt;=20,FORSIDE!$F$8&gt;=10,FORSIDE!$B$5&gt;=9),2540,"")</f>
        <v/>
      </c>
      <c r="B2541" t="str">
        <f>IF(AND(FORSIDE!$B$8&gt;=20,FORSIDE!$F$8&gt;=10,FORSIDE!$B$5&gt;=9),354+10*FORSIDE!$F$9,"")</f>
        <v/>
      </c>
      <c r="C2541" t="str">
        <f>IF(AND(FORSIDE!$B$8&gt;=20,FORSIDE!$F$8&gt;=10,FORSIDE!$B$5&gt;=9),20*FORSIDE!$B$9,"")</f>
        <v/>
      </c>
      <c r="D2541" t="str">
        <f>IF(AND(FORSIDE!$B$8&gt;=20,FORSIDE!$F$8&gt;=10,FORSIDE!$B$5&gt;=9),FORSIDE!$B$6+(9-1)*FORSIDE!$B$7,"")</f>
        <v/>
      </c>
    </row>
    <row r="2542" spans="1:4" x14ac:dyDescent="0.3">
      <c r="A2542" t="str">
        <f>IF(AND(FORSIDE!$B$8&gt;=20,FORSIDE!$F$8&gt;=10,FORSIDE!$B$5&gt;=10),2541,"")</f>
        <v/>
      </c>
      <c r="B2542" t="str">
        <f>IF(AND(FORSIDE!$B$8&gt;=20,FORSIDE!$F$8&gt;=10,FORSIDE!$B$5&gt;=10),354+10*FORSIDE!$F$9,"")</f>
        <v/>
      </c>
      <c r="C2542" t="str">
        <f>IF(AND(FORSIDE!$B$8&gt;=20,FORSIDE!$F$8&gt;=10,FORSIDE!$B$5&gt;=10),20*FORSIDE!$B$9,"")</f>
        <v/>
      </c>
      <c r="D2542" t="str">
        <f>IF(AND(FORSIDE!$B$8&gt;=20,FORSIDE!$F$8&gt;=10,FORSIDE!$B$5&gt;=10),FORSIDE!$B$6+(10-1)*FORSIDE!$B$7,"")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48</v>
      </c>
      <c r="B1" s="1" t="s">
        <v>52</v>
      </c>
      <c r="C1" s="1" t="s">
        <v>53</v>
      </c>
    </row>
    <row r="2" spans="1:3" x14ac:dyDescent="0.3">
      <c r="A2" t="str">
        <f>IF(AND(FORSIDE!$B$8&gt;=0,FORSIDE!$F$8&gt;=0,FORSIDE!$B$5&gt;=1),"S1","")</f>
        <v>S1</v>
      </c>
      <c r="B2" t="str">
        <f>IF(AND(FORSIDE!$B$8&gt;=0,FORSIDE!$F$8&gt;=0,FORSIDE!$B$5&gt;=1),"1 -&gt; 2","")</f>
        <v>1 -&gt; 2</v>
      </c>
      <c r="C2" t="str">
        <f>FORSIDE!$C$4</f>
        <v>S355, Stål / KFHUP 180x180x12.5</v>
      </c>
    </row>
    <row r="3" spans="1:3" x14ac:dyDescent="0.3">
      <c r="A3" t="str">
        <f>IF(AND(FORSIDE!$B$8&gt;=0,FORSIDE!$F$8&gt;=0,FORSIDE!$B$5&gt;=2),"S2","")</f>
        <v>S2</v>
      </c>
      <c r="B3" t="str">
        <f>IF(AND(FORSIDE!$B$8&gt;=0,FORSIDE!$F$8&gt;=0,FORSIDE!$B$5&gt;=2),"2 -&gt; 3","")</f>
        <v>2 -&gt; 3</v>
      </c>
      <c r="C3" t="str">
        <f>FORSIDE!$C$4</f>
        <v>S355, Stål / KFHUP 180x180x12.5</v>
      </c>
    </row>
    <row r="4" spans="1:3" x14ac:dyDescent="0.3">
      <c r="A4" t="str">
        <f>IF(AND(FORSIDE!$B$8&gt;=0,FORSIDE!$F$8&gt;=0,FORSIDE!$B$5&gt;=3),"S3","")</f>
        <v>S3</v>
      </c>
      <c r="B4" t="str">
        <f>IF(AND(FORSIDE!$B$8&gt;=0,FORSIDE!$F$8&gt;=0,FORSIDE!$B$5&gt;=3),"3 -&gt; 4","")</f>
        <v>3 -&gt; 4</v>
      </c>
      <c r="C4" t="str">
        <f>FORSIDE!$C$4</f>
        <v>S355, Stål / KFHUP 180x180x12.5</v>
      </c>
    </row>
    <row r="5" spans="1:3" x14ac:dyDescent="0.3">
      <c r="A5" t="str">
        <f>IF(AND(FORSIDE!$B$8&gt;=0,FORSIDE!$F$8&gt;=0,FORSIDE!$B$5&gt;=4),"S4","")</f>
        <v>S4</v>
      </c>
      <c r="B5" t="str">
        <f>IF(AND(FORSIDE!$B$8&gt;=0,FORSIDE!$F$8&gt;=0,FORSIDE!$B$5&gt;=4),"4 -&gt; 5","")</f>
        <v>4 -&gt; 5</v>
      </c>
      <c r="C5" t="str">
        <f>FORSIDE!$C$4</f>
        <v>S355, Stål / KFHUP 180x180x12.5</v>
      </c>
    </row>
    <row r="6" spans="1:3" x14ac:dyDescent="0.3">
      <c r="A6" t="str">
        <f>IF(AND(FORSIDE!$B$8&gt;=0,FORSIDE!$F$8&gt;=0,FORSIDE!$B$5&gt;=5),"S5","")</f>
        <v>S5</v>
      </c>
      <c r="B6" t="str">
        <f>IF(AND(FORSIDE!$B$8&gt;=0,FORSIDE!$F$8&gt;=0,FORSIDE!$B$5&gt;=5),"5 -&gt; 6","")</f>
        <v>5 -&gt; 6</v>
      </c>
      <c r="C6" t="str">
        <f>FORSIDE!$C$4</f>
        <v>S355, Stål / KFHUP 180x180x12.5</v>
      </c>
    </row>
    <row r="7" spans="1:3" x14ac:dyDescent="0.3">
      <c r="A7" t="str">
        <f>IF(AND(FORSIDE!$B$8&gt;=0,FORSIDE!$F$8&gt;=0,FORSIDE!$B$5&gt;=6),"S6","")</f>
        <v>S6</v>
      </c>
      <c r="B7" t="str">
        <f>IF(AND(FORSIDE!$B$8&gt;=0,FORSIDE!$F$8&gt;=0,FORSIDE!$B$5&gt;=6),"6 -&gt; 7","")</f>
        <v>6 -&gt; 7</v>
      </c>
      <c r="C7" t="str">
        <f>FORSIDE!$C$4</f>
        <v>S355, Stål / KFHUP 180x180x12.5</v>
      </c>
    </row>
    <row r="8" spans="1:3" x14ac:dyDescent="0.3">
      <c r="A8" t="str">
        <f>IF(AND(FORSIDE!$B$8&gt;=0,FORSIDE!$F$8&gt;=0,FORSIDE!$B$5&gt;=7),"S7","")</f>
        <v/>
      </c>
      <c r="B8" t="str">
        <f>IF(AND(FORSIDE!$B$8&gt;=0,FORSIDE!$F$8&gt;=0,FORSIDE!$B$5&gt;=7),"7 -&gt; 8","")</f>
        <v/>
      </c>
      <c r="C8" t="str">
        <f>FORSIDE!$C$4</f>
        <v>S355, Stål / KFHUP 180x180x12.5</v>
      </c>
    </row>
    <row r="9" spans="1:3" x14ac:dyDescent="0.3">
      <c r="A9" t="str">
        <f>IF(AND(FORSIDE!$B$8&gt;=0,FORSIDE!$F$8&gt;=0,FORSIDE!$B$5&gt;=8),"S8","")</f>
        <v/>
      </c>
      <c r="B9" t="str">
        <f>IF(AND(FORSIDE!$B$8&gt;=0,FORSIDE!$F$8&gt;=0,FORSIDE!$B$5&gt;=8),"8 -&gt; 9","")</f>
        <v/>
      </c>
      <c r="C9" t="str">
        <f>FORSIDE!$C$4</f>
        <v>S355, Stål / KFHUP 180x180x12.5</v>
      </c>
    </row>
    <row r="10" spans="1:3" x14ac:dyDescent="0.3">
      <c r="A10" t="str">
        <f>IF(AND(FORSIDE!$B$8&gt;=0,FORSIDE!$F$8&gt;=0,FORSIDE!$B$5&gt;=9),"S9","")</f>
        <v/>
      </c>
      <c r="B10" t="str">
        <f>IF(AND(FORSIDE!$B$8&gt;=0,FORSIDE!$F$8&gt;=0,FORSIDE!$B$5&gt;=9),"9 -&gt; 10","")</f>
        <v/>
      </c>
      <c r="C10" t="str">
        <f>FORSIDE!$C$4</f>
        <v>S355, Stål / KFHUP 180x180x12.5</v>
      </c>
    </row>
    <row r="11" spans="1:3" x14ac:dyDescent="0.3">
      <c r="A11" t="str">
        <f>IF(AND(FORSIDE!$B$8&gt;=0,FORSIDE!$F$8&gt;=0,FORSIDE!$B$5&gt;=10),"S10","")</f>
        <v/>
      </c>
      <c r="B11" t="str">
        <f>IF(AND(FORSIDE!$B$8&gt;=0,FORSIDE!$F$8&gt;=0,FORSIDE!$B$5&gt;=10),"10 -&gt; 11","")</f>
        <v/>
      </c>
      <c r="C11" t="str">
        <f>FORSIDE!$C$4</f>
        <v>S355, Stål / KFHUP 180x180x12.5</v>
      </c>
    </row>
    <row r="12" spans="1:3" x14ac:dyDescent="0.3">
      <c r="A12" t="str">
        <f>IF(AND(FORSIDE!$B$8&gt;=1,FORSIDE!$F$8&gt;=0,FORSIDE!$B$5&gt;=1),"S11","")</f>
        <v>S11</v>
      </c>
      <c r="B12" t="str">
        <f>IF(AND(FORSIDE!$B$8&gt;=1,FORSIDE!$F$8&gt;=0,FORSIDE!$B$5&gt;=1),"12 -&gt; 13","")</f>
        <v>12 -&gt; 13</v>
      </c>
      <c r="C12" t="str">
        <f>FORSIDE!$C$4</f>
        <v>S355, Stål / KFHUP 180x180x12.5</v>
      </c>
    </row>
    <row r="13" spans="1:3" x14ac:dyDescent="0.3">
      <c r="A13" t="str">
        <f>IF(AND(FORSIDE!$B$8&gt;=1,FORSIDE!$F$8&gt;=0,FORSIDE!$B$5&gt;=2),"S12","")</f>
        <v>S12</v>
      </c>
      <c r="B13" t="str">
        <f>IF(AND(FORSIDE!$B$8&gt;=1,FORSIDE!$F$8&gt;=0,FORSIDE!$B$5&gt;=2),"13 -&gt; 14","")</f>
        <v>13 -&gt; 14</v>
      </c>
      <c r="C13" t="str">
        <f>FORSIDE!$C$4</f>
        <v>S355, Stål / KFHUP 180x180x12.5</v>
      </c>
    </row>
    <row r="14" spans="1:3" x14ac:dyDescent="0.3">
      <c r="A14" t="str">
        <f>IF(AND(FORSIDE!$B$8&gt;=1,FORSIDE!$F$8&gt;=0,FORSIDE!$B$5&gt;=3),"S13","")</f>
        <v>S13</v>
      </c>
      <c r="B14" t="str">
        <f>IF(AND(FORSIDE!$B$8&gt;=1,FORSIDE!$F$8&gt;=0,FORSIDE!$B$5&gt;=3),"14 -&gt; 15","")</f>
        <v>14 -&gt; 15</v>
      </c>
      <c r="C14" t="str">
        <f>FORSIDE!$C$4</f>
        <v>S355, Stål / KFHUP 180x180x12.5</v>
      </c>
    </row>
    <row r="15" spans="1:3" x14ac:dyDescent="0.3">
      <c r="A15" t="str">
        <f>IF(AND(FORSIDE!$B$8&gt;=1,FORSIDE!$F$8&gt;=0,FORSIDE!$B$5&gt;=4),"S14","")</f>
        <v>S14</v>
      </c>
      <c r="B15" t="str">
        <f>IF(AND(FORSIDE!$B$8&gt;=1,FORSIDE!$F$8&gt;=0,FORSIDE!$B$5&gt;=4),"15 -&gt; 16","")</f>
        <v>15 -&gt; 16</v>
      </c>
      <c r="C15" t="str">
        <f>FORSIDE!$C$4</f>
        <v>S355, Stål / KFHUP 180x180x12.5</v>
      </c>
    </row>
    <row r="16" spans="1:3" x14ac:dyDescent="0.3">
      <c r="A16" t="str">
        <f>IF(AND(FORSIDE!$B$8&gt;=1,FORSIDE!$F$8&gt;=0,FORSIDE!$B$5&gt;=5),"S15","")</f>
        <v>S15</v>
      </c>
      <c r="B16" t="str">
        <f>IF(AND(FORSIDE!$B$8&gt;=1,FORSIDE!$F$8&gt;=0,FORSIDE!$B$5&gt;=5),"16 -&gt; 17","")</f>
        <v>16 -&gt; 17</v>
      </c>
      <c r="C16" t="str">
        <f>FORSIDE!$C$4</f>
        <v>S355, Stål / KFHUP 180x180x12.5</v>
      </c>
    </row>
    <row r="17" spans="1:3" x14ac:dyDescent="0.3">
      <c r="A17" t="str">
        <f>IF(AND(FORSIDE!$B$8&gt;=1,FORSIDE!$F$8&gt;=0,FORSIDE!$B$5&gt;=6),"S16","")</f>
        <v>S16</v>
      </c>
      <c r="B17" t="str">
        <f>IF(AND(FORSIDE!$B$8&gt;=1,FORSIDE!$F$8&gt;=0,FORSIDE!$B$5&gt;=6),"17 -&gt; 18","")</f>
        <v>17 -&gt; 18</v>
      </c>
      <c r="C17" t="str">
        <f>FORSIDE!$C$4</f>
        <v>S355, Stål / KFHUP 180x180x12.5</v>
      </c>
    </row>
    <row r="18" spans="1:3" x14ac:dyDescent="0.3">
      <c r="A18" t="str">
        <f>IF(AND(FORSIDE!$B$8&gt;=1,FORSIDE!$F$8&gt;=0,FORSIDE!$B$5&gt;=7),"S17","")</f>
        <v/>
      </c>
      <c r="B18" t="str">
        <f>IF(AND(FORSIDE!$B$8&gt;=1,FORSIDE!$F$8&gt;=0,FORSIDE!$B$5&gt;=7),"18 -&gt; 19","")</f>
        <v/>
      </c>
      <c r="C18" t="str">
        <f>FORSIDE!$C$4</f>
        <v>S355, Stål / KFHUP 180x180x12.5</v>
      </c>
    </row>
    <row r="19" spans="1:3" x14ac:dyDescent="0.3">
      <c r="A19" t="str">
        <f>IF(AND(FORSIDE!$B$8&gt;=1,FORSIDE!$F$8&gt;=0,FORSIDE!$B$5&gt;=8),"S18","")</f>
        <v/>
      </c>
      <c r="B19" t="str">
        <f>IF(AND(FORSIDE!$B$8&gt;=1,FORSIDE!$F$8&gt;=0,FORSIDE!$B$5&gt;=8),"19 -&gt; 20","")</f>
        <v/>
      </c>
      <c r="C19" t="str">
        <f>FORSIDE!$C$4</f>
        <v>S355, Stål / KFHUP 180x180x12.5</v>
      </c>
    </row>
    <row r="20" spans="1:3" x14ac:dyDescent="0.3">
      <c r="A20" t="str">
        <f>IF(AND(FORSIDE!$B$8&gt;=1,FORSIDE!$F$8&gt;=0,FORSIDE!$B$5&gt;=9),"S19","")</f>
        <v/>
      </c>
      <c r="B20" t="str">
        <f>IF(AND(FORSIDE!$B$8&gt;=1,FORSIDE!$F$8&gt;=0,FORSIDE!$B$5&gt;=9),"20 -&gt; 21","")</f>
        <v/>
      </c>
      <c r="C20" t="str">
        <f>FORSIDE!$C$4</f>
        <v>S355, Stål / KFHUP 180x180x12.5</v>
      </c>
    </row>
    <row r="21" spans="1:3" x14ac:dyDescent="0.3">
      <c r="A21" t="str">
        <f>IF(AND(FORSIDE!$B$8&gt;=1,FORSIDE!$F$8&gt;=0,FORSIDE!$B$5&gt;=10),"S20","")</f>
        <v/>
      </c>
      <c r="B21" t="str">
        <f>IF(AND(FORSIDE!$B$8&gt;=1,FORSIDE!$F$8&gt;=0,FORSIDE!$B$5&gt;=10),"21 -&gt; 22","")</f>
        <v/>
      </c>
      <c r="C21" t="str">
        <f>FORSIDE!$C$4</f>
        <v>S355, Stål / KFHUP 180x180x12.5</v>
      </c>
    </row>
    <row r="22" spans="1:3" x14ac:dyDescent="0.3">
      <c r="A22" t="str">
        <f>IF(AND(FORSIDE!$B$8&gt;=2,FORSIDE!$F$8&gt;=0,FORSIDE!$B$5&gt;=1),"S21","")</f>
        <v>S21</v>
      </c>
      <c r="B22" t="str">
        <f>IF(AND(FORSIDE!$B$8&gt;=2,FORSIDE!$F$8&gt;=0,FORSIDE!$B$5&gt;=1),"23 -&gt; 24","")</f>
        <v>23 -&gt; 24</v>
      </c>
      <c r="C22" t="str">
        <f>FORSIDE!$C$4</f>
        <v>S355, Stål / KFHUP 180x180x12.5</v>
      </c>
    </row>
    <row r="23" spans="1:3" x14ac:dyDescent="0.3">
      <c r="A23" t="str">
        <f>IF(AND(FORSIDE!$B$8&gt;=2,FORSIDE!$F$8&gt;=0,FORSIDE!$B$5&gt;=2),"S22","")</f>
        <v>S22</v>
      </c>
      <c r="B23" t="str">
        <f>IF(AND(FORSIDE!$B$8&gt;=2,FORSIDE!$F$8&gt;=0,FORSIDE!$B$5&gt;=2),"24 -&gt; 25","")</f>
        <v>24 -&gt; 25</v>
      </c>
      <c r="C23" t="str">
        <f>FORSIDE!$C$4</f>
        <v>S355, Stål / KFHUP 180x180x12.5</v>
      </c>
    </row>
    <row r="24" spans="1:3" x14ac:dyDescent="0.3">
      <c r="A24" t="str">
        <f>IF(AND(FORSIDE!$B$8&gt;=2,FORSIDE!$F$8&gt;=0,FORSIDE!$B$5&gt;=3),"S23","")</f>
        <v>S23</v>
      </c>
      <c r="B24" t="str">
        <f>IF(AND(FORSIDE!$B$8&gt;=2,FORSIDE!$F$8&gt;=0,FORSIDE!$B$5&gt;=3),"25 -&gt; 26","")</f>
        <v>25 -&gt; 26</v>
      </c>
      <c r="C24" t="str">
        <f>FORSIDE!$C$4</f>
        <v>S355, Stål / KFHUP 180x180x12.5</v>
      </c>
    </row>
    <row r="25" spans="1:3" x14ac:dyDescent="0.3">
      <c r="A25" t="str">
        <f>IF(AND(FORSIDE!$B$8&gt;=2,FORSIDE!$F$8&gt;=0,FORSIDE!$B$5&gt;=4),"S24","")</f>
        <v>S24</v>
      </c>
      <c r="B25" t="str">
        <f>IF(AND(FORSIDE!$B$8&gt;=2,FORSIDE!$F$8&gt;=0,FORSIDE!$B$5&gt;=4),"26 -&gt; 27","")</f>
        <v>26 -&gt; 27</v>
      </c>
      <c r="C25" t="str">
        <f>FORSIDE!$C$4</f>
        <v>S355, Stål / KFHUP 180x180x12.5</v>
      </c>
    </row>
    <row r="26" spans="1:3" x14ac:dyDescent="0.3">
      <c r="A26" t="str">
        <f>IF(AND(FORSIDE!$B$8&gt;=2,FORSIDE!$F$8&gt;=0,FORSIDE!$B$5&gt;=5),"S25","")</f>
        <v>S25</v>
      </c>
      <c r="B26" t="str">
        <f>IF(AND(FORSIDE!$B$8&gt;=2,FORSIDE!$F$8&gt;=0,FORSIDE!$B$5&gt;=5),"27 -&gt; 28","")</f>
        <v>27 -&gt; 28</v>
      </c>
      <c r="C26" t="str">
        <f>FORSIDE!$C$4</f>
        <v>S355, Stål / KFHUP 180x180x12.5</v>
      </c>
    </row>
    <row r="27" spans="1:3" x14ac:dyDescent="0.3">
      <c r="A27" t="str">
        <f>IF(AND(FORSIDE!$B$8&gt;=2,FORSIDE!$F$8&gt;=0,FORSIDE!$B$5&gt;=6),"S26","")</f>
        <v>S26</v>
      </c>
      <c r="B27" t="str">
        <f>IF(AND(FORSIDE!$B$8&gt;=2,FORSIDE!$F$8&gt;=0,FORSIDE!$B$5&gt;=6),"28 -&gt; 29","")</f>
        <v>28 -&gt; 29</v>
      </c>
      <c r="C27" t="str">
        <f>FORSIDE!$C$4</f>
        <v>S355, Stål / KFHUP 180x180x12.5</v>
      </c>
    </row>
    <row r="28" spans="1:3" x14ac:dyDescent="0.3">
      <c r="A28" t="str">
        <f>IF(AND(FORSIDE!$B$8&gt;=2,FORSIDE!$F$8&gt;=0,FORSIDE!$B$5&gt;=7),"S27","")</f>
        <v/>
      </c>
      <c r="B28" t="str">
        <f>IF(AND(FORSIDE!$B$8&gt;=2,FORSIDE!$F$8&gt;=0,FORSIDE!$B$5&gt;=7),"29 -&gt; 30","")</f>
        <v/>
      </c>
      <c r="C28" t="str">
        <f>FORSIDE!$C$4</f>
        <v>S355, Stål / KFHUP 180x180x12.5</v>
      </c>
    </row>
    <row r="29" spans="1:3" x14ac:dyDescent="0.3">
      <c r="A29" t="str">
        <f>IF(AND(FORSIDE!$B$8&gt;=2,FORSIDE!$F$8&gt;=0,FORSIDE!$B$5&gt;=8),"S28","")</f>
        <v/>
      </c>
      <c r="B29" t="str">
        <f>IF(AND(FORSIDE!$B$8&gt;=2,FORSIDE!$F$8&gt;=0,FORSIDE!$B$5&gt;=8),"30 -&gt; 31","")</f>
        <v/>
      </c>
      <c r="C29" t="str">
        <f>FORSIDE!$C$4</f>
        <v>S355, Stål / KFHUP 180x180x12.5</v>
      </c>
    </row>
    <row r="30" spans="1:3" x14ac:dyDescent="0.3">
      <c r="A30" t="str">
        <f>IF(AND(FORSIDE!$B$8&gt;=2,FORSIDE!$F$8&gt;=0,FORSIDE!$B$5&gt;=9),"S29","")</f>
        <v/>
      </c>
      <c r="B30" t="str">
        <f>IF(AND(FORSIDE!$B$8&gt;=2,FORSIDE!$F$8&gt;=0,FORSIDE!$B$5&gt;=9),"31 -&gt; 32","")</f>
        <v/>
      </c>
      <c r="C30" t="str">
        <f>FORSIDE!$C$4</f>
        <v>S355, Stål / KFHUP 180x180x12.5</v>
      </c>
    </row>
    <row r="31" spans="1:3" x14ac:dyDescent="0.3">
      <c r="A31" t="str">
        <f>IF(AND(FORSIDE!$B$8&gt;=2,FORSIDE!$F$8&gt;=0,FORSIDE!$B$5&gt;=10),"S30","")</f>
        <v/>
      </c>
      <c r="B31" t="str">
        <f>IF(AND(FORSIDE!$B$8&gt;=2,FORSIDE!$F$8&gt;=0,FORSIDE!$B$5&gt;=10),"32 -&gt; 33","")</f>
        <v/>
      </c>
      <c r="C31" t="str">
        <f>FORSIDE!$C$4</f>
        <v>S355, Stål / KFHUP 180x180x12.5</v>
      </c>
    </row>
    <row r="32" spans="1:3" x14ac:dyDescent="0.3">
      <c r="A32" t="str">
        <f>IF(AND(FORSIDE!$B$8&gt;=3,FORSIDE!$F$8&gt;=0,FORSIDE!$B$5&gt;=1),"S31","")</f>
        <v>S31</v>
      </c>
      <c r="B32" t="str">
        <f>IF(AND(FORSIDE!$B$8&gt;=3,FORSIDE!$F$8&gt;=0,FORSIDE!$B$5&gt;=1),"34 -&gt; 35","")</f>
        <v>34 -&gt; 35</v>
      </c>
      <c r="C32" t="str">
        <f>FORSIDE!$C$4</f>
        <v>S355, Stål / KFHUP 180x180x12.5</v>
      </c>
    </row>
    <row r="33" spans="1:3" x14ac:dyDescent="0.3">
      <c r="A33" t="str">
        <f>IF(AND(FORSIDE!$B$8&gt;=3,FORSIDE!$F$8&gt;=0,FORSIDE!$B$5&gt;=2),"S32","")</f>
        <v>S32</v>
      </c>
      <c r="B33" t="str">
        <f>IF(AND(FORSIDE!$B$8&gt;=3,FORSIDE!$F$8&gt;=0,FORSIDE!$B$5&gt;=2),"35 -&gt; 36","")</f>
        <v>35 -&gt; 36</v>
      </c>
      <c r="C33" t="str">
        <f>FORSIDE!$C$4</f>
        <v>S355, Stål / KFHUP 180x180x12.5</v>
      </c>
    </row>
    <row r="34" spans="1:3" x14ac:dyDescent="0.3">
      <c r="A34" t="str">
        <f>IF(AND(FORSIDE!$B$8&gt;=3,FORSIDE!$F$8&gt;=0,FORSIDE!$B$5&gt;=3),"S33","")</f>
        <v>S33</v>
      </c>
      <c r="B34" t="str">
        <f>IF(AND(FORSIDE!$B$8&gt;=3,FORSIDE!$F$8&gt;=0,FORSIDE!$B$5&gt;=3),"36 -&gt; 37","")</f>
        <v>36 -&gt; 37</v>
      </c>
      <c r="C34" t="str">
        <f>FORSIDE!$C$4</f>
        <v>S355, Stål / KFHUP 180x180x12.5</v>
      </c>
    </row>
    <row r="35" spans="1:3" x14ac:dyDescent="0.3">
      <c r="A35" t="str">
        <f>IF(AND(FORSIDE!$B$8&gt;=3,FORSIDE!$F$8&gt;=0,FORSIDE!$B$5&gt;=4),"S34","")</f>
        <v>S34</v>
      </c>
      <c r="B35" t="str">
        <f>IF(AND(FORSIDE!$B$8&gt;=3,FORSIDE!$F$8&gt;=0,FORSIDE!$B$5&gt;=4),"37 -&gt; 38","")</f>
        <v>37 -&gt; 38</v>
      </c>
      <c r="C35" t="str">
        <f>FORSIDE!$C$4</f>
        <v>S355, Stål / KFHUP 180x180x12.5</v>
      </c>
    </row>
    <row r="36" spans="1:3" x14ac:dyDescent="0.3">
      <c r="A36" t="str">
        <f>IF(AND(FORSIDE!$B$8&gt;=3,FORSIDE!$F$8&gt;=0,FORSIDE!$B$5&gt;=5),"S35","")</f>
        <v>S35</v>
      </c>
      <c r="B36" t="str">
        <f>IF(AND(FORSIDE!$B$8&gt;=3,FORSIDE!$F$8&gt;=0,FORSIDE!$B$5&gt;=5),"38 -&gt; 39","")</f>
        <v>38 -&gt; 39</v>
      </c>
      <c r="C36" t="str">
        <f>FORSIDE!$C$4</f>
        <v>S355, Stål / KFHUP 180x180x12.5</v>
      </c>
    </row>
    <row r="37" spans="1:3" x14ac:dyDescent="0.3">
      <c r="A37" t="str">
        <f>IF(AND(FORSIDE!$B$8&gt;=3,FORSIDE!$F$8&gt;=0,FORSIDE!$B$5&gt;=6),"S36","")</f>
        <v>S36</v>
      </c>
      <c r="B37" t="str">
        <f>IF(AND(FORSIDE!$B$8&gt;=3,FORSIDE!$F$8&gt;=0,FORSIDE!$B$5&gt;=6),"39 -&gt; 40","")</f>
        <v>39 -&gt; 40</v>
      </c>
      <c r="C37" t="str">
        <f>FORSIDE!$C$4</f>
        <v>S355, Stål / KFHUP 180x180x12.5</v>
      </c>
    </row>
    <row r="38" spans="1:3" x14ac:dyDescent="0.3">
      <c r="A38" t="str">
        <f>IF(AND(FORSIDE!$B$8&gt;=3,FORSIDE!$F$8&gt;=0,FORSIDE!$B$5&gt;=7),"S37","")</f>
        <v/>
      </c>
      <c r="B38" t="str">
        <f>IF(AND(FORSIDE!$B$8&gt;=3,FORSIDE!$F$8&gt;=0,FORSIDE!$B$5&gt;=7),"40 -&gt; 41","")</f>
        <v/>
      </c>
      <c r="C38" t="str">
        <f>FORSIDE!$C$4</f>
        <v>S355, Stål / KFHUP 180x180x12.5</v>
      </c>
    </row>
    <row r="39" spans="1:3" x14ac:dyDescent="0.3">
      <c r="A39" t="str">
        <f>IF(AND(FORSIDE!$B$8&gt;=3,FORSIDE!$F$8&gt;=0,FORSIDE!$B$5&gt;=8),"S38","")</f>
        <v/>
      </c>
      <c r="B39" t="str">
        <f>IF(AND(FORSIDE!$B$8&gt;=3,FORSIDE!$F$8&gt;=0,FORSIDE!$B$5&gt;=8),"41 -&gt; 42","")</f>
        <v/>
      </c>
      <c r="C39" t="str">
        <f>FORSIDE!$C$4</f>
        <v>S355, Stål / KFHUP 180x180x12.5</v>
      </c>
    </row>
    <row r="40" spans="1:3" x14ac:dyDescent="0.3">
      <c r="A40" t="str">
        <f>IF(AND(FORSIDE!$B$8&gt;=3,FORSIDE!$F$8&gt;=0,FORSIDE!$B$5&gt;=9),"S39","")</f>
        <v/>
      </c>
      <c r="B40" t="str">
        <f>IF(AND(FORSIDE!$B$8&gt;=3,FORSIDE!$F$8&gt;=0,FORSIDE!$B$5&gt;=9),"42 -&gt; 43","")</f>
        <v/>
      </c>
      <c r="C40" t="str">
        <f>FORSIDE!$C$4</f>
        <v>S355, Stål / KFHUP 180x180x12.5</v>
      </c>
    </row>
    <row r="41" spans="1:3" x14ac:dyDescent="0.3">
      <c r="A41" t="str">
        <f>IF(AND(FORSIDE!$B$8&gt;=3,FORSIDE!$F$8&gt;=0,FORSIDE!$B$5&gt;=10),"S40","")</f>
        <v/>
      </c>
      <c r="B41" t="str">
        <f>IF(AND(FORSIDE!$B$8&gt;=3,FORSIDE!$F$8&gt;=0,FORSIDE!$B$5&gt;=10),"43 -&gt; 44","")</f>
        <v/>
      </c>
      <c r="C41" t="str">
        <f>FORSIDE!$C$4</f>
        <v>S355, Stål / KFHUP 180x180x12.5</v>
      </c>
    </row>
    <row r="42" spans="1:3" x14ac:dyDescent="0.3">
      <c r="A42" t="str">
        <f>IF(AND(FORSIDE!$B$8&gt;=4,FORSIDE!$F$8&gt;=0,FORSIDE!$B$5&gt;=1),"S41","")</f>
        <v>S41</v>
      </c>
      <c r="B42" t="str">
        <f>IF(AND(FORSIDE!$B$8&gt;=4,FORSIDE!$F$8&gt;=0,FORSIDE!$B$5&gt;=1),"45 -&gt; 46","")</f>
        <v>45 -&gt; 46</v>
      </c>
      <c r="C42" t="str">
        <f>FORSIDE!$C$4</f>
        <v>S355, Stål / KFHUP 180x180x12.5</v>
      </c>
    </row>
    <row r="43" spans="1:3" x14ac:dyDescent="0.3">
      <c r="A43" t="str">
        <f>IF(AND(FORSIDE!$B$8&gt;=4,FORSIDE!$F$8&gt;=0,FORSIDE!$B$5&gt;=2),"S42","")</f>
        <v>S42</v>
      </c>
      <c r="B43" t="str">
        <f>IF(AND(FORSIDE!$B$8&gt;=4,FORSIDE!$F$8&gt;=0,FORSIDE!$B$5&gt;=2),"46 -&gt; 47","")</f>
        <v>46 -&gt; 47</v>
      </c>
      <c r="C43" t="str">
        <f>FORSIDE!$C$4</f>
        <v>S355, Stål / KFHUP 180x180x12.5</v>
      </c>
    </row>
    <row r="44" spans="1:3" x14ac:dyDescent="0.3">
      <c r="A44" t="str">
        <f>IF(AND(FORSIDE!$B$8&gt;=4,FORSIDE!$F$8&gt;=0,FORSIDE!$B$5&gt;=3),"S43","")</f>
        <v>S43</v>
      </c>
      <c r="B44" t="str">
        <f>IF(AND(FORSIDE!$B$8&gt;=4,FORSIDE!$F$8&gt;=0,FORSIDE!$B$5&gt;=3),"47 -&gt; 48","")</f>
        <v>47 -&gt; 48</v>
      </c>
      <c r="C44" t="str">
        <f>FORSIDE!$C$4</f>
        <v>S355, Stål / KFHUP 180x180x12.5</v>
      </c>
    </row>
    <row r="45" spans="1:3" x14ac:dyDescent="0.3">
      <c r="A45" t="str">
        <f>IF(AND(FORSIDE!$B$8&gt;=4,FORSIDE!$F$8&gt;=0,FORSIDE!$B$5&gt;=4),"S44","")</f>
        <v>S44</v>
      </c>
      <c r="B45" t="str">
        <f>IF(AND(FORSIDE!$B$8&gt;=4,FORSIDE!$F$8&gt;=0,FORSIDE!$B$5&gt;=4),"48 -&gt; 49","")</f>
        <v>48 -&gt; 49</v>
      </c>
      <c r="C45" t="str">
        <f>FORSIDE!$C$4</f>
        <v>S355, Stål / KFHUP 180x180x12.5</v>
      </c>
    </row>
    <row r="46" spans="1:3" x14ac:dyDescent="0.3">
      <c r="A46" t="str">
        <f>IF(AND(FORSIDE!$B$8&gt;=4,FORSIDE!$F$8&gt;=0,FORSIDE!$B$5&gt;=5),"S45","")</f>
        <v>S45</v>
      </c>
      <c r="B46" t="str">
        <f>IF(AND(FORSIDE!$B$8&gt;=4,FORSIDE!$F$8&gt;=0,FORSIDE!$B$5&gt;=5),"49 -&gt; 50","")</f>
        <v>49 -&gt; 50</v>
      </c>
      <c r="C46" t="str">
        <f>FORSIDE!$C$4</f>
        <v>S355, Stål / KFHUP 180x180x12.5</v>
      </c>
    </row>
    <row r="47" spans="1:3" x14ac:dyDescent="0.3">
      <c r="A47" t="str">
        <f>IF(AND(FORSIDE!$B$8&gt;=4,FORSIDE!$F$8&gt;=0,FORSIDE!$B$5&gt;=6),"S46","")</f>
        <v>S46</v>
      </c>
      <c r="B47" t="str">
        <f>IF(AND(FORSIDE!$B$8&gt;=4,FORSIDE!$F$8&gt;=0,FORSIDE!$B$5&gt;=6),"50 -&gt; 51","")</f>
        <v>50 -&gt; 51</v>
      </c>
      <c r="C47" t="str">
        <f>FORSIDE!$C$4</f>
        <v>S355, Stål / KFHUP 180x180x12.5</v>
      </c>
    </row>
    <row r="48" spans="1:3" x14ac:dyDescent="0.3">
      <c r="A48" t="str">
        <f>IF(AND(FORSIDE!$B$8&gt;=4,FORSIDE!$F$8&gt;=0,FORSIDE!$B$5&gt;=7),"S47","")</f>
        <v/>
      </c>
      <c r="B48" t="str">
        <f>IF(AND(FORSIDE!$B$8&gt;=4,FORSIDE!$F$8&gt;=0,FORSIDE!$B$5&gt;=7),"51 -&gt; 52","")</f>
        <v/>
      </c>
      <c r="C48" t="str">
        <f>FORSIDE!$C$4</f>
        <v>S355, Stål / KFHUP 180x180x12.5</v>
      </c>
    </row>
    <row r="49" spans="1:3" x14ac:dyDescent="0.3">
      <c r="A49" t="str">
        <f>IF(AND(FORSIDE!$B$8&gt;=4,FORSIDE!$F$8&gt;=0,FORSIDE!$B$5&gt;=8),"S48","")</f>
        <v/>
      </c>
      <c r="B49" t="str">
        <f>IF(AND(FORSIDE!$B$8&gt;=4,FORSIDE!$F$8&gt;=0,FORSIDE!$B$5&gt;=8),"52 -&gt; 53","")</f>
        <v/>
      </c>
      <c r="C49" t="str">
        <f>FORSIDE!$C$4</f>
        <v>S355, Stål / KFHUP 180x180x12.5</v>
      </c>
    </row>
    <row r="50" spans="1:3" x14ac:dyDescent="0.3">
      <c r="A50" t="str">
        <f>IF(AND(FORSIDE!$B$8&gt;=4,FORSIDE!$F$8&gt;=0,FORSIDE!$B$5&gt;=9),"S49","")</f>
        <v/>
      </c>
      <c r="B50" t="str">
        <f>IF(AND(FORSIDE!$B$8&gt;=4,FORSIDE!$F$8&gt;=0,FORSIDE!$B$5&gt;=9),"53 -&gt; 54","")</f>
        <v/>
      </c>
      <c r="C50" t="str">
        <f>FORSIDE!$C$4</f>
        <v>S355, Stål / KFHUP 180x180x12.5</v>
      </c>
    </row>
    <row r="51" spans="1:3" x14ac:dyDescent="0.3">
      <c r="A51" t="str">
        <f>IF(AND(FORSIDE!$B$8&gt;=4,FORSIDE!$F$8&gt;=0,FORSIDE!$B$5&gt;=10),"S50","")</f>
        <v/>
      </c>
      <c r="B51" t="str">
        <f>IF(AND(FORSIDE!$B$8&gt;=4,FORSIDE!$F$8&gt;=0,FORSIDE!$B$5&gt;=10),"54 -&gt; 55","")</f>
        <v/>
      </c>
      <c r="C51" t="str">
        <f>FORSIDE!$C$4</f>
        <v>S355, Stål / KFHUP 180x180x12.5</v>
      </c>
    </row>
    <row r="52" spans="1:3" x14ac:dyDescent="0.3">
      <c r="A52" t="str">
        <f>IF(AND(FORSIDE!$B$8&gt;=5,FORSIDE!$F$8&gt;=0,FORSIDE!$B$5&gt;=1),"S51","")</f>
        <v/>
      </c>
      <c r="B52" t="str">
        <f>IF(AND(FORSIDE!$B$8&gt;=5,FORSIDE!$F$8&gt;=0,FORSIDE!$B$5&gt;=1),"56 -&gt; 57","")</f>
        <v/>
      </c>
      <c r="C52" t="str">
        <f>FORSIDE!$C$4</f>
        <v>S355, Stål / KFHUP 180x180x12.5</v>
      </c>
    </row>
    <row r="53" spans="1:3" x14ac:dyDescent="0.3">
      <c r="A53" t="str">
        <f>IF(AND(FORSIDE!$B$8&gt;=5,FORSIDE!$F$8&gt;=0,FORSIDE!$B$5&gt;=2),"S52","")</f>
        <v/>
      </c>
      <c r="B53" t="str">
        <f>IF(AND(FORSIDE!$B$8&gt;=5,FORSIDE!$F$8&gt;=0,FORSIDE!$B$5&gt;=2),"57 -&gt; 58","")</f>
        <v/>
      </c>
      <c r="C53" t="str">
        <f>FORSIDE!$C$4</f>
        <v>S355, Stål / KFHUP 180x180x12.5</v>
      </c>
    </row>
    <row r="54" spans="1:3" x14ac:dyDescent="0.3">
      <c r="A54" t="str">
        <f>IF(AND(FORSIDE!$B$8&gt;=5,FORSIDE!$F$8&gt;=0,FORSIDE!$B$5&gt;=3),"S53","")</f>
        <v/>
      </c>
      <c r="B54" t="str">
        <f>IF(AND(FORSIDE!$B$8&gt;=5,FORSIDE!$F$8&gt;=0,FORSIDE!$B$5&gt;=3),"58 -&gt; 59","")</f>
        <v/>
      </c>
      <c r="C54" t="str">
        <f>FORSIDE!$C$4</f>
        <v>S355, Stål / KFHUP 180x180x12.5</v>
      </c>
    </row>
    <row r="55" spans="1:3" x14ac:dyDescent="0.3">
      <c r="A55" t="str">
        <f>IF(AND(FORSIDE!$B$8&gt;=5,FORSIDE!$F$8&gt;=0,FORSIDE!$B$5&gt;=4),"S54","")</f>
        <v/>
      </c>
      <c r="B55" t="str">
        <f>IF(AND(FORSIDE!$B$8&gt;=5,FORSIDE!$F$8&gt;=0,FORSIDE!$B$5&gt;=4),"59 -&gt; 60","")</f>
        <v/>
      </c>
      <c r="C55" t="str">
        <f>FORSIDE!$C$4</f>
        <v>S355, Stål / KFHUP 180x180x12.5</v>
      </c>
    </row>
    <row r="56" spans="1:3" x14ac:dyDescent="0.3">
      <c r="A56" t="str">
        <f>IF(AND(FORSIDE!$B$8&gt;=5,FORSIDE!$F$8&gt;=0,FORSIDE!$B$5&gt;=5),"S55","")</f>
        <v/>
      </c>
      <c r="B56" t="str">
        <f>IF(AND(FORSIDE!$B$8&gt;=5,FORSIDE!$F$8&gt;=0,FORSIDE!$B$5&gt;=5),"60 -&gt; 61","")</f>
        <v/>
      </c>
      <c r="C56" t="str">
        <f>FORSIDE!$C$4</f>
        <v>S355, Stål / KFHUP 180x180x12.5</v>
      </c>
    </row>
    <row r="57" spans="1:3" x14ac:dyDescent="0.3">
      <c r="A57" t="str">
        <f>IF(AND(FORSIDE!$B$8&gt;=5,FORSIDE!$F$8&gt;=0,FORSIDE!$B$5&gt;=6),"S56","")</f>
        <v/>
      </c>
      <c r="B57" t="str">
        <f>IF(AND(FORSIDE!$B$8&gt;=5,FORSIDE!$F$8&gt;=0,FORSIDE!$B$5&gt;=6),"61 -&gt; 62","")</f>
        <v/>
      </c>
      <c r="C57" t="str">
        <f>FORSIDE!$C$4</f>
        <v>S355, Stål / KFHUP 180x180x12.5</v>
      </c>
    </row>
    <row r="58" spans="1:3" x14ac:dyDescent="0.3">
      <c r="A58" t="str">
        <f>IF(AND(FORSIDE!$B$8&gt;=5,FORSIDE!$F$8&gt;=0,FORSIDE!$B$5&gt;=7),"S57","")</f>
        <v/>
      </c>
      <c r="B58" t="str">
        <f>IF(AND(FORSIDE!$B$8&gt;=5,FORSIDE!$F$8&gt;=0,FORSIDE!$B$5&gt;=7),"62 -&gt; 63","")</f>
        <v/>
      </c>
      <c r="C58" t="str">
        <f>FORSIDE!$C$4</f>
        <v>S355, Stål / KFHUP 180x180x12.5</v>
      </c>
    </row>
    <row r="59" spans="1:3" x14ac:dyDescent="0.3">
      <c r="A59" t="str">
        <f>IF(AND(FORSIDE!$B$8&gt;=5,FORSIDE!$F$8&gt;=0,FORSIDE!$B$5&gt;=8),"S58","")</f>
        <v/>
      </c>
      <c r="B59" t="str">
        <f>IF(AND(FORSIDE!$B$8&gt;=5,FORSIDE!$F$8&gt;=0,FORSIDE!$B$5&gt;=8),"63 -&gt; 64","")</f>
        <v/>
      </c>
      <c r="C59" t="str">
        <f>FORSIDE!$C$4</f>
        <v>S355, Stål / KFHUP 180x180x12.5</v>
      </c>
    </row>
    <row r="60" spans="1:3" x14ac:dyDescent="0.3">
      <c r="A60" t="str">
        <f>IF(AND(FORSIDE!$B$8&gt;=5,FORSIDE!$F$8&gt;=0,FORSIDE!$B$5&gt;=9),"S59","")</f>
        <v/>
      </c>
      <c r="B60" t="str">
        <f>IF(AND(FORSIDE!$B$8&gt;=5,FORSIDE!$F$8&gt;=0,FORSIDE!$B$5&gt;=9),"64 -&gt; 65","")</f>
        <v/>
      </c>
      <c r="C60" t="str">
        <f>FORSIDE!$C$4</f>
        <v>S355, Stål / KFHUP 180x180x12.5</v>
      </c>
    </row>
    <row r="61" spans="1:3" x14ac:dyDescent="0.3">
      <c r="A61" t="str">
        <f>IF(AND(FORSIDE!$B$8&gt;=5,FORSIDE!$F$8&gt;=0,FORSIDE!$B$5&gt;=10),"S60","")</f>
        <v/>
      </c>
      <c r="B61" t="str">
        <f>IF(AND(FORSIDE!$B$8&gt;=5,FORSIDE!$F$8&gt;=0,FORSIDE!$B$5&gt;=10),"65 -&gt; 66","")</f>
        <v/>
      </c>
      <c r="C61" t="str">
        <f>FORSIDE!$C$4</f>
        <v>S355, Stål / KFHUP 180x180x12.5</v>
      </c>
    </row>
    <row r="62" spans="1:3" x14ac:dyDescent="0.3">
      <c r="A62" t="str">
        <f>IF(AND(FORSIDE!$B$8&gt;=6,FORSIDE!$F$8&gt;=0,FORSIDE!$B$5&gt;=1),"S61","")</f>
        <v/>
      </c>
      <c r="B62" t="str">
        <f>IF(AND(FORSIDE!$B$8&gt;=6,FORSIDE!$F$8&gt;=0,FORSIDE!$B$5&gt;=1),"67 -&gt; 68","")</f>
        <v/>
      </c>
      <c r="C62" t="str">
        <f>FORSIDE!$C$4</f>
        <v>S355, Stål / KFHUP 180x180x12.5</v>
      </c>
    </row>
    <row r="63" spans="1:3" x14ac:dyDescent="0.3">
      <c r="A63" t="str">
        <f>IF(AND(FORSIDE!$B$8&gt;=6,FORSIDE!$F$8&gt;=0,FORSIDE!$B$5&gt;=2),"S62","")</f>
        <v/>
      </c>
      <c r="B63" t="str">
        <f>IF(AND(FORSIDE!$B$8&gt;=6,FORSIDE!$F$8&gt;=0,FORSIDE!$B$5&gt;=2),"68 -&gt; 69","")</f>
        <v/>
      </c>
      <c r="C63" t="str">
        <f>FORSIDE!$C$4</f>
        <v>S355, Stål / KFHUP 180x180x12.5</v>
      </c>
    </row>
    <row r="64" spans="1:3" x14ac:dyDescent="0.3">
      <c r="A64" t="str">
        <f>IF(AND(FORSIDE!$B$8&gt;=6,FORSIDE!$F$8&gt;=0,FORSIDE!$B$5&gt;=3),"S63","")</f>
        <v/>
      </c>
      <c r="B64" t="str">
        <f>IF(AND(FORSIDE!$B$8&gt;=6,FORSIDE!$F$8&gt;=0,FORSIDE!$B$5&gt;=3),"69 -&gt; 70","")</f>
        <v/>
      </c>
      <c r="C64" t="str">
        <f>FORSIDE!$C$4</f>
        <v>S355, Stål / KFHUP 180x180x12.5</v>
      </c>
    </row>
    <row r="65" spans="1:3" x14ac:dyDescent="0.3">
      <c r="A65" t="str">
        <f>IF(AND(FORSIDE!$B$8&gt;=6,FORSIDE!$F$8&gt;=0,FORSIDE!$B$5&gt;=4),"S64","")</f>
        <v/>
      </c>
      <c r="B65" t="str">
        <f>IF(AND(FORSIDE!$B$8&gt;=6,FORSIDE!$F$8&gt;=0,FORSIDE!$B$5&gt;=4),"70 -&gt; 71","")</f>
        <v/>
      </c>
      <c r="C65" t="str">
        <f>FORSIDE!$C$4</f>
        <v>S355, Stål / KFHUP 180x180x12.5</v>
      </c>
    </row>
    <row r="66" spans="1:3" x14ac:dyDescent="0.3">
      <c r="A66" t="str">
        <f>IF(AND(FORSIDE!$B$8&gt;=6,FORSIDE!$F$8&gt;=0,FORSIDE!$B$5&gt;=5),"S65","")</f>
        <v/>
      </c>
      <c r="B66" t="str">
        <f>IF(AND(FORSIDE!$B$8&gt;=6,FORSIDE!$F$8&gt;=0,FORSIDE!$B$5&gt;=5),"71 -&gt; 72","")</f>
        <v/>
      </c>
      <c r="C66" t="str">
        <f>FORSIDE!$C$4</f>
        <v>S355, Stål / KFHUP 180x180x12.5</v>
      </c>
    </row>
    <row r="67" spans="1:3" x14ac:dyDescent="0.3">
      <c r="A67" t="str">
        <f>IF(AND(FORSIDE!$B$8&gt;=6,FORSIDE!$F$8&gt;=0,FORSIDE!$B$5&gt;=6),"S66","")</f>
        <v/>
      </c>
      <c r="B67" t="str">
        <f>IF(AND(FORSIDE!$B$8&gt;=6,FORSIDE!$F$8&gt;=0,FORSIDE!$B$5&gt;=6),"72 -&gt; 73","")</f>
        <v/>
      </c>
      <c r="C67" t="str">
        <f>FORSIDE!$C$4</f>
        <v>S355, Stål / KFHUP 180x180x12.5</v>
      </c>
    </row>
    <row r="68" spans="1:3" x14ac:dyDescent="0.3">
      <c r="A68" t="str">
        <f>IF(AND(FORSIDE!$B$8&gt;=6,FORSIDE!$F$8&gt;=0,FORSIDE!$B$5&gt;=7),"S67","")</f>
        <v/>
      </c>
      <c r="B68" t="str">
        <f>IF(AND(FORSIDE!$B$8&gt;=6,FORSIDE!$F$8&gt;=0,FORSIDE!$B$5&gt;=7),"73 -&gt; 74","")</f>
        <v/>
      </c>
      <c r="C68" t="str">
        <f>FORSIDE!$C$4</f>
        <v>S355, Stål / KFHUP 180x180x12.5</v>
      </c>
    </row>
    <row r="69" spans="1:3" x14ac:dyDescent="0.3">
      <c r="A69" t="str">
        <f>IF(AND(FORSIDE!$B$8&gt;=6,FORSIDE!$F$8&gt;=0,FORSIDE!$B$5&gt;=8),"S68","")</f>
        <v/>
      </c>
      <c r="B69" t="str">
        <f>IF(AND(FORSIDE!$B$8&gt;=6,FORSIDE!$F$8&gt;=0,FORSIDE!$B$5&gt;=8),"74 -&gt; 75","")</f>
        <v/>
      </c>
      <c r="C69" t="str">
        <f>FORSIDE!$C$4</f>
        <v>S355, Stål / KFHUP 180x180x12.5</v>
      </c>
    </row>
    <row r="70" spans="1:3" x14ac:dyDescent="0.3">
      <c r="A70" t="str">
        <f>IF(AND(FORSIDE!$B$8&gt;=6,FORSIDE!$F$8&gt;=0,FORSIDE!$B$5&gt;=9),"S69","")</f>
        <v/>
      </c>
      <c r="B70" t="str">
        <f>IF(AND(FORSIDE!$B$8&gt;=6,FORSIDE!$F$8&gt;=0,FORSIDE!$B$5&gt;=9),"75 -&gt; 76","")</f>
        <v/>
      </c>
      <c r="C70" t="str">
        <f>FORSIDE!$C$4</f>
        <v>S355, Stål / KFHUP 180x180x12.5</v>
      </c>
    </row>
    <row r="71" spans="1:3" x14ac:dyDescent="0.3">
      <c r="A71" t="str">
        <f>IF(AND(FORSIDE!$B$8&gt;=6,FORSIDE!$F$8&gt;=0,FORSIDE!$B$5&gt;=10),"S70","")</f>
        <v/>
      </c>
      <c r="B71" t="str">
        <f>IF(AND(FORSIDE!$B$8&gt;=6,FORSIDE!$F$8&gt;=0,FORSIDE!$B$5&gt;=10),"76 -&gt; 77","")</f>
        <v/>
      </c>
      <c r="C71" t="str">
        <f>FORSIDE!$C$4</f>
        <v>S355, Stål / KFHUP 180x180x12.5</v>
      </c>
    </row>
    <row r="72" spans="1:3" x14ac:dyDescent="0.3">
      <c r="A72" t="str">
        <f>IF(AND(FORSIDE!$B$8&gt;=7,FORSIDE!$F$8&gt;=0,FORSIDE!$B$5&gt;=1),"S71","")</f>
        <v/>
      </c>
      <c r="B72" t="str">
        <f>IF(AND(FORSIDE!$B$8&gt;=7,FORSIDE!$F$8&gt;=0,FORSIDE!$B$5&gt;=1),"78 -&gt; 79","")</f>
        <v/>
      </c>
      <c r="C72" t="str">
        <f>FORSIDE!$C$4</f>
        <v>S355, Stål / KFHUP 180x180x12.5</v>
      </c>
    </row>
    <row r="73" spans="1:3" x14ac:dyDescent="0.3">
      <c r="A73" t="str">
        <f>IF(AND(FORSIDE!$B$8&gt;=7,FORSIDE!$F$8&gt;=0,FORSIDE!$B$5&gt;=2),"S72","")</f>
        <v/>
      </c>
      <c r="B73" t="str">
        <f>IF(AND(FORSIDE!$B$8&gt;=7,FORSIDE!$F$8&gt;=0,FORSIDE!$B$5&gt;=2),"79 -&gt; 80","")</f>
        <v/>
      </c>
      <c r="C73" t="str">
        <f>FORSIDE!$C$4</f>
        <v>S355, Stål / KFHUP 180x180x12.5</v>
      </c>
    </row>
    <row r="74" spans="1:3" x14ac:dyDescent="0.3">
      <c r="A74" t="str">
        <f>IF(AND(FORSIDE!$B$8&gt;=7,FORSIDE!$F$8&gt;=0,FORSIDE!$B$5&gt;=3),"S73","")</f>
        <v/>
      </c>
      <c r="B74" t="str">
        <f>IF(AND(FORSIDE!$B$8&gt;=7,FORSIDE!$F$8&gt;=0,FORSIDE!$B$5&gt;=3),"80 -&gt; 81","")</f>
        <v/>
      </c>
      <c r="C74" t="str">
        <f>FORSIDE!$C$4</f>
        <v>S355, Stål / KFHUP 180x180x12.5</v>
      </c>
    </row>
    <row r="75" spans="1:3" x14ac:dyDescent="0.3">
      <c r="A75" t="str">
        <f>IF(AND(FORSIDE!$B$8&gt;=7,FORSIDE!$F$8&gt;=0,FORSIDE!$B$5&gt;=4),"S74","")</f>
        <v/>
      </c>
      <c r="B75" t="str">
        <f>IF(AND(FORSIDE!$B$8&gt;=7,FORSIDE!$F$8&gt;=0,FORSIDE!$B$5&gt;=4),"81 -&gt; 82","")</f>
        <v/>
      </c>
      <c r="C75" t="str">
        <f>FORSIDE!$C$4</f>
        <v>S355, Stål / KFHUP 180x180x12.5</v>
      </c>
    </row>
    <row r="76" spans="1:3" x14ac:dyDescent="0.3">
      <c r="A76" t="str">
        <f>IF(AND(FORSIDE!$B$8&gt;=7,FORSIDE!$F$8&gt;=0,FORSIDE!$B$5&gt;=5),"S75","")</f>
        <v/>
      </c>
      <c r="B76" t="str">
        <f>IF(AND(FORSIDE!$B$8&gt;=7,FORSIDE!$F$8&gt;=0,FORSIDE!$B$5&gt;=5),"82 -&gt; 83","")</f>
        <v/>
      </c>
      <c r="C76" t="str">
        <f>FORSIDE!$C$4</f>
        <v>S355, Stål / KFHUP 180x180x12.5</v>
      </c>
    </row>
    <row r="77" spans="1:3" x14ac:dyDescent="0.3">
      <c r="A77" t="str">
        <f>IF(AND(FORSIDE!$B$8&gt;=7,FORSIDE!$F$8&gt;=0,FORSIDE!$B$5&gt;=6),"S76","")</f>
        <v/>
      </c>
      <c r="B77" t="str">
        <f>IF(AND(FORSIDE!$B$8&gt;=7,FORSIDE!$F$8&gt;=0,FORSIDE!$B$5&gt;=6),"83 -&gt; 84","")</f>
        <v/>
      </c>
      <c r="C77" t="str">
        <f>FORSIDE!$C$4</f>
        <v>S355, Stål / KFHUP 180x180x12.5</v>
      </c>
    </row>
    <row r="78" spans="1:3" x14ac:dyDescent="0.3">
      <c r="A78" t="str">
        <f>IF(AND(FORSIDE!$B$8&gt;=7,FORSIDE!$F$8&gt;=0,FORSIDE!$B$5&gt;=7),"S77","")</f>
        <v/>
      </c>
      <c r="B78" t="str">
        <f>IF(AND(FORSIDE!$B$8&gt;=7,FORSIDE!$F$8&gt;=0,FORSIDE!$B$5&gt;=7),"84 -&gt; 85","")</f>
        <v/>
      </c>
      <c r="C78" t="str">
        <f>FORSIDE!$C$4</f>
        <v>S355, Stål / KFHUP 180x180x12.5</v>
      </c>
    </row>
    <row r="79" spans="1:3" x14ac:dyDescent="0.3">
      <c r="A79" t="str">
        <f>IF(AND(FORSIDE!$B$8&gt;=7,FORSIDE!$F$8&gt;=0,FORSIDE!$B$5&gt;=8),"S78","")</f>
        <v/>
      </c>
      <c r="B79" t="str">
        <f>IF(AND(FORSIDE!$B$8&gt;=7,FORSIDE!$F$8&gt;=0,FORSIDE!$B$5&gt;=8),"85 -&gt; 86","")</f>
        <v/>
      </c>
      <c r="C79" t="str">
        <f>FORSIDE!$C$4</f>
        <v>S355, Stål / KFHUP 180x180x12.5</v>
      </c>
    </row>
    <row r="80" spans="1:3" x14ac:dyDescent="0.3">
      <c r="A80" t="str">
        <f>IF(AND(FORSIDE!$B$8&gt;=7,FORSIDE!$F$8&gt;=0,FORSIDE!$B$5&gt;=9),"S79","")</f>
        <v/>
      </c>
      <c r="B80" t="str">
        <f>IF(AND(FORSIDE!$B$8&gt;=7,FORSIDE!$F$8&gt;=0,FORSIDE!$B$5&gt;=9),"86 -&gt; 87","")</f>
        <v/>
      </c>
      <c r="C80" t="str">
        <f>FORSIDE!$C$4</f>
        <v>S355, Stål / KFHUP 180x180x12.5</v>
      </c>
    </row>
    <row r="81" spans="1:3" x14ac:dyDescent="0.3">
      <c r="A81" t="str">
        <f>IF(AND(FORSIDE!$B$8&gt;=7,FORSIDE!$F$8&gt;=0,FORSIDE!$B$5&gt;=10),"S80","")</f>
        <v/>
      </c>
      <c r="B81" t="str">
        <f>IF(AND(FORSIDE!$B$8&gt;=7,FORSIDE!$F$8&gt;=0,FORSIDE!$B$5&gt;=10),"87 -&gt; 88","")</f>
        <v/>
      </c>
      <c r="C81" t="str">
        <f>FORSIDE!$C$4</f>
        <v>S355, Stål / KFHUP 180x180x12.5</v>
      </c>
    </row>
    <row r="82" spans="1:3" x14ac:dyDescent="0.3">
      <c r="A82" t="str">
        <f>IF(AND(FORSIDE!$B$8&gt;=8,FORSIDE!$F$8&gt;=0,FORSIDE!$B$5&gt;=1),"S81","")</f>
        <v/>
      </c>
      <c r="B82" t="str">
        <f>IF(AND(FORSIDE!$B$8&gt;=8,FORSIDE!$F$8&gt;=0,FORSIDE!$B$5&gt;=1),"89 -&gt; 90","")</f>
        <v/>
      </c>
      <c r="C82" t="str">
        <f>FORSIDE!$C$4</f>
        <v>S355, Stål / KFHUP 180x180x12.5</v>
      </c>
    </row>
    <row r="83" spans="1:3" x14ac:dyDescent="0.3">
      <c r="A83" t="str">
        <f>IF(AND(FORSIDE!$B$8&gt;=8,FORSIDE!$F$8&gt;=0,FORSIDE!$B$5&gt;=2),"S82","")</f>
        <v/>
      </c>
      <c r="B83" t="str">
        <f>IF(AND(FORSIDE!$B$8&gt;=8,FORSIDE!$F$8&gt;=0,FORSIDE!$B$5&gt;=2),"90 -&gt; 91","")</f>
        <v/>
      </c>
      <c r="C83" t="str">
        <f>FORSIDE!$C$4</f>
        <v>S355, Stål / KFHUP 180x180x12.5</v>
      </c>
    </row>
    <row r="84" spans="1:3" x14ac:dyDescent="0.3">
      <c r="A84" t="str">
        <f>IF(AND(FORSIDE!$B$8&gt;=8,FORSIDE!$F$8&gt;=0,FORSIDE!$B$5&gt;=3),"S83","")</f>
        <v/>
      </c>
      <c r="B84" t="str">
        <f>IF(AND(FORSIDE!$B$8&gt;=8,FORSIDE!$F$8&gt;=0,FORSIDE!$B$5&gt;=3),"91 -&gt; 92","")</f>
        <v/>
      </c>
      <c r="C84" t="str">
        <f>FORSIDE!$C$4</f>
        <v>S355, Stål / KFHUP 180x180x12.5</v>
      </c>
    </row>
    <row r="85" spans="1:3" x14ac:dyDescent="0.3">
      <c r="A85" t="str">
        <f>IF(AND(FORSIDE!$B$8&gt;=8,FORSIDE!$F$8&gt;=0,FORSIDE!$B$5&gt;=4),"S84","")</f>
        <v/>
      </c>
      <c r="B85" t="str">
        <f>IF(AND(FORSIDE!$B$8&gt;=8,FORSIDE!$F$8&gt;=0,FORSIDE!$B$5&gt;=4),"92 -&gt; 93","")</f>
        <v/>
      </c>
      <c r="C85" t="str">
        <f>FORSIDE!$C$4</f>
        <v>S355, Stål / KFHUP 180x180x12.5</v>
      </c>
    </row>
    <row r="86" spans="1:3" x14ac:dyDescent="0.3">
      <c r="A86" t="str">
        <f>IF(AND(FORSIDE!$B$8&gt;=8,FORSIDE!$F$8&gt;=0,FORSIDE!$B$5&gt;=5),"S85","")</f>
        <v/>
      </c>
      <c r="B86" t="str">
        <f>IF(AND(FORSIDE!$B$8&gt;=8,FORSIDE!$F$8&gt;=0,FORSIDE!$B$5&gt;=5),"93 -&gt; 94","")</f>
        <v/>
      </c>
      <c r="C86" t="str">
        <f>FORSIDE!$C$4</f>
        <v>S355, Stål / KFHUP 180x180x12.5</v>
      </c>
    </row>
    <row r="87" spans="1:3" x14ac:dyDescent="0.3">
      <c r="A87" t="str">
        <f>IF(AND(FORSIDE!$B$8&gt;=8,FORSIDE!$F$8&gt;=0,FORSIDE!$B$5&gt;=6),"S86","")</f>
        <v/>
      </c>
      <c r="B87" t="str">
        <f>IF(AND(FORSIDE!$B$8&gt;=8,FORSIDE!$F$8&gt;=0,FORSIDE!$B$5&gt;=6),"94 -&gt; 95","")</f>
        <v/>
      </c>
      <c r="C87" t="str">
        <f>FORSIDE!$C$4</f>
        <v>S355, Stål / KFHUP 180x180x12.5</v>
      </c>
    </row>
    <row r="88" spans="1:3" x14ac:dyDescent="0.3">
      <c r="A88" t="str">
        <f>IF(AND(FORSIDE!$B$8&gt;=8,FORSIDE!$F$8&gt;=0,FORSIDE!$B$5&gt;=7),"S87","")</f>
        <v/>
      </c>
      <c r="B88" t="str">
        <f>IF(AND(FORSIDE!$B$8&gt;=8,FORSIDE!$F$8&gt;=0,FORSIDE!$B$5&gt;=7),"95 -&gt; 96","")</f>
        <v/>
      </c>
      <c r="C88" t="str">
        <f>FORSIDE!$C$4</f>
        <v>S355, Stål / KFHUP 180x180x12.5</v>
      </c>
    </row>
    <row r="89" spans="1:3" x14ac:dyDescent="0.3">
      <c r="A89" t="str">
        <f>IF(AND(FORSIDE!$B$8&gt;=8,FORSIDE!$F$8&gt;=0,FORSIDE!$B$5&gt;=8),"S88","")</f>
        <v/>
      </c>
      <c r="B89" t="str">
        <f>IF(AND(FORSIDE!$B$8&gt;=8,FORSIDE!$F$8&gt;=0,FORSIDE!$B$5&gt;=8),"96 -&gt; 97","")</f>
        <v/>
      </c>
      <c r="C89" t="str">
        <f>FORSIDE!$C$4</f>
        <v>S355, Stål / KFHUP 180x180x12.5</v>
      </c>
    </row>
    <row r="90" spans="1:3" x14ac:dyDescent="0.3">
      <c r="A90" t="str">
        <f>IF(AND(FORSIDE!$B$8&gt;=8,FORSIDE!$F$8&gt;=0,FORSIDE!$B$5&gt;=9),"S89","")</f>
        <v/>
      </c>
      <c r="B90" t="str">
        <f>IF(AND(FORSIDE!$B$8&gt;=8,FORSIDE!$F$8&gt;=0,FORSIDE!$B$5&gt;=9),"97 -&gt; 98","")</f>
        <v/>
      </c>
      <c r="C90" t="str">
        <f>FORSIDE!$C$4</f>
        <v>S355, Stål / KFHUP 180x180x12.5</v>
      </c>
    </row>
    <row r="91" spans="1:3" x14ac:dyDescent="0.3">
      <c r="A91" t="str">
        <f>IF(AND(FORSIDE!$B$8&gt;=8,FORSIDE!$F$8&gt;=0,FORSIDE!$B$5&gt;=10),"S90","")</f>
        <v/>
      </c>
      <c r="B91" t="str">
        <f>IF(AND(FORSIDE!$B$8&gt;=8,FORSIDE!$F$8&gt;=0,FORSIDE!$B$5&gt;=10),"98 -&gt; 99","")</f>
        <v/>
      </c>
      <c r="C91" t="str">
        <f>FORSIDE!$C$4</f>
        <v>S355, Stål / KFHUP 180x180x12.5</v>
      </c>
    </row>
    <row r="92" spans="1:3" x14ac:dyDescent="0.3">
      <c r="A92" t="str">
        <f>IF(AND(FORSIDE!$B$8&gt;=9,FORSIDE!$F$8&gt;=0,FORSIDE!$B$5&gt;=1),"S91","")</f>
        <v/>
      </c>
      <c r="B92" t="str">
        <f>IF(AND(FORSIDE!$B$8&gt;=9,FORSIDE!$F$8&gt;=0,FORSIDE!$B$5&gt;=1),"100 -&gt; 101","")</f>
        <v/>
      </c>
      <c r="C92" t="str">
        <f>FORSIDE!$C$4</f>
        <v>S355, Stål / KFHUP 180x180x12.5</v>
      </c>
    </row>
    <row r="93" spans="1:3" x14ac:dyDescent="0.3">
      <c r="A93" t="str">
        <f>IF(AND(FORSIDE!$B$8&gt;=9,FORSIDE!$F$8&gt;=0,FORSIDE!$B$5&gt;=2),"S92","")</f>
        <v/>
      </c>
      <c r="B93" t="str">
        <f>IF(AND(FORSIDE!$B$8&gt;=9,FORSIDE!$F$8&gt;=0,FORSIDE!$B$5&gt;=2),"101 -&gt; 102","")</f>
        <v/>
      </c>
      <c r="C93" t="str">
        <f>FORSIDE!$C$4</f>
        <v>S355, Stål / KFHUP 180x180x12.5</v>
      </c>
    </row>
    <row r="94" spans="1:3" x14ac:dyDescent="0.3">
      <c r="A94" t="str">
        <f>IF(AND(FORSIDE!$B$8&gt;=9,FORSIDE!$F$8&gt;=0,FORSIDE!$B$5&gt;=3),"S93","")</f>
        <v/>
      </c>
      <c r="B94" t="str">
        <f>IF(AND(FORSIDE!$B$8&gt;=9,FORSIDE!$F$8&gt;=0,FORSIDE!$B$5&gt;=3),"102 -&gt; 103","")</f>
        <v/>
      </c>
      <c r="C94" t="str">
        <f>FORSIDE!$C$4</f>
        <v>S355, Stål / KFHUP 180x180x12.5</v>
      </c>
    </row>
    <row r="95" spans="1:3" x14ac:dyDescent="0.3">
      <c r="A95" t="str">
        <f>IF(AND(FORSIDE!$B$8&gt;=9,FORSIDE!$F$8&gt;=0,FORSIDE!$B$5&gt;=4),"S94","")</f>
        <v/>
      </c>
      <c r="B95" t="str">
        <f>IF(AND(FORSIDE!$B$8&gt;=9,FORSIDE!$F$8&gt;=0,FORSIDE!$B$5&gt;=4),"103 -&gt; 104","")</f>
        <v/>
      </c>
      <c r="C95" t="str">
        <f>FORSIDE!$C$4</f>
        <v>S355, Stål / KFHUP 180x180x12.5</v>
      </c>
    </row>
    <row r="96" spans="1:3" x14ac:dyDescent="0.3">
      <c r="A96" t="str">
        <f>IF(AND(FORSIDE!$B$8&gt;=9,FORSIDE!$F$8&gt;=0,FORSIDE!$B$5&gt;=5),"S95","")</f>
        <v/>
      </c>
      <c r="B96" t="str">
        <f>IF(AND(FORSIDE!$B$8&gt;=9,FORSIDE!$F$8&gt;=0,FORSIDE!$B$5&gt;=5),"104 -&gt; 105","")</f>
        <v/>
      </c>
      <c r="C96" t="str">
        <f>FORSIDE!$C$4</f>
        <v>S355, Stål / KFHUP 180x180x12.5</v>
      </c>
    </row>
    <row r="97" spans="1:3" x14ac:dyDescent="0.3">
      <c r="A97" t="str">
        <f>IF(AND(FORSIDE!$B$8&gt;=9,FORSIDE!$F$8&gt;=0,FORSIDE!$B$5&gt;=6),"S96","")</f>
        <v/>
      </c>
      <c r="B97" t="str">
        <f>IF(AND(FORSIDE!$B$8&gt;=9,FORSIDE!$F$8&gt;=0,FORSIDE!$B$5&gt;=6),"105 -&gt; 106","")</f>
        <v/>
      </c>
      <c r="C97" t="str">
        <f>FORSIDE!$C$4</f>
        <v>S355, Stål / KFHUP 180x180x12.5</v>
      </c>
    </row>
    <row r="98" spans="1:3" x14ac:dyDescent="0.3">
      <c r="A98" t="str">
        <f>IF(AND(FORSIDE!$B$8&gt;=9,FORSIDE!$F$8&gt;=0,FORSIDE!$B$5&gt;=7),"S97","")</f>
        <v/>
      </c>
      <c r="B98" t="str">
        <f>IF(AND(FORSIDE!$B$8&gt;=9,FORSIDE!$F$8&gt;=0,FORSIDE!$B$5&gt;=7),"106 -&gt; 107","")</f>
        <v/>
      </c>
      <c r="C98" t="str">
        <f>FORSIDE!$C$4</f>
        <v>S355, Stål / KFHUP 180x180x12.5</v>
      </c>
    </row>
    <row r="99" spans="1:3" x14ac:dyDescent="0.3">
      <c r="A99" t="str">
        <f>IF(AND(FORSIDE!$B$8&gt;=9,FORSIDE!$F$8&gt;=0,FORSIDE!$B$5&gt;=8),"S98","")</f>
        <v/>
      </c>
      <c r="B99" t="str">
        <f>IF(AND(FORSIDE!$B$8&gt;=9,FORSIDE!$F$8&gt;=0,FORSIDE!$B$5&gt;=8),"107 -&gt; 108","")</f>
        <v/>
      </c>
      <c r="C99" t="str">
        <f>FORSIDE!$C$4</f>
        <v>S355, Stål / KFHUP 180x180x12.5</v>
      </c>
    </row>
    <row r="100" spans="1:3" x14ac:dyDescent="0.3">
      <c r="A100" t="str">
        <f>IF(AND(FORSIDE!$B$8&gt;=9,FORSIDE!$F$8&gt;=0,FORSIDE!$B$5&gt;=9),"S99","")</f>
        <v/>
      </c>
      <c r="B100" t="str">
        <f>IF(AND(FORSIDE!$B$8&gt;=9,FORSIDE!$F$8&gt;=0,FORSIDE!$B$5&gt;=9),"108 -&gt; 109","")</f>
        <v/>
      </c>
      <c r="C100" t="str">
        <f>FORSIDE!$C$4</f>
        <v>S355, Stål / KFHUP 180x180x12.5</v>
      </c>
    </row>
    <row r="101" spans="1:3" x14ac:dyDescent="0.3">
      <c r="A101" t="str">
        <f>IF(AND(FORSIDE!$B$8&gt;=9,FORSIDE!$F$8&gt;=0,FORSIDE!$B$5&gt;=10),"S100","")</f>
        <v/>
      </c>
      <c r="B101" t="str">
        <f>IF(AND(FORSIDE!$B$8&gt;=9,FORSIDE!$F$8&gt;=0,FORSIDE!$B$5&gt;=10),"109 -&gt; 110","")</f>
        <v/>
      </c>
      <c r="C101" t="str">
        <f>FORSIDE!$C$4</f>
        <v>S355, Stål / KFHUP 180x180x12.5</v>
      </c>
    </row>
    <row r="102" spans="1:3" x14ac:dyDescent="0.3">
      <c r="A102" t="str">
        <f>IF(AND(FORSIDE!$B$8&gt;=10,FORSIDE!$F$8&gt;=0,FORSIDE!$B$5&gt;=1),"S101","")</f>
        <v/>
      </c>
      <c r="B102" t="str">
        <f>IF(AND(FORSIDE!$B$8&gt;=10,FORSIDE!$F$8&gt;=0,FORSIDE!$B$5&gt;=1),"111 -&gt; 112","")</f>
        <v/>
      </c>
      <c r="C102" t="str">
        <f>FORSIDE!$C$4</f>
        <v>S355, Stål / KFHUP 180x180x12.5</v>
      </c>
    </row>
    <row r="103" spans="1:3" x14ac:dyDescent="0.3">
      <c r="A103" t="str">
        <f>IF(AND(FORSIDE!$B$8&gt;=10,FORSIDE!$F$8&gt;=0,FORSIDE!$B$5&gt;=2),"S102","")</f>
        <v/>
      </c>
      <c r="B103" t="str">
        <f>IF(AND(FORSIDE!$B$8&gt;=10,FORSIDE!$F$8&gt;=0,FORSIDE!$B$5&gt;=2),"112 -&gt; 113","")</f>
        <v/>
      </c>
      <c r="C103" t="str">
        <f>FORSIDE!$C$4</f>
        <v>S355, Stål / KFHUP 180x180x12.5</v>
      </c>
    </row>
    <row r="104" spans="1:3" x14ac:dyDescent="0.3">
      <c r="A104" t="str">
        <f>IF(AND(FORSIDE!$B$8&gt;=10,FORSIDE!$F$8&gt;=0,FORSIDE!$B$5&gt;=3),"S103","")</f>
        <v/>
      </c>
      <c r="B104" t="str">
        <f>IF(AND(FORSIDE!$B$8&gt;=10,FORSIDE!$F$8&gt;=0,FORSIDE!$B$5&gt;=3),"113 -&gt; 114","")</f>
        <v/>
      </c>
      <c r="C104" t="str">
        <f>FORSIDE!$C$4</f>
        <v>S355, Stål / KFHUP 180x180x12.5</v>
      </c>
    </row>
    <row r="105" spans="1:3" x14ac:dyDescent="0.3">
      <c r="A105" t="str">
        <f>IF(AND(FORSIDE!$B$8&gt;=10,FORSIDE!$F$8&gt;=0,FORSIDE!$B$5&gt;=4),"S104","")</f>
        <v/>
      </c>
      <c r="B105" t="str">
        <f>IF(AND(FORSIDE!$B$8&gt;=10,FORSIDE!$F$8&gt;=0,FORSIDE!$B$5&gt;=4),"114 -&gt; 115","")</f>
        <v/>
      </c>
      <c r="C105" t="str">
        <f>FORSIDE!$C$4</f>
        <v>S355, Stål / KFHUP 180x180x12.5</v>
      </c>
    </row>
    <row r="106" spans="1:3" x14ac:dyDescent="0.3">
      <c r="A106" t="str">
        <f>IF(AND(FORSIDE!$B$8&gt;=10,FORSIDE!$F$8&gt;=0,FORSIDE!$B$5&gt;=5),"S105","")</f>
        <v/>
      </c>
      <c r="B106" t="str">
        <f>IF(AND(FORSIDE!$B$8&gt;=10,FORSIDE!$F$8&gt;=0,FORSIDE!$B$5&gt;=5),"115 -&gt; 116","")</f>
        <v/>
      </c>
      <c r="C106" t="str">
        <f>FORSIDE!$C$4</f>
        <v>S355, Stål / KFHUP 180x180x12.5</v>
      </c>
    </row>
    <row r="107" spans="1:3" x14ac:dyDescent="0.3">
      <c r="A107" t="str">
        <f>IF(AND(FORSIDE!$B$8&gt;=10,FORSIDE!$F$8&gt;=0,FORSIDE!$B$5&gt;=6),"S106","")</f>
        <v/>
      </c>
      <c r="B107" t="str">
        <f>IF(AND(FORSIDE!$B$8&gt;=10,FORSIDE!$F$8&gt;=0,FORSIDE!$B$5&gt;=6),"116 -&gt; 117","")</f>
        <v/>
      </c>
      <c r="C107" t="str">
        <f>FORSIDE!$C$4</f>
        <v>S355, Stål / KFHUP 180x180x12.5</v>
      </c>
    </row>
    <row r="108" spans="1:3" x14ac:dyDescent="0.3">
      <c r="A108" t="str">
        <f>IF(AND(FORSIDE!$B$8&gt;=10,FORSIDE!$F$8&gt;=0,FORSIDE!$B$5&gt;=7),"S107","")</f>
        <v/>
      </c>
      <c r="B108" t="str">
        <f>IF(AND(FORSIDE!$B$8&gt;=10,FORSIDE!$F$8&gt;=0,FORSIDE!$B$5&gt;=7),"117 -&gt; 118","")</f>
        <v/>
      </c>
      <c r="C108" t="str">
        <f>FORSIDE!$C$4</f>
        <v>S355, Stål / KFHUP 180x180x12.5</v>
      </c>
    </row>
    <row r="109" spans="1:3" x14ac:dyDescent="0.3">
      <c r="A109" t="str">
        <f>IF(AND(FORSIDE!$B$8&gt;=10,FORSIDE!$F$8&gt;=0,FORSIDE!$B$5&gt;=8),"S108","")</f>
        <v/>
      </c>
      <c r="B109" t="str">
        <f>IF(AND(FORSIDE!$B$8&gt;=10,FORSIDE!$F$8&gt;=0,FORSIDE!$B$5&gt;=8),"118 -&gt; 119","")</f>
        <v/>
      </c>
      <c r="C109" t="str">
        <f>FORSIDE!$C$4</f>
        <v>S355, Stål / KFHUP 180x180x12.5</v>
      </c>
    </row>
    <row r="110" spans="1:3" x14ac:dyDescent="0.3">
      <c r="A110" t="str">
        <f>IF(AND(FORSIDE!$B$8&gt;=10,FORSIDE!$F$8&gt;=0,FORSIDE!$B$5&gt;=9),"S109","")</f>
        <v/>
      </c>
      <c r="B110" t="str">
        <f>IF(AND(FORSIDE!$B$8&gt;=10,FORSIDE!$F$8&gt;=0,FORSIDE!$B$5&gt;=9),"119 -&gt; 120","")</f>
        <v/>
      </c>
      <c r="C110" t="str">
        <f>FORSIDE!$C$4</f>
        <v>S355, Stål / KFHUP 180x180x12.5</v>
      </c>
    </row>
    <row r="111" spans="1:3" x14ac:dyDescent="0.3">
      <c r="A111" t="str">
        <f>IF(AND(FORSIDE!$B$8&gt;=10,FORSIDE!$F$8&gt;=0,FORSIDE!$B$5&gt;=10),"S110","")</f>
        <v/>
      </c>
      <c r="B111" t="str">
        <f>IF(AND(FORSIDE!$B$8&gt;=10,FORSIDE!$F$8&gt;=0,FORSIDE!$B$5&gt;=10),"120 -&gt; 121","")</f>
        <v/>
      </c>
      <c r="C111" t="str">
        <f>FORSIDE!$C$4</f>
        <v>S355, Stål / KFHUP 180x180x12.5</v>
      </c>
    </row>
    <row r="112" spans="1:3" x14ac:dyDescent="0.3">
      <c r="A112" t="str">
        <f>IF(AND(FORSIDE!$B$8&gt;=11,FORSIDE!$F$8&gt;=0,FORSIDE!$B$5&gt;=1),"S111","")</f>
        <v/>
      </c>
      <c r="B112" t="str">
        <f>IF(AND(FORSIDE!$B$8&gt;=11,FORSIDE!$F$8&gt;=0,FORSIDE!$B$5&gt;=1),"122 -&gt; 123","")</f>
        <v/>
      </c>
      <c r="C112" t="str">
        <f>FORSIDE!$C$4</f>
        <v>S355, Stål / KFHUP 180x180x12.5</v>
      </c>
    </row>
    <row r="113" spans="1:3" x14ac:dyDescent="0.3">
      <c r="A113" t="str">
        <f>IF(AND(FORSIDE!$B$8&gt;=11,FORSIDE!$F$8&gt;=0,FORSIDE!$B$5&gt;=2),"S112","")</f>
        <v/>
      </c>
      <c r="B113" t="str">
        <f>IF(AND(FORSIDE!$B$8&gt;=11,FORSIDE!$F$8&gt;=0,FORSIDE!$B$5&gt;=2),"123 -&gt; 124","")</f>
        <v/>
      </c>
      <c r="C113" t="str">
        <f>FORSIDE!$C$4</f>
        <v>S355, Stål / KFHUP 180x180x12.5</v>
      </c>
    </row>
    <row r="114" spans="1:3" x14ac:dyDescent="0.3">
      <c r="A114" t="str">
        <f>IF(AND(FORSIDE!$B$8&gt;=11,FORSIDE!$F$8&gt;=0,FORSIDE!$B$5&gt;=3),"S113","")</f>
        <v/>
      </c>
      <c r="B114" t="str">
        <f>IF(AND(FORSIDE!$B$8&gt;=11,FORSIDE!$F$8&gt;=0,FORSIDE!$B$5&gt;=3),"124 -&gt; 125","")</f>
        <v/>
      </c>
      <c r="C114" t="str">
        <f>FORSIDE!$C$4</f>
        <v>S355, Stål / KFHUP 180x180x12.5</v>
      </c>
    </row>
    <row r="115" spans="1:3" x14ac:dyDescent="0.3">
      <c r="A115" t="str">
        <f>IF(AND(FORSIDE!$B$8&gt;=11,FORSIDE!$F$8&gt;=0,FORSIDE!$B$5&gt;=4),"S114","")</f>
        <v/>
      </c>
      <c r="B115" t="str">
        <f>IF(AND(FORSIDE!$B$8&gt;=11,FORSIDE!$F$8&gt;=0,FORSIDE!$B$5&gt;=4),"125 -&gt; 126","")</f>
        <v/>
      </c>
      <c r="C115" t="str">
        <f>FORSIDE!$C$4</f>
        <v>S355, Stål / KFHUP 180x180x12.5</v>
      </c>
    </row>
    <row r="116" spans="1:3" x14ac:dyDescent="0.3">
      <c r="A116" t="str">
        <f>IF(AND(FORSIDE!$B$8&gt;=11,FORSIDE!$F$8&gt;=0,FORSIDE!$B$5&gt;=5),"S115","")</f>
        <v/>
      </c>
      <c r="B116" t="str">
        <f>IF(AND(FORSIDE!$B$8&gt;=11,FORSIDE!$F$8&gt;=0,FORSIDE!$B$5&gt;=5),"126 -&gt; 127","")</f>
        <v/>
      </c>
      <c r="C116" t="str">
        <f>FORSIDE!$C$4</f>
        <v>S355, Stål / KFHUP 180x180x12.5</v>
      </c>
    </row>
    <row r="117" spans="1:3" x14ac:dyDescent="0.3">
      <c r="A117" t="str">
        <f>IF(AND(FORSIDE!$B$8&gt;=11,FORSIDE!$F$8&gt;=0,FORSIDE!$B$5&gt;=6),"S116","")</f>
        <v/>
      </c>
      <c r="B117" t="str">
        <f>IF(AND(FORSIDE!$B$8&gt;=11,FORSIDE!$F$8&gt;=0,FORSIDE!$B$5&gt;=6),"127 -&gt; 128","")</f>
        <v/>
      </c>
      <c r="C117" t="str">
        <f>FORSIDE!$C$4</f>
        <v>S355, Stål / KFHUP 180x180x12.5</v>
      </c>
    </row>
    <row r="118" spans="1:3" x14ac:dyDescent="0.3">
      <c r="A118" t="str">
        <f>IF(AND(FORSIDE!$B$8&gt;=11,FORSIDE!$F$8&gt;=0,FORSIDE!$B$5&gt;=7),"S117","")</f>
        <v/>
      </c>
      <c r="B118" t="str">
        <f>IF(AND(FORSIDE!$B$8&gt;=11,FORSIDE!$F$8&gt;=0,FORSIDE!$B$5&gt;=7),"128 -&gt; 129","")</f>
        <v/>
      </c>
      <c r="C118" t="str">
        <f>FORSIDE!$C$4</f>
        <v>S355, Stål / KFHUP 180x180x12.5</v>
      </c>
    </row>
    <row r="119" spans="1:3" x14ac:dyDescent="0.3">
      <c r="A119" t="str">
        <f>IF(AND(FORSIDE!$B$8&gt;=11,FORSIDE!$F$8&gt;=0,FORSIDE!$B$5&gt;=8),"S118","")</f>
        <v/>
      </c>
      <c r="B119" t="str">
        <f>IF(AND(FORSIDE!$B$8&gt;=11,FORSIDE!$F$8&gt;=0,FORSIDE!$B$5&gt;=8),"129 -&gt; 130","")</f>
        <v/>
      </c>
      <c r="C119" t="str">
        <f>FORSIDE!$C$4</f>
        <v>S355, Stål / KFHUP 180x180x12.5</v>
      </c>
    </row>
    <row r="120" spans="1:3" x14ac:dyDescent="0.3">
      <c r="A120" t="str">
        <f>IF(AND(FORSIDE!$B$8&gt;=11,FORSIDE!$F$8&gt;=0,FORSIDE!$B$5&gt;=9),"S119","")</f>
        <v/>
      </c>
      <c r="B120" t="str">
        <f>IF(AND(FORSIDE!$B$8&gt;=11,FORSIDE!$F$8&gt;=0,FORSIDE!$B$5&gt;=9),"130 -&gt; 131","")</f>
        <v/>
      </c>
      <c r="C120" t="str">
        <f>FORSIDE!$C$4</f>
        <v>S355, Stål / KFHUP 180x180x12.5</v>
      </c>
    </row>
    <row r="121" spans="1:3" x14ac:dyDescent="0.3">
      <c r="A121" t="str">
        <f>IF(AND(FORSIDE!$B$8&gt;=11,FORSIDE!$F$8&gt;=0,FORSIDE!$B$5&gt;=10),"S120","")</f>
        <v/>
      </c>
      <c r="B121" t="str">
        <f>IF(AND(FORSIDE!$B$8&gt;=11,FORSIDE!$F$8&gt;=0,FORSIDE!$B$5&gt;=10),"131 -&gt; 132","")</f>
        <v/>
      </c>
      <c r="C121" t="str">
        <f>FORSIDE!$C$4</f>
        <v>S355, Stål / KFHUP 180x180x12.5</v>
      </c>
    </row>
    <row r="122" spans="1:3" x14ac:dyDescent="0.3">
      <c r="A122" t="str">
        <f>IF(AND(FORSIDE!$B$8&gt;=12,FORSIDE!$F$8&gt;=0,FORSIDE!$B$5&gt;=1),"S121","")</f>
        <v/>
      </c>
      <c r="B122" t="str">
        <f>IF(AND(FORSIDE!$B$8&gt;=12,FORSIDE!$F$8&gt;=0,FORSIDE!$B$5&gt;=1),"133 -&gt; 134","")</f>
        <v/>
      </c>
      <c r="C122" t="str">
        <f>FORSIDE!$C$4</f>
        <v>S355, Stål / KFHUP 180x180x12.5</v>
      </c>
    </row>
    <row r="123" spans="1:3" x14ac:dyDescent="0.3">
      <c r="A123" t="str">
        <f>IF(AND(FORSIDE!$B$8&gt;=12,FORSIDE!$F$8&gt;=0,FORSIDE!$B$5&gt;=2),"S122","")</f>
        <v/>
      </c>
      <c r="B123" t="str">
        <f>IF(AND(FORSIDE!$B$8&gt;=12,FORSIDE!$F$8&gt;=0,FORSIDE!$B$5&gt;=2),"134 -&gt; 135","")</f>
        <v/>
      </c>
      <c r="C123" t="str">
        <f>FORSIDE!$C$4</f>
        <v>S355, Stål / KFHUP 180x180x12.5</v>
      </c>
    </row>
    <row r="124" spans="1:3" x14ac:dyDescent="0.3">
      <c r="A124" t="str">
        <f>IF(AND(FORSIDE!$B$8&gt;=12,FORSIDE!$F$8&gt;=0,FORSIDE!$B$5&gt;=3),"S123","")</f>
        <v/>
      </c>
      <c r="B124" t="str">
        <f>IF(AND(FORSIDE!$B$8&gt;=12,FORSIDE!$F$8&gt;=0,FORSIDE!$B$5&gt;=3),"135 -&gt; 136","")</f>
        <v/>
      </c>
      <c r="C124" t="str">
        <f>FORSIDE!$C$4</f>
        <v>S355, Stål / KFHUP 180x180x12.5</v>
      </c>
    </row>
    <row r="125" spans="1:3" x14ac:dyDescent="0.3">
      <c r="A125" t="str">
        <f>IF(AND(FORSIDE!$B$8&gt;=12,FORSIDE!$F$8&gt;=0,FORSIDE!$B$5&gt;=4),"S124","")</f>
        <v/>
      </c>
      <c r="B125" t="str">
        <f>IF(AND(FORSIDE!$B$8&gt;=12,FORSIDE!$F$8&gt;=0,FORSIDE!$B$5&gt;=4),"136 -&gt; 137","")</f>
        <v/>
      </c>
      <c r="C125" t="str">
        <f>FORSIDE!$C$4</f>
        <v>S355, Stål / KFHUP 180x180x12.5</v>
      </c>
    </row>
    <row r="126" spans="1:3" x14ac:dyDescent="0.3">
      <c r="A126" t="str">
        <f>IF(AND(FORSIDE!$B$8&gt;=12,FORSIDE!$F$8&gt;=0,FORSIDE!$B$5&gt;=5),"S125","")</f>
        <v/>
      </c>
      <c r="B126" t="str">
        <f>IF(AND(FORSIDE!$B$8&gt;=12,FORSIDE!$F$8&gt;=0,FORSIDE!$B$5&gt;=5),"137 -&gt; 138","")</f>
        <v/>
      </c>
      <c r="C126" t="str">
        <f>FORSIDE!$C$4</f>
        <v>S355, Stål / KFHUP 180x180x12.5</v>
      </c>
    </row>
    <row r="127" spans="1:3" x14ac:dyDescent="0.3">
      <c r="A127" t="str">
        <f>IF(AND(FORSIDE!$B$8&gt;=12,FORSIDE!$F$8&gt;=0,FORSIDE!$B$5&gt;=6),"S126","")</f>
        <v/>
      </c>
      <c r="B127" t="str">
        <f>IF(AND(FORSIDE!$B$8&gt;=12,FORSIDE!$F$8&gt;=0,FORSIDE!$B$5&gt;=6),"138 -&gt; 139","")</f>
        <v/>
      </c>
      <c r="C127" t="str">
        <f>FORSIDE!$C$4</f>
        <v>S355, Stål / KFHUP 180x180x12.5</v>
      </c>
    </row>
    <row r="128" spans="1:3" x14ac:dyDescent="0.3">
      <c r="A128" t="str">
        <f>IF(AND(FORSIDE!$B$8&gt;=12,FORSIDE!$F$8&gt;=0,FORSIDE!$B$5&gt;=7),"S127","")</f>
        <v/>
      </c>
      <c r="B128" t="str">
        <f>IF(AND(FORSIDE!$B$8&gt;=12,FORSIDE!$F$8&gt;=0,FORSIDE!$B$5&gt;=7),"139 -&gt; 140","")</f>
        <v/>
      </c>
      <c r="C128" t="str">
        <f>FORSIDE!$C$4</f>
        <v>S355, Stål / KFHUP 180x180x12.5</v>
      </c>
    </row>
    <row r="129" spans="1:3" x14ac:dyDescent="0.3">
      <c r="A129" t="str">
        <f>IF(AND(FORSIDE!$B$8&gt;=12,FORSIDE!$F$8&gt;=0,FORSIDE!$B$5&gt;=8),"S128","")</f>
        <v/>
      </c>
      <c r="B129" t="str">
        <f>IF(AND(FORSIDE!$B$8&gt;=12,FORSIDE!$F$8&gt;=0,FORSIDE!$B$5&gt;=8),"140 -&gt; 141","")</f>
        <v/>
      </c>
      <c r="C129" t="str">
        <f>FORSIDE!$C$4</f>
        <v>S355, Stål / KFHUP 180x180x12.5</v>
      </c>
    </row>
    <row r="130" spans="1:3" x14ac:dyDescent="0.3">
      <c r="A130" t="str">
        <f>IF(AND(FORSIDE!$B$8&gt;=12,FORSIDE!$F$8&gt;=0,FORSIDE!$B$5&gt;=9),"S129","")</f>
        <v/>
      </c>
      <c r="B130" t="str">
        <f>IF(AND(FORSIDE!$B$8&gt;=12,FORSIDE!$F$8&gt;=0,FORSIDE!$B$5&gt;=9),"141 -&gt; 142","")</f>
        <v/>
      </c>
      <c r="C130" t="str">
        <f>FORSIDE!$C$4</f>
        <v>S355, Stål / KFHUP 180x180x12.5</v>
      </c>
    </row>
    <row r="131" spans="1:3" x14ac:dyDescent="0.3">
      <c r="A131" t="str">
        <f>IF(AND(FORSIDE!$B$8&gt;=12,FORSIDE!$F$8&gt;=0,FORSIDE!$B$5&gt;=10),"S130","")</f>
        <v/>
      </c>
      <c r="B131" t="str">
        <f>IF(AND(FORSIDE!$B$8&gt;=12,FORSIDE!$F$8&gt;=0,FORSIDE!$B$5&gt;=10),"142 -&gt; 143","")</f>
        <v/>
      </c>
      <c r="C131" t="str">
        <f>FORSIDE!$C$4</f>
        <v>S355, Stål / KFHUP 180x180x12.5</v>
      </c>
    </row>
    <row r="132" spans="1:3" x14ac:dyDescent="0.3">
      <c r="A132" t="str">
        <f>IF(AND(FORSIDE!$B$8&gt;=13,FORSIDE!$F$8&gt;=0,FORSIDE!$B$5&gt;=1),"S131","")</f>
        <v/>
      </c>
      <c r="B132" t="str">
        <f>IF(AND(FORSIDE!$B$8&gt;=13,FORSIDE!$F$8&gt;=0,FORSIDE!$B$5&gt;=1),"144 -&gt; 145","")</f>
        <v/>
      </c>
      <c r="C132" t="str">
        <f>FORSIDE!$C$4</f>
        <v>S355, Stål / KFHUP 180x180x12.5</v>
      </c>
    </row>
    <row r="133" spans="1:3" x14ac:dyDescent="0.3">
      <c r="A133" t="str">
        <f>IF(AND(FORSIDE!$B$8&gt;=13,FORSIDE!$F$8&gt;=0,FORSIDE!$B$5&gt;=2),"S132","")</f>
        <v/>
      </c>
      <c r="B133" t="str">
        <f>IF(AND(FORSIDE!$B$8&gt;=13,FORSIDE!$F$8&gt;=0,FORSIDE!$B$5&gt;=2),"145 -&gt; 146","")</f>
        <v/>
      </c>
      <c r="C133" t="str">
        <f>FORSIDE!$C$4</f>
        <v>S355, Stål / KFHUP 180x180x12.5</v>
      </c>
    </row>
    <row r="134" spans="1:3" x14ac:dyDescent="0.3">
      <c r="A134" t="str">
        <f>IF(AND(FORSIDE!$B$8&gt;=13,FORSIDE!$F$8&gt;=0,FORSIDE!$B$5&gt;=3),"S133","")</f>
        <v/>
      </c>
      <c r="B134" t="str">
        <f>IF(AND(FORSIDE!$B$8&gt;=13,FORSIDE!$F$8&gt;=0,FORSIDE!$B$5&gt;=3),"146 -&gt; 147","")</f>
        <v/>
      </c>
      <c r="C134" t="str">
        <f>FORSIDE!$C$4</f>
        <v>S355, Stål / KFHUP 180x180x12.5</v>
      </c>
    </row>
    <row r="135" spans="1:3" x14ac:dyDescent="0.3">
      <c r="A135" t="str">
        <f>IF(AND(FORSIDE!$B$8&gt;=13,FORSIDE!$F$8&gt;=0,FORSIDE!$B$5&gt;=4),"S134","")</f>
        <v/>
      </c>
      <c r="B135" t="str">
        <f>IF(AND(FORSIDE!$B$8&gt;=13,FORSIDE!$F$8&gt;=0,FORSIDE!$B$5&gt;=4),"147 -&gt; 148","")</f>
        <v/>
      </c>
      <c r="C135" t="str">
        <f>FORSIDE!$C$4</f>
        <v>S355, Stål / KFHUP 180x180x12.5</v>
      </c>
    </row>
    <row r="136" spans="1:3" x14ac:dyDescent="0.3">
      <c r="A136" t="str">
        <f>IF(AND(FORSIDE!$B$8&gt;=13,FORSIDE!$F$8&gt;=0,FORSIDE!$B$5&gt;=5),"S135","")</f>
        <v/>
      </c>
      <c r="B136" t="str">
        <f>IF(AND(FORSIDE!$B$8&gt;=13,FORSIDE!$F$8&gt;=0,FORSIDE!$B$5&gt;=5),"148 -&gt; 149","")</f>
        <v/>
      </c>
      <c r="C136" t="str">
        <f>FORSIDE!$C$4</f>
        <v>S355, Stål / KFHUP 180x180x12.5</v>
      </c>
    </row>
    <row r="137" spans="1:3" x14ac:dyDescent="0.3">
      <c r="A137" t="str">
        <f>IF(AND(FORSIDE!$B$8&gt;=13,FORSIDE!$F$8&gt;=0,FORSIDE!$B$5&gt;=6),"S136","")</f>
        <v/>
      </c>
      <c r="B137" t="str">
        <f>IF(AND(FORSIDE!$B$8&gt;=13,FORSIDE!$F$8&gt;=0,FORSIDE!$B$5&gt;=6),"149 -&gt; 150","")</f>
        <v/>
      </c>
      <c r="C137" t="str">
        <f>FORSIDE!$C$4</f>
        <v>S355, Stål / KFHUP 180x180x12.5</v>
      </c>
    </row>
    <row r="138" spans="1:3" x14ac:dyDescent="0.3">
      <c r="A138" t="str">
        <f>IF(AND(FORSIDE!$B$8&gt;=13,FORSIDE!$F$8&gt;=0,FORSIDE!$B$5&gt;=7),"S137","")</f>
        <v/>
      </c>
      <c r="B138" t="str">
        <f>IF(AND(FORSIDE!$B$8&gt;=13,FORSIDE!$F$8&gt;=0,FORSIDE!$B$5&gt;=7),"150 -&gt; 151","")</f>
        <v/>
      </c>
      <c r="C138" t="str">
        <f>FORSIDE!$C$4</f>
        <v>S355, Stål / KFHUP 180x180x12.5</v>
      </c>
    </row>
    <row r="139" spans="1:3" x14ac:dyDescent="0.3">
      <c r="A139" t="str">
        <f>IF(AND(FORSIDE!$B$8&gt;=13,FORSIDE!$F$8&gt;=0,FORSIDE!$B$5&gt;=8),"S138","")</f>
        <v/>
      </c>
      <c r="B139" t="str">
        <f>IF(AND(FORSIDE!$B$8&gt;=13,FORSIDE!$F$8&gt;=0,FORSIDE!$B$5&gt;=8),"151 -&gt; 152","")</f>
        <v/>
      </c>
      <c r="C139" t="str">
        <f>FORSIDE!$C$4</f>
        <v>S355, Stål / KFHUP 180x180x12.5</v>
      </c>
    </row>
    <row r="140" spans="1:3" x14ac:dyDescent="0.3">
      <c r="A140" t="str">
        <f>IF(AND(FORSIDE!$B$8&gt;=13,FORSIDE!$F$8&gt;=0,FORSIDE!$B$5&gt;=9),"S139","")</f>
        <v/>
      </c>
      <c r="B140" t="str">
        <f>IF(AND(FORSIDE!$B$8&gt;=13,FORSIDE!$F$8&gt;=0,FORSIDE!$B$5&gt;=9),"152 -&gt; 153","")</f>
        <v/>
      </c>
      <c r="C140" t="str">
        <f>FORSIDE!$C$4</f>
        <v>S355, Stål / KFHUP 180x180x12.5</v>
      </c>
    </row>
    <row r="141" spans="1:3" x14ac:dyDescent="0.3">
      <c r="A141" t="str">
        <f>IF(AND(FORSIDE!$B$8&gt;=13,FORSIDE!$F$8&gt;=0,FORSIDE!$B$5&gt;=10),"S140","")</f>
        <v/>
      </c>
      <c r="B141" t="str">
        <f>IF(AND(FORSIDE!$B$8&gt;=13,FORSIDE!$F$8&gt;=0,FORSIDE!$B$5&gt;=10),"153 -&gt; 154","")</f>
        <v/>
      </c>
      <c r="C141" t="str">
        <f>FORSIDE!$C$4</f>
        <v>S355, Stål / KFHUP 180x180x12.5</v>
      </c>
    </row>
    <row r="142" spans="1:3" x14ac:dyDescent="0.3">
      <c r="A142" t="str">
        <f>IF(AND(FORSIDE!$B$8&gt;=14,FORSIDE!$F$8&gt;=0,FORSIDE!$B$5&gt;=1),"S141","")</f>
        <v/>
      </c>
      <c r="B142" t="str">
        <f>IF(AND(FORSIDE!$B$8&gt;=14,FORSIDE!$F$8&gt;=0,FORSIDE!$B$5&gt;=1),"155 -&gt; 156","")</f>
        <v/>
      </c>
      <c r="C142" t="str">
        <f>FORSIDE!$C$4</f>
        <v>S355, Stål / KFHUP 180x180x12.5</v>
      </c>
    </row>
    <row r="143" spans="1:3" x14ac:dyDescent="0.3">
      <c r="A143" t="str">
        <f>IF(AND(FORSIDE!$B$8&gt;=14,FORSIDE!$F$8&gt;=0,FORSIDE!$B$5&gt;=2),"S142","")</f>
        <v/>
      </c>
      <c r="B143" t="str">
        <f>IF(AND(FORSIDE!$B$8&gt;=14,FORSIDE!$F$8&gt;=0,FORSIDE!$B$5&gt;=2),"156 -&gt; 157","")</f>
        <v/>
      </c>
      <c r="C143" t="str">
        <f>FORSIDE!$C$4</f>
        <v>S355, Stål / KFHUP 180x180x12.5</v>
      </c>
    </row>
    <row r="144" spans="1:3" x14ac:dyDescent="0.3">
      <c r="A144" t="str">
        <f>IF(AND(FORSIDE!$B$8&gt;=14,FORSIDE!$F$8&gt;=0,FORSIDE!$B$5&gt;=3),"S143","")</f>
        <v/>
      </c>
      <c r="B144" t="str">
        <f>IF(AND(FORSIDE!$B$8&gt;=14,FORSIDE!$F$8&gt;=0,FORSIDE!$B$5&gt;=3),"157 -&gt; 158","")</f>
        <v/>
      </c>
      <c r="C144" t="str">
        <f>FORSIDE!$C$4</f>
        <v>S355, Stål / KFHUP 180x180x12.5</v>
      </c>
    </row>
    <row r="145" spans="1:3" x14ac:dyDescent="0.3">
      <c r="A145" t="str">
        <f>IF(AND(FORSIDE!$B$8&gt;=14,FORSIDE!$F$8&gt;=0,FORSIDE!$B$5&gt;=4),"S144","")</f>
        <v/>
      </c>
      <c r="B145" t="str">
        <f>IF(AND(FORSIDE!$B$8&gt;=14,FORSIDE!$F$8&gt;=0,FORSIDE!$B$5&gt;=4),"158 -&gt; 159","")</f>
        <v/>
      </c>
      <c r="C145" t="str">
        <f>FORSIDE!$C$4</f>
        <v>S355, Stål / KFHUP 180x180x12.5</v>
      </c>
    </row>
    <row r="146" spans="1:3" x14ac:dyDescent="0.3">
      <c r="A146" t="str">
        <f>IF(AND(FORSIDE!$B$8&gt;=14,FORSIDE!$F$8&gt;=0,FORSIDE!$B$5&gt;=5),"S145","")</f>
        <v/>
      </c>
      <c r="B146" t="str">
        <f>IF(AND(FORSIDE!$B$8&gt;=14,FORSIDE!$F$8&gt;=0,FORSIDE!$B$5&gt;=5),"159 -&gt; 160","")</f>
        <v/>
      </c>
      <c r="C146" t="str">
        <f>FORSIDE!$C$4</f>
        <v>S355, Stål / KFHUP 180x180x12.5</v>
      </c>
    </row>
    <row r="147" spans="1:3" x14ac:dyDescent="0.3">
      <c r="A147" t="str">
        <f>IF(AND(FORSIDE!$B$8&gt;=14,FORSIDE!$F$8&gt;=0,FORSIDE!$B$5&gt;=6),"S146","")</f>
        <v/>
      </c>
      <c r="B147" t="str">
        <f>IF(AND(FORSIDE!$B$8&gt;=14,FORSIDE!$F$8&gt;=0,FORSIDE!$B$5&gt;=6),"160 -&gt; 161","")</f>
        <v/>
      </c>
      <c r="C147" t="str">
        <f>FORSIDE!$C$4</f>
        <v>S355, Stål / KFHUP 180x180x12.5</v>
      </c>
    </row>
    <row r="148" spans="1:3" x14ac:dyDescent="0.3">
      <c r="A148" t="str">
        <f>IF(AND(FORSIDE!$B$8&gt;=14,FORSIDE!$F$8&gt;=0,FORSIDE!$B$5&gt;=7),"S147","")</f>
        <v/>
      </c>
      <c r="B148" t="str">
        <f>IF(AND(FORSIDE!$B$8&gt;=14,FORSIDE!$F$8&gt;=0,FORSIDE!$B$5&gt;=7),"161 -&gt; 162","")</f>
        <v/>
      </c>
      <c r="C148" t="str">
        <f>FORSIDE!$C$4</f>
        <v>S355, Stål / KFHUP 180x180x12.5</v>
      </c>
    </row>
    <row r="149" spans="1:3" x14ac:dyDescent="0.3">
      <c r="A149" t="str">
        <f>IF(AND(FORSIDE!$B$8&gt;=14,FORSIDE!$F$8&gt;=0,FORSIDE!$B$5&gt;=8),"S148","")</f>
        <v/>
      </c>
      <c r="B149" t="str">
        <f>IF(AND(FORSIDE!$B$8&gt;=14,FORSIDE!$F$8&gt;=0,FORSIDE!$B$5&gt;=8),"162 -&gt; 163","")</f>
        <v/>
      </c>
      <c r="C149" t="str">
        <f>FORSIDE!$C$4</f>
        <v>S355, Stål / KFHUP 180x180x12.5</v>
      </c>
    </row>
    <row r="150" spans="1:3" x14ac:dyDescent="0.3">
      <c r="A150" t="str">
        <f>IF(AND(FORSIDE!$B$8&gt;=14,FORSIDE!$F$8&gt;=0,FORSIDE!$B$5&gt;=9),"S149","")</f>
        <v/>
      </c>
      <c r="B150" t="str">
        <f>IF(AND(FORSIDE!$B$8&gt;=14,FORSIDE!$F$8&gt;=0,FORSIDE!$B$5&gt;=9),"163 -&gt; 164","")</f>
        <v/>
      </c>
      <c r="C150" t="str">
        <f>FORSIDE!$C$4</f>
        <v>S355, Stål / KFHUP 180x180x12.5</v>
      </c>
    </row>
    <row r="151" spans="1:3" x14ac:dyDescent="0.3">
      <c r="A151" t="str">
        <f>IF(AND(FORSIDE!$B$8&gt;=14,FORSIDE!$F$8&gt;=0,FORSIDE!$B$5&gt;=10),"S150","")</f>
        <v/>
      </c>
      <c r="B151" t="str">
        <f>IF(AND(FORSIDE!$B$8&gt;=14,FORSIDE!$F$8&gt;=0,FORSIDE!$B$5&gt;=10),"164 -&gt; 165","")</f>
        <v/>
      </c>
      <c r="C151" t="str">
        <f>FORSIDE!$C$4</f>
        <v>S355, Stål / KFHUP 180x180x12.5</v>
      </c>
    </row>
    <row r="152" spans="1:3" x14ac:dyDescent="0.3">
      <c r="A152" t="str">
        <f>IF(AND(FORSIDE!$B$8&gt;=15,FORSIDE!$F$8&gt;=0,FORSIDE!$B$5&gt;=1),"S151","")</f>
        <v/>
      </c>
      <c r="B152" t="str">
        <f>IF(AND(FORSIDE!$B$8&gt;=15,FORSIDE!$F$8&gt;=0,FORSIDE!$B$5&gt;=1),"166 -&gt; 167","")</f>
        <v/>
      </c>
      <c r="C152" t="str">
        <f>FORSIDE!$C$4</f>
        <v>S355, Stål / KFHUP 180x180x12.5</v>
      </c>
    </row>
    <row r="153" spans="1:3" x14ac:dyDescent="0.3">
      <c r="A153" t="str">
        <f>IF(AND(FORSIDE!$B$8&gt;=15,FORSIDE!$F$8&gt;=0,FORSIDE!$B$5&gt;=2),"S152","")</f>
        <v/>
      </c>
      <c r="B153" t="str">
        <f>IF(AND(FORSIDE!$B$8&gt;=15,FORSIDE!$F$8&gt;=0,FORSIDE!$B$5&gt;=2),"167 -&gt; 168","")</f>
        <v/>
      </c>
      <c r="C153" t="str">
        <f>FORSIDE!$C$4</f>
        <v>S355, Stål / KFHUP 180x180x12.5</v>
      </c>
    </row>
    <row r="154" spans="1:3" x14ac:dyDescent="0.3">
      <c r="A154" t="str">
        <f>IF(AND(FORSIDE!$B$8&gt;=15,FORSIDE!$F$8&gt;=0,FORSIDE!$B$5&gt;=3),"S153","")</f>
        <v/>
      </c>
      <c r="B154" t="str">
        <f>IF(AND(FORSIDE!$B$8&gt;=15,FORSIDE!$F$8&gt;=0,FORSIDE!$B$5&gt;=3),"168 -&gt; 169","")</f>
        <v/>
      </c>
      <c r="C154" t="str">
        <f>FORSIDE!$C$4</f>
        <v>S355, Stål / KFHUP 180x180x12.5</v>
      </c>
    </row>
    <row r="155" spans="1:3" x14ac:dyDescent="0.3">
      <c r="A155" t="str">
        <f>IF(AND(FORSIDE!$B$8&gt;=15,FORSIDE!$F$8&gt;=0,FORSIDE!$B$5&gt;=4),"S154","")</f>
        <v/>
      </c>
      <c r="B155" t="str">
        <f>IF(AND(FORSIDE!$B$8&gt;=15,FORSIDE!$F$8&gt;=0,FORSIDE!$B$5&gt;=4),"169 -&gt; 170","")</f>
        <v/>
      </c>
      <c r="C155" t="str">
        <f>FORSIDE!$C$4</f>
        <v>S355, Stål / KFHUP 180x180x12.5</v>
      </c>
    </row>
    <row r="156" spans="1:3" x14ac:dyDescent="0.3">
      <c r="A156" t="str">
        <f>IF(AND(FORSIDE!$B$8&gt;=15,FORSIDE!$F$8&gt;=0,FORSIDE!$B$5&gt;=5),"S155","")</f>
        <v/>
      </c>
      <c r="B156" t="str">
        <f>IF(AND(FORSIDE!$B$8&gt;=15,FORSIDE!$F$8&gt;=0,FORSIDE!$B$5&gt;=5),"170 -&gt; 171","")</f>
        <v/>
      </c>
      <c r="C156" t="str">
        <f>FORSIDE!$C$4</f>
        <v>S355, Stål / KFHUP 180x180x12.5</v>
      </c>
    </row>
    <row r="157" spans="1:3" x14ac:dyDescent="0.3">
      <c r="A157" t="str">
        <f>IF(AND(FORSIDE!$B$8&gt;=15,FORSIDE!$F$8&gt;=0,FORSIDE!$B$5&gt;=6),"S156","")</f>
        <v/>
      </c>
      <c r="B157" t="str">
        <f>IF(AND(FORSIDE!$B$8&gt;=15,FORSIDE!$F$8&gt;=0,FORSIDE!$B$5&gt;=6),"171 -&gt; 172","")</f>
        <v/>
      </c>
      <c r="C157" t="str">
        <f>FORSIDE!$C$4</f>
        <v>S355, Stål / KFHUP 180x180x12.5</v>
      </c>
    </row>
    <row r="158" spans="1:3" x14ac:dyDescent="0.3">
      <c r="A158" t="str">
        <f>IF(AND(FORSIDE!$B$8&gt;=15,FORSIDE!$F$8&gt;=0,FORSIDE!$B$5&gt;=7),"S157","")</f>
        <v/>
      </c>
      <c r="B158" t="str">
        <f>IF(AND(FORSIDE!$B$8&gt;=15,FORSIDE!$F$8&gt;=0,FORSIDE!$B$5&gt;=7),"172 -&gt; 173","")</f>
        <v/>
      </c>
      <c r="C158" t="str">
        <f>FORSIDE!$C$4</f>
        <v>S355, Stål / KFHUP 180x180x12.5</v>
      </c>
    </row>
    <row r="159" spans="1:3" x14ac:dyDescent="0.3">
      <c r="A159" t="str">
        <f>IF(AND(FORSIDE!$B$8&gt;=15,FORSIDE!$F$8&gt;=0,FORSIDE!$B$5&gt;=8),"S158","")</f>
        <v/>
      </c>
      <c r="B159" t="str">
        <f>IF(AND(FORSIDE!$B$8&gt;=15,FORSIDE!$F$8&gt;=0,FORSIDE!$B$5&gt;=8),"173 -&gt; 174","")</f>
        <v/>
      </c>
      <c r="C159" t="str">
        <f>FORSIDE!$C$4</f>
        <v>S355, Stål / KFHUP 180x180x12.5</v>
      </c>
    </row>
    <row r="160" spans="1:3" x14ac:dyDescent="0.3">
      <c r="A160" t="str">
        <f>IF(AND(FORSIDE!$B$8&gt;=15,FORSIDE!$F$8&gt;=0,FORSIDE!$B$5&gt;=9),"S159","")</f>
        <v/>
      </c>
      <c r="B160" t="str">
        <f>IF(AND(FORSIDE!$B$8&gt;=15,FORSIDE!$F$8&gt;=0,FORSIDE!$B$5&gt;=9),"174 -&gt; 175","")</f>
        <v/>
      </c>
      <c r="C160" t="str">
        <f>FORSIDE!$C$4</f>
        <v>S355, Stål / KFHUP 180x180x12.5</v>
      </c>
    </row>
    <row r="161" spans="1:3" x14ac:dyDescent="0.3">
      <c r="A161" t="str">
        <f>IF(AND(FORSIDE!$B$8&gt;=15,FORSIDE!$F$8&gt;=0,FORSIDE!$B$5&gt;=10),"S160","")</f>
        <v/>
      </c>
      <c r="B161" t="str">
        <f>IF(AND(FORSIDE!$B$8&gt;=15,FORSIDE!$F$8&gt;=0,FORSIDE!$B$5&gt;=10),"175 -&gt; 176","")</f>
        <v/>
      </c>
      <c r="C161" t="str">
        <f>FORSIDE!$C$4</f>
        <v>S355, Stål / KFHUP 180x180x12.5</v>
      </c>
    </row>
    <row r="162" spans="1:3" x14ac:dyDescent="0.3">
      <c r="A162" t="str">
        <f>IF(AND(FORSIDE!$B$8&gt;=16,FORSIDE!$F$8&gt;=0,FORSIDE!$B$5&gt;=1),"S161","")</f>
        <v/>
      </c>
      <c r="B162" t="str">
        <f>IF(AND(FORSIDE!$B$8&gt;=16,FORSIDE!$F$8&gt;=0,FORSIDE!$B$5&gt;=1),"177 -&gt; 178","")</f>
        <v/>
      </c>
      <c r="C162" t="str">
        <f>FORSIDE!$C$4</f>
        <v>S355, Stål / KFHUP 180x180x12.5</v>
      </c>
    </row>
    <row r="163" spans="1:3" x14ac:dyDescent="0.3">
      <c r="A163" t="str">
        <f>IF(AND(FORSIDE!$B$8&gt;=16,FORSIDE!$F$8&gt;=0,FORSIDE!$B$5&gt;=2),"S162","")</f>
        <v/>
      </c>
      <c r="B163" t="str">
        <f>IF(AND(FORSIDE!$B$8&gt;=16,FORSIDE!$F$8&gt;=0,FORSIDE!$B$5&gt;=2),"178 -&gt; 179","")</f>
        <v/>
      </c>
      <c r="C163" t="str">
        <f>FORSIDE!$C$4</f>
        <v>S355, Stål / KFHUP 180x180x12.5</v>
      </c>
    </row>
    <row r="164" spans="1:3" x14ac:dyDescent="0.3">
      <c r="A164" t="str">
        <f>IF(AND(FORSIDE!$B$8&gt;=16,FORSIDE!$F$8&gt;=0,FORSIDE!$B$5&gt;=3),"S163","")</f>
        <v/>
      </c>
      <c r="B164" t="str">
        <f>IF(AND(FORSIDE!$B$8&gt;=16,FORSIDE!$F$8&gt;=0,FORSIDE!$B$5&gt;=3),"179 -&gt; 180","")</f>
        <v/>
      </c>
      <c r="C164" t="str">
        <f>FORSIDE!$C$4</f>
        <v>S355, Stål / KFHUP 180x180x12.5</v>
      </c>
    </row>
    <row r="165" spans="1:3" x14ac:dyDescent="0.3">
      <c r="A165" t="str">
        <f>IF(AND(FORSIDE!$B$8&gt;=16,FORSIDE!$F$8&gt;=0,FORSIDE!$B$5&gt;=4),"S164","")</f>
        <v/>
      </c>
      <c r="B165" t="str">
        <f>IF(AND(FORSIDE!$B$8&gt;=16,FORSIDE!$F$8&gt;=0,FORSIDE!$B$5&gt;=4),"180 -&gt; 181","")</f>
        <v/>
      </c>
      <c r="C165" t="str">
        <f>FORSIDE!$C$4</f>
        <v>S355, Stål / KFHUP 180x180x12.5</v>
      </c>
    </row>
    <row r="166" spans="1:3" x14ac:dyDescent="0.3">
      <c r="A166" t="str">
        <f>IF(AND(FORSIDE!$B$8&gt;=16,FORSIDE!$F$8&gt;=0,FORSIDE!$B$5&gt;=5),"S165","")</f>
        <v/>
      </c>
      <c r="B166" t="str">
        <f>IF(AND(FORSIDE!$B$8&gt;=16,FORSIDE!$F$8&gt;=0,FORSIDE!$B$5&gt;=5),"181 -&gt; 182","")</f>
        <v/>
      </c>
      <c r="C166" t="str">
        <f>FORSIDE!$C$4</f>
        <v>S355, Stål / KFHUP 180x180x12.5</v>
      </c>
    </row>
    <row r="167" spans="1:3" x14ac:dyDescent="0.3">
      <c r="A167" t="str">
        <f>IF(AND(FORSIDE!$B$8&gt;=16,FORSIDE!$F$8&gt;=0,FORSIDE!$B$5&gt;=6),"S166","")</f>
        <v/>
      </c>
      <c r="B167" t="str">
        <f>IF(AND(FORSIDE!$B$8&gt;=16,FORSIDE!$F$8&gt;=0,FORSIDE!$B$5&gt;=6),"182 -&gt; 183","")</f>
        <v/>
      </c>
      <c r="C167" t="str">
        <f>FORSIDE!$C$4</f>
        <v>S355, Stål / KFHUP 180x180x12.5</v>
      </c>
    </row>
    <row r="168" spans="1:3" x14ac:dyDescent="0.3">
      <c r="A168" t="str">
        <f>IF(AND(FORSIDE!$B$8&gt;=16,FORSIDE!$F$8&gt;=0,FORSIDE!$B$5&gt;=7),"S167","")</f>
        <v/>
      </c>
      <c r="B168" t="str">
        <f>IF(AND(FORSIDE!$B$8&gt;=16,FORSIDE!$F$8&gt;=0,FORSIDE!$B$5&gt;=7),"183 -&gt; 184","")</f>
        <v/>
      </c>
      <c r="C168" t="str">
        <f>FORSIDE!$C$4</f>
        <v>S355, Stål / KFHUP 180x180x12.5</v>
      </c>
    </row>
    <row r="169" spans="1:3" x14ac:dyDescent="0.3">
      <c r="A169" t="str">
        <f>IF(AND(FORSIDE!$B$8&gt;=16,FORSIDE!$F$8&gt;=0,FORSIDE!$B$5&gt;=8),"S168","")</f>
        <v/>
      </c>
      <c r="B169" t="str">
        <f>IF(AND(FORSIDE!$B$8&gt;=16,FORSIDE!$F$8&gt;=0,FORSIDE!$B$5&gt;=8),"184 -&gt; 185","")</f>
        <v/>
      </c>
      <c r="C169" t="str">
        <f>FORSIDE!$C$4</f>
        <v>S355, Stål / KFHUP 180x180x12.5</v>
      </c>
    </row>
    <row r="170" spans="1:3" x14ac:dyDescent="0.3">
      <c r="A170" t="str">
        <f>IF(AND(FORSIDE!$B$8&gt;=16,FORSIDE!$F$8&gt;=0,FORSIDE!$B$5&gt;=9),"S169","")</f>
        <v/>
      </c>
      <c r="B170" t="str">
        <f>IF(AND(FORSIDE!$B$8&gt;=16,FORSIDE!$F$8&gt;=0,FORSIDE!$B$5&gt;=9),"185 -&gt; 186","")</f>
        <v/>
      </c>
      <c r="C170" t="str">
        <f>FORSIDE!$C$4</f>
        <v>S355, Stål / KFHUP 180x180x12.5</v>
      </c>
    </row>
    <row r="171" spans="1:3" x14ac:dyDescent="0.3">
      <c r="A171" t="str">
        <f>IF(AND(FORSIDE!$B$8&gt;=16,FORSIDE!$F$8&gt;=0,FORSIDE!$B$5&gt;=10),"S170","")</f>
        <v/>
      </c>
      <c r="B171" t="str">
        <f>IF(AND(FORSIDE!$B$8&gt;=16,FORSIDE!$F$8&gt;=0,FORSIDE!$B$5&gt;=10),"186 -&gt; 187","")</f>
        <v/>
      </c>
      <c r="C171" t="str">
        <f>FORSIDE!$C$4</f>
        <v>S355, Stål / KFHUP 180x180x12.5</v>
      </c>
    </row>
    <row r="172" spans="1:3" x14ac:dyDescent="0.3">
      <c r="A172" t="str">
        <f>IF(AND(FORSIDE!$B$8&gt;=17,FORSIDE!$F$8&gt;=0,FORSIDE!$B$5&gt;=1),"S171","")</f>
        <v/>
      </c>
      <c r="B172" t="str">
        <f>IF(AND(FORSIDE!$B$8&gt;=17,FORSIDE!$F$8&gt;=0,FORSIDE!$B$5&gt;=1),"188 -&gt; 189","")</f>
        <v/>
      </c>
      <c r="C172" t="str">
        <f>FORSIDE!$C$4</f>
        <v>S355, Stål / KFHUP 180x180x12.5</v>
      </c>
    </row>
    <row r="173" spans="1:3" x14ac:dyDescent="0.3">
      <c r="A173" t="str">
        <f>IF(AND(FORSIDE!$B$8&gt;=17,FORSIDE!$F$8&gt;=0,FORSIDE!$B$5&gt;=2),"S172","")</f>
        <v/>
      </c>
      <c r="B173" t="str">
        <f>IF(AND(FORSIDE!$B$8&gt;=17,FORSIDE!$F$8&gt;=0,FORSIDE!$B$5&gt;=2),"189 -&gt; 190","")</f>
        <v/>
      </c>
      <c r="C173" t="str">
        <f>FORSIDE!$C$4</f>
        <v>S355, Stål / KFHUP 180x180x12.5</v>
      </c>
    </row>
    <row r="174" spans="1:3" x14ac:dyDescent="0.3">
      <c r="A174" t="str">
        <f>IF(AND(FORSIDE!$B$8&gt;=17,FORSIDE!$F$8&gt;=0,FORSIDE!$B$5&gt;=3),"S173","")</f>
        <v/>
      </c>
      <c r="B174" t="str">
        <f>IF(AND(FORSIDE!$B$8&gt;=17,FORSIDE!$F$8&gt;=0,FORSIDE!$B$5&gt;=3),"190 -&gt; 191","")</f>
        <v/>
      </c>
      <c r="C174" t="str">
        <f>FORSIDE!$C$4</f>
        <v>S355, Stål / KFHUP 180x180x12.5</v>
      </c>
    </row>
    <row r="175" spans="1:3" x14ac:dyDescent="0.3">
      <c r="A175" t="str">
        <f>IF(AND(FORSIDE!$B$8&gt;=17,FORSIDE!$F$8&gt;=0,FORSIDE!$B$5&gt;=4),"S174","")</f>
        <v/>
      </c>
      <c r="B175" t="str">
        <f>IF(AND(FORSIDE!$B$8&gt;=17,FORSIDE!$F$8&gt;=0,FORSIDE!$B$5&gt;=4),"191 -&gt; 192","")</f>
        <v/>
      </c>
      <c r="C175" t="str">
        <f>FORSIDE!$C$4</f>
        <v>S355, Stål / KFHUP 180x180x12.5</v>
      </c>
    </row>
    <row r="176" spans="1:3" x14ac:dyDescent="0.3">
      <c r="A176" t="str">
        <f>IF(AND(FORSIDE!$B$8&gt;=17,FORSIDE!$F$8&gt;=0,FORSIDE!$B$5&gt;=5),"S175","")</f>
        <v/>
      </c>
      <c r="B176" t="str">
        <f>IF(AND(FORSIDE!$B$8&gt;=17,FORSIDE!$F$8&gt;=0,FORSIDE!$B$5&gt;=5),"192 -&gt; 193","")</f>
        <v/>
      </c>
      <c r="C176" t="str">
        <f>FORSIDE!$C$4</f>
        <v>S355, Stål / KFHUP 180x180x12.5</v>
      </c>
    </row>
    <row r="177" spans="1:3" x14ac:dyDescent="0.3">
      <c r="A177" t="str">
        <f>IF(AND(FORSIDE!$B$8&gt;=17,FORSIDE!$F$8&gt;=0,FORSIDE!$B$5&gt;=6),"S176","")</f>
        <v/>
      </c>
      <c r="B177" t="str">
        <f>IF(AND(FORSIDE!$B$8&gt;=17,FORSIDE!$F$8&gt;=0,FORSIDE!$B$5&gt;=6),"193 -&gt; 194","")</f>
        <v/>
      </c>
      <c r="C177" t="str">
        <f>FORSIDE!$C$4</f>
        <v>S355, Stål / KFHUP 180x180x12.5</v>
      </c>
    </row>
    <row r="178" spans="1:3" x14ac:dyDescent="0.3">
      <c r="A178" t="str">
        <f>IF(AND(FORSIDE!$B$8&gt;=17,FORSIDE!$F$8&gt;=0,FORSIDE!$B$5&gt;=7),"S177","")</f>
        <v/>
      </c>
      <c r="B178" t="str">
        <f>IF(AND(FORSIDE!$B$8&gt;=17,FORSIDE!$F$8&gt;=0,FORSIDE!$B$5&gt;=7),"194 -&gt; 195","")</f>
        <v/>
      </c>
      <c r="C178" t="str">
        <f>FORSIDE!$C$4</f>
        <v>S355, Stål / KFHUP 180x180x12.5</v>
      </c>
    </row>
    <row r="179" spans="1:3" x14ac:dyDescent="0.3">
      <c r="A179" t="str">
        <f>IF(AND(FORSIDE!$B$8&gt;=17,FORSIDE!$F$8&gt;=0,FORSIDE!$B$5&gt;=8),"S178","")</f>
        <v/>
      </c>
      <c r="B179" t="str">
        <f>IF(AND(FORSIDE!$B$8&gt;=17,FORSIDE!$F$8&gt;=0,FORSIDE!$B$5&gt;=8),"195 -&gt; 196","")</f>
        <v/>
      </c>
      <c r="C179" t="str">
        <f>FORSIDE!$C$4</f>
        <v>S355, Stål / KFHUP 180x180x12.5</v>
      </c>
    </row>
    <row r="180" spans="1:3" x14ac:dyDescent="0.3">
      <c r="A180" t="str">
        <f>IF(AND(FORSIDE!$B$8&gt;=17,FORSIDE!$F$8&gt;=0,FORSIDE!$B$5&gt;=9),"S179","")</f>
        <v/>
      </c>
      <c r="B180" t="str">
        <f>IF(AND(FORSIDE!$B$8&gt;=17,FORSIDE!$F$8&gt;=0,FORSIDE!$B$5&gt;=9),"196 -&gt; 197","")</f>
        <v/>
      </c>
      <c r="C180" t="str">
        <f>FORSIDE!$C$4</f>
        <v>S355, Stål / KFHUP 180x180x12.5</v>
      </c>
    </row>
    <row r="181" spans="1:3" x14ac:dyDescent="0.3">
      <c r="A181" t="str">
        <f>IF(AND(FORSIDE!$B$8&gt;=17,FORSIDE!$F$8&gt;=0,FORSIDE!$B$5&gt;=10),"S180","")</f>
        <v/>
      </c>
      <c r="B181" t="str">
        <f>IF(AND(FORSIDE!$B$8&gt;=17,FORSIDE!$F$8&gt;=0,FORSIDE!$B$5&gt;=10),"197 -&gt; 198","")</f>
        <v/>
      </c>
      <c r="C181" t="str">
        <f>FORSIDE!$C$4</f>
        <v>S355, Stål / KFHUP 180x180x12.5</v>
      </c>
    </row>
    <row r="182" spans="1:3" x14ac:dyDescent="0.3">
      <c r="A182" t="str">
        <f>IF(AND(FORSIDE!$B$8&gt;=18,FORSIDE!$F$8&gt;=0,FORSIDE!$B$5&gt;=1),"S181","")</f>
        <v/>
      </c>
      <c r="B182" t="str">
        <f>IF(AND(FORSIDE!$B$8&gt;=18,FORSIDE!$F$8&gt;=0,FORSIDE!$B$5&gt;=1),"199 -&gt; 200","")</f>
        <v/>
      </c>
      <c r="C182" t="str">
        <f>FORSIDE!$C$4</f>
        <v>S355, Stål / KFHUP 180x180x12.5</v>
      </c>
    </row>
    <row r="183" spans="1:3" x14ac:dyDescent="0.3">
      <c r="A183" t="str">
        <f>IF(AND(FORSIDE!$B$8&gt;=18,FORSIDE!$F$8&gt;=0,FORSIDE!$B$5&gt;=2),"S182","")</f>
        <v/>
      </c>
      <c r="B183" t="str">
        <f>IF(AND(FORSIDE!$B$8&gt;=18,FORSIDE!$F$8&gt;=0,FORSIDE!$B$5&gt;=2),"200 -&gt; 201","")</f>
        <v/>
      </c>
      <c r="C183" t="str">
        <f>FORSIDE!$C$4</f>
        <v>S355, Stål / KFHUP 180x180x12.5</v>
      </c>
    </row>
    <row r="184" spans="1:3" x14ac:dyDescent="0.3">
      <c r="A184" t="str">
        <f>IF(AND(FORSIDE!$B$8&gt;=18,FORSIDE!$F$8&gt;=0,FORSIDE!$B$5&gt;=3),"S183","")</f>
        <v/>
      </c>
      <c r="B184" t="str">
        <f>IF(AND(FORSIDE!$B$8&gt;=18,FORSIDE!$F$8&gt;=0,FORSIDE!$B$5&gt;=3),"201 -&gt; 202","")</f>
        <v/>
      </c>
      <c r="C184" t="str">
        <f>FORSIDE!$C$4</f>
        <v>S355, Stål / KFHUP 180x180x12.5</v>
      </c>
    </row>
    <row r="185" spans="1:3" x14ac:dyDescent="0.3">
      <c r="A185" t="str">
        <f>IF(AND(FORSIDE!$B$8&gt;=18,FORSIDE!$F$8&gt;=0,FORSIDE!$B$5&gt;=4),"S184","")</f>
        <v/>
      </c>
      <c r="B185" t="str">
        <f>IF(AND(FORSIDE!$B$8&gt;=18,FORSIDE!$F$8&gt;=0,FORSIDE!$B$5&gt;=4),"202 -&gt; 203","")</f>
        <v/>
      </c>
      <c r="C185" t="str">
        <f>FORSIDE!$C$4</f>
        <v>S355, Stål / KFHUP 180x180x12.5</v>
      </c>
    </row>
    <row r="186" spans="1:3" x14ac:dyDescent="0.3">
      <c r="A186" t="str">
        <f>IF(AND(FORSIDE!$B$8&gt;=18,FORSIDE!$F$8&gt;=0,FORSIDE!$B$5&gt;=5),"S185","")</f>
        <v/>
      </c>
      <c r="B186" t="str">
        <f>IF(AND(FORSIDE!$B$8&gt;=18,FORSIDE!$F$8&gt;=0,FORSIDE!$B$5&gt;=5),"203 -&gt; 204","")</f>
        <v/>
      </c>
      <c r="C186" t="str">
        <f>FORSIDE!$C$4</f>
        <v>S355, Stål / KFHUP 180x180x12.5</v>
      </c>
    </row>
    <row r="187" spans="1:3" x14ac:dyDescent="0.3">
      <c r="A187" t="str">
        <f>IF(AND(FORSIDE!$B$8&gt;=18,FORSIDE!$F$8&gt;=0,FORSIDE!$B$5&gt;=6),"S186","")</f>
        <v/>
      </c>
      <c r="B187" t="str">
        <f>IF(AND(FORSIDE!$B$8&gt;=18,FORSIDE!$F$8&gt;=0,FORSIDE!$B$5&gt;=6),"204 -&gt; 205","")</f>
        <v/>
      </c>
      <c r="C187" t="str">
        <f>FORSIDE!$C$4</f>
        <v>S355, Stål / KFHUP 180x180x12.5</v>
      </c>
    </row>
    <row r="188" spans="1:3" x14ac:dyDescent="0.3">
      <c r="A188" t="str">
        <f>IF(AND(FORSIDE!$B$8&gt;=18,FORSIDE!$F$8&gt;=0,FORSIDE!$B$5&gt;=7),"S187","")</f>
        <v/>
      </c>
      <c r="B188" t="str">
        <f>IF(AND(FORSIDE!$B$8&gt;=18,FORSIDE!$F$8&gt;=0,FORSIDE!$B$5&gt;=7),"205 -&gt; 206","")</f>
        <v/>
      </c>
      <c r="C188" t="str">
        <f>FORSIDE!$C$4</f>
        <v>S355, Stål / KFHUP 180x180x12.5</v>
      </c>
    </row>
    <row r="189" spans="1:3" x14ac:dyDescent="0.3">
      <c r="A189" t="str">
        <f>IF(AND(FORSIDE!$B$8&gt;=18,FORSIDE!$F$8&gt;=0,FORSIDE!$B$5&gt;=8),"S188","")</f>
        <v/>
      </c>
      <c r="B189" t="str">
        <f>IF(AND(FORSIDE!$B$8&gt;=18,FORSIDE!$F$8&gt;=0,FORSIDE!$B$5&gt;=8),"206 -&gt; 207","")</f>
        <v/>
      </c>
      <c r="C189" t="str">
        <f>FORSIDE!$C$4</f>
        <v>S355, Stål / KFHUP 180x180x12.5</v>
      </c>
    </row>
    <row r="190" spans="1:3" x14ac:dyDescent="0.3">
      <c r="A190" t="str">
        <f>IF(AND(FORSIDE!$B$8&gt;=18,FORSIDE!$F$8&gt;=0,FORSIDE!$B$5&gt;=9),"S189","")</f>
        <v/>
      </c>
      <c r="B190" t="str">
        <f>IF(AND(FORSIDE!$B$8&gt;=18,FORSIDE!$F$8&gt;=0,FORSIDE!$B$5&gt;=9),"207 -&gt; 208","")</f>
        <v/>
      </c>
      <c r="C190" t="str">
        <f>FORSIDE!$C$4</f>
        <v>S355, Stål / KFHUP 180x180x12.5</v>
      </c>
    </row>
    <row r="191" spans="1:3" x14ac:dyDescent="0.3">
      <c r="A191" t="str">
        <f>IF(AND(FORSIDE!$B$8&gt;=18,FORSIDE!$F$8&gt;=0,FORSIDE!$B$5&gt;=10),"S190","")</f>
        <v/>
      </c>
      <c r="B191" t="str">
        <f>IF(AND(FORSIDE!$B$8&gt;=18,FORSIDE!$F$8&gt;=0,FORSIDE!$B$5&gt;=10),"208 -&gt; 209","")</f>
        <v/>
      </c>
      <c r="C191" t="str">
        <f>FORSIDE!$C$4</f>
        <v>S355, Stål / KFHUP 180x180x12.5</v>
      </c>
    </row>
    <row r="192" spans="1:3" x14ac:dyDescent="0.3">
      <c r="A192" t="str">
        <f>IF(AND(FORSIDE!$B$8&gt;=19,FORSIDE!$F$8&gt;=0,FORSIDE!$B$5&gt;=1),"S191","")</f>
        <v/>
      </c>
      <c r="B192" t="str">
        <f>IF(AND(FORSIDE!$B$8&gt;=19,FORSIDE!$F$8&gt;=0,FORSIDE!$B$5&gt;=1),"210 -&gt; 211","")</f>
        <v/>
      </c>
      <c r="C192" t="str">
        <f>FORSIDE!$C$4</f>
        <v>S355, Stål / KFHUP 180x180x12.5</v>
      </c>
    </row>
    <row r="193" spans="1:3" x14ac:dyDescent="0.3">
      <c r="A193" t="str">
        <f>IF(AND(FORSIDE!$B$8&gt;=19,FORSIDE!$F$8&gt;=0,FORSIDE!$B$5&gt;=2),"S192","")</f>
        <v/>
      </c>
      <c r="B193" t="str">
        <f>IF(AND(FORSIDE!$B$8&gt;=19,FORSIDE!$F$8&gt;=0,FORSIDE!$B$5&gt;=2),"211 -&gt; 212","")</f>
        <v/>
      </c>
      <c r="C193" t="str">
        <f>FORSIDE!$C$4</f>
        <v>S355, Stål / KFHUP 180x180x12.5</v>
      </c>
    </row>
    <row r="194" spans="1:3" x14ac:dyDescent="0.3">
      <c r="A194" t="str">
        <f>IF(AND(FORSIDE!$B$8&gt;=19,FORSIDE!$F$8&gt;=0,FORSIDE!$B$5&gt;=3),"S193","")</f>
        <v/>
      </c>
      <c r="B194" t="str">
        <f>IF(AND(FORSIDE!$B$8&gt;=19,FORSIDE!$F$8&gt;=0,FORSIDE!$B$5&gt;=3),"212 -&gt; 213","")</f>
        <v/>
      </c>
      <c r="C194" t="str">
        <f>FORSIDE!$C$4</f>
        <v>S355, Stål / KFHUP 180x180x12.5</v>
      </c>
    </row>
    <row r="195" spans="1:3" x14ac:dyDescent="0.3">
      <c r="A195" t="str">
        <f>IF(AND(FORSIDE!$B$8&gt;=19,FORSIDE!$F$8&gt;=0,FORSIDE!$B$5&gt;=4),"S194","")</f>
        <v/>
      </c>
      <c r="B195" t="str">
        <f>IF(AND(FORSIDE!$B$8&gt;=19,FORSIDE!$F$8&gt;=0,FORSIDE!$B$5&gt;=4),"213 -&gt; 214","")</f>
        <v/>
      </c>
      <c r="C195" t="str">
        <f>FORSIDE!$C$4</f>
        <v>S355, Stål / KFHUP 180x180x12.5</v>
      </c>
    </row>
    <row r="196" spans="1:3" x14ac:dyDescent="0.3">
      <c r="A196" t="str">
        <f>IF(AND(FORSIDE!$B$8&gt;=19,FORSIDE!$F$8&gt;=0,FORSIDE!$B$5&gt;=5),"S195","")</f>
        <v/>
      </c>
      <c r="B196" t="str">
        <f>IF(AND(FORSIDE!$B$8&gt;=19,FORSIDE!$F$8&gt;=0,FORSIDE!$B$5&gt;=5),"214 -&gt; 215","")</f>
        <v/>
      </c>
      <c r="C196" t="str">
        <f>FORSIDE!$C$4</f>
        <v>S355, Stål / KFHUP 180x180x12.5</v>
      </c>
    </row>
    <row r="197" spans="1:3" x14ac:dyDescent="0.3">
      <c r="A197" t="str">
        <f>IF(AND(FORSIDE!$B$8&gt;=19,FORSIDE!$F$8&gt;=0,FORSIDE!$B$5&gt;=6),"S196","")</f>
        <v/>
      </c>
      <c r="B197" t="str">
        <f>IF(AND(FORSIDE!$B$8&gt;=19,FORSIDE!$F$8&gt;=0,FORSIDE!$B$5&gt;=6),"215 -&gt; 216","")</f>
        <v/>
      </c>
      <c r="C197" t="str">
        <f>FORSIDE!$C$4</f>
        <v>S355, Stål / KFHUP 180x180x12.5</v>
      </c>
    </row>
    <row r="198" spans="1:3" x14ac:dyDescent="0.3">
      <c r="A198" t="str">
        <f>IF(AND(FORSIDE!$B$8&gt;=19,FORSIDE!$F$8&gt;=0,FORSIDE!$B$5&gt;=7),"S197","")</f>
        <v/>
      </c>
      <c r="B198" t="str">
        <f>IF(AND(FORSIDE!$B$8&gt;=19,FORSIDE!$F$8&gt;=0,FORSIDE!$B$5&gt;=7),"216 -&gt; 217","")</f>
        <v/>
      </c>
      <c r="C198" t="str">
        <f>FORSIDE!$C$4</f>
        <v>S355, Stål / KFHUP 180x180x12.5</v>
      </c>
    </row>
    <row r="199" spans="1:3" x14ac:dyDescent="0.3">
      <c r="A199" t="str">
        <f>IF(AND(FORSIDE!$B$8&gt;=19,FORSIDE!$F$8&gt;=0,FORSIDE!$B$5&gt;=8),"S198","")</f>
        <v/>
      </c>
      <c r="B199" t="str">
        <f>IF(AND(FORSIDE!$B$8&gt;=19,FORSIDE!$F$8&gt;=0,FORSIDE!$B$5&gt;=8),"217 -&gt; 218","")</f>
        <v/>
      </c>
      <c r="C199" t="str">
        <f>FORSIDE!$C$4</f>
        <v>S355, Stål / KFHUP 180x180x12.5</v>
      </c>
    </row>
    <row r="200" spans="1:3" x14ac:dyDescent="0.3">
      <c r="A200" t="str">
        <f>IF(AND(FORSIDE!$B$8&gt;=19,FORSIDE!$F$8&gt;=0,FORSIDE!$B$5&gt;=9),"S199","")</f>
        <v/>
      </c>
      <c r="B200" t="str">
        <f>IF(AND(FORSIDE!$B$8&gt;=19,FORSIDE!$F$8&gt;=0,FORSIDE!$B$5&gt;=9),"218 -&gt; 219","")</f>
        <v/>
      </c>
      <c r="C200" t="str">
        <f>FORSIDE!$C$4</f>
        <v>S355, Stål / KFHUP 180x180x12.5</v>
      </c>
    </row>
    <row r="201" spans="1:3" x14ac:dyDescent="0.3">
      <c r="A201" t="str">
        <f>IF(AND(FORSIDE!$B$8&gt;=19,FORSIDE!$F$8&gt;=0,FORSIDE!$B$5&gt;=10),"S200","")</f>
        <v/>
      </c>
      <c r="B201" t="str">
        <f>IF(AND(FORSIDE!$B$8&gt;=19,FORSIDE!$F$8&gt;=0,FORSIDE!$B$5&gt;=10),"219 -&gt; 220","")</f>
        <v/>
      </c>
      <c r="C201" t="str">
        <f>FORSIDE!$C$4</f>
        <v>S355, Stål / KFHUP 180x180x12.5</v>
      </c>
    </row>
    <row r="202" spans="1:3" x14ac:dyDescent="0.3">
      <c r="A202" t="str">
        <f>IF(AND(FORSIDE!$B$8&gt;=20,FORSIDE!$F$8&gt;=0,FORSIDE!$B$5&gt;=1),"S201","")</f>
        <v/>
      </c>
      <c r="B202" t="str">
        <f>IF(AND(FORSIDE!$B$8&gt;=20,FORSIDE!$F$8&gt;=0,FORSIDE!$B$5&gt;=1),"221 -&gt; 222","")</f>
        <v/>
      </c>
      <c r="C202" t="str">
        <f>FORSIDE!$C$4</f>
        <v>S355, Stål / KFHUP 180x180x12.5</v>
      </c>
    </row>
    <row r="203" spans="1:3" x14ac:dyDescent="0.3">
      <c r="A203" t="str">
        <f>IF(AND(FORSIDE!$B$8&gt;=20,FORSIDE!$F$8&gt;=0,FORSIDE!$B$5&gt;=2),"S202","")</f>
        <v/>
      </c>
      <c r="B203" t="str">
        <f>IF(AND(FORSIDE!$B$8&gt;=20,FORSIDE!$F$8&gt;=0,FORSIDE!$B$5&gt;=2),"222 -&gt; 223","")</f>
        <v/>
      </c>
      <c r="C203" t="str">
        <f>FORSIDE!$C$4</f>
        <v>S355, Stål / KFHUP 180x180x12.5</v>
      </c>
    </row>
    <row r="204" spans="1:3" x14ac:dyDescent="0.3">
      <c r="A204" t="str">
        <f>IF(AND(FORSIDE!$B$8&gt;=20,FORSIDE!$F$8&gt;=0,FORSIDE!$B$5&gt;=3),"S203","")</f>
        <v/>
      </c>
      <c r="B204" t="str">
        <f>IF(AND(FORSIDE!$B$8&gt;=20,FORSIDE!$F$8&gt;=0,FORSIDE!$B$5&gt;=3),"223 -&gt; 224","")</f>
        <v/>
      </c>
      <c r="C204" t="str">
        <f>FORSIDE!$C$4</f>
        <v>S355, Stål / KFHUP 180x180x12.5</v>
      </c>
    </row>
    <row r="205" spans="1:3" x14ac:dyDescent="0.3">
      <c r="A205" t="str">
        <f>IF(AND(FORSIDE!$B$8&gt;=20,FORSIDE!$F$8&gt;=0,FORSIDE!$B$5&gt;=4),"S204","")</f>
        <v/>
      </c>
      <c r="B205" t="str">
        <f>IF(AND(FORSIDE!$B$8&gt;=20,FORSIDE!$F$8&gt;=0,FORSIDE!$B$5&gt;=4),"224 -&gt; 225","")</f>
        <v/>
      </c>
      <c r="C205" t="str">
        <f>FORSIDE!$C$4</f>
        <v>S355, Stål / KFHUP 180x180x12.5</v>
      </c>
    </row>
    <row r="206" spans="1:3" x14ac:dyDescent="0.3">
      <c r="A206" t="str">
        <f>IF(AND(FORSIDE!$B$8&gt;=20,FORSIDE!$F$8&gt;=0,FORSIDE!$B$5&gt;=5),"S205","")</f>
        <v/>
      </c>
      <c r="B206" t="str">
        <f>IF(AND(FORSIDE!$B$8&gt;=20,FORSIDE!$F$8&gt;=0,FORSIDE!$B$5&gt;=5),"225 -&gt; 226","")</f>
        <v/>
      </c>
      <c r="C206" t="str">
        <f>FORSIDE!$C$4</f>
        <v>S355, Stål / KFHUP 180x180x12.5</v>
      </c>
    </row>
    <row r="207" spans="1:3" x14ac:dyDescent="0.3">
      <c r="A207" t="str">
        <f>IF(AND(FORSIDE!$B$8&gt;=20,FORSIDE!$F$8&gt;=0,FORSIDE!$B$5&gt;=6),"S206","")</f>
        <v/>
      </c>
      <c r="B207" t="str">
        <f>IF(AND(FORSIDE!$B$8&gt;=20,FORSIDE!$F$8&gt;=0,FORSIDE!$B$5&gt;=6),"226 -&gt; 227","")</f>
        <v/>
      </c>
      <c r="C207" t="str">
        <f>FORSIDE!$C$4</f>
        <v>S355, Stål / KFHUP 180x180x12.5</v>
      </c>
    </row>
    <row r="208" spans="1:3" x14ac:dyDescent="0.3">
      <c r="A208" t="str">
        <f>IF(AND(FORSIDE!$B$8&gt;=20,FORSIDE!$F$8&gt;=0,FORSIDE!$B$5&gt;=7),"S207","")</f>
        <v/>
      </c>
      <c r="B208" t="str">
        <f>IF(AND(FORSIDE!$B$8&gt;=20,FORSIDE!$F$8&gt;=0,FORSIDE!$B$5&gt;=7),"227 -&gt; 228","")</f>
        <v/>
      </c>
      <c r="C208" t="str">
        <f>FORSIDE!$C$4</f>
        <v>S355, Stål / KFHUP 180x180x12.5</v>
      </c>
    </row>
    <row r="209" spans="1:3" x14ac:dyDescent="0.3">
      <c r="A209" t="str">
        <f>IF(AND(FORSIDE!$B$8&gt;=20,FORSIDE!$F$8&gt;=0,FORSIDE!$B$5&gt;=8),"S208","")</f>
        <v/>
      </c>
      <c r="B209" t="str">
        <f>IF(AND(FORSIDE!$B$8&gt;=20,FORSIDE!$F$8&gt;=0,FORSIDE!$B$5&gt;=8),"228 -&gt; 229","")</f>
        <v/>
      </c>
      <c r="C209" t="str">
        <f>FORSIDE!$C$4</f>
        <v>S355, Stål / KFHUP 180x180x12.5</v>
      </c>
    </row>
    <row r="210" spans="1:3" x14ac:dyDescent="0.3">
      <c r="A210" t="str">
        <f>IF(AND(FORSIDE!$B$8&gt;=20,FORSIDE!$F$8&gt;=0,FORSIDE!$B$5&gt;=9),"S209","")</f>
        <v/>
      </c>
      <c r="B210" t="str">
        <f>IF(AND(FORSIDE!$B$8&gt;=20,FORSIDE!$F$8&gt;=0,FORSIDE!$B$5&gt;=9),"229 -&gt; 230","")</f>
        <v/>
      </c>
      <c r="C210" t="str">
        <f>FORSIDE!$C$4</f>
        <v>S355, Stål / KFHUP 180x180x12.5</v>
      </c>
    </row>
    <row r="211" spans="1:3" x14ac:dyDescent="0.3">
      <c r="A211" t="str">
        <f>IF(AND(FORSIDE!$B$8&gt;=20,FORSIDE!$F$8&gt;=0,FORSIDE!$B$5&gt;=10),"S210","")</f>
        <v/>
      </c>
      <c r="B211" t="str">
        <f>IF(AND(FORSIDE!$B$8&gt;=20,FORSIDE!$F$8&gt;=0,FORSIDE!$B$5&gt;=10),"230 -&gt; 231","")</f>
        <v/>
      </c>
      <c r="C211" t="str">
        <f>FORSIDE!$C$4</f>
        <v>S355, Stål / KFHUP 180x180x12.5</v>
      </c>
    </row>
    <row r="212" spans="1:3" x14ac:dyDescent="0.3">
      <c r="A212" t="str">
        <f>IF(AND(FORSIDE!$B$8&gt;=0,FORSIDE!$F$8&gt;=1,FORSIDE!$B$5&gt;=1),"S211","")</f>
        <v>S211</v>
      </c>
      <c r="B212" t="str">
        <f>IF(AND(FORSIDE!$B$8&gt;=0,FORSIDE!$F$8&gt;=1,FORSIDE!$B$5&gt;=1),"232 -&gt; 233","")</f>
        <v>232 -&gt; 233</v>
      </c>
      <c r="C212" t="str">
        <f>FORSIDE!$C$4</f>
        <v>S355, Stål / KFHUP 180x180x12.5</v>
      </c>
    </row>
    <row r="213" spans="1:3" x14ac:dyDescent="0.3">
      <c r="A213" t="str">
        <f>IF(AND(FORSIDE!$B$8&gt;=0,FORSIDE!$F$8&gt;=1,FORSIDE!$B$5&gt;=2),"S212","")</f>
        <v>S212</v>
      </c>
      <c r="B213" t="str">
        <f>IF(AND(FORSIDE!$B$8&gt;=0,FORSIDE!$F$8&gt;=1,FORSIDE!$B$5&gt;=2),"233 -&gt; 234","")</f>
        <v>233 -&gt; 234</v>
      </c>
      <c r="C213" t="str">
        <f>FORSIDE!$C$4</f>
        <v>S355, Stål / KFHUP 180x180x12.5</v>
      </c>
    </row>
    <row r="214" spans="1:3" x14ac:dyDescent="0.3">
      <c r="A214" t="str">
        <f>IF(AND(FORSIDE!$B$8&gt;=0,FORSIDE!$F$8&gt;=1,FORSIDE!$B$5&gt;=3),"S213","")</f>
        <v>S213</v>
      </c>
      <c r="B214" t="str">
        <f>IF(AND(FORSIDE!$B$8&gt;=0,FORSIDE!$F$8&gt;=1,FORSIDE!$B$5&gt;=3),"234 -&gt; 235","")</f>
        <v>234 -&gt; 235</v>
      </c>
      <c r="C214" t="str">
        <f>FORSIDE!$C$4</f>
        <v>S355, Stål / KFHUP 180x180x12.5</v>
      </c>
    </row>
    <row r="215" spans="1:3" x14ac:dyDescent="0.3">
      <c r="A215" t="str">
        <f>IF(AND(FORSIDE!$B$8&gt;=0,FORSIDE!$F$8&gt;=1,FORSIDE!$B$5&gt;=4),"S214","")</f>
        <v>S214</v>
      </c>
      <c r="B215" t="str">
        <f>IF(AND(FORSIDE!$B$8&gt;=0,FORSIDE!$F$8&gt;=1,FORSIDE!$B$5&gt;=4),"235 -&gt; 236","")</f>
        <v>235 -&gt; 236</v>
      </c>
      <c r="C215" t="str">
        <f>FORSIDE!$C$4</f>
        <v>S355, Stål / KFHUP 180x180x12.5</v>
      </c>
    </row>
    <row r="216" spans="1:3" x14ac:dyDescent="0.3">
      <c r="A216" t="str">
        <f>IF(AND(FORSIDE!$B$8&gt;=0,FORSIDE!$F$8&gt;=1,FORSIDE!$B$5&gt;=5),"S215","")</f>
        <v>S215</v>
      </c>
      <c r="B216" t="str">
        <f>IF(AND(FORSIDE!$B$8&gt;=0,FORSIDE!$F$8&gt;=1,FORSIDE!$B$5&gt;=5),"236 -&gt; 237","")</f>
        <v>236 -&gt; 237</v>
      </c>
      <c r="C216" t="str">
        <f>FORSIDE!$C$4</f>
        <v>S355, Stål / KFHUP 180x180x12.5</v>
      </c>
    </row>
    <row r="217" spans="1:3" x14ac:dyDescent="0.3">
      <c r="A217" t="str">
        <f>IF(AND(FORSIDE!$B$8&gt;=0,FORSIDE!$F$8&gt;=1,FORSIDE!$B$5&gt;=6),"S216","")</f>
        <v>S216</v>
      </c>
      <c r="B217" t="str">
        <f>IF(AND(FORSIDE!$B$8&gt;=0,FORSIDE!$F$8&gt;=1,FORSIDE!$B$5&gt;=6),"237 -&gt; 238","")</f>
        <v>237 -&gt; 238</v>
      </c>
      <c r="C217" t="str">
        <f>FORSIDE!$C$4</f>
        <v>S355, Stål / KFHUP 180x180x12.5</v>
      </c>
    </row>
    <row r="218" spans="1:3" x14ac:dyDescent="0.3">
      <c r="A218" t="str">
        <f>IF(AND(FORSIDE!$B$8&gt;=0,FORSIDE!$F$8&gt;=1,FORSIDE!$B$5&gt;=7),"S217","")</f>
        <v/>
      </c>
      <c r="B218" t="str">
        <f>IF(AND(FORSIDE!$B$8&gt;=0,FORSIDE!$F$8&gt;=1,FORSIDE!$B$5&gt;=7),"238 -&gt; 239","")</f>
        <v/>
      </c>
      <c r="C218" t="str">
        <f>FORSIDE!$C$4</f>
        <v>S355, Stål / KFHUP 180x180x12.5</v>
      </c>
    </row>
    <row r="219" spans="1:3" x14ac:dyDescent="0.3">
      <c r="A219" t="str">
        <f>IF(AND(FORSIDE!$B$8&gt;=0,FORSIDE!$F$8&gt;=1,FORSIDE!$B$5&gt;=8),"S218","")</f>
        <v/>
      </c>
      <c r="B219" t="str">
        <f>IF(AND(FORSIDE!$B$8&gt;=0,FORSIDE!$F$8&gt;=1,FORSIDE!$B$5&gt;=8),"239 -&gt; 240","")</f>
        <v/>
      </c>
      <c r="C219" t="str">
        <f>FORSIDE!$C$4</f>
        <v>S355, Stål / KFHUP 180x180x12.5</v>
      </c>
    </row>
    <row r="220" spans="1:3" x14ac:dyDescent="0.3">
      <c r="A220" t="str">
        <f>IF(AND(FORSIDE!$B$8&gt;=0,FORSIDE!$F$8&gt;=1,FORSIDE!$B$5&gt;=9),"S219","")</f>
        <v/>
      </c>
      <c r="B220" t="str">
        <f>IF(AND(FORSIDE!$B$8&gt;=0,FORSIDE!$F$8&gt;=1,FORSIDE!$B$5&gt;=9),"240 -&gt; 241","")</f>
        <v/>
      </c>
      <c r="C220" t="str">
        <f>FORSIDE!$C$4</f>
        <v>S355, Stål / KFHUP 180x180x12.5</v>
      </c>
    </row>
    <row r="221" spans="1:3" x14ac:dyDescent="0.3">
      <c r="A221" t="str">
        <f>IF(AND(FORSIDE!$B$8&gt;=0,FORSIDE!$F$8&gt;=1,FORSIDE!$B$5&gt;=10),"S220","")</f>
        <v/>
      </c>
      <c r="B221" t="str">
        <f>IF(AND(FORSIDE!$B$8&gt;=0,FORSIDE!$F$8&gt;=1,FORSIDE!$B$5&gt;=10),"241 -&gt; 242","")</f>
        <v/>
      </c>
      <c r="C221" t="str">
        <f>FORSIDE!$C$4</f>
        <v>S355, Stål / KFHUP 180x180x12.5</v>
      </c>
    </row>
    <row r="222" spans="1:3" x14ac:dyDescent="0.3">
      <c r="A222" t="str">
        <f>IF(AND(FORSIDE!$B$8&gt;=1,FORSIDE!$F$8&gt;=1,FORSIDE!$B$5&gt;=1),"S221","")</f>
        <v>S221</v>
      </c>
      <c r="B222" t="str">
        <f>IF(AND(FORSIDE!$B$8&gt;=1,FORSIDE!$F$8&gt;=1,FORSIDE!$B$5&gt;=1),"243 -&gt; 244","")</f>
        <v>243 -&gt; 244</v>
      </c>
      <c r="C222" t="str">
        <f>FORSIDE!$C$4</f>
        <v>S355, Stål / KFHUP 180x180x12.5</v>
      </c>
    </row>
    <row r="223" spans="1:3" x14ac:dyDescent="0.3">
      <c r="A223" t="str">
        <f>IF(AND(FORSIDE!$B$8&gt;=1,FORSIDE!$F$8&gt;=1,FORSIDE!$B$5&gt;=2),"S222","")</f>
        <v>S222</v>
      </c>
      <c r="B223" t="str">
        <f>IF(AND(FORSIDE!$B$8&gt;=1,FORSIDE!$F$8&gt;=1,FORSIDE!$B$5&gt;=2),"244 -&gt; 245","")</f>
        <v>244 -&gt; 245</v>
      </c>
      <c r="C223" t="str">
        <f>FORSIDE!$C$4</f>
        <v>S355, Stål / KFHUP 180x180x12.5</v>
      </c>
    </row>
    <row r="224" spans="1:3" x14ac:dyDescent="0.3">
      <c r="A224" t="str">
        <f>IF(AND(FORSIDE!$B$8&gt;=1,FORSIDE!$F$8&gt;=1,FORSIDE!$B$5&gt;=3),"S223","")</f>
        <v>S223</v>
      </c>
      <c r="B224" t="str">
        <f>IF(AND(FORSIDE!$B$8&gt;=1,FORSIDE!$F$8&gt;=1,FORSIDE!$B$5&gt;=3),"245 -&gt; 246","")</f>
        <v>245 -&gt; 246</v>
      </c>
      <c r="C224" t="str">
        <f>FORSIDE!$C$4</f>
        <v>S355, Stål / KFHUP 180x180x12.5</v>
      </c>
    </row>
    <row r="225" spans="1:3" x14ac:dyDescent="0.3">
      <c r="A225" t="str">
        <f>IF(AND(FORSIDE!$B$8&gt;=1,FORSIDE!$F$8&gt;=1,FORSIDE!$B$5&gt;=4),"S224","")</f>
        <v>S224</v>
      </c>
      <c r="B225" t="str">
        <f>IF(AND(FORSIDE!$B$8&gt;=1,FORSIDE!$F$8&gt;=1,FORSIDE!$B$5&gt;=4),"246 -&gt; 247","")</f>
        <v>246 -&gt; 247</v>
      </c>
      <c r="C225" t="str">
        <f>FORSIDE!$C$4</f>
        <v>S355, Stål / KFHUP 180x180x12.5</v>
      </c>
    </row>
    <row r="226" spans="1:3" x14ac:dyDescent="0.3">
      <c r="A226" t="str">
        <f>IF(AND(FORSIDE!$B$8&gt;=1,FORSIDE!$F$8&gt;=1,FORSIDE!$B$5&gt;=5),"S225","")</f>
        <v>S225</v>
      </c>
      <c r="B226" t="str">
        <f>IF(AND(FORSIDE!$B$8&gt;=1,FORSIDE!$F$8&gt;=1,FORSIDE!$B$5&gt;=5),"247 -&gt; 248","")</f>
        <v>247 -&gt; 248</v>
      </c>
      <c r="C226" t="str">
        <f>FORSIDE!$C$4</f>
        <v>S355, Stål / KFHUP 180x180x12.5</v>
      </c>
    </row>
    <row r="227" spans="1:3" x14ac:dyDescent="0.3">
      <c r="A227" t="str">
        <f>IF(AND(FORSIDE!$B$8&gt;=1,FORSIDE!$F$8&gt;=1,FORSIDE!$B$5&gt;=6),"S226","")</f>
        <v>S226</v>
      </c>
      <c r="B227" t="str">
        <f>IF(AND(FORSIDE!$B$8&gt;=1,FORSIDE!$F$8&gt;=1,FORSIDE!$B$5&gt;=6),"248 -&gt; 249","")</f>
        <v>248 -&gt; 249</v>
      </c>
      <c r="C227" t="str">
        <f>FORSIDE!$C$4</f>
        <v>S355, Stål / KFHUP 180x180x12.5</v>
      </c>
    </row>
    <row r="228" spans="1:3" x14ac:dyDescent="0.3">
      <c r="A228" t="str">
        <f>IF(AND(FORSIDE!$B$8&gt;=1,FORSIDE!$F$8&gt;=1,FORSIDE!$B$5&gt;=7),"S227","")</f>
        <v/>
      </c>
      <c r="B228" t="str">
        <f>IF(AND(FORSIDE!$B$8&gt;=1,FORSIDE!$F$8&gt;=1,FORSIDE!$B$5&gt;=7),"249 -&gt; 250","")</f>
        <v/>
      </c>
      <c r="C228" t="str">
        <f>FORSIDE!$C$4</f>
        <v>S355, Stål / KFHUP 180x180x12.5</v>
      </c>
    </row>
    <row r="229" spans="1:3" x14ac:dyDescent="0.3">
      <c r="A229" t="str">
        <f>IF(AND(FORSIDE!$B$8&gt;=1,FORSIDE!$F$8&gt;=1,FORSIDE!$B$5&gt;=8),"S228","")</f>
        <v/>
      </c>
      <c r="B229" t="str">
        <f>IF(AND(FORSIDE!$B$8&gt;=1,FORSIDE!$F$8&gt;=1,FORSIDE!$B$5&gt;=8),"250 -&gt; 251","")</f>
        <v/>
      </c>
      <c r="C229" t="str">
        <f>FORSIDE!$C$4</f>
        <v>S355, Stål / KFHUP 180x180x12.5</v>
      </c>
    </row>
    <row r="230" spans="1:3" x14ac:dyDescent="0.3">
      <c r="A230" t="str">
        <f>IF(AND(FORSIDE!$B$8&gt;=1,FORSIDE!$F$8&gt;=1,FORSIDE!$B$5&gt;=9),"S229","")</f>
        <v/>
      </c>
      <c r="B230" t="str">
        <f>IF(AND(FORSIDE!$B$8&gt;=1,FORSIDE!$F$8&gt;=1,FORSIDE!$B$5&gt;=9),"251 -&gt; 252","")</f>
        <v/>
      </c>
      <c r="C230" t="str">
        <f>FORSIDE!$C$4</f>
        <v>S355, Stål / KFHUP 180x180x12.5</v>
      </c>
    </row>
    <row r="231" spans="1:3" x14ac:dyDescent="0.3">
      <c r="A231" t="str">
        <f>IF(AND(FORSIDE!$B$8&gt;=1,FORSIDE!$F$8&gt;=1,FORSIDE!$B$5&gt;=10),"S230","")</f>
        <v/>
      </c>
      <c r="B231" t="str">
        <f>IF(AND(FORSIDE!$B$8&gt;=1,FORSIDE!$F$8&gt;=1,FORSIDE!$B$5&gt;=10),"252 -&gt; 253","")</f>
        <v/>
      </c>
      <c r="C231" t="str">
        <f>FORSIDE!$C$4</f>
        <v>S355, Stål / KFHUP 180x180x12.5</v>
      </c>
    </row>
    <row r="232" spans="1:3" x14ac:dyDescent="0.3">
      <c r="A232" t="str">
        <f>IF(AND(FORSIDE!$B$8&gt;=2,FORSIDE!$F$8&gt;=1,FORSIDE!$B$5&gt;=1),"S231","")</f>
        <v>S231</v>
      </c>
      <c r="B232" t="str">
        <f>IF(AND(FORSIDE!$B$8&gt;=2,FORSIDE!$F$8&gt;=1,FORSIDE!$B$5&gt;=1),"254 -&gt; 255","")</f>
        <v>254 -&gt; 255</v>
      </c>
      <c r="C232" t="str">
        <f>FORSIDE!$C$4</f>
        <v>S355, Stål / KFHUP 180x180x12.5</v>
      </c>
    </row>
    <row r="233" spans="1:3" x14ac:dyDescent="0.3">
      <c r="A233" t="str">
        <f>IF(AND(FORSIDE!$B$8&gt;=2,FORSIDE!$F$8&gt;=1,FORSIDE!$B$5&gt;=2),"S232","")</f>
        <v>S232</v>
      </c>
      <c r="B233" t="str">
        <f>IF(AND(FORSIDE!$B$8&gt;=2,FORSIDE!$F$8&gt;=1,FORSIDE!$B$5&gt;=2),"255 -&gt; 256","")</f>
        <v>255 -&gt; 256</v>
      </c>
      <c r="C233" t="str">
        <f>FORSIDE!$C$4</f>
        <v>S355, Stål / KFHUP 180x180x12.5</v>
      </c>
    </row>
    <row r="234" spans="1:3" x14ac:dyDescent="0.3">
      <c r="A234" t="str">
        <f>IF(AND(FORSIDE!$B$8&gt;=2,FORSIDE!$F$8&gt;=1,FORSIDE!$B$5&gt;=3),"S233","")</f>
        <v>S233</v>
      </c>
      <c r="B234" t="str">
        <f>IF(AND(FORSIDE!$B$8&gt;=2,FORSIDE!$F$8&gt;=1,FORSIDE!$B$5&gt;=3),"256 -&gt; 257","")</f>
        <v>256 -&gt; 257</v>
      </c>
      <c r="C234" t="str">
        <f>FORSIDE!$C$4</f>
        <v>S355, Stål / KFHUP 180x180x12.5</v>
      </c>
    </row>
    <row r="235" spans="1:3" x14ac:dyDescent="0.3">
      <c r="A235" t="str">
        <f>IF(AND(FORSIDE!$B$8&gt;=2,FORSIDE!$F$8&gt;=1,FORSIDE!$B$5&gt;=4),"S234","")</f>
        <v>S234</v>
      </c>
      <c r="B235" t="str">
        <f>IF(AND(FORSIDE!$B$8&gt;=2,FORSIDE!$F$8&gt;=1,FORSIDE!$B$5&gt;=4),"257 -&gt; 258","")</f>
        <v>257 -&gt; 258</v>
      </c>
      <c r="C235" t="str">
        <f>FORSIDE!$C$4</f>
        <v>S355, Stål / KFHUP 180x180x12.5</v>
      </c>
    </row>
    <row r="236" spans="1:3" x14ac:dyDescent="0.3">
      <c r="A236" t="str">
        <f>IF(AND(FORSIDE!$B$8&gt;=2,FORSIDE!$F$8&gt;=1,FORSIDE!$B$5&gt;=5),"S235","")</f>
        <v>S235</v>
      </c>
      <c r="B236" t="str">
        <f>IF(AND(FORSIDE!$B$8&gt;=2,FORSIDE!$F$8&gt;=1,FORSIDE!$B$5&gt;=5),"258 -&gt; 259","")</f>
        <v>258 -&gt; 259</v>
      </c>
      <c r="C236" t="str">
        <f>FORSIDE!$C$4</f>
        <v>S355, Stål / KFHUP 180x180x12.5</v>
      </c>
    </row>
    <row r="237" spans="1:3" x14ac:dyDescent="0.3">
      <c r="A237" t="str">
        <f>IF(AND(FORSIDE!$B$8&gt;=2,FORSIDE!$F$8&gt;=1,FORSIDE!$B$5&gt;=6),"S236","")</f>
        <v>S236</v>
      </c>
      <c r="B237" t="str">
        <f>IF(AND(FORSIDE!$B$8&gt;=2,FORSIDE!$F$8&gt;=1,FORSIDE!$B$5&gt;=6),"259 -&gt; 260","")</f>
        <v>259 -&gt; 260</v>
      </c>
      <c r="C237" t="str">
        <f>FORSIDE!$C$4</f>
        <v>S355, Stål / KFHUP 180x180x12.5</v>
      </c>
    </row>
    <row r="238" spans="1:3" x14ac:dyDescent="0.3">
      <c r="A238" t="str">
        <f>IF(AND(FORSIDE!$B$8&gt;=2,FORSIDE!$F$8&gt;=1,FORSIDE!$B$5&gt;=7),"S237","")</f>
        <v/>
      </c>
      <c r="B238" t="str">
        <f>IF(AND(FORSIDE!$B$8&gt;=2,FORSIDE!$F$8&gt;=1,FORSIDE!$B$5&gt;=7),"260 -&gt; 261","")</f>
        <v/>
      </c>
      <c r="C238" t="str">
        <f>FORSIDE!$C$4</f>
        <v>S355, Stål / KFHUP 180x180x12.5</v>
      </c>
    </row>
    <row r="239" spans="1:3" x14ac:dyDescent="0.3">
      <c r="A239" t="str">
        <f>IF(AND(FORSIDE!$B$8&gt;=2,FORSIDE!$F$8&gt;=1,FORSIDE!$B$5&gt;=8),"S238","")</f>
        <v/>
      </c>
      <c r="B239" t="str">
        <f>IF(AND(FORSIDE!$B$8&gt;=2,FORSIDE!$F$8&gt;=1,FORSIDE!$B$5&gt;=8),"261 -&gt; 262","")</f>
        <v/>
      </c>
      <c r="C239" t="str">
        <f>FORSIDE!$C$4</f>
        <v>S355, Stål / KFHUP 180x180x12.5</v>
      </c>
    </row>
    <row r="240" spans="1:3" x14ac:dyDescent="0.3">
      <c r="A240" t="str">
        <f>IF(AND(FORSIDE!$B$8&gt;=2,FORSIDE!$F$8&gt;=1,FORSIDE!$B$5&gt;=9),"S239","")</f>
        <v/>
      </c>
      <c r="B240" t="str">
        <f>IF(AND(FORSIDE!$B$8&gt;=2,FORSIDE!$F$8&gt;=1,FORSIDE!$B$5&gt;=9),"262 -&gt; 263","")</f>
        <v/>
      </c>
      <c r="C240" t="str">
        <f>FORSIDE!$C$4</f>
        <v>S355, Stål / KFHUP 180x180x12.5</v>
      </c>
    </row>
    <row r="241" spans="1:3" x14ac:dyDescent="0.3">
      <c r="A241" t="str">
        <f>IF(AND(FORSIDE!$B$8&gt;=2,FORSIDE!$F$8&gt;=1,FORSIDE!$B$5&gt;=10),"S240","")</f>
        <v/>
      </c>
      <c r="B241" t="str">
        <f>IF(AND(FORSIDE!$B$8&gt;=2,FORSIDE!$F$8&gt;=1,FORSIDE!$B$5&gt;=10),"263 -&gt; 264","")</f>
        <v/>
      </c>
      <c r="C241" t="str">
        <f>FORSIDE!$C$4</f>
        <v>S355, Stål / KFHUP 180x180x12.5</v>
      </c>
    </row>
    <row r="242" spans="1:3" x14ac:dyDescent="0.3">
      <c r="A242" t="str">
        <f>IF(AND(FORSIDE!$B$8&gt;=3,FORSIDE!$F$8&gt;=1,FORSIDE!$B$5&gt;=1),"S241","")</f>
        <v>S241</v>
      </c>
      <c r="B242" t="str">
        <f>IF(AND(FORSIDE!$B$8&gt;=3,FORSIDE!$F$8&gt;=1,FORSIDE!$B$5&gt;=1),"265 -&gt; 266","")</f>
        <v>265 -&gt; 266</v>
      </c>
      <c r="C242" t="str">
        <f>FORSIDE!$C$4</f>
        <v>S355, Stål / KFHUP 180x180x12.5</v>
      </c>
    </row>
    <row r="243" spans="1:3" x14ac:dyDescent="0.3">
      <c r="A243" t="str">
        <f>IF(AND(FORSIDE!$B$8&gt;=3,FORSIDE!$F$8&gt;=1,FORSIDE!$B$5&gt;=2),"S242","")</f>
        <v>S242</v>
      </c>
      <c r="B243" t="str">
        <f>IF(AND(FORSIDE!$B$8&gt;=3,FORSIDE!$F$8&gt;=1,FORSIDE!$B$5&gt;=2),"266 -&gt; 267","")</f>
        <v>266 -&gt; 267</v>
      </c>
      <c r="C243" t="str">
        <f>FORSIDE!$C$4</f>
        <v>S355, Stål / KFHUP 180x180x12.5</v>
      </c>
    </row>
    <row r="244" spans="1:3" x14ac:dyDescent="0.3">
      <c r="A244" t="str">
        <f>IF(AND(FORSIDE!$B$8&gt;=3,FORSIDE!$F$8&gt;=1,FORSIDE!$B$5&gt;=3),"S243","")</f>
        <v>S243</v>
      </c>
      <c r="B244" t="str">
        <f>IF(AND(FORSIDE!$B$8&gt;=3,FORSIDE!$F$8&gt;=1,FORSIDE!$B$5&gt;=3),"267 -&gt; 268","")</f>
        <v>267 -&gt; 268</v>
      </c>
      <c r="C244" t="str">
        <f>FORSIDE!$C$4</f>
        <v>S355, Stål / KFHUP 180x180x12.5</v>
      </c>
    </row>
    <row r="245" spans="1:3" x14ac:dyDescent="0.3">
      <c r="A245" t="str">
        <f>IF(AND(FORSIDE!$B$8&gt;=3,FORSIDE!$F$8&gt;=1,FORSIDE!$B$5&gt;=4),"S244","")</f>
        <v>S244</v>
      </c>
      <c r="B245" t="str">
        <f>IF(AND(FORSIDE!$B$8&gt;=3,FORSIDE!$F$8&gt;=1,FORSIDE!$B$5&gt;=4),"268 -&gt; 269","")</f>
        <v>268 -&gt; 269</v>
      </c>
      <c r="C245" t="str">
        <f>FORSIDE!$C$4</f>
        <v>S355, Stål / KFHUP 180x180x12.5</v>
      </c>
    </row>
    <row r="246" spans="1:3" x14ac:dyDescent="0.3">
      <c r="A246" t="str">
        <f>IF(AND(FORSIDE!$B$8&gt;=3,FORSIDE!$F$8&gt;=1,FORSIDE!$B$5&gt;=5),"S245","")</f>
        <v>S245</v>
      </c>
      <c r="B246" t="str">
        <f>IF(AND(FORSIDE!$B$8&gt;=3,FORSIDE!$F$8&gt;=1,FORSIDE!$B$5&gt;=5),"269 -&gt; 270","")</f>
        <v>269 -&gt; 270</v>
      </c>
      <c r="C246" t="str">
        <f>FORSIDE!$C$4</f>
        <v>S355, Stål / KFHUP 180x180x12.5</v>
      </c>
    </row>
    <row r="247" spans="1:3" x14ac:dyDescent="0.3">
      <c r="A247" t="str">
        <f>IF(AND(FORSIDE!$B$8&gt;=3,FORSIDE!$F$8&gt;=1,FORSIDE!$B$5&gt;=6),"S246","")</f>
        <v>S246</v>
      </c>
      <c r="B247" t="str">
        <f>IF(AND(FORSIDE!$B$8&gt;=3,FORSIDE!$F$8&gt;=1,FORSIDE!$B$5&gt;=6),"270 -&gt; 271","")</f>
        <v>270 -&gt; 271</v>
      </c>
      <c r="C247" t="str">
        <f>FORSIDE!$C$4</f>
        <v>S355, Stål / KFHUP 180x180x12.5</v>
      </c>
    </row>
    <row r="248" spans="1:3" x14ac:dyDescent="0.3">
      <c r="A248" t="str">
        <f>IF(AND(FORSIDE!$B$8&gt;=3,FORSIDE!$F$8&gt;=1,FORSIDE!$B$5&gt;=7),"S247","")</f>
        <v/>
      </c>
      <c r="B248" t="str">
        <f>IF(AND(FORSIDE!$B$8&gt;=3,FORSIDE!$F$8&gt;=1,FORSIDE!$B$5&gt;=7),"271 -&gt; 272","")</f>
        <v/>
      </c>
      <c r="C248" t="str">
        <f>FORSIDE!$C$4</f>
        <v>S355, Stål / KFHUP 180x180x12.5</v>
      </c>
    </row>
    <row r="249" spans="1:3" x14ac:dyDescent="0.3">
      <c r="A249" t="str">
        <f>IF(AND(FORSIDE!$B$8&gt;=3,FORSIDE!$F$8&gt;=1,FORSIDE!$B$5&gt;=8),"S248","")</f>
        <v/>
      </c>
      <c r="B249" t="str">
        <f>IF(AND(FORSIDE!$B$8&gt;=3,FORSIDE!$F$8&gt;=1,FORSIDE!$B$5&gt;=8),"272 -&gt; 273","")</f>
        <v/>
      </c>
      <c r="C249" t="str">
        <f>FORSIDE!$C$4</f>
        <v>S355, Stål / KFHUP 180x180x12.5</v>
      </c>
    </row>
    <row r="250" spans="1:3" x14ac:dyDescent="0.3">
      <c r="A250" t="str">
        <f>IF(AND(FORSIDE!$B$8&gt;=3,FORSIDE!$F$8&gt;=1,FORSIDE!$B$5&gt;=9),"S249","")</f>
        <v/>
      </c>
      <c r="B250" t="str">
        <f>IF(AND(FORSIDE!$B$8&gt;=3,FORSIDE!$F$8&gt;=1,FORSIDE!$B$5&gt;=9),"273 -&gt; 274","")</f>
        <v/>
      </c>
      <c r="C250" t="str">
        <f>FORSIDE!$C$4</f>
        <v>S355, Stål / KFHUP 180x180x12.5</v>
      </c>
    </row>
    <row r="251" spans="1:3" x14ac:dyDescent="0.3">
      <c r="A251" t="str">
        <f>IF(AND(FORSIDE!$B$8&gt;=3,FORSIDE!$F$8&gt;=1,FORSIDE!$B$5&gt;=10),"S250","")</f>
        <v/>
      </c>
      <c r="B251" t="str">
        <f>IF(AND(FORSIDE!$B$8&gt;=3,FORSIDE!$F$8&gt;=1,FORSIDE!$B$5&gt;=10),"274 -&gt; 275","")</f>
        <v/>
      </c>
      <c r="C251" t="str">
        <f>FORSIDE!$C$4</f>
        <v>S355, Stål / KFHUP 180x180x12.5</v>
      </c>
    </row>
    <row r="252" spans="1:3" x14ac:dyDescent="0.3">
      <c r="A252" t="str">
        <f>IF(AND(FORSIDE!$B$8&gt;=4,FORSIDE!$F$8&gt;=1,FORSIDE!$B$5&gt;=1),"S251","")</f>
        <v>S251</v>
      </c>
      <c r="B252" t="str">
        <f>IF(AND(FORSIDE!$B$8&gt;=4,FORSIDE!$F$8&gt;=1,FORSIDE!$B$5&gt;=1),"276 -&gt; 277","")</f>
        <v>276 -&gt; 277</v>
      </c>
      <c r="C252" t="str">
        <f>FORSIDE!$C$4</f>
        <v>S355, Stål / KFHUP 180x180x12.5</v>
      </c>
    </row>
    <row r="253" spans="1:3" x14ac:dyDescent="0.3">
      <c r="A253" t="str">
        <f>IF(AND(FORSIDE!$B$8&gt;=4,FORSIDE!$F$8&gt;=1,FORSIDE!$B$5&gt;=2),"S252","")</f>
        <v>S252</v>
      </c>
      <c r="B253" t="str">
        <f>IF(AND(FORSIDE!$B$8&gt;=4,FORSIDE!$F$8&gt;=1,FORSIDE!$B$5&gt;=2),"277 -&gt; 278","")</f>
        <v>277 -&gt; 278</v>
      </c>
      <c r="C253" t="str">
        <f>FORSIDE!$C$4</f>
        <v>S355, Stål / KFHUP 180x180x12.5</v>
      </c>
    </row>
    <row r="254" spans="1:3" x14ac:dyDescent="0.3">
      <c r="A254" t="str">
        <f>IF(AND(FORSIDE!$B$8&gt;=4,FORSIDE!$F$8&gt;=1,FORSIDE!$B$5&gt;=3),"S253","")</f>
        <v>S253</v>
      </c>
      <c r="B254" t="str">
        <f>IF(AND(FORSIDE!$B$8&gt;=4,FORSIDE!$F$8&gt;=1,FORSIDE!$B$5&gt;=3),"278 -&gt; 279","")</f>
        <v>278 -&gt; 279</v>
      </c>
      <c r="C254" t="str">
        <f>FORSIDE!$C$4</f>
        <v>S355, Stål / KFHUP 180x180x12.5</v>
      </c>
    </row>
    <row r="255" spans="1:3" x14ac:dyDescent="0.3">
      <c r="A255" t="str">
        <f>IF(AND(FORSIDE!$B$8&gt;=4,FORSIDE!$F$8&gt;=1,FORSIDE!$B$5&gt;=4),"S254","")</f>
        <v>S254</v>
      </c>
      <c r="B255" t="str">
        <f>IF(AND(FORSIDE!$B$8&gt;=4,FORSIDE!$F$8&gt;=1,FORSIDE!$B$5&gt;=4),"279 -&gt; 280","")</f>
        <v>279 -&gt; 280</v>
      </c>
      <c r="C255" t="str">
        <f>FORSIDE!$C$4</f>
        <v>S355, Stål / KFHUP 180x180x12.5</v>
      </c>
    </row>
    <row r="256" spans="1:3" x14ac:dyDescent="0.3">
      <c r="A256" t="str">
        <f>IF(AND(FORSIDE!$B$8&gt;=4,FORSIDE!$F$8&gt;=1,FORSIDE!$B$5&gt;=5),"S255","")</f>
        <v>S255</v>
      </c>
      <c r="B256" t="str">
        <f>IF(AND(FORSIDE!$B$8&gt;=4,FORSIDE!$F$8&gt;=1,FORSIDE!$B$5&gt;=5),"280 -&gt; 281","")</f>
        <v>280 -&gt; 281</v>
      </c>
      <c r="C256" t="str">
        <f>FORSIDE!$C$4</f>
        <v>S355, Stål / KFHUP 180x180x12.5</v>
      </c>
    </row>
    <row r="257" spans="1:3" x14ac:dyDescent="0.3">
      <c r="A257" t="str">
        <f>IF(AND(FORSIDE!$B$8&gt;=4,FORSIDE!$F$8&gt;=1,FORSIDE!$B$5&gt;=6),"S256","")</f>
        <v>S256</v>
      </c>
      <c r="B257" t="str">
        <f>IF(AND(FORSIDE!$B$8&gt;=4,FORSIDE!$F$8&gt;=1,FORSIDE!$B$5&gt;=6),"281 -&gt; 282","")</f>
        <v>281 -&gt; 282</v>
      </c>
      <c r="C257" t="str">
        <f>FORSIDE!$C$4</f>
        <v>S355, Stål / KFHUP 180x180x12.5</v>
      </c>
    </row>
    <row r="258" spans="1:3" x14ac:dyDescent="0.3">
      <c r="A258" t="str">
        <f>IF(AND(FORSIDE!$B$8&gt;=4,FORSIDE!$F$8&gt;=1,FORSIDE!$B$5&gt;=7),"S257","")</f>
        <v/>
      </c>
      <c r="B258" t="str">
        <f>IF(AND(FORSIDE!$B$8&gt;=4,FORSIDE!$F$8&gt;=1,FORSIDE!$B$5&gt;=7),"282 -&gt; 283","")</f>
        <v/>
      </c>
      <c r="C258" t="str">
        <f>FORSIDE!$C$4</f>
        <v>S355, Stål / KFHUP 180x180x12.5</v>
      </c>
    </row>
    <row r="259" spans="1:3" x14ac:dyDescent="0.3">
      <c r="A259" t="str">
        <f>IF(AND(FORSIDE!$B$8&gt;=4,FORSIDE!$F$8&gt;=1,FORSIDE!$B$5&gt;=8),"S258","")</f>
        <v/>
      </c>
      <c r="B259" t="str">
        <f>IF(AND(FORSIDE!$B$8&gt;=4,FORSIDE!$F$8&gt;=1,FORSIDE!$B$5&gt;=8),"283 -&gt; 284","")</f>
        <v/>
      </c>
      <c r="C259" t="str">
        <f>FORSIDE!$C$4</f>
        <v>S355, Stål / KFHUP 180x180x12.5</v>
      </c>
    </row>
    <row r="260" spans="1:3" x14ac:dyDescent="0.3">
      <c r="A260" t="str">
        <f>IF(AND(FORSIDE!$B$8&gt;=4,FORSIDE!$F$8&gt;=1,FORSIDE!$B$5&gt;=9),"S259","")</f>
        <v/>
      </c>
      <c r="B260" t="str">
        <f>IF(AND(FORSIDE!$B$8&gt;=4,FORSIDE!$F$8&gt;=1,FORSIDE!$B$5&gt;=9),"284 -&gt; 285","")</f>
        <v/>
      </c>
      <c r="C260" t="str">
        <f>FORSIDE!$C$4</f>
        <v>S355, Stål / KFHUP 180x180x12.5</v>
      </c>
    </row>
    <row r="261" spans="1:3" x14ac:dyDescent="0.3">
      <c r="A261" t="str">
        <f>IF(AND(FORSIDE!$B$8&gt;=4,FORSIDE!$F$8&gt;=1,FORSIDE!$B$5&gt;=10),"S260","")</f>
        <v/>
      </c>
      <c r="B261" t="str">
        <f>IF(AND(FORSIDE!$B$8&gt;=4,FORSIDE!$F$8&gt;=1,FORSIDE!$B$5&gt;=10),"285 -&gt; 286","")</f>
        <v/>
      </c>
      <c r="C261" t="str">
        <f>FORSIDE!$C$4</f>
        <v>S355, Stål / KFHUP 180x180x12.5</v>
      </c>
    </row>
    <row r="262" spans="1:3" x14ac:dyDescent="0.3">
      <c r="A262" t="str">
        <f>IF(AND(FORSIDE!$B$8&gt;=5,FORSIDE!$F$8&gt;=1,FORSIDE!$B$5&gt;=1),"S261","")</f>
        <v/>
      </c>
      <c r="B262" t="str">
        <f>IF(AND(FORSIDE!$B$8&gt;=5,FORSIDE!$F$8&gt;=1,FORSIDE!$B$5&gt;=1),"287 -&gt; 288","")</f>
        <v/>
      </c>
      <c r="C262" t="str">
        <f>FORSIDE!$C$4</f>
        <v>S355, Stål / KFHUP 180x180x12.5</v>
      </c>
    </row>
    <row r="263" spans="1:3" x14ac:dyDescent="0.3">
      <c r="A263" t="str">
        <f>IF(AND(FORSIDE!$B$8&gt;=5,FORSIDE!$F$8&gt;=1,FORSIDE!$B$5&gt;=2),"S262","")</f>
        <v/>
      </c>
      <c r="B263" t="str">
        <f>IF(AND(FORSIDE!$B$8&gt;=5,FORSIDE!$F$8&gt;=1,FORSIDE!$B$5&gt;=2),"288 -&gt; 289","")</f>
        <v/>
      </c>
      <c r="C263" t="str">
        <f>FORSIDE!$C$4</f>
        <v>S355, Stål / KFHUP 180x180x12.5</v>
      </c>
    </row>
    <row r="264" spans="1:3" x14ac:dyDescent="0.3">
      <c r="A264" t="str">
        <f>IF(AND(FORSIDE!$B$8&gt;=5,FORSIDE!$F$8&gt;=1,FORSIDE!$B$5&gt;=3),"S263","")</f>
        <v/>
      </c>
      <c r="B264" t="str">
        <f>IF(AND(FORSIDE!$B$8&gt;=5,FORSIDE!$F$8&gt;=1,FORSIDE!$B$5&gt;=3),"289 -&gt; 290","")</f>
        <v/>
      </c>
      <c r="C264" t="str">
        <f>FORSIDE!$C$4</f>
        <v>S355, Stål / KFHUP 180x180x12.5</v>
      </c>
    </row>
    <row r="265" spans="1:3" x14ac:dyDescent="0.3">
      <c r="A265" t="str">
        <f>IF(AND(FORSIDE!$B$8&gt;=5,FORSIDE!$F$8&gt;=1,FORSIDE!$B$5&gt;=4),"S264","")</f>
        <v/>
      </c>
      <c r="B265" t="str">
        <f>IF(AND(FORSIDE!$B$8&gt;=5,FORSIDE!$F$8&gt;=1,FORSIDE!$B$5&gt;=4),"290 -&gt; 291","")</f>
        <v/>
      </c>
      <c r="C265" t="str">
        <f>FORSIDE!$C$4</f>
        <v>S355, Stål / KFHUP 180x180x12.5</v>
      </c>
    </row>
    <row r="266" spans="1:3" x14ac:dyDescent="0.3">
      <c r="A266" t="str">
        <f>IF(AND(FORSIDE!$B$8&gt;=5,FORSIDE!$F$8&gt;=1,FORSIDE!$B$5&gt;=5),"S265","")</f>
        <v/>
      </c>
      <c r="B266" t="str">
        <f>IF(AND(FORSIDE!$B$8&gt;=5,FORSIDE!$F$8&gt;=1,FORSIDE!$B$5&gt;=5),"291 -&gt; 292","")</f>
        <v/>
      </c>
      <c r="C266" t="str">
        <f>FORSIDE!$C$4</f>
        <v>S355, Stål / KFHUP 180x180x12.5</v>
      </c>
    </row>
    <row r="267" spans="1:3" x14ac:dyDescent="0.3">
      <c r="A267" t="str">
        <f>IF(AND(FORSIDE!$B$8&gt;=5,FORSIDE!$F$8&gt;=1,FORSIDE!$B$5&gt;=6),"S266","")</f>
        <v/>
      </c>
      <c r="B267" t="str">
        <f>IF(AND(FORSIDE!$B$8&gt;=5,FORSIDE!$F$8&gt;=1,FORSIDE!$B$5&gt;=6),"292 -&gt; 293","")</f>
        <v/>
      </c>
      <c r="C267" t="str">
        <f>FORSIDE!$C$4</f>
        <v>S355, Stål / KFHUP 180x180x12.5</v>
      </c>
    </row>
    <row r="268" spans="1:3" x14ac:dyDescent="0.3">
      <c r="A268" t="str">
        <f>IF(AND(FORSIDE!$B$8&gt;=5,FORSIDE!$F$8&gt;=1,FORSIDE!$B$5&gt;=7),"S267","")</f>
        <v/>
      </c>
      <c r="B268" t="str">
        <f>IF(AND(FORSIDE!$B$8&gt;=5,FORSIDE!$F$8&gt;=1,FORSIDE!$B$5&gt;=7),"293 -&gt; 294","")</f>
        <v/>
      </c>
      <c r="C268" t="str">
        <f>FORSIDE!$C$4</f>
        <v>S355, Stål / KFHUP 180x180x12.5</v>
      </c>
    </row>
    <row r="269" spans="1:3" x14ac:dyDescent="0.3">
      <c r="A269" t="str">
        <f>IF(AND(FORSIDE!$B$8&gt;=5,FORSIDE!$F$8&gt;=1,FORSIDE!$B$5&gt;=8),"S268","")</f>
        <v/>
      </c>
      <c r="B269" t="str">
        <f>IF(AND(FORSIDE!$B$8&gt;=5,FORSIDE!$F$8&gt;=1,FORSIDE!$B$5&gt;=8),"294 -&gt; 295","")</f>
        <v/>
      </c>
      <c r="C269" t="str">
        <f>FORSIDE!$C$4</f>
        <v>S355, Stål / KFHUP 180x180x12.5</v>
      </c>
    </row>
    <row r="270" spans="1:3" x14ac:dyDescent="0.3">
      <c r="A270" t="str">
        <f>IF(AND(FORSIDE!$B$8&gt;=5,FORSIDE!$F$8&gt;=1,FORSIDE!$B$5&gt;=9),"S269","")</f>
        <v/>
      </c>
      <c r="B270" t="str">
        <f>IF(AND(FORSIDE!$B$8&gt;=5,FORSIDE!$F$8&gt;=1,FORSIDE!$B$5&gt;=9),"295 -&gt; 296","")</f>
        <v/>
      </c>
      <c r="C270" t="str">
        <f>FORSIDE!$C$4</f>
        <v>S355, Stål / KFHUP 180x180x12.5</v>
      </c>
    </row>
    <row r="271" spans="1:3" x14ac:dyDescent="0.3">
      <c r="A271" t="str">
        <f>IF(AND(FORSIDE!$B$8&gt;=5,FORSIDE!$F$8&gt;=1,FORSIDE!$B$5&gt;=10),"S270","")</f>
        <v/>
      </c>
      <c r="B271" t="str">
        <f>IF(AND(FORSIDE!$B$8&gt;=5,FORSIDE!$F$8&gt;=1,FORSIDE!$B$5&gt;=10),"296 -&gt; 297","")</f>
        <v/>
      </c>
      <c r="C271" t="str">
        <f>FORSIDE!$C$4</f>
        <v>S355, Stål / KFHUP 180x180x12.5</v>
      </c>
    </row>
    <row r="272" spans="1:3" x14ac:dyDescent="0.3">
      <c r="A272" t="str">
        <f>IF(AND(FORSIDE!$B$8&gt;=6,FORSIDE!$F$8&gt;=1,FORSIDE!$B$5&gt;=1),"S271","")</f>
        <v/>
      </c>
      <c r="B272" t="str">
        <f>IF(AND(FORSIDE!$B$8&gt;=6,FORSIDE!$F$8&gt;=1,FORSIDE!$B$5&gt;=1),"298 -&gt; 299","")</f>
        <v/>
      </c>
      <c r="C272" t="str">
        <f>FORSIDE!$C$4</f>
        <v>S355, Stål / KFHUP 180x180x12.5</v>
      </c>
    </row>
    <row r="273" spans="1:3" x14ac:dyDescent="0.3">
      <c r="A273" t="str">
        <f>IF(AND(FORSIDE!$B$8&gt;=6,FORSIDE!$F$8&gt;=1,FORSIDE!$B$5&gt;=2),"S272","")</f>
        <v/>
      </c>
      <c r="B273" t="str">
        <f>IF(AND(FORSIDE!$B$8&gt;=6,FORSIDE!$F$8&gt;=1,FORSIDE!$B$5&gt;=2),"299 -&gt; 300","")</f>
        <v/>
      </c>
      <c r="C273" t="str">
        <f>FORSIDE!$C$4</f>
        <v>S355, Stål / KFHUP 180x180x12.5</v>
      </c>
    </row>
    <row r="274" spans="1:3" x14ac:dyDescent="0.3">
      <c r="A274" t="str">
        <f>IF(AND(FORSIDE!$B$8&gt;=6,FORSIDE!$F$8&gt;=1,FORSIDE!$B$5&gt;=3),"S273","")</f>
        <v/>
      </c>
      <c r="B274" t="str">
        <f>IF(AND(FORSIDE!$B$8&gt;=6,FORSIDE!$F$8&gt;=1,FORSIDE!$B$5&gt;=3),"300 -&gt; 301","")</f>
        <v/>
      </c>
      <c r="C274" t="str">
        <f>FORSIDE!$C$4</f>
        <v>S355, Stål / KFHUP 180x180x12.5</v>
      </c>
    </row>
    <row r="275" spans="1:3" x14ac:dyDescent="0.3">
      <c r="A275" t="str">
        <f>IF(AND(FORSIDE!$B$8&gt;=6,FORSIDE!$F$8&gt;=1,FORSIDE!$B$5&gt;=4),"S274","")</f>
        <v/>
      </c>
      <c r="B275" t="str">
        <f>IF(AND(FORSIDE!$B$8&gt;=6,FORSIDE!$F$8&gt;=1,FORSIDE!$B$5&gt;=4),"301 -&gt; 302","")</f>
        <v/>
      </c>
      <c r="C275" t="str">
        <f>FORSIDE!$C$4</f>
        <v>S355, Stål / KFHUP 180x180x12.5</v>
      </c>
    </row>
    <row r="276" spans="1:3" x14ac:dyDescent="0.3">
      <c r="A276" t="str">
        <f>IF(AND(FORSIDE!$B$8&gt;=6,FORSIDE!$F$8&gt;=1,FORSIDE!$B$5&gt;=5),"S275","")</f>
        <v/>
      </c>
      <c r="B276" t="str">
        <f>IF(AND(FORSIDE!$B$8&gt;=6,FORSIDE!$F$8&gt;=1,FORSIDE!$B$5&gt;=5),"302 -&gt; 303","")</f>
        <v/>
      </c>
      <c r="C276" t="str">
        <f>FORSIDE!$C$4</f>
        <v>S355, Stål / KFHUP 180x180x12.5</v>
      </c>
    </row>
    <row r="277" spans="1:3" x14ac:dyDescent="0.3">
      <c r="A277" t="str">
        <f>IF(AND(FORSIDE!$B$8&gt;=6,FORSIDE!$F$8&gt;=1,FORSIDE!$B$5&gt;=6),"S276","")</f>
        <v/>
      </c>
      <c r="B277" t="str">
        <f>IF(AND(FORSIDE!$B$8&gt;=6,FORSIDE!$F$8&gt;=1,FORSIDE!$B$5&gt;=6),"303 -&gt; 304","")</f>
        <v/>
      </c>
      <c r="C277" t="str">
        <f>FORSIDE!$C$4</f>
        <v>S355, Stål / KFHUP 180x180x12.5</v>
      </c>
    </row>
    <row r="278" spans="1:3" x14ac:dyDescent="0.3">
      <c r="A278" t="str">
        <f>IF(AND(FORSIDE!$B$8&gt;=6,FORSIDE!$F$8&gt;=1,FORSIDE!$B$5&gt;=7),"S277","")</f>
        <v/>
      </c>
      <c r="B278" t="str">
        <f>IF(AND(FORSIDE!$B$8&gt;=6,FORSIDE!$F$8&gt;=1,FORSIDE!$B$5&gt;=7),"304 -&gt; 305","")</f>
        <v/>
      </c>
      <c r="C278" t="str">
        <f>FORSIDE!$C$4</f>
        <v>S355, Stål / KFHUP 180x180x12.5</v>
      </c>
    </row>
    <row r="279" spans="1:3" x14ac:dyDescent="0.3">
      <c r="A279" t="str">
        <f>IF(AND(FORSIDE!$B$8&gt;=6,FORSIDE!$F$8&gt;=1,FORSIDE!$B$5&gt;=8),"S278","")</f>
        <v/>
      </c>
      <c r="B279" t="str">
        <f>IF(AND(FORSIDE!$B$8&gt;=6,FORSIDE!$F$8&gt;=1,FORSIDE!$B$5&gt;=8),"305 -&gt; 306","")</f>
        <v/>
      </c>
      <c r="C279" t="str">
        <f>FORSIDE!$C$4</f>
        <v>S355, Stål / KFHUP 180x180x12.5</v>
      </c>
    </row>
    <row r="280" spans="1:3" x14ac:dyDescent="0.3">
      <c r="A280" t="str">
        <f>IF(AND(FORSIDE!$B$8&gt;=6,FORSIDE!$F$8&gt;=1,FORSIDE!$B$5&gt;=9),"S279","")</f>
        <v/>
      </c>
      <c r="B280" t="str">
        <f>IF(AND(FORSIDE!$B$8&gt;=6,FORSIDE!$F$8&gt;=1,FORSIDE!$B$5&gt;=9),"306 -&gt; 307","")</f>
        <v/>
      </c>
      <c r="C280" t="str">
        <f>FORSIDE!$C$4</f>
        <v>S355, Stål / KFHUP 180x180x12.5</v>
      </c>
    </row>
    <row r="281" spans="1:3" x14ac:dyDescent="0.3">
      <c r="A281" t="str">
        <f>IF(AND(FORSIDE!$B$8&gt;=6,FORSIDE!$F$8&gt;=1,FORSIDE!$B$5&gt;=10),"S280","")</f>
        <v/>
      </c>
      <c r="B281" t="str">
        <f>IF(AND(FORSIDE!$B$8&gt;=6,FORSIDE!$F$8&gt;=1,FORSIDE!$B$5&gt;=10),"307 -&gt; 308","")</f>
        <v/>
      </c>
      <c r="C281" t="str">
        <f>FORSIDE!$C$4</f>
        <v>S355, Stål / KFHUP 180x180x12.5</v>
      </c>
    </row>
    <row r="282" spans="1:3" x14ac:dyDescent="0.3">
      <c r="A282" t="str">
        <f>IF(AND(FORSIDE!$B$8&gt;=7,FORSIDE!$F$8&gt;=1,FORSIDE!$B$5&gt;=1),"S281","")</f>
        <v/>
      </c>
      <c r="B282" t="str">
        <f>IF(AND(FORSIDE!$B$8&gt;=7,FORSIDE!$F$8&gt;=1,FORSIDE!$B$5&gt;=1),"309 -&gt; 310","")</f>
        <v/>
      </c>
      <c r="C282" t="str">
        <f>FORSIDE!$C$4</f>
        <v>S355, Stål / KFHUP 180x180x12.5</v>
      </c>
    </row>
    <row r="283" spans="1:3" x14ac:dyDescent="0.3">
      <c r="A283" t="str">
        <f>IF(AND(FORSIDE!$B$8&gt;=7,FORSIDE!$F$8&gt;=1,FORSIDE!$B$5&gt;=2),"S282","")</f>
        <v/>
      </c>
      <c r="B283" t="str">
        <f>IF(AND(FORSIDE!$B$8&gt;=7,FORSIDE!$F$8&gt;=1,FORSIDE!$B$5&gt;=2),"310 -&gt; 311","")</f>
        <v/>
      </c>
      <c r="C283" t="str">
        <f>FORSIDE!$C$4</f>
        <v>S355, Stål / KFHUP 180x180x12.5</v>
      </c>
    </row>
    <row r="284" spans="1:3" x14ac:dyDescent="0.3">
      <c r="A284" t="str">
        <f>IF(AND(FORSIDE!$B$8&gt;=7,FORSIDE!$F$8&gt;=1,FORSIDE!$B$5&gt;=3),"S283","")</f>
        <v/>
      </c>
      <c r="B284" t="str">
        <f>IF(AND(FORSIDE!$B$8&gt;=7,FORSIDE!$F$8&gt;=1,FORSIDE!$B$5&gt;=3),"311 -&gt; 312","")</f>
        <v/>
      </c>
      <c r="C284" t="str">
        <f>FORSIDE!$C$4</f>
        <v>S355, Stål / KFHUP 180x180x12.5</v>
      </c>
    </row>
    <row r="285" spans="1:3" x14ac:dyDescent="0.3">
      <c r="A285" t="str">
        <f>IF(AND(FORSIDE!$B$8&gt;=7,FORSIDE!$F$8&gt;=1,FORSIDE!$B$5&gt;=4),"S284","")</f>
        <v/>
      </c>
      <c r="B285" t="str">
        <f>IF(AND(FORSIDE!$B$8&gt;=7,FORSIDE!$F$8&gt;=1,FORSIDE!$B$5&gt;=4),"312 -&gt; 313","")</f>
        <v/>
      </c>
      <c r="C285" t="str">
        <f>FORSIDE!$C$4</f>
        <v>S355, Stål / KFHUP 180x180x12.5</v>
      </c>
    </row>
    <row r="286" spans="1:3" x14ac:dyDescent="0.3">
      <c r="A286" t="str">
        <f>IF(AND(FORSIDE!$B$8&gt;=7,FORSIDE!$F$8&gt;=1,FORSIDE!$B$5&gt;=5),"S285","")</f>
        <v/>
      </c>
      <c r="B286" t="str">
        <f>IF(AND(FORSIDE!$B$8&gt;=7,FORSIDE!$F$8&gt;=1,FORSIDE!$B$5&gt;=5),"313 -&gt; 314","")</f>
        <v/>
      </c>
      <c r="C286" t="str">
        <f>FORSIDE!$C$4</f>
        <v>S355, Stål / KFHUP 180x180x12.5</v>
      </c>
    </row>
    <row r="287" spans="1:3" x14ac:dyDescent="0.3">
      <c r="A287" t="str">
        <f>IF(AND(FORSIDE!$B$8&gt;=7,FORSIDE!$F$8&gt;=1,FORSIDE!$B$5&gt;=6),"S286","")</f>
        <v/>
      </c>
      <c r="B287" t="str">
        <f>IF(AND(FORSIDE!$B$8&gt;=7,FORSIDE!$F$8&gt;=1,FORSIDE!$B$5&gt;=6),"314 -&gt; 315","")</f>
        <v/>
      </c>
      <c r="C287" t="str">
        <f>FORSIDE!$C$4</f>
        <v>S355, Stål / KFHUP 180x180x12.5</v>
      </c>
    </row>
    <row r="288" spans="1:3" x14ac:dyDescent="0.3">
      <c r="A288" t="str">
        <f>IF(AND(FORSIDE!$B$8&gt;=7,FORSIDE!$F$8&gt;=1,FORSIDE!$B$5&gt;=7),"S287","")</f>
        <v/>
      </c>
      <c r="B288" t="str">
        <f>IF(AND(FORSIDE!$B$8&gt;=7,FORSIDE!$F$8&gt;=1,FORSIDE!$B$5&gt;=7),"315 -&gt; 316","")</f>
        <v/>
      </c>
      <c r="C288" t="str">
        <f>FORSIDE!$C$4</f>
        <v>S355, Stål / KFHUP 180x180x12.5</v>
      </c>
    </row>
    <row r="289" spans="1:3" x14ac:dyDescent="0.3">
      <c r="A289" t="str">
        <f>IF(AND(FORSIDE!$B$8&gt;=7,FORSIDE!$F$8&gt;=1,FORSIDE!$B$5&gt;=8),"S288","")</f>
        <v/>
      </c>
      <c r="B289" t="str">
        <f>IF(AND(FORSIDE!$B$8&gt;=7,FORSIDE!$F$8&gt;=1,FORSIDE!$B$5&gt;=8),"316 -&gt; 317","")</f>
        <v/>
      </c>
      <c r="C289" t="str">
        <f>FORSIDE!$C$4</f>
        <v>S355, Stål / KFHUP 180x180x12.5</v>
      </c>
    </row>
    <row r="290" spans="1:3" x14ac:dyDescent="0.3">
      <c r="A290" t="str">
        <f>IF(AND(FORSIDE!$B$8&gt;=7,FORSIDE!$F$8&gt;=1,FORSIDE!$B$5&gt;=9),"S289","")</f>
        <v/>
      </c>
      <c r="B290" t="str">
        <f>IF(AND(FORSIDE!$B$8&gt;=7,FORSIDE!$F$8&gt;=1,FORSIDE!$B$5&gt;=9),"317 -&gt; 318","")</f>
        <v/>
      </c>
      <c r="C290" t="str">
        <f>FORSIDE!$C$4</f>
        <v>S355, Stål / KFHUP 180x180x12.5</v>
      </c>
    </row>
    <row r="291" spans="1:3" x14ac:dyDescent="0.3">
      <c r="A291" t="str">
        <f>IF(AND(FORSIDE!$B$8&gt;=7,FORSIDE!$F$8&gt;=1,FORSIDE!$B$5&gt;=10),"S290","")</f>
        <v/>
      </c>
      <c r="B291" t="str">
        <f>IF(AND(FORSIDE!$B$8&gt;=7,FORSIDE!$F$8&gt;=1,FORSIDE!$B$5&gt;=10),"318 -&gt; 319","")</f>
        <v/>
      </c>
      <c r="C291" t="str">
        <f>FORSIDE!$C$4</f>
        <v>S355, Stål / KFHUP 180x180x12.5</v>
      </c>
    </row>
    <row r="292" spans="1:3" x14ac:dyDescent="0.3">
      <c r="A292" t="str">
        <f>IF(AND(FORSIDE!$B$8&gt;=8,FORSIDE!$F$8&gt;=1,FORSIDE!$B$5&gt;=1),"S291","")</f>
        <v/>
      </c>
      <c r="B292" t="str">
        <f>IF(AND(FORSIDE!$B$8&gt;=8,FORSIDE!$F$8&gt;=1,FORSIDE!$B$5&gt;=1),"320 -&gt; 321","")</f>
        <v/>
      </c>
      <c r="C292" t="str">
        <f>FORSIDE!$C$4</f>
        <v>S355, Stål / KFHUP 180x180x12.5</v>
      </c>
    </row>
    <row r="293" spans="1:3" x14ac:dyDescent="0.3">
      <c r="A293" t="str">
        <f>IF(AND(FORSIDE!$B$8&gt;=8,FORSIDE!$F$8&gt;=1,FORSIDE!$B$5&gt;=2),"S292","")</f>
        <v/>
      </c>
      <c r="B293" t="str">
        <f>IF(AND(FORSIDE!$B$8&gt;=8,FORSIDE!$F$8&gt;=1,FORSIDE!$B$5&gt;=2),"321 -&gt; 322","")</f>
        <v/>
      </c>
      <c r="C293" t="str">
        <f>FORSIDE!$C$4</f>
        <v>S355, Stål / KFHUP 180x180x12.5</v>
      </c>
    </row>
    <row r="294" spans="1:3" x14ac:dyDescent="0.3">
      <c r="A294" t="str">
        <f>IF(AND(FORSIDE!$B$8&gt;=8,FORSIDE!$F$8&gt;=1,FORSIDE!$B$5&gt;=3),"S293","")</f>
        <v/>
      </c>
      <c r="B294" t="str">
        <f>IF(AND(FORSIDE!$B$8&gt;=8,FORSIDE!$F$8&gt;=1,FORSIDE!$B$5&gt;=3),"322 -&gt; 323","")</f>
        <v/>
      </c>
      <c r="C294" t="str">
        <f>FORSIDE!$C$4</f>
        <v>S355, Stål / KFHUP 180x180x12.5</v>
      </c>
    </row>
    <row r="295" spans="1:3" x14ac:dyDescent="0.3">
      <c r="A295" t="str">
        <f>IF(AND(FORSIDE!$B$8&gt;=8,FORSIDE!$F$8&gt;=1,FORSIDE!$B$5&gt;=4),"S294","")</f>
        <v/>
      </c>
      <c r="B295" t="str">
        <f>IF(AND(FORSIDE!$B$8&gt;=8,FORSIDE!$F$8&gt;=1,FORSIDE!$B$5&gt;=4),"323 -&gt; 324","")</f>
        <v/>
      </c>
      <c r="C295" t="str">
        <f>FORSIDE!$C$4</f>
        <v>S355, Stål / KFHUP 180x180x12.5</v>
      </c>
    </row>
    <row r="296" spans="1:3" x14ac:dyDescent="0.3">
      <c r="A296" t="str">
        <f>IF(AND(FORSIDE!$B$8&gt;=8,FORSIDE!$F$8&gt;=1,FORSIDE!$B$5&gt;=5),"S295","")</f>
        <v/>
      </c>
      <c r="B296" t="str">
        <f>IF(AND(FORSIDE!$B$8&gt;=8,FORSIDE!$F$8&gt;=1,FORSIDE!$B$5&gt;=5),"324 -&gt; 325","")</f>
        <v/>
      </c>
      <c r="C296" t="str">
        <f>FORSIDE!$C$4</f>
        <v>S355, Stål / KFHUP 180x180x12.5</v>
      </c>
    </row>
    <row r="297" spans="1:3" x14ac:dyDescent="0.3">
      <c r="A297" t="str">
        <f>IF(AND(FORSIDE!$B$8&gt;=8,FORSIDE!$F$8&gt;=1,FORSIDE!$B$5&gt;=6),"S296","")</f>
        <v/>
      </c>
      <c r="B297" t="str">
        <f>IF(AND(FORSIDE!$B$8&gt;=8,FORSIDE!$F$8&gt;=1,FORSIDE!$B$5&gt;=6),"325 -&gt; 326","")</f>
        <v/>
      </c>
      <c r="C297" t="str">
        <f>FORSIDE!$C$4</f>
        <v>S355, Stål / KFHUP 180x180x12.5</v>
      </c>
    </row>
    <row r="298" spans="1:3" x14ac:dyDescent="0.3">
      <c r="A298" t="str">
        <f>IF(AND(FORSIDE!$B$8&gt;=8,FORSIDE!$F$8&gt;=1,FORSIDE!$B$5&gt;=7),"S297","")</f>
        <v/>
      </c>
      <c r="B298" t="str">
        <f>IF(AND(FORSIDE!$B$8&gt;=8,FORSIDE!$F$8&gt;=1,FORSIDE!$B$5&gt;=7),"326 -&gt; 327","")</f>
        <v/>
      </c>
      <c r="C298" t="str">
        <f>FORSIDE!$C$4</f>
        <v>S355, Stål / KFHUP 180x180x12.5</v>
      </c>
    </row>
    <row r="299" spans="1:3" x14ac:dyDescent="0.3">
      <c r="A299" t="str">
        <f>IF(AND(FORSIDE!$B$8&gt;=8,FORSIDE!$F$8&gt;=1,FORSIDE!$B$5&gt;=8),"S298","")</f>
        <v/>
      </c>
      <c r="B299" t="str">
        <f>IF(AND(FORSIDE!$B$8&gt;=8,FORSIDE!$F$8&gt;=1,FORSIDE!$B$5&gt;=8),"327 -&gt; 328","")</f>
        <v/>
      </c>
      <c r="C299" t="str">
        <f>FORSIDE!$C$4</f>
        <v>S355, Stål / KFHUP 180x180x12.5</v>
      </c>
    </row>
    <row r="300" spans="1:3" x14ac:dyDescent="0.3">
      <c r="A300" t="str">
        <f>IF(AND(FORSIDE!$B$8&gt;=8,FORSIDE!$F$8&gt;=1,FORSIDE!$B$5&gt;=9),"S299","")</f>
        <v/>
      </c>
      <c r="B300" t="str">
        <f>IF(AND(FORSIDE!$B$8&gt;=8,FORSIDE!$F$8&gt;=1,FORSIDE!$B$5&gt;=9),"328 -&gt; 329","")</f>
        <v/>
      </c>
      <c r="C300" t="str">
        <f>FORSIDE!$C$4</f>
        <v>S355, Stål / KFHUP 180x180x12.5</v>
      </c>
    </row>
    <row r="301" spans="1:3" x14ac:dyDescent="0.3">
      <c r="A301" t="str">
        <f>IF(AND(FORSIDE!$B$8&gt;=8,FORSIDE!$F$8&gt;=1,FORSIDE!$B$5&gt;=10),"S300","")</f>
        <v/>
      </c>
      <c r="B301" t="str">
        <f>IF(AND(FORSIDE!$B$8&gt;=8,FORSIDE!$F$8&gt;=1,FORSIDE!$B$5&gt;=10),"329 -&gt; 330","")</f>
        <v/>
      </c>
      <c r="C301" t="str">
        <f>FORSIDE!$C$4</f>
        <v>S355, Stål / KFHUP 180x180x12.5</v>
      </c>
    </row>
    <row r="302" spans="1:3" x14ac:dyDescent="0.3">
      <c r="A302" t="str">
        <f>IF(AND(FORSIDE!$B$8&gt;=9,FORSIDE!$F$8&gt;=1,FORSIDE!$B$5&gt;=1),"S301","")</f>
        <v/>
      </c>
      <c r="B302" t="str">
        <f>IF(AND(FORSIDE!$B$8&gt;=9,FORSIDE!$F$8&gt;=1,FORSIDE!$B$5&gt;=1),"331 -&gt; 332","")</f>
        <v/>
      </c>
      <c r="C302" t="str">
        <f>FORSIDE!$C$4</f>
        <v>S355, Stål / KFHUP 180x180x12.5</v>
      </c>
    </row>
    <row r="303" spans="1:3" x14ac:dyDescent="0.3">
      <c r="A303" t="str">
        <f>IF(AND(FORSIDE!$B$8&gt;=9,FORSIDE!$F$8&gt;=1,FORSIDE!$B$5&gt;=2),"S302","")</f>
        <v/>
      </c>
      <c r="B303" t="str">
        <f>IF(AND(FORSIDE!$B$8&gt;=9,FORSIDE!$F$8&gt;=1,FORSIDE!$B$5&gt;=2),"332 -&gt; 333","")</f>
        <v/>
      </c>
      <c r="C303" t="str">
        <f>FORSIDE!$C$4</f>
        <v>S355, Stål / KFHUP 180x180x12.5</v>
      </c>
    </row>
    <row r="304" spans="1:3" x14ac:dyDescent="0.3">
      <c r="A304" t="str">
        <f>IF(AND(FORSIDE!$B$8&gt;=9,FORSIDE!$F$8&gt;=1,FORSIDE!$B$5&gt;=3),"S303","")</f>
        <v/>
      </c>
      <c r="B304" t="str">
        <f>IF(AND(FORSIDE!$B$8&gt;=9,FORSIDE!$F$8&gt;=1,FORSIDE!$B$5&gt;=3),"333 -&gt; 334","")</f>
        <v/>
      </c>
      <c r="C304" t="str">
        <f>FORSIDE!$C$4</f>
        <v>S355, Stål / KFHUP 180x180x12.5</v>
      </c>
    </row>
    <row r="305" spans="1:3" x14ac:dyDescent="0.3">
      <c r="A305" t="str">
        <f>IF(AND(FORSIDE!$B$8&gt;=9,FORSIDE!$F$8&gt;=1,FORSIDE!$B$5&gt;=4),"S304","")</f>
        <v/>
      </c>
      <c r="B305" t="str">
        <f>IF(AND(FORSIDE!$B$8&gt;=9,FORSIDE!$F$8&gt;=1,FORSIDE!$B$5&gt;=4),"334 -&gt; 335","")</f>
        <v/>
      </c>
      <c r="C305" t="str">
        <f>FORSIDE!$C$4</f>
        <v>S355, Stål / KFHUP 180x180x12.5</v>
      </c>
    </row>
    <row r="306" spans="1:3" x14ac:dyDescent="0.3">
      <c r="A306" t="str">
        <f>IF(AND(FORSIDE!$B$8&gt;=9,FORSIDE!$F$8&gt;=1,FORSIDE!$B$5&gt;=5),"S305","")</f>
        <v/>
      </c>
      <c r="B306" t="str">
        <f>IF(AND(FORSIDE!$B$8&gt;=9,FORSIDE!$F$8&gt;=1,FORSIDE!$B$5&gt;=5),"335 -&gt; 336","")</f>
        <v/>
      </c>
      <c r="C306" t="str">
        <f>FORSIDE!$C$4</f>
        <v>S355, Stål / KFHUP 180x180x12.5</v>
      </c>
    </row>
    <row r="307" spans="1:3" x14ac:dyDescent="0.3">
      <c r="A307" t="str">
        <f>IF(AND(FORSIDE!$B$8&gt;=9,FORSIDE!$F$8&gt;=1,FORSIDE!$B$5&gt;=6),"S306","")</f>
        <v/>
      </c>
      <c r="B307" t="str">
        <f>IF(AND(FORSIDE!$B$8&gt;=9,FORSIDE!$F$8&gt;=1,FORSIDE!$B$5&gt;=6),"336 -&gt; 337","")</f>
        <v/>
      </c>
      <c r="C307" t="str">
        <f>FORSIDE!$C$4</f>
        <v>S355, Stål / KFHUP 180x180x12.5</v>
      </c>
    </row>
    <row r="308" spans="1:3" x14ac:dyDescent="0.3">
      <c r="A308" t="str">
        <f>IF(AND(FORSIDE!$B$8&gt;=9,FORSIDE!$F$8&gt;=1,FORSIDE!$B$5&gt;=7),"S307","")</f>
        <v/>
      </c>
      <c r="B308" t="str">
        <f>IF(AND(FORSIDE!$B$8&gt;=9,FORSIDE!$F$8&gt;=1,FORSIDE!$B$5&gt;=7),"337 -&gt; 338","")</f>
        <v/>
      </c>
      <c r="C308" t="str">
        <f>FORSIDE!$C$4</f>
        <v>S355, Stål / KFHUP 180x180x12.5</v>
      </c>
    </row>
    <row r="309" spans="1:3" x14ac:dyDescent="0.3">
      <c r="A309" t="str">
        <f>IF(AND(FORSIDE!$B$8&gt;=9,FORSIDE!$F$8&gt;=1,FORSIDE!$B$5&gt;=8),"S308","")</f>
        <v/>
      </c>
      <c r="B309" t="str">
        <f>IF(AND(FORSIDE!$B$8&gt;=9,FORSIDE!$F$8&gt;=1,FORSIDE!$B$5&gt;=8),"338 -&gt; 339","")</f>
        <v/>
      </c>
      <c r="C309" t="str">
        <f>FORSIDE!$C$4</f>
        <v>S355, Stål / KFHUP 180x180x12.5</v>
      </c>
    </row>
    <row r="310" spans="1:3" x14ac:dyDescent="0.3">
      <c r="A310" t="str">
        <f>IF(AND(FORSIDE!$B$8&gt;=9,FORSIDE!$F$8&gt;=1,FORSIDE!$B$5&gt;=9),"S309","")</f>
        <v/>
      </c>
      <c r="B310" t="str">
        <f>IF(AND(FORSIDE!$B$8&gt;=9,FORSIDE!$F$8&gt;=1,FORSIDE!$B$5&gt;=9),"339 -&gt; 340","")</f>
        <v/>
      </c>
      <c r="C310" t="str">
        <f>FORSIDE!$C$4</f>
        <v>S355, Stål / KFHUP 180x180x12.5</v>
      </c>
    </row>
    <row r="311" spans="1:3" x14ac:dyDescent="0.3">
      <c r="A311" t="str">
        <f>IF(AND(FORSIDE!$B$8&gt;=9,FORSIDE!$F$8&gt;=1,FORSIDE!$B$5&gt;=10),"S310","")</f>
        <v/>
      </c>
      <c r="B311" t="str">
        <f>IF(AND(FORSIDE!$B$8&gt;=9,FORSIDE!$F$8&gt;=1,FORSIDE!$B$5&gt;=10),"340 -&gt; 341","")</f>
        <v/>
      </c>
      <c r="C311" t="str">
        <f>FORSIDE!$C$4</f>
        <v>S355, Stål / KFHUP 180x180x12.5</v>
      </c>
    </row>
    <row r="312" spans="1:3" x14ac:dyDescent="0.3">
      <c r="A312" t="str">
        <f>IF(AND(FORSIDE!$B$8&gt;=10,FORSIDE!$F$8&gt;=1,FORSIDE!$B$5&gt;=1),"S311","")</f>
        <v/>
      </c>
      <c r="B312" t="str">
        <f>IF(AND(FORSIDE!$B$8&gt;=10,FORSIDE!$F$8&gt;=1,FORSIDE!$B$5&gt;=1),"342 -&gt; 343","")</f>
        <v/>
      </c>
      <c r="C312" t="str">
        <f>FORSIDE!$C$4</f>
        <v>S355, Stål / KFHUP 180x180x12.5</v>
      </c>
    </row>
    <row r="313" spans="1:3" x14ac:dyDescent="0.3">
      <c r="A313" t="str">
        <f>IF(AND(FORSIDE!$B$8&gt;=10,FORSIDE!$F$8&gt;=1,FORSIDE!$B$5&gt;=2),"S312","")</f>
        <v/>
      </c>
      <c r="B313" t="str">
        <f>IF(AND(FORSIDE!$B$8&gt;=10,FORSIDE!$F$8&gt;=1,FORSIDE!$B$5&gt;=2),"343 -&gt; 344","")</f>
        <v/>
      </c>
      <c r="C313" t="str">
        <f>FORSIDE!$C$4</f>
        <v>S355, Stål / KFHUP 180x180x12.5</v>
      </c>
    </row>
    <row r="314" spans="1:3" x14ac:dyDescent="0.3">
      <c r="A314" t="str">
        <f>IF(AND(FORSIDE!$B$8&gt;=10,FORSIDE!$F$8&gt;=1,FORSIDE!$B$5&gt;=3),"S313","")</f>
        <v/>
      </c>
      <c r="B314" t="str">
        <f>IF(AND(FORSIDE!$B$8&gt;=10,FORSIDE!$F$8&gt;=1,FORSIDE!$B$5&gt;=3),"344 -&gt; 345","")</f>
        <v/>
      </c>
      <c r="C314" t="str">
        <f>FORSIDE!$C$4</f>
        <v>S355, Stål / KFHUP 180x180x12.5</v>
      </c>
    </row>
    <row r="315" spans="1:3" x14ac:dyDescent="0.3">
      <c r="A315" t="str">
        <f>IF(AND(FORSIDE!$B$8&gt;=10,FORSIDE!$F$8&gt;=1,FORSIDE!$B$5&gt;=4),"S314","")</f>
        <v/>
      </c>
      <c r="B315" t="str">
        <f>IF(AND(FORSIDE!$B$8&gt;=10,FORSIDE!$F$8&gt;=1,FORSIDE!$B$5&gt;=4),"345 -&gt; 346","")</f>
        <v/>
      </c>
      <c r="C315" t="str">
        <f>FORSIDE!$C$4</f>
        <v>S355, Stål / KFHUP 180x180x12.5</v>
      </c>
    </row>
    <row r="316" spans="1:3" x14ac:dyDescent="0.3">
      <c r="A316" t="str">
        <f>IF(AND(FORSIDE!$B$8&gt;=10,FORSIDE!$F$8&gt;=1,FORSIDE!$B$5&gt;=5),"S315","")</f>
        <v/>
      </c>
      <c r="B316" t="str">
        <f>IF(AND(FORSIDE!$B$8&gt;=10,FORSIDE!$F$8&gt;=1,FORSIDE!$B$5&gt;=5),"346 -&gt; 347","")</f>
        <v/>
      </c>
      <c r="C316" t="str">
        <f>FORSIDE!$C$4</f>
        <v>S355, Stål / KFHUP 180x180x12.5</v>
      </c>
    </row>
    <row r="317" spans="1:3" x14ac:dyDescent="0.3">
      <c r="A317" t="str">
        <f>IF(AND(FORSIDE!$B$8&gt;=10,FORSIDE!$F$8&gt;=1,FORSIDE!$B$5&gt;=6),"S316","")</f>
        <v/>
      </c>
      <c r="B317" t="str">
        <f>IF(AND(FORSIDE!$B$8&gt;=10,FORSIDE!$F$8&gt;=1,FORSIDE!$B$5&gt;=6),"347 -&gt; 348","")</f>
        <v/>
      </c>
      <c r="C317" t="str">
        <f>FORSIDE!$C$4</f>
        <v>S355, Stål / KFHUP 180x180x12.5</v>
      </c>
    </row>
    <row r="318" spans="1:3" x14ac:dyDescent="0.3">
      <c r="A318" t="str">
        <f>IF(AND(FORSIDE!$B$8&gt;=10,FORSIDE!$F$8&gt;=1,FORSIDE!$B$5&gt;=7),"S317","")</f>
        <v/>
      </c>
      <c r="B318" t="str">
        <f>IF(AND(FORSIDE!$B$8&gt;=10,FORSIDE!$F$8&gt;=1,FORSIDE!$B$5&gt;=7),"348 -&gt; 349","")</f>
        <v/>
      </c>
      <c r="C318" t="str">
        <f>FORSIDE!$C$4</f>
        <v>S355, Stål / KFHUP 180x180x12.5</v>
      </c>
    </row>
    <row r="319" spans="1:3" x14ac:dyDescent="0.3">
      <c r="A319" t="str">
        <f>IF(AND(FORSIDE!$B$8&gt;=10,FORSIDE!$F$8&gt;=1,FORSIDE!$B$5&gt;=8),"S318","")</f>
        <v/>
      </c>
      <c r="B319" t="str">
        <f>IF(AND(FORSIDE!$B$8&gt;=10,FORSIDE!$F$8&gt;=1,FORSIDE!$B$5&gt;=8),"349 -&gt; 350","")</f>
        <v/>
      </c>
      <c r="C319" t="str">
        <f>FORSIDE!$C$4</f>
        <v>S355, Stål / KFHUP 180x180x12.5</v>
      </c>
    </row>
    <row r="320" spans="1:3" x14ac:dyDescent="0.3">
      <c r="A320" t="str">
        <f>IF(AND(FORSIDE!$B$8&gt;=10,FORSIDE!$F$8&gt;=1,FORSIDE!$B$5&gt;=9),"S319","")</f>
        <v/>
      </c>
      <c r="B320" t="str">
        <f>IF(AND(FORSIDE!$B$8&gt;=10,FORSIDE!$F$8&gt;=1,FORSIDE!$B$5&gt;=9),"350 -&gt; 351","")</f>
        <v/>
      </c>
      <c r="C320" t="str">
        <f>FORSIDE!$C$4</f>
        <v>S355, Stål / KFHUP 180x180x12.5</v>
      </c>
    </row>
    <row r="321" spans="1:3" x14ac:dyDescent="0.3">
      <c r="A321" t="str">
        <f>IF(AND(FORSIDE!$B$8&gt;=10,FORSIDE!$F$8&gt;=1,FORSIDE!$B$5&gt;=10),"S320","")</f>
        <v/>
      </c>
      <c r="B321" t="str">
        <f>IF(AND(FORSIDE!$B$8&gt;=10,FORSIDE!$F$8&gt;=1,FORSIDE!$B$5&gt;=10),"351 -&gt; 352","")</f>
        <v/>
      </c>
      <c r="C321" t="str">
        <f>FORSIDE!$C$4</f>
        <v>S355, Stål / KFHUP 180x180x12.5</v>
      </c>
    </row>
    <row r="322" spans="1:3" x14ac:dyDescent="0.3">
      <c r="A322" t="str">
        <f>IF(AND(FORSIDE!$B$8&gt;=11,FORSIDE!$F$8&gt;=1,FORSIDE!$B$5&gt;=1),"S321","")</f>
        <v/>
      </c>
      <c r="B322" t="str">
        <f>IF(AND(FORSIDE!$B$8&gt;=11,FORSIDE!$F$8&gt;=1,FORSIDE!$B$5&gt;=1),"353 -&gt; 354","")</f>
        <v/>
      </c>
      <c r="C322" t="str">
        <f>FORSIDE!$C$4</f>
        <v>S355, Stål / KFHUP 180x180x12.5</v>
      </c>
    </row>
    <row r="323" spans="1:3" x14ac:dyDescent="0.3">
      <c r="A323" t="str">
        <f>IF(AND(FORSIDE!$B$8&gt;=11,FORSIDE!$F$8&gt;=1,FORSIDE!$B$5&gt;=2),"S322","")</f>
        <v/>
      </c>
      <c r="B323" t="str">
        <f>IF(AND(FORSIDE!$B$8&gt;=11,FORSIDE!$F$8&gt;=1,FORSIDE!$B$5&gt;=2),"354 -&gt; 355","")</f>
        <v/>
      </c>
      <c r="C323" t="str">
        <f>FORSIDE!$C$4</f>
        <v>S355, Stål / KFHUP 180x180x12.5</v>
      </c>
    </row>
    <row r="324" spans="1:3" x14ac:dyDescent="0.3">
      <c r="A324" t="str">
        <f>IF(AND(FORSIDE!$B$8&gt;=11,FORSIDE!$F$8&gt;=1,FORSIDE!$B$5&gt;=3),"S323","")</f>
        <v/>
      </c>
      <c r="B324" t="str">
        <f>IF(AND(FORSIDE!$B$8&gt;=11,FORSIDE!$F$8&gt;=1,FORSIDE!$B$5&gt;=3),"355 -&gt; 356","")</f>
        <v/>
      </c>
      <c r="C324" t="str">
        <f>FORSIDE!$C$4</f>
        <v>S355, Stål / KFHUP 180x180x12.5</v>
      </c>
    </row>
    <row r="325" spans="1:3" x14ac:dyDescent="0.3">
      <c r="A325" t="str">
        <f>IF(AND(FORSIDE!$B$8&gt;=11,FORSIDE!$F$8&gt;=1,FORSIDE!$B$5&gt;=4),"S324","")</f>
        <v/>
      </c>
      <c r="B325" t="str">
        <f>IF(AND(FORSIDE!$B$8&gt;=11,FORSIDE!$F$8&gt;=1,FORSIDE!$B$5&gt;=4),"356 -&gt; 357","")</f>
        <v/>
      </c>
      <c r="C325" t="str">
        <f>FORSIDE!$C$4</f>
        <v>S355, Stål / KFHUP 180x180x12.5</v>
      </c>
    </row>
    <row r="326" spans="1:3" x14ac:dyDescent="0.3">
      <c r="A326" t="str">
        <f>IF(AND(FORSIDE!$B$8&gt;=11,FORSIDE!$F$8&gt;=1,FORSIDE!$B$5&gt;=5),"S325","")</f>
        <v/>
      </c>
      <c r="B326" t="str">
        <f>IF(AND(FORSIDE!$B$8&gt;=11,FORSIDE!$F$8&gt;=1,FORSIDE!$B$5&gt;=5),"357 -&gt; 358","")</f>
        <v/>
      </c>
      <c r="C326" t="str">
        <f>FORSIDE!$C$4</f>
        <v>S355, Stål / KFHUP 180x180x12.5</v>
      </c>
    </row>
    <row r="327" spans="1:3" x14ac:dyDescent="0.3">
      <c r="A327" t="str">
        <f>IF(AND(FORSIDE!$B$8&gt;=11,FORSIDE!$F$8&gt;=1,FORSIDE!$B$5&gt;=6),"S326","")</f>
        <v/>
      </c>
      <c r="B327" t="str">
        <f>IF(AND(FORSIDE!$B$8&gt;=11,FORSIDE!$F$8&gt;=1,FORSIDE!$B$5&gt;=6),"358 -&gt; 359","")</f>
        <v/>
      </c>
      <c r="C327" t="str">
        <f>FORSIDE!$C$4</f>
        <v>S355, Stål / KFHUP 180x180x12.5</v>
      </c>
    </row>
    <row r="328" spans="1:3" x14ac:dyDescent="0.3">
      <c r="A328" t="str">
        <f>IF(AND(FORSIDE!$B$8&gt;=11,FORSIDE!$F$8&gt;=1,FORSIDE!$B$5&gt;=7),"S327","")</f>
        <v/>
      </c>
      <c r="B328" t="str">
        <f>IF(AND(FORSIDE!$B$8&gt;=11,FORSIDE!$F$8&gt;=1,FORSIDE!$B$5&gt;=7),"359 -&gt; 360","")</f>
        <v/>
      </c>
      <c r="C328" t="str">
        <f>FORSIDE!$C$4</f>
        <v>S355, Stål / KFHUP 180x180x12.5</v>
      </c>
    </row>
    <row r="329" spans="1:3" x14ac:dyDescent="0.3">
      <c r="A329" t="str">
        <f>IF(AND(FORSIDE!$B$8&gt;=11,FORSIDE!$F$8&gt;=1,FORSIDE!$B$5&gt;=8),"S328","")</f>
        <v/>
      </c>
      <c r="B329" t="str">
        <f>IF(AND(FORSIDE!$B$8&gt;=11,FORSIDE!$F$8&gt;=1,FORSIDE!$B$5&gt;=8),"360 -&gt; 361","")</f>
        <v/>
      </c>
      <c r="C329" t="str">
        <f>FORSIDE!$C$4</f>
        <v>S355, Stål / KFHUP 180x180x12.5</v>
      </c>
    </row>
    <row r="330" spans="1:3" x14ac:dyDescent="0.3">
      <c r="A330" t="str">
        <f>IF(AND(FORSIDE!$B$8&gt;=11,FORSIDE!$F$8&gt;=1,FORSIDE!$B$5&gt;=9),"S329","")</f>
        <v/>
      </c>
      <c r="B330" t="str">
        <f>IF(AND(FORSIDE!$B$8&gt;=11,FORSIDE!$F$8&gt;=1,FORSIDE!$B$5&gt;=9),"361 -&gt; 362","")</f>
        <v/>
      </c>
      <c r="C330" t="str">
        <f>FORSIDE!$C$4</f>
        <v>S355, Stål / KFHUP 180x180x12.5</v>
      </c>
    </row>
    <row r="331" spans="1:3" x14ac:dyDescent="0.3">
      <c r="A331" t="str">
        <f>IF(AND(FORSIDE!$B$8&gt;=11,FORSIDE!$F$8&gt;=1,FORSIDE!$B$5&gt;=10),"S330","")</f>
        <v/>
      </c>
      <c r="B331" t="str">
        <f>IF(AND(FORSIDE!$B$8&gt;=11,FORSIDE!$F$8&gt;=1,FORSIDE!$B$5&gt;=10),"362 -&gt; 363","")</f>
        <v/>
      </c>
      <c r="C331" t="str">
        <f>FORSIDE!$C$4</f>
        <v>S355, Stål / KFHUP 180x180x12.5</v>
      </c>
    </row>
    <row r="332" spans="1:3" x14ac:dyDescent="0.3">
      <c r="A332" t="str">
        <f>IF(AND(FORSIDE!$B$8&gt;=12,FORSIDE!$F$8&gt;=1,FORSIDE!$B$5&gt;=1),"S331","")</f>
        <v/>
      </c>
      <c r="B332" t="str">
        <f>IF(AND(FORSIDE!$B$8&gt;=12,FORSIDE!$F$8&gt;=1,FORSIDE!$B$5&gt;=1),"364 -&gt; 365","")</f>
        <v/>
      </c>
      <c r="C332" t="str">
        <f>FORSIDE!$C$4</f>
        <v>S355, Stål / KFHUP 180x180x12.5</v>
      </c>
    </row>
    <row r="333" spans="1:3" x14ac:dyDescent="0.3">
      <c r="A333" t="str">
        <f>IF(AND(FORSIDE!$B$8&gt;=12,FORSIDE!$F$8&gt;=1,FORSIDE!$B$5&gt;=2),"S332","")</f>
        <v/>
      </c>
      <c r="B333" t="str">
        <f>IF(AND(FORSIDE!$B$8&gt;=12,FORSIDE!$F$8&gt;=1,FORSIDE!$B$5&gt;=2),"365 -&gt; 366","")</f>
        <v/>
      </c>
      <c r="C333" t="str">
        <f>FORSIDE!$C$4</f>
        <v>S355, Stål / KFHUP 180x180x12.5</v>
      </c>
    </row>
    <row r="334" spans="1:3" x14ac:dyDescent="0.3">
      <c r="A334" t="str">
        <f>IF(AND(FORSIDE!$B$8&gt;=12,FORSIDE!$F$8&gt;=1,FORSIDE!$B$5&gt;=3),"S333","")</f>
        <v/>
      </c>
      <c r="B334" t="str">
        <f>IF(AND(FORSIDE!$B$8&gt;=12,FORSIDE!$F$8&gt;=1,FORSIDE!$B$5&gt;=3),"366 -&gt; 367","")</f>
        <v/>
      </c>
      <c r="C334" t="str">
        <f>FORSIDE!$C$4</f>
        <v>S355, Stål / KFHUP 180x180x12.5</v>
      </c>
    </row>
    <row r="335" spans="1:3" x14ac:dyDescent="0.3">
      <c r="A335" t="str">
        <f>IF(AND(FORSIDE!$B$8&gt;=12,FORSIDE!$F$8&gt;=1,FORSIDE!$B$5&gt;=4),"S334","")</f>
        <v/>
      </c>
      <c r="B335" t="str">
        <f>IF(AND(FORSIDE!$B$8&gt;=12,FORSIDE!$F$8&gt;=1,FORSIDE!$B$5&gt;=4),"367 -&gt; 368","")</f>
        <v/>
      </c>
      <c r="C335" t="str">
        <f>FORSIDE!$C$4</f>
        <v>S355, Stål / KFHUP 180x180x12.5</v>
      </c>
    </row>
    <row r="336" spans="1:3" x14ac:dyDescent="0.3">
      <c r="A336" t="str">
        <f>IF(AND(FORSIDE!$B$8&gt;=12,FORSIDE!$F$8&gt;=1,FORSIDE!$B$5&gt;=5),"S335","")</f>
        <v/>
      </c>
      <c r="B336" t="str">
        <f>IF(AND(FORSIDE!$B$8&gt;=12,FORSIDE!$F$8&gt;=1,FORSIDE!$B$5&gt;=5),"368 -&gt; 369","")</f>
        <v/>
      </c>
      <c r="C336" t="str">
        <f>FORSIDE!$C$4</f>
        <v>S355, Stål / KFHUP 180x180x12.5</v>
      </c>
    </row>
    <row r="337" spans="1:3" x14ac:dyDescent="0.3">
      <c r="A337" t="str">
        <f>IF(AND(FORSIDE!$B$8&gt;=12,FORSIDE!$F$8&gt;=1,FORSIDE!$B$5&gt;=6),"S336","")</f>
        <v/>
      </c>
      <c r="B337" t="str">
        <f>IF(AND(FORSIDE!$B$8&gt;=12,FORSIDE!$F$8&gt;=1,FORSIDE!$B$5&gt;=6),"369 -&gt; 370","")</f>
        <v/>
      </c>
      <c r="C337" t="str">
        <f>FORSIDE!$C$4</f>
        <v>S355, Stål / KFHUP 180x180x12.5</v>
      </c>
    </row>
    <row r="338" spans="1:3" x14ac:dyDescent="0.3">
      <c r="A338" t="str">
        <f>IF(AND(FORSIDE!$B$8&gt;=12,FORSIDE!$F$8&gt;=1,FORSIDE!$B$5&gt;=7),"S337","")</f>
        <v/>
      </c>
      <c r="B338" t="str">
        <f>IF(AND(FORSIDE!$B$8&gt;=12,FORSIDE!$F$8&gt;=1,FORSIDE!$B$5&gt;=7),"370 -&gt; 371","")</f>
        <v/>
      </c>
      <c r="C338" t="str">
        <f>FORSIDE!$C$4</f>
        <v>S355, Stål / KFHUP 180x180x12.5</v>
      </c>
    </row>
    <row r="339" spans="1:3" x14ac:dyDescent="0.3">
      <c r="A339" t="str">
        <f>IF(AND(FORSIDE!$B$8&gt;=12,FORSIDE!$F$8&gt;=1,FORSIDE!$B$5&gt;=8),"S338","")</f>
        <v/>
      </c>
      <c r="B339" t="str">
        <f>IF(AND(FORSIDE!$B$8&gt;=12,FORSIDE!$F$8&gt;=1,FORSIDE!$B$5&gt;=8),"371 -&gt; 372","")</f>
        <v/>
      </c>
      <c r="C339" t="str">
        <f>FORSIDE!$C$4</f>
        <v>S355, Stål / KFHUP 180x180x12.5</v>
      </c>
    </row>
    <row r="340" spans="1:3" x14ac:dyDescent="0.3">
      <c r="A340" t="str">
        <f>IF(AND(FORSIDE!$B$8&gt;=12,FORSIDE!$F$8&gt;=1,FORSIDE!$B$5&gt;=9),"S339","")</f>
        <v/>
      </c>
      <c r="B340" t="str">
        <f>IF(AND(FORSIDE!$B$8&gt;=12,FORSIDE!$F$8&gt;=1,FORSIDE!$B$5&gt;=9),"372 -&gt; 373","")</f>
        <v/>
      </c>
      <c r="C340" t="str">
        <f>FORSIDE!$C$4</f>
        <v>S355, Stål / KFHUP 180x180x12.5</v>
      </c>
    </row>
    <row r="341" spans="1:3" x14ac:dyDescent="0.3">
      <c r="A341" t="str">
        <f>IF(AND(FORSIDE!$B$8&gt;=12,FORSIDE!$F$8&gt;=1,FORSIDE!$B$5&gt;=10),"S340","")</f>
        <v/>
      </c>
      <c r="B341" t="str">
        <f>IF(AND(FORSIDE!$B$8&gt;=12,FORSIDE!$F$8&gt;=1,FORSIDE!$B$5&gt;=10),"373 -&gt; 374","")</f>
        <v/>
      </c>
      <c r="C341" t="str">
        <f>FORSIDE!$C$4</f>
        <v>S355, Stål / KFHUP 180x180x12.5</v>
      </c>
    </row>
    <row r="342" spans="1:3" x14ac:dyDescent="0.3">
      <c r="A342" t="str">
        <f>IF(AND(FORSIDE!$B$8&gt;=13,FORSIDE!$F$8&gt;=1,FORSIDE!$B$5&gt;=1),"S341","")</f>
        <v/>
      </c>
      <c r="B342" t="str">
        <f>IF(AND(FORSIDE!$B$8&gt;=13,FORSIDE!$F$8&gt;=1,FORSIDE!$B$5&gt;=1),"375 -&gt; 376","")</f>
        <v/>
      </c>
      <c r="C342" t="str">
        <f>FORSIDE!$C$4</f>
        <v>S355, Stål / KFHUP 180x180x12.5</v>
      </c>
    </row>
    <row r="343" spans="1:3" x14ac:dyDescent="0.3">
      <c r="A343" t="str">
        <f>IF(AND(FORSIDE!$B$8&gt;=13,FORSIDE!$F$8&gt;=1,FORSIDE!$B$5&gt;=2),"S342","")</f>
        <v/>
      </c>
      <c r="B343" t="str">
        <f>IF(AND(FORSIDE!$B$8&gt;=13,FORSIDE!$F$8&gt;=1,FORSIDE!$B$5&gt;=2),"376 -&gt; 377","")</f>
        <v/>
      </c>
      <c r="C343" t="str">
        <f>FORSIDE!$C$4</f>
        <v>S355, Stål / KFHUP 180x180x12.5</v>
      </c>
    </row>
    <row r="344" spans="1:3" x14ac:dyDescent="0.3">
      <c r="A344" t="str">
        <f>IF(AND(FORSIDE!$B$8&gt;=13,FORSIDE!$F$8&gt;=1,FORSIDE!$B$5&gt;=3),"S343","")</f>
        <v/>
      </c>
      <c r="B344" t="str">
        <f>IF(AND(FORSIDE!$B$8&gt;=13,FORSIDE!$F$8&gt;=1,FORSIDE!$B$5&gt;=3),"377 -&gt; 378","")</f>
        <v/>
      </c>
      <c r="C344" t="str">
        <f>FORSIDE!$C$4</f>
        <v>S355, Stål / KFHUP 180x180x12.5</v>
      </c>
    </row>
    <row r="345" spans="1:3" x14ac:dyDescent="0.3">
      <c r="A345" t="str">
        <f>IF(AND(FORSIDE!$B$8&gt;=13,FORSIDE!$F$8&gt;=1,FORSIDE!$B$5&gt;=4),"S344","")</f>
        <v/>
      </c>
      <c r="B345" t="str">
        <f>IF(AND(FORSIDE!$B$8&gt;=13,FORSIDE!$F$8&gt;=1,FORSIDE!$B$5&gt;=4),"378 -&gt; 379","")</f>
        <v/>
      </c>
      <c r="C345" t="str">
        <f>FORSIDE!$C$4</f>
        <v>S355, Stål / KFHUP 180x180x12.5</v>
      </c>
    </row>
    <row r="346" spans="1:3" x14ac:dyDescent="0.3">
      <c r="A346" t="str">
        <f>IF(AND(FORSIDE!$B$8&gt;=13,FORSIDE!$F$8&gt;=1,FORSIDE!$B$5&gt;=5),"S345","")</f>
        <v/>
      </c>
      <c r="B346" t="str">
        <f>IF(AND(FORSIDE!$B$8&gt;=13,FORSIDE!$F$8&gt;=1,FORSIDE!$B$5&gt;=5),"379 -&gt; 380","")</f>
        <v/>
      </c>
      <c r="C346" t="str">
        <f>FORSIDE!$C$4</f>
        <v>S355, Stål / KFHUP 180x180x12.5</v>
      </c>
    </row>
    <row r="347" spans="1:3" x14ac:dyDescent="0.3">
      <c r="A347" t="str">
        <f>IF(AND(FORSIDE!$B$8&gt;=13,FORSIDE!$F$8&gt;=1,FORSIDE!$B$5&gt;=6),"S346","")</f>
        <v/>
      </c>
      <c r="B347" t="str">
        <f>IF(AND(FORSIDE!$B$8&gt;=13,FORSIDE!$F$8&gt;=1,FORSIDE!$B$5&gt;=6),"380 -&gt; 381","")</f>
        <v/>
      </c>
      <c r="C347" t="str">
        <f>FORSIDE!$C$4</f>
        <v>S355, Stål / KFHUP 180x180x12.5</v>
      </c>
    </row>
    <row r="348" spans="1:3" x14ac:dyDescent="0.3">
      <c r="A348" t="str">
        <f>IF(AND(FORSIDE!$B$8&gt;=13,FORSIDE!$F$8&gt;=1,FORSIDE!$B$5&gt;=7),"S347","")</f>
        <v/>
      </c>
      <c r="B348" t="str">
        <f>IF(AND(FORSIDE!$B$8&gt;=13,FORSIDE!$F$8&gt;=1,FORSIDE!$B$5&gt;=7),"381 -&gt; 382","")</f>
        <v/>
      </c>
      <c r="C348" t="str">
        <f>FORSIDE!$C$4</f>
        <v>S355, Stål / KFHUP 180x180x12.5</v>
      </c>
    </row>
    <row r="349" spans="1:3" x14ac:dyDescent="0.3">
      <c r="A349" t="str">
        <f>IF(AND(FORSIDE!$B$8&gt;=13,FORSIDE!$F$8&gt;=1,FORSIDE!$B$5&gt;=8),"S348","")</f>
        <v/>
      </c>
      <c r="B349" t="str">
        <f>IF(AND(FORSIDE!$B$8&gt;=13,FORSIDE!$F$8&gt;=1,FORSIDE!$B$5&gt;=8),"382 -&gt; 383","")</f>
        <v/>
      </c>
      <c r="C349" t="str">
        <f>FORSIDE!$C$4</f>
        <v>S355, Stål / KFHUP 180x180x12.5</v>
      </c>
    </row>
    <row r="350" spans="1:3" x14ac:dyDescent="0.3">
      <c r="A350" t="str">
        <f>IF(AND(FORSIDE!$B$8&gt;=13,FORSIDE!$F$8&gt;=1,FORSIDE!$B$5&gt;=9),"S349","")</f>
        <v/>
      </c>
      <c r="B350" t="str">
        <f>IF(AND(FORSIDE!$B$8&gt;=13,FORSIDE!$F$8&gt;=1,FORSIDE!$B$5&gt;=9),"383 -&gt; 384","")</f>
        <v/>
      </c>
      <c r="C350" t="str">
        <f>FORSIDE!$C$4</f>
        <v>S355, Stål / KFHUP 180x180x12.5</v>
      </c>
    </row>
    <row r="351" spans="1:3" x14ac:dyDescent="0.3">
      <c r="A351" t="str">
        <f>IF(AND(FORSIDE!$B$8&gt;=13,FORSIDE!$F$8&gt;=1,FORSIDE!$B$5&gt;=10),"S350","")</f>
        <v/>
      </c>
      <c r="B351" t="str">
        <f>IF(AND(FORSIDE!$B$8&gt;=13,FORSIDE!$F$8&gt;=1,FORSIDE!$B$5&gt;=10),"384 -&gt; 385","")</f>
        <v/>
      </c>
      <c r="C351" t="str">
        <f>FORSIDE!$C$4</f>
        <v>S355, Stål / KFHUP 180x180x12.5</v>
      </c>
    </row>
    <row r="352" spans="1:3" x14ac:dyDescent="0.3">
      <c r="A352" t="str">
        <f>IF(AND(FORSIDE!$B$8&gt;=14,FORSIDE!$F$8&gt;=1,FORSIDE!$B$5&gt;=1),"S351","")</f>
        <v/>
      </c>
      <c r="B352" t="str">
        <f>IF(AND(FORSIDE!$B$8&gt;=14,FORSIDE!$F$8&gt;=1,FORSIDE!$B$5&gt;=1),"386 -&gt; 387","")</f>
        <v/>
      </c>
      <c r="C352" t="str">
        <f>FORSIDE!$C$4</f>
        <v>S355, Stål / KFHUP 180x180x12.5</v>
      </c>
    </row>
    <row r="353" spans="1:3" x14ac:dyDescent="0.3">
      <c r="A353" t="str">
        <f>IF(AND(FORSIDE!$B$8&gt;=14,FORSIDE!$F$8&gt;=1,FORSIDE!$B$5&gt;=2),"S352","")</f>
        <v/>
      </c>
      <c r="B353" t="str">
        <f>IF(AND(FORSIDE!$B$8&gt;=14,FORSIDE!$F$8&gt;=1,FORSIDE!$B$5&gt;=2),"387 -&gt; 388","")</f>
        <v/>
      </c>
      <c r="C353" t="str">
        <f>FORSIDE!$C$4</f>
        <v>S355, Stål / KFHUP 180x180x12.5</v>
      </c>
    </row>
    <row r="354" spans="1:3" x14ac:dyDescent="0.3">
      <c r="A354" t="str">
        <f>IF(AND(FORSIDE!$B$8&gt;=14,FORSIDE!$F$8&gt;=1,FORSIDE!$B$5&gt;=3),"S353","")</f>
        <v/>
      </c>
      <c r="B354" t="str">
        <f>IF(AND(FORSIDE!$B$8&gt;=14,FORSIDE!$F$8&gt;=1,FORSIDE!$B$5&gt;=3),"388 -&gt; 389","")</f>
        <v/>
      </c>
      <c r="C354" t="str">
        <f>FORSIDE!$C$4</f>
        <v>S355, Stål / KFHUP 180x180x12.5</v>
      </c>
    </row>
    <row r="355" spans="1:3" x14ac:dyDescent="0.3">
      <c r="A355" t="str">
        <f>IF(AND(FORSIDE!$B$8&gt;=14,FORSIDE!$F$8&gt;=1,FORSIDE!$B$5&gt;=4),"S354","")</f>
        <v/>
      </c>
      <c r="B355" t="str">
        <f>IF(AND(FORSIDE!$B$8&gt;=14,FORSIDE!$F$8&gt;=1,FORSIDE!$B$5&gt;=4),"389 -&gt; 390","")</f>
        <v/>
      </c>
      <c r="C355" t="str">
        <f>FORSIDE!$C$4</f>
        <v>S355, Stål / KFHUP 180x180x12.5</v>
      </c>
    </row>
    <row r="356" spans="1:3" x14ac:dyDescent="0.3">
      <c r="A356" t="str">
        <f>IF(AND(FORSIDE!$B$8&gt;=14,FORSIDE!$F$8&gt;=1,FORSIDE!$B$5&gt;=5),"S355","")</f>
        <v/>
      </c>
      <c r="B356" t="str">
        <f>IF(AND(FORSIDE!$B$8&gt;=14,FORSIDE!$F$8&gt;=1,FORSIDE!$B$5&gt;=5),"390 -&gt; 391","")</f>
        <v/>
      </c>
      <c r="C356" t="str">
        <f>FORSIDE!$C$4</f>
        <v>S355, Stål / KFHUP 180x180x12.5</v>
      </c>
    </row>
    <row r="357" spans="1:3" x14ac:dyDescent="0.3">
      <c r="A357" t="str">
        <f>IF(AND(FORSIDE!$B$8&gt;=14,FORSIDE!$F$8&gt;=1,FORSIDE!$B$5&gt;=6),"S356","")</f>
        <v/>
      </c>
      <c r="B357" t="str">
        <f>IF(AND(FORSIDE!$B$8&gt;=14,FORSIDE!$F$8&gt;=1,FORSIDE!$B$5&gt;=6),"391 -&gt; 392","")</f>
        <v/>
      </c>
      <c r="C357" t="str">
        <f>FORSIDE!$C$4</f>
        <v>S355, Stål / KFHUP 180x180x12.5</v>
      </c>
    </row>
    <row r="358" spans="1:3" x14ac:dyDescent="0.3">
      <c r="A358" t="str">
        <f>IF(AND(FORSIDE!$B$8&gt;=14,FORSIDE!$F$8&gt;=1,FORSIDE!$B$5&gt;=7),"S357","")</f>
        <v/>
      </c>
      <c r="B358" t="str">
        <f>IF(AND(FORSIDE!$B$8&gt;=14,FORSIDE!$F$8&gt;=1,FORSIDE!$B$5&gt;=7),"392 -&gt; 393","")</f>
        <v/>
      </c>
      <c r="C358" t="str">
        <f>FORSIDE!$C$4</f>
        <v>S355, Stål / KFHUP 180x180x12.5</v>
      </c>
    </row>
    <row r="359" spans="1:3" x14ac:dyDescent="0.3">
      <c r="A359" t="str">
        <f>IF(AND(FORSIDE!$B$8&gt;=14,FORSIDE!$F$8&gt;=1,FORSIDE!$B$5&gt;=8),"S358","")</f>
        <v/>
      </c>
      <c r="B359" t="str">
        <f>IF(AND(FORSIDE!$B$8&gt;=14,FORSIDE!$F$8&gt;=1,FORSIDE!$B$5&gt;=8),"393 -&gt; 394","")</f>
        <v/>
      </c>
      <c r="C359" t="str">
        <f>FORSIDE!$C$4</f>
        <v>S355, Stål / KFHUP 180x180x12.5</v>
      </c>
    </row>
    <row r="360" spans="1:3" x14ac:dyDescent="0.3">
      <c r="A360" t="str">
        <f>IF(AND(FORSIDE!$B$8&gt;=14,FORSIDE!$F$8&gt;=1,FORSIDE!$B$5&gt;=9),"S359","")</f>
        <v/>
      </c>
      <c r="B360" t="str">
        <f>IF(AND(FORSIDE!$B$8&gt;=14,FORSIDE!$F$8&gt;=1,FORSIDE!$B$5&gt;=9),"394 -&gt; 395","")</f>
        <v/>
      </c>
      <c r="C360" t="str">
        <f>FORSIDE!$C$4</f>
        <v>S355, Stål / KFHUP 180x180x12.5</v>
      </c>
    </row>
    <row r="361" spans="1:3" x14ac:dyDescent="0.3">
      <c r="A361" t="str">
        <f>IF(AND(FORSIDE!$B$8&gt;=14,FORSIDE!$F$8&gt;=1,FORSIDE!$B$5&gt;=10),"S360","")</f>
        <v/>
      </c>
      <c r="B361" t="str">
        <f>IF(AND(FORSIDE!$B$8&gt;=14,FORSIDE!$F$8&gt;=1,FORSIDE!$B$5&gt;=10),"395 -&gt; 396","")</f>
        <v/>
      </c>
      <c r="C361" t="str">
        <f>FORSIDE!$C$4</f>
        <v>S355, Stål / KFHUP 180x180x12.5</v>
      </c>
    </row>
    <row r="362" spans="1:3" x14ac:dyDescent="0.3">
      <c r="A362" t="str">
        <f>IF(AND(FORSIDE!$B$8&gt;=15,FORSIDE!$F$8&gt;=1,FORSIDE!$B$5&gt;=1),"S361","")</f>
        <v/>
      </c>
      <c r="B362" t="str">
        <f>IF(AND(FORSIDE!$B$8&gt;=15,FORSIDE!$F$8&gt;=1,FORSIDE!$B$5&gt;=1),"397 -&gt; 398","")</f>
        <v/>
      </c>
      <c r="C362" t="str">
        <f>FORSIDE!$C$4</f>
        <v>S355, Stål / KFHUP 180x180x12.5</v>
      </c>
    </row>
    <row r="363" spans="1:3" x14ac:dyDescent="0.3">
      <c r="A363" t="str">
        <f>IF(AND(FORSIDE!$B$8&gt;=15,FORSIDE!$F$8&gt;=1,FORSIDE!$B$5&gt;=2),"S362","")</f>
        <v/>
      </c>
      <c r="B363" t="str">
        <f>IF(AND(FORSIDE!$B$8&gt;=15,FORSIDE!$F$8&gt;=1,FORSIDE!$B$5&gt;=2),"398 -&gt; 399","")</f>
        <v/>
      </c>
      <c r="C363" t="str">
        <f>FORSIDE!$C$4</f>
        <v>S355, Stål / KFHUP 180x180x12.5</v>
      </c>
    </row>
    <row r="364" spans="1:3" x14ac:dyDescent="0.3">
      <c r="A364" t="str">
        <f>IF(AND(FORSIDE!$B$8&gt;=15,FORSIDE!$F$8&gt;=1,FORSIDE!$B$5&gt;=3),"S363","")</f>
        <v/>
      </c>
      <c r="B364" t="str">
        <f>IF(AND(FORSIDE!$B$8&gt;=15,FORSIDE!$F$8&gt;=1,FORSIDE!$B$5&gt;=3),"399 -&gt; 400","")</f>
        <v/>
      </c>
      <c r="C364" t="str">
        <f>FORSIDE!$C$4</f>
        <v>S355, Stål / KFHUP 180x180x12.5</v>
      </c>
    </row>
    <row r="365" spans="1:3" x14ac:dyDescent="0.3">
      <c r="A365" t="str">
        <f>IF(AND(FORSIDE!$B$8&gt;=15,FORSIDE!$F$8&gt;=1,FORSIDE!$B$5&gt;=4),"S364","")</f>
        <v/>
      </c>
      <c r="B365" t="str">
        <f>IF(AND(FORSIDE!$B$8&gt;=15,FORSIDE!$F$8&gt;=1,FORSIDE!$B$5&gt;=4),"400 -&gt; 401","")</f>
        <v/>
      </c>
      <c r="C365" t="str">
        <f>FORSIDE!$C$4</f>
        <v>S355, Stål / KFHUP 180x180x12.5</v>
      </c>
    </row>
    <row r="366" spans="1:3" x14ac:dyDescent="0.3">
      <c r="A366" t="str">
        <f>IF(AND(FORSIDE!$B$8&gt;=15,FORSIDE!$F$8&gt;=1,FORSIDE!$B$5&gt;=5),"S365","")</f>
        <v/>
      </c>
      <c r="B366" t="str">
        <f>IF(AND(FORSIDE!$B$8&gt;=15,FORSIDE!$F$8&gt;=1,FORSIDE!$B$5&gt;=5),"401 -&gt; 402","")</f>
        <v/>
      </c>
      <c r="C366" t="str">
        <f>FORSIDE!$C$4</f>
        <v>S355, Stål / KFHUP 180x180x12.5</v>
      </c>
    </row>
    <row r="367" spans="1:3" x14ac:dyDescent="0.3">
      <c r="A367" t="str">
        <f>IF(AND(FORSIDE!$B$8&gt;=15,FORSIDE!$F$8&gt;=1,FORSIDE!$B$5&gt;=6),"S366","")</f>
        <v/>
      </c>
      <c r="B367" t="str">
        <f>IF(AND(FORSIDE!$B$8&gt;=15,FORSIDE!$F$8&gt;=1,FORSIDE!$B$5&gt;=6),"402 -&gt; 403","")</f>
        <v/>
      </c>
      <c r="C367" t="str">
        <f>FORSIDE!$C$4</f>
        <v>S355, Stål / KFHUP 180x180x12.5</v>
      </c>
    </row>
    <row r="368" spans="1:3" x14ac:dyDescent="0.3">
      <c r="A368" t="str">
        <f>IF(AND(FORSIDE!$B$8&gt;=15,FORSIDE!$F$8&gt;=1,FORSIDE!$B$5&gt;=7),"S367","")</f>
        <v/>
      </c>
      <c r="B368" t="str">
        <f>IF(AND(FORSIDE!$B$8&gt;=15,FORSIDE!$F$8&gt;=1,FORSIDE!$B$5&gt;=7),"403 -&gt; 404","")</f>
        <v/>
      </c>
      <c r="C368" t="str">
        <f>FORSIDE!$C$4</f>
        <v>S355, Stål / KFHUP 180x180x12.5</v>
      </c>
    </row>
    <row r="369" spans="1:3" x14ac:dyDescent="0.3">
      <c r="A369" t="str">
        <f>IF(AND(FORSIDE!$B$8&gt;=15,FORSIDE!$F$8&gt;=1,FORSIDE!$B$5&gt;=8),"S368","")</f>
        <v/>
      </c>
      <c r="B369" t="str">
        <f>IF(AND(FORSIDE!$B$8&gt;=15,FORSIDE!$F$8&gt;=1,FORSIDE!$B$5&gt;=8),"404 -&gt; 405","")</f>
        <v/>
      </c>
      <c r="C369" t="str">
        <f>FORSIDE!$C$4</f>
        <v>S355, Stål / KFHUP 180x180x12.5</v>
      </c>
    </row>
    <row r="370" spans="1:3" x14ac:dyDescent="0.3">
      <c r="A370" t="str">
        <f>IF(AND(FORSIDE!$B$8&gt;=15,FORSIDE!$F$8&gt;=1,FORSIDE!$B$5&gt;=9),"S369","")</f>
        <v/>
      </c>
      <c r="B370" t="str">
        <f>IF(AND(FORSIDE!$B$8&gt;=15,FORSIDE!$F$8&gt;=1,FORSIDE!$B$5&gt;=9),"405 -&gt; 406","")</f>
        <v/>
      </c>
      <c r="C370" t="str">
        <f>FORSIDE!$C$4</f>
        <v>S355, Stål / KFHUP 180x180x12.5</v>
      </c>
    </row>
    <row r="371" spans="1:3" x14ac:dyDescent="0.3">
      <c r="A371" t="str">
        <f>IF(AND(FORSIDE!$B$8&gt;=15,FORSIDE!$F$8&gt;=1,FORSIDE!$B$5&gt;=10),"S370","")</f>
        <v/>
      </c>
      <c r="B371" t="str">
        <f>IF(AND(FORSIDE!$B$8&gt;=15,FORSIDE!$F$8&gt;=1,FORSIDE!$B$5&gt;=10),"406 -&gt; 407","")</f>
        <v/>
      </c>
      <c r="C371" t="str">
        <f>FORSIDE!$C$4</f>
        <v>S355, Stål / KFHUP 180x180x12.5</v>
      </c>
    </row>
    <row r="372" spans="1:3" x14ac:dyDescent="0.3">
      <c r="A372" t="str">
        <f>IF(AND(FORSIDE!$B$8&gt;=16,FORSIDE!$F$8&gt;=1,FORSIDE!$B$5&gt;=1),"S371","")</f>
        <v/>
      </c>
      <c r="B372" t="str">
        <f>IF(AND(FORSIDE!$B$8&gt;=16,FORSIDE!$F$8&gt;=1,FORSIDE!$B$5&gt;=1),"408 -&gt; 409","")</f>
        <v/>
      </c>
      <c r="C372" t="str">
        <f>FORSIDE!$C$4</f>
        <v>S355, Stål / KFHUP 180x180x12.5</v>
      </c>
    </row>
    <row r="373" spans="1:3" x14ac:dyDescent="0.3">
      <c r="A373" t="str">
        <f>IF(AND(FORSIDE!$B$8&gt;=16,FORSIDE!$F$8&gt;=1,FORSIDE!$B$5&gt;=2),"S372","")</f>
        <v/>
      </c>
      <c r="B373" t="str">
        <f>IF(AND(FORSIDE!$B$8&gt;=16,FORSIDE!$F$8&gt;=1,FORSIDE!$B$5&gt;=2),"409 -&gt; 410","")</f>
        <v/>
      </c>
      <c r="C373" t="str">
        <f>FORSIDE!$C$4</f>
        <v>S355, Stål / KFHUP 180x180x12.5</v>
      </c>
    </row>
    <row r="374" spans="1:3" x14ac:dyDescent="0.3">
      <c r="A374" t="str">
        <f>IF(AND(FORSIDE!$B$8&gt;=16,FORSIDE!$F$8&gt;=1,FORSIDE!$B$5&gt;=3),"S373","")</f>
        <v/>
      </c>
      <c r="B374" t="str">
        <f>IF(AND(FORSIDE!$B$8&gt;=16,FORSIDE!$F$8&gt;=1,FORSIDE!$B$5&gt;=3),"410 -&gt; 411","")</f>
        <v/>
      </c>
      <c r="C374" t="str">
        <f>FORSIDE!$C$4</f>
        <v>S355, Stål / KFHUP 180x180x12.5</v>
      </c>
    </row>
    <row r="375" spans="1:3" x14ac:dyDescent="0.3">
      <c r="A375" t="str">
        <f>IF(AND(FORSIDE!$B$8&gt;=16,FORSIDE!$F$8&gt;=1,FORSIDE!$B$5&gt;=4),"S374","")</f>
        <v/>
      </c>
      <c r="B375" t="str">
        <f>IF(AND(FORSIDE!$B$8&gt;=16,FORSIDE!$F$8&gt;=1,FORSIDE!$B$5&gt;=4),"411 -&gt; 412","")</f>
        <v/>
      </c>
      <c r="C375" t="str">
        <f>FORSIDE!$C$4</f>
        <v>S355, Stål / KFHUP 180x180x12.5</v>
      </c>
    </row>
    <row r="376" spans="1:3" x14ac:dyDescent="0.3">
      <c r="A376" t="str">
        <f>IF(AND(FORSIDE!$B$8&gt;=16,FORSIDE!$F$8&gt;=1,FORSIDE!$B$5&gt;=5),"S375","")</f>
        <v/>
      </c>
      <c r="B376" t="str">
        <f>IF(AND(FORSIDE!$B$8&gt;=16,FORSIDE!$F$8&gt;=1,FORSIDE!$B$5&gt;=5),"412 -&gt; 413","")</f>
        <v/>
      </c>
      <c r="C376" t="str">
        <f>FORSIDE!$C$4</f>
        <v>S355, Stål / KFHUP 180x180x12.5</v>
      </c>
    </row>
    <row r="377" spans="1:3" x14ac:dyDescent="0.3">
      <c r="A377" t="str">
        <f>IF(AND(FORSIDE!$B$8&gt;=16,FORSIDE!$F$8&gt;=1,FORSIDE!$B$5&gt;=6),"S376","")</f>
        <v/>
      </c>
      <c r="B377" t="str">
        <f>IF(AND(FORSIDE!$B$8&gt;=16,FORSIDE!$F$8&gt;=1,FORSIDE!$B$5&gt;=6),"413 -&gt; 414","")</f>
        <v/>
      </c>
      <c r="C377" t="str">
        <f>FORSIDE!$C$4</f>
        <v>S355, Stål / KFHUP 180x180x12.5</v>
      </c>
    </row>
    <row r="378" spans="1:3" x14ac:dyDescent="0.3">
      <c r="A378" t="str">
        <f>IF(AND(FORSIDE!$B$8&gt;=16,FORSIDE!$F$8&gt;=1,FORSIDE!$B$5&gt;=7),"S377","")</f>
        <v/>
      </c>
      <c r="B378" t="str">
        <f>IF(AND(FORSIDE!$B$8&gt;=16,FORSIDE!$F$8&gt;=1,FORSIDE!$B$5&gt;=7),"414 -&gt; 415","")</f>
        <v/>
      </c>
      <c r="C378" t="str">
        <f>FORSIDE!$C$4</f>
        <v>S355, Stål / KFHUP 180x180x12.5</v>
      </c>
    </row>
    <row r="379" spans="1:3" x14ac:dyDescent="0.3">
      <c r="A379" t="str">
        <f>IF(AND(FORSIDE!$B$8&gt;=16,FORSIDE!$F$8&gt;=1,FORSIDE!$B$5&gt;=8),"S378","")</f>
        <v/>
      </c>
      <c r="B379" t="str">
        <f>IF(AND(FORSIDE!$B$8&gt;=16,FORSIDE!$F$8&gt;=1,FORSIDE!$B$5&gt;=8),"415 -&gt; 416","")</f>
        <v/>
      </c>
      <c r="C379" t="str">
        <f>FORSIDE!$C$4</f>
        <v>S355, Stål / KFHUP 180x180x12.5</v>
      </c>
    </row>
    <row r="380" spans="1:3" x14ac:dyDescent="0.3">
      <c r="A380" t="str">
        <f>IF(AND(FORSIDE!$B$8&gt;=16,FORSIDE!$F$8&gt;=1,FORSIDE!$B$5&gt;=9),"S379","")</f>
        <v/>
      </c>
      <c r="B380" t="str">
        <f>IF(AND(FORSIDE!$B$8&gt;=16,FORSIDE!$F$8&gt;=1,FORSIDE!$B$5&gt;=9),"416 -&gt; 417","")</f>
        <v/>
      </c>
      <c r="C380" t="str">
        <f>FORSIDE!$C$4</f>
        <v>S355, Stål / KFHUP 180x180x12.5</v>
      </c>
    </row>
    <row r="381" spans="1:3" x14ac:dyDescent="0.3">
      <c r="A381" t="str">
        <f>IF(AND(FORSIDE!$B$8&gt;=16,FORSIDE!$F$8&gt;=1,FORSIDE!$B$5&gt;=10),"S380","")</f>
        <v/>
      </c>
      <c r="B381" t="str">
        <f>IF(AND(FORSIDE!$B$8&gt;=16,FORSIDE!$F$8&gt;=1,FORSIDE!$B$5&gt;=10),"417 -&gt; 418","")</f>
        <v/>
      </c>
      <c r="C381" t="str">
        <f>FORSIDE!$C$4</f>
        <v>S355, Stål / KFHUP 180x180x12.5</v>
      </c>
    </row>
    <row r="382" spans="1:3" x14ac:dyDescent="0.3">
      <c r="A382" t="str">
        <f>IF(AND(FORSIDE!$B$8&gt;=17,FORSIDE!$F$8&gt;=1,FORSIDE!$B$5&gt;=1),"S381","")</f>
        <v/>
      </c>
      <c r="B382" t="str">
        <f>IF(AND(FORSIDE!$B$8&gt;=17,FORSIDE!$F$8&gt;=1,FORSIDE!$B$5&gt;=1),"419 -&gt; 420","")</f>
        <v/>
      </c>
      <c r="C382" t="str">
        <f>FORSIDE!$C$4</f>
        <v>S355, Stål / KFHUP 180x180x12.5</v>
      </c>
    </row>
    <row r="383" spans="1:3" x14ac:dyDescent="0.3">
      <c r="A383" t="str">
        <f>IF(AND(FORSIDE!$B$8&gt;=17,FORSIDE!$F$8&gt;=1,FORSIDE!$B$5&gt;=2),"S382","")</f>
        <v/>
      </c>
      <c r="B383" t="str">
        <f>IF(AND(FORSIDE!$B$8&gt;=17,FORSIDE!$F$8&gt;=1,FORSIDE!$B$5&gt;=2),"420 -&gt; 421","")</f>
        <v/>
      </c>
      <c r="C383" t="str">
        <f>FORSIDE!$C$4</f>
        <v>S355, Stål / KFHUP 180x180x12.5</v>
      </c>
    </row>
    <row r="384" spans="1:3" x14ac:dyDescent="0.3">
      <c r="A384" t="str">
        <f>IF(AND(FORSIDE!$B$8&gt;=17,FORSIDE!$F$8&gt;=1,FORSIDE!$B$5&gt;=3),"S383","")</f>
        <v/>
      </c>
      <c r="B384" t="str">
        <f>IF(AND(FORSIDE!$B$8&gt;=17,FORSIDE!$F$8&gt;=1,FORSIDE!$B$5&gt;=3),"421 -&gt; 422","")</f>
        <v/>
      </c>
      <c r="C384" t="str">
        <f>FORSIDE!$C$4</f>
        <v>S355, Stål / KFHUP 180x180x12.5</v>
      </c>
    </row>
    <row r="385" spans="1:3" x14ac:dyDescent="0.3">
      <c r="A385" t="str">
        <f>IF(AND(FORSIDE!$B$8&gt;=17,FORSIDE!$F$8&gt;=1,FORSIDE!$B$5&gt;=4),"S384","")</f>
        <v/>
      </c>
      <c r="B385" t="str">
        <f>IF(AND(FORSIDE!$B$8&gt;=17,FORSIDE!$F$8&gt;=1,FORSIDE!$B$5&gt;=4),"422 -&gt; 423","")</f>
        <v/>
      </c>
      <c r="C385" t="str">
        <f>FORSIDE!$C$4</f>
        <v>S355, Stål / KFHUP 180x180x12.5</v>
      </c>
    </row>
    <row r="386" spans="1:3" x14ac:dyDescent="0.3">
      <c r="A386" t="str">
        <f>IF(AND(FORSIDE!$B$8&gt;=17,FORSIDE!$F$8&gt;=1,FORSIDE!$B$5&gt;=5),"S385","")</f>
        <v/>
      </c>
      <c r="B386" t="str">
        <f>IF(AND(FORSIDE!$B$8&gt;=17,FORSIDE!$F$8&gt;=1,FORSIDE!$B$5&gt;=5),"423 -&gt; 424","")</f>
        <v/>
      </c>
      <c r="C386" t="str">
        <f>FORSIDE!$C$4</f>
        <v>S355, Stål / KFHUP 180x180x12.5</v>
      </c>
    </row>
    <row r="387" spans="1:3" x14ac:dyDescent="0.3">
      <c r="A387" t="str">
        <f>IF(AND(FORSIDE!$B$8&gt;=17,FORSIDE!$F$8&gt;=1,FORSIDE!$B$5&gt;=6),"S386","")</f>
        <v/>
      </c>
      <c r="B387" t="str">
        <f>IF(AND(FORSIDE!$B$8&gt;=17,FORSIDE!$F$8&gt;=1,FORSIDE!$B$5&gt;=6),"424 -&gt; 425","")</f>
        <v/>
      </c>
      <c r="C387" t="str">
        <f>FORSIDE!$C$4</f>
        <v>S355, Stål / KFHUP 180x180x12.5</v>
      </c>
    </row>
    <row r="388" spans="1:3" x14ac:dyDescent="0.3">
      <c r="A388" t="str">
        <f>IF(AND(FORSIDE!$B$8&gt;=17,FORSIDE!$F$8&gt;=1,FORSIDE!$B$5&gt;=7),"S387","")</f>
        <v/>
      </c>
      <c r="B388" t="str">
        <f>IF(AND(FORSIDE!$B$8&gt;=17,FORSIDE!$F$8&gt;=1,FORSIDE!$B$5&gt;=7),"425 -&gt; 426","")</f>
        <v/>
      </c>
      <c r="C388" t="str">
        <f>FORSIDE!$C$4</f>
        <v>S355, Stål / KFHUP 180x180x12.5</v>
      </c>
    </row>
    <row r="389" spans="1:3" x14ac:dyDescent="0.3">
      <c r="A389" t="str">
        <f>IF(AND(FORSIDE!$B$8&gt;=17,FORSIDE!$F$8&gt;=1,FORSIDE!$B$5&gt;=8),"S388","")</f>
        <v/>
      </c>
      <c r="B389" t="str">
        <f>IF(AND(FORSIDE!$B$8&gt;=17,FORSIDE!$F$8&gt;=1,FORSIDE!$B$5&gt;=8),"426 -&gt; 427","")</f>
        <v/>
      </c>
      <c r="C389" t="str">
        <f>FORSIDE!$C$4</f>
        <v>S355, Stål / KFHUP 180x180x12.5</v>
      </c>
    </row>
    <row r="390" spans="1:3" x14ac:dyDescent="0.3">
      <c r="A390" t="str">
        <f>IF(AND(FORSIDE!$B$8&gt;=17,FORSIDE!$F$8&gt;=1,FORSIDE!$B$5&gt;=9),"S389","")</f>
        <v/>
      </c>
      <c r="B390" t="str">
        <f>IF(AND(FORSIDE!$B$8&gt;=17,FORSIDE!$F$8&gt;=1,FORSIDE!$B$5&gt;=9),"427 -&gt; 428","")</f>
        <v/>
      </c>
      <c r="C390" t="str">
        <f>FORSIDE!$C$4</f>
        <v>S355, Stål / KFHUP 180x180x12.5</v>
      </c>
    </row>
    <row r="391" spans="1:3" x14ac:dyDescent="0.3">
      <c r="A391" t="str">
        <f>IF(AND(FORSIDE!$B$8&gt;=17,FORSIDE!$F$8&gt;=1,FORSIDE!$B$5&gt;=10),"S390","")</f>
        <v/>
      </c>
      <c r="B391" t="str">
        <f>IF(AND(FORSIDE!$B$8&gt;=17,FORSIDE!$F$8&gt;=1,FORSIDE!$B$5&gt;=10),"428 -&gt; 429","")</f>
        <v/>
      </c>
      <c r="C391" t="str">
        <f>FORSIDE!$C$4</f>
        <v>S355, Stål / KFHUP 180x180x12.5</v>
      </c>
    </row>
    <row r="392" spans="1:3" x14ac:dyDescent="0.3">
      <c r="A392" t="str">
        <f>IF(AND(FORSIDE!$B$8&gt;=18,FORSIDE!$F$8&gt;=1,FORSIDE!$B$5&gt;=1),"S391","")</f>
        <v/>
      </c>
      <c r="B392" t="str">
        <f>IF(AND(FORSIDE!$B$8&gt;=18,FORSIDE!$F$8&gt;=1,FORSIDE!$B$5&gt;=1),"430 -&gt; 431","")</f>
        <v/>
      </c>
      <c r="C392" t="str">
        <f>FORSIDE!$C$4</f>
        <v>S355, Stål / KFHUP 180x180x12.5</v>
      </c>
    </row>
    <row r="393" spans="1:3" x14ac:dyDescent="0.3">
      <c r="A393" t="str">
        <f>IF(AND(FORSIDE!$B$8&gt;=18,FORSIDE!$F$8&gt;=1,FORSIDE!$B$5&gt;=2),"S392","")</f>
        <v/>
      </c>
      <c r="B393" t="str">
        <f>IF(AND(FORSIDE!$B$8&gt;=18,FORSIDE!$F$8&gt;=1,FORSIDE!$B$5&gt;=2),"431 -&gt; 432","")</f>
        <v/>
      </c>
      <c r="C393" t="str">
        <f>FORSIDE!$C$4</f>
        <v>S355, Stål / KFHUP 180x180x12.5</v>
      </c>
    </row>
    <row r="394" spans="1:3" x14ac:dyDescent="0.3">
      <c r="A394" t="str">
        <f>IF(AND(FORSIDE!$B$8&gt;=18,FORSIDE!$F$8&gt;=1,FORSIDE!$B$5&gt;=3),"S393","")</f>
        <v/>
      </c>
      <c r="B394" t="str">
        <f>IF(AND(FORSIDE!$B$8&gt;=18,FORSIDE!$F$8&gt;=1,FORSIDE!$B$5&gt;=3),"432 -&gt; 433","")</f>
        <v/>
      </c>
      <c r="C394" t="str">
        <f>FORSIDE!$C$4</f>
        <v>S355, Stål / KFHUP 180x180x12.5</v>
      </c>
    </row>
    <row r="395" spans="1:3" x14ac:dyDescent="0.3">
      <c r="A395" t="str">
        <f>IF(AND(FORSIDE!$B$8&gt;=18,FORSIDE!$F$8&gt;=1,FORSIDE!$B$5&gt;=4),"S394","")</f>
        <v/>
      </c>
      <c r="B395" t="str">
        <f>IF(AND(FORSIDE!$B$8&gt;=18,FORSIDE!$F$8&gt;=1,FORSIDE!$B$5&gt;=4),"433 -&gt; 434","")</f>
        <v/>
      </c>
      <c r="C395" t="str">
        <f>FORSIDE!$C$4</f>
        <v>S355, Stål / KFHUP 180x180x12.5</v>
      </c>
    </row>
    <row r="396" spans="1:3" x14ac:dyDescent="0.3">
      <c r="A396" t="str">
        <f>IF(AND(FORSIDE!$B$8&gt;=18,FORSIDE!$F$8&gt;=1,FORSIDE!$B$5&gt;=5),"S395","")</f>
        <v/>
      </c>
      <c r="B396" t="str">
        <f>IF(AND(FORSIDE!$B$8&gt;=18,FORSIDE!$F$8&gt;=1,FORSIDE!$B$5&gt;=5),"434 -&gt; 435","")</f>
        <v/>
      </c>
      <c r="C396" t="str">
        <f>FORSIDE!$C$4</f>
        <v>S355, Stål / KFHUP 180x180x12.5</v>
      </c>
    </row>
    <row r="397" spans="1:3" x14ac:dyDescent="0.3">
      <c r="A397" t="str">
        <f>IF(AND(FORSIDE!$B$8&gt;=18,FORSIDE!$F$8&gt;=1,FORSIDE!$B$5&gt;=6),"S396","")</f>
        <v/>
      </c>
      <c r="B397" t="str">
        <f>IF(AND(FORSIDE!$B$8&gt;=18,FORSIDE!$F$8&gt;=1,FORSIDE!$B$5&gt;=6),"435 -&gt; 436","")</f>
        <v/>
      </c>
      <c r="C397" t="str">
        <f>FORSIDE!$C$4</f>
        <v>S355, Stål / KFHUP 180x180x12.5</v>
      </c>
    </row>
    <row r="398" spans="1:3" x14ac:dyDescent="0.3">
      <c r="A398" t="str">
        <f>IF(AND(FORSIDE!$B$8&gt;=18,FORSIDE!$F$8&gt;=1,FORSIDE!$B$5&gt;=7),"S397","")</f>
        <v/>
      </c>
      <c r="B398" t="str">
        <f>IF(AND(FORSIDE!$B$8&gt;=18,FORSIDE!$F$8&gt;=1,FORSIDE!$B$5&gt;=7),"436 -&gt; 437","")</f>
        <v/>
      </c>
      <c r="C398" t="str">
        <f>FORSIDE!$C$4</f>
        <v>S355, Stål / KFHUP 180x180x12.5</v>
      </c>
    </row>
    <row r="399" spans="1:3" x14ac:dyDescent="0.3">
      <c r="A399" t="str">
        <f>IF(AND(FORSIDE!$B$8&gt;=18,FORSIDE!$F$8&gt;=1,FORSIDE!$B$5&gt;=8),"S398","")</f>
        <v/>
      </c>
      <c r="B399" t="str">
        <f>IF(AND(FORSIDE!$B$8&gt;=18,FORSIDE!$F$8&gt;=1,FORSIDE!$B$5&gt;=8),"437 -&gt; 438","")</f>
        <v/>
      </c>
      <c r="C399" t="str">
        <f>FORSIDE!$C$4</f>
        <v>S355, Stål / KFHUP 180x180x12.5</v>
      </c>
    </row>
    <row r="400" spans="1:3" x14ac:dyDescent="0.3">
      <c r="A400" t="str">
        <f>IF(AND(FORSIDE!$B$8&gt;=18,FORSIDE!$F$8&gt;=1,FORSIDE!$B$5&gt;=9),"S399","")</f>
        <v/>
      </c>
      <c r="B400" t="str">
        <f>IF(AND(FORSIDE!$B$8&gt;=18,FORSIDE!$F$8&gt;=1,FORSIDE!$B$5&gt;=9),"438 -&gt; 439","")</f>
        <v/>
      </c>
      <c r="C400" t="str">
        <f>FORSIDE!$C$4</f>
        <v>S355, Stål / KFHUP 180x180x12.5</v>
      </c>
    </row>
    <row r="401" spans="1:3" x14ac:dyDescent="0.3">
      <c r="A401" t="str">
        <f>IF(AND(FORSIDE!$B$8&gt;=18,FORSIDE!$F$8&gt;=1,FORSIDE!$B$5&gt;=10),"S400","")</f>
        <v/>
      </c>
      <c r="B401" t="str">
        <f>IF(AND(FORSIDE!$B$8&gt;=18,FORSIDE!$F$8&gt;=1,FORSIDE!$B$5&gt;=10),"439 -&gt; 440","")</f>
        <v/>
      </c>
      <c r="C401" t="str">
        <f>FORSIDE!$C$4</f>
        <v>S355, Stål / KFHUP 180x180x12.5</v>
      </c>
    </row>
    <row r="402" spans="1:3" x14ac:dyDescent="0.3">
      <c r="A402" t="str">
        <f>IF(AND(FORSIDE!$B$8&gt;=19,FORSIDE!$F$8&gt;=1,FORSIDE!$B$5&gt;=1),"S401","")</f>
        <v/>
      </c>
      <c r="B402" t="str">
        <f>IF(AND(FORSIDE!$B$8&gt;=19,FORSIDE!$F$8&gt;=1,FORSIDE!$B$5&gt;=1),"441 -&gt; 442","")</f>
        <v/>
      </c>
      <c r="C402" t="str">
        <f>FORSIDE!$C$4</f>
        <v>S355, Stål / KFHUP 180x180x12.5</v>
      </c>
    </row>
    <row r="403" spans="1:3" x14ac:dyDescent="0.3">
      <c r="A403" t="str">
        <f>IF(AND(FORSIDE!$B$8&gt;=19,FORSIDE!$F$8&gt;=1,FORSIDE!$B$5&gt;=2),"S402","")</f>
        <v/>
      </c>
      <c r="B403" t="str">
        <f>IF(AND(FORSIDE!$B$8&gt;=19,FORSIDE!$F$8&gt;=1,FORSIDE!$B$5&gt;=2),"442 -&gt; 443","")</f>
        <v/>
      </c>
      <c r="C403" t="str">
        <f>FORSIDE!$C$4</f>
        <v>S355, Stål / KFHUP 180x180x12.5</v>
      </c>
    </row>
    <row r="404" spans="1:3" x14ac:dyDescent="0.3">
      <c r="A404" t="str">
        <f>IF(AND(FORSIDE!$B$8&gt;=19,FORSIDE!$F$8&gt;=1,FORSIDE!$B$5&gt;=3),"S403","")</f>
        <v/>
      </c>
      <c r="B404" t="str">
        <f>IF(AND(FORSIDE!$B$8&gt;=19,FORSIDE!$F$8&gt;=1,FORSIDE!$B$5&gt;=3),"443 -&gt; 444","")</f>
        <v/>
      </c>
      <c r="C404" t="str">
        <f>FORSIDE!$C$4</f>
        <v>S355, Stål / KFHUP 180x180x12.5</v>
      </c>
    </row>
    <row r="405" spans="1:3" x14ac:dyDescent="0.3">
      <c r="A405" t="str">
        <f>IF(AND(FORSIDE!$B$8&gt;=19,FORSIDE!$F$8&gt;=1,FORSIDE!$B$5&gt;=4),"S404","")</f>
        <v/>
      </c>
      <c r="B405" t="str">
        <f>IF(AND(FORSIDE!$B$8&gt;=19,FORSIDE!$F$8&gt;=1,FORSIDE!$B$5&gt;=4),"444 -&gt; 445","")</f>
        <v/>
      </c>
      <c r="C405" t="str">
        <f>FORSIDE!$C$4</f>
        <v>S355, Stål / KFHUP 180x180x12.5</v>
      </c>
    </row>
    <row r="406" spans="1:3" x14ac:dyDescent="0.3">
      <c r="A406" t="str">
        <f>IF(AND(FORSIDE!$B$8&gt;=19,FORSIDE!$F$8&gt;=1,FORSIDE!$B$5&gt;=5),"S405","")</f>
        <v/>
      </c>
      <c r="B406" t="str">
        <f>IF(AND(FORSIDE!$B$8&gt;=19,FORSIDE!$F$8&gt;=1,FORSIDE!$B$5&gt;=5),"445 -&gt; 446","")</f>
        <v/>
      </c>
      <c r="C406" t="str">
        <f>FORSIDE!$C$4</f>
        <v>S355, Stål / KFHUP 180x180x12.5</v>
      </c>
    </row>
    <row r="407" spans="1:3" x14ac:dyDescent="0.3">
      <c r="A407" t="str">
        <f>IF(AND(FORSIDE!$B$8&gt;=19,FORSIDE!$F$8&gt;=1,FORSIDE!$B$5&gt;=6),"S406","")</f>
        <v/>
      </c>
      <c r="B407" t="str">
        <f>IF(AND(FORSIDE!$B$8&gt;=19,FORSIDE!$F$8&gt;=1,FORSIDE!$B$5&gt;=6),"446 -&gt; 447","")</f>
        <v/>
      </c>
      <c r="C407" t="str">
        <f>FORSIDE!$C$4</f>
        <v>S355, Stål / KFHUP 180x180x12.5</v>
      </c>
    </row>
    <row r="408" spans="1:3" x14ac:dyDescent="0.3">
      <c r="A408" t="str">
        <f>IF(AND(FORSIDE!$B$8&gt;=19,FORSIDE!$F$8&gt;=1,FORSIDE!$B$5&gt;=7),"S407","")</f>
        <v/>
      </c>
      <c r="B408" t="str">
        <f>IF(AND(FORSIDE!$B$8&gt;=19,FORSIDE!$F$8&gt;=1,FORSIDE!$B$5&gt;=7),"447 -&gt; 448","")</f>
        <v/>
      </c>
      <c r="C408" t="str">
        <f>FORSIDE!$C$4</f>
        <v>S355, Stål / KFHUP 180x180x12.5</v>
      </c>
    </row>
    <row r="409" spans="1:3" x14ac:dyDescent="0.3">
      <c r="A409" t="str">
        <f>IF(AND(FORSIDE!$B$8&gt;=19,FORSIDE!$F$8&gt;=1,FORSIDE!$B$5&gt;=8),"S408","")</f>
        <v/>
      </c>
      <c r="B409" t="str">
        <f>IF(AND(FORSIDE!$B$8&gt;=19,FORSIDE!$F$8&gt;=1,FORSIDE!$B$5&gt;=8),"448 -&gt; 449","")</f>
        <v/>
      </c>
      <c r="C409" t="str">
        <f>FORSIDE!$C$4</f>
        <v>S355, Stål / KFHUP 180x180x12.5</v>
      </c>
    </row>
    <row r="410" spans="1:3" x14ac:dyDescent="0.3">
      <c r="A410" t="str">
        <f>IF(AND(FORSIDE!$B$8&gt;=19,FORSIDE!$F$8&gt;=1,FORSIDE!$B$5&gt;=9),"S409","")</f>
        <v/>
      </c>
      <c r="B410" t="str">
        <f>IF(AND(FORSIDE!$B$8&gt;=19,FORSIDE!$F$8&gt;=1,FORSIDE!$B$5&gt;=9),"449 -&gt; 450","")</f>
        <v/>
      </c>
      <c r="C410" t="str">
        <f>FORSIDE!$C$4</f>
        <v>S355, Stål / KFHUP 180x180x12.5</v>
      </c>
    </row>
    <row r="411" spans="1:3" x14ac:dyDescent="0.3">
      <c r="A411" t="str">
        <f>IF(AND(FORSIDE!$B$8&gt;=19,FORSIDE!$F$8&gt;=1,FORSIDE!$B$5&gt;=10),"S410","")</f>
        <v/>
      </c>
      <c r="B411" t="str">
        <f>IF(AND(FORSIDE!$B$8&gt;=19,FORSIDE!$F$8&gt;=1,FORSIDE!$B$5&gt;=10),"450 -&gt; 451","")</f>
        <v/>
      </c>
      <c r="C411" t="str">
        <f>FORSIDE!$C$4</f>
        <v>S355, Stål / KFHUP 180x180x12.5</v>
      </c>
    </row>
    <row r="412" spans="1:3" x14ac:dyDescent="0.3">
      <c r="A412" t="str">
        <f>IF(AND(FORSIDE!$B$8&gt;=20,FORSIDE!$F$8&gt;=1,FORSIDE!$B$5&gt;=1),"S411","")</f>
        <v/>
      </c>
      <c r="B412" t="str">
        <f>IF(AND(FORSIDE!$B$8&gt;=20,FORSIDE!$F$8&gt;=1,FORSIDE!$B$5&gt;=1),"452 -&gt; 453","")</f>
        <v/>
      </c>
      <c r="C412" t="str">
        <f>FORSIDE!$C$4</f>
        <v>S355, Stål / KFHUP 180x180x12.5</v>
      </c>
    </row>
    <row r="413" spans="1:3" x14ac:dyDescent="0.3">
      <c r="A413" t="str">
        <f>IF(AND(FORSIDE!$B$8&gt;=20,FORSIDE!$F$8&gt;=1,FORSIDE!$B$5&gt;=2),"S412","")</f>
        <v/>
      </c>
      <c r="B413" t="str">
        <f>IF(AND(FORSIDE!$B$8&gt;=20,FORSIDE!$F$8&gt;=1,FORSIDE!$B$5&gt;=2),"453 -&gt; 454","")</f>
        <v/>
      </c>
      <c r="C413" t="str">
        <f>FORSIDE!$C$4</f>
        <v>S355, Stål / KFHUP 180x180x12.5</v>
      </c>
    </row>
    <row r="414" spans="1:3" x14ac:dyDescent="0.3">
      <c r="A414" t="str">
        <f>IF(AND(FORSIDE!$B$8&gt;=20,FORSIDE!$F$8&gt;=1,FORSIDE!$B$5&gt;=3),"S413","")</f>
        <v/>
      </c>
      <c r="B414" t="str">
        <f>IF(AND(FORSIDE!$B$8&gt;=20,FORSIDE!$F$8&gt;=1,FORSIDE!$B$5&gt;=3),"454 -&gt; 455","")</f>
        <v/>
      </c>
      <c r="C414" t="str">
        <f>FORSIDE!$C$4</f>
        <v>S355, Stål / KFHUP 180x180x12.5</v>
      </c>
    </row>
    <row r="415" spans="1:3" x14ac:dyDescent="0.3">
      <c r="A415" t="str">
        <f>IF(AND(FORSIDE!$B$8&gt;=20,FORSIDE!$F$8&gt;=1,FORSIDE!$B$5&gt;=4),"S414","")</f>
        <v/>
      </c>
      <c r="B415" t="str">
        <f>IF(AND(FORSIDE!$B$8&gt;=20,FORSIDE!$F$8&gt;=1,FORSIDE!$B$5&gt;=4),"455 -&gt; 456","")</f>
        <v/>
      </c>
      <c r="C415" t="str">
        <f>FORSIDE!$C$4</f>
        <v>S355, Stål / KFHUP 180x180x12.5</v>
      </c>
    </row>
    <row r="416" spans="1:3" x14ac:dyDescent="0.3">
      <c r="A416" t="str">
        <f>IF(AND(FORSIDE!$B$8&gt;=20,FORSIDE!$F$8&gt;=1,FORSIDE!$B$5&gt;=5),"S415","")</f>
        <v/>
      </c>
      <c r="B416" t="str">
        <f>IF(AND(FORSIDE!$B$8&gt;=20,FORSIDE!$F$8&gt;=1,FORSIDE!$B$5&gt;=5),"456 -&gt; 457","")</f>
        <v/>
      </c>
      <c r="C416" t="str">
        <f>FORSIDE!$C$4</f>
        <v>S355, Stål / KFHUP 180x180x12.5</v>
      </c>
    </row>
    <row r="417" spans="1:3" x14ac:dyDescent="0.3">
      <c r="A417" t="str">
        <f>IF(AND(FORSIDE!$B$8&gt;=20,FORSIDE!$F$8&gt;=1,FORSIDE!$B$5&gt;=6),"S416","")</f>
        <v/>
      </c>
      <c r="B417" t="str">
        <f>IF(AND(FORSIDE!$B$8&gt;=20,FORSIDE!$F$8&gt;=1,FORSIDE!$B$5&gt;=6),"457 -&gt; 458","")</f>
        <v/>
      </c>
      <c r="C417" t="str">
        <f>FORSIDE!$C$4</f>
        <v>S355, Stål / KFHUP 180x180x12.5</v>
      </c>
    </row>
    <row r="418" spans="1:3" x14ac:dyDescent="0.3">
      <c r="A418" t="str">
        <f>IF(AND(FORSIDE!$B$8&gt;=20,FORSIDE!$F$8&gt;=1,FORSIDE!$B$5&gt;=7),"S417","")</f>
        <v/>
      </c>
      <c r="B418" t="str">
        <f>IF(AND(FORSIDE!$B$8&gt;=20,FORSIDE!$F$8&gt;=1,FORSIDE!$B$5&gt;=7),"458 -&gt; 459","")</f>
        <v/>
      </c>
      <c r="C418" t="str">
        <f>FORSIDE!$C$4</f>
        <v>S355, Stål / KFHUP 180x180x12.5</v>
      </c>
    </row>
    <row r="419" spans="1:3" x14ac:dyDescent="0.3">
      <c r="A419" t="str">
        <f>IF(AND(FORSIDE!$B$8&gt;=20,FORSIDE!$F$8&gt;=1,FORSIDE!$B$5&gt;=8),"S418","")</f>
        <v/>
      </c>
      <c r="B419" t="str">
        <f>IF(AND(FORSIDE!$B$8&gt;=20,FORSIDE!$F$8&gt;=1,FORSIDE!$B$5&gt;=8),"459 -&gt; 460","")</f>
        <v/>
      </c>
      <c r="C419" t="str">
        <f>FORSIDE!$C$4</f>
        <v>S355, Stål / KFHUP 180x180x12.5</v>
      </c>
    </row>
    <row r="420" spans="1:3" x14ac:dyDescent="0.3">
      <c r="A420" t="str">
        <f>IF(AND(FORSIDE!$B$8&gt;=20,FORSIDE!$F$8&gt;=1,FORSIDE!$B$5&gt;=9),"S419","")</f>
        <v/>
      </c>
      <c r="B420" t="str">
        <f>IF(AND(FORSIDE!$B$8&gt;=20,FORSIDE!$F$8&gt;=1,FORSIDE!$B$5&gt;=9),"460 -&gt; 461","")</f>
        <v/>
      </c>
      <c r="C420" t="str">
        <f>FORSIDE!$C$4</f>
        <v>S355, Stål / KFHUP 180x180x12.5</v>
      </c>
    </row>
    <row r="421" spans="1:3" x14ac:dyDescent="0.3">
      <c r="A421" t="str">
        <f>IF(AND(FORSIDE!$B$8&gt;=20,FORSIDE!$F$8&gt;=1,FORSIDE!$B$5&gt;=10),"S420","")</f>
        <v/>
      </c>
      <c r="B421" t="str">
        <f>IF(AND(FORSIDE!$B$8&gt;=20,FORSIDE!$F$8&gt;=1,FORSIDE!$B$5&gt;=10),"461 -&gt; 462","")</f>
        <v/>
      </c>
      <c r="C421" t="str">
        <f>FORSIDE!$C$4</f>
        <v>S355, Stål / KFHUP 180x180x12.5</v>
      </c>
    </row>
    <row r="422" spans="1:3" x14ac:dyDescent="0.3">
      <c r="A422" t="str">
        <f>IF(AND(FORSIDE!$B$8&gt;=0,FORSIDE!$F$8&gt;=2,FORSIDE!$B$5&gt;=1),"S421","")</f>
        <v>S421</v>
      </c>
      <c r="B422" t="str">
        <f>IF(AND(FORSIDE!$B$8&gt;=0,FORSIDE!$F$8&gt;=2,FORSIDE!$B$5&gt;=1),"463 -&gt; 464","")</f>
        <v>463 -&gt; 464</v>
      </c>
      <c r="C422" t="str">
        <f>FORSIDE!$C$4</f>
        <v>S355, Stål / KFHUP 180x180x12.5</v>
      </c>
    </row>
    <row r="423" spans="1:3" x14ac:dyDescent="0.3">
      <c r="A423" t="str">
        <f>IF(AND(FORSIDE!$B$8&gt;=0,FORSIDE!$F$8&gt;=2,FORSIDE!$B$5&gt;=2),"S422","")</f>
        <v>S422</v>
      </c>
      <c r="B423" t="str">
        <f>IF(AND(FORSIDE!$B$8&gt;=0,FORSIDE!$F$8&gt;=2,FORSIDE!$B$5&gt;=2),"464 -&gt; 465","")</f>
        <v>464 -&gt; 465</v>
      </c>
      <c r="C423" t="str">
        <f>FORSIDE!$C$4</f>
        <v>S355, Stål / KFHUP 180x180x12.5</v>
      </c>
    </row>
    <row r="424" spans="1:3" x14ac:dyDescent="0.3">
      <c r="A424" t="str">
        <f>IF(AND(FORSIDE!$B$8&gt;=0,FORSIDE!$F$8&gt;=2,FORSIDE!$B$5&gt;=3),"S423","")</f>
        <v>S423</v>
      </c>
      <c r="B424" t="str">
        <f>IF(AND(FORSIDE!$B$8&gt;=0,FORSIDE!$F$8&gt;=2,FORSIDE!$B$5&gt;=3),"465 -&gt; 466","")</f>
        <v>465 -&gt; 466</v>
      </c>
      <c r="C424" t="str">
        <f>FORSIDE!$C$4</f>
        <v>S355, Stål / KFHUP 180x180x12.5</v>
      </c>
    </row>
    <row r="425" spans="1:3" x14ac:dyDescent="0.3">
      <c r="A425" t="str">
        <f>IF(AND(FORSIDE!$B$8&gt;=0,FORSIDE!$F$8&gt;=2,FORSIDE!$B$5&gt;=4),"S424","")</f>
        <v>S424</v>
      </c>
      <c r="B425" t="str">
        <f>IF(AND(FORSIDE!$B$8&gt;=0,FORSIDE!$F$8&gt;=2,FORSIDE!$B$5&gt;=4),"466 -&gt; 467","")</f>
        <v>466 -&gt; 467</v>
      </c>
      <c r="C425" t="str">
        <f>FORSIDE!$C$4</f>
        <v>S355, Stål / KFHUP 180x180x12.5</v>
      </c>
    </row>
    <row r="426" spans="1:3" x14ac:dyDescent="0.3">
      <c r="A426" t="str">
        <f>IF(AND(FORSIDE!$B$8&gt;=0,FORSIDE!$F$8&gt;=2,FORSIDE!$B$5&gt;=5),"S425","")</f>
        <v>S425</v>
      </c>
      <c r="B426" t="str">
        <f>IF(AND(FORSIDE!$B$8&gt;=0,FORSIDE!$F$8&gt;=2,FORSIDE!$B$5&gt;=5),"467 -&gt; 468","")</f>
        <v>467 -&gt; 468</v>
      </c>
      <c r="C426" t="str">
        <f>FORSIDE!$C$4</f>
        <v>S355, Stål / KFHUP 180x180x12.5</v>
      </c>
    </row>
    <row r="427" spans="1:3" x14ac:dyDescent="0.3">
      <c r="A427" t="str">
        <f>IF(AND(FORSIDE!$B$8&gt;=0,FORSIDE!$F$8&gt;=2,FORSIDE!$B$5&gt;=6),"S426","")</f>
        <v>S426</v>
      </c>
      <c r="B427" t="str">
        <f>IF(AND(FORSIDE!$B$8&gt;=0,FORSIDE!$F$8&gt;=2,FORSIDE!$B$5&gt;=6),"468 -&gt; 469","")</f>
        <v>468 -&gt; 469</v>
      </c>
      <c r="C427" t="str">
        <f>FORSIDE!$C$4</f>
        <v>S355, Stål / KFHUP 180x180x12.5</v>
      </c>
    </row>
    <row r="428" spans="1:3" x14ac:dyDescent="0.3">
      <c r="A428" t="str">
        <f>IF(AND(FORSIDE!$B$8&gt;=0,FORSIDE!$F$8&gt;=2,FORSIDE!$B$5&gt;=7),"S427","")</f>
        <v/>
      </c>
      <c r="B428" t="str">
        <f>IF(AND(FORSIDE!$B$8&gt;=0,FORSIDE!$F$8&gt;=2,FORSIDE!$B$5&gt;=7),"469 -&gt; 470","")</f>
        <v/>
      </c>
      <c r="C428" t="str">
        <f>FORSIDE!$C$4</f>
        <v>S355, Stål / KFHUP 180x180x12.5</v>
      </c>
    </row>
    <row r="429" spans="1:3" x14ac:dyDescent="0.3">
      <c r="A429" t="str">
        <f>IF(AND(FORSIDE!$B$8&gt;=0,FORSIDE!$F$8&gt;=2,FORSIDE!$B$5&gt;=8),"S428","")</f>
        <v/>
      </c>
      <c r="B429" t="str">
        <f>IF(AND(FORSIDE!$B$8&gt;=0,FORSIDE!$F$8&gt;=2,FORSIDE!$B$5&gt;=8),"470 -&gt; 471","")</f>
        <v/>
      </c>
      <c r="C429" t="str">
        <f>FORSIDE!$C$4</f>
        <v>S355, Stål / KFHUP 180x180x12.5</v>
      </c>
    </row>
    <row r="430" spans="1:3" x14ac:dyDescent="0.3">
      <c r="A430" t="str">
        <f>IF(AND(FORSIDE!$B$8&gt;=0,FORSIDE!$F$8&gt;=2,FORSIDE!$B$5&gt;=9),"S429","")</f>
        <v/>
      </c>
      <c r="B430" t="str">
        <f>IF(AND(FORSIDE!$B$8&gt;=0,FORSIDE!$F$8&gt;=2,FORSIDE!$B$5&gt;=9),"471 -&gt; 472","")</f>
        <v/>
      </c>
      <c r="C430" t="str">
        <f>FORSIDE!$C$4</f>
        <v>S355, Stål / KFHUP 180x180x12.5</v>
      </c>
    </row>
    <row r="431" spans="1:3" x14ac:dyDescent="0.3">
      <c r="A431" t="str">
        <f>IF(AND(FORSIDE!$B$8&gt;=0,FORSIDE!$F$8&gt;=2,FORSIDE!$B$5&gt;=10),"S430","")</f>
        <v/>
      </c>
      <c r="B431" t="str">
        <f>IF(AND(FORSIDE!$B$8&gt;=0,FORSIDE!$F$8&gt;=2,FORSIDE!$B$5&gt;=10),"472 -&gt; 473","")</f>
        <v/>
      </c>
      <c r="C431" t="str">
        <f>FORSIDE!$C$4</f>
        <v>S355, Stål / KFHUP 180x180x12.5</v>
      </c>
    </row>
    <row r="432" spans="1:3" x14ac:dyDescent="0.3">
      <c r="A432" t="str">
        <f>IF(AND(FORSIDE!$B$8&gt;=1,FORSIDE!$F$8&gt;=2,FORSIDE!$B$5&gt;=1),"S431","")</f>
        <v>S431</v>
      </c>
      <c r="B432" t="str">
        <f>IF(AND(FORSIDE!$B$8&gt;=1,FORSIDE!$F$8&gt;=2,FORSIDE!$B$5&gt;=1),"474 -&gt; 475","")</f>
        <v>474 -&gt; 475</v>
      </c>
      <c r="C432" t="str">
        <f>FORSIDE!$C$4</f>
        <v>S355, Stål / KFHUP 180x180x12.5</v>
      </c>
    </row>
    <row r="433" spans="1:3" x14ac:dyDescent="0.3">
      <c r="A433" t="str">
        <f>IF(AND(FORSIDE!$B$8&gt;=1,FORSIDE!$F$8&gt;=2,FORSIDE!$B$5&gt;=2),"S432","")</f>
        <v>S432</v>
      </c>
      <c r="B433" t="str">
        <f>IF(AND(FORSIDE!$B$8&gt;=1,FORSIDE!$F$8&gt;=2,FORSIDE!$B$5&gt;=2),"475 -&gt; 476","")</f>
        <v>475 -&gt; 476</v>
      </c>
      <c r="C433" t="str">
        <f>FORSIDE!$C$4</f>
        <v>S355, Stål / KFHUP 180x180x12.5</v>
      </c>
    </row>
    <row r="434" spans="1:3" x14ac:dyDescent="0.3">
      <c r="A434" t="str">
        <f>IF(AND(FORSIDE!$B$8&gt;=1,FORSIDE!$F$8&gt;=2,FORSIDE!$B$5&gt;=3),"S433","")</f>
        <v>S433</v>
      </c>
      <c r="B434" t="str">
        <f>IF(AND(FORSIDE!$B$8&gt;=1,FORSIDE!$F$8&gt;=2,FORSIDE!$B$5&gt;=3),"476 -&gt; 477","")</f>
        <v>476 -&gt; 477</v>
      </c>
      <c r="C434" t="str">
        <f>FORSIDE!$C$4</f>
        <v>S355, Stål / KFHUP 180x180x12.5</v>
      </c>
    </row>
    <row r="435" spans="1:3" x14ac:dyDescent="0.3">
      <c r="A435" t="str">
        <f>IF(AND(FORSIDE!$B$8&gt;=1,FORSIDE!$F$8&gt;=2,FORSIDE!$B$5&gt;=4),"S434","")</f>
        <v>S434</v>
      </c>
      <c r="B435" t="str">
        <f>IF(AND(FORSIDE!$B$8&gt;=1,FORSIDE!$F$8&gt;=2,FORSIDE!$B$5&gt;=4),"477 -&gt; 478","")</f>
        <v>477 -&gt; 478</v>
      </c>
      <c r="C435" t="str">
        <f>FORSIDE!$C$4</f>
        <v>S355, Stål / KFHUP 180x180x12.5</v>
      </c>
    </row>
    <row r="436" spans="1:3" x14ac:dyDescent="0.3">
      <c r="A436" t="str">
        <f>IF(AND(FORSIDE!$B$8&gt;=1,FORSIDE!$F$8&gt;=2,FORSIDE!$B$5&gt;=5),"S435","")</f>
        <v>S435</v>
      </c>
      <c r="B436" t="str">
        <f>IF(AND(FORSIDE!$B$8&gt;=1,FORSIDE!$F$8&gt;=2,FORSIDE!$B$5&gt;=5),"478 -&gt; 479","")</f>
        <v>478 -&gt; 479</v>
      </c>
      <c r="C436" t="str">
        <f>FORSIDE!$C$4</f>
        <v>S355, Stål / KFHUP 180x180x12.5</v>
      </c>
    </row>
    <row r="437" spans="1:3" x14ac:dyDescent="0.3">
      <c r="A437" t="str">
        <f>IF(AND(FORSIDE!$B$8&gt;=1,FORSIDE!$F$8&gt;=2,FORSIDE!$B$5&gt;=6),"S436","")</f>
        <v>S436</v>
      </c>
      <c r="B437" t="str">
        <f>IF(AND(FORSIDE!$B$8&gt;=1,FORSIDE!$F$8&gt;=2,FORSIDE!$B$5&gt;=6),"479 -&gt; 480","")</f>
        <v>479 -&gt; 480</v>
      </c>
      <c r="C437" t="str">
        <f>FORSIDE!$C$4</f>
        <v>S355, Stål / KFHUP 180x180x12.5</v>
      </c>
    </row>
    <row r="438" spans="1:3" x14ac:dyDescent="0.3">
      <c r="A438" t="str">
        <f>IF(AND(FORSIDE!$B$8&gt;=1,FORSIDE!$F$8&gt;=2,FORSIDE!$B$5&gt;=7),"S437","")</f>
        <v/>
      </c>
      <c r="B438" t="str">
        <f>IF(AND(FORSIDE!$B$8&gt;=1,FORSIDE!$F$8&gt;=2,FORSIDE!$B$5&gt;=7),"480 -&gt; 481","")</f>
        <v/>
      </c>
      <c r="C438" t="str">
        <f>FORSIDE!$C$4</f>
        <v>S355, Stål / KFHUP 180x180x12.5</v>
      </c>
    </row>
    <row r="439" spans="1:3" x14ac:dyDescent="0.3">
      <c r="A439" t="str">
        <f>IF(AND(FORSIDE!$B$8&gt;=1,FORSIDE!$F$8&gt;=2,FORSIDE!$B$5&gt;=8),"S438","")</f>
        <v/>
      </c>
      <c r="B439" t="str">
        <f>IF(AND(FORSIDE!$B$8&gt;=1,FORSIDE!$F$8&gt;=2,FORSIDE!$B$5&gt;=8),"481 -&gt; 482","")</f>
        <v/>
      </c>
      <c r="C439" t="str">
        <f>FORSIDE!$C$4</f>
        <v>S355, Stål / KFHUP 180x180x12.5</v>
      </c>
    </row>
    <row r="440" spans="1:3" x14ac:dyDescent="0.3">
      <c r="A440" t="str">
        <f>IF(AND(FORSIDE!$B$8&gt;=1,FORSIDE!$F$8&gt;=2,FORSIDE!$B$5&gt;=9),"S439","")</f>
        <v/>
      </c>
      <c r="B440" t="str">
        <f>IF(AND(FORSIDE!$B$8&gt;=1,FORSIDE!$F$8&gt;=2,FORSIDE!$B$5&gt;=9),"482 -&gt; 483","")</f>
        <v/>
      </c>
      <c r="C440" t="str">
        <f>FORSIDE!$C$4</f>
        <v>S355, Stål / KFHUP 180x180x12.5</v>
      </c>
    </row>
    <row r="441" spans="1:3" x14ac:dyDescent="0.3">
      <c r="A441" t="str">
        <f>IF(AND(FORSIDE!$B$8&gt;=1,FORSIDE!$F$8&gt;=2,FORSIDE!$B$5&gt;=10),"S440","")</f>
        <v/>
      </c>
      <c r="B441" t="str">
        <f>IF(AND(FORSIDE!$B$8&gt;=1,FORSIDE!$F$8&gt;=2,FORSIDE!$B$5&gt;=10),"483 -&gt; 484","")</f>
        <v/>
      </c>
      <c r="C441" t="str">
        <f>FORSIDE!$C$4</f>
        <v>S355, Stål / KFHUP 180x180x12.5</v>
      </c>
    </row>
    <row r="442" spans="1:3" x14ac:dyDescent="0.3">
      <c r="A442" t="str">
        <f>IF(AND(FORSIDE!$B$8&gt;=2,FORSIDE!$F$8&gt;=2,FORSIDE!$B$5&gt;=1),"S441","")</f>
        <v>S441</v>
      </c>
      <c r="B442" t="str">
        <f>IF(AND(FORSIDE!$B$8&gt;=2,FORSIDE!$F$8&gt;=2,FORSIDE!$B$5&gt;=1),"485 -&gt; 486","")</f>
        <v>485 -&gt; 486</v>
      </c>
      <c r="C442" t="str">
        <f>FORSIDE!$C$4</f>
        <v>S355, Stål / KFHUP 180x180x12.5</v>
      </c>
    </row>
    <row r="443" spans="1:3" x14ac:dyDescent="0.3">
      <c r="A443" t="str">
        <f>IF(AND(FORSIDE!$B$8&gt;=2,FORSIDE!$F$8&gt;=2,FORSIDE!$B$5&gt;=2),"S442","")</f>
        <v>S442</v>
      </c>
      <c r="B443" t="str">
        <f>IF(AND(FORSIDE!$B$8&gt;=2,FORSIDE!$F$8&gt;=2,FORSIDE!$B$5&gt;=2),"486 -&gt; 487","")</f>
        <v>486 -&gt; 487</v>
      </c>
      <c r="C443" t="str">
        <f>FORSIDE!$C$4</f>
        <v>S355, Stål / KFHUP 180x180x12.5</v>
      </c>
    </row>
    <row r="444" spans="1:3" x14ac:dyDescent="0.3">
      <c r="A444" t="str">
        <f>IF(AND(FORSIDE!$B$8&gt;=2,FORSIDE!$F$8&gt;=2,FORSIDE!$B$5&gt;=3),"S443","")</f>
        <v>S443</v>
      </c>
      <c r="B444" t="str">
        <f>IF(AND(FORSIDE!$B$8&gt;=2,FORSIDE!$F$8&gt;=2,FORSIDE!$B$5&gt;=3),"487 -&gt; 488","")</f>
        <v>487 -&gt; 488</v>
      </c>
      <c r="C444" t="str">
        <f>FORSIDE!$C$4</f>
        <v>S355, Stål / KFHUP 180x180x12.5</v>
      </c>
    </row>
    <row r="445" spans="1:3" x14ac:dyDescent="0.3">
      <c r="A445" t="str">
        <f>IF(AND(FORSIDE!$B$8&gt;=2,FORSIDE!$F$8&gt;=2,FORSIDE!$B$5&gt;=4),"S444","")</f>
        <v>S444</v>
      </c>
      <c r="B445" t="str">
        <f>IF(AND(FORSIDE!$B$8&gt;=2,FORSIDE!$F$8&gt;=2,FORSIDE!$B$5&gt;=4),"488 -&gt; 489","")</f>
        <v>488 -&gt; 489</v>
      </c>
      <c r="C445" t="str">
        <f>FORSIDE!$C$4</f>
        <v>S355, Stål / KFHUP 180x180x12.5</v>
      </c>
    </row>
    <row r="446" spans="1:3" x14ac:dyDescent="0.3">
      <c r="A446" t="str">
        <f>IF(AND(FORSIDE!$B$8&gt;=2,FORSIDE!$F$8&gt;=2,FORSIDE!$B$5&gt;=5),"S445","")</f>
        <v>S445</v>
      </c>
      <c r="B446" t="str">
        <f>IF(AND(FORSIDE!$B$8&gt;=2,FORSIDE!$F$8&gt;=2,FORSIDE!$B$5&gt;=5),"489 -&gt; 490","")</f>
        <v>489 -&gt; 490</v>
      </c>
      <c r="C446" t="str">
        <f>FORSIDE!$C$4</f>
        <v>S355, Stål / KFHUP 180x180x12.5</v>
      </c>
    </row>
    <row r="447" spans="1:3" x14ac:dyDescent="0.3">
      <c r="A447" t="str">
        <f>IF(AND(FORSIDE!$B$8&gt;=2,FORSIDE!$F$8&gt;=2,FORSIDE!$B$5&gt;=6),"S446","")</f>
        <v>S446</v>
      </c>
      <c r="B447" t="str">
        <f>IF(AND(FORSIDE!$B$8&gt;=2,FORSIDE!$F$8&gt;=2,FORSIDE!$B$5&gt;=6),"490 -&gt; 491","")</f>
        <v>490 -&gt; 491</v>
      </c>
      <c r="C447" t="str">
        <f>FORSIDE!$C$4</f>
        <v>S355, Stål / KFHUP 180x180x12.5</v>
      </c>
    </row>
    <row r="448" spans="1:3" x14ac:dyDescent="0.3">
      <c r="A448" t="str">
        <f>IF(AND(FORSIDE!$B$8&gt;=2,FORSIDE!$F$8&gt;=2,FORSIDE!$B$5&gt;=7),"S447","")</f>
        <v/>
      </c>
      <c r="B448" t="str">
        <f>IF(AND(FORSIDE!$B$8&gt;=2,FORSIDE!$F$8&gt;=2,FORSIDE!$B$5&gt;=7),"491 -&gt; 492","")</f>
        <v/>
      </c>
      <c r="C448" t="str">
        <f>FORSIDE!$C$4</f>
        <v>S355, Stål / KFHUP 180x180x12.5</v>
      </c>
    </row>
    <row r="449" spans="1:3" x14ac:dyDescent="0.3">
      <c r="A449" t="str">
        <f>IF(AND(FORSIDE!$B$8&gt;=2,FORSIDE!$F$8&gt;=2,FORSIDE!$B$5&gt;=8),"S448","")</f>
        <v/>
      </c>
      <c r="B449" t="str">
        <f>IF(AND(FORSIDE!$B$8&gt;=2,FORSIDE!$F$8&gt;=2,FORSIDE!$B$5&gt;=8),"492 -&gt; 493","")</f>
        <v/>
      </c>
      <c r="C449" t="str">
        <f>FORSIDE!$C$4</f>
        <v>S355, Stål / KFHUP 180x180x12.5</v>
      </c>
    </row>
    <row r="450" spans="1:3" x14ac:dyDescent="0.3">
      <c r="A450" t="str">
        <f>IF(AND(FORSIDE!$B$8&gt;=2,FORSIDE!$F$8&gt;=2,FORSIDE!$B$5&gt;=9),"S449","")</f>
        <v/>
      </c>
      <c r="B450" t="str">
        <f>IF(AND(FORSIDE!$B$8&gt;=2,FORSIDE!$F$8&gt;=2,FORSIDE!$B$5&gt;=9),"493 -&gt; 494","")</f>
        <v/>
      </c>
      <c r="C450" t="str">
        <f>FORSIDE!$C$4</f>
        <v>S355, Stål / KFHUP 180x180x12.5</v>
      </c>
    </row>
    <row r="451" spans="1:3" x14ac:dyDescent="0.3">
      <c r="A451" t="str">
        <f>IF(AND(FORSIDE!$B$8&gt;=2,FORSIDE!$F$8&gt;=2,FORSIDE!$B$5&gt;=10),"S450","")</f>
        <v/>
      </c>
      <c r="B451" t="str">
        <f>IF(AND(FORSIDE!$B$8&gt;=2,FORSIDE!$F$8&gt;=2,FORSIDE!$B$5&gt;=10),"494 -&gt; 495","")</f>
        <v/>
      </c>
      <c r="C451" t="str">
        <f>FORSIDE!$C$4</f>
        <v>S355, Stål / KFHUP 180x180x12.5</v>
      </c>
    </row>
    <row r="452" spans="1:3" x14ac:dyDescent="0.3">
      <c r="A452" t="str">
        <f>IF(AND(FORSIDE!$B$8&gt;=3,FORSIDE!$F$8&gt;=2,FORSIDE!$B$5&gt;=1),"S451","")</f>
        <v>S451</v>
      </c>
      <c r="B452" t="str">
        <f>IF(AND(FORSIDE!$B$8&gt;=3,FORSIDE!$F$8&gt;=2,FORSIDE!$B$5&gt;=1),"496 -&gt; 497","")</f>
        <v>496 -&gt; 497</v>
      </c>
      <c r="C452" t="str">
        <f>FORSIDE!$C$4</f>
        <v>S355, Stål / KFHUP 180x180x12.5</v>
      </c>
    </row>
    <row r="453" spans="1:3" x14ac:dyDescent="0.3">
      <c r="A453" t="str">
        <f>IF(AND(FORSIDE!$B$8&gt;=3,FORSIDE!$F$8&gt;=2,FORSIDE!$B$5&gt;=2),"S452","")</f>
        <v>S452</v>
      </c>
      <c r="B453" t="str">
        <f>IF(AND(FORSIDE!$B$8&gt;=3,FORSIDE!$F$8&gt;=2,FORSIDE!$B$5&gt;=2),"497 -&gt; 498","")</f>
        <v>497 -&gt; 498</v>
      </c>
      <c r="C453" t="str">
        <f>FORSIDE!$C$4</f>
        <v>S355, Stål / KFHUP 180x180x12.5</v>
      </c>
    </row>
    <row r="454" spans="1:3" x14ac:dyDescent="0.3">
      <c r="A454" t="str">
        <f>IF(AND(FORSIDE!$B$8&gt;=3,FORSIDE!$F$8&gt;=2,FORSIDE!$B$5&gt;=3),"S453","")</f>
        <v>S453</v>
      </c>
      <c r="B454" t="str">
        <f>IF(AND(FORSIDE!$B$8&gt;=3,FORSIDE!$F$8&gt;=2,FORSIDE!$B$5&gt;=3),"498 -&gt; 499","")</f>
        <v>498 -&gt; 499</v>
      </c>
      <c r="C454" t="str">
        <f>FORSIDE!$C$4</f>
        <v>S355, Stål / KFHUP 180x180x12.5</v>
      </c>
    </row>
    <row r="455" spans="1:3" x14ac:dyDescent="0.3">
      <c r="A455" t="str">
        <f>IF(AND(FORSIDE!$B$8&gt;=3,FORSIDE!$F$8&gt;=2,FORSIDE!$B$5&gt;=4),"S454","")</f>
        <v>S454</v>
      </c>
      <c r="B455" t="str">
        <f>IF(AND(FORSIDE!$B$8&gt;=3,FORSIDE!$F$8&gt;=2,FORSIDE!$B$5&gt;=4),"499 -&gt; 500","")</f>
        <v>499 -&gt; 500</v>
      </c>
      <c r="C455" t="str">
        <f>FORSIDE!$C$4</f>
        <v>S355, Stål / KFHUP 180x180x12.5</v>
      </c>
    </row>
    <row r="456" spans="1:3" x14ac:dyDescent="0.3">
      <c r="A456" t="str">
        <f>IF(AND(FORSIDE!$B$8&gt;=3,FORSIDE!$F$8&gt;=2,FORSIDE!$B$5&gt;=5),"S455","")</f>
        <v>S455</v>
      </c>
      <c r="B456" t="str">
        <f>IF(AND(FORSIDE!$B$8&gt;=3,FORSIDE!$F$8&gt;=2,FORSIDE!$B$5&gt;=5),"500 -&gt; 501","")</f>
        <v>500 -&gt; 501</v>
      </c>
      <c r="C456" t="str">
        <f>FORSIDE!$C$4</f>
        <v>S355, Stål / KFHUP 180x180x12.5</v>
      </c>
    </row>
    <row r="457" spans="1:3" x14ac:dyDescent="0.3">
      <c r="A457" t="str">
        <f>IF(AND(FORSIDE!$B$8&gt;=3,FORSIDE!$F$8&gt;=2,FORSIDE!$B$5&gt;=6),"S456","")</f>
        <v>S456</v>
      </c>
      <c r="B457" t="str">
        <f>IF(AND(FORSIDE!$B$8&gt;=3,FORSIDE!$F$8&gt;=2,FORSIDE!$B$5&gt;=6),"501 -&gt; 502","")</f>
        <v>501 -&gt; 502</v>
      </c>
      <c r="C457" t="str">
        <f>FORSIDE!$C$4</f>
        <v>S355, Stål / KFHUP 180x180x12.5</v>
      </c>
    </row>
    <row r="458" spans="1:3" x14ac:dyDescent="0.3">
      <c r="A458" t="str">
        <f>IF(AND(FORSIDE!$B$8&gt;=3,FORSIDE!$F$8&gt;=2,FORSIDE!$B$5&gt;=7),"S457","")</f>
        <v/>
      </c>
      <c r="B458" t="str">
        <f>IF(AND(FORSIDE!$B$8&gt;=3,FORSIDE!$F$8&gt;=2,FORSIDE!$B$5&gt;=7),"502 -&gt; 503","")</f>
        <v/>
      </c>
      <c r="C458" t="str">
        <f>FORSIDE!$C$4</f>
        <v>S355, Stål / KFHUP 180x180x12.5</v>
      </c>
    </row>
    <row r="459" spans="1:3" x14ac:dyDescent="0.3">
      <c r="A459" t="str">
        <f>IF(AND(FORSIDE!$B$8&gt;=3,FORSIDE!$F$8&gt;=2,FORSIDE!$B$5&gt;=8),"S458","")</f>
        <v/>
      </c>
      <c r="B459" t="str">
        <f>IF(AND(FORSIDE!$B$8&gt;=3,FORSIDE!$F$8&gt;=2,FORSIDE!$B$5&gt;=8),"503 -&gt; 504","")</f>
        <v/>
      </c>
      <c r="C459" t="str">
        <f>FORSIDE!$C$4</f>
        <v>S355, Stål / KFHUP 180x180x12.5</v>
      </c>
    </row>
    <row r="460" spans="1:3" x14ac:dyDescent="0.3">
      <c r="A460" t="str">
        <f>IF(AND(FORSIDE!$B$8&gt;=3,FORSIDE!$F$8&gt;=2,FORSIDE!$B$5&gt;=9),"S459","")</f>
        <v/>
      </c>
      <c r="B460" t="str">
        <f>IF(AND(FORSIDE!$B$8&gt;=3,FORSIDE!$F$8&gt;=2,FORSIDE!$B$5&gt;=9),"504 -&gt; 505","")</f>
        <v/>
      </c>
      <c r="C460" t="str">
        <f>FORSIDE!$C$4</f>
        <v>S355, Stål / KFHUP 180x180x12.5</v>
      </c>
    </row>
    <row r="461" spans="1:3" x14ac:dyDescent="0.3">
      <c r="A461" t="str">
        <f>IF(AND(FORSIDE!$B$8&gt;=3,FORSIDE!$F$8&gt;=2,FORSIDE!$B$5&gt;=10),"S460","")</f>
        <v/>
      </c>
      <c r="B461" t="str">
        <f>IF(AND(FORSIDE!$B$8&gt;=3,FORSIDE!$F$8&gt;=2,FORSIDE!$B$5&gt;=10),"505 -&gt; 506","")</f>
        <v/>
      </c>
      <c r="C461" t="str">
        <f>FORSIDE!$C$4</f>
        <v>S355, Stål / KFHUP 180x180x12.5</v>
      </c>
    </row>
    <row r="462" spans="1:3" x14ac:dyDescent="0.3">
      <c r="A462" t="str">
        <f>IF(AND(FORSIDE!$B$8&gt;=4,FORSIDE!$F$8&gt;=2,FORSIDE!$B$5&gt;=1),"S461","")</f>
        <v>S461</v>
      </c>
      <c r="B462" t="str">
        <f>IF(AND(FORSIDE!$B$8&gt;=4,FORSIDE!$F$8&gt;=2,FORSIDE!$B$5&gt;=1),"507 -&gt; 508","")</f>
        <v>507 -&gt; 508</v>
      </c>
      <c r="C462" t="str">
        <f>FORSIDE!$C$4</f>
        <v>S355, Stål / KFHUP 180x180x12.5</v>
      </c>
    </row>
    <row r="463" spans="1:3" x14ac:dyDescent="0.3">
      <c r="A463" t="str">
        <f>IF(AND(FORSIDE!$B$8&gt;=4,FORSIDE!$F$8&gt;=2,FORSIDE!$B$5&gt;=2),"S462","")</f>
        <v>S462</v>
      </c>
      <c r="B463" t="str">
        <f>IF(AND(FORSIDE!$B$8&gt;=4,FORSIDE!$F$8&gt;=2,FORSIDE!$B$5&gt;=2),"508 -&gt; 509","")</f>
        <v>508 -&gt; 509</v>
      </c>
      <c r="C463" t="str">
        <f>FORSIDE!$C$4</f>
        <v>S355, Stål / KFHUP 180x180x12.5</v>
      </c>
    </row>
    <row r="464" spans="1:3" x14ac:dyDescent="0.3">
      <c r="A464" t="str">
        <f>IF(AND(FORSIDE!$B$8&gt;=4,FORSIDE!$F$8&gt;=2,FORSIDE!$B$5&gt;=3),"S463","")</f>
        <v>S463</v>
      </c>
      <c r="B464" t="str">
        <f>IF(AND(FORSIDE!$B$8&gt;=4,FORSIDE!$F$8&gt;=2,FORSIDE!$B$5&gt;=3),"509 -&gt; 510","")</f>
        <v>509 -&gt; 510</v>
      </c>
      <c r="C464" t="str">
        <f>FORSIDE!$C$4</f>
        <v>S355, Stål / KFHUP 180x180x12.5</v>
      </c>
    </row>
    <row r="465" spans="1:3" x14ac:dyDescent="0.3">
      <c r="A465" t="str">
        <f>IF(AND(FORSIDE!$B$8&gt;=4,FORSIDE!$F$8&gt;=2,FORSIDE!$B$5&gt;=4),"S464","")</f>
        <v>S464</v>
      </c>
      <c r="B465" t="str">
        <f>IF(AND(FORSIDE!$B$8&gt;=4,FORSIDE!$F$8&gt;=2,FORSIDE!$B$5&gt;=4),"510 -&gt; 511","")</f>
        <v>510 -&gt; 511</v>
      </c>
      <c r="C465" t="str">
        <f>FORSIDE!$C$4</f>
        <v>S355, Stål / KFHUP 180x180x12.5</v>
      </c>
    </row>
    <row r="466" spans="1:3" x14ac:dyDescent="0.3">
      <c r="A466" t="str">
        <f>IF(AND(FORSIDE!$B$8&gt;=4,FORSIDE!$F$8&gt;=2,FORSIDE!$B$5&gt;=5),"S465","")</f>
        <v>S465</v>
      </c>
      <c r="B466" t="str">
        <f>IF(AND(FORSIDE!$B$8&gt;=4,FORSIDE!$F$8&gt;=2,FORSIDE!$B$5&gt;=5),"511 -&gt; 512","")</f>
        <v>511 -&gt; 512</v>
      </c>
      <c r="C466" t="str">
        <f>FORSIDE!$C$4</f>
        <v>S355, Stål / KFHUP 180x180x12.5</v>
      </c>
    </row>
    <row r="467" spans="1:3" x14ac:dyDescent="0.3">
      <c r="A467" t="str">
        <f>IF(AND(FORSIDE!$B$8&gt;=4,FORSIDE!$F$8&gt;=2,FORSIDE!$B$5&gt;=6),"S466","")</f>
        <v>S466</v>
      </c>
      <c r="B467" t="str">
        <f>IF(AND(FORSIDE!$B$8&gt;=4,FORSIDE!$F$8&gt;=2,FORSIDE!$B$5&gt;=6),"512 -&gt; 513","")</f>
        <v>512 -&gt; 513</v>
      </c>
      <c r="C467" t="str">
        <f>FORSIDE!$C$4</f>
        <v>S355, Stål / KFHUP 180x180x12.5</v>
      </c>
    </row>
    <row r="468" spans="1:3" x14ac:dyDescent="0.3">
      <c r="A468" t="str">
        <f>IF(AND(FORSIDE!$B$8&gt;=4,FORSIDE!$F$8&gt;=2,FORSIDE!$B$5&gt;=7),"S467","")</f>
        <v/>
      </c>
      <c r="B468" t="str">
        <f>IF(AND(FORSIDE!$B$8&gt;=4,FORSIDE!$F$8&gt;=2,FORSIDE!$B$5&gt;=7),"513 -&gt; 514","")</f>
        <v/>
      </c>
      <c r="C468" t="str">
        <f>FORSIDE!$C$4</f>
        <v>S355, Stål / KFHUP 180x180x12.5</v>
      </c>
    </row>
    <row r="469" spans="1:3" x14ac:dyDescent="0.3">
      <c r="A469" t="str">
        <f>IF(AND(FORSIDE!$B$8&gt;=4,FORSIDE!$F$8&gt;=2,FORSIDE!$B$5&gt;=8),"S468","")</f>
        <v/>
      </c>
      <c r="B469" t="str">
        <f>IF(AND(FORSIDE!$B$8&gt;=4,FORSIDE!$F$8&gt;=2,FORSIDE!$B$5&gt;=8),"514 -&gt; 515","")</f>
        <v/>
      </c>
      <c r="C469" t="str">
        <f>FORSIDE!$C$4</f>
        <v>S355, Stål / KFHUP 180x180x12.5</v>
      </c>
    </row>
    <row r="470" spans="1:3" x14ac:dyDescent="0.3">
      <c r="A470" t="str">
        <f>IF(AND(FORSIDE!$B$8&gt;=4,FORSIDE!$F$8&gt;=2,FORSIDE!$B$5&gt;=9),"S469","")</f>
        <v/>
      </c>
      <c r="B470" t="str">
        <f>IF(AND(FORSIDE!$B$8&gt;=4,FORSIDE!$F$8&gt;=2,FORSIDE!$B$5&gt;=9),"515 -&gt; 516","")</f>
        <v/>
      </c>
      <c r="C470" t="str">
        <f>FORSIDE!$C$4</f>
        <v>S355, Stål / KFHUP 180x180x12.5</v>
      </c>
    </row>
    <row r="471" spans="1:3" x14ac:dyDescent="0.3">
      <c r="A471" t="str">
        <f>IF(AND(FORSIDE!$B$8&gt;=4,FORSIDE!$F$8&gt;=2,FORSIDE!$B$5&gt;=10),"S470","")</f>
        <v/>
      </c>
      <c r="B471" t="str">
        <f>IF(AND(FORSIDE!$B$8&gt;=4,FORSIDE!$F$8&gt;=2,FORSIDE!$B$5&gt;=10),"516 -&gt; 517","")</f>
        <v/>
      </c>
      <c r="C471" t="str">
        <f>FORSIDE!$C$4</f>
        <v>S355, Stål / KFHUP 180x180x12.5</v>
      </c>
    </row>
    <row r="472" spans="1:3" x14ac:dyDescent="0.3">
      <c r="A472" t="str">
        <f>IF(AND(FORSIDE!$B$8&gt;=5,FORSIDE!$F$8&gt;=2,FORSIDE!$B$5&gt;=1),"S471","")</f>
        <v/>
      </c>
      <c r="B472" t="str">
        <f>IF(AND(FORSIDE!$B$8&gt;=5,FORSIDE!$F$8&gt;=2,FORSIDE!$B$5&gt;=1),"518 -&gt; 519","")</f>
        <v/>
      </c>
      <c r="C472" t="str">
        <f>FORSIDE!$C$4</f>
        <v>S355, Stål / KFHUP 180x180x12.5</v>
      </c>
    </row>
    <row r="473" spans="1:3" x14ac:dyDescent="0.3">
      <c r="A473" t="str">
        <f>IF(AND(FORSIDE!$B$8&gt;=5,FORSIDE!$F$8&gt;=2,FORSIDE!$B$5&gt;=2),"S472","")</f>
        <v/>
      </c>
      <c r="B473" t="str">
        <f>IF(AND(FORSIDE!$B$8&gt;=5,FORSIDE!$F$8&gt;=2,FORSIDE!$B$5&gt;=2),"519 -&gt; 520","")</f>
        <v/>
      </c>
      <c r="C473" t="str">
        <f>FORSIDE!$C$4</f>
        <v>S355, Stål / KFHUP 180x180x12.5</v>
      </c>
    </row>
    <row r="474" spans="1:3" x14ac:dyDescent="0.3">
      <c r="A474" t="str">
        <f>IF(AND(FORSIDE!$B$8&gt;=5,FORSIDE!$F$8&gt;=2,FORSIDE!$B$5&gt;=3),"S473","")</f>
        <v/>
      </c>
      <c r="B474" t="str">
        <f>IF(AND(FORSIDE!$B$8&gt;=5,FORSIDE!$F$8&gt;=2,FORSIDE!$B$5&gt;=3),"520 -&gt; 521","")</f>
        <v/>
      </c>
      <c r="C474" t="str">
        <f>FORSIDE!$C$4</f>
        <v>S355, Stål / KFHUP 180x180x12.5</v>
      </c>
    </row>
    <row r="475" spans="1:3" x14ac:dyDescent="0.3">
      <c r="A475" t="str">
        <f>IF(AND(FORSIDE!$B$8&gt;=5,FORSIDE!$F$8&gt;=2,FORSIDE!$B$5&gt;=4),"S474","")</f>
        <v/>
      </c>
      <c r="B475" t="str">
        <f>IF(AND(FORSIDE!$B$8&gt;=5,FORSIDE!$F$8&gt;=2,FORSIDE!$B$5&gt;=4),"521 -&gt; 522","")</f>
        <v/>
      </c>
      <c r="C475" t="str">
        <f>FORSIDE!$C$4</f>
        <v>S355, Stål / KFHUP 180x180x12.5</v>
      </c>
    </row>
    <row r="476" spans="1:3" x14ac:dyDescent="0.3">
      <c r="A476" t="str">
        <f>IF(AND(FORSIDE!$B$8&gt;=5,FORSIDE!$F$8&gt;=2,FORSIDE!$B$5&gt;=5),"S475","")</f>
        <v/>
      </c>
      <c r="B476" t="str">
        <f>IF(AND(FORSIDE!$B$8&gt;=5,FORSIDE!$F$8&gt;=2,FORSIDE!$B$5&gt;=5),"522 -&gt; 523","")</f>
        <v/>
      </c>
      <c r="C476" t="str">
        <f>FORSIDE!$C$4</f>
        <v>S355, Stål / KFHUP 180x180x12.5</v>
      </c>
    </row>
    <row r="477" spans="1:3" x14ac:dyDescent="0.3">
      <c r="A477" t="str">
        <f>IF(AND(FORSIDE!$B$8&gt;=5,FORSIDE!$F$8&gt;=2,FORSIDE!$B$5&gt;=6),"S476","")</f>
        <v/>
      </c>
      <c r="B477" t="str">
        <f>IF(AND(FORSIDE!$B$8&gt;=5,FORSIDE!$F$8&gt;=2,FORSIDE!$B$5&gt;=6),"523 -&gt; 524","")</f>
        <v/>
      </c>
      <c r="C477" t="str">
        <f>FORSIDE!$C$4</f>
        <v>S355, Stål / KFHUP 180x180x12.5</v>
      </c>
    </row>
    <row r="478" spans="1:3" x14ac:dyDescent="0.3">
      <c r="A478" t="str">
        <f>IF(AND(FORSIDE!$B$8&gt;=5,FORSIDE!$F$8&gt;=2,FORSIDE!$B$5&gt;=7),"S477","")</f>
        <v/>
      </c>
      <c r="B478" t="str">
        <f>IF(AND(FORSIDE!$B$8&gt;=5,FORSIDE!$F$8&gt;=2,FORSIDE!$B$5&gt;=7),"524 -&gt; 525","")</f>
        <v/>
      </c>
      <c r="C478" t="str">
        <f>FORSIDE!$C$4</f>
        <v>S355, Stål / KFHUP 180x180x12.5</v>
      </c>
    </row>
    <row r="479" spans="1:3" x14ac:dyDescent="0.3">
      <c r="A479" t="str">
        <f>IF(AND(FORSIDE!$B$8&gt;=5,FORSIDE!$F$8&gt;=2,FORSIDE!$B$5&gt;=8),"S478","")</f>
        <v/>
      </c>
      <c r="B479" t="str">
        <f>IF(AND(FORSIDE!$B$8&gt;=5,FORSIDE!$F$8&gt;=2,FORSIDE!$B$5&gt;=8),"525 -&gt; 526","")</f>
        <v/>
      </c>
      <c r="C479" t="str">
        <f>FORSIDE!$C$4</f>
        <v>S355, Stål / KFHUP 180x180x12.5</v>
      </c>
    </row>
    <row r="480" spans="1:3" x14ac:dyDescent="0.3">
      <c r="A480" t="str">
        <f>IF(AND(FORSIDE!$B$8&gt;=5,FORSIDE!$F$8&gt;=2,FORSIDE!$B$5&gt;=9),"S479","")</f>
        <v/>
      </c>
      <c r="B480" t="str">
        <f>IF(AND(FORSIDE!$B$8&gt;=5,FORSIDE!$F$8&gt;=2,FORSIDE!$B$5&gt;=9),"526 -&gt; 527","")</f>
        <v/>
      </c>
      <c r="C480" t="str">
        <f>FORSIDE!$C$4</f>
        <v>S355, Stål / KFHUP 180x180x12.5</v>
      </c>
    </row>
    <row r="481" spans="1:3" x14ac:dyDescent="0.3">
      <c r="A481" t="str">
        <f>IF(AND(FORSIDE!$B$8&gt;=5,FORSIDE!$F$8&gt;=2,FORSIDE!$B$5&gt;=10),"S480","")</f>
        <v/>
      </c>
      <c r="B481" t="str">
        <f>IF(AND(FORSIDE!$B$8&gt;=5,FORSIDE!$F$8&gt;=2,FORSIDE!$B$5&gt;=10),"527 -&gt; 528","")</f>
        <v/>
      </c>
      <c r="C481" t="str">
        <f>FORSIDE!$C$4</f>
        <v>S355, Stål / KFHUP 180x180x12.5</v>
      </c>
    </row>
    <row r="482" spans="1:3" x14ac:dyDescent="0.3">
      <c r="A482" t="str">
        <f>IF(AND(FORSIDE!$B$8&gt;=6,FORSIDE!$F$8&gt;=2,FORSIDE!$B$5&gt;=1),"S481","")</f>
        <v/>
      </c>
      <c r="B482" t="str">
        <f>IF(AND(FORSIDE!$B$8&gt;=6,FORSIDE!$F$8&gt;=2,FORSIDE!$B$5&gt;=1),"529 -&gt; 530","")</f>
        <v/>
      </c>
      <c r="C482" t="str">
        <f>FORSIDE!$C$4</f>
        <v>S355, Stål / KFHUP 180x180x12.5</v>
      </c>
    </row>
    <row r="483" spans="1:3" x14ac:dyDescent="0.3">
      <c r="A483" t="str">
        <f>IF(AND(FORSIDE!$B$8&gt;=6,FORSIDE!$F$8&gt;=2,FORSIDE!$B$5&gt;=2),"S482","")</f>
        <v/>
      </c>
      <c r="B483" t="str">
        <f>IF(AND(FORSIDE!$B$8&gt;=6,FORSIDE!$F$8&gt;=2,FORSIDE!$B$5&gt;=2),"530 -&gt; 531","")</f>
        <v/>
      </c>
      <c r="C483" t="str">
        <f>FORSIDE!$C$4</f>
        <v>S355, Stål / KFHUP 180x180x12.5</v>
      </c>
    </row>
    <row r="484" spans="1:3" x14ac:dyDescent="0.3">
      <c r="A484" t="str">
        <f>IF(AND(FORSIDE!$B$8&gt;=6,FORSIDE!$F$8&gt;=2,FORSIDE!$B$5&gt;=3),"S483","")</f>
        <v/>
      </c>
      <c r="B484" t="str">
        <f>IF(AND(FORSIDE!$B$8&gt;=6,FORSIDE!$F$8&gt;=2,FORSIDE!$B$5&gt;=3),"531 -&gt; 532","")</f>
        <v/>
      </c>
      <c r="C484" t="str">
        <f>FORSIDE!$C$4</f>
        <v>S355, Stål / KFHUP 180x180x12.5</v>
      </c>
    </row>
    <row r="485" spans="1:3" x14ac:dyDescent="0.3">
      <c r="A485" t="str">
        <f>IF(AND(FORSIDE!$B$8&gt;=6,FORSIDE!$F$8&gt;=2,FORSIDE!$B$5&gt;=4),"S484","")</f>
        <v/>
      </c>
      <c r="B485" t="str">
        <f>IF(AND(FORSIDE!$B$8&gt;=6,FORSIDE!$F$8&gt;=2,FORSIDE!$B$5&gt;=4),"532 -&gt; 533","")</f>
        <v/>
      </c>
      <c r="C485" t="str">
        <f>FORSIDE!$C$4</f>
        <v>S355, Stål / KFHUP 180x180x12.5</v>
      </c>
    </row>
    <row r="486" spans="1:3" x14ac:dyDescent="0.3">
      <c r="A486" t="str">
        <f>IF(AND(FORSIDE!$B$8&gt;=6,FORSIDE!$F$8&gt;=2,FORSIDE!$B$5&gt;=5),"S485","")</f>
        <v/>
      </c>
      <c r="B486" t="str">
        <f>IF(AND(FORSIDE!$B$8&gt;=6,FORSIDE!$F$8&gt;=2,FORSIDE!$B$5&gt;=5),"533 -&gt; 534","")</f>
        <v/>
      </c>
      <c r="C486" t="str">
        <f>FORSIDE!$C$4</f>
        <v>S355, Stål / KFHUP 180x180x12.5</v>
      </c>
    </row>
    <row r="487" spans="1:3" x14ac:dyDescent="0.3">
      <c r="A487" t="str">
        <f>IF(AND(FORSIDE!$B$8&gt;=6,FORSIDE!$F$8&gt;=2,FORSIDE!$B$5&gt;=6),"S486","")</f>
        <v/>
      </c>
      <c r="B487" t="str">
        <f>IF(AND(FORSIDE!$B$8&gt;=6,FORSIDE!$F$8&gt;=2,FORSIDE!$B$5&gt;=6),"534 -&gt; 535","")</f>
        <v/>
      </c>
      <c r="C487" t="str">
        <f>FORSIDE!$C$4</f>
        <v>S355, Stål / KFHUP 180x180x12.5</v>
      </c>
    </row>
    <row r="488" spans="1:3" x14ac:dyDescent="0.3">
      <c r="A488" t="str">
        <f>IF(AND(FORSIDE!$B$8&gt;=6,FORSIDE!$F$8&gt;=2,FORSIDE!$B$5&gt;=7),"S487","")</f>
        <v/>
      </c>
      <c r="B488" t="str">
        <f>IF(AND(FORSIDE!$B$8&gt;=6,FORSIDE!$F$8&gt;=2,FORSIDE!$B$5&gt;=7),"535 -&gt; 536","")</f>
        <v/>
      </c>
      <c r="C488" t="str">
        <f>FORSIDE!$C$4</f>
        <v>S355, Stål / KFHUP 180x180x12.5</v>
      </c>
    </row>
    <row r="489" spans="1:3" x14ac:dyDescent="0.3">
      <c r="A489" t="str">
        <f>IF(AND(FORSIDE!$B$8&gt;=6,FORSIDE!$F$8&gt;=2,FORSIDE!$B$5&gt;=8),"S488","")</f>
        <v/>
      </c>
      <c r="B489" t="str">
        <f>IF(AND(FORSIDE!$B$8&gt;=6,FORSIDE!$F$8&gt;=2,FORSIDE!$B$5&gt;=8),"536 -&gt; 537","")</f>
        <v/>
      </c>
      <c r="C489" t="str">
        <f>FORSIDE!$C$4</f>
        <v>S355, Stål / KFHUP 180x180x12.5</v>
      </c>
    </row>
    <row r="490" spans="1:3" x14ac:dyDescent="0.3">
      <c r="A490" t="str">
        <f>IF(AND(FORSIDE!$B$8&gt;=6,FORSIDE!$F$8&gt;=2,FORSIDE!$B$5&gt;=9),"S489","")</f>
        <v/>
      </c>
      <c r="B490" t="str">
        <f>IF(AND(FORSIDE!$B$8&gt;=6,FORSIDE!$F$8&gt;=2,FORSIDE!$B$5&gt;=9),"537 -&gt; 538","")</f>
        <v/>
      </c>
      <c r="C490" t="str">
        <f>FORSIDE!$C$4</f>
        <v>S355, Stål / KFHUP 180x180x12.5</v>
      </c>
    </row>
    <row r="491" spans="1:3" x14ac:dyDescent="0.3">
      <c r="A491" t="str">
        <f>IF(AND(FORSIDE!$B$8&gt;=6,FORSIDE!$F$8&gt;=2,FORSIDE!$B$5&gt;=10),"S490","")</f>
        <v/>
      </c>
      <c r="B491" t="str">
        <f>IF(AND(FORSIDE!$B$8&gt;=6,FORSIDE!$F$8&gt;=2,FORSIDE!$B$5&gt;=10),"538 -&gt; 539","")</f>
        <v/>
      </c>
      <c r="C491" t="str">
        <f>FORSIDE!$C$4</f>
        <v>S355, Stål / KFHUP 180x180x12.5</v>
      </c>
    </row>
    <row r="492" spans="1:3" x14ac:dyDescent="0.3">
      <c r="A492" t="str">
        <f>IF(AND(FORSIDE!$B$8&gt;=7,FORSIDE!$F$8&gt;=2,FORSIDE!$B$5&gt;=1),"S491","")</f>
        <v/>
      </c>
      <c r="B492" t="str">
        <f>IF(AND(FORSIDE!$B$8&gt;=7,FORSIDE!$F$8&gt;=2,FORSIDE!$B$5&gt;=1),"540 -&gt; 541","")</f>
        <v/>
      </c>
      <c r="C492" t="str">
        <f>FORSIDE!$C$4</f>
        <v>S355, Stål / KFHUP 180x180x12.5</v>
      </c>
    </row>
    <row r="493" spans="1:3" x14ac:dyDescent="0.3">
      <c r="A493" t="str">
        <f>IF(AND(FORSIDE!$B$8&gt;=7,FORSIDE!$F$8&gt;=2,FORSIDE!$B$5&gt;=2),"S492","")</f>
        <v/>
      </c>
      <c r="B493" t="str">
        <f>IF(AND(FORSIDE!$B$8&gt;=7,FORSIDE!$F$8&gt;=2,FORSIDE!$B$5&gt;=2),"541 -&gt; 542","")</f>
        <v/>
      </c>
      <c r="C493" t="str">
        <f>FORSIDE!$C$4</f>
        <v>S355, Stål / KFHUP 180x180x12.5</v>
      </c>
    </row>
    <row r="494" spans="1:3" x14ac:dyDescent="0.3">
      <c r="A494" t="str">
        <f>IF(AND(FORSIDE!$B$8&gt;=7,FORSIDE!$F$8&gt;=2,FORSIDE!$B$5&gt;=3),"S493","")</f>
        <v/>
      </c>
      <c r="B494" t="str">
        <f>IF(AND(FORSIDE!$B$8&gt;=7,FORSIDE!$F$8&gt;=2,FORSIDE!$B$5&gt;=3),"542 -&gt; 543","")</f>
        <v/>
      </c>
      <c r="C494" t="str">
        <f>FORSIDE!$C$4</f>
        <v>S355, Stål / KFHUP 180x180x12.5</v>
      </c>
    </row>
    <row r="495" spans="1:3" x14ac:dyDescent="0.3">
      <c r="A495" t="str">
        <f>IF(AND(FORSIDE!$B$8&gt;=7,FORSIDE!$F$8&gt;=2,FORSIDE!$B$5&gt;=4),"S494","")</f>
        <v/>
      </c>
      <c r="B495" t="str">
        <f>IF(AND(FORSIDE!$B$8&gt;=7,FORSIDE!$F$8&gt;=2,FORSIDE!$B$5&gt;=4),"543 -&gt; 544","")</f>
        <v/>
      </c>
      <c r="C495" t="str">
        <f>FORSIDE!$C$4</f>
        <v>S355, Stål / KFHUP 180x180x12.5</v>
      </c>
    </row>
    <row r="496" spans="1:3" x14ac:dyDescent="0.3">
      <c r="A496" t="str">
        <f>IF(AND(FORSIDE!$B$8&gt;=7,FORSIDE!$F$8&gt;=2,FORSIDE!$B$5&gt;=5),"S495","")</f>
        <v/>
      </c>
      <c r="B496" t="str">
        <f>IF(AND(FORSIDE!$B$8&gt;=7,FORSIDE!$F$8&gt;=2,FORSIDE!$B$5&gt;=5),"544 -&gt; 545","")</f>
        <v/>
      </c>
      <c r="C496" t="str">
        <f>FORSIDE!$C$4</f>
        <v>S355, Stål / KFHUP 180x180x12.5</v>
      </c>
    </row>
    <row r="497" spans="1:3" x14ac:dyDescent="0.3">
      <c r="A497" t="str">
        <f>IF(AND(FORSIDE!$B$8&gt;=7,FORSIDE!$F$8&gt;=2,FORSIDE!$B$5&gt;=6),"S496","")</f>
        <v/>
      </c>
      <c r="B497" t="str">
        <f>IF(AND(FORSIDE!$B$8&gt;=7,FORSIDE!$F$8&gt;=2,FORSIDE!$B$5&gt;=6),"545 -&gt; 546","")</f>
        <v/>
      </c>
      <c r="C497" t="str">
        <f>FORSIDE!$C$4</f>
        <v>S355, Stål / KFHUP 180x180x12.5</v>
      </c>
    </row>
    <row r="498" spans="1:3" x14ac:dyDescent="0.3">
      <c r="A498" t="str">
        <f>IF(AND(FORSIDE!$B$8&gt;=7,FORSIDE!$F$8&gt;=2,FORSIDE!$B$5&gt;=7),"S497","")</f>
        <v/>
      </c>
      <c r="B498" t="str">
        <f>IF(AND(FORSIDE!$B$8&gt;=7,FORSIDE!$F$8&gt;=2,FORSIDE!$B$5&gt;=7),"546 -&gt; 547","")</f>
        <v/>
      </c>
      <c r="C498" t="str">
        <f>FORSIDE!$C$4</f>
        <v>S355, Stål / KFHUP 180x180x12.5</v>
      </c>
    </row>
    <row r="499" spans="1:3" x14ac:dyDescent="0.3">
      <c r="A499" t="str">
        <f>IF(AND(FORSIDE!$B$8&gt;=7,FORSIDE!$F$8&gt;=2,FORSIDE!$B$5&gt;=8),"S498","")</f>
        <v/>
      </c>
      <c r="B499" t="str">
        <f>IF(AND(FORSIDE!$B$8&gt;=7,FORSIDE!$F$8&gt;=2,FORSIDE!$B$5&gt;=8),"547 -&gt; 548","")</f>
        <v/>
      </c>
      <c r="C499" t="str">
        <f>FORSIDE!$C$4</f>
        <v>S355, Stål / KFHUP 180x180x12.5</v>
      </c>
    </row>
    <row r="500" spans="1:3" x14ac:dyDescent="0.3">
      <c r="A500" t="str">
        <f>IF(AND(FORSIDE!$B$8&gt;=7,FORSIDE!$F$8&gt;=2,FORSIDE!$B$5&gt;=9),"S499","")</f>
        <v/>
      </c>
      <c r="B500" t="str">
        <f>IF(AND(FORSIDE!$B$8&gt;=7,FORSIDE!$F$8&gt;=2,FORSIDE!$B$5&gt;=9),"548 -&gt; 549","")</f>
        <v/>
      </c>
      <c r="C500" t="str">
        <f>FORSIDE!$C$4</f>
        <v>S355, Stål / KFHUP 180x180x12.5</v>
      </c>
    </row>
    <row r="501" spans="1:3" x14ac:dyDescent="0.3">
      <c r="A501" t="str">
        <f>IF(AND(FORSIDE!$B$8&gt;=7,FORSIDE!$F$8&gt;=2,FORSIDE!$B$5&gt;=10),"S500","")</f>
        <v/>
      </c>
      <c r="B501" t="str">
        <f>IF(AND(FORSIDE!$B$8&gt;=7,FORSIDE!$F$8&gt;=2,FORSIDE!$B$5&gt;=10),"549 -&gt; 550","")</f>
        <v/>
      </c>
      <c r="C501" t="str">
        <f>FORSIDE!$C$4</f>
        <v>S355, Stål / KFHUP 180x180x12.5</v>
      </c>
    </row>
    <row r="502" spans="1:3" x14ac:dyDescent="0.3">
      <c r="A502" t="str">
        <f>IF(AND(FORSIDE!$B$8&gt;=8,FORSIDE!$F$8&gt;=2,FORSIDE!$B$5&gt;=1),"S501","")</f>
        <v/>
      </c>
      <c r="B502" t="str">
        <f>IF(AND(FORSIDE!$B$8&gt;=8,FORSIDE!$F$8&gt;=2,FORSIDE!$B$5&gt;=1),"551 -&gt; 552","")</f>
        <v/>
      </c>
      <c r="C502" t="str">
        <f>FORSIDE!$C$4</f>
        <v>S355, Stål / KFHUP 180x180x12.5</v>
      </c>
    </row>
    <row r="503" spans="1:3" x14ac:dyDescent="0.3">
      <c r="A503" t="str">
        <f>IF(AND(FORSIDE!$B$8&gt;=8,FORSIDE!$F$8&gt;=2,FORSIDE!$B$5&gt;=2),"S502","")</f>
        <v/>
      </c>
      <c r="B503" t="str">
        <f>IF(AND(FORSIDE!$B$8&gt;=8,FORSIDE!$F$8&gt;=2,FORSIDE!$B$5&gt;=2),"552 -&gt; 553","")</f>
        <v/>
      </c>
      <c r="C503" t="str">
        <f>FORSIDE!$C$4</f>
        <v>S355, Stål / KFHUP 180x180x12.5</v>
      </c>
    </row>
    <row r="504" spans="1:3" x14ac:dyDescent="0.3">
      <c r="A504" t="str">
        <f>IF(AND(FORSIDE!$B$8&gt;=8,FORSIDE!$F$8&gt;=2,FORSIDE!$B$5&gt;=3),"S503","")</f>
        <v/>
      </c>
      <c r="B504" t="str">
        <f>IF(AND(FORSIDE!$B$8&gt;=8,FORSIDE!$F$8&gt;=2,FORSIDE!$B$5&gt;=3),"553 -&gt; 554","")</f>
        <v/>
      </c>
      <c r="C504" t="str">
        <f>FORSIDE!$C$4</f>
        <v>S355, Stål / KFHUP 180x180x12.5</v>
      </c>
    </row>
    <row r="505" spans="1:3" x14ac:dyDescent="0.3">
      <c r="A505" t="str">
        <f>IF(AND(FORSIDE!$B$8&gt;=8,FORSIDE!$F$8&gt;=2,FORSIDE!$B$5&gt;=4),"S504","")</f>
        <v/>
      </c>
      <c r="B505" t="str">
        <f>IF(AND(FORSIDE!$B$8&gt;=8,FORSIDE!$F$8&gt;=2,FORSIDE!$B$5&gt;=4),"554 -&gt; 555","")</f>
        <v/>
      </c>
      <c r="C505" t="str">
        <f>FORSIDE!$C$4</f>
        <v>S355, Stål / KFHUP 180x180x12.5</v>
      </c>
    </row>
    <row r="506" spans="1:3" x14ac:dyDescent="0.3">
      <c r="A506" t="str">
        <f>IF(AND(FORSIDE!$B$8&gt;=8,FORSIDE!$F$8&gt;=2,FORSIDE!$B$5&gt;=5),"S505","")</f>
        <v/>
      </c>
      <c r="B506" t="str">
        <f>IF(AND(FORSIDE!$B$8&gt;=8,FORSIDE!$F$8&gt;=2,FORSIDE!$B$5&gt;=5),"555 -&gt; 556","")</f>
        <v/>
      </c>
      <c r="C506" t="str">
        <f>FORSIDE!$C$4</f>
        <v>S355, Stål / KFHUP 180x180x12.5</v>
      </c>
    </row>
    <row r="507" spans="1:3" x14ac:dyDescent="0.3">
      <c r="A507" t="str">
        <f>IF(AND(FORSIDE!$B$8&gt;=8,FORSIDE!$F$8&gt;=2,FORSIDE!$B$5&gt;=6),"S506","")</f>
        <v/>
      </c>
      <c r="B507" t="str">
        <f>IF(AND(FORSIDE!$B$8&gt;=8,FORSIDE!$F$8&gt;=2,FORSIDE!$B$5&gt;=6),"556 -&gt; 557","")</f>
        <v/>
      </c>
      <c r="C507" t="str">
        <f>FORSIDE!$C$4</f>
        <v>S355, Stål / KFHUP 180x180x12.5</v>
      </c>
    </row>
    <row r="508" spans="1:3" x14ac:dyDescent="0.3">
      <c r="A508" t="str">
        <f>IF(AND(FORSIDE!$B$8&gt;=8,FORSIDE!$F$8&gt;=2,FORSIDE!$B$5&gt;=7),"S507","")</f>
        <v/>
      </c>
      <c r="B508" t="str">
        <f>IF(AND(FORSIDE!$B$8&gt;=8,FORSIDE!$F$8&gt;=2,FORSIDE!$B$5&gt;=7),"557 -&gt; 558","")</f>
        <v/>
      </c>
      <c r="C508" t="str">
        <f>FORSIDE!$C$4</f>
        <v>S355, Stål / KFHUP 180x180x12.5</v>
      </c>
    </row>
    <row r="509" spans="1:3" x14ac:dyDescent="0.3">
      <c r="A509" t="str">
        <f>IF(AND(FORSIDE!$B$8&gt;=8,FORSIDE!$F$8&gt;=2,FORSIDE!$B$5&gt;=8),"S508","")</f>
        <v/>
      </c>
      <c r="B509" t="str">
        <f>IF(AND(FORSIDE!$B$8&gt;=8,FORSIDE!$F$8&gt;=2,FORSIDE!$B$5&gt;=8),"558 -&gt; 559","")</f>
        <v/>
      </c>
      <c r="C509" t="str">
        <f>FORSIDE!$C$4</f>
        <v>S355, Stål / KFHUP 180x180x12.5</v>
      </c>
    </row>
    <row r="510" spans="1:3" x14ac:dyDescent="0.3">
      <c r="A510" t="str">
        <f>IF(AND(FORSIDE!$B$8&gt;=8,FORSIDE!$F$8&gt;=2,FORSIDE!$B$5&gt;=9),"S509","")</f>
        <v/>
      </c>
      <c r="B510" t="str">
        <f>IF(AND(FORSIDE!$B$8&gt;=8,FORSIDE!$F$8&gt;=2,FORSIDE!$B$5&gt;=9),"559 -&gt; 560","")</f>
        <v/>
      </c>
      <c r="C510" t="str">
        <f>FORSIDE!$C$4</f>
        <v>S355, Stål / KFHUP 180x180x12.5</v>
      </c>
    </row>
    <row r="511" spans="1:3" x14ac:dyDescent="0.3">
      <c r="A511" t="str">
        <f>IF(AND(FORSIDE!$B$8&gt;=8,FORSIDE!$F$8&gt;=2,FORSIDE!$B$5&gt;=10),"S510","")</f>
        <v/>
      </c>
      <c r="B511" t="str">
        <f>IF(AND(FORSIDE!$B$8&gt;=8,FORSIDE!$F$8&gt;=2,FORSIDE!$B$5&gt;=10),"560 -&gt; 561","")</f>
        <v/>
      </c>
      <c r="C511" t="str">
        <f>FORSIDE!$C$4</f>
        <v>S355, Stål / KFHUP 180x180x12.5</v>
      </c>
    </row>
    <row r="512" spans="1:3" x14ac:dyDescent="0.3">
      <c r="A512" t="str">
        <f>IF(AND(FORSIDE!$B$8&gt;=9,FORSIDE!$F$8&gt;=2,FORSIDE!$B$5&gt;=1),"S511","")</f>
        <v/>
      </c>
      <c r="B512" t="str">
        <f>IF(AND(FORSIDE!$B$8&gt;=9,FORSIDE!$F$8&gt;=2,FORSIDE!$B$5&gt;=1),"562 -&gt; 563","")</f>
        <v/>
      </c>
      <c r="C512" t="str">
        <f>FORSIDE!$C$4</f>
        <v>S355, Stål / KFHUP 180x180x12.5</v>
      </c>
    </row>
    <row r="513" spans="1:3" x14ac:dyDescent="0.3">
      <c r="A513" t="str">
        <f>IF(AND(FORSIDE!$B$8&gt;=9,FORSIDE!$F$8&gt;=2,FORSIDE!$B$5&gt;=2),"S512","")</f>
        <v/>
      </c>
      <c r="B513" t="str">
        <f>IF(AND(FORSIDE!$B$8&gt;=9,FORSIDE!$F$8&gt;=2,FORSIDE!$B$5&gt;=2),"563 -&gt; 564","")</f>
        <v/>
      </c>
      <c r="C513" t="str">
        <f>FORSIDE!$C$4</f>
        <v>S355, Stål / KFHUP 180x180x12.5</v>
      </c>
    </row>
    <row r="514" spans="1:3" x14ac:dyDescent="0.3">
      <c r="A514" t="str">
        <f>IF(AND(FORSIDE!$B$8&gt;=9,FORSIDE!$F$8&gt;=2,FORSIDE!$B$5&gt;=3),"S513","")</f>
        <v/>
      </c>
      <c r="B514" t="str">
        <f>IF(AND(FORSIDE!$B$8&gt;=9,FORSIDE!$F$8&gt;=2,FORSIDE!$B$5&gt;=3),"564 -&gt; 565","")</f>
        <v/>
      </c>
      <c r="C514" t="str">
        <f>FORSIDE!$C$4</f>
        <v>S355, Stål / KFHUP 180x180x12.5</v>
      </c>
    </row>
    <row r="515" spans="1:3" x14ac:dyDescent="0.3">
      <c r="A515" t="str">
        <f>IF(AND(FORSIDE!$B$8&gt;=9,FORSIDE!$F$8&gt;=2,FORSIDE!$B$5&gt;=4),"S514","")</f>
        <v/>
      </c>
      <c r="B515" t="str">
        <f>IF(AND(FORSIDE!$B$8&gt;=9,FORSIDE!$F$8&gt;=2,FORSIDE!$B$5&gt;=4),"565 -&gt; 566","")</f>
        <v/>
      </c>
      <c r="C515" t="str">
        <f>FORSIDE!$C$4</f>
        <v>S355, Stål / KFHUP 180x180x12.5</v>
      </c>
    </row>
    <row r="516" spans="1:3" x14ac:dyDescent="0.3">
      <c r="A516" t="str">
        <f>IF(AND(FORSIDE!$B$8&gt;=9,FORSIDE!$F$8&gt;=2,FORSIDE!$B$5&gt;=5),"S515","")</f>
        <v/>
      </c>
      <c r="B516" t="str">
        <f>IF(AND(FORSIDE!$B$8&gt;=9,FORSIDE!$F$8&gt;=2,FORSIDE!$B$5&gt;=5),"566 -&gt; 567","")</f>
        <v/>
      </c>
      <c r="C516" t="str">
        <f>FORSIDE!$C$4</f>
        <v>S355, Stål / KFHUP 180x180x12.5</v>
      </c>
    </row>
    <row r="517" spans="1:3" x14ac:dyDescent="0.3">
      <c r="A517" t="str">
        <f>IF(AND(FORSIDE!$B$8&gt;=9,FORSIDE!$F$8&gt;=2,FORSIDE!$B$5&gt;=6),"S516","")</f>
        <v/>
      </c>
      <c r="B517" t="str">
        <f>IF(AND(FORSIDE!$B$8&gt;=9,FORSIDE!$F$8&gt;=2,FORSIDE!$B$5&gt;=6),"567 -&gt; 568","")</f>
        <v/>
      </c>
      <c r="C517" t="str">
        <f>FORSIDE!$C$4</f>
        <v>S355, Stål / KFHUP 180x180x12.5</v>
      </c>
    </row>
    <row r="518" spans="1:3" x14ac:dyDescent="0.3">
      <c r="A518" t="str">
        <f>IF(AND(FORSIDE!$B$8&gt;=9,FORSIDE!$F$8&gt;=2,FORSIDE!$B$5&gt;=7),"S517","")</f>
        <v/>
      </c>
      <c r="B518" t="str">
        <f>IF(AND(FORSIDE!$B$8&gt;=9,FORSIDE!$F$8&gt;=2,FORSIDE!$B$5&gt;=7),"568 -&gt; 569","")</f>
        <v/>
      </c>
      <c r="C518" t="str">
        <f>FORSIDE!$C$4</f>
        <v>S355, Stål / KFHUP 180x180x12.5</v>
      </c>
    </row>
    <row r="519" spans="1:3" x14ac:dyDescent="0.3">
      <c r="A519" t="str">
        <f>IF(AND(FORSIDE!$B$8&gt;=9,FORSIDE!$F$8&gt;=2,FORSIDE!$B$5&gt;=8),"S518","")</f>
        <v/>
      </c>
      <c r="B519" t="str">
        <f>IF(AND(FORSIDE!$B$8&gt;=9,FORSIDE!$F$8&gt;=2,FORSIDE!$B$5&gt;=8),"569 -&gt; 570","")</f>
        <v/>
      </c>
      <c r="C519" t="str">
        <f>FORSIDE!$C$4</f>
        <v>S355, Stål / KFHUP 180x180x12.5</v>
      </c>
    </row>
    <row r="520" spans="1:3" x14ac:dyDescent="0.3">
      <c r="A520" t="str">
        <f>IF(AND(FORSIDE!$B$8&gt;=9,FORSIDE!$F$8&gt;=2,FORSIDE!$B$5&gt;=9),"S519","")</f>
        <v/>
      </c>
      <c r="B520" t="str">
        <f>IF(AND(FORSIDE!$B$8&gt;=9,FORSIDE!$F$8&gt;=2,FORSIDE!$B$5&gt;=9),"570 -&gt; 571","")</f>
        <v/>
      </c>
      <c r="C520" t="str">
        <f>FORSIDE!$C$4</f>
        <v>S355, Stål / KFHUP 180x180x12.5</v>
      </c>
    </row>
    <row r="521" spans="1:3" x14ac:dyDescent="0.3">
      <c r="A521" t="str">
        <f>IF(AND(FORSIDE!$B$8&gt;=9,FORSIDE!$F$8&gt;=2,FORSIDE!$B$5&gt;=10),"S520","")</f>
        <v/>
      </c>
      <c r="B521" t="str">
        <f>IF(AND(FORSIDE!$B$8&gt;=9,FORSIDE!$F$8&gt;=2,FORSIDE!$B$5&gt;=10),"571 -&gt; 572","")</f>
        <v/>
      </c>
      <c r="C521" t="str">
        <f>FORSIDE!$C$4</f>
        <v>S355, Stål / KFHUP 180x180x12.5</v>
      </c>
    </row>
    <row r="522" spans="1:3" x14ac:dyDescent="0.3">
      <c r="A522" t="str">
        <f>IF(AND(FORSIDE!$B$8&gt;=10,FORSIDE!$F$8&gt;=2,FORSIDE!$B$5&gt;=1),"S521","")</f>
        <v/>
      </c>
      <c r="B522" t="str">
        <f>IF(AND(FORSIDE!$B$8&gt;=10,FORSIDE!$F$8&gt;=2,FORSIDE!$B$5&gt;=1),"573 -&gt; 574","")</f>
        <v/>
      </c>
      <c r="C522" t="str">
        <f>FORSIDE!$C$4</f>
        <v>S355, Stål / KFHUP 180x180x12.5</v>
      </c>
    </row>
    <row r="523" spans="1:3" x14ac:dyDescent="0.3">
      <c r="A523" t="str">
        <f>IF(AND(FORSIDE!$B$8&gt;=10,FORSIDE!$F$8&gt;=2,FORSIDE!$B$5&gt;=2),"S522","")</f>
        <v/>
      </c>
      <c r="B523" t="str">
        <f>IF(AND(FORSIDE!$B$8&gt;=10,FORSIDE!$F$8&gt;=2,FORSIDE!$B$5&gt;=2),"574 -&gt; 575","")</f>
        <v/>
      </c>
      <c r="C523" t="str">
        <f>FORSIDE!$C$4</f>
        <v>S355, Stål / KFHUP 180x180x12.5</v>
      </c>
    </row>
    <row r="524" spans="1:3" x14ac:dyDescent="0.3">
      <c r="A524" t="str">
        <f>IF(AND(FORSIDE!$B$8&gt;=10,FORSIDE!$F$8&gt;=2,FORSIDE!$B$5&gt;=3),"S523","")</f>
        <v/>
      </c>
      <c r="B524" t="str">
        <f>IF(AND(FORSIDE!$B$8&gt;=10,FORSIDE!$F$8&gt;=2,FORSIDE!$B$5&gt;=3),"575 -&gt; 576","")</f>
        <v/>
      </c>
      <c r="C524" t="str">
        <f>FORSIDE!$C$4</f>
        <v>S355, Stål / KFHUP 180x180x12.5</v>
      </c>
    </row>
    <row r="525" spans="1:3" x14ac:dyDescent="0.3">
      <c r="A525" t="str">
        <f>IF(AND(FORSIDE!$B$8&gt;=10,FORSIDE!$F$8&gt;=2,FORSIDE!$B$5&gt;=4),"S524","")</f>
        <v/>
      </c>
      <c r="B525" t="str">
        <f>IF(AND(FORSIDE!$B$8&gt;=10,FORSIDE!$F$8&gt;=2,FORSIDE!$B$5&gt;=4),"576 -&gt; 577","")</f>
        <v/>
      </c>
      <c r="C525" t="str">
        <f>FORSIDE!$C$4</f>
        <v>S355, Stål / KFHUP 180x180x12.5</v>
      </c>
    </row>
    <row r="526" spans="1:3" x14ac:dyDescent="0.3">
      <c r="A526" t="str">
        <f>IF(AND(FORSIDE!$B$8&gt;=10,FORSIDE!$F$8&gt;=2,FORSIDE!$B$5&gt;=5),"S525","")</f>
        <v/>
      </c>
      <c r="B526" t="str">
        <f>IF(AND(FORSIDE!$B$8&gt;=10,FORSIDE!$F$8&gt;=2,FORSIDE!$B$5&gt;=5),"577 -&gt; 578","")</f>
        <v/>
      </c>
      <c r="C526" t="str">
        <f>FORSIDE!$C$4</f>
        <v>S355, Stål / KFHUP 180x180x12.5</v>
      </c>
    </row>
    <row r="527" spans="1:3" x14ac:dyDescent="0.3">
      <c r="A527" t="str">
        <f>IF(AND(FORSIDE!$B$8&gt;=10,FORSIDE!$F$8&gt;=2,FORSIDE!$B$5&gt;=6),"S526","")</f>
        <v/>
      </c>
      <c r="B527" t="str">
        <f>IF(AND(FORSIDE!$B$8&gt;=10,FORSIDE!$F$8&gt;=2,FORSIDE!$B$5&gt;=6),"578 -&gt; 579","")</f>
        <v/>
      </c>
      <c r="C527" t="str">
        <f>FORSIDE!$C$4</f>
        <v>S355, Stål / KFHUP 180x180x12.5</v>
      </c>
    </row>
    <row r="528" spans="1:3" x14ac:dyDescent="0.3">
      <c r="A528" t="str">
        <f>IF(AND(FORSIDE!$B$8&gt;=10,FORSIDE!$F$8&gt;=2,FORSIDE!$B$5&gt;=7),"S527","")</f>
        <v/>
      </c>
      <c r="B528" t="str">
        <f>IF(AND(FORSIDE!$B$8&gt;=10,FORSIDE!$F$8&gt;=2,FORSIDE!$B$5&gt;=7),"579 -&gt; 580","")</f>
        <v/>
      </c>
      <c r="C528" t="str">
        <f>FORSIDE!$C$4</f>
        <v>S355, Stål / KFHUP 180x180x12.5</v>
      </c>
    </row>
    <row r="529" spans="1:3" x14ac:dyDescent="0.3">
      <c r="A529" t="str">
        <f>IF(AND(FORSIDE!$B$8&gt;=10,FORSIDE!$F$8&gt;=2,FORSIDE!$B$5&gt;=8),"S528","")</f>
        <v/>
      </c>
      <c r="B529" t="str">
        <f>IF(AND(FORSIDE!$B$8&gt;=10,FORSIDE!$F$8&gt;=2,FORSIDE!$B$5&gt;=8),"580 -&gt; 581","")</f>
        <v/>
      </c>
      <c r="C529" t="str">
        <f>FORSIDE!$C$4</f>
        <v>S355, Stål / KFHUP 180x180x12.5</v>
      </c>
    </row>
    <row r="530" spans="1:3" x14ac:dyDescent="0.3">
      <c r="A530" t="str">
        <f>IF(AND(FORSIDE!$B$8&gt;=10,FORSIDE!$F$8&gt;=2,FORSIDE!$B$5&gt;=9),"S529","")</f>
        <v/>
      </c>
      <c r="B530" t="str">
        <f>IF(AND(FORSIDE!$B$8&gt;=10,FORSIDE!$F$8&gt;=2,FORSIDE!$B$5&gt;=9),"581 -&gt; 582","")</f>
        <v/>
      </c>
      <c r="C530" t="str">
        <f>FORSIDE!$C$4</f>
        <v>S355, Stål / KFHUP 180x180x12.5</v>
      </c>
    </row>
    <row r="531" spans="1:3" x14ac:dyDescent="0.3">
      <c r="A531" t="str">
        <f>IF(AND(FORSIDE!$B$8&gt;=10,FORSIDE!$F$8&gt;=2,FORSIDE!$B$5&gt;=10),"S530","")</f>
        <v/>
      </c>
      <c r="B531" t="str">
        <f>IF(AND(FORSIDE!$B$8&gt;=10,FORSIDE!$F$8&gt;=2,FORSIDE!$B$5&gt;=10),"582 -&gt; 583","")</f>
        <v/>
      </c>
      <c r="C531" t="str">
        <f>FORSIDE!$C$4</f>
        <v>S355, Stål / KFHUP 180x180x12.5</v>
      </c>
    </row>
    <row r="532" spans="1:3" x14ac:dyDescent="0.3">
      <c r="A532" t="str">
        <f>IF(AND(FORSIDE!$B$8&gt;=11,FORSIDE!$F$8&gt;=2,FORSIDE!$B$5&gt;=1),"S531","")</f>
        <v/>
      </c>
      <c r="B532" t="str">
        <f>IF(AND(FORSIDE!$B$8&gt;=11,FORSIDE!$F$8&gt;=2,FORSIDE!$B$5&gt;=1),"584 -&gt; 585","")</f>
        <v/>
      </c>
      <c r="C532" t="str">
        <f>FORSIDE!$C$4</f>
        <v>S355, Stål / KFHUP 180x180x12.5</v>
      </c>
    </row>
    <row r="533" spans="1:3" x14ac:dyDescent="0.3">
      <c r="A533" t="str">
        <f>IF(AND(FORSIDE!$B$8&gt;=11,FORSIDE!$F$8&gt;=2,FORSIDE!$B$5&gt;=2),"S532","")</f>
        <v/>
      </c>
      <c r="B533" t="str">
        <f>IF(AND(FORSIDE!$B$8&gt;=11,FORSIDE!$F$8&gt;=2,FORSIDE!$B$5&gt;=2),"585 -&gt; 586","")</f>
        <v/>
      </c>
      <c r="C533" t="str">
        <f>FORSIDE!$C$4</f>
        <v>S355, Stål / KFHUP 180x180x12.5</v>
      </c>
    </row>
    <row r="534" spans="1:3" x14ac:dyDescent="0.3">
      <c r="A534" t="str">
        <f>IF(AND(FORSIDE!$B$8&gt;=11,FORSIDE!$F$8&gt;=2,FORSIDE!$B$5&gt;=3),"S533","")</f>
        <v/>
      </c>
      <c r="B534" t="str">
        <f>IF(AND(FORSIDE!$B$8&gt;=11,FORSIDE!$F$8&gt;=2,FORSIDE!$B$5&gt;=3),"586 -&gt; 587","")</f>
        <v/>
      </c>
      <c r="C534" t="str">
        <f>FORSIDE!$C$4</f>
        <v>S355, Stål / KFHUP 180x180x12.5</v>
      </c>
    </row>
    <row r="535" spans="1:3" x14ac:dyDescent="0.3">
      <c r="A535" t="str">
        <f>IF(AND(FORSIDE!$B$8&gt;=11,FORSIDE!$F$8&gt;=2,FORSIDE!$B$5&gt;=4),"S534","")</f>
        <v/>
      </c>
      <c r="B535" t="str">
        <f>IF(AND(FORSIDE!$B$8&gt;=11,FORSIDE!$F$8&gt;=2,FORSIDE!$B$5&gt;=4),"587 -&gt; 588","")</f>
        <v/>
      </c>
      <c r="C535" t="str">
        <f>FORSIDE!$C$4</f>
        <v>S355, Stål / KFHUP 180x180x12.5</v>
      </c>
    </row>
    <row r="536" spans="1:3" x14ac:dyDescent="0.3">
      <c r="A536" t="str">
        <f>IF(AND(FORSIDE!$B$8&gt;=11,FORSIDE!$F$8&gt;=2,FORSIDE!$B$5&gt;=5),"S535","")</f>
        <v/>
      </c>
      <c r="B536" t="str">
        <f>IF(AND(FORSIDE!$B$8&gt;=11,FORSIDE!$F$8&gt;=2,FORSIDE!$B$5&gt;=5),"588 -&gt; 589","")</f>
        <v/>
      </c>
      <c r="C536" t="str">
        <f>FORSIDE!$C$4</f>
        <v>S355, Stål / KFHUP 180x180x12.5</v>
      </c>
    </row>
    <row r="537" spans="1:3" x14ac:dyDescent="0.3">
      <c r="A537" t="str">
        <f>IF(AND(FORSIDE!$B$8&gt;=11,FORSIDE!$F$8&gt;=2,FORSIDE!$B$5&gt;=6),"S536","")</f>
        <v/>
      </c>
      <c r="B537" t="str">
        <f>IF(AND(FORSIDE!$B$8&gt;=11,FORSIDE!$F$8&gt;=2,FORSIDE!$B$5&gt;=6),"589 -&gt; 590","")</f>
        <v/>
      </c>
      <c r="C537" t="str">
        <f>FORSIDE!$C$4</f>
        <v>S355, Stål / KFHUP 180x180x12.5</v>
      </c>
    </row>
    <row r="538" spans="1:3" x14ac:dyDescent="0.3">
      <c r="A538" t="str">
        <f>IF(AND(FORSIDE!$B$8&gt;=11,FORSIDE!$F$8&gt;=2,FORSIDE!$B$5&gt;=7),"S537","")</f>
        <v/>
      </c>
      <c r="B538" t="str">
        <f>IF(AND(FORSIDE!$B$8&gt;=11,FORSIDE!$F$8&gt;=2,FORSIDE!$B$5&gt;=7),"590 -&gt; 591","")</f>
        <v/>
      </c>
      <c r="C538" t="str">
        <f>FORSIDE!$C$4</f>
        <v>S355, Stål / KFHUP 180x180x12.5</v>
      </c>
    </row>
    <row r="539" spans="1:3" x14ac:dyDescent="0.3">
      <c r="A539" t="str">
        <f>IF(AND(FORSIDE!$B$8&gt;=11,FORSIDE!$F$8&gt;=2,FORSIDE!$B$5&gt;=8),"S538","")</f>
        <v/>
      </c>
      <c r="B539" t="str">
        <f>IF(AND(FORSIDE!$B$8&gt;=11,FORSIDE!$F$8&gt;=2,FORSIDE!$B$5&gt;=8),"591 -&gt; 592","")</f>
        <v/>
      </c>
      <c r="C539" t="str">
        <f>FORSIDE!$C$4</f>
        <v>S355, Stål / KFHUP 180x180x12.5</v>
      </c>
    </row>
    <row r="540" spans="1:3" x14ac:dyDescent="0.3">
      <c r="A540" t="str">
        <f>IF(AND(FORSIDE!$B$8&gt;=11,FORSIDE!$F$8&gt;=2,FORSIDE!$B$5&gt;=9),"S539","")</f>
        <v/>
      </c>
      <c r="B540" t="str">
        <f>IF(AND(FORSIDE!$B$8&gt;=11,FORSIDE!$F$8&gt;=2,FORSIDE!$B$5&gt;=9),"592 -&gt; 593","")</f>
        <v/>
      </c>
      <c r="C540" t="str">
        <f>FORSIDE!$C$4</f>
        <v>S355, Stål / KFHUP 180x180x12.5</v>
      </c>
    </row>
    <row r="541" spans="1:3" x14ac:dyDescent="0.3">
      <c r="A541" t="str">
        <f>IF(AND(FORSIDE!$B$8&gt;=11,FORSIDE!$F$8&gt;=2,FORSIDE!$B$5&gt;=10),"S540","")</f>
        <v/>
      </c>
      <c r="B541" t="str">
        <f>IF(AND(FORSIDE!$B$8&gt;=11,FORSIDE!$F$8&gt;=2,FORSIDE!$B$5&gt;=10),"593 -&gt; 594","")</f>
        <v/>
      </c>
      <c r="C541" t="str">
        <f>FORSIDE!$C$4</f>
        <v>S355, Stål / KFHUP 180x180x12.5</v>
      </c>
    </row>
    <row r="542" spans="1:3" x14ac:dyDescent="0.3">
      <c r="A542" t="str">
        <f>IF(AND(FORSIDE!$B$8&gt;=12,FORSIDE!$F$8&gt;=2,FORSIDE!$B$5&gt;=1),"S541","")</f>
        <v/>
      </c>
      <c r="B542" t="str">
        <f>IF(AND(FORSIDE!$B$8&gt;=12,FORSIDE!$F$8&gt;=2,FORSIDE!$B$5&gt;=1),"595 -&gt; 596","")</f>
        <v/>
      </c>
      <c r="C542" t="str">
        <f>FORSIDE!$C$4</f>
        <v>S355, Stål / KFHUP 180x180x12.5</v>
      </c>
    </row>
    <row r="543" spans="1:3" x14ac:dyDescent="0.3">
      <c r="A543" t="str">
        <f>IF(AND(FORSIDE!$B$8&gt;=12,FORSIDE!$F$8&gt;=2,FORSIDE!$B$5&gt;=2),"S542","")</f>
        <v/>
      </c>
      <c r="B543" t="str">
        <f>IF(AND(FORSIDE!$B$8&gt;=12,FORSIDE!$F$8&gt;=2,FORSIDE!$B$5&gt;=2),"596 -&gt; 597","")</f>
        <v/>
      </c>
      <c r="C543" t="str">
        <f>FORSIDE!$C$4</f>
        <v>S355, Stål / KFHUP 180x180x12.5</v>
      </c>
    </row>
    <row r="544" spans="1:3" x14ac:dyDescent="0.3">
      <c r="A544" t="str">
        <f>IF(AND(FORSIDE!$B$8&gt;=12,FORSIDE!$F$8&gt;=2,FORSIDE!$B$5&gt;=3),"S543","")</f>
        <v/>
      </c>
      <c r="B544" t="str">
        <f>IF(AND(FORSIDE!$B$8&gt;=12,FORSIDE!$F$8&gt;=2,FORSIDE!$B$5&gt;=3),"597 -&gt; 598","")</f>
        <v/>
      </c>
      <c r="C544" t="str">
        <f>FORSIDE!$C$4</f>
        <v>S355, Stål / KFHUP 180x180x12.5</v>
      </c>
    </row>
    <row r="545" spans="1:3" x14ac:dyDescent="0.3">
      <c r="A545" t="str">
        <f>IF(AND(FORSIDE!$B$8&gt;=12,FORSIDE!$F$8&gt;=2,FORSIDE!$B$5&gt;=4),"S544","")</f>
        <v/>
      </c>
      <c r="B545" t="str">
        <f>IF(AND(FORSIDE!$B$8&gt;=12,FORSIDE!$F$8&gt;=2,FORSIDE!$B$5&gt;=4),"598 -&gt; 599","")</f>
        <v/>
      </c>
      <c r="C545" t="str">
        <f>FORSIDE!$C$4</f>
        <v>S355, Stål / KFHUP 180x180x12.5</v>
      </c>
    </row>
    <row r="546" spans="1:3" x14ac:dyDescent="0.3">
      <c r="A546" t="str">
        <f>IF(AND(FORSIDE!$B$8&gt;=12,FORSIDE!$F$8&gt;=2,FORSIDE!$B$5&gt;=5),"S545","")</f>
        <v/>
      </c>
      <c r="B546" t="str">
        <f>IF(AND(FORSIDE!$B$8&gt;=12,FORSIDE!$F$8&gt;=2,FORSIDE!$B$5&gt;=5),"599 -&gt; 600","")</f>
        <v/>
      </c>
      <c r="C546" t="str">
        <f>FORSIDE!$C$4</f>
        <v>S355, Stål / KFHUP 180x180x12.5</v>
      </c>
    </row>
    <row r="547" spans="1:3" x14ac:dyDescent="0.3">
      <c r="A547" t="str">
        <f>IF(AND(FORSIDE!$B$8&gt;=12,FORSIDE!$F$8&gt;=2,FORSIDE!$B$5&gt;=6),"S546","")</f>
        <v/>
      </c>
      <c r="B547" t="str">
        <f>IF(AND(FORSIDE!$B$8&gt;=12,FORSIDE!$F$8&gt;=2,FORSIDE!$B$5&gt;=6),"600 -&gt; 601","")</f>
        <v/>
      </c>
      <c r="C547" t="str">
        <f>FORSIDE!$C$4</f>
        <v>S355, Stål / KFHUP 180x180x12.5</v>
      </c>
    </row>
    <row r="548" spans="1:3" x14ac:dyDescent="0.3">
      <c r="A548" t="str">
        <f>IF(AND(FORSIDE!$B$8&gt;=12,FORSIDE!$F$8&gt;=2,FORSIDE!$B$5&gt;=7),"S547","")</f>
        <v/>
      </c>
      <c r="B548" t="str">
        <f>IF(AND(FORSIDE!$B$8&gt;=12,FORSIDE!$F$8&gt;=2,FORSIDE!$B$5&gt;=7),"601 -&gt; 602","")</f>
        <v/>
      </c>
      <c r="C548" t="str">
        <f>FORSIDE!$C$4</f>
        <v>S355, Stål / KFHUP 180x180x12.5</v>
      </c>
    </row>
    <row r="549" spans="1:3" x14ac:dyDescent="0.3">
      <c r="A549" t="str">
        <f>IF(AND(FORSIDE!$B$8&gt;=12,FORSIDE!$F$8&gt;=2,FORSIDE!$B$5&gt;=8),"S548","")</f>
        <v/>
      </c>
      <c r="B549" t="str">
        <f>IF(AND(FORSIDE!$B$8&gt;=12,FORSIDE!$F$8&gt;=2,FORSIDE!$B$5&gt;=8),"602 -&gt; 603","")</f>
        <v/>
      </c>
      <c r="C549" t="str">
        <f>FORSIDE!$C$4</f>
        <v>S355, Stål / KFHUP 180x180x12.5</v>
      </c>
    </row>
    <row r="550" spans="1:3" x14ac:dyDescent="0.3">
      <c r="A550" t="str">
        <f>IF(AND(FORSIDE!$B$8&gt;=12,FORSIDE!$F$8&gt;=2,FORSIDE!$B$5&gt;=9),"S549","")</f>
        <v/>
      </c>
      <c r="B550" t="str">
        <f>IF(AND(FORSIDE!$B$8&gt;=12,FORSIDE!$F$8&gt;=2,FORSIDE!$B$5&gt;=9),"603 -&gt; 604","")</f>
        <v/>
      </c>
      <c r="C550" t="str">
        <f>FORSIDE!$C$4</f>
        <v>S355, Stål / KFHUP 180x180x12.5</v>
      </c>
    </row>
    <row r="551" spans="1:3" x14ac:dyDescent="0.3">
      <c r="A551" t="str">
        <f>IF(AND(FORSIDE!$B$8&gt;=12,FORSIDE!$F$8&gt;=2,FORSIDE!$B$5&gt;=10),"S550","")</f>
        <v/>
      </c>
      <c r="B551" t="str">
        <f>IF(AND(FORSIDE!$B$8&gt;=12,FORSIDE!$F$8&gt;=2,FORSIDE!$B$5&gt;=10),"604 -&gt; 605","")</f>
        <v/>
      </c>
      <c r="C551" t="str">
        <f>FORSIDE!$C$4</f>
        <v>S355, Stål / KFHUP 180x180x12.5</v>
      </c>
    </row>
    <row r="552" spans="1:3" x14ac:dyDescent="0.3">
      <c r="A552" t="str">
        <f>IF(AND(FORSIDE!$B$8&gt;=13,FORSIDE!$F$8&gt;=2,FORSIDE!$B$5&gt;=1),"S551","")</f>
        <v/>
      </c>
      <c r="B552" t="str">
        <f>IF(AND(FORSIDE!$B$8&gt;=13,FORSIDE!$F$8&gt;=2,FORSIDE!$B$5&gt;=1),"606 -&gt; 607","")</f>
        <v/>
      </c>
      <c r="C552" t="str">
        <f>FORSIDE!$C$4</f>
        <v>S355, Stål / KFHUP 180x180x12.5</v>
      </c>
    </row>
    <row r="553" spans="1:3" x14ac:dyDescent="0.3">
      <c r="A553" t="str">
        <f>IF(AND(FORSIDE!$B$8&gt;=13,FORSIDE!$F$8&gt;=2,FORSIDE!$B$5&gt;=2),"S552","")</f>
        <v/>
      </c>
      <c r="B553" t="str">
        <f>IF(AND(FORSIDE!$B$8&gt;=13,FORSIDE!$F$8&gt;=2,FORSIDE!$B$5&gt;=2),"607 -&gt; 608","")</f>
        <v/>
      </c>
      <c r="C553" t="str">
        <f>FORSIDE!$C$4</f>
        <v>S355, Stål / KFHUP 180x180x12.5</v>
      </c>
    </row>
    <row r="554" spans="1:3" x14ac:dyDescent="0.3">
      <c r="A554" t="str">
        <f>IF(AND(FORSIDE!$B$8&gt;=13,FORSIDE!$F$8&gt;=2,FORSIDE!$B$5&gt;=3),"S553","")</f>
        <v/>
      </c>
      <c r="B554" t="str">
        <f>IF(AND(FORSIDE!$B$8&gt;=13,FORSIDE!$F$8&gt;=2,FORSIDE!$B$5&gt;=3),"608 -&gt; 609","")</f>
        <v/>
      </c>
      <c r="C554" t="str">
        <f>FORSIDE!$C$4</f>
        <v>S355, Stål / KFHUP 180x180x12.5</v>
      </c>
    </row>
    <row r="555" spans="1:3" x14ac:dyDescent="0.3">
      <c r="A555" t="str">
        <f>IF(AND(FORSIDE!$B$8&gt;=13,FORSIDE!$F$8&gt;=2,FORSIDE!$B$5&gt;=4),"S554","")</f>
        <v/>
      </c>
      <c r="B555" t="str">
        <f>IF(AND(FORSIDE!$B$8&gt;=13,FORSIDE!$F$8&gt;=2,FORSIDE!$B$5&gt;=4),"609 -&gt; 610","")</f>
        <v/>
      </c>
      <c r="C555" t="str">
        <f>FORSIDE!$C$4</f>
        <v>S355, Stål / KFHUP 180x180x12.5</v>
      </c>
    </row>
    <row r="556" spans="1:3" x14ac:dyDescent="0.3">
      <c r="A556" t="str">
        <f>IF(AND(FORSIDE!$B$8&gt;=13,FORSIDE!$F$8&gt;=2,FORSIDE!$B$5&gt;=5),"S555","")</f>
        <v/>
      </c>
      <c r="B556" t="str">
        <f>IF(AND(FORSIDE!$B$8&gt;=13,FORSIDE!$F$8&gt;=2,FORSIDE!$B$5&gt;=5),"610 -&gt; 611","")</f>
        <v/>
      </c>
      <c r="C556" t="str">
        <f>FORSIDE!$C$4</f>
        <v>S355, Stål / KFHUP 180x180x12.5</v>
      </c>
    </row>
    <row r="557" spans="1:3" x14ac:dyDescent="0.3">
      <c r="A557" t="str">
        <f>IF(AND(FORSIDE!$B$8&gt;=13,FORSIDE!$F$8&gt;=2,FORSIDE!$B$5&gt;=6),"S556","")</f>
        <v/>
      </c>
      <c r="B557" t="str">
        <f>IF(AND(FORSIDE!$B$8&gt;=13,FORSIDE!$F$8&gt;=2,FORSIDE!$B$5&gt;=6),"611 -&gt; 612","")</f>
        <v/>
      </c>
      <c r="C557" t="str">
        <f>FORSIDE!$C$4</f>
        <v>S355, Stål / KFHUP 180x180x12.5</v>
      </c>
    </row>
    <row r="558" spans="1:3" x14ac:dyDescent="0.3">
      <c r="A558" t="str">
        <f>IF(AND(FORSIDE!$B$8&gt;=13,FORSIDE!$F$8&gt;=2,FORSIDE!$B$5&gt;=7),"S557","")</f>
        <v/>
      </c>
      <c r="B558" t="str">
        <f>IF(AND(FORSIDE!$B$8&gt;=13,FORSIDE!$F$8&gt;=2,FORSIDE!$B$5&gt;=7),"612 -&gt; 613","")</f>
        <v/>
      </c>
      <c r="C558" t="str">
        <f>FORSIDE!$C$4</f>
        <v>S355, Stål / KFHUP 180x180x12.5</v>
      </c>
    </row>
    <row r="559" spans="1:3" x14ac:dyDescent="0.3">
      <c r="A559" t="str">
        <f>IF(AND(FORSIDE!$B$8&gt;=13,FORSIDE!$F$8&gt;=2,FORSIDE!$B$5&gt;=8),"S558","")</f>
        <v/>
      </c>
      <c r="B559" t="str">
        <f>IF(AND(FORSIDE!$B$8&gt;=13,FORSIDE!$F$8&gt;=2,FORSIDE!$B$5&gt;=8),"613 -&gt; 614","")</f>
        <v/>
      </c>
      <c r="C559" t="str">
        <f>FORSIDE!$C$4</f>
        <v>S355, Stål / KFHUP 180x180x12.5</v>
      </c>
    </row>
    <row r="560" spans="1:3" x14ac:dyDescent="0.3">
      <c r="A560" t="str">
        <f>IF(AND(FORSIDE!$B$8&gt;=13,FORSIDE!$F$8&gt;=2,FORSIDE!$B$5&gt;=9),"S559","")</f>
        <v/>
      </c>
      <c r="B560" t="str">
        <f>IF(AND(FORSIDE!$B$8&gt;=13,FORSIDE!$F$8&gt;=2,FORSIDE!$B$5&gt;=9),"614 -&gt; 615","")</f>
        <v/>
      </c>
      <c r="C560" t="str">
        <f>FORSIDE!$C$4</f>
        <v>S355, Stål / KFHUP 180x180x12.5</v>
      </c>
    </row>
    <row r="561" spans="1:3" x14ac:dyDescent="0.3">
      <c r="A561" t="str">
        <f>IF(AND(FORSIDE!$B$8&gt;=13,FORSIDE!$F$8&gt;=2,FORSIDE!$B$5&gt;=10),"S560","")</f>
        <v/>
      </c>
      <c r="B561" t="str">
        <f>IF(AND(FORSIDE!$B$8&gt;=13,FORSIDE!$F$8&gt;=2,FORSIDE!$B$5&gt;=10),"615 -&gt; 616","")</f>
        <v/>
      </c>
      <c r="C561" t="str">
        <f>FORSIDE!$C$4</f>
        <v>S355, Stål / KFHUP 180x180x12.5</v>
      </c>
    </row>
    <row r="562" spans="1:3" x14ac:dyDescent="0.3">
      <c r="A562" t="str">
        <f>IF(AND(FORSIDE!$B$8&gt;=14,FORSIDE!$F$8&gt;=2,FORSIDE!$B$5&gt;=1),"S561","")</f>
        <v/>
      </c>
      <c r="B562" t="str">
        <f>IF(AND(FORSIDE!$B$8&gt;=14,FORSIDE!$F$8&gt;=2,FORSIDE!$B$5&gt;=1),"617 -&gt; 618","")</f>
        <v/>
      </c>
      <c r="C562" t="str">
        <f>FORSIDE!$C$4</f>
        <v>S355, Stål / KFHUP 180x180x12.5</v>
      </c>
    </row>
    <row r="563" spans="1:3" x14ac:dyDescent="0.3">
      <c r="A563" t="str">
        <f>IF(AND(FORSIDE!$B$8&gt;=14,FORSIDE!$F$8&gt;=2,FORSIDE!$B$5&gt;=2),"S562","")</f>
        <v/>
      </c>
      <c r="B563" t="str">
        <f>IF(AND(FORSIDE!$B$8&gt;=14,FORSIDE!$F$8&gt;=2,FORSIDE!$B$5&gt;=2),"618 -&gt; 619","")</f>
        <v/>
      </c>
      <c r="C563" t="str">
        <f>FORSIDE!$C$4</f>
        <v>S355, Stål / KFHUP 180x180x12.5</v>
      </c>
    </row>
    <row r="564" spans="1:3" x14ac:dyDescent="0.3">
      <c r="A564" t="str">
        <f>IF(AND(FORSIDE!$B$8&gt;=14,FORSIDE!$F$8&gt;=2,FORSIDE!$B$5&gt;=3),"S563","")</f>
        <v/>
      </c>
      <c r="B564" t="str">
        <f>IF(AND(FORSIDE!$B$8&gt;=14,FORSIDE!$F$8&gt;=2,FORSIDE!$B$5&gt;=3),"619 -&gt; 620","")</f>
        <v/>
      </c>
      <c r="C564" t="str">
        <f>FORSIDE!$C$4</f>
        <v>S355, Stål / KFHUP 180x180x12.5</v>
      </c>
    </row>
    <row r="565" spans="1:3" x14ac:dyDescent="0.3">
      <c r="A565" t="str">
        <f>IF(AND(FORSIDE!$B$8&gt;=14,FORSIDE!$F$8&gt;=2,FORSIDE!$B$5&gt;=4),"S564","")</f>
        <v/>
      </c>
      <c r="B565" t="str">
        <f>IF(AND(FORSIDE!$B$8&gt;=14,FORSIDE!$F$8&gt;=2,FORSIDE!$B$5&gt;=4),"620 -&gt; 621","")</f>
        <v/>
      </c>
      <c r="C565" t="str">
        <f>FORSIDE!$C$4</f>
        <v>S355, Stål / KFHUP 180x180x12.5</v>
      </c>
    </row>
    <row r="566" spans="1:3" x14ac:dyDescent="0.3">
      <c r="A566" t="str">
        <f>IF(AND(FORSIDE!$B$8&gt;=14,FORSIDE!$F$8&gt;=2,FORSIDE!$B$5&gt;=5),"S565","")</f>
        <v/>
      </c>
      <c r="B566" t="str">
        <f>IF(AND(FORSIDE!$B$8&gt;=14,FORSIDE!$F$8&gt;=2,FORSIDE!$B$5&gt;=5),"621 -&gt; 622","")</f>
        <v/>
      </c>
      <c r="C566" t="str">
        <f>FORSIDE!$C$4</f>
        <v>S355, Stål / KFHUP 180x180x12.5</v>
      </c>
    </row>
    <row r="567" spans="1:3" x14ac:dyDescent="0.3">
      <c r="A567" t="str">
        <f>IF(AND(FORSIDE!$B$8&gt;=14,FORSIDE!$F$8&gt;=2,FORSIDE!$B$5&gt;=6),"S566","")</f>
        <v/>
      </c>
      <c r="B567" t="str">
        <f>IF(AND(FORSIDE!$B$8&gt;=14,FORSIDE!$F$8&gt;=2,FORSIDE!$B$5&gt;=6),"622 -&gt; 623","")</f>
        <v/>
      </c>
      <c r="C567" t="str">
        <f>FORSIDE!$C$4</f>
        <v>S355, Stål / KFHUP 180x180x12.5</v>
      </c>
    </row>
    <row r="568" spans="1:3" x14ac:dyDescent="0.3">
      <c r="A568" t="str">
        <f>IF(AND(FORSIDE!$B$8&gt;=14,FORSIDE!$F$8&gt;=2,FORSIDE!$B$5&gt;=7),"S567","")</f>
        <v/>
      </c>
      <c r="B568" t="str">
        <f>IF(AND(FORSIDE!$B$8&gt;=14,FORSIDE!$F$8&gt;=2,FORSIDE!$B$5&gt;=7),"623 -&gt; 624","")</f>
        <v/>
      </c>
      <c r="C568" t="str">
        <f>FORSIDE!$C$4</f>
        <v>S355, Stål / KFHUP 180x180x12.5</v>
      </c>
    </row>
    <row r="569" spans="1:3" x14ac:dyDescent="0.3">
      <c r="A569" t="str">
        <f>IF(AND(FORSIDE!$B$8&gt;=14,FORSIDE!$F$8&gt;=2,FORSIDE!$B$5&gt;=8),"S568","")</f>
        <v/>
      </c>
      <c r="B569" t="str">
        <f>IF(AND(FORSIDE!$B$8&gt;=14,FORSIDE!$F$8&gt;=2,FORSIDE!$B$5&gt;=8),"624 -&gt; 625","")</f>
        <v/>
      </c>
      <c r="C569" t="str">
        <f>FORSIDE!$C$4</f>
        <v>S355, Stål / KFHUP 180x180x12.5</v>
      </c>
    </row>
    <row r="570" spans="1:3" x14ac:dyDescent="0.3">
      <c r="A570" t="str">
        <f>IF(AND(FORSIDE!$B$8&gt;=14,FORSIDE!$F$8&gt;=2,FORSIDE!$B$5&gt;=9),"S569","")</f>
        <v/>
      </c>
      <c r="B570" t="str">
        <f>IF(AND(FORSIDE!$B$8&gt;=14,FORSIDE!$F$8&gt;=2,FORSIDE!$B$5&gt;=9),"625 -&gt; 626","")</f>
        <v/>
      </c>
      <c r="C570" t="str">
        <f>FORSIDE!$C$4</f>
        <v>S355, Stål / KFHUP 180x180x12.5</v>
      </c>
    </row>
    <row r="571" spans="1:3" x14ac:dyDescent="0.3">
      <c r="A571" t="str">
        <f>IF(AND(FORSIDE!$B$8&gt;=14,FORSIDE!$F$8&gt;=2,FORSIDE!$B$5&gt;=10),"S570","")</f>
        <v/>
      </c>
      <c r="B571" t="str">
        <f>IF(AND(FORSIDE!$B$8&gt;=14,FORSIDE!$F$8&gt;=2,FORSIDE!$B$5&gt;=10),"626 -&gt; 627","")</f>
        <v/>
      </c>
      <c r="C571" t="str">
        <f>FORSIDE!$C$4</f>
        <v>S355, Stål / KFHUP 180x180x12.5</v>
      </c>
    </row>
    <row r="572" spans="1:3" x14ac:dyDescent="0.3">
      <c r="A572" t="str">
        <f>IF(AND(FORSIDE!$B$8&gt;=15,FORSIDE!$F$8&gt;=2,FORSIDE!$B$5&gt;=1),"S571","")</f>
        <v/>
      </c>
      <c r="B572" t="str">
        <f>IF(AND(FORSIDE!$B$8&gt;=15,FORSIDE!$F$8&gt;=2,FORSIDE!$B$5&gt;=1),"628 -&gt; 629","")</f>
        <v/>
      </c>
      <c r="C572" t="str">
        <f>FORSIDE!$C$4</f>
        <v>S355, Stål / KFHUP 180x180x12.5</v>
      </c>
    </row>
    <row r="573" spans="1:3" x14ac:dyDescent="0.3">
      <c r="A573" t="str">
        <f>IF(AND(FORSIDE!$B$8&gt;=15,FORSIDE!$F$8&gt;=2,FORSIDE!$B$5&gt;=2),"S572","")</f>
        <v/>
      </c>
      <c r="B573" t="str">
        <f>IF(AND(FORSIDE!$B$8&gt;=15,FORSIDE!$F$8&gt;=2,FORSIDE!$B$5&gt;=2),"629 -&gt; 630","")</f>
        <v/>
      </c>
      <c r="C573" t="str">
        <f>FORSIDE!$C$4</f>
        <v>S355, Stål / KFHUP 180x180x12.5</v>
      </c>
    </row>
    <row r="574" spans="1:3" x14ac:dyDescent="0.3">
      <c r="A574" t="str">
        <f>IF(AND(FORSIDE!$B$8&gt;=15,FORSIDE!$F$8&gt;=2,FORSIDE!$B$5&gt;=3),"S573","")</f>
        <v/>
      </c>
      <c r="B574" t="str">
        <f>IF(AND(FORSIDE!$B$8&gt;=15,FORSIDE!$F$8&gt;=2,FORSIDE!$B$5&gt;=3),"630 -&gt; 631","")</f>
        <v/>
      </c>
      <c r="C574" t="str">
        <f>FORSIDE!$C$4</f>
        <v>S355, Stål / KFHUP 180x180x12.5</v>
      </c>
    </row>
    <row r="575" spans="1:3" x14ac:dyDescent="0.3">
      <c r="A575" t="str">
        <f>IF(AND(FORSIDE!$B$8&gt;=15,FORSIDE!$F$8&gt;=2,FORSIDE!$B$5&gt;=4),"S574","")</f>
        <v/>
      </c>
      <c r="B575" t="str">
        <f>IF(AND(FORSIDE!$B$8&gt;=15,FORSIDE!$F$8&gt;=2,FORSIDE!$B$5&gt;=4),"631 -&gt; 632","")</f>
        <v/>
      </c>
      <c r="C575" t="str">
        <f>FORSIDE!$C$4</f>
        <v>S355, Stål / KFHUP 180x180x12.5</v>
      </c>
    </row>
    <row r="576" spans="1:3" x14ac:dyDescent="0.3">
      <c r="A576" t="str">
        <f>IF(AND(FORSIDE!$B$8&gt;=15,FORSIDE!$F$8&gt;=2,FORSIDE!$B$5&gt;=5),"S575","")</f>
        <v/>
      </c>
      <c r="B576" t="str">
        <f>IF(AND(FORSIDE!$B$8&gt;=15,FORSIDE!$F$8&gt;=2,FORSIDE!$B$5&gt;=5),"632 -&gt; 633","")</f>
        <v/>
      </c>
      <c r="C576" t="str">
        <f>FORSIDE!$C$4</f>
        <v>S355, Stål / KFHUP 180x180x12.5</v>
      </c>
    </row>
    <row r="577" spans="1:3" x14ac:dyDescent="0.3">
      <c r="A577" t="str">
        <f>IF(AND(FORSIDE!$B$8&gt;=15,FORSIDE!$F$8&gt;=2,FORSIDE!$B$5&gt;=6),"S576","")</f>
        <v/>
      </c>
      <c r="B577" t="str">
        <f>IF(AND(FORSIDE!$B$8&gt;=15,FORSIDE!$F$8&gt;=2,FORSIDE!$B$5&gt;=6),"633 -&gt; 634","")</f>
        <v/>
      </c>
      <c r="C577" t="str">
        <f>FORSIDE!$C$4</f>
        <v>S355, Stål / KFHUP 180x180x12.5</v>
      </c>
    </row>
    <row r="578" spans="1:3" x14ac:dyDescent="0.3">
      <c r="A578" t="str">
        <f>IF(AND(FORSIDE!$B$8&gt;=15,FORSIDE!$F$8&gt;=2,FORSIDE!$B$5&gt;=7),"S577","")</f>
        <v/>
      </c>
      <c r="B578" t="str">
        <f>IF(AND(FORSIDE!$B$8&gt;=15,FORSIDE!$F$8&gt;=2,FORSIDE!$B$5&gt;=7),"634 -&gt; 635","")</f>
        <v/>
      </c>
      <c r="C578" t="str">
        <f>FORSIDE!$C$4</f>
        <v>S355, Stål / KFHUP 180x180x12.5</v>
      </c>
    </row>
    <row r="579" spans="1:3" x14ac:dyDescent="0.3">
      <c r="A579" t="str">
        <f>IF(AND(FORSIDE!$B$8&gt;=15,FORSIDE!$F$8&gt;=2,FORSIDE!$B$5&gt;=8),"S578","")</f>
        <v/>
      </c>
      <c r="B579" t="str">
        <f>IF(AND(FORSIDE!$B$8&gt;=15,FORSIDE!$F$8&gt;=2,FORSIDE!$B$5&gt;=8),"635 -&gt; 636","")</f>
        <v/>
      </c>
      <c r="C579" t="str">
        <f>FORSIDE!$C$4</f>
        <v>S355, Stål / KFHUP 180x180x12.5</v>
      </c>
    </row>
    <row r="580" spans="1:3" x14ac:dyDescent="0.3">
      <c r="A580" t="str">
        <f>IF(AND(FORSIDE!$B$8&gt;=15,FORSIDE!$F$8&gt;=2,FORSIDE!$B$5&gt;=9),"S579","")</f>
        <v/>
      </c>
      <c r="B580" t="str">
        <f>IF(AND(FORSIDE!$B$8&gt;=15,FORSIDE!$F$8&gt;=2,FORSIDE!$B$5&gt;=9),"636 -&gt; 637","")</f>
        <v/>
      </c>
      <c r="C580" t="str">
        <f>FORSIDE!$C$4</f>
        <v>S355, Stål / KFHUP 180x180x12.5</v>
      </c>
    </row>
    <row r="581" spans="1:3" x14ac:dyDescent="0.3">
      <c r="A581" t="str">
        <f>IF(AND(FORSIDE!$B$8&gt;=15,FORSIDE!$F$8&gt;=2,FORSIDE!$B$5&gt;=10),"S580","")</f>
        <v/>
      </c>
      <c r="B581" t="str">
        <f>IF(AND(FORSIDE!$B$8&gt;=15,FORSIDE!$F$8&gt;=2,FORSIDE!$B$5&gt;=10),"637 -&gt; 638","")</f>
        <v/>
      </c>
      <c r="C581" t="str">
        <f>FORSIDE!$C$4</f>
        <v>S355, Stål / KFHUP 180x180x12.5</v>
      </c>
    </row>
    <row r="582" spans="1:3" x14ac:dyDescent="0.3">
      <c r="A582" t="str">
        <f>IF(AND(FORSIDE!$B$8&gt;=16,FORSIDE!$F$8&gt;=2,FORSIDE!$B$5&gt;=1),"S581","")</f>
        <v/>
      </c>
      <c r="B582" t="str">
        <f>IF(AND(FORSIDE!$B$8&gt;=16,FORSIDE!$F$8&gt;=2,FORSIDE!$B$5&gt;=1),"639 -&gt; 640","")</f>
        <v/>
      </c>
      <c r="C582" t="str">
        <f>FORSIDE!$C$4</f>
        <v>S355, Stål / KFHUP 180x180x12.5</v>
      </c>
    </row>
    <row r="583" spans="1:3" x14ac:dyDescent="0.3">
      <c r="A583" t="str">
        <f>IF(AND(FORSIDE!$B$8&gt;=16,FORSIDE!$F$8&gt;=2,FORSIDE!$B$5&gt;=2),"S582","")</f>
        <v/>
      </c>
      <c r="B583" t="str">
        <f>IF(AND(FORSIDE!$B$8&gt;=16,FORSIDE!$F$8&gt;=2,FORSIDE!$B$5&gt;=2),"640 -&gt; 641","")</f>
        <v/>
      </c>
      <c r="C583" t="str">
        <f>FORSIDE!$C$4</f>
        <v>S355, Stål / KFHUP 180x180x12.5</v>
      </c>
    </row>
    <row r="584" spans="1:3" x14ac:dyDescent="0.3">
      <c r="A584" t="str">
        <f>IF(AND(FORSIDE!$B$8&gt;=16,FORSIDE!$F$8&gt;=2,FORSIDE!$B$5&gt;=3),"S583","")</f>
        <v/>
      </c>
      <c r="B584" t="str">
        <f>IF(AND(FORSIDE!$B$8&gt;=16,FORSIDE!$F$8&gt;=2,FORSIDE!$B$5&gt;=3),"641 -&gt; 642","")</f>
        <v/>
      </c>
      <c r="C584" t="str">
        <f>FORSIDE!$C$4</f>
        <v>S355, Stål / KFHUP 180x180x12.5</v>
      </c>
    </row>
    <row r="585" spans="1:3" x14ac:dyDescent="0.3">
      <c r="A585" t="str">
        <f>IF(AND(FORSIDE!$B$8&gt;=16,FORSIDE!$F$8&gt;=2,FORSIDE!$B$5&gt;=4),"S584","")</f>
        <v/>
      </c>
      <c r="B585" t="str">
        <f>IF(AND(FORSIDE!$B$8&gt;=16,FORSIDE!$F$8&gt;=2,FORSIDE!$B$5&gt;=4),"642 -&gt; 643","")</f>
        <v/>
      </c>
      <c r="C585" t="str">
        <f>FORSIDE!$C$4</f>
        <v>S355, Stål / KFHUP 180x180x12.5</v>
      </c>
    </row>
    <row r="586" spans="1:3" x14ac:dyDescent="0.3">
      <c r="A586" t="str">
        <f>IF(AND(FORSIDE!$B$8&gt;=16,FORSIDE!$F$8&gt;=2,FORSIDE!$B$5&gt;=5),"S585","")</f>
        <v/>
      </c>
      <c r="B586" t="str">
        <f>IF(AND(FORSIDE!$B$8&gt;=16,FORSIDE!$F$8&gt;=2,FORSIDE!$B$5&gt;=5),"643 -&gt; 644","")</f>
        <v/>
      </c>
      <c r="C586" t="str">
        <f>FORSIDE!$C$4</f>
        <v>S355, Stål / KFHUP 180x180x12.5</v>
      </c>
    </row>
    <row r="587" spans="1:3" x14ac:dyDescent="0.3">
      <c r="A587" t="str">
        <f>IF(AND(FORSIDE!$B$8&gt;=16,FORSIDE!$F$8&gt;=2,FORSIDE!$B$5&gt;=6),"S586","")</f>
        <v/>
      </c>
      <c r="B587" t="str">
        <f>IF(AND(FORSIDE!$B$8&gt;=16,FORSIDE!$F$8&gt;=2,FORSIDE!$B$5&gt;=6),"644 -&gt; 645","")</f>
        <v/>
      </c>
      <c r="C587" t="str">
        <f>FORSIDE!$C$4</f>
        <v>S355, Stål / KFHUP 180x180x12.5</v>
      </c>
    </row>
    <row r="588" spans="1:3" x14ac:dyDescent="0.3">
      <c r="A588" t="str">
        <f>IF(AND(FORSIDE!$B$8&gt;=16,FORSIDE!$F$8&gt;=2,FORSIDE!$B$5&gt;=7),"S587","")</f>
        <v/>
      </c>
      <c r="B588" t="str">
        <f>IF(AND(FORSIDE!$B$8&gt;=16,FORSIDE!$F$8&gt;=2,FORSIDE!$B$5&gt;=7),"645 -&gt; 646","")</f>
        <v/>
      </c>
      <c r="C588" t="str">
        <f>FORSIDE!$C$4</f>
        <v>S355, Stål / KFHUP 180x180x12.5</v>
      </c>
    </row>
    <row r="589" spans="1:3" x14ac:dyDescent="0.3">
      <c r="A589" t="str">
        <f>IF(AND(FORSIDE!$B$8&gt;=16,FORSIDE!$F$8&gt;=2,FORSIDE!$B$5&gt;=8),"S588","")</f>
        <v/>
      </c>
      <c r="B589" t="str">
        <f>IF(AND(FORSIDE!$B$8&gt;=16,FORSIDE!$F$8&gt;=2,FORSIDE!$B$5&gt;=8),"646 -&gt; 647","")</f>
        <v/>
      </c>
      <c r="C589" t="str">
        <f>FORSIDE!$C$4</f>
        <v>S355, Stål / KFHUP 180x180x12.5</v>
      </c>
    </row>
    <row r="590" spans="1:3" x14ac:dyDescent="0.3">
      <c r="A590" t="str">
        <f>IF(AND(FORSIDE!$B$8&gt;=16,FORSIDE!$F$8&gt;=2,FORSIDE!$B$5&gt;=9),"S589","")</f>
        <v/>
      </c>
      <c r="B590" t="str">
        <f>IF(AND(FORSIDE!$B$8&gt;=16,FORSIDE!$F$8&gt;=2,FORSIDE!$B$5&gt;=9),"647 -&gt; 648","")</f>
        <v/>
      </c>
      <c r="C590" t="str">
        <f>FORSIDE!$C$4</f>
        <v>S355, Stål / KFHUP 180x180x12.5</v>
      </c>
    </row>
    <row r="591" spans="1:3" x14ac:dyDescent="0.3">
      <c r="A591" t="str">
        <f>IF(AND(FORSIDE!$B$8&gt;=16,FORSIDE!$F$8&gt;=2,FORSIDE!$B$5&gt;=10),"S590","")</f>
        <v/>
      </c>
      <c r="B591" t="str">
        <f>IF(AND(FORSIDE!$B$8&gt;=16,FORSIDE!$F$8&gt;=2,FORSIDE!$B$5&gt;=10),"648 -&gt; 649","")</f>
        <v/>
      </c>
      <c r="C591" t="str">
        <f>FORSIDE!$C$4</f>
        <v>S355, Stål / KFHUP 180x180x12.5</v>
      </c>
    </row>
    <row r="592" spans="1:3" x14ac:dyDescent="0.3">
      <c r="A592" t="str">
        <f>IF(AND(FORSIDE!$B$8&gt;=17,FORSIDE!$F$8&gt;=2,FORSIDE!$B$5&gt;=1),"S591","")</f>
        <v/>
      </c>
      <c r="B592" t="str">
        <f>IF(AND(FORSIDE!$B$8&gt;=17,FORSIDE!$F$8&gt;=2,FORSIDE!$B$5&gt;=1),"650 -&gt; 651","")</f>
        <v/>
      </c>
      <c r="C592" t="str">
        <f>FORSIDE!$C$4</f>
        <v>S355, Stål / KFHUP 180x180x12.5</v>
      </c>
    </row>
    <row r="593" spans="1:3" x14ac:dyDescent="0.3">
      <c r="A593" t="str">
        <f>IF(AND(FORSIDE!$B$8&gt;=17,FORSIDE!$F$8&gt;=2,FORSIDE!$B$5&gt;=2),"S592","")</f>
        <v/>
      </c>
      <c r="B593" t="str">
        <f>IF(AND(FORSIDE!$B$8&gt;=17,FORSIDE!$F$8&gt;=2,FORSIDE!$B$5&gt;=2),"651 -&gt; 652","")</f>
        <v/>
      </c>
      <c r="C593" t="str">
        <f>FORSIDE!$C$4</f>
        <v>S355, Stål / KFHUP 180x180x12.5</v>
      </c>
    </row>
    <row r="594" spans="1:3" x14ac:dyDescent="0.3">
      <c r="A594" t="str">
        <f>IF(AND(FORSIDE!$B$8&gt;=17,FORSIDE!$F$8&gt;=2,FORSIDE!$B$5&gt;=3),"S593","")</f>
        <v/>
      </c>
      <c r="B594" t="str">
        <f>IF(AND(FORSIDE!$B$8&gt;=17,FORSIDE!$F$8&gt;=2,FORSIDE!$B$5&gt;=3),"652 -&gt; 653","")</f>
        <v/>
      </c>
      <c r="C594" t="str">
        <f>FORSIDE!$C$4</f>
        <v>S355, Stål / KFHUP 180x180x12.5</v>
      </c>
    </row>
    <row r="595" spans="1:3" x14ac:dyDescent="0.3">
      <c r="A595" t="str">
        <f>IF(AND(FORSIDE!$B$8&gt;=17,FORSIDE!$F$8&gt;=2,FORSIDE!$B$5&gt;=4),"S594","")</f>
        <v/>
      </c>
      <c r="B595" t="str">
        <f>IF(AND(FORSIDE!$B$8&gt;=17,FORSIDE!$F$8&gt;=2,FORSIDE!$B$5&gt;=4),"653 -&gt; 654","")</f>
        <v/>
      </c>
      <c r="C595" t="str">
        <f>FORSIDE!$C$4</f>
        <v>S355, Stål / KFHUP 180x180x12.5</v>
      </c>
    </row>
    <row r="596" spans="1:3" x14ac:dyDescent="0.3">
      <c r="A596" t="str">
        <f>IF(AND(FORSIDE!$B$8&gt;=17,FORSIDE!$F$8&gt;=2,FORSIDE!$B$5&gt;=5),"S595","")</f>
        <v/>
      </c>
      <c r="B596" t="str">
        <f>IF(AND(FORSIDE!$B$8&gt;=17,FORSIDE!$F$8&gt;=2,FORSIDE!$B$5&gt;=5),"654 -&gt; 655","")</f>
        <v/>
      </c>
      <c r="C596" t="str">
        <f>FORSIDE!$C$4</f>
        <v>S355, Stål / KFHUP 180x180x12.5</v>
      </c>
    </row>
    <row r="597" spans="1:3" x14ac:dyDescent="0.3">
      <c r="A597" t="str">
        <f>IF(AND(FORSIDE!$B$8&gt;=17,FORSIDE!$F$8&gt;=2,FORSIDE!$B$5&gt;=6),"S596","")</f>
        <v/>
      </c>
      <c r="B597" t="str">
        <f>IF(AND(FORSIDE!$B$8&gt;=17,FORSIDE!$F$8&gt;=2,FORSIDE!$B$5&gt;=6),"655 -&gt; 656","")</f>
        <v/>
      </c>
      <c r="C597" t="str">
        <f>FORSIDE!$C$4</f>
        <v>S355, Stål / KFHUP 180x180x12.5</v>
      </c>
    </row>
    <row r="598" spans="1:3" x14ac:dyDescent="0.3">
      <c r="A598" t="str">
        <f>IF(AND(FORSIDE!$B$8&gt;=17,FORSIDE!$F$8&gt;=2,FORSIDE!$B$5&gt;=7),"S597","")</f>
        <v/>
      </c>
      <c r="B598" t="str">
        <f>IF(AND(FORSIDE!$B$8&gt;=17,FORSIDE!$F$8&gt;=2,FORSIDE!$B$5&gt;=7),"656 -&gt; 657","")</f>
        <v/>
      </c>
      <c r="C598" t="str">
        <f>FORSIDE!$C$4</f>
        <v>S355, Stål / KFHUP 180x180x12.5</v>
      </c>
    </row>
    <row r="599" spans="1:3" x14ac:dyDescent="0.3">
      <c r="A599" t="str">
        <f>IF(AND(FORSIDE!$B$8&gt;=17,FORSIDE!$F$8&gt;=2,FORSIDE!$B$5&gt;=8),"S598","")</f>
        <v/>
      </c>
      <c r="B599" t="str">
        <f>IF(AND(FORSIDE!$B$8&gt;=17,FORSIDE!$F$8&gt;=2,FORSIDE!$B$5&gt;=8),"657 -&gt; 658","")</f>
        <v/>
      </c>
      <c r="C599" t="str">
        <f>FORSIDE!$C$4</f>
        <v>S355, Stål / KFHUP 180x180x12.5</v>
      </c>
    </row>
    <row r="600" spans="1:3" x14ac:dyDescent="0.3">
      <c r="A600" t="str">
        <f>IF(AND(FORSIDE!$B$8&gt;=17,FORSIDE!$F$8&gt;=2,FORSIDE!$B$5&gt;=9),"S599","")</f>
        <v/>
      </c>
      <c r="B600" t="str">
        <f>IF(AND(FORSIDE!$B$8&gt;=17,FORSIDE!$F$8&gt;=2,FORSIDE!$B$5&gt;=9),"658 -&gt; 659","")</f>
        <v/>
      </c>
      <c r="C600" t="str">
        <f>FORSIDE!$C$4</f>
        <v>S355, Stål / KFHUP 180x180x12.5</v>
      </c>
    </row>
    <row r="601" spans="1:3" x14ac:dyDescent="0.3">
      <c r="A601" t="str">
        <f>IF(AND(FORSIDE!$B$8&gt;=17,FORSIDE!$F$8&gt;=2,FORSIDE!$B$5&gt;=10),"S600","")</f>
        <v/>
      </c>
      <c r="B601" t="str">
        <f>IF(AND(FORSIDE!$B$8&gt;=17,FORSIDE!$F$8&gt;=2,FORSIDE!$B$5&gt;=10),"659 -&gt; 660","")</f>
        <v/>
      </c>
      <c r="C601" t="str">
        <f>FORSIDE!$C$4</f>
        <v>S355, Stål / KFHUP 180x180x12.5</v>
      </c>
    </row>
    <row r="602" spans="1:3" x14ac:dyDescent="0.3">
      <c r="A602" t="str">
        <f>IF(AND(FORSIDE!$B$8&gt;=18,FORSIDE!$F$8&gt;=2,FORSIDE!$B$5&gt;=1),"S601","")</f>
        <v/>
      </c>
      <c r="B602" t="str">
        <f>IF(AND(FORSIDE!$B$8&gt;=18,FORSIDE!$F$8&gt;=2,FORSIDE!$B$5&gt;=1),"661 -&gt; 662","")</f>
        <v/>
      </c>
      <c r="C602" t="str">
        <f>FORSIDE!$C$4</f>
        <v>S355, Stål / KFHUP 180x180x12.5</v>
      </c>
    </row>
    <row r="603" spans="1:3" x14ac:dyDescent="0.3">
      <c r="A603" t="str">
        <f>IF(AND(FORSIDE!$B$8&gt;=18,FORSIDE!$F$8&gt;=2,FORSIDE!$B$5&gt;=2),"S602","")</f>
        <v/>
      </c>
      <c r="B603" t="str">
        <f>IF(AND(FORSIDE!$B$8&gt;=18,FORSIDE!$F$8&gt;=2,FORSIDE!$B$5&gt;=2),"662 -&gt; 663","")</f>
        <v/>
      </c>
      <c r="C603" t="str">
        <f>FORSIDE!$C$4</f>
        <v>S355, Stål / KFHUP 180x180x12.5</v>
      </c>
    </row>
    <row r="604" spans="1:3" x14ac:dyDescent="0.3">
      <c r="A604" t="str">
        <f>IF(AND(FORSIDE!$B$8&gt;=18,FORSIDE!$F$8&gt;=2,FORSIDE!$B$5&gt;=3),"S603","")</f>
        <v/>
      </c>
      <c r="B604" t="str">
        <f>IF(AND(FORSIDE!$B$8&gt;=18,FORSIDE!$F$8&gt;=2,FORSIDE!$B$5&gt;=3),"663 -&gt; 664","")</f>
        <v/>
      </c>
      <c r="C604" t="str">
        <f>FORSIDE!$C$4</f>
        <v>S355, Stål / KFHUP 180x180x12.5</v>
      </c>
    </row>
    <row r="605" spans="1:3" x14ac:dyDescent="0.3">
      <c r="A605" t="str">
        <f>IF(AND(FORSIDE!$B$8&gt;=18,FORSIDE!$F$8&gt;=2,FORSIDE!$B$5&gt;=4),"S604","")</f>
        <v/>
      </c>
      <c r="B605" t="str">
        <f>IF(AND(FORSIDE!$B$8&gt;=18,FORSIDE!$F$8&gt;=2,FORSIDE!$B$5&gt;=4),"664 -&gt; 665","")</f>
        <v/>
      </c>
      <c r="C605" t="str">
        <f>FORSIDE!$C$4</f>
        <v>S355, Stål / KFHUP 180x180x12.5</v>
      </c>
    </row>
    <row r="606" spans="1:3" x14ac:dyDescent="0.3">
      <c r="A606" t="str">
        <f>IF(AND(FORSIDE!$B$8&gt;=18,FORSIDE!$F$8&gt;=2,FORSIDE!$B$5&gt;=5),"S605","")</f>
        <v/>
      </c>
      <c r="B606" t="str">
        <f>IF(AND(FORSIDE!$B$8&gt;=18,FORSIDE!$F$8&gt;=2,FORSIDE!$B$5&gt;=5),"665 -&gt; 666","")</f>
        <v/>
      </c>
      <c r="C606" t="str">
        <f>FORSIDE!$C$4</f>
        <v>S355, Stål / KFHUP 180x180x12.5</v>
      </c>
    </row>
    <row r="607" spans="1:3" x14ac:dyDescent="0.3">
      <c r="A607" t="str">
        <f>IF(AND(FORSIDE!$B$8&gt;=18,FORSIDE!$F$8&gt;=2,FORSIDE!$B$5&gt;=6),"S606","")</f>
        <v/>
      </c>
      <c r="B607" t="str">
        <f>IF(AND(FORSIDE!$B$8&gt;=18,FORSIDE!$F$8&gt;=2,FORSIDE!$B$5&gt;=6),"666 -&gt; 667","")</f>
        <v/>
      </c>
      <c r="C607" t="str">
        <f>FORSIDE!$C$4</f>
        <v>S355, Stål / KFHUP 180x180x12.5</v>
      </c>
    </row>
    <row r="608" spans="1:3" x14ac:dyDescent="0.3">
      <c r="A608" t="str">
        <f>IF(AND(FORSIDE!$B$8&gt;=18,FORSIDE!$F$8&gt;=2,FORSIDE!$B$5&gt;=7),"S607","")</f>
        <v/>
      </c>
      <c r="B608" t="str">
        <f>IF(AND(FORSIDE!$B$8&gt;=18,FORSIDE!$F$8&gt;=2,FORSIDE!$B$5&gt;=7),"667 -&gt; 668","")</f>
        <v/>
      </c>
      <c r="C608" t="str">
        <f>FORSIDE!$C$4</f>
        <v>S355, Stål / KFHUP 180x180x12.5</v>
      </c>
    </row>
    <row r="609" spans="1:3" x14ac:dyDescent="0.3">
      <c r="A609" t="str">
        <f>IF(AND(FORSIDE!$B$8&gt;=18,FORSIDE!$F$8&gt;=2,FORSIDE!$B$5&gt;=8),"S608","")</f>
        <v/>
      </c>
      <c r="B609" t="str">
        <f>IF(AND(FORSIDE!$B$8&gt;=18,FORSIDE!$F$8&gt;=2,FORSIDE!$B$5&gt;=8),"668 -&gt; 669","")</f>
        <v/>
      </c>
      <c r="C609" t="str">
        <f>FORSIDE!$C$4</f>
        <v>S355, Stål / KFHUP 180x180x12.5</v>
      </c>
    </row>
    <row r="610" spans="1:3" x14ac:dyDescent="0.3">
      <c r="A610" t="str">
        <f>IF(AND(FORSIDE!$B$8&gt;=18,FORSIDE!$F$8&gt;=2,FORSIDE!$B$5&gt;=9),"S609","")</f>
        <v/>
      </c>
      <c r="B610" t="str">
        <f>IF(AND(FORSIDE!$B$8&gt;=18,FORSIDE!$F$8&gt;=2,FORSIDE!$B$5&gt;=9),"669 -&gt; 670","")</f>
        <v/>
      </c>
      <c r="C610" t="str">
        <f>FORSIDE!$C$4</f>
        <v>S355, Stål / KFHUP 180x180x12.5</v>
      </c>
    </row>
    <row r="611" spans="1:3" x14ac:dyDescent="0.3">
      <c r="A611" t="str">
        <f>IF(AND(FORSIDE!$B$8&gt;=18,FORSIDE!$F$8&gt;=2,FORSIDE!$B$5&gt;=10),"S610","")</f>
        <v/>
      </c>
      <c r="B611" t="str">
        <f>IF(AND(FORSIDE!$B$8&gt;=18,FORSIDE!$F$8&gt;=2,FORSIDE!$B$5&gt;=10),"670 -&gt; 671","")</f>
        <v/>
      </c>
      <c r="C611" t="str">
        <f>FORSIDE!$C$4</f>
        <v>S355, Stål / KFHUP 180x180x12.5</v>
      </c>
    </row>
    <row r="612" spans="1:3" x14ac:dyDescent="0.3">
      <c r="A612" t="str">
        <f>IF(AND(FORSIDE!$B$8&gt;=19,FORSIDE!$F$8&gt;=2,FORSIDE!$B$5&gt;=1),"S611","")</f>
        <v/>
      </c>
      <c r="B612" t="str">
        <f>IF(AND(FORSIDE!$B$8&gt;=19,FORSIDE!$F$8&gt;=2,FORSIDE!$B$5&gt;=1),"672 -&gt; 673","")</f>
        <v/>
      </c>
      <c r="C612" t="str">
        <f>FORSIDE!$C$4</f>
        <v>S355, Stål / KFHUP 180x180x12.5</v>
      </c>
    </row>
    <row r="613" spans="1:3" x14ac:dyDescent="0.3">
      <c r="A613" t="str">
        <f>IF(AND(FORSIDE!$B$8&gt;=19,FORSIDE!$F$8&gt;=2,FORSIDE!$B$5&gt;=2),"S612","")</f>
        <v/>
      </c>
      <c r="B613" t="str">
        <f>IF(AND(FORSIDE!$B$8&gt;=19,FORSIDE!$F$8&gt;=2,FORSIDE!$B$5&gt;=2),"673 -&gt; 674","")</f>
        <v/>
      </c>
      <c r="C613" t="str">
        <f>FORSIDE!$C$4</f>
        <v>S355, Stål / KFHUP 180x180x12.5</v>
      </c>
    </row>
    <row r="614" spans="1:3" x14ac:dyDescent="0.3">
      <c r="A614" t="str">
        <f>IF(AND(FORSIDE!$B$8&gt;=19,FORSIDE!$F$8&gt;=2,FORSIDE!$B$5&gt;=3),"S613","")</f>
        <v/>
      </c>
      <c r="B614" t="str">
        <f>IF(AND(FORSIDE!$B$8&gt;=19,FORSIDE!$F$8&gt;=2,FORSIDE!$B$5&gt;=3),"674 -&gt; 675","")</f>
        <v/>
      </c>
      <c r="C614" t="str">
        <f>FORSIDE!$C$4</f>
        <v>S355, Stål / KFHUP 180x180x12.5</v>
      </c>
    </row>
    <row r="615" spans="1:3" x14ac:dyDescent="0.3">
      <c r="A615" t="str">
        <f>IF(AND(FORSIDE!$B$8&gt;=19,FORSIDE!$F$8&gt;=2,FORSIDE!$B$5&gt;=4),"S614","")</f>
        <v/>
      </c>
      <c r="B615" t="str">
        <f>IF(AND(FORSIDE!$B$8&gt;=19,FORSIDE!$F$8&gt;=2,FORSIDE!$B$5&gt;=4),"675 -&gt; 676","")</f>
        <v/>
      </c>
      <c r="C615" t="str">
        <f>FORSIDE!$C$4</f>
        <v>S355, Stål / KFHUP 180x180x12.5</v>
      </c>
    </row>
    <row r="616" spans="1:3" x14ac:dyDescent="0.3">
      <c r="A616" t="str">
        <f>IF(AND(FORSIDE!$B$8&gt;=19,FORSIDE!$F$8&gt;=2,FORSIDE!$B$5&gt;=5),"S615","")</f>
        <v/>
      </c>
      <c r="B616" t="str">
        <f>IF(AND(FORSIDE!$B$8&gt;=19,FORSIDE!$F$8&gt;=2,FORSIDE!$B$5&gt;=5),"676 -&gt; 677","")</f>
        <v/>
      </c>
      <c r="C616" t="str">
        <f>FORSIDE!$C$4</f>
        <v>S355, Stål / KFHUP 180x180x12.5</v>
      </c>
    </row>
    <row r="617" spans="1:3" x14ac:dyDescent="0.3">
      <c r="A617" t="str">
        <f>IF(AND(FORSIDE!$B$8&gt;=19,FORSIDE!$F$8&gt;=2,FORSIDE!$B$5&gt;=6),"S616","")</f>
        <v/>
      </c>
      <c r="B617" t="str">
        <f>IF(AND(FORSIDE!$B$8&gt;=19,FORSIDE!$F$8&gt;=2,FORSIDE!$B$5&gt;=6),"677 -&gt; 678","")</f>
        <v/>
      </c>
      <c r="C617" t="str">
        <f>FORSIDE!$C$4</f>
        <v>S355, Stål / KFHUP 180x180x12.5</v>
      </c>
    </row>
    <row r="618" spans="1:3" x14ac:dyDescent="0.3">
      <c r="A618" t="str">
        <f>IF(AND(FORSIDE!$B$8&gt;=19,FORSIDE!$F$8&gt;=2,FORSIDE!$B$5&gt;=7),"S617","")</f>
        <v/>
      </c>
      <c r="B618" t="str">
        <f>IF(AND(FORSIDE!$B$8&gt;=19,FORSIDE!$F$8&gt;=2,FORSIDE!$B$5&gt;=7),"678 -&gt; 679","")</f>
        <v/>
      </c>
      <c r="C618" t="str">
        <f>FORSIDE!$C$4</f>
        <v>S355, Stål / KFHUP 180x180x12.5</v>
      </c>
    </row>
    <row r="619" spans="1:3" x14ac:dyDescent="0.3">
      <c r="A619" t="str">
        <f>IF(AND(FORSIDE!$B$8&gt;=19,FORSIDE!$F$8&gt;=2,FORSIDE!$B$5&gt;=8),"S618","")</f>
        <v/>
      </c>
      <c r="B619" t="str">
        <f>IF(AND(FORSIDE!$B$8&gt;=19,FORSIDE!$F$8&gt;=2,FORSIDE!$B$5&gt;=8),"679 -&gt; 680","")</f>
        <v/>
      </c>
      <c r="C619" t="str">
        <f>FORSIDE!$C$4</f>
        <v>S355, Stål / KFHUP 180x180x12.5</v>
      </c>
    </row>
    <row r="620" spans="1:3" x14ac:dyDescent="0.3">
      <c r="A620" t="str">
        <f>IF(AND(FORSIDE!$B$8&gt;=19,FORSIDE!$F$8&gt;=2,FORSIDE!$B$5&gt;=9),"S619","")</f>
        <v/>
      </c>
      <c r="B620" t="str">
        <f>IF(AND(FORSIDE!$B$8&gt;=19,FORSIDE!$F$8&gt;=2,FORSIDE!$B$5&gt;=9),"680 -&gt; 681","")</f>
        <v/>
      </c>
      <c r="C620" t="str">
        <f>FORSIDE!$C$4</f>
        <v>S355, Stål / KFHUP 180x180x12.5</v>
      </c>
    </row>
    <row r="621" spans="1:3" x14ac:dyDescent="0.3">
      <c r="A621" t="str">
        <f>IF(AND(FORSIDE!$B$8&gt;=19,FORSIDE!$F$8&gt;=2,FORSIDE!$B$5&gt;=10),"S620","")</f>
        <v/>
      </c>
      <c r="B621" t="str">
        <f>IF(AND(FORSIDE!$B$8&gt;=19,FORSIDE!$F$8&gt;=2,FORSIDE!$B$5&gt;=10),"681 -&gt; 682","")</f>
        <v/>
      </c>
      <c r="C621" t="str">
        <f>FORSIDE!$C$4</f>
        <v>S355, Stål / KFHUP 180x180x12.5</v>
      </c>
    </row>
    <row r="622" spans="1:3" x14ac:dyDescent="0.3">
      <c r="A622" t="str">
        <f>IF(AND(FORSIDE!$B$8&gt;=20,FORSIDE!$F$8&gt;=2,FORSIDE!$B$5&gt;=1),"S621","")</f>
        <v/>
      </c>
      <c r="B622" t="str">
        <f>IF(AND(FORSIDE!$B$8&gt;=20,FORSIDE!$F$8&gt;=2,FORSIDE!$B$5&gt;=1),"683 -&gt; 684","")</f>
        <v/>
      </c>
      <c r="C622" t="str">
        <f>FORSIDE!$C$4</f>
        <v>S355, Stål / KFHUP 180x180x12.5</v>
      </c>
    </row>
    <row r="623" spans="1:3" x14ac:dyDescent="0.3">
      <c r="A623" t="str">
        <f>IF(AND(FORSIDE!$B$8&gt;=20,FORSIDE!$F$8&gt;=2,FORSIDE!$B$5&gt;=2),"S622","")</f>
        <v/>
      </c>
      <c r="B623" t="str">
        <f>IF(AND(FORSIDE!$B$8&gt;=20,FORSIDE!$F$8&gt;=2,FORSIDE!$B$5&gt;=2),"684 -&gt; 685","")</f>
        <v/>
      </c>
      <c r="C623" t="str">
        <f>FORSIDE!$C$4</f>
        <v>S355, Stål / KFHUP 180x180x12.5</v>
      </c>
    </row>
    <row r="624" spans="1:3" x14ac:dyDescent="0.3">
      <c r="A624" t="str">
        <f>IF(AND(FORSIDE!$B$8&gt;=20,FORSIDE!$F$8&gt;=2,FORSIDE!$B$5&gt;=3),"S623","")</f>
        <v/>
      </c>
      <c r="B624" t="str">
        <f>IF(AND(FORSIDE!$B$8&gt;=20,FORSIDE!$F$8&gt;=2,FORSIDE!$B$5&gt;=3),"685 -&gt; 686","")</f>
        <v/>
      </c>
      <c r="C624" t="str">
        <f>FORSIDE!$C$4</f>
        <v>S355, Stål / KFHUP 180x180x12.5</v>
      </c>
    </row>
    <row r="625" spans="1:3" x14ac:dyDescent="0.3">
      <c r="A625" t="str">
        <f>IF(AND(FORSIDE!$B$8&gt;=20,FORSIDE!$F$8&gt;=2,FORSIDE!$B$5&gt;=4),"S624","")</f>
        <v/>
      </c>
      <c r="B625" t="str">
        <f>IF(AND(FORSIDE!$B$8&gt;=20,FORSIDE!$F$8&gt;=2,FORSIDE!$B$5&gt;=4),"686 -&gt; 687","")</f>
        <v/>
      </c>
      <c r="C625" t="str">
        <f>FORSIDE!$C$4</f>
        <v>S355, Stål / KFHUP 180x180x12.5</v>
      </c>
    </row>
    <row r="626" spans="1:3" x14ac:dyDescent="0.3">
      <c r="A626" t="str">
        <f>IF(AND(FORSIDE!$B$8&gt;=20,FORSIDE!$F$8&gt;=2,FORSIDE!$B$5&gt;=5),"S625","")</f>
        <v/>
      </c>
      <c r="B626" t="str">
        <f>IF(AND(FORSIDE!$B$8&gt;=20,FORSIDE!$F$8&gt;=2,FORSIDE!$B$5&gt;=5),"687 -&gt; 688","")</f>
        <v/>
      </c>
      <c r="C626" t="str">
        <f>FORSIDE!$C$4</f>
        <v>S355, Stål / KFHUP 180x180x12.5</v>
      </c>
    </row>
    <row r="627" spans="1:3" x14ac:dyDescent="0.3">
      <c r="A627" t="str">
        <f>IF(AND(FORSIDE!$B$8&gt;=20,FORSIDE!$F$8&gt;=2,FORSIDE!$B$5&gt;=6),"S626","")</f>
        <v/>
      </c>
      <c r="B627" t="str">
        <f>IF(AND(FORSIDE!$B$8&gt;=20,FORSIDE!$F$8&gt;=2,FORSIDE!$B$5&gt;=6),"688 -&gt; 689","")</f>
        <v/>
      </c>
      <c r="C627" t="str">
        <f>FORSIDE!$C$4</f>
        <v>S355, Stål / KFHUP 180x180x12.5</v>
      </c>
    </row>
    <row r="628" spans="1:3" x14ac:dyDescent="0.3">
      <c r="A628" t="str">
        <f>IF(AND(FORSIDE!$B$8&gt;=20,FORSIDE!$F$8&gt;=2,FORSIDE!$B$5&gt;=7),"S627","")</f>
        <v/>
      </c>
      <c r="B628" t="str">
        <f>IF(AND(FORSIDE!$B$8&gt;=20,FORSIDE!$F$8&gt;=2,FORSIDE!$B$5&gt;=7),"689 -&gt; 690","")</f>
        <v/>
      </c>
      <c r="C628" t="str">
        <f>FORSIDE!$C$4</f>
        <v>S355, Stål / KFHUP 180x180x12.5</v>
      </c>
    </row>
    <row r="629" spans="1:3" x14ac:dyDescent="0.3">
      <c r="A629" t="str">
        <f>IF(AND(FORSIDE!$B$8&gt;=20,FORSIDE!$F$8&gt;=2,FORSIDE!$B$5&gt;=8),"S628","")</f>
        <v/>
      </c>
      <c r="B629" t="str">
        <f>IF(AND(FORSIDE!$B$8&gt;=20,FORSIDE!$F$8&gt;=2,FORSIDE!$B$5&gt;=8),"690 -&gt; 691","")</f>
        <v/>
      </c>
      <c r="C629" t="str">
        <f>FORSIDE!$C$4</f>
        <v>S355, Stål / KFHUP 180x180x12.5</v>
      </c>
    </row>
    <row r="630" spans="1:3" x14ac:dyDescent="0.3">
      <c r="A630" t="str">
        <f>IF(AND(FORSIDE!$B$8&gt;=20,FORSIDE!$F$8&gt;=2,FORSIDE!$B$5&gt;=9),"S629","")</f>
        <v/>
      </c>
      <c r="B630" t="str">
        <f>IF(AND(FORSIDE!$B$8&gt;=20,FORSIDE!$F$8&gt;=2,FORSIDE!$B$5&gt;=9),"691 -&gt; 692","")</f>
        <v/>
      </c>
      <c r="C630" t="str">
        <f>FORSIDE!$C$4</f>
        <v>S355, Stål / KFHUP 180x180x12.5</v>
      </c>
    </row>
    <row r="631" spans="1:3" x14ac:dyDescent="0.3">
      <c r="A631" t="str">
        <f>IF(AND(FORSIDE!$B$8&gt;=20,FORSIDE!$F$8&gt;=2,FORSIDE!$B$5&gt;=10),"S630","")</f>
        <v/>
      </c>
      <c r="B631" t="str">
        <f>IF(AND(FORSIDE!$B$8&gt;=20,FORSIDE!$F$8&gt;=2,FORSIDE!$B$5&gt;=10),"692 -&gt; 693","")</f>
        <v/>
      </c>
      <c r="C631" t="str">
        <f>FORSIDE!$C$4</f>
        <v>S355, Stål / KFHUP 180x180x12.5</v>
      </c>
    </row>
    <row r="632" spans="1:3" x14ac:dyDescent="0.3">
      <c r="A632" t="str">
        <f>IF(AND(FORSIDE!$B$8&gt;=0,FORSIDE!$F$8&gt;=3,FORSIDE!$B$5&gt;=1),"S631","")</f>
        <v/>
      </c>
      <c r="B632" t="str">
        <f>IF(AND(FORSIDE!$B$8&gt;=0,FORSIDE!$F$8&gt;=3,FORSIDE!$B$5&gt;=1),"694 -&gt; 695","")</f>
        <v/>
      </c>
      <c r="C632" t="str">
        <f>FORSIDE!$C$4</f>
        <v>S355, Stål / KFHUP 180x180x12.5</v>
      </c>
    </row>
    <row r="633" spans="1:3" x14ac:dyDescent="0.3">
      <c r="A633" t="str">
        <f>IF(AND(FORSIDE!$B$8&gt;=0,FORSIDE!$F$8&gt;=3,FORSIDE!$B$5&gt;=2),"S632","")</f>
        <v/>
      </c>
      <c r="B633" t="str">
        <f>IF(AND(FORSIDE!$B$8&gt;=0,FORSIDE!$F$8&gt;=3,FORSIDE!$B$5&gt;=2),"695 -&gt; 696","")</f>
        <v/>
      </c>
      <c r="C633" t="str">
        <f>FORSIDE!$C$4</f>
        <v>S355, Stål / KFHUP 180x180x12.5</v>
      </c>
    </row>
    <row r="634" spans="1:3" x14ac:dyDescent="0.3">
      <c r="A634" t="str">
        <f>IF(AND(FORSIDE!$B$8&gt;=0,FORSIDE!$F$8&gt;=3,FORSIDE!$B$5&gt;=3),"S633","")</f>
        <v/>
      </c>
      <c r="B634" t="str">
        <f>IF(AND(FORSIDE!$B$8&gt;=0,FORSIDE!$F$8&gt;=3,FORSIDE!$B$5&gt;=3),"696 -&gt; 697","")</f>
        <v/>
      </c>
      <c r="C634" t="str">
        <f>FORSIDE!$C$4</f>
        <v>S355, Stål / KFHUP 180x180x12.5</v>
      </c>
    </row>
    <row r="635" spans="1:3" x14ac:dyDescent="0.3">
      <c r="A635" t="str">
        <f>IF(AND(FORSIDE!$B$8&gt;=0,FORSIDE!$F$8&gt;=3,FORSIDE!$B$5&gt;=4),"S634","")</f>
        <v/>
      </c>
      <c r="B635" t="str">
        <f>IF(AND(FORSIDE!$B$8&gt;=0,FORSIDE!$F$8&gt;=3,FORSIDE!$B$5&gt;=4),"697 -&gt; 698","")</f>
        <v/>
      </c>
      <c r="C635" t="str">
        <f>FORSIDE!$C$4</f>
        <v>S355, Stål / KFHUP 180x180x12.5</v>
      </c>
    </row>
    <row r="636" spans="1:3" x14ac:dyDescent="0.3">
      <c r="A636" t="str">
        <f>IF(AND(FORSIDE!$B$8&gt;=0,FORSIDE!$F$8&gt;=3,FORSIDE!$B$5&gt;=5),"S635","")</f>
        <v/>
      </c>
      <c r="B636" t="str">
        <f>IF(AND(FORSIDE!$B$8&gt;=0,FORSIDE!$F$8&gt;=3,FORSIDE!$B$5&gt;=5),"698 -&gt; 699","")</f>
        <v/>
      </c>
      <c r="C636" t="str">
        <f>FORSIDE!$C$4</f>
        <v>S355, Stål / KFHUP 180x180x12.5</v>
      </c>
    </row>
    <row r="637" spans="1:3" x14ac:dyDescent="0.3">
      <c r="A637" t="str">
        <f>IF(AND(FORSIDE!$B$8&gt;=0,FORSIDE!$F$8&gt;=3,FORSIDE!$B$5&gt;=6),"S636","")</f>
        <v/>
      </c>
      <c r="B637" t="str">
        <f>IF(AND(FORSIDE!$B$8&gt;=0,FORSIDE!$F$8&gt;=3,FORSIDE!$B$5&gt;=6),"699 -&gt; 700","")</f>
        <v/>
      </c>
      <c r="C637" t="str">
        <f>FORSIDE!$C$4</f>
        <v>S355, Stål / KFHUP 180x180x12.5</v>
      </c>
    </row>
    <row r="638" spans="1:3" x14ac:dyDescent="0.3">
      <c r="A638" t="str">
        <f>IF(AND(FORSIDE!$B$8&gt;=0,FORSIDE!$F$8&gt;=3,FORSIDE!$B$5&gt;=7),"S637","")</f>
        <v/>
      </c>
      <c r="B638" t="str">
        <f>IF(AND(FORSIDE!$B$8&gt;=0,FORSIDE!$F$8&gt;=3,FORSIDE!$B$5&gt;=7),"700 -&gt; 701","")</f>
        <v/>
      </c>
      <c r="C638" t="str">
        <f>FORSIDE!$C$4</f>
        <v>S355, Stål / KFHUP 180x180x12.5</v>
      </c>
    </row>
    <row r="639" spans="1:3" x14ac:dyDescent="0.3">
      <c r="A639" t="str">
        <f>IF(AND(FORSIDE!$B$8&gt;=0,FORSIDE!$F$8&gt;=3,FORSIDE!$B$5&gt;=8),"S638","")</f>
        <v/>
      </c>
      <c r="B639" t="str">
        <f>IF(AND(FORSIDE!$B$8&gt;=0,FORSIDE!$F$8&gt;=3,FORSIDE!$B$5&gt;=8),"701 -&gt; 702","")</f>
        <v/>
      </c>
      <c r="C639" t="str">
        <f>FORSIDE!$C$4</f>
        <v>S355, Stål / KFHUP 180x180x12.5</v>
      </c>
    </row>
    <row r="640" spans="1:3" x14ac:dyDescent="0.3">
      <c r="A640" t="str">
        <f>IF(AND(FORSIDE!$B$8&gt;=0,FORSIDE!$F$8&gt;=3,FORSIDE!$B$5&gt;=9),"S639","")</f>
        <v/>
      </c>
      <c r="B640" t="str">
        <f>IF(AND(FORSIDE!$B$8&gt;=0,FORSIDE!$F$8&gt;=3,FORSIDE!$B$5&gt;=9),"702 -&gt; 703","")</f>
        <v/>
      </c>
      <c r="C640" t="str">
        <f>FORSIDE!$C$4</f>
        <v>S355, Stål / KFHUP 180x180x12.5</v>
      </c>
    </row>
    <row r="641" spans="1:3" x14ac:dyDescent="0.3">
      <c r="A641" t="str">
        <f>IF(AND(FORSIDE!$B$8&gt;=0,FORSIDE!$F$8&gt;=3,FORSIDE!$B$5&gt;=10),"S640","")</f>
        <v/>
      </c>
      <c r="B641" t="str">
        <f>IF(AND(FORSIDE!$B$8&gt;=0,FORSIDE!$F$8&gt;=3,FORSIDE!$B$5&gt;=10),"703 -&gt; 704","")</f>
        <v/>
      </c>
      <c r="C641" t="str">
        <f>FORSIDE!$C$4</f>
        <v>S355, Stål / KFHUP 180x180x12.5</v>
      </c>
    </row>
    <row r="642" spans="1:3" x14ac:dyDescent="0.3">
      <c r="A642" t="str">
        <f>IF(AND(FORSIDE!$B$8&gt;=1,FORSIDE!$F$8&gt;=3,FORSIDE!$B$5&gt;=1),"S641","")</f>
        <v/>
      </c>
      <c r="B642" t="str">
        <f>IF(AND(FORSIDE!$B$8&gt;=1,FORSIDE!$F$8&gt;=3,FORSIDE!$B$5&gt;=1),"705 -&gt; 706","")</f>
        <v/>
      </c>
      <c r="C642" t="str">
        <f>FORSIDE!$C$4</f>
        <v>S355, Stål / KFHUP 180x180x12.5</v>
      </c>
    </row>
    <row r="643" spans="1:3" x14ac:dyDescent="0.3">
      <c r="A643" t="str">
        <f>IF(AND(FORSIDE!$B$8&gt;=1,FORSIDE!$F$8&gt;=3,FORSIDE!$B$5&gt;=2),"S642","")</f>
        <v/>
      </c>
      <c r="B643" t="str">
        <f>IF(AND(FORSIDE!$B$8&gt;=1,FORSIDE!$F$8&gt;=3,FORSIDE!$B$5&gt;=2),"706 -&gt; 707","")</f>
        <v/>
      </c>
      <c r="C643" t="str">
        <f>FORSIDE!$C$4</f>
        <v>S355, Stål / KFHUP 180x180x12.5</v>
      </c>
    </row>
    <row r="644" spans="1:3" x14ac:dyDescent="0.3">
      <c r="A644" t="str">
        <f>IF(AND(FORSIDE!$B$8&gt;=1,FORSIDE!$F$8&gt;=3,FORSIDE!$B$5&gt;=3),"S643","")</f>
        <v/>
      </c>
      <c r="B644" t="str">
        <f>IF(AND(FORSIDE!$B$8&gt;=1,FORSIDE!$F$8&gt;=3,FORSIDE!$B$5&gt;=3),"707 -&gt; 708","")</f>
        <v/>
      </c>
      <c r="C644" t="str">
        <f>FORSIDE!$C$4</f>
        <v>S355, Stål / KFHUP 180x180x12.5</v>
      </c>
    </row>
    <row r="645" spans="1:3" x14ac:dyDescent="0.3">
      <c r="A645" t="str">
        <f>IF(AND(FORSIDE!$B$8&gt;=1,FORSIDE!$F$8&gt;=3,FORSIDE!$B$5&gt;=4),"S644","")</f>
        <v/>
      </c>
      <c r="B645" t="str">
        <f>IF(AND(FORSIDE!$B$8&gt;=1,FORSIDE!$F$8&gt;=3,FORSIDE!$B$5&gt;=4),"708 -&gt; 709","")</f>
        <v/>
      </c>
      <c r="C645" t="str">
        <f>FORSIDE!$C$4</f>
        <v>S355, Stål / KFHUP 180x180x12.5</v>
      </c>
    </row>
    <row r="646" spans="1:3" x14ac:dyDescent="0.3">
      <c r="A646" t="str">
        <f>IF(AND(FORSIDE!$B$8&gt;=1,FORSIDE!$F$8&gt;=3,FORSIDE!$B$5&gt;=5),"S645","")</f>
        <v/>
      </c>
      <c r="B646" t="str">
        <f>IF(AND(FORSIDE!$B$8&gt;=1,FORSIDE!$F$8&gt;=3,FORSIDE!$B$5&gt;=5),"709 -&gt; 710","")</f>
        <v/>
      </c>
      <c r="C646" t="str">
        <f>FORSIDE!$C$4</f>
        <v>S355, Stål / KFHUP 180x180x12.5</v>
      </c>
    </row>
    <row r="647" spans="1:3" x14ac:dyDescent="0.3">
      <c r="A647" t="str">
        <f>IF(AND(FORSIDE!$B$8&gt;=1,FORSIDE!$F$8&gt;=3,FORSIDE!$B$5&gt;=6),"S646","")</f>
        <v/>
      </c>
      <c r="B647" t="str">
        <f>IF(AND(FORSIDE!$B$8&gt;=1,FORSIDE!$F$8&gt;=3,FORSIDE!$B$5&gt;=6),"710 -&gt; 711","")</f>
        <v/>
      </c>
      <c r="C647" t="str">
        <f>FORSIDE!$C$4</f>
        <v>S355, Stål / KFHUP 180x180x12.5</v>
      </c>
    </row>
    <row r="648" spans="1:3" x14ac:dyDescent="0.3">
      <c r="A648" t="str">
        <f>IF(AND(FORSIDE!$B$8&gt;=1,FORSIDE!$F$8&gt;=3,FORSIDE!$B$5&gt;=7),"S647","")</f>
        <v/>
      </c>
      <c r="B648" t="str">
        <f>IF(AND(FORSIDE!$B$8&gt;=1,FORSIDE!$F$8&gt;=3,FORSIDE!$B$5&gt;=7),"711 -&gt; 712","")</f>
        <v/>
      </c>
      <c r="C648" t="str">
        <f>FORSIDE!$C$4</f>
        <v>S355, Stål / KFHUP 180x180x12.5</v>
      </c>
    </row>
    <row r="649" spans="1:3" x14ac:dyDescent="0.3">
      <c r="A649" t="str">
        <f>IF(AND(FORSIDE!$B$8&gt;=1,FORSIDE!$F$8&gt;=3,FORSIDE!$B$5&gt;=8),"S648","")</f>
        <v/>
      </c>
      <c r="B649" t="str">
        <f>IF(AND(FORSIDE!$B$8&gt;=1,FORSIDE!$F$8&gt;=3,FORSIDE!$B$5&gt;=8),"712 -&gt; 713","")</f>
        <v/>
      </c>
      <c r="C649" t="str">
        <f>FORSIDE!$C$4</f>
        <v>S355, Stål / KFHUP 180x180x12.5</v>
      </c>
    </row>
    <row r="650" spans="1:3" x14ac:dyDescent="0.3">
      <c r="A650" t="str">
        <f>IF(AND(FORSIDE!$B$8&gt;=1,FORSIDE!$F$8&gt;=3,FORSIDE!$B$5&gt;=9),"S649","")</f>
        <v/>
      </c>
      <c r="B650" t="str">
        <f>IF(AND(FORSIDE!$B$8&gt;=1,FORSIDE!$F$8&gt;=3,FORSIDE!$B$5&gt;=9),"713 -&gt; 714","")</f>
        <v/>
      </c>
      <c r="C650" t="str">
        <f>FORSIDE!$C$4</f>
        <v>S355, Stål / KFHUP 180x180x12.5</v>
      </c>
    </row>
    <row r="651" spans="1:3" x14ac:dyDescent="0.3">
      <c r="A651" t="str">
        <f>IF(AND(FORSIDE!$B$8&gt;=1,FORSIDE!$F$8&gt;=3,FORSIDE!$B$5&gt;=10),"S650","")</f>
        <v/>
      </c>
      <c r="B651" t="str">
        <f>IF(AND(FORSIDE!$B$8&gt;=1,FORSIDE!$F$8&gt;=3,FORSIDE!$B$5&gt;=10),"714 -&gt; 715","")</f>
        <v/>
      </c>
      <c r="C651" t="str">
        <f>FORSIDE!$C$4</f>
        <v>S355, Stål / KFHUP 180x180x12.5</v>
      </c>
    </row>
    <row r="652" spans="1:3" x14ac:dyDescent="0.3">
      <c r="A652" t="str">
        <f>IF(AND(FORSIDE!$B$8&gt;=2,FORSIDE!$F$8&gt;=3,FORSIDE!$B$5&gt;=1),"S651","")</f>
        <v/>
      </c>
      <c r="B652" t="str">
        <f>IF(AND(FORSIDE!$B$8&gt;=2,FORSIDE!$F$8&gt;=3,FORSIDE!$B$5&gt;=1),"716 -&gt; 717","")</f>
        <v/>
      </c>
      <c r="C652" t="str">
        <f>FORSIDE!$C$4</f>
        <v>S355, Stål / KFHUP 180x180x12.5</v>
      </c>
    </row>
    <row r="653" spans="1:3" x14ac:dyDescent="0.3">
      <c r="A653" t="str">
        <f>IF(AND(FORSIDE!$B$8&gt;=2,FORSIDE!$F$8&gt;=3,FORSIDE!$B$5&gt;=2),"S652","")</f>
        <v/>
      </c>
      <c r="B653" t="str">
        <f>IF(AND(FORSIDE!$B$8&gt;=2,FORSIDE!$F$8&gt;=3,FORSIDE!$B$5&gt;=2),"717 -&gt; 718","")</f>
        <v/>
      </c>
      <c r="C653" t="str">
        <f>FORSIDE!$C$4</f>
        <v>S355, Stål / KFHUP 180x180x12.5</v>
      </c>
    </row>
    <row r="654" spans="1:3" x14ac:dyDescent="0.3">
      <c r="A654" t="str">
        <f>IF(AND(FORSIDE!$B$8&gt;=2,FORSIDE!$F$8&gt;=3,FORSIDE!$B$5&gt;=3),"S653","")</f>
        <v/>
      </c>
      <c r="B654" t="str">
        <f>IF(AND(FORSIDE!$B$8&gt;=2,FORSIDE!$F$8&gt;=3,FORSIDE!$B$5&gt;=3),"718 -&gt; 719","")</f>
        <v/>
      </c>
      <c r="C654" t="str">
        <f>FORSIDE!$C$4</f>
        <v>S355, Stål / KFHUP 180x180x12.5</v>
      </c>
    </row>
    <row r="655" spans="1:3" x14ac:dyDescent="0.3">
      <c r="A655" t="str">
        <f>IF(AND(FORSIDE!$B$8&gt;=2,FORSIDE!$F$8&gt;=3,FORSIDE!$B$5&gt;=4),"S654","")</f>
        <v/>
      </c>
      <c r="B655" t="str">
        <f>IF(AND(FORSIDE!$B$8&gt;=2,FORSIDE!$F$8&gt;=3,FORSIDE!$B$5&gt;=4),"719 -&gt; 720","")</f>
        <v/>
      </c>
      <c r="C655" t="str">
        <f>FORSIDE!$C$4</f>
        <v>S355, Stål / KFHUP 180x180x12.5</v>
      </c>
    </row>
    <row r="656" spans="1:3" x14ac:dyDescent="0.3">
      <c r="A656" t="str">
        <f>IF(AND(FORSIDE!$B$8&gt;=2,FORSIDE!$F$8&gt;=3,FORSIDE!$B$5&gt;=5),"S655","")</f>
        <v/>
      </c>
      <c r="B656" t="str">
        <f>IF(AND(FORSIDE!$B$8&gt;=2,FORSIDE!$F$8&gt;=3,FORSIDE!$B$5&gt;=5),"720 -&gt; 721","")</f>
        <v/>
      </c>
      <c r="C656" t="str">
        <f>FORSIDE!$C$4</f>
        <v>S355, Stål / KFHUP 180x180x12.5</v>
      </c>
    </row>
    <row r="657" spans="1:3" x14ac:dyDescent="0.3">
      <c r="A657" t="str">
        <f>IF(AND(FORSIDE!$B$8&gt;=2,FORSIDE!$F$8&gt;=3,FORSIDE!$B$5&gt;=6),"S656","")</f>
        <v/>
      </c>
      <c r="B657" t="str">
        <f>IF(AND(FORSIDE!$B$8&gt;=2,FORSIDE!$F$8&gt;=3,FORSIDE!$B$5&gt;=6),"721 -&gt; 722","")</f>
        <v/>
      </c>
      <c r="C657" t="str">
        <f>FORSIDE!$C$4</f>
        <v>S355, Stål / KFHUP 180x180x12.5</v>
      </c>
    </row>
    <row r="658" spans="1:3" x14ac:dyDescent="0.3">
      <c r="A658" t="str">
        <f>IF(AND(FORSIDE!$B$8&gt;=2,FORSIDE!$F$8&gt;=3,FORSIDE!$B$5&gt;=7),"S657","")</f>
        <v/>
      </c>
      <c r="B658" t="str">
        <f>IF(AND(FORSIDE!$B$8&gt;=2,FORSIDE!$F$8&gt;=3,FORSIDE!$B$5&gt;=7),"722 -&gt; 723","")</f>
        <v/>
      </c>
      <c r="C658" t="str">
        <f>FORSIDE!$C$4</f>
        <v>S355, Stål / KFHUP 180x180x12.5</v>
      </c>
    </row>
    <row r="659" spans="1:3" x14ac:dyDescent="0.3">
      <c r="A659" t="str">
        <f>IF(AND(FORSIDE!$B$8&gt;=2,FORSIDE!$F$8&gt;=3,FORSIDE!$B$5&gt;=8),"S658","")</f>
        <v/>
      </c>
      <c r="B659" t="str">
        <f>IF(AND(FORSIDE!$B$8&gt;=2,FORSIDE!$F$8&gt;=3,FORSIDE!$B$5&gt;=8),"723 -&gt; 724","")</f>
        <v/>
      </c>
      <c r="C659" t="str">
        <f>FORSIDE!$C$4</f>
        <v>S355, Stål / KFHUP 180x180x12.5</v>
      </c>
    </row>
    <row r="660" spans="1:3" x14ac:dyDescent="0.3">
      <c r="A660" t="str">
        <f>IF(AND(FORSIDE!$B$8&gt;=2,FORSIDE!$F$8&gt;=3,FORSIDE!$B$5&gt;=9),"S659","")</f>
        <v/>
      </c>
      <c r="B660" t="str">
        <f>IF(AND(FORSIDE!$B$8&gt;=2,FORSIDE!$F$8&gt;=3,FORSIDE!$B$5&gt;=9),"724 -&gt; 725","")</f>
        <v/>
      </c>
      <c r="C660" t="str">
        <f>FORSIDE!$C$4</f>
        <v>S355, Stål / KFHUP 180x180x12.5</v>
      </c>
    </row>
    <row r="661" spans="1:3" x14ac:dyDescent="0.3">
      <c r="A661" t="str">
        <f>IF(AND(FORSIDE!$B$8&gt;=2,FORSIDE!$F$8&gt;=3,FORSIDE!$B$5&gt;=10),"S660","")</f>
        <v/>
      </c>
      <c r="B661" t="str">
        <f>IF(AND(FORSIDE!$B$8&gt;=2,FORSIDE!$F$8&gt;=3,FORSIDE!$B$5&gt;=10),"725 -&gt; 726","")</f>
        <v/>
      </c>
      <c r="C661" t="str">
        <f>FORSIDE!$C$4</f>
        <v>S355, Stål / KFHUP 180x180x12.5</v>
      </c>
    </row>
    <row r="662" spans="1:3" x14ac:dyDescent="0.3">
      <c r="A662" t="str">
        <f>IF(AND(FORSIDE!$B$8&gt;=3,FORSIDE!$F$8&gt;=3,FORSIDE!$B$5&gt;=1),"S661","")</f>
        <v/>
      </c>
      <c r="B662" t="str">
        <f>IF(AND(FORSIDE!$B$8&gt;=3,FORSIDE!$F$8&gt;=3,FORSIDE!$B$5&gt;=1),"727 -&gt; 728","")</f>
        <v/>
      </c>
      <c r="C662" t="str">
        <f>FORSIDE!$C$4</f>
        <v>S355, Stål / KFHUP 180x180x12.5</v>
      </c>
    </row>
    <row r="663" spans="1:3" x14ac:dyDescent="0.3">
      <c r="A663" t="str">
        <f>IF(AND(FORSIDE!$B$8&gt;=3,FORSIDE!$F$8&gt;=3,FORSIDE!$B$5&gt;=2),"S662","")</f>
        <v/>
      </c>
      <c r="B663" t="str">
        <f>IF(AND(FORSIDE!$B$8&gt;=3,FORSIDE!$F$8&gt;=3,FORSIDE!$B$5&gt;=2),"728 -&gt; 729","")</f>
        <v/>
      </c>
      <c r="C663" t="str">
        <f>FORSIDE!$C$4</f>
        <v>S355, Stål / KFHUP 180x180x12.5</v>
      </c>
    </row>
    <row r="664" spans="1:3" x14ac:dyDescent="0.3">
      <c r="A664" t="str">
        <f>IF(AND(FORSIDE!$B$8&gt;=3,FORSIDE!$F$8&gt;=3,FORSIDE!$B$5&gt;=3),"S663","")</f>
        <v/>
      </c>
      <c r="B664" t="str">
        <f>IF(AND(FORSIDE!$B$8&gt;=3,FORSIDE!$F$8&gt;=3,FORSIDE!$B$5&gt;=3),"729 -&gt; 730","")</f>
        <v/>
      </c>
      <c r="C664" t="str">
        <f>FORSIDE!$C$4</f>
        <v>S355, Stål / KFHUP 180x180x12.5</v>
      </c>
    </row>
    <row r="665" spans="1:3" x14ac:dyDescent="0.3">
      <c r="A665" t="str">
        <f>IF(AND(FORSIDE!$B$8&gt;=3,FORSIDE!$F$8&gt;=3,FORSIDE!$B$5&gt;=4),"S664","")</f>
        <v/>
      </c>
      <c r="B665" t="str">
        <f>IF(AND(FORSIDE!$B$8&gt;=3,FORSIDE!$F$8&gt;=3,FORSIDE!$B$5&gt;=4),"730 -&gt; 731","")</f>
        <v/>
      </c>
      <c r="C665" t="str">
        <f>FORSIDE!$C$4</f>
        <v>S355, Stål / KFHUP 180x180x12.5</v>
      </c>
    </row>
    <row r="666" spans="1:3" x14ac:dyDescent="0.3">
      <c r="A666" t="str">
        <f>IF(AND(FORSIDE!$B$8&gt;=3,FORSIDE!$F$8&gt;=3,FORSIDE!$B$5&gt;=5),"S665","")</f>
        <v/>
      </c>
      <c r="B666" t="str">
        <f>IF(AND(FORSIDE!$B$8&gt;=3,FORSIDE!$F$8&gt;=3,FORSIDE!$B$5&gt;=5),"731 -&gt; 732","")</f>
        <v/>
      </c>
      <c r="C666" t="str">
        <f>FORSIDE!$C$4</f>
        <v>S355, Stål / KFHUP 180x180x12.5</v>
      </c>
    </row>
    <row r="667" spans="1:3" x14ac:dyDescent="0.3">
      <c r="A667" t="str">
        <f>IF(AND(FORSIDE!$B$8&gt;=3,FORSIDE!$F$8&gt;=3,FORSIDE!$B$5&gt;=6),"S666","")</f>
        <v/>
      </c>
      <c r="B667" t="str">
        <f>IF(AND(FORSIDE!$B$8&gt;=3,FORSIDE!$F$8&gt;=3,FORSIDE!$B$5&gt;=6),"732 -&gt; 733","")</f>
        <v/>
      </c>
      <c r="C667" t="str">
        <f>FORSIDE!$C$4</f>
        <v>S355, Stål / KFHUP 180x180x12.5</v>
      </c>
    </row>
    <row r="668" spans="1:3" x14ac:dyDescent="0.3">
      <c r="A668" t="str">
        <f>IF(AND(FORSIDE!$B$8&gt;=3,FORSIDE!$F$8&gt;=3,FORSIDE!$B$5&gt;=7),"S667","")</f>
        <v/>
      </c>
      <c r="B668" t="str">
        <f>IF(AND(FORSIDE!$B$8&gt;=3,FORSIDE!$F$8&gt;=3,FORSIDE!$B$5&gt;=7),"733 -&gt; 734","")</f>
        <v/>
      </c>
      <c r="C668" t="str">
        <f>FORSIDE!$C$4</f>
        <v>S355, Stål / KFHUP 180x180x12.5</v>
      </c>
    </row>
    <row r="669" spans="1:3" x14ac:dyDescent="0.3">
      <c r="A669" t="str">
        <f>IF(AND(FORSIDE!$B$8&gt;=3,FORSIDE!$F$8&gt;=3,FORSIDE!$B$5&gt;=8),"S668","")</f>
        <v/>
      </c>
      <c r="B669" t="str">
        <f>IF(AND(FORSIDE!$B$8&gt;=3,FORSIDE!$F$8&gt;=3,FORSIDE!$B$5&gt;=8),"734 -&gt; 735","")</f>
        <v/>
      </c>
      <c r="C669" t="str">
        <f>FORSIDE!$C$4</f>
        <v>S355, Stål / KFHUP 180x180x12.5</v>
      </c>
    </row>
    <row r="670" spans="1:3" x14ac:dyDescent="0.3">
      <c r="A670" t="str">
        <f>IF(AND(FORSIDE!$B$8&gt;=3,FORSIDE!$F$8&gt;=3,FORSIDE!$B$5&gt;=9),"S669","")</f>
        <v/>
      </c>
      <c r="B670" t="str">
        <f>IF(AND(FORSIDE!$B$8&gt;=3,FORSIDE!$F$8&gt;=3,FORSIDE!$B$5&gt;=9),"735 -&gt; 736","")</f>
        <v/>
      </c>
      <c r="C670" t="str">
        <f>FORSIDE!$C$4</f>
        <v>S355, Stål / KFHUP 180x180x12.5</v>
      </c>
    </row>
    <row r="671" spans="1:3" x14ac:dyDescent="0.3">
      <c r="A671" t="str">
        <f>IF(AND(FORSIDE!$B$8&gt;=3,FORSIDE!$F$8&gt;=3,FORSIDE!$B$5&gt;=10),"S670","")</f>
        <v/>
      </c>
      <c r="B671" t="str">
        <f>IF(AND(FORSIDE!$B$8&gt;=3,FORSIDE!$F$8&gt;=3,FORSIDE!$B$5&gt;=10),"736 -&gt; 737","")</f>
        <v/>
      </c>
      <c r="C671" t="str">
        <f>FORSIDE!$C$4</f>
        <v>S355, Stål / KFHUP 180x180x12.5</v>
      </c>
    </row>
    <row r="672" spans="1:3" x14ac:dyDescent="0.3">
      <c r="A672" t="str">
        <f>IF(AND(FORSIDE!$B$8&gt;=4,FORSIDE!$F$8&gt;=3,FORSIDE!$B$5&gt;=1),"S671","")</f>
        <v/>
      </c>
      <c r="B672" t="str">
        <f>IF(AND(FORSIDE!$B$8&gt;=4,FORSIDE!$F$8&gt;=3,FORSIDE!$B$5&gt;=1),"738 -&gt; 739","")</f>
        <v/>
      </c>
      <c r="C672" t="str">
        <f>FORSIDE!$C$4</f>
        <v>S355, Stål / KFHUP 180x180x12.5</v>
      </c>
    </row>
    <row r="673" spans="1:3" x14ac:dyDescent="0.3">
      <c r="A673" t="str">
        <f>IF(AND(FORSIDE!$B$8&gt;=4,FORSIDE!$F$8&gt;=3,FORSIDE!$B$5&gt;=2),"S672","")</f>
        <v/>
      </c>
      <c r="B673" t="str">
        <f>IF(AND(FORSIDE!$B$8&gt;=4,FORSIDE!$F$8&gt;=3,FORSIDE!$B$5&gt;=2),"739 -&gt; 740","")</f>
        <v/>
      </c>
      <c r="C673" t="str">
        <f>FORSIDE!$C$4</f>
        <v>S355, Stål / KFHUP 180x180x12.5</v>
      </c>
    </row>
    <row r="674" spans="1:3" x14ac:dyDescent="0.3">
      <c r="A674" t="str">
        <f>IF(AND(FORSIDE!$B$8&gt;=4,FORSIDE!$F$8&gt;=3,FORSIDE!$B$5&gt;=3),"S673","")</f>
        <v/>
      </c>
      <c r="B674" t="str">
        <f>IF(AND(FORSIDE!$B$8&gt;=4,FORSIDE!$F$8&gt;=3,FORSIDE!$B$5&gt;=3),"740 -&gt; 741","")</f>
        <v/>
      </c>
      <c r="C674" t="str">
        <f>FORSIDE!$C$4</f>
        <v>S355, Stål / KFHUP 180x180x12.5</v>
      </c>
    </row>
    <row r="675" spans="1:3" x14ac:dyDescent="0.3">
      <c r="A675" t="str">
        <f>IF(AND(FORSIDE!$B$8&gt;=4,FORSIDE!$F$8&gt;=3,FORSIDE!$B$5&gt;=4),"S674","")</f>
        <v/>
      </c>
      <c r="B675" t="str">
        <f>IF(AND(FORSIDE!$B$8&gt;=4,FORSIDE!$F$8&gt;=3,FORSIDE!$B$5&gt;=4),"741 -&gt; 742","")</f>
        <v/>
      </c>
      <c r="C675" t="str">
        <f>FORSIDE!$C$4</f>
        <v>S355, Stål / KFHUP 180x180x12.5</v>
      </c>
    </row>
    <row r="676" spans="1:3" x14ac:dyDescent="0.3">
      <c r="A676" t="str">
        <f>IF(AND(FORSIDE!$B$8&gt;=4,FORSIDE!$F$8&gt;=3,FORSIDE!$B$5&gt;=5),"S675","")</f>
        <v/>
      </c>
      <c r="B676" t="str">
        <f>IF(AND(FORSIDE!$B$8&gt;=4,FORSIDE!$F$8&gt;=3,FORSIDE!$B$5&gt;=5),"742 -&gt; 743","")</f>
        <v/>
      </c>
      <c r="C676" t="str">
        <f>FORSIDE!$C$4</f>
        <v>S355, Stål / KFHUP 180x180x12.5</v>
      </c>
    </row>
    <row r="677" spans="1:3" x14ac:dyDescent="0.3">
      <c r="A677" t="str">
        <f>IF(AND(FORSIDE!$B$8&gt;=4,FORSIDE!$F$8&gt;=3,FORSIDE!$B$5&gt;=6),"S676","")</f>
        <v/>
      </c>
      <c r="B677" t="str">
        <f>IF(AND(FORSIDE!$B$8&gt;=4,FORSIDE!$F$8&gt;=3,FORSIDE!$B$5&gt;=6),"743 -&gt; 744","")</f>
        <v/>
      </c>
      <c r="C677" t="str">
        <f>FORSIDE!$C$4</f>
        <v>S355, Stål / KFHUP 180x180x12.5</v>
      </c>
    </row>
    <row r="678" spans="1:3" x14ac:dyDescent="0.3">
      <c r="A678" t="str">
        <f>IF(AND(FORSIDE!$B$8&gt;=4,FORSIDE!$F$8&gt;=3,FORSIDE!$B$5&gt;=7),"S677","")</f>
        <v/>
      </c>
      <c r="B678" t="str">
        <f>IF(AND(FORSIDE!$B$8&gt;=4,FORSIDE!$F$8&gt;=3,FORSIDE!$B$5&gt;=7),"744 -&gt; 745","")</f>
        <v/>
      </c>
      <c r="C678" t="str">
        <f>FORSIDE!$C$4</f>
        <v>S355, Stål / KFHUP 180x180x12.5</v>
      </c>
    </row>
    <row r="679" spans="1:3" x14ac:dyDescent="0.3">
      <c r="A679" t="str">
        <f>IF(AND(FORSIDE!$B$8&gt;=4,FORSIDE!$F$8&gt;=3,FORSIDE!$B$5&gt;=8),"S678","")</f>
        <v/>
      </c>
      <c r="B679" t="str">
        <f>IF(AND(FORSIDE!$B$8&gt;=4,FORSIDE!$F$8&gt;=3,FORSIDE!$B$5&gt;=8),"745 -&gt; 746","")</f>
        <v/>
      </c>
      <c r="C679" t="str">
        <f>FORSIDE!$C$4</f>
        <v>S355, Stål / KFHUP 180x180x12.5</v>
      </c>
    </row>
    <row r="680" spans="1:3" x14ac:dyDescent="0.3">
      <c r="A680" t="str">
        <f>IF(AND(FORSIDE!$B$8&gt;=4,FORSIDE!$F$8&gt;=3,FORSIDE!$B$5&gt;=9),"S679","")</f>
        <v/>
      </c>
      <c r="B680" t="str">
        <f>IF(AND(FORSIDE!$B$8&gt;=4,FORSIDE!$F$8&gt;=3,FORSIDE!$B$5&gt;=9),"746 -&gt; 747","")</f>
        <v/>
      </c>
      <c r="C680" t="str">
        <f>FORSIDE!$C$4</f>
        <v>S355, Stål / KFHUP 180x180x12.5</v>
      </c>
    </row>
    <row r="681" spans="1:3" x14ac:dyDescent="0.3">
      <c r="A681" t="str">
        <f>IF(AND(FORSIDE!$B$8&gt;=4,FORSIDE!$F$8&gt;=3,FORSIDE!$B$5&gt;=10),"S680","")</f>
        <v/>
      </c>
      <c r="B681" t="str">
        <f>IF(AND(FORSIDE!$B$8&gt;=4,FORSIDE!$F$8&gt;=3,FORSIDE!$B$5&gt;=10),"747 -&gt; 748","")</f>
        <v/>
      </c>
      <c r="C681" t="str">
        <f>FORSIDE!$C$4</f>
        <v>S355, Stål / KFHUP 180x180x12.5</v>
      </c>
    </row>
    <row r="682" spans="1:3" x14ac:dyDescent="0.3">
      <c r="A682" t="str">
        <f>IF(AND(FORSIDE!$B$8&gt;=5,FORSIDE!$F$8&gt;=3,FORSIDE!$B$5&gt;=1),"S681","")</f>
        <v/>
      </c>
      <c r="B682" t="str">
        <f>IF(AND(FORSIDE!$B$8&gt;=5,FORSIDE!$F$8&gt;=3,FORSIDE!$B$5&gt;=1),"749 -&gt; 750","")</f>
        <v/>
      </c>
      <c r="C682" t="str">
        <f>FORSIDE!$C$4</f>
        <v>S355, Stål / KFHUP 180x180x12.5</v>
      </c>
    </row>
    <row r="683" spans="1:3" x14ac:dyDescent="0.3">
      <c r="A683" t="str">
        <f>IF(AND(FORSIDE!$B$8&gt;=5,FORSIDE!$F$8&gt;=3,FORSIDE!$B$5&gt;=2),"S682","")</f>
        <v/>
      </c>
      <c r="B683" t="str">
        <f>IF(AND(FORSIDE!$B$8&gt;=5,FORSIDE!$F$8&gt;=3,FORSIDE!$B$5&gt;=2),"750 -&gt; 751","")</f>
        <v/>
      </c>
      <c r="C683" t="str">
        <f>FORSIDE!$C$4</f>
        <v>S355, Stål / KFHUP 180x180x12.5</v>
      </c>
    </row>
    <row r="684" spans="1:3" x14ac:dyDescent="0.3">
      <c r="A684" t="str">
        <f>IF(AND(FORSIDE!$B$8&gt;=5,FORSIDE!$F$8&gt;=3,FORSIDE!$B$5&gt;=3),"S683","")</f>
        <v/>
      </c>
      <c r="B684" t="str">
        <f>IF(AND(FORSIDE!$B$8&gt;=5,FORSIDE!$F$8&gt;=3,FORSIDE!$B$5&gt;=3),"751 -&gt; 752","")</f>
        <v/>
      </c>
      <c r="C684" t="str">
        <f>FORSIDE!$C$4</f>
        <v>S355, Stål / KFHUP 180x180x12.5</v>
      </c>
    </row>
    <row r="685" spans="1:3" x14ac:dyDescent="0.3">
      <c r="A685" t="str">
        <f>IF(AND(FORSIDE!$B$8&gt;=5,FORSIDE!$F$8&gt;=3,FORSIDE!$B$5&gt;=4),"S684","")</f>
        <v/>
      </c>
      <c r="B685" t="str">
        <f>IF(AND(FORSIDE!$B$8&gt;=5,FORSIDE!$F$8&gt;=3,FORSIDE!$B$5&gt;=4),"752 -&gt; 753","")</f>
        <v/>
      </c>
      <c r="C685" t="str">
        <f>FORSIDE!$C$4</f>
        <v>S355, Stål / KFHUP 180x180x12.5</v>
      </c>
    </row>
    <row r="686" spans="1:3" x14ac:dyDescent="0.3">
      <c r="A686" t="str">
        <f>IF(AND(FORSIDE!$B$8&gt;=5,FORSIDE!$F$8&gt;=3,FORSIDE!$B$5&gt;=5),"S685","")</f>
        <v/>
      </c>
      <c r="B686" t="str">
        <f>IF(AND(FORSIDE!$B$8&gt;=5,FORSIDE!$F$8&gt;=3,FORSIDE!$B$5&gt;=5),"753 -&gt; 754","")</f>
        <v/>
      </c>
      <c r="C686" t="str">
        <f>FORSIDE!$C$4</f>
        <v>S355, Stål / KFHUP 180x180x12.5</v>
      </c>
    </row>
    <row r="687" spans="1:3" x14ac:dyDescent="0.3">
      <c r="A687" t="str">
        <f>IF(AND(FORSIDE!$B$8&gt;=5,FORSIDE!$F$8&gt;=3,FORSIDE!$B$5&gt;=6),"S686","")</f>
        <v/>
      </c>
      <c r="B687" t="str">
        <f>IF(AND(FORSIDE!$B$8&gt;=5,FORSIDE!$F$8&gt;=3,FORSIDE!$B$5&gt;=6),"754 -&gt; 755","")</f>
        <v/>
      </c>
      <c r="C687" t="str">
        <f>FORSIDE!$C$4</f>
        <v>S355, Stål / KFHUP 180x180x12.5</v>
      </c>
    </row>
    <row r="688" spans="1:3" x14ac:dyDescent="0.3">
      <c r="A688" t="str">
        <f>IF(AND(FORSIDE!$B$8&gt;=5,FORSIDE!$F$8&gt;=3,FORSIDE!$B$5&gt;=7),"S687","")</f>
        <v/>
      </c>
      <c r="B688" t="str">
        <f>IF(AND(FORSIDE!$B$8&gt;=5,FORSIDE!$F$8&gt;=3,FORSIDE!$B$5&gt;=7),"755 -&gt; 756","")</f>
        <v/>
      </c>
      <c r="C688" t="str">
        <f>FORSIDE!$C$4</f>
        <v>S355, Stål / KFHUP 180x180x12.5</v>
      </c>
    </row>
    <row r="689" spans="1:3" x14ac:dyDescent="0.3">
      <c r="A689" t="str">
        <f>IF(AND(FORSIDE!$B$8&gt;=5,FORSIDE!$F$8&gt;=3,FORSIDE!$B$5&gt;=8),"S688","")</f>
        <v/>
      </c>
      <c r="B689" t="str">
        <f>IF(AND(FORSIDE!$B$8&gt;=5,FORSIDE!$F$8&gt;=3,FORSIDE!$B$5&gt;=8),"756 -&gt; 757","")</f>
        <v/>
      </c>
      <c r="C689" t="str">
        <f>FORSIDE!$C$4</f>
        <v>S355, Stål / KFHUP 180x180x12.5</v>
      </c>
    </row>
    <row r="690" spans="1:3" x14ac:dyDescent="0.3">
      <c r="A690" t="str">
        <f>IF(AND(FORSIDE!$B$8&gt;=5,FORSIDE!$F$8&gt;=3,FORSIDE!$B$5&gt;=9),"S689","")</f>
        <v/>
      </c>
      <c r="B690" t="str">
        <f>IF(AND(FORSIDE!$B$8&gt;=5,FORSIDE!$F$8&gt;=3,FORSIDE!$B$5&gt;=9),"757 -&gt; 758","")</f>
        <v/>
      </c>
      <c r="C690" t="str">
        <f>FORSIDE!$C$4</f>
        <v>S355, Stål / KFHUP 180x180x12.5</v>
      </c>
    </row>
    <row r="691" spans="1:3" x14ac:dyDescent="0.3">
      <c r="A691" t="str">
        <f>IF(AND(FORSIDE!$B$8&gt;=5,FORSIDE!$F$8&gt;=3,FORSIDE!$B$5&gt;=10),"S690","")</f>
        <v/>
      </c>
      <c r="B691" t="str">
        <f>IF(AND(FORSIDE!$B$8&gt;=5,FORSIDE!$F$8&gt;=3,FORSIDE!$B$5&gt;=10),"758 -&gt; 759","")</f>
        <v/>
      </c>
      <c r="C691" t="str">
        <f>FORSIDE!$C$4</f>
        <v>S355, Stål / KFHUP 180x180x12.5</v>
      </c>
    </row>
    <row r="692" spans="1:3" x14ac:dyDescent="0.3">
      <c r="A692" t="str">
        <f>IF(AND(FORSIDE!$B$8&gt;=6,FORSIDE!$F$8&gt;=3,FORSIDE!$B$5&gt;=1),"S691","")</f>
        <v/>
      </c>
      <c r="B692" t="str">
        <f>IF(AND(FORSIDE!$B$8&gt;=6,FORSIDE!$F$8&gt;=3,FORSIDE!$B$5&gt;=1),"760 -&gt; 761","")</f>
        <v/>
      </c>
      <c r="C692" t="str">
        <f>FORSIDE!$C$4</f>
        <v>S355, Stål / KFHUP 180x180x12.5</v>
      </c>
    </row>
    <row r="693" spans="1:3" x14ac:dyDescent="0.3">
      <c r="A693" t="str">
        <f>IF(AND(FORSIDE!$B$8&gt;=6,FORSIDE!$F$8&gt;=3,FORSIDE!$B$5&gt;=2),"S692","")</f>
        <v/>
      </c>
      <c r="B693" t="str">
        <f>IF(AND(FORSIDE!$B$8&gt;=6,FORSIDE!$F$8&gt;=3,FORSIDE!$B$5&gt;=2),"761 -&gt; 762","")</f>
        <v/>
      </c>
      <c r="C693" t="str">
        <f>FORSIDE!$C$4</f>
        <v>S355, Stål / KFHUP 180x180x12.5</v>
      </c>
    </row>
    <row r="694" spans="1:3" x14ac:dyDescent="0.3">
      <c r="A694" t="str">
        <f>IF(AND(FORSIDE!$B$8&gt;=6,FORSIDE!$F$8&gt;=3,FORSIDE!$B$5&gt;=3),"S693","")</f>
        <v/>
      </c>
      <c r="B694" t="str">
        <f>IF(AND(FORSIDE!$B$8&gt;=6,FORSIDE!$F$8&gt;=3,FORSIDE!$B$5&gt;=3),"762 -&gt; 763","")</f>
        <v/>
      </c>
      <c r="C694" t="str">
        <f>FORSIDE!$C$4</f>
        <v>S355, Stål / KFHUP 180x180x12.5</v>
      </c>
    </row>
    <row r="695" spans="1:3" x14ac:dyDescent="0.3">
      <c r="A695" t="str">
        <f>IF(AND(FORSIDE!$B$8&gt;=6,FORSIDE!$F$8&gt;=3,FORSIDE!$B$5&gt;=4),"S694","")</f>
        <v/>
      </c>
      <c r="B695" t="str">
        <f>IF(AND(FORSIDE!$B$8&gt;=6,FORSIDE!$F$8&gt;=3,FORSIDE!$B$5&gt;=4),"763 -&gt; 764","")</f>
        <v/>
      </c>
      <c r="C695" t="str">
        <f>FORSIDE!$C$4</f>
        <v>S355, Stål / KFHUP 180x180x12.5</v>
      </c>
    </row>
    <row r="696" spans="1:3" x14ac:dyDescent="0.3">
      <c r="A696" t="str">
        <f>IF(AND(FORSIDE!$B$8&gt;=6,FORSIDE!$F$8&gt;=3,FORSIDE!$B$5&gt;=5),"S695","")</f>
        <v/>
      </c>
      <c r="B696" t="str">
        <f>IF(AND(FORSIDE!$B$8&gt;=6,FORSIDE!$F$8&gt;=3,FORSIDE!$B$5&gt;=5),"764 -&gt; 765","")</f>
        <v/>
      </c>
      <c r="C696" t="str">
        <f>FORSIDE!$C$4</f>
        <v>S355, Stål / KFHUP 180x180x12.5</v>
      </c>
    </row>
    <row r="697" spans="1:3" x14ac:dyDescent="0.3">
      <c r="A697" t="str">
        <f>IF(AND(FORSIDE!$B$8&gt;=6,FORSIDE!$F$8&gt;=3,FORSIDE!$B$5&gt;=6),"S696","")</f>
        <v/>
      </c>
      <c r="B697" t="str">
        <f>IF(AND(FORSIDE!$B$8&gt;=6,FORSIDE!$F$8&gt;=3,FORSIDE!$B$5&gt;=6),"765 -&gt; 766","")</f>
        <v/>
      </c>
      <c r="C697" t="str">
        <f>FORSIDE!$C$4</f>
        <v>S355, Stål / KFHUP 180x180x12.5</v>
      </c>
    </row>
    <row r="698" spans="1:3" x14ac:dyDescent="0.3">
      <c r="A698" t="str">
        <f>IF(AND(FORSIDE!$B$8&gt;=6,FORSIDE!$F$8&gt;=3,FORSIDE!$B$5&gt;=7),"S697","")</f>
        <v/>
      </c>
      <c r="B698" t="str">
        <f>IF(AND(FORSIDE!$B$8&gt;=6,FORSIDE!$F$8&gt;=3,FORSIDE!$B$5&gt;=7),"766 -&gt; 767","")</f>
        <v/>
      </c>
      <c r="C698" t="str">
        <f>FORSIDE!$C$4</f>
        <v>S355, Stål / KFHUP 180x180x12.5</v>
      </c>
    </row>
    <row r="699" spans="1:3" x14ac:dyDescent="0.3">
      <c r="A699" t="str">
        <f>IF(AND(FORSIDE!$B$8&gt;=6,FORSIDE!$F$8&gt;=3,FORSIDE!$B$5&gt;=8),"S698","")</f>
        <v/>
      </c>
      <c r="B699" t="str">
        <f>IF(AND(FORSIDE!$B$8&gt;=6,FORSIDE!$F$8&gt;=3,FORSIDE!$B$5&gt;=8),"767 -&gt; 768","")</f>
        <v/>
      </c>
      <c r="C699" t="str">
        <f>FORSIDE!$C$4</f>
        <v>S355, Stål / KFHUP 180x180x12.5</v>
      </c>
    </row>
    <row r="700" spans="1:3" x14ac:dyDescent="0.3">
      <c r="A700" t="str">
        <f>IF(AND(FORSIDE!$B$8&gt;=6,FORSIDE!$F$8&gt;=3,FORSIDE!$B$5&gt;=9),"S699","")</f>
        <v/>
      </c>
      <c r="B700" t="str">
        <f>IF(AND(FORSIDE!$B$8&gt;=6,FORSIDE!$F$8&gt;=3,FORSIDE!$B$5&gt;=9),"768 -&gt; 769","")</f>
        <v/>
      </c>
      <c r="C700" t="str">
        <f>FORSIDE!$C$4</f>
        <v>S355, Stål / KFHUP 180x180x12.5</v>
      </c>
    </row>
    <row r="701" spans="1:3" x14ac:dyDescent="0.3">
      <c r="A701" t="str">
        <f>IF(AND(FORSIDE!$B$8&gt;=6,FORSIDE!$F$8&gt;=3,FORSIDE!$B$5&gt;=10),"S700","")</f>
        <v/>
      </c>
      <c r="B701" t="str">
        <f>IF(AND(FORSIDE!$B$8&gt;=6,FORSIDE!$F$8&gt;=3,FORSIDE!$B$5&gt;=10),"769 -&gt; 770","")</f>
        <v/>
      </c>
      <c r="C701" t="str">
        <f>FORSIDE!$C$4</f>
        <v>S355, Stål / KFHUP 180x180x12.5</v>
      </c>
    </row>
    <row r="702" spans="1:3" x14ac:dyDescent="0.3">
      <c r="A702" t="str">
        <f>IF(AND(FORSIDE!$B$8&gt;=7,FORSIDE!$F$8&gt;=3,FORSIDE!$B$5&gt;=1),"S701","")</f>
        <v/>
      </c>
      <c r="B702" t="str">
        <f>IF(AND(FORSIDE!$B$8&gt;=7,FORSIDE!$F$8&gt;=3,FORSIDE!$B$5&gt;=1),"771 -&gt; 772","")</f>
        <v/>
      </c>
      <c r="C702" t="str">
        <f>FORSIDE!$C$4</f>
        <v>S355, Stål / KFHUP 180x180x12.5</v>
      </c>
    </row>
    <row r="703" spans="1:3" x14ac:dyDescent="0.3">
      <c r="A703" t="str">
        <f>IF(AND(FORSIDE!$B$8&gt;=7,FORSIDE!$F$8&gt;=3,FORSIDE!$B$5&gt;=2),"S702","")</f>
        <v/>
      </c>
      <c r="B703" t="str">
        <f>IF(AND(FORSIDE!$B$8&gt;=7,FORSIDE!$F$8&gt;=3,FORSIDE!$B$5&gt;=2),"772 -&gt; 773","")</f>
        <v/>
      </c>
      <c r="C703" t="str">
        <f>FORSIDE!$C$4</f>
        <v>S355, Stål / KFHUP 180x180x12.5</v>
      </c>
    </row>
    <row r="704" spans="1:3" x14ac:dyDescent="0.3">
      <c r="A704" t="str">
        <f>IF(AND(FORSIDE!$B$8&gt;=7,FORSIDE!$F$8&gt;=3,FORSIDE!$B$5&gt;=3),"S703","")</f>
        <v/>
      </c>
      <c r="B704" t="str">
        <f>IF(AND(FORSIDE!$B$8&gt;=7,FORSIDE!$F$8&gt;=3,FORSIDE!$B$5&gt;=3),"773 -&gt; 774","")</f>
        <v/>
      </c>
      <c r="C704" t="str">
        <f>FORSIDE!$C$4</f>
        <v>S355, Stål / KFHUP 180x180x12.5</v>
      </c>
    </row>
    <row r="705" spans="1:3" x14ac:dyDescent="0.3">
      <c r="A705" t="str">
        <f>IF(AND(FORSIDE!$B$8&gt;=7,FORSIDE!$F$8&gt;=3,FORSIDE!$B$5&gt;=4),"S704","")</f>
        <v/>
      </c>
      <c r="B705" t="str">
        <f>IF(AND(FORSIDE!$B$8&gt;=7,FORSIDE!$F$8&gt;=3,FORSIDE!$B$5&gt;=4),"774 -&gt; 775","")</f>
        <v/>
      </c>
      <c r="C705" t="str">
        <f>FORSIDE!$C$4</f>
        <v>S355, Stål / KFHUP 180x180x12.5</v>
      </c>
    </row>
    <row r="706" spans="1:3" x14ac:dyDescent="0.3">
      <c r="A706" t="str">
        <f>IF(AND(FORSIDE!$B$8&gt;=7,FORSIDE!$F$8&gt;=3,FORSIDE!$B$5&gt;=5),"S705","")</f>
        <v/>
      </c>
      <c r="B706" t="str">
        <f>IF(AND(FORSIDE!$B$8&gt;=7,FORSIDE!$F$8&gt;=3,FORSIDE!$B$5&gt;=5),"775 -&gt; 776","")</f>
        <v/>
      </c>
      <c r="C706" t="str">
        <f>FORSIDE!$C$4</f>
        <v>S355, Stål / KFHUP 180x180x12.5</v>
      </c>
    </row>
    <row r="707" spans="1:3" x14ac:dyDescent="0.3">
      <c r="A707" t="str">
        <f>IF(AND(FORSIDE!$B$8&gt;=7,FORSIDE!$F$8&gt;=3,FORSIDE!$B$5&gt;=6),"S706","")</f>
        <v/>
      </c>
      <c r="B707" t="str">
        <f>IF(AND(FORSIDE!$B$8&gt;=7,FORSIDE!$F$8&gt;=3,FORSIDE!$B$5&gt;=6),"776 -&gt; 777","")</f>
        <v/>
      </c>
      <c r="C707" t="str">
        <f>FORSIDE!$C$4</f>
        <v>S355, Stål / KFHUP 180x180x12.5</v>
      </c>
    </row>
    <row r="708" spans="1:3" x14ac:dyDescent="0.3">
      <c r="A708" t="str">
        <f>IF(AND(FORSIDE!$B$8&gt;=7,FORSIDE!$F$8&gt;=3,FORSIDE!$B$5&gt;=7),"S707","")</f>
        <v/>
      </c>
      <c r="B708" t="str">
        <f>IF(AND(FORSIDE!$B$8&gt;=7,FORSIDE!$F$8&gt;=3,FORSIDE!$B$5&gt;=7),"777 -&gt; 778","")</f>
        <v/>
      </c>
      <c r="C708" t="str">
        <f>FORSIDE!$C$4</f>
        <v>S355, Stål / KFHUP 180x180x12.5</v>
      </c>
    </row>
    <row r="709" spans="1:3" x14ac:dyDescent="0.3">
      <c r="A709" t="str">
        <f>IF(AND(FORSIDE!$B$8&gt;=7,FORSIDE!$F$8&gt;=3,FORSIDE!$B$5&gt;=8),"S708","")</f>
        <v/>
      </c>
      <c r="B709" t="str">
        <f>IF(AND(FORSIDE!$B$8&gt;=7,FORSIDE!$F$8&gt;=3,FORSIDE!$B$5&gt;=8),"778 -&gt; 779","")</f>
        <v/>
      </c>
      <c r="C709" t="str">
        <f>FORSIDE!$C$4</f>
        <v>S355, Stål / KFHUP 180x180x12.5</v>
      </c>
    </row>
    <row r="710" spans="1:3" x14ac:dyDescent="0.3">
      <c r="A710" t="str">
        <f>IF(AND(FORSIDE!$B$8&gt;=7,FORSIDE!$F$8&gt;=3,FORSIDE!$B$5&gt;=9),"S709","")</f>
        <v/>
      </c>
      <c r="B710" t="str">
        <f>IF(AND(FORSIDE!$B$8&gt;=7,FORSIDE!$F$8&gt;=3,FORSIDE!$B$5&gt;=9),"779 -&gt; 780","")</f>
        <v/>
      </c>
      <c r="C710" t="str">
        <f>FORSIDE!$C$4</f>
        <v>S355, Stål / KFHUP 180x180x12.5</v>
      </c>
    </row>
    <row r="711" spans="1:3" x14ac:dyDescent="0.3">
      <c r="A711" t="str">
        <f>IF(AND(FORSIDE!$B$8&gt;=7,FORSIDE!$F$8&gt;=3,FORSIDE!$B$5&gt;=10),"S710","")</f>
        <v/>
      </c>
      <c r="B711" t="str">
        <f>IF(AND(FORSIDE!$B$8&gt;=7,FORSIDE!$F$8&gt;=3,FORSIDE!$B$5&gt;=10),"780 -&gt; 781","")</f>
        <v/>
      </c>
      <c r="C711" t="str">
        <f>FORSIDE!$C$4</f>
        <v>S355, Stål / KFHUP 180x180x12.5</v>
      </c>
    </row>
    <row r="712" spans="1:3" x14ac:dyDescent="0.3">
      <c r="A712" t="str">
        <f>IF(AND(FORSIDE!$B$8&gt;=8,FORSIDE!$F$8&gt;=3,FORSIDE!$B$5&gt;=1),"S711","")</f>
        <v/>
      </c>
      <c r="B712" t="str">
        <f>IF(AND(FORSIDE!$B$8&gt;=8,FORSIDE!$F$8&gt;=3,FORSIDE!$B$5&gt;=1),"782 -&gt; 783","")</f>
        <v/>
      </c>
      <c r="C712" t="str">
        <f>FORSIDE!$C$4</f>
        <v>S355, Stål / KFHUP 180x180x12.5</v>
      </c>
    </row>
    <row r="713" spans="1:3" x14ac:dyDescent="0.3">
      <c r="A713" t="str">
        <f>IF(AND(FORSIDE!$B$8&gt;=8,FORSIDE!$F$8&gt;=3,FORSIDE!$B$5&gt;=2),"S712","")</f>
        <v/>
      </c>
      <c r="B713" t="str">
        <f>IF(AND(FORSIDE!$B$8&gt;=8,FORSIDE!$F$8&gt;=3,FORSIDE!$B$5&gt;=2),"783 -&gt; 784","")</f>
        <v/>
      </c>
      <c r="C713" t="str">
        <f>FORSIDE!$C$4</f>
        <v>S355, Stål / KFHUP 180x180x12.5</v>
      </c>
    </row>
    <row r="714" spans="1:3" x14ac:dyDescent="0.3">
      <c r="A714" t="str">
        <f>IF(AND(FORSIDE!$B$8&gt;=8,FORSIDE!$F$8&gt;=3,FORSIDE!$B$5&gt;=3),"S713","")</f>
        <v/>
      </c>
      <c r="B714" t="str">
        <f>IF(AND(FORSIDE!$B$8&gt;=8,FORSIDE!$F$8&gt;=3,FORSIDE!$B$5&gt;=3),"784 -&gt; 785","")</f>
        <v/>
      </c>
      <c r="C714" t="str">
        <f>FORSIDE!$C$4</f>
        <v>S355, Stål / KFHUP 180x180x12.5</v>
      </c>
    </row>
    <row r="715" spans="1:3" x14ac:dyDescent="0.3">
      <c r="A715" t="str">
        <f>IF(AND(FORSIDE!$B$8&gt;=8,FORSIDE!$F$8&gt;=3,FORSIDE!$B$5&gt;=4),"S714","")</f>
        <v/>
      </c>
      <c r="B715" t="str">
        <f>IF(AND(FORSIDE!$B$8&gt;=8,FORSIDE!$F$8&gt;=3,FORSIDE!$B$5&gt;=4),"785 -&gt; 786","")</f>
        <v/>
      </c>
      <c r="C715" t="str">
        <f>FORSIDE!$C$4</f>
        <v>S355, Stål / KFHUP 180x180x12.5</v>
      </c>
    </row>
    <row r="716" spans="1:3" x14ac:dyDescent="0.3">
      <c r="A716" t="str">
        <f>IF(AND(FORSIDE!$B$8&gt;=8,FORSIDE!$F$8&gt;=3,FORSIDE!$B$5&gt;=5),"S715","")</f>
        <v/>
      </c>
      <c r="B716" t="str">
        <f>IF(AND(FORSIDE!$B$8&gt;=8,FORSIDE!$F$8&gt;=3,FORSIDE!$B$5&gt;=5),"786 -&gt; 787","")</f>
        <v/>
      </c>
      <c r="C716" t="str">
        <f>FORSIDE!$C$4</f>
        <v>S355, Stål / KFHUP 180x180x12.5</v>
      </c>
    </row>
    <row r="717" spans="1:3" x14ac:dyDescent="0.3">
      <c r="A717" t="str">
        <f>IF(AND(FORSIDE!$B$8&gt;=8,FORSIDE!$F$8&gt;=3,FORSIDE!$B$5&gt;=6),"S716","")</f>
        <v/>
      </c>
      <c r="B717" t="str">
        <f>IF(AND(FORSIDE!$B$8&gt;=8,FORSIDE!$F$8&gt;=3,FORSIDE!$B$5&gt;=6),"787 -&gt; 788","")</f>
        <v/>
      </c>
      <c r="C717" t="str">
        <f>FORSIDE!$C$4</f>
        <v>S355, Stål / KFHUP 180x180x12.5</v>
      </c>
    </row>
    <row r="718" spans="1:3" x14ac:dyDescent="0.3">
      <c r="A718" t="str">
        <f>IF(AND(FORSIDE!$B$8&gt;=8,FORSIDE!$F$8&gt;=3,FORSIDE!$B$5&gt;=7),"S717","")</f>
        <v/>
      </c>
      <c r="B718" t="str">
        <f>IF(AND(FORSIDE!$B$8&gt;=8,FORSIDE!$F$8&gt;=3,FORSIDE!$B$5&gt;=7),"788 -&gt; 789","")</f>
        <v/>
      </c>
      <c r="C718" t="str">
        <f>FORSIDE!$C$4</f>
        <v>S355, Stål / KFHUP 180x180x12.5</v>
      </c>
    </row>
    <row r="719" spans="1:3" x14ac:dyDescent="0.3">
      <c r="A719" t="str">
        <f>IF(AND(FORSIDE!$B$8&gt;=8,FORSIDE!$F$8&gt;=3,FORSIDE!$B$5&gt;=8),"S718","")</f>
        <v/>
      </c>
      <c r="B719" t="str">
        <f>IF(AND(FORSIDE!$B$8&gt;=8,FORSIDE!$F$8&gt;=3,FORSIDE!$B$5&gt;=8),"789 -&gt; 790","")</f>
        <v/>
      </c>
      <c r="C719" t="str">
        <f>FORSIDE!$C$4</f>
        <v>S355, Stål / KFHUP 180x180x12.5</v>
      </c>
    </row>
    <row r="720" spans="1:3" x14ac:dyDescent="0.3">
      <c r="A720" t="str">
        <f>IF(AND(FORSIDE!$B$8&gt;=8,FORSIDE!$F$8&gt;=3,FORSIDE!$B$5&gt;=9),"S719","")</f>
        <v/>
      </c>
      <c r="B720" t="str">
        <f>IF(AND(FORSIDE!$B$8&gt;=8,FORSIDE!$F$8&gt;=3,FORSIDE!$B$5&gt;=9),"790 -&gt; 791","")</f>
        <v/>
      </c>
      <c r="C720" t="str">
        <f>FORSIDE!$C$4</f>
        <v>S355, Stål / KFHUP 180x180x12.5</v>
      </c>
    </row>
    <row r="721" spans="1:3" x14ac:dyDescent="0.3">
      <c r="A721" t="str">
        <f>IF(AND(FORSIDE!$B$8&gt;=8,FORSIDE!$F$8&gt;=3,FORSIDE!$B$5&gt;=10),"S720","")</f>
        <v/>
      </c>
      <c r="B721" t="str">
        <f>IF(AND(FORSIDE!$B$8&gt;=8,FORSIDE!$F$8&gt;=3,FORSIDE!$B$5&gt;=10),"791 -&gt; 792","")</f>
        <v/>
      </c>
      <c r="C721" t="str">
        <f>FORSIDE!$C$4</f>
        <v>S355, Stål / KFHUP 180x180x12.5</v>
      </c>
    </row>
    <row r="722" spans="1:3" x14ac:dyDescent="0.3">
      <c r="A722" t="str">
        <f>IF(AND(FORSIDE!$B$8&gt;=9,FORSIDE!$F$8&gt;=3,FORSIDE!$B$5&gt;=1),"S721","")</f>
        <v/>
      </c>
      <c r="B722" t="str">
        <f>IF(AND(FORSIDE!$B$8&gt;=9,FORSIDE!$F$8&gt;=3,FORSIDE!$B$5&gt;=1),"793 -&gt; 794","")</f>
        <v/>
      </c>
      <c r="C722" t="str">
        <f>FORSIDE!$C$4</f>
        <v>S355, Stål / KFHUP 180x180x12.5</v>
      </c>
    </row>
    <row r="723" spans="1:3" x14ac:dyDescent="0.3">
      <c r="A723" t="str">
        <f>IF(AND(FORSIDE!$B$8&gt;=9,FORSIDE!$F$8&gt;=3,FORSIDE!$B$5&gt;=2),"S722","")</f>
        <v/>
      </c>
      <c r="B723" t="str">
        <f>IF(AND(FORSIDE!$B$8&gt;=9,FORSIDE!$F$8&gt;=3,FORSIDE!$B$5&gt;=2),"794 -&gt; 795","")</f>
        <v/>
      </c>
      <c r="C723" t="str">
        <f>FORSIDE!$C$4</f>
        <v>S355, Stål / KFHUP 180x180x12.5</v>
      </c>
    </row>
    <row r="724" spans="1:3" x14ac:dyDescent="0.3">
      <c r="A724" t="str">
        <f>IF(AND(FORSIDE!$B$8&gt;=9,FORSIDE!$F$8&gt;=3,FORSIDE!$B$5&gt;=3),"S723","")</f>
        <v/>
      </c>
      <c r="B724" t="str">
        <f>IF(AND(FORSIDE!$B$8&gt;=9,FORSIDE!$F$8&gt;=3,FORSIDE!$B$5&gt;=3),"795 -&gt; 796","")</f>
        <v/>
      </c>
      <c r="C724" t="str">
        <f>FORSIDE!$C$4</f>
        <v>S355, Stål / KFHUP 180x180x12.5</v>
      </c>
    </row>
    <row r="725" spans="1:3" x14ac:dyDescent="0.3">
      <c r="A725" t="str">
        <f>IF(AND(FORSIDE!$B$8&gt;=9,FORSIDE!$F$8&gt;=3,FORSIDE!$B$5&gt;=4),"S724","")</f>
        <v/>
      </c>
      <c r="B725" t="str">
        <f>IF(AND(FORSIDE!$B$8&gt;=9,FORSIDE!$F$8&gt;=3,FORSIDE!$B$5&gt;=4),"796 -&gt; 797","")</f>
        <v/>
      </c>
      <c r="C725" t="str">
        <f>FORSIDE!$C$4</f>
        <v>S355, Stål / KFHUP 180x180x12.5</v>
      </c>
    </row>
    <row r="726" spans="1:3" x14ac:dyDescent="0.3">
      <c r="A726" t="str">
        <f>IF(AND(FORSIDE!$B$8&gt;=9,FORSIDE!$F$8&gt;=3,FORSIDE!$B$5&gt;=5),"S725","")</f>
        <v/>
      </c>
      <c r="B726" t="str">
        <f>IF(AND(FORSIDE!$B$8&gt;=9,FORSIDE!$F$8&gt;=3,FORSIDE!$B$5&gt;=5),"797 -&gt; 798","")</f>
        <v/>
      </c>
      <c r="C726" t="str">
        <f>FORSIDE!$C$4</f>
        <v>S355, Stål / KFHUP 180x180x12.5</v>
      </c>
    </row>
    <row r="727" spans="1:3" x14ac:dyDescent="0.3">
      <c r="A727" t="str">
        <f>IF(AND(FORSIDE!$B$8&gt;=9,FORSIDE!$F$8&gt;=3,FORSIDE!$B$5&gt;=6),"S726","")</f>
        <v/>
      </c>
      <c r="B727" t="str">
        <f>IF(AND(FORSIDE!$B$8&gt;=9,FORSIDE!$F$8&gt;=3,FORSIDE!$B$5&gt;=6),"798 -&gt; 799","")</f>
        <v/>
      </c>
      <c r="C727" t="str">
        <f>FORSIDE!$C$4</f>
        <v>S355, Stål / KFHUP 180x180x12.5</v>
      </c>
    </row>
    <row r="728" spans="1:3" x14ac:dyDescent="0.3">
      <c r="A728" t="str">
        <f>IF(AND(FORSIDE!$B$8&gt;=9,FORSIDE!$F$8&gt;=3,FORSIDE!$B$5&gt;=7),"S727","")</f>
        <v/>
      </c>
      <c r="B728" t="str">
        <f>IF(AND(FORSIDE!$B$8&gt;=9,FORSIDE!$F$8&gt;=3,FORSIDE!$B$5&gt;=7),"799 -&gt; 800","")</f>
        <v/>
      </c>
      <c r="C728" t="str">
        <f>FORSIDE!$C$4</f>
        <v>S355, Stål / KFHUP 180x180x12.5</v>
      </c>
    </row>
    <row r="729" spans="1:3" x14ac:dyDescent="0.3">
      <c r="A729" t="str">
        <f>IF(AND(FORSIDE!$B$8&gt;=9,FORSIDE!$F$8&gt;=3,FORSIDE!$B$5&gt;=8),"S728","")</f>
        <v/>
      </c>
      <c r="B729" t="str">
        <f>IF(AND(FORSIDE!$B$8&gt;=9,FORSIDE!$F$8&gt;=3,FORSIDE!$B$5&gt;=8),"800 -&gt; 801","")</f>
        <v/>
      </c>
      <c r="C729" t="str">
        <f>FORSIDE!$C$4</f>
        <v>S355, Stål / KFHUP 180x180x12.5</v>
      </c>
    </row>
    <row r="730" spans="1:3" x14ac:dyDescent="0.3">
      <c r="A730" t="str">
        <f>IF(AND(FORSIDE!$B$8&gt;=9,FORSIDE!$F$8&gt;=3,FORSIDE!$B$5&gt;=9),"S729","")</f>
        <v/>
      </c>
      <c r="B730" t="str">
        <f>IF(AND(FORSIDE!$B$8&gt;=9,FORSIDE!$F$8&gt;=3,FORSIDE!$B$5&gt;=9),"801 -&gt; 802","")</f>
        <v/>
      </c>
      <c r="C730" t="str">
        <f>FORSIDE!$C$4</f>
        <v>S355, Stål / KFHUP 180x180x12.5</v>
      </c>
    </row>
    <row r="731" spans="1:3" x14ac:dyDescent="0.3">
      <c r="A731" t="str">
        <f>IF(AND(FORSIDE!$B$8&gt;=9,FORSIDE!$F$8&gt;=3,FORSIDE!$B$5&gt;=10),"S730","")</f>
        <v/>
      </c>
      <c r="B731" t="str">
        <f>IF(AND(FORSIDE!$B$8&gt;=9,FORSIDE!$F$8&gt;=3,FORSIDE!$B$5&gt;=10),"802 -&gt; 803","")</f>
        <v/>
      </c>
      <c r="C731" t="str">
        <f>FORSIDE!$C$4</f>
        <v>S355, Stål / KFHUP 180x180x12.5</v>
      </c>
    </row>
    <row r="732" spans="1:3" x14ac:dyDescent="0.3">
      <c r="A732" t="str">
        <f>IF(AND(FORSIDE!$B$8&gt;=10,FORSIDE!$F$8&gt;=3,FORSIDE!$B$5&gt;=1),"S731","")</f>
        <v/>
      </c>
      <c r="B732" t="str">
        <f>IF(AND(FORSIDE!$B$8&gt;=10,FORSIDE!$F$8&gt;=3,FORSIDE!$B$5&gt;=1),"804 -&gt; 805","")</f>
        <v/>
      </c>
      <c r="C732" t="str">
        <f>FORSIDE!$C$4</f>
        <v>S355, Stål / KFHUP 180x180x12.5</v>
      </c>
    </row>
    <row r="733" spans="1:3" x14ac:dyDescent="0.3">
      <c r="A733" t="str">
        <f>IF(AND(FORSIDE!$B$8&gt;=10,FORSIDE!$F$8&gt;=3,FORSIDE!$B$5&gt;=2),"S732","")</f>
        <v/>
      </c>
      <c r="B733" t="str">
        <f>IF(AND(FORSIDE!$B$8&gt;=10,FORSIDE!$F$8&gt;=3,FORSIDE!$B$5&gt;=2),"805 -&gt; 806","")</f>
        <v/>
      </c>
      <c r="C733" t="str">
        <f>FORSIDE!$C$4</f>
        <v>S355, Stål / KFHUP 180x180x12.5</v>
      </c>
    </row>
    <row r="734" spans="1:3" x14ac:dyDescent="0.3">
      <c r="A734" t="str">
        <f>IF(AND(FORSIDE!$B$8&gt;=10,FORSIDE!$F$8&gt;=3,FORSIDE!$B$5&gt;=3),"S733","")</f>
        <v/>
      </c>
      <c r="B734" t="str">
        <f>IF(AND(FORSIDE!$B$8&gt;=10,FORSIDE!$F$8&gt;=3,FORSIDE!$B$5&gt;=3),"806 -&gt; 807","")</f>
        <v/>
      </c>
      <c r="C734" t="str">
        <f>FORSIDE!$C$4</f>
        <v>S355, Stål / KFHUP 180x180x12.5</v>
      </c>
    </row>
    <row r="735" spans="1:3" x14ac:dyDescent="0.3">
      <c r="A735" t="str">
        <f>IF(AND(FORSIDE!$B$8&gt;=10,FORSIDE!$F$8&gt;=3,FORSIDE!$B$5&gt;=4),"S734","")</f>
        <v/>
      </c>
      <c r="B735" t="str">
        <f>IF(AND(FORSIDE!$B$8&gt;=10,FORSIDE!$F$8&gt;=3,FORSIDE!$B$5&gt;=4),"807 -&gt; 808","")</f>
        <v/>
      </c>
      <c r="C735" t="str">
        <f>FORSIDE!$C$4</f>
        <v>S355, Stål / KFHUP 180x180x12.5</v>
      </c>
    </row>
    <row r="736" spans="1:3" x14ac:dyDescent="0.3">
      <c r="A736" t="str">
        <f>IF(AND(FORSIDE!$B$8&gt;=10,FORSIDE!$F$8&gt;=3,FORSIDE!$B$5&gt;=5),"S735","")</f>
        <v/>
      </c>
      <c r="B736" t="str">
        <f>IF(AND(FORSIDE!$B$8&gt;=10,FORSIDE!$F$8&gt;=3,FORSIDE!$B$5&gt;=5),"808 -&gt; 809","")</f>
        <v/>
      </c>
      <c r="C736" t="str">
        <f>FORSIDE!$C$4</f>
        <v>S355, Stål / KFHUP 180x180x12.5</v>
      </c>
    </row>
    <row r="737" spans="1:3" x14ac:dyDescent="0.3">
      <c r="A737" t="str">
        <f>IF(AND(FORSIDE!$B$8&gt;=10,FORSIDE!$F$8&gt;=3,FORSIDE!$B$5&gt;=6),"S736","")</f>
        <v/>
      </c>
      <c r="B737" t="str">
        <f>IF(AND(FORSIDE!$B$8&gt;=10,FORSIDE!$F$8&gt;=3,FORSIDE!$B$5&gt;=6),"809 -&gt; 810","")</f>
        <v/>
      </c>
      <c r="C737" t="str">
        <f>FORSIDE!$C$4</f>
        <v>S355, Stål / KFHUP 180x180x12.5</v>
      </c>
    </row>
    <row r="738" spans="1:3" x14ac:dyDescent="0.3">
      <c r="A738" t="str">
        <f>IF(AND(FORSIDE!$B$8&gt;=10,FORSIDE!$F$8&gt;=3,FORSIDE!$B$5&gt;=7),"S737","")</f>
        <v/>
      </c>
      <c r="B738" t="str">
        <f>IF(AND(FORSIDE!$B$8&gt;=10,FORSIDE!$F$8&gt;=3,FORSIDE!$B$5&gt;=7),"810 -&gt; 811","")</f>
        <v/>
      </c>
      <c r="C738" t="str">
        <f>FORSIDE!$C$4</f>
        <v>S355, Stål / KFHUP 180x180x12.5</v>
      </c>
    </row>
    <row r="739" spans="1:3" x14ac:dyDescent="0.3">
      <c r="A739" t="str">
        <f>IF(AND(FORSIDE!$B$8&gt;=10,FORSIDE!$F$8&gt;=3,FORSIDE!$B$5&gt;=8),"S738","")</f>
        <v/>
      </c>
      <c r="B739" t="str">
        <f>IF(AND(FORSIDE!$B$8&gt;=10,FORSIDE!$F$8&gt;=3,FORSIDE!$B$5&gt;=8),"811 -&gt; 812","")</f>
        <v/>
      </c>
      <c r="C739" t="str">
        <f>FORSIDE!$C$4</f>
        <v>S355, Stål / KFHUP 180x180x12.5</v>
      </c>
    </row>
    <row r="740" spans="1:3" x14ac:dyDescent="0.3">
      <c r="A740" t="str">
        <f>IF(AND(FORSIDE!$B$8&gt;=10,FORSIDE!$F$8&gt;=3,FORSIDE!$B$5&gt;=9),"S739","")</f>
        <v/>
      </c>
      <c r="B740" t="str">
        <f>IF(AND(FORSIDE!$B$8&gt;=10,FORSIDE!$F$8&gt;=3,FORSIDE!$B$5&gt;=9),"812 -&gt; 813","")</f>
        <v/>
      </c>
      <c r="C740" t="str">
        <f>FORSIDE!$C$4</f>
        <v>S355, Stål / KFHUP 180x180x12.5</v>
      </c>
    </row>
    <row r="741" spans="1:3" x14ac:dyDescent="0.3">
      <c r="A741" t="str">
        <f>IF(AND(FORSIDE!$B$8&gt;=10,FORSIDE!$F$8&gt;=3,FORSIDE!$B$5&gt;=10),"S740","")</f>
        <v/>
      </c>
      <c r="B741" t="str">
        <f>IF(AND(FORSIDE!$B$8&gt;=10,FORSIDE!$F$8&gt;=3,FORSIDE!$B$5&gt;=10),"813 -&gt; 814","")</f>
        <v/>
      </c>
      <c r="C741" t="str">
        <f>FORSIDE!$C$4</f>
        <v>S355, Stål / KFHUP 180x180x12.5</v>
      </c>
    </row>
    <row r="742" spans="1:3" x14ac:dyDescent="0.3">
      <c r="A742" t="str">
        <f>IF(AND(FORSIDE!$B$8&gt;=11,FORSIDE!$F$8&gt;=3,FORSIDE!$B$5&gt;=1),"S741","")</f>
        <v/>
      </c>
      <c r="B742" t="str">
        <f>IF(AND(FORSIDE!$B$8&gt;=11,FORSIDE!$F$8&gt;=3,FORSIDE!$B$5&gt;=1),"815 -&gt; 816","")</f>
        <v/>
      </c>
      <c r="C742" t="str">
        <f>FORSIDE!$C$4</f>
        <v>S355, Stål / KFHUP 180x180x12.5</v>
      </c>
    </row>
    <row r="743" spans="1:3" x14ac:dyDescent="0.3">
      <c r="A743" t="str">
        <f>IF(AND(FORSIDE!$B$8&gt;=11,FORSIDE!$F$8&gt;=3,FORSIDE!$B$5&gt;=2),"S742","")</f>
        <v/>
      </c>
      <c r="B743" t="str">
        <f>IF(AND(FORSIDE!$B$8&gt;=11,FORSIDE!$F$8&gt;=3,FORSIDE!$B$5&gt;=2),"816 -&gt; 817","")</f>
        <v/>
      </c>
      <c r="C743" t="str">
        <f>FORSIDE!$C$4</f>
        <v>S355, Stål / KFHUP 180x180x12.5</v>
      </c>
    </row>
    <row r="744" spans="1:3" x14ac:dyDescent="0.3">
      <c r="A744" t="str">
        <f>IF(AND(FORSIDE!$B$8&gt;=11,FORSIDE!$F$8&gt;=3,FORSIDE!$B$5&gt;=3),"S743","")</f>
        <v/>
      </c>
      <c r="B744" t="str">
        <f>IF(AND(FORSIDE!$B$8&gt;=11,FORSIDE!$F$8&gt;=3,FORSIDE!$B$5&gt;=3),"817 -&gt; 818","")</f>
        <v/>
      </c>
      <c r="C744" t="str">
        <f>FORSIDE!$C$4</f>
        <v>S355, Stål / KFHUP 180x180x12.5</v>
      </c>
    </row>
    <row r="745" spans="1:3" x14ac:dyDescent="0.3">
      <c r="A745" t="str">
        <f>IF(AND(FORSIDE!$B$8&gt;=11,FORSIDE!$F$8&gt;=3,FORSIDE!$B$5&gt;=4),"S744","")</f>
        <v/>
      </c>
      <c r="B745" t="str">
        <f>IF(AND(FORSIDE!$B$8&gt;=11,FORSIDE!$F$8&gt;=3,FORSIDE!$B$5&gt;=4),"818 -&gt; 819","")</f>
        <v/>
      </c>
      <c r="C745" t="str">
        <f>FORSIDE!$C$4</f>
        <v>S355, Stål / KFHUP 180x180x12.5</v>
      </c>
    </row>
    <row r="746" spans="1:3" x14ac:dyDescent="0.3">
      <c r="A746" t="str">
        <f>IF(AND(FORSIDE!$B$8&gt;=11,FORSIDE!$F$8&gt;=3,FORSIDE!$B$5&gt;=5),"S745","")</f>
        <v/>
      </c>
      <c r="B746" t="str">
        <f>IF(AND(FORSIDE!$B$8&gt;=11,FORSIDE!$F$8&gt;=3,FORSIDE!$B$5&gt;=5),"819 -&gt; 820","")</f>
        <v/>
      </c>
      <c r="C746" t="str">
        <f>FORSIDE!$C$4</f>
        <v>S355, Stål / KFHUP 180x180x12.5</v>
      </c>
    </row>
    <row r="747" spans="1:3" x14ac:dyDescent="0.3">
      <c r="A747" t="str">
        <f>IF(AND(FORSIDE!$B$8&gt;=11,FORSIDE!$F$8&gt;=3,FORSIDE!$B$5&gt;=6),"S746","")</f>
        <v/>
      </c>
      <c r="B747" t="str">
        <f>IF(AND(FORSIDE!$B$8&gt;=11,FORSIDE!$F$8&gt;=3,FORSIDE!$B$5&gt;=6),"820 -&gt; 821","")</f>
        <v/>
      </c>
      <c r="C747" t="str">
        <f>FORSIDE!$C$4</f>
        <v>S355, Stål / KFHUP 180x180x12.5</v>
      </c>
    </row>
    <row r="748" spans="1:3" x14ac:dyDescent="0.3">
      <c r="A748" t="str">
        <f>IF(AND(FORSIDE!$B$8&gt;=11,FORSIDE!$F$8&gt;=3,FORSIDE!$B$5&gt;=7),"S747","")</f>
        <v/>
      </c>
      <c r="B748" t="str">
        <f>IF(AND(FORSIDE!$B$8&gt;=11,FORSIDE!$F$8&gt;=3,FORSIDE!$B$5&gt;=7),"821 -&gt; 822","")</f>
        <v/>
      </c>
      <c r="C748" t="str">
        <f>FORSIDE!$C$4</f>
        <v>S355, Stål / KFHUP 180x180x12.5</v>
      </c>
    </row>
    <row r="749" spans="1:3" x14ac:dyDescent="0.3">
      <c r="A749" t="str">
        <f>IF(AND(FORSIDE!$B$8&gt;=11,FORSIDE!$F$8&gt;=3,FORSIDE!$B$5&gt;=8),"S748","")</f>
        <v/>
      </c>
      <c r="B749" t="str">
        <f>IF(AND(FORSIDE!$B$8&gt;=11,FORSIDE!$F$8&gt;=3,FORSIDE!$B$5&gt;=8),"822 -&gt; 823","")</f>
        <v/>
      </c>
      <c r="C749" t="str">
        <f>FORSIDE!$C$4</f>
        <v>S355, Stål / KFHUP 180x180x12.5</v>
      </c>
    </row>
    <row r="750" spans="1:3" x14ac:dyDescent="0.3">
      <c r="A750" t="str">
        <f>IF(AND(FORSIDE!$B$8&gt;=11,FORSIDE!$F$8&gt;=3,FORSIDE!$B$5&gt;=9),"S749","")</f>
        <v/>
      </c>
      <c r="B750" t="str">
        <f>IF(AND(FORSIDE!$B$8&gt;=11,FORSIDE!$F$8&gt;=3,FORSIDE!$B$5&gt;=9),"823 -&gt; 824","")</f>
        <v/>
      </c>
      <c r="C750" t="str">
        <f>FORSIDE!$C$4</f>
        <v>S355, Stål / KFHUP 180x180x12.5</v>
      </c>
    </row>
    <row r="751" spans="1:3" x14ac:dyDescent="0.3">
      <c r="A751" t="str">
        <f>IF(AND(FORSIDE!$B$8&gt;=11,FORSIDE!$F$8&gt;=3,FORSIDE!$B$5&gt;=10),"S750","")</f>
        <v/>
      </c>
      <c r="B751" t="str">
        <f>IF(AND(FORSIDE!$B$8&gt;=11,FORSIDE!$F$8&gt;=3,FORSIDE!$B$5&gt;=10),"824 -&gt; 825","")</f>
        <v/>
      </c>
      <c r="C751" t="str">
        <f>FORSIDE!$C$4</f>
        <v>S355, Stål / KFHUP 180x180x12.5</v>
      </c>
    </row>
    <row r="752" spans="1:3" x14ac:dyDescent="0.3">
      <c r="A752" t="str">
        <f>IF(AND(FORSIDE!$B$8&gt;=12,FORSIDE!$F$8&gt;=3,FORSIDE!$B$5&gt;=1),"S751","")</f>
        <v/>
      </c>
      <c r="B752" t="str">
        <f>IF(AND(FORSIDE!$B$8&gt;=12,FORSIDE!$F$8&gt;=3,FORSIDE!$B$5&gt;=1),"826 -&gt; 827","")</f>
        <v/>
      </c>
      <c r="C752" t="str">
        <f>FORSIDE!$C$4</f>
        <v>S355, Stål / KFHUP 180x180x12.5</v>
      </c>
    </row>
    <row r="753" spans="1:3" x14ac:dyDescent="0.3">
      <c r="A753" t="str">
        <f>IF(AND(FORSIDE!$B$8&gt;=12,FORSIDE!$F$8&gt;=3,FORSIDE!$B$5&gt;=2),"S752","")</f>
        <v/>
      </c>
      <c r="B753" t="str">
        <f>IF(AND(FORSIDE!$B$8&gt;=12,FORSIDE!$F$8&gt;=3,FORSIDE!$B$5&gt;=2),"827 -&gt; 828","")</f>
        <v/>
      </c>
      <c r="C753" t="str">
        <f>FORSIDE!$C$4</f>
        <v>S355, Stål / KFHUP 180x180x12.5</v>
      </c>
    </row>
    <row r="754" spans="1:3" x14ac:dyDescent="0.3">
      <c r="A754" t="str">
        <f>IF(AND(FORSIDE!$B$8&gt;=12,FORSIDE!$F$8&gt;=3,FORSIDE!$B$5&gt;=3),"S753","")</f>
        <v/>
      </c>
      <c r="B754" t="str">
        <f>IF(AND(FORSIDE!$B$8&gt;=12,FORSIDE!$F$8&gt;=3,FORSIDE!$B$5&gt;=3),"828 -&gt; 829","")</f>
        <v/>
      </c>
      <c r="C754" t="str">
        <f>FORSIDE!$C$4</f>
        <v>S355, Stål / KFHUP 180x180x12.5</v>
      </c>
    </row>
    <row r="755" spans="1:3" x14ac:dyDescent="0.3">
      <c r="A755" t="str">
        <f>IF(AND(FORSIDE!$B$8&gt;=12,FORSIDE!$F$8&gt;=3,FORSIDE!$B$5&gt;=4),"S754","")</f>
        <v/>
      </c>
      <c r="B755" t="str">
        <f>IF(AND(FORSIDE!$B$8&gt;=12,FORSIDE!$F$8&gt;=3,FORSIDE!$B$5&gt;=4),"829 -&gt; 830","")</f>
        <v/>
      </c>
      <c r="C755" t="str">
        <f>FORSIDE!$C$4</f>
        <v>S355, Stål / KFHUP 180x180x12.5</v>
      </c>
    </row>
    <row r="756" spans="1:3" x14ac:dyDescent="0.3">
      <c r="A756" t="str">
        <f>IF(AND(FORSIDE!$B$8&gt;=12,FORSIDE!$F$8&gt;=3,FORSIDE!$B$5&gt;=5),"S755","")</f>
        <v/>
      </c>
      <c r="B756" t="str">
        <f>IF(AND(FORSIDE!$B$8&gt;=12,FORSIDE!$F$8&gt;=3,FORSIDE!$B$5&gt;=5),"830 -&gt; 831","")</f>
        <v/>
      </c>
      <c r="C756" t="str">
        <f>FORSIDE!$C$4</f>
        <v>S355, Stål / KFHUP 180x180x12.5</v>
      </c>
    </row>
    <row r="757" spans="1:3" x14ac:dyDescent="0.3">
      <c r="A757" t="str">
        <f>IF(AND(FORSIDE!$B$8&gt;=12,FORSIDE!$F$8&gt;=3,FORSIDE!$B$5&gt;=6),"S756","")</f>
        <v/>
      </c>
      <c r="B757" t="str">
        <f>IF(AND(FORSIDE!$B$8&gt;=12,FORSIDE!$F$8&gt;=3,FORSIDE!$B$5&gt;=6),"831 -&gt; 832","")</f>
        <v/>
      </c>
      <c r="C757" t="str">
        <f>FORSIDE!$C$4</f>
        <v>S355, Stål / KFHUP 180x180x12.5</v>
      </c>
    </row>
    <row r="758" spans="1:3" x14ac:dyDescent="0.3">
      <c r="A758" t="str">
        <f>IF(AND(FORSIDE!$B$8&gt;=12,FORSIDE!$F$8&gt;=3,FORSIDE!$B$5&gt;=7),"S757","")</f>
        <v/>
      </c>
      <c r="B758" t="str">
        <f>IF(AND(FORSIDE!$B$8&gt;=12,FORSIDE!$F$8&gt;=3,FORSIDE!$B$5&gt;=7),"832 -&gt; 833","")</f>
        <v/>
      </c>
      <c r="C758" t="str">
        <f>FORSIDE!$C$4</f>
        <v>S355, Stål / KFHUP 180x180x12.5</v>
      </c>
    </row>
    <row r="759" spans="1:3" x14ac:dyDescent="0.3">
      <c r="A759" t="str">
        <f>IF(AND(FORSIDE!$B$8&gt;=12,FORSIDE!$F$8&gt;=3,FORSIDE!$B$5&gt;=8),"S758","")</f>
        <v/>
      </c>
      <c r="B759" t="str">
        <f>IF(AND(FORSIDE!$B$8&gt;=12,FORSIDE!$F$8&gt;=3,FORSIDE!$B$5&gt;=8),"833 -&gt; 834","")</f>
        <v/>
      </c>
      <c r="C759" t="str">
        <f>FORSIDE!$C$4</f>
        <v>S355, Stål / KFHUP 180x180x12.5</v>
      </c>
    </row>
    <row r="760" spans="1:3" x14ac:dyDescent="0.3">
      <c r="A760" t="str">
        <f>IF(AND(FORSIDE!$B$8&gt;=12,FORSIDE!$F$8&gt;=3,FORSIDE!$B$5&gt;=9),"S759","")</f>
        <v/>
      </c>
      <c r="B760" t="str">
        <f>IF(AND(FORSIDE!$B$8&gt;=12,FORSIDE!$F$8&gt;=3,FORSIDE!$B$5&gt;=9),"834 -&gt; 835","")</f>
        <v/>
      </c>
      <c r="C760" t="str">
        <f>FORSIDE!$C$4</f>
        <v>S355, Stål / KFHUP 180x180x12.5</v>
      </c>
    </row>
    <row r="761" spans="1:3" x14ac:dyDescent="0.3">
      <c r="A761" t="str">
        <f>IF(AND(FORSIDE!$B$8&gt;=12,FORSIDE!$F$8&gt;=3,FORSIDE!$B$5&gt;=10),"S760","")</f>
        <v/>
      </c>
      <c r="B761" t="str">
        <f>IF(AND(FORSIDE!$B$8&gt;=12,FORSIDE!$F$8&gt;=3,FORSIDE!$B$5&gt;=10),"835 -&gt; 836","")</f>
        <v/>
      </c>
      <c r="C761" t="str">
        <f>FORSIDE!$C$4</f>
        <v>S355, Stål / KFHUP 180x180x12.5</v>
      </c>
    </row>
    <row r="762" spans="1:3" x14ac:dyDescent="0.3">
      <c r="A762" t="str">
        <f>IF(AND(FORSIDE!$B$8&gt;=13,FORSIDE!$F$8&gt;=3,FORSIDE!$B$5&gt;=1),"S761","")</f>
        <v/>
      </c>
      <c r="B762" t="str">
        <f>IF(AND(FORSIDE!$B$8&gt;=13,FORSIDE!$F$8&gt;=3,FORSIDE!$B$5&gt;=1),"837 -&gt; 838","")</f>
        <v/>
      </c>
      <c r="C762" t="str">
        <f>FORSIDE!$C$4</f>
        <v>S355, Stål / KFHUP 180x180x12.5</v>
      </c>
    </row>
    <row r="763" spans="1:3" x14ac:dyDescent="0.3">
      <c r="A763" t="str">
        <f>IF(AND(FORSIDE!$B$8&gt;=13,FORSIDE!$F$8&gt;=3,FORSIDE!$B$5&gt;=2),"S762","")</f>
        <v/>
      </c>
      <c r="B763" t="str">
        <f>IF(AND(FORSIDE!$B$8&gt;=13,FORSIDE!$F$8&gt;=3,FORSIDE!$B$5&gt;=2),"838 -&gt; 839","")</f>
        <v/>
      </c>
      <c r="C763" t="str">
        <f>FORSIDE!$C$4</f>
        <v>S355, Stål / KFHUP 180x180x12.5</v>
      </c>
    </row>
    <row r="764" spans="1:3" x14ac:dyDescent="0.3">
      <c r="A764" t="str">
        <f>IF(AND(FORSIDE!$B$8&gt;=13,FORSIDE!$F$8&gt;=3,FORSIDE!$B$5&gt;=3),"S763","")</f>
        <v/>
      </c>
      <c r="B764" t="str">
        <f>IF(AND(FORSIDE!$B$8&gt;=13,FORSIDE!$F$8&gt;=3,FORSIDE!$B$5&gt;=3),"839 -&gt; 840","")</f>
        <v/>
      </c>
      <c r="C764" t="str">
        <f>FORSIDE!$C$4</f>
        <v>S355, Stål / KFHUP 180x180x12.5</v>
      </c>
    </row>
    <row r="765" spans="1:3" x14ac:dyDescent="0.3">
      <c r="A765" t="str">
        <f>IF(AND(FORSIDE!$B$8&gt;=13,FORSIDE!$F$8&gt;=3,FORSIDE!$B$5&gt;=4),"S764","")</f>
        <v/>
      </c>
      <c r="B765" t="str">
        <f>IF(AND(FORSIDE!$B$8&gt;=13,FORSIDE!$F$8&gt;=3,FORSIDE!$B$5&gt;=4),"840 -&gt; 841","")</f>
        <v/>
      </c>
      <c r="C765" t="str">
        <f>FORSIDE!$C$4</f>
        <v>S355, Stål / KFHUP 180x180x12.5</v>
      </c>
    </row>
    <row r="766" spans="1:3" x14ac:dyDescent="0.3">
      <c r="A766" t="str">
        <f>IF(AND(FORSIDE!$B$8&gt;=13,FORSIDE!$F$8&gt;=3,FORSIDE!$B$5&gt;=5),"S765","")</f>
        <v/>
      </c>
      <c r="B766" t="str">
        <f>IF(AND(FORSIDE!$B$8&gt;=13,FORSIDE!$F$8&gt;=3,FORSIDE!$B$5&gt;=5),"841 -&gt; 842","")</f>
        <v/>
      </c>
      <c r="C766" t="str">
        <f>FORSIDE!$C$4</f>
        <v>S355, Stål / KFHUP 180x180x12.5</v>
      </c>
    </row>
    <row r="767" spans="1:3" x14ac:dyDescent="0.3">
      <c r="A767" t="str">
        <f>IF(AND(FORSIDE!$B$8&gt;=13,FORSIDE!$F$8&gt;=3,FORSIDE!$B$5&gt;=6),"S766","")</f>
        <v/>
      </c>
      <c r="B767" t="str">
        <f>IF(AND(FORSIDE!$B$8&gt;=13,FORSIDE!$F$8&gt;=3,FORSIDE!$B$5&gt;=6),"842 -&gt; 843","")</f>
        <v/>
      </c>
      <c r="C767" t="str">
        <f>FORSIDE!$C$4</f>
        <v>S355, Stål / KFHUP 180x180x12.5</v>
      </c>
    </row>
    <row r="768" spans="1:3" x14ac:dyDescent="0.3">
      <c r="A768" t="str">
        <f>IF(AND(FORSIDE!$B$8&gt;=13,FORSIDE!$F$8&gt;=3,FORSIDE!$B$5&gt;=7),"S767","")</f>
        <v/>
      </c>
      <c r="B768" t="str">
        <f>IF(AND(FORSIDE!$B$8&gt;=13,FORSIDE!$F$8&gt;=3,FORSIDE!$B$5&gt;=7),"843 -&gt; 844","")</f>
        <v/>
      </c>
      <c r="C768" t="str">
        <f>FORSIDE!$C$4</f>
        <v>S355, Stål / KFHUP 180x180x12.5</v>
      </c>
    </row>
    <row r="769" spans="1:3" x14ac:dyDescent="0.3">
      <c r="A769" t="str">
        <f>IF(AND(FORSIDE!$B$8&gt;=13,FORSIDE!$F$8&gt;=3,FORSIDE!$B$5&gt;=8),"S768","")</f>
        <v/>
      </c>
      <c r="B769" t="str">
        <f>IF(AND(FORSIDE!$B$8&gt;=13,FORSIDE!$F$8&gt;=3,FORSIDE!$B$5&gt;=8),"844 -&gt; 845","")</f>
        <v/>
      </c>
      <c r="C769" t="str">
        <f>FORSIDE!$C$4</f>
        <v>S355, Stål / KFHUP 180x180x12.5</v>
      </c>
    </row>
    <row r="770" spans="1:3" x14ac:dyDescent="0.3">
      <c r="A770" t="str">
        <f>IF(AND(FORSIDE!$B$8&gt;=13,FORSIDE!$F$8&gt;=3,FORSIDE!$B$5&gt;=9),"S769","")</f>
        <v/>
      </c>
      <c r="B770" t="str">
        <f>IF(AND(FORSIDE!$B$8&gt;=13,FORSIDE!$F$8&gt;=3,FORSIDE!$B$5&gt;=9),"845 -&gt; 846","")</f>
        <v/>
      </c>
      <c r="C770" t="str">
        <f>FORSIDE!$C$4</f>
        <v>S355, Stål / KFHUP 180x180x12.5</v>
      </c>
    </row>
    <row r="771" spans="1:3" x14ac:dyDescent="0.3">
      <c r="A771" t="str">
        <f>IF(AND(FORSIDE!$B$8&gt;=13,FORSIDE!$F$8&gt;=3,FORSIDE!$B$5&gt;=10),"S770","")</f>
        <v/>
      </c>
      <c r="B771" t="str">
        <f>IF(AND(FORSIDE!$B$8&gt;=13,FORSIDE!$F$8&gt;=3,FORSIDE!$B$5&gt;=10),"846 -&gt; 847","")</f>
        <v/>
      </c>
      <c r="C771" t="str">
        <f>FORSIDE!$C$4</f>
        <v>S355, Stål / KFHUP 180x180x12.5</v>
      </c>
    </row>
    <row r="772" spans="1:3" x14ac:dyDescent="0.3">
      <c r="A772" t="str">
        <f>IF(AND(FORSIDE!$B$8&gt;=14,FORSIDE!$F$8&gt;=3,FORSIDE!$B$5&gt;=1),"S771","")</f>
        <v/>
      </c>
      <c r="B772" t="str">
        <f>IF(AND(FORSIDE!$B$8&gt;=14,FORSIDE!$F$8&gt;=3,FORSIDE!$B$5&gt;=1),"848 -&gt; 849","")</f>
        <v/>
      </c>
      <c r="C772" t="str">
        <f>FORSIDE!$C$4</f>
        <v>S355, Stål / KFHUP 180x180x12.5</v>
      </c>
    </row>
    <row r="773" spans="1:3" x14ac:dyDescent="0.3">
      <c r="A773" t="str">
        <f>IF(AND(FORSIDE!$B$8&gt;=14,FORSIDE!$F$8&gt;=3,FORSIDE!$B$5&gt;=2),"S772","")</f>
        <v/>
      </c>
      <c r="B773" t="str">
        <f>IF(AND(FORSIDE!$B$8&gt;=14,FORSIDE!$F$8&gt;=3,FORSIDE!$B$5&gt;=2),"849 -&gt; 850","")</f>
        <v/>
      </c>
      <c r="C773" t="str">
        <f>FORSIDE!$C$4</f>
        <v>S355, Stål / KFHUP 180x180x12.5</v>
      </c>
    </row>
    <row r="774" spans="1:3" x14ac:dyDescent="0.3">
      <c r="A774" t="str">
        <f>IF(AND(FORSIDE!$B$8&gt;=14,FORSIDE!$F$8&gt;=3,FORSIDE!$B$5&gt;=3),"S773","")</f>
        <v/>
      </c>
      <c r="B774" t="str">
        <f>IF(AND(FORSIDE!$B$8&gt;=14,FORSIDE!$F$8&gt;=3,FORSIDE!$B$5&gt;=3),"850 -&gt; 851","")</f>
        <v/>
      </c>
      <c r="C774" t="str">
        <f>FORSIDE!$C$4</f>
        <v>S355, Stål / KFHUP 180x180x12.5</v>
      </c>
    </row>
    <row r="775" spans="1:3" x14ac:dyDescent="0.3">
      <c r="A775" t="str">
        <f>IF(AND(FORSIDE!$B$8&gt;=14,FORSIDE!$F$8&gt;=3,FORSIDE!$B$5&gt;=4),"S774","")</f>
        <v/>
      </c>
      <c r="B775" t="str">
        <f>IF(AND(FORSIDE!$B$8&gt;=14,FORSIDE!$F$8&gt;=3,FORSIDE!$B$5&gt;=4),"851 -&gt; 852","")</f>
        <v/>
      </c>
      <c r="C775" t="str">
        <f>FORSIDE!$C$4</f>
        <v>S355, Stål / KFHUP 180x180x12.5</v>
      </c>
    </row>
    <row r="776" spans="1:3" x14ac:dyDescent="0.3">
      <c r="A776" t="str">
        <f>IF(AND(FORSIDE!$B$8&gt;=14,FORSIDE!$F$8&gt;=3,FORSIDE!$B$5&gt;=5),"S775","")</f>
        <v/>
      </c>
      <c r="B776" t="str">
        <f>IF(AND(FORSIDE!$B$8&gt;=14,FORSIDE!$F$8&gt;=3,FORSIDE!$B$5&gt;=5),"852 -&gt; 853","")</f>
        <v/>
      </c>
      <c r="C776" t="str">
        <f>FORSIDE!$C$4</f>
        <v>S355, Stål / KFHUP 180x180x12.5</v>
      </c>
    </row>
    <row r="777" spans="1:3" x14ac:dyDescent="0.3">
      <c r="A777" t="str">
        <f>IF(AND(FORSIDE!$B$8&gt;=14,FORSIDE!$F$8&gt;=3,FORSIDE!$B$5&gt;=6),"S776","")</f>
        <v/>
      </c>
      <c r="B777" t="str">
        <f>IF(AND(FORSIDE!$B$8&gt;=14,FORSIDE!$F$8&gt;=3,FORSIDE!$B$5&gt;=6),"853 -&gt; 854","")</f>
        <v/>
      </c>
      <c r="C777" t="str">
        <f>FORSIDE!$C$4</f>
        <v>S355, Stål / KFHUP 180x180x12.5</v>
      </c>
    </row>
    <row r="778" spans="1:3" x14ac:dyDescent="0.3">
      <c r="A778" t="str">
        <f>IF(AND(FORSIDE!$B$8&gt;=14,FORSIDE!$F$8&gt;=3,FORSIDE!$B$5&gt;=7),"S777","")</f>
        <v/>
      </c>
      <c r="B778" t="str">
        <f>IF(AND(FORSIDE!$B$8&gt;=14,FORSIDE!$F$8&gt;=3,FORSIDE!$B$5&gt;=7),"854 -&gt; 855","")</f>
        <v/>
      </c>
      <c r="C778" t="str">
        <f>FORSIDE!$C$4</f>
        <v>S355, Stål / KFHUP 180x180x12.5</v>
      </c>
    </row>
    <row r="779" spans="1:3" x14ac:dyDescent="0.3">
      <c r="A779" t="str">
        <f>IF(AND(FORSIDE!$B$8&gt;=14,FORSIDE!$F$8&gt;=3,FORSIDE!$B$5&gt;=8),"S778","")</f>
        <v/>
      </c>
      <c r="B779" t="str">
        <f>IF(AND(FORSIDE!$B$8&gt;=14,FORSIDE!$F$8&gt;=3,FORSIDE!$B$5&gt;=8),"855 -&gt; 856","")</f>
        <v/>
      </c>
      <c r="C779" t="str">
        <f>FORSIDE!$C$4</f>
        <v>S355, Stål / KFHUP 180x180x12.5</v>
      </c>
    </row>
    <row r="780" spans="1:3" x14ac:dyDescent="0.3">
      <c r="A780" t="str">
        <f>IF(AND(FORSIDE!$B$8&gt;=14,FORSIDE!$F$8&gt;=3,FORSIDE!$B$5&gt;=9),"S779","")</f>
        <v/>
      </c>
      <c r="B780" t="str">
        <f>IF(AND(FORSIDE!$B$8&gt;=14,FORSIDE!$F$8&gt;=3,FORSIDE!$B$5&gt;=9),"856 -&gt; 857","")</f>
        <v/>
      </c>
      <c r="C780" t="str">
        <f>FORSIDE!$C$4</f>
        <v>S355, Stål / KFHUP 180x180x12.5</v>
      </c>
    </row>
    <row r="781" spans="1:3" x14ac:dyDescent="0.3">
      <c r="A781" t="str">
        <f>IF(AND(FORSIDE!$B$8&gt;=14,FORSIDE!$F$8&gt;=3,FORSIDE!$B$5&gt;=10),"S780","")</f>
        <v/>
      </c>
      <c r="B781" t="str">
        <f>IF(AND(FORSIDE!$B$8&gt;=14,FORSIDE!$F$8&gt;=3,FORSIDE!$B$5&gt;=10),"857 -&gt; 858","")</f>
        <v/>
      </c>
      <c r="C781" t="str">
        <f>FORSIDE!$C$4</f>
        <v>S355, Stål / KFHUP 180x180x12.5</v>
      </c>
    </row>
    <row r="782" spans="1:3" x14ac:dyDescent="0.3">
      <c r="A782" t="str">
        <f>IF(AND(FORSIDE!$B$8&gt;=15,FORSIDE!$F$8&gt;=3,FORSIDE!$B$5&gt;=1),"S781","")</f>
        <v/>
      </c>
      <c r="B782" t="str">
        <f>IF(AND(FORSIDE!$B$8&gt;=15,FORSIDE!$F$8&gt;=3,FORSIDE!$B$5&gt;=1),"859 -&gt; 860","")</f>
        <v/>
      </c>
      <c r="C782" t="str">
        <f>FORSIDE!$C$4</f>
        <v>S355, Stål / KFHUP 180x180x12.5</v>
      </c>
    </row>
    <row r="783" spans="1:3" x14ac:dyDescent="0.3">
      <c r="A783" t="str">
        <f>IF(AND(FORSIDE!$B$8&gt;=15,FORSIDE!$F$8&gt;=3,FORSIDE!$B$5&gt;=2),"S782","")</f>
        <v/>
      </c>
      <c r="B783" t="str">
        <f>IF(AND(FORSIDE!$B$8&gt;=15,FORSIDE!$F$8&gt;=3,FORSIDE!$B$5&gt;=2),"860 -&gt; 861","")</f>
        <v/>
      </c>
      <c r="C783" t="str">
        <f>FORSIDE!$C$4</f>
        <v>S355, Stål / KFHUP 180x180x12.5</v>
      </c>
    </row>
    <row r="784" spans="1:3" x14ac:dyDescent="0.3">
      <c r="A784" t="str">
        <f>IF(AND(FORSIDE!$B$8&gt;=15,FORSIDE!$F$8&gt;=3,FORSIDE!$B$5&gt;=3),"S783","")</f>
        <v/>
      </c>
      <c r="B784" t="str">
        <f>IF(AND(FORSIDE!$B$8&gt;=15,FORSIDE!$F$8&gt;=3,FORSIDE!$B$5&gt;=3),"861 -&gt; 862","")</f>
        <v/>
      </c>
      <c r="C784" t="str">
        <f>FORSIDE!$C$4</f>
        <v>S355, Stål / KFHUP 180x180x12.5</v>
      </c>
    </row>
    <row r="785" spans="1:3" x14ac:dyDescent="0.3">
      <c r="A785" t="str">
        <f>IF(AND(FORSIDE!$B$8&gt;=15,FORSIDE!$F$8&gt;=3,FORSIDE!$B$5&gt;=4),"S784","")</f>
        <v/>
      </c>
      <c r="B785" t="str">
        <f>IF(AND(FORSIDE!$B$8&gt;=15,FORSIDE!$F$8&gt;=3,FORSIDE!$B$5&gt;=4),"862 -&gt; 863","")</f>
        <v/>
      </c>
      <c r="C785" t="str">
        <f>FORSIDE!$C$4</f>
        <v>S355, Stål / KFHUP 180x180x12.5</v>
      </c>
    </row>
    <row r="786" spans="1:3" x14ac:dyDescent="0.3">
      <c r="A786" t="str">
        <f>IF(AND(FORSIDE!$B$8&gt;=15,FORSIDE!$F$8&gt;=3,FORSIDE!$B$5&gt;=5),"S785","")</f>
        <v/>
      </c>
      <c r="B786" t="str">
        <f>IF(AND(FORSIDE!$B$8&gt;=15,FORSIDE!$F$8&gt;=3,FORSIDE!$B$5&gt;=5),"863 -&gt; 864","")</f>
        <v/>
      </c>
      <c r="C786" t="str">
        <f>FORSIDE!$C$4</f>
        <v>S355, Stål / KFHUP 180x180x12.5</v>
      </c>
    </row>
    <row r="787" spans="1:3" x14ac:dyDescent="0.3">
      <c r="A787" t="str">
        <f>IF(AND(FORSIDE!$B$8&gt;=15,FORSIDE!$F$8&gt;=3,FORSIDE!$B$5&gt;=6),"S786","")</f>
        <v/>
      </c>
      <c r="B787" t="str">
        <f>IF(AND(FORSIDE!$B$8&gt;=15,FORSIDE!$F$8&gt;=3,FORSIDE!$B$5&gt;=6),"864 -&gt; 865","")</f>
        <v/>
      </c>
      <c r="C787" t="str">
        <f>FORSIDE!$C$4</f>
        <v>S355, Stål / KFHUP 180x180x12.5</v>
      </c>
    </row>
    <row r="788" spans="1:3" x14ac:dyDescent="0.3">
      <c r="A788" t="str">
        <f>IF(AND(FORSIDE!$B$8&gt;=15,FORSIDE!$F$8&gt;=3,FORSIDE!$B$5&gt;=7),"S787","")</f>
        <v/>
      </c>
      <c r="B788" t="str">
        <f>IF(AND(FORSIDE!$B$8&gt;=15,FORSIDE!$F$8&gt;=3,FORSIDE!$B$5&gt;=7),"865 -&gt; 866","")</f>
        <v/>
      </c>
      <c r="C788" t="str">
        <f>FORSIDE!$C$4</f>
        <v>S355, Stål / KFHUP 180x180x12.5</v>
      </c>
    </row>
    <row r="789" spans="1:3" x14ac:dyDescent="0.3">
      <c r="A789" t="str">
        <f>IF(AND(FORSIDE!$B$8&gt;=15,FORSIDE!$F$8&gt;=3,FORSIDE!$B$5&gt;=8),"S788","")</f>
        <v/>
      </c>
      <c r="B789" t="str">
        <f>IF(AND(FORSIDE!$B$8&gt;=15,FORSIDE!$F$8&gt;=3,FORSIDE!$B$5&gt;=8),"866 -&gt; 867","")</f>
        <v/>
      </c>
      <c r="C789" t="str">
        <f>FORSIDE!$C$4</f>
        <v>S355, Stål / KFHUP 180x180x12.5</v>
      </c>
    </row>
    <row r="790" spans="1:3" x14ac:dyDescent="0.3">
      <c r="A790" t="str">
        <f>IF(AND(FORSIDE!$B$8&gt;=15,FORSIDE!$F$8&gt;=3,FORSIDE!$B$5&gt;=9),"S789","")</f>
        <v/>
      </c>
      <c r="B790" t="str">
        <f>IF(AND(FORSIDE!$B$8&gt;=15,FORSIDE!$F$8&gt;=3,FORSIDE!$B$5&gt;=9),"867 -&gt; 868","")</f>
        <v/>
      </c>
      <c r="C790" t="str">
        <f>FORSIDE!$C$4</f>
        <v>S355, Stål / KFHUP 180x180x12.5</v>
      </c>
    </row>
    <row r="791" spans="1:3" x14ac:dyDescent="0.3">
      <c r="A791" t="str">
        <f>IF(AND(FORSIDE!$B$8&gt;=15,FORSIDE!$F$8&gt;=3,FORSIDE!$B$5&gt;=10),"S790","")</f>
        <v/>
      </c>
      <c r="B791" t="str">
        <f>IF(AND(FORSIDE!$B$8&gt;=15,FORSIDE!$F$8&gt;=3,FORSIDE!$B$5&gt;=10),"868 -&gt; 869","")</f>
        <v/>
      </c>
      <c r="C791" t="str">
        <f>FORSIDE!$C$4</f>
        <v>S355, Stål / KFHUP 180x180x12.5</v>
      </c>
    </row>
    <row r="792" spans="1:3" x14ac:dyDescent="0.3">
      <c r="A792" t="str">
        <f>IF(AND(FORSIDE!$B$8&gt;=16,FORSIDE!$F$8&gt;=3,FORSIDE!$B$5&gt;=1),"S791","")</f>
        <v/>
      </c>
      <c r="B792" t="str">
        <f>IF(AND(FORSIDE!$B$8&gt;=16,FORSIDE!$F$8&gt;=3,FORSIDE!$B$5&gt;=1),"870 -&gt; 871","")</f>
        <v/>
      </c>
      <c r="C792" t="str">
        <f>FORSIDE!$C$4</f>
        <v>S355, Stål / KFHUP 180x180x12.5</v>
      </c>
    </row>
    <row r="793" spans="1:3" x14ac:dyDescent="0.3">
      <c r="A793" t="str">
        <f>IF(AND(FORSIDE!$B$8&gt;=16,FORSIDE!$F$8&gt;=3,FORSIDE!$B$5&gt;=2),"S792","")</f>
        <v/>
      </c>
      <c r="B793" t="str">
        <f>IF(AND(FORSIDE!$B$8&gt;=16,FORSIDE!$F$8&gt;=3,FORSIDE!$B$5&gt;=2),"871 -&gt; 872","")</f>
        <v/>
      </c>
      <c r="C793" t="str">
        <f>FORSIDE!$C$4</f>
        <v>S355, Stål / KFHUP 180x180x12.5</v>
      </c>
    </row>
    <row r="794" spans="1:3" x14ac:dyDescent="0.3">
      <c r="A794" t="str">
        <f>IF(AND(FORSIDE!$B$8&gt;=16,FORSIDE!$F$8&gt;=3,FORSIDE!$B$5&gt;=3),"S793","")</f>
        <v/>
      </c>
      <c r="B794" t="str">
        <f>IF(AND(FORSIDE!$B$8&gt;=16,FORSIDE!$F$8&gt;=3,FORSIDE!$B$5&gt;=3),"872 -&gt; 873","")</f>
        <v/>
      </c>
      <c r="C794" t="str">
        <f>FORSIDE!$C$4</f>
        <v>S355, Stål / KFHUP 180x180x12.5</v>
      </c>
    </row>
    <row r="795" spans="1:3" x14ac:dyDescent="0.3">
      <c r="A795" t="str">
        <f>IF(AND(FORSIDE!$B$8&gt;=16,FORSIDE!$F$8&gt;=3,FORSIDE!$B$5&gt;=4),"S794","")</f>
        <v/>
      </c>
      <c r="B795" t="str">
        <f>IF(AND(FORSIDE!$B$8&gt;=16,FORSIDE!$F$8&gt;=3,FORSIDE!$B$5&gt;=4),"873 -&gt; 874","")</f>
        <v/>
      </c>
      <c r="C795" t="str">
        <f>FORSIDE!$C$4</f>
        <v>S355, Stål / KFHUP 180x180x12.5</v>
      </c>
    </row>
    <row r="796" spans="1:3" x14ac:dyDescent="0.3">
      <c r="A796" t="str">
        <f>IF(AND(FORSIDE!$B$8&gt;=16,FORSIDE!$F$8&gt;=3,FORSIDE!$B$5&gt;=5),"S795","")</f>
        <v/>
      </c>
      <c r="B796" t="str">
        <f>IF(AND(FORSIDE!$B$8&gt;=16,FORSIDE!$F$8&gt;=3,FORSIDE!$B$5&gt;=5),"874 -&gt; 875","")</f>
        <v/>
      </c>
      <c r="C796" t="str">
        <f>FORSIDE!$C$4</f>
        <v>S355, Stål / KFHUP 180x180x12.5</v>
      </c>
    </row>
    <row r="797" spans="1:3" x14ac:dyDescent="0.3">
      <c r="A797" t="str">
        <f>IF(AND(FORSIDE!$B$8&gt;=16,FORSIDE!$F$8&gt;=3,FORSIDE!$B$5&gt;=6),"S796","")</f>
        <v/>
      </c>
      <c r="B797" t="str">
        <f>IF(AND(FORSIDE!$B$8&gt;=16,FORSIDE!$F$8&gt;=3,FORSIDE!$B$5&gt;=6),"875 -&gt; 876","")</f>
        <v/>
      </c>
      <c r="C797" t="str">
        <f>FORSIDE!$C$4</f>
        <v>S355, Stål / KFHUP 180x180x12.5</v>
      </c>
    </row>
    <row r="798" spans="1:3" x14ac:dyDescent="0.3">
      <c r="A798" t="str">
        <f>IF(AND(FORSIDE!$B$8&gt;=16,FORSIDE!$F$8&gt;=3,FORSIDE!$B$5&gt;=7),"S797","")</f>
        <v/>
      </c>
      <c r="B798" t="str">
        <f>IF(AND(FORSIDE!$B$8&gt;=16,FORSIDE!$F$8&gt;=3,FORSIDE!$B$5&gt;=7),"876 -&gt; 877","")</f>
        <v/>
      </c>
      <c r="C798" t="str">
        <f>FORSIDE!$C$4</f>
        <v>S355, Stål / KFHUP 180x180x12.5</v>
      </c>
    </row>
    <row r="799" spans="1:3" x14ac:dyDescent="0.3">
      <c r="A799" t="str">
        <f>IF(AND(FORSIDE!$B$8&gt;=16,FORSIDE!$F$8&gt;=3,FORSIDE!$B$5&gt;=8),"S798","")</f>
        <v/>
      </c>
      <c r="B799" t="str">
        <f>IF(AND(FORSIDE!$B$8&gt;=16,FORSIDE!$F$8&gt;=3,FORSIDE!$B$5&gt;=8),"877 -&gt; 878","")</f>
        <v/>
      </c>
      <c r="C799" t="str">
        <f>FORSIDE!$C$4</f>
        <v>S355, Stål / KFHUP 180x180x12.5</v>
      </c>
    </row>
    <row r="800" spans="1:3" x14ac:dyDescent="0.3">
      <c r="A800" t="str">
        <f>IF(AND(FORSIDE!$B$8&gt;=16,FORSIDE!$F$8&gt;=3,FORSIDE!$B$5&gt;=9),"S799","")</f>
        <v/>
      </c>
      <c r="B800" t="str">
        <f>IF(AND(FORSIDE!$B$8&gt;=16,FORSIDE!$F$8&gt;=3,FORSIDE!$B$5&gt;=9),"878 -&gt; 879","")</f>
        <v/>
      </c>
      <c r="C800" t="str">
        <f>FORSIDE!$C$4</f>
        <v>S355, Stål / KFHUP 180x180x12.5</v>
      </c>
    </row>
    <row r="801" spans="1:3" x14ac:dyDescent="0.3">
      <c r="A801" t="str">
        <f>IF(AND(FORSIDE!$B$8&gt;=16,FORSIDE!$F$8&gt;=3,FORSIDE!$B$5&gt;=10),"S800","")</f>
        <v/>
      </c>
      <c r="B801" t="str">
        <f>IF(AND(FORSIDE!$B$8&gt;=16,FORSIDE!$F$8&gt;=3,FORSIDE!$B$5&gt;=10),"879 -&gt; 880","")</f>
        <v/>
      </c>
      <c r="C801" t="str">
        <f>FORSIDE!$C$4</f>
        <v>S355, Stål / KFHUP 180x180x12.5</v>
      </c>
    </row>
    <row r="802" spans="1:3" x14ac:dyDescent="0.3">
      <c r="A802" t="str">
        <f>IF(AND(FORSIDE!$B$8&gt;=17,FORSIDE!$F$8&gt;=3,FORSIDE!$B$5&gt;=1),"S801","")</f>
        <v/>
      </c>
      <c r="B802" t="str">
        <f>IF(AND(FORSIDE!$B$8&gt;=17,FORSIDE!$F$8&gt;=3,FORSIDE!$B$5&gt;=1),"881 -&gt; 882","")</f>
        <v/>
      </c>
      <c r="C802" t="str">
        <f>FORSIDE!$C$4</f>
        <v>S355, Stål / KFHUP 180x180x12.5</v>
      </c>
    </row>
    <row r="803" spans="1:3" x14ac:dyDescent="0.3">
      <c r="A803" t="str">
        <f>IF(AND(FORSIDE!$B$8&gt;=17,FORSIDE!$F$8&gt;=3,FORSIDE!$B$5&gt;=2),"S802","")</f>
        <v/>
      </c>
      <c r="B803" t="str">
        <f>IF(AND(FORSIDE!$B$8&gt;=17,FORSIDE!$F$8&gt;=3,FORSIDE!$B$5&gt;=2),"882 -&gt; 883","")</f>
        <v/>
      </c>
      <c r="C803" t="str">
        <f>FORSIDE!$C$4</f>
        <v>S355, Stål / KFHUP 180x180x12.5</v>
      </c>
    </row>
    <row r="804" spans="1:3" x14ac:dyDescent="0.3">
      <c r="A804" t="str">
        <f>IF(AND(FORSIDE!$B$8&gt;=17,FORSIDE!$F$8&gt;=3,FORSIDE!$B$5&gt;=3),"S803","")</f>
        <v/>
      </c>
      <c r="B804" t="str">
        <f>IF(AND(FORSIDE!$B$8&gt;=17,FORSIDE!$F$8&gt;=3,FORSIDE!$B$5&gt;=3),"883 -&gt; 884","")</f>
        <v/>
      </c>
      <c r="C804" t="str">
        <f>FORSIDE!$C$4</f>
        <v>S355, Stål / KFHUP 180x180x12.5</v>
      </c>
    </row>
    <row r="805" spans="1:3" x14ac:dyDescent="0.3">
      <c r="A805" t="str">
        <f>IF(AND(FORSIDE!$B$8&gt;=17,FORSIDE!$F$8&gt;=3,FORSIDE!$B$5&gt;=4),"S804","")</f>
        <v/>
      </c>
      <c r="B805" t="str">
        <f>IF(AND(FORSIDE!$B$8&gt;=17,FORSIDE!$F$8&gt;=3,FORSIDE!$B$5&gt;=4),"884 -&gt; 885","")</f>
        <v/>
      </c>
      <c r="C805" t="str">
        <f>FORSIDE!$C$4</f>
        <v>S355, Stål / KFHUP 180x180x12.5</v>
      </c>
    </row>
    <row r="806" spans="1:3" x14ac:dyDescent="0.3">
      <c r="A806" t="str">
        <f>IF(AND(FORSIDE!$B$8&gt;=17,FORSIDE!$F$8&gt;=3,FORSIDE!$B$5&gt;=5),"S805","")</f>
        <v/>
      </c>
      <c r="B806" t="str">
        <f>IF(AND(FORSIDE!$B$8&gt;=17,FORSIDE!$F$8&gt;=3,FORSIDE!$B$5&gt;=5),"885 -&gt; 886","")</f>
        <v/>
      </c>
      <c r="C806" t="str">
        <f>FORSIDE!$C$4</f>
        <v>S355, Stål / KFHUP 180x180x12.5</v>
      </c>
    </row>
    <row r="807" spans="1:3" x14ac:dyDescent="0.3">
      <c r="A807" t="str">
        <f>IF(AND(FORSIDE!$B$8&gt;=17,FORSIDE!$F$8&gt;=3,FORSIDE!$B$5&gt;=6),"S806","")</f>
        <v/>
      </c>
      <c r="B807" t="str">
        <f>IF(AND(FORSIDE!$B$8&gt;=17,FORSIDE!$F$8&gt;=3,FORSIDE!$B$5&gt;=6),"886 -&gt; 887","")</f>
        <v/>
      </c>
      <c r="C807" t="str">
        <f>FORSIDE!$C$4</f>
        <v>S355, Stål / KFHUP 180x180x12.5</v>
      </c>
    </row>
    <row r="808" spans="1:3" x14ac:dyDescent="0.3">
      <c r="A808" t="str">
        <f>IF(AND(FORSIDE!$B$8&gt;=17,FORSIDE!$F$8&gt;=3,FORSIDE!$B$5&gt;=7),"S807","")</f>
        <v/>
      </c>
      <c r="B808" t="str">
        <f>IF(AND(FORSIDE!$B$8&gt;=17,FORSIDE!$F$8&gt;=3,FORSIDE!$B$5&gt;=7),"887 -&gt; 888","")</f>
        <v/>
      </c>
      <c r="C808" t="str">
        <f>FORSIDE!$C$4</f>
        <v>S355, Stål / KFHUP 180x180x12.5</v>
      </c>
    </row>
    <row r="809" spans="1:3" x14ac:dyDescent="0.3">
      <c r="A809" t="str">
        <f>IF(AND(FORSIDE!$B$8&gt;=17,FORSIDE!$F$8&gt;=3,FORSIDE!$B$5&gt;=8),"S808","")</f>
        <v/>
      </c>
      <c r="B809" t="str">
        <f>IF(AND(FORSIDE!$B$8&gt;=17,FORSIDE!$F$8&gt;=3,FORSIDE!$B$5&gt;=8),"888 -&gt; 889","")</f>
        <v/>
      </c>
      <c r="C809" t="str">
        <f>FORSIDE!$C$4</f>
        <v>S355, Stål / KFHUP 180x180x12.5</v>
      </c>
    </row>
    <row r="810" spans="1:3" x14ac:dyDescent="0.3">
      <c r="A810" t="str">
        <f>IF(AND(FORSIDE!$B$8&gt;=17,FORSIDE!$F$8&gt;=3,FORSIDE!$B$5&gt;=9),"S809","")</f>
        <v/>
      </c>
      <c r="B810" t="str">
        <f>IF(AND(FORSIDE!$B$8&gt;=17,FORSIDE!$F$8&gt;=3,FORSIDE!$B$5&gt;=9),"889 -&gt; 890","")</f>
        <v/>
      </c>
      <c r="C810" t="str">
        <f>FORSIDE!$C$4</f>
        <v>S355, Stål / KFHUP 180x180x12.5</v>
      </c>
    </row>
    <row r="811" spans="1:3" x14ac:dyDescent="0.3">
      <c r="A811" t="str">
        <f>IF(AND(FORSIDE!$B$8&gt;=17,FORSIDE!$F$8&gt;=3,FORSIDE!$B$5&gt;=10),"S810","")</f>
        <v/>
      </c>
      <c r="B811" t="str">
        <f>IF(AND(FORSIDE!$B$8&gt;=17,FORSIDE!$F$8&gt;=3,FORSIDE!$B$5&gt;=10),"890 -&gt; 891","")</f>
        <v/>
      </c>
      <c r="C811" t="str">
        <f>FORSIDE!$C$4</f>
        <v>S355, Stål / KFHUP 180x180x12.5</v>
      </c>
    </row>
    <row r="812" spans="1:3" x14ac:dyDescent="0.3">
      <c r="A812" t="str">
        <f>IF(AND(FORSIDE!$B$8&gt;=18,FORSIDE!$F$8&gt;=3,FORSIDE!$B$5&gt;=1),"S811","")</f>
        <v/>
      </c>
      <c r="B812" t="str">
        <f>IF(AND(FORSIDE!$B$8&gt;=18,FORSIDE!$F$8&gt;=3,FORSIDE!$B$5&gt;=1),"892 -&gt; 893","")</f>
        <v/>
      </c>
      <c r="C812" t="str">
        <f>FORSIDE!$C$4</f>
        <v>S355, Stål / KFHUP 180x180x12.5</v>
      </c>
    </row>
    <row r="813" spans="1:3" x14ac:dyDescent="0.3">
      <c r="A813" t="str">
        <f>IF(AND(FORSIDE!$B$8&gt;=18,FORSIDE!$F$8&gt;=3,FORSIDE!$B$5&gt;=2),"S812","")</f>
        <v/>
      </c>
      <c r="B813" t="str">
        <f>IF(AND(FORSIDE!$B$8&gt;=18,FORSIDE!$F$8&gt;=3,FORSIDE!$B$5&gt;=2),"893 -&gt; 894","")</f>
        <v/>
      </c>
      <c r="C813" t="str">
        <f>FORSIDE!$C$4</f>
        <v>S355, Stål / KFHUP 180x180x12.5</v>
      </c>
    </row>
    <row r="814" spans="1:3" x14ac:dyDescent="0.3">
      <c r="A814" t="str">
        <f>IF(AND(FORSIDE!$B$8&gt;=18,FORSIDE!$F$8&gt;=3,FORSIDE!$B$5&gt;=3),"S813","")</f>
        <v/>
      </c>
      <c r="B814" t="str">
        <f>IF(AND(FORSIDE!$B$8&gt;=18,FORSIDE!$F$8&gt;=3,FORSIDE!$B$5&gt;=3),"894 -&gt; 895","")</f>
        <v/>
      </c>
      <c r="C814" t="str">
        <f>FORSIDE!$C$4</f>
        <v>S355, Stål / KFHUP 180x180x12.5</v>
      </c>
    </row>
    <row r="815" spans="1:3" x14ac:dyDescent="0.3">
      <c r="A815" t="str">
        <f>IF(AND(FORSIDE!$B$8&gt;=18,FORSIDE!$F$8&gt;=3,FORSIDE!$B$5&gt;=4),"S814","")</f>
        <v/>
      </c>
      <c r="B815" t="str">
        <f>IF(AND(FORSIDE!$B$8&gt;=18,FORSIDE!$F$8&gt;=3,FORSIDE!$B$5&gt;=4),"895 -&gt; 896","")</f>
        <v/>
      </c>
      <c r="C815" t="str">
        <f>FORSIDE!$C$4</f>
        <v>S355, Stål / KFHUP 180x180x12.5</v>
      </c>
    </row>
    <row r="816" spans="1:3" x14ac:dyDescent="0.3">
      <c r="A816" t="str">
        <f>IF(AND(FORSIDE!$B$8&gt;=18,FORSIDE!$F$8&gt;=3,FORSIDE!$B$5&gt;=5),"S815","")</f>
        <v/>
      </c>
      <c r="B816" t="str">
        <f>IF(AND(FORSIDE!$B$8&gt;=18,FORSIDE!$F$8&gt;=3,FORSIDE!$B$5&gt;=5),"896 -&gt; 897","")</f>
        <v/>
      </c>
      <c r="C816" t="str">
        <f>FORSIDE!$C$4</f>
        <v>S355, Stål / KFHUP 180x180x12.5</v>
      </c>
    </row>
    <row r="817" spans="1:3" x14ac:dyDescent="0.3">
      <c r="A817" t="str">
        <f>IF(AND(FORSIDE!$B$8&gt;=18,FORSIDE!$F$8&gt;=3,FORSIDE!$B$5&gt;=6),"S816","")</f>
        <v/>
      </c>
      <c r="B817" t="str">
        <f>IF(AND(FORSIDE!$B$8&gt;=18,FORSIDE!$F$8&gt;=3,FORSIDE!$B$5&gt;=6),"897 -&gt; 898","")</f>
        <v/>
      </c>
      <c r="C817" t="str">
        <f>FORSIDE!$C$4</f>
        <v>S355, Stål / KFHUP 180x180x12.5</v>
      </c>
    </row>
    <row r="818" spans="1:3" x14ac:dyDescent="0.3">
      <c r="A818" t="str">
        <f>IF(AND(FORSIDE!$B$8&gt;=18,FORSIDE!$F$8&gt;=3,FORSIDE!$B$5&gt;=7),"S817","")</f>
        <v/>
      </c>
      <c r="B818" t="str">
        <f>IF(AND(FORSIDE!$B$8&gt;=18,FORSIDE!$F$8&gt;=3,FORSIDE!$B$5&gt;=7),"898 -&gt; 899","")</f>
        <v/>
      </c>
      <c r="C818" t="str">
        <f>FORSIDE!$C$4</f>
        <v>S355, Stål / KFHUP 180x180x12.5</v>
      </c>
    </row>
    <row r="819" spans="1:3" x14ac:dyDescent="0.3">
      <c r="A819" t="str">
        <f>IF(AND(FORSIDE!$B$8&gt;=18,FORSIDE!$F$8&gt;=3,FORSIDE!$B$5&gt;=8),"S818","")</f>
        <v/>
      </c>
      <c r="B819" t="str">
        <f>IF(AND(FORSIDE!$B$8&gt;=18,FORSIDE!$F$8&gt;=3,FORSIDE!$B$5&gt;=8),"899 -&gt; 900","")</f>
        <v/>
      </c>
      <c r="C819" t="str">
        <f>FORSIDE!$C$4</f>
        <v>S355, Stål / KFHUP 180x180x12.5</v>
      </c>
    </row>
    <row r="820" spans="1:3" x14ac:dyDescent="0.3">
      <c r="A820" t="str">
        <f>IF(AND(FORSIDE!$B$8&gt;=18,FORSIDE!$F$8&gt;=3,FORSIDE!$B$5&gt;=9),"S819","")</f>
        <v/>
      </c>
      <c r="B820" t="str">
        <f>IF(AND(FORSIDE!$B$8&gt;=18,FORSIDE!$F$8&gt;=3,FORSIDE!$B$5&gt;=9),"900 -&gt; 901","")</f>
        <v/>
      </c>
      <c r="C820" t="str">
        <f>FORSIDE!$C$4</f>
        <v>S355, Stål / KFHUP 180x180x12.5</v>
      </c>
    </row>
    <row r="821" spans="1:3" x14ac:dyDescent="0.3">
      <c r="A821" t="str">
        <f>IF(AND(FORSIDE!$B$8&gt;=18,FORSIDE!$F$8&gt;=3,FORSIDE!$B$5&gt;=10),"S820","")</f>
        <v/>
      </c>
      <c r="B821" t="str">
        <f>IF(AND(FORSIDE!$B$8&gt;=18,FORSIDE!$F$8&gt;=3,FORSIDE!$B$5&gt;=10),"901 -&gt; 902","")</f>
        <v/>
      </c>
      <c r="C821" t="str">
        <f>FORSIDE!$C$4</f>
        <v>S355, Stål / KFHUP 180x180x12.5</v>
      </c>
    </row>
    <row r="822" spans="1:3" x14ac:dyDescent="0.3">
      <c r="A822" t="str">
        <f>IF(AND(FORSIDE!$B$8&gt;=19,FORSIDE!$F$8&gt;=3,FORSIDE!$B$5&gt;=1),"S821","")</f>
        <v/>
      </c>
      <c r="B822" t="str">
        <f>IF(AND(FORSIDE!$B$8&gt;=19,FORSIDE!$F$8&gt;=3,FORSIDE!$B$5&gt;=1),"903 -&gt; 904","")</f>
        <v/>
      </c>
      <c r="C822" t="str">
        <f>FORSIDE!$C$4</f>
        <v>S355, Stål / KFHUP 180x180x12.5</v>
      </c>
    </row>
    <row r="823" spans="1:3" x14ac:dyDescent="0.3">
      <c r="A823" t="str">
        <f>IF(AND(FORSIDE!$B$8&gt;=19,FORSIDE!$F$8&gt;=3,FORSIDE!$B$5&gt;=2),"S822","")</f>
        <v/>
      </c>
      <c r="B823" t="str">
        <f>IF(AND(FORSIDE!$B$8&gt;=19,FORSIDE!$F$8&gt;=3,FORSIDE!$B$5&gt;=2),"904 -&gt; 905","")</f>
        <v/>
      </c>
      <c r="C823" t="str">
        <f>FORSIDE!$C$4</f>
        <v>S355, Stål / KFHUP 180x180x12.5</v>
      </c>
    </row>
    <row r="824" spans="1:3" x14ac:dyDescent="0.3">
      <c r="A824" t="str">
        <f>IF(AND(FORSIDE!$B$8&gt;=19,FORSIDE!$F$8&gt;=3,FORSIDE!$B$5&gt;=3),"S823","")</f>
        <v/>
      </c>
      <c r="B824" t="str">
        <f>IF(AND(FORSIDE!$B$8&gt;=19,FORSIDE!$F$8&gt;=3,FORSIDE!$B$5&gt;=3),"905 -&gt; 906","")</f>
        <v/>
      </c>
      <c r="C824" t="str">
        <f>FORSIDE!$C$4</f>
        <v>S355, Stål / KFHUP 180x180x12.5</v>
      </c>
    </row>
    <row r="825" spans="1:3" x14ac:dyDescent="0.3">
      <c r="A825" t="str">
        <f>IF(AND(FORSIDE!$B$8&gt;=19,FORSIDE!$F$8&gt;=3,FORSIDE!$B$5&gt;=4),"S824","")</f>
        <v/>
      </c>
      <c r="B825" t="str">
        <f>IF(AND(FORSIDE!$B$8&gt;=19,FORSIDE!$F$8&gt;=3,FORSIDE!$B$5&gt;=4),"906 -&gt; 907","")</f>
        <v/>
      </c>
      <c r="C825" t="str">
        <f>FORSIDE!$C$4</f>
        <v>S355, Stål / KFHUP 180x180x12.5</v>
      </c>
    </row>
    <row r="826" spans="1:3" x14ac:dyDescent="0.3">
      <c r="A826" t="str">
        <f>IF(AND(FORSIDE!$B$8&gt;=19,FORSIDE!$F$8&gt;=3,FORSIDE!$B$5&gt;=5),"S825","")</f>
        <v/>
      </c>
      <c r="B826" t="str">
        <f>IF(AND(FORSIDE!$B$8&gt;=19,FORSIDE!$F$8&gt;=3,FORSIDE!$B$5&gt;=5),"907 -&gt; 908","")</f>
        <v/>
      </c>
      <c r="C826" t="str">
        <f>FORSIDE!$C$4</f>
        <v>S355, Stål / KFHUP 180x180x12.5</v>
      </c>
    </row>
    <row r="827" spans="1:3" x14ac:dyDescent="0.3">
      <c r="A827" t="str">
        <f>IF(AND(FORSIDE!$B$8&gt;=19,FORSIDE!$F$8&gt;=3,FORSIDE!$B$5&gt;=6),"S826","")</f>
        <v/>
      </c>
      <c r="B827" t="str">
        <f>IF(AND(FORSIDE!$B$8&gt;=19,FORSIDE!$F$8&gt;=3,FORSIDE!$B$5&gt;=6),"908 -&gt; 909","")</f>
        <v/>
      </c>
      <c r="C827" t="str">
        <f>FORSIDE!$C$4</f>
        <v>S355, Stål / KFHUP 180x180x12.5</v>
      </c>
    </row>
    <row r="828" spans="1:3" x14ac:dyDescent="0.3">
      <c r="A828" t="str">
        <f>IF(AND(FORSIDE!$B$8&gt;=19,FORSIDE!$F$8&gt;=3,FORSIDE!$B$5&gt;=7),"S827","")</f>
        <v/>
      </c>
      <c r="B828" t="str">
        <f>IF(AND(FORSIDE!$B$8&gt;=19,FORSIDE!$F$8&gt;=3,FORSIDE!$B$5&gt;=7),"909 -&gt; 910","")</f>
        <v/>
      </c>
      <c r="C828" t="str">
        <f>FORSIDE!$C$4</f>
        <v>S355, Stål / KFHUP 180x180x12.5</v>
      </c>
    </row>
    <row r="829" spans="1:3" x14ac:dyDescent="0.3">
      <c r="A829" t="str">
        <f>IF(AND(FORSIDE!$B$8&gt;=19,FORSIDE!$F$8&gt;=3,FORSIDE!$B$5&gt;=8),"S828","")</f>
        <v/>
      </c>
      <c r="B829" t="str">
        <f>IF(AND(FORSIDE!$B$8&gt;=19,FORSIDE!$F$8&gt;=3,FORSIDE!$B$5&gt;=8),"910 -&gt; 911","")</f>
        <v/>
      </c>
      <c r="C829" t="str">
        <f>FORSIDE!$C$4</f>
        <v>S355, Stål / KFHUP 180x180x12.5</v>
      </c>
    </row>
    <row r="830" spans="1:3" x14ac:dyDescent="0.3">
      <c r="A830" t="str">
        <f>IF(AND(FORSIDE!$B$8&gt;=19,FORSIDE!$F$8&gt;=3,FORSIDE!$B$5&gt;=9),"S829","")</f>
        <v/>
      </c>
      <c r="B830" t="str">
        <f>IF(AND(FORSIDE!$B$8&gt;=19,FORSIDE!$F$8&gt;=3,FORSIDE!$B$5&gt;=9),"911 -&gt; 912","")</f>
        <v/>
      </c>
      <c r="C830" t="str">
        <f>FORSIDE!$C$4</f>
        <v>S355, Stål / KFHUP 180x180x12.5</v>
      </c>
    </row>
    <row r="831" spans="1:3" x14ac:dyDescent="0.3">
      <c r="A831" t="str">
        <f>IF(AND(FORSIDE!$B$8&gt;=19,FORSIDE!$F$8&gt;=3,FORSIDE!$B$5&gt;=10),"S830","")</f>
        <v/>
      </c>
      <c r="B831" t="str">
        <f>IF(AND(FORSIDE!$B$8&gt;=19,FORSIDE!$F$8&gt;=3,FORSIDE!$B$5&gt;=10),"912 -&gt; 913","")</f>
        <v/>
      </c>
      <c r="C831" t="str">
        <f>FORSIDE!$C$4</f>
        <v>S355, Stål / KFHUP 180x180x12.5</v>
      </c>
    </row>
    <row r="832" spans="1:3" x14ac:dyDescent="0.3">
      <c r="A832" t="str">
        <f>IF(AND(FORSIDE!$B$8&gt;=20,FORSIDE!$F$8&gt;=3,FORSIDE!$B$5&gt;=1),"S831","")</f>
        <v/>
      </c>
      <c r="B832" t="str">
        <f>IF(AND(FORSIDE!$B$8&gt;=20,FORSIDE!$F$8&gt;=3,FORSIDE!$B$5&gt;=1),"914 -&gt; 915","")</f>
        <v/>
      </c>
      <c r="C832" t="str">
        <f>FORSIDE!$C$4</f>
        <v>S355, Stål / KFHUP 180x180x12.5</v>
      </c>
    </row>
    <row r="833" spans="1:3" x14ac:dyDescent="0.3">
      <c r="A833" t="str">
        <f>IF(AND(FORSIDE!$B$8&gt;=20,FORSIDE!$F$8&gt;=3,FORSIDE!$B$5&gt;=2),"S832","")</f>
        <v/>
      </c>
      <c r="B833" t="str">
        <f>IF(AND(FORSIDE!$B$8&gt;=20,FORSIDE!$F$8&gt;=3,FORSIDE!$B$5&gt;=2),"915 -&gt; 916","")</f>
        <v/>
      </c>
      <c r="C833" t="str">
        <f>FORSIDE!$C$4</f>
        <v>S355, Stål / KFHUP 180x180x12.5</v>
      </c>
    </row>
    <row r="834" spans="1:3" x14ac:dyDescent="0.3">
      <c r="A834" t="str">
        <f>IF(AND(FORSIDE!$B$8&gt;=20,FORSIDE!$F$8&gt;=3,FORSIDE!$B$5&gt;=3),"S833","")</f>
        <v/>
      </c>
      <c r="B834" t="str">
        <f>IF(AND(FORSIDE!$B$8&gt;=20,FORSIDE!$F$8&gt;=3,FORSIDE!$B$5&gt;=3),"916 -&gt; 917","")</f>
        <v/>
      </c>
      <c r="C834" t="str">
        <f>FORSIDE!$C$4</f>
        <v>S355, Stål / KFHUP 180x180x12.5</v>
      </c>
    </row>
    <row r="835" spans="1:3" x14ac:dyDescent="0.3">
      <c r="A835" t="str">
        <f>IF(AND(FORSIDE!$B$8&gt;=20,FORSIDE!$F$8&gt;=3,FORSIDE!$B$5&gt;=4),"S834","")</f>
        <v/>
      </c>
      <c r="B835" t="str">
        <f>IF(AND(FORSIDE!$B$8&gt;=20,FORSIDE!$F$8&gt;=3,FORSIDE!$B$5&gt;=4),"917 -&gt; 918","")</f>
        <v/>
      </c>
      <c r="C835" t="str">
        <f>FORSIDE!$C$4</f>
        <v>S355, Stål / KFHUP 180x180x12.5</v>
      </c>
    </row>
    <row r="836" spans="1:3" x14ac:dyDescent="0.3">
      <c r="A836" t="str">
        <f>IF(AND(FORSIDE!$B$8&gt;=20,FORSIDE!$F$8&gt;=3,FORSIDE!$B$5&gt;=5),"S835","")</f>
        <v/>
      </c>
      <c r="B836" t="str">
        <f>IF(AND(FORSIDE!$B$8&gt;=20,FORSIDE!$F$8&gt;=3,FORSIDE!$B$5&gt;=5),"918 -&gt; 919","")</f>
        <v/>
      </c>
      <c r="C836" t="str">
        <f>FORSIDE!$C$4</f>
        <v>S355, Stål / KFHUP 180x180x12.5</v>
      </c>
    </row>
    <row r="837" spans="1:3" x14ac:dyDescent="0.3">
      <c r="A837" t="str">
        <f>IF(AND(FORSIDE!$B$8&gt;=20,FORSIDE!$F$8&gt;=3,FORSIDE!$B$5&gt;=6),"S836","")</f>
        <v/>
      </c>
      <c r="B837" t="str">
        <f>IF(AND(FORSIDE!$B$8&gt;=20,FORSIDE!$F$8&gt;=3,FORSIDE!$B$5&gt;=6),"919 -&gt; 920","")</f>
        <v/>
      </c>
      <c r="C837" t="str">
        <f>FORSIDE!$C$4</f>
        <v>S355, Stål / KFHUP 180x180x12.5</v>
      </c>
    </row>
    <row r="838" spans="1:3" x14ac:dyDescent="0.3">
      <c r="A838" t="str">
        <f>IF(AND(FORSIDE!$B$8&gt;=20,FORSIDE!$F$8&gt;=3,FORSIDE!$B$5&gt;=7),"S837","")</f>
        <v/>
      </c>
      <c r="B838" t="str">
        <f>IF(AND(FORSIDE!$B$8&gt;=20,FORSIDE!$F$8&gt;=3,FORSIDE!$B$5&gt;=7),"920 -&gt; 921","")</f>
        <v/>
      </c>
      <c r="C838" t="str">
        <f>FORSIDE!$C$4</f>
        <v>S355, Stål / KFHUP 180x180x12.5</v>
      </c>
    </row>
    <row r="839" spans="1:3" x14ac:dyDescent="0.3">
      <c r="A839" t="str">
        <f>IF(AND(FORSIDE!$B$8&gt;=20,FORSIDE!$F$8&gt;=3,FORSIDE!$B$5&gt;=8),"S838","")</f>
        <v/>
      </c>
      <c r="B839" t="str">
        <f>IF(AND(FORSIDE!$B$8&gt;=20,FORSIDE!$F$8&gt;=3,FORSIDE!$B$5&gt;=8),"921 -&gt; 922","")</f>
        <v/>
      </c>
      <c r="C839" t="str">
        <f>FORSIDE!$C$4</f>
        <v>S355, Stål / KFHUP 180x180x12.5</v>
      </c>
    </row>
    <row r="840" spans="1:3" x14ac:dyDescent="0.3">
      <c r="A840" t="str">
        <f>IF(AND(FORSIDE!$B$8&gt;=20,FORSIDE!$F$8&gt;=3,FORSIDE!$B$5&gt;=9),"S839","")</f>
        <v/>
      </c>
      <c r="B840" t="str">
        <f>IF(AND(FORSIDE!$B$8&gt;=20,FORSIDE!$F$8&gt;=3,FORSIDE!$B$5&gt;=9),"922 -&gt; 923","")</f>
        <v/>
      </c>
      <c r="C840" t="str">
        <f>FORSIDE!$C$4</f>
        <v>S355, Stål / KFHUP 180x180x12.5</v>
      </c>
    </row>
    <row r="841" spans="1:3" x14ac:dyDescent="0.3">
      <c r="A841" t="str">
        <f>IF(AND(FORSIDE!$B$8&gt;=20,FORSIDE!$F$8&gt;=3,FORSIDE!$B$5&gt;=10),"S840","")</f>
        <v/>
      </c>
      <c r="B841" t="str">
        <f>IF(AND(FORSIDE!$B$8&gt;=20,FORSIDE!$F$8&gt;=3,FORSIDE!$B$5&gt;=10),"923 -&gt; 924","")</f>
        <v/>
      </c>
      <c r="C841" t="str">
        <f>FORSIDE!$C$4</f>
        <v>S355, Stål / KFHUP 180x180x12.5</v>
      </c>
    </row>
    <row r="842" spans="1:3" x14ac:dyDescent="0.3">
      <c r="A842" t="str">
        <f>IF(AND(FORSIDE!$B$8&gt;=0,FORSIDE!$F$8&gt;=4,FORSIDE!$B$5&gt;=1),"S841","")</f>
        <v/>
      </c>
      <c r="B842" t="str">
        <f>IF(AND(FORSIDE!$B$8&gt;=0,FORSIDE!$F$8&gt;=4,FORSIDE!$B$5&gt;=1),"925 -&gt; 926","")</f>
        <v/>
      </c>
      <c r="C842" t="str">
        <f>FORSIDE!$C$4</f>
        <v>S355, Stål / KFHUP 180x180x12.5</v>
      </c>
    </row>
    <row r="843" spans="1:3" x14ac:dyDescent="0.3">
      <c r="A843" t="str">
        <f>IF(AND(FORSIDE!$B$8&gt;=0,FORSIDE!$F$8&gt;=4,FORSIDE!$B$5&gt;=2),"S842","")</f>
        <v/>
      </c>
      <c r="B843" t="str">
        <f>IF(AND(FORSIDE!$B$8&gt;=0,FORSIDE!$F$8&gt;=4,FORSIDE!$B$5&gt;=2),"926 -&gt; 927","")</f>
        <v/>
      </c>
      <c r="C843" t="str">
        <f>FORSIDE!$C$4</f>
        <v>S355, Stål / KFHUP 180x180x12.5</v>
      </c>
    </row>
    <row r="844" spans="1:3" x14ac:dyDescent="0.3">
      <c r="A844" t="str">
        <f>IF(AND(FORSIDE!$B$8&gt;=0,FORSIDE!$F$8&gt;=4,FORSIDE!$B$5&gt;=3),"S843","")</f>
        <v/>
      </c>
      <c r="B844" t="str">
        <f>IF(AND(FORSIDE!$B$8&gt;=0,FORSIDE!$F$8&gt;=4,FORSIDE!$B$5&gt;=3),"927 -&gt; 928","")</f>
        <v/>
      </c>
      <c r="C844" t="str">
        <f>FORSIDE!$C$4</f>
        <v>S355, Stål / KFHUP 180x180x12.5</v>
      </c>
    </row>
    <row r="845" spans="1:3" x14ac:dyDescent="0.3">
      <c r="A845" t="str">
        <f>IF(AND(FORSIDE!$B$8&gt;=0,FORSIDE!$F$8&gt;=4,FORSIDE!$B$5&gt;=4),"S844","")</f>
        <v/>
      </c>
      <c r="B845" t="str">
        <f>IF(AND(FORSIDE!$B$8&gt;=0,FORSIDE!$F$8&gt;=4,FORSIDE!$B$5&gt;=4),"928 -&gt; 929","")</f>
        <v/>
      </c>
      <c r="C845" t="str">
        <f>FORSIDE!$C$4</f>
        <v>S355, Stål / KFHUP 180x180x12.5</v>
      </c>
    </row>
    <row r="846" spans="1:3" x14ac:dyDescent="0.3">
      <c r="A846" t="str">
        <f>IF(AND(FORSIDE!$B$8&gt;=0,FORSIDE!$F$8&gt;=4,FORSIDE!$B$5&gt;=5),"S845","")</f>
        <v/>
      </c>
      <c r="B846" t="str">
        <f>IF(AND(FORSIDE!$B$8&gt;=0,FORSIDE!$F$8&gt;=4,FORSIDE!$B$5&gt;=5),"929 -&gt; 930","")</f>
        <v/>
      </c>
      <c r="C846" t="str">
        <f>FORSIDE!$C$4</f>
        <v>S355, Stål / KFHUP 180x180x12.5</v>
      </c>
    </row>
    <row r="847" spans="1:3" x14ac:dyDescent="0.3">
      <c r="A847" t="str">
        <f>IF(AND(FORSIDE!$B$8&gt;=0,FORSIDE!$F$8&gt;=4,FORSIDE!$B$5&gt;=6),"S846","")</f>
        <v/>
      </c>
      <c r="B847" t="str">
        <f>IF(AND(FORSIDE!$B$8&gt;=0,FORSIDE!$F$8&gt;=4,FORSIDE!$B$5&gt;=6),"930 -&gt; 931","")</f>
        <v/>
      </c>
      <c r="C847" t="str">
        <f>FORSIDE!$C$4</f>
        <v>S355, Stål / KFHUP 180x180x12.5</v>
      </c>
    </row>
    <row r="848" spans="1:3" x14ac:dyDescent="0.3">
      <c r="A848" t="str">
        <f>IF(AND(FORSIDE!$B$8&gt;=0,FORSIDE!$F$8&gt;=4,FORSIDE!$B$5&gt;=7),"S847","")</f>
        <v/>
      </c>
      <c r="B848" t="str">
        <f>IF(AND(FORSIDE!$B$8&gt;=0,FORSIDE!$F$8&gt;=4,FORSIDE!$B$5&gt;=7),"931 -&gt; 932","")</f>
        <v/>
      </c>
      <c r="C848" t="str">
        <f>FORSIDE!$C$4</f>
        <v>S355, Stål / KFHUP 180x180x12.5</v>
      </c>
    </row>
    <row r="849" spans="1:3" x14ac:dyDescent="0.3">
      <c r="A849" t="str">
        <f>IF(AND(FORSIDE!$B$8&gt;=0,FORSIDE!$F$8&gt;=4,FORSIDE!$B$5&gt;=8),"S848","")</f>
        <v/>
      </c>
      <c r="B849" t="str">
        <f>IF(AND(FORSIDE!$B$8&gt;=0,FORSIDE!$F$8&gt;=4,FORSIDE!$B$5&gt;=8),"932 -&gt; 933","")</f>
        <v/>
      </c>
      <c r="C849" t="str">
        <f>FORSIDE!$C$4</f>
        <v>S355, Stål / KFHUP 180x180x12.5</v>
      </c>
    </row>
    <row r="850" spans="1:3" x14ac:dyDescent="0.3">
      <c r="A850" t="str">
        <f>IF(AND(FORSIDE!$B$8&gt;=0,FORSIDE!$F$8&gt;=4,FORSIDE!$B$5&gt;=9),"S849","")</f>
        <v/>
      </c>
      <c r="B850" t="str">
        <f>IF(AND(FORSIDE!$B$8&gt;=0,FORSIDE!$F$8&gt;=4,FORSIDE!$B$5&gt;=9),"933 -&gt; 934","")</f>
        <v/>
      </c>
      <c r="C850" t="str">
        <f>FORSIDE!$C$4</f>
        <v>S355, Stål / KFHUP 180x180x12.5</v>
      </c>
    </row>
    <row r="851" spans="1:3" x14ac:dyDescent="0.3">
      <c r="A851" t="str">
        <f>IF(AND(FORSIDE!$B$8&gt;=0,FORSIDE!$F$8&gt;=4,FORSIDE!$B$5&gt;=10),"S850","")</f>
        <v/>
      </c>
      <c r="B851" t="str">
        <f>IF(AND(FORSIDE!$B$8&gt;=0,FORSIDE!$F$8&gt;=4,FORSIDE!$B$5&gt;=10),"934 -&gt; 935","")</f>
        <v/>
      </c>
      <c r="C851" t="str">
        <f>FORSIDE!$C$4</f>
        <v>S355, Stål / KFHUP 180x180x12.5</v>
      </c>
    </row>
    <row r="852" spans="1:3" x14ac:dyDescent="0.3">
      <c r="A852" t="str">
        <f>IF(AND(FORSIDE!$B$8&gt;=1,FORSIDE!$F$8&gt;=4,FORSIDE!$B$5&gt;=1),"S851","")</f>
        <v/>
      </c>
      <c r="B852" t="str">
        <f>IF(AND(FORSIDE!$B$8&gt;=1,FORSIDE!$F$8&gt;=4,FORSIDE!$B$5&gt;=1),"936 -&gt; 937","")</f>
        <v/>
      </c>
      <c r="C852" t="str">
        <f>FORSIDE!$C$4</f>
        <v>S355, Stål / KFHUP 180x180x12.5</v>
      </c>
    </row>
    <row r="853" spans="1:3" x14ac:dyDescent="0.3">
      <c r="A853" t="str">
        <f>IF(AND(FORSIDE!$B$8&gt;=1,FORSIDE!$F$8&gt;=4,FORSIDE!$B$5&gt;=2),"S852","")</f>
        <v/>
      </c>
      <c r="B853" t="str">
        <f>IF(AND(FORSIDE!$B$8&gt;=1,FORSIDE!$F$8&gt;=4,FORSIDE!$B$5&gt;=2),"937 -&gt; 938","")</f>
        <v/>
      </c>
      <c r="C853" t="str">
        <f>FORSIDE!$C$4</f>
        <v>S355, Stål / KFHUP 180x180x12.5</v>
      </c>
    </row>
    <row r="854" spans="1:3" x14ac:dyDescent="0.3">
      <c r="A854" t="str">
        <f>IF(AND(FORSIDE!$B$8&gt;=1,FORSIDE!$F$8&gt;=4,FORSIDE!$B$5&gt;=3),"S853","")</f>
        <v/>
      </c>
      <c r="B854" t="str">
        <f>IF(AND(FORSIDE!$B$8&gt;=1,FORSIDE!$F$8&gt;=4,FORSIDE!$B$5&gt;=3),"938 -&gt; 939","")</f>
        <v/>
      </c>
      <c r="C854" t="str">
        <f>FORSIDE!$C$4</f>
        <v>S355, Stål / KFHUP 180x180x12.5</v>
      </c>
    </row>
    <row r="855" spans="1:3" x14ac:dyDescent="0.3">
      <c r="A855" t="str">
        <f>IF(AND(FORSIDE!$B$8&gt;=1,FORSIDE!$F$8&gt;=4,FORSIDE!$B$5&gt;=4),"S854","")</f>
        <v/>
      </c>
      <c r="B855" t="str">
        <f>IF(AND(FORSIDE!$B$8&gt;=1,FORSIDE!$F$8&gt;=4,FORSIDE!$B$5&gt;=4),"939 -&gt; 940","")</f>
        <v/>
      </c>
      <c r="C855" t="str">
        <f>FORSIDE!$C$4</f>
        <v>S355, Stål / KFHUP 180x180x12.5</v>
      </c>
    </row>
    <row r="856" spans="1:3" x14ac:dyDescent="0.3">
      <c r="A856" t="str">
        <f>IF(AND(FORSIDE!$B$8&gt;=1,FORSIDE!$F$8&gt;=4,FORSIDE!$B$5&gt;=5),"S855","")</f>
        <v/>
      </c>
      <c r="B856" t="str">
        <f>IF(AND(FORSIDE!$B$8&gt;=1,FORSIDE!$F$8&gt;=4,FORSIDE!$B$5&gt;=5),"940 -&gt; 941","")</f>
        <v/>
      </c>
      <c r="C856" t="str">
        <f>FORSIDE!$C$4</f>
        <v>S355, Stål / KFHUP 180x180x12.5</v>
      </c>
    </row>
    <row r="857" spans="1:3" x14ac:dyDescent="0.3">
      <c r="A857" t="str">
        <f>IF(AND(FORSIDE!$B$8&gt;=1,FORSIDE!$F$8&gt;=4,FORSIDE!$B$5&gt;=6),"S856","")</f>
        <v/>
      </c>
      <c r="B857" t="str">
        <f>IF(AND(FORSIDE!$B$8&gt;=1,FORSIDE!$F$8&gt;=4,FORSIDE!$B$5&gt;=6),"941 -&gt; 942","")</f>
        <v/>
      </c>
      <c r="C857" t="str">
        <f>FORSIDE!$C$4</f>
        <v>S355, Stål / KFHUP 180x180x12.5</v>
      </c>
    </row>
    <row r="858" spans="1:3" x14ac:dyDescent="0.3">
      <c r="A858" t="str">
        <f>IF(AND(FORSIDE!$B$8&gt;=1,FORSIDE!$F$8&gt;=4,FORSIDE!$B$5&gt;=7),"S857","")</f>
        <v/>
      </c>
      <c r="B858" t="str">
        <f>IF(AND(FORSIDE!$B$8&gt;=1,FORSIDE!$F$8&gt;=4,FORSIDE!$B$5&gt;=7),"942 -&gt; 943","")</f>
        <v/>
      </c>
      <c r="C858" t="str">
        <f>FORSIDE!$C$4</f>
        <v>S355, Stål / KFHUP 180x180x12.5</v>
      </c>
    </row>
    <row r="859" spans="1:3" x14ac:dyDescent="0.3">
      <c r="A859" t="str">
        <f>IF(AND(FORSIDE!$B$8&gt;=1,FORSIDE!$F$8&gt;=4,FORSIDE!$B$5&gt;=8),"S858","")</f>
        <v/>
      </c>
      <c r="B859" t="str">
        <f>IF(AND(FORSIDE!$B$8&gt;=1,FORSIDE!$F$8&gt;=4,FORSIDE!$B$5&gt;=8),"943 -&gt; 944","")</f>
        <v/>
      </c>
      <c r="C859" t="str">
        <f>FORSIDE!$C$4</f>
        <v>S355, Stål / KFHUP 180x180x12.5</v>
      </c>
    </row>
    <row r="860" spans="1:3" x14ac:dyDescent="0.3">
      <c r="A860" t="str">
        <f>IF(AND(FORSIDE!$B$8&gt;=1,FORSIDE!$F$8&gt;=4,FORSIDE!$B$5&gt;=9),"S859","")</f>
        <v/>
      </c>
      <c r="B860" t="str">
        <f>IF(AND(FORSIDE!$B$8&gt;=1,FORSIDE!$F$8&gt;=4,FORSIDE!$B$5&gt;=9),"944 -&gt; 945","")</f>
        <v/>
      </c>
      <c r="C860" t="str">
        <f>FORSIDE!$C$4</f>
        <v>S355, Stål / KFHUP 180x180x12.5</v>
      </c>
    </row>
    <row r="861" spans="1:3" x14ac:dyDescent="0.3">
      <c r="A861" t="str">
        <f>IF(AND(FORSIDE!$B$8&gt;=1,FORSIDE!$F$8&gt;=4,FORSIDE!$B$5&gt;=10),"S860","")</f>
        <v/>
      </c>
      <c r="B861" t="str">
        <f>IF(AND(FORSIDE!$B$8&gt;=1,FORSIDE!$F$8&gt;=4,FORSIDE!$B$5&gt;=10),"945 -&gt; 946","")</f>
        <v/>
      </c>
      <c r="C861" t="str">
        <f>FORSIDE!$C$4</f>
        <v>S355, Stål / KFHUP 180x180x12.5</v>
      </c>
    </row>
    <row r="862" spans="1:3" x14ac:dyDescent="0.3">
      <c r="A862" t="str">
        <f>IF(AND(FORSIDE!$B$8&gt;=2,FORSIDE!$F$8&gt;=4,FORSIDE!$B$5&gt;=1),"S861","")</f>
        <v/>
      </c>
      <c r="B862" t="str">
        <f>IF(AND(FORSIDE!$B$8&gt;=2,FORSIDE!$F$8&gt;=4,FORSIDE!$B$5&gt;=1),"947 -&gt; 948","")</f>
        <v/>
      </c>
      <c r="C862" t="str">
        <f>FORSIDE!$C$4</f>
        <v>S355, Stål / KFHUP 180x180x12.5</v>
      </c>
    </row>
    <row r="863" spans="1:3" x14ac:dyDescent="0.3">
      <c r="A863" t="str">
        <f>IF(AND(FORSIDE!$B$8&gt;=2,FORSIDE!$F$8&gt;=4,FORSIDE!$B$5&gt;=2),"S862","")</f>
        <v/>
      </c>
      <c r="B863" t="str">
        <f>IF(AND(FORSIDE!$B$8&gt;=2,FORSIDE!$F$8&gt;=4,FORSIDE!$B$5&gt;=2),"948 -&gt; 949","")</f>
        <v/>
      </c>
      <c r="C863" t="str">
        <f>FORSIDE!$C$4</f>
        <v>S355, Stål / KFHUP 180x180x12.5</v>
      </c>
    </row>
    <row r="864" spans="1:3" x14ac:dyDescent="0.3">
      <c r="A864" t="str">
        <f>IF(AND(FORSIDE!$B$8&gt;=2,FORSIDE!$F$8&gt;=4,FORSIDE!$B$5&gt;=3),"S863","")</f>
        <v/>
      </c>
      <c r="B864" t="str">
        <f>IF(AND(FORSIDE!$B$8&gt;=2,FORSIDE!$F$8&gt;=4,FORSIDE!$B$5&gt;=3),"949 -&gt; 950","")</f>
        <v/>
      </c>
      <c r="C864" t="str">
        <f>FORSIDE!$C$4</f>
        <v>S355, Stål / KFHUP 180x180x12.5</v>
      </c>
    </row>
    <row r="865" spans="1:3" x14ac:dyDescent="0.3">
      <c r="A865" t="str">
        <f>IF(AND(FORSIDE!$B$8&gt;=2,FORSIDE!$F$8&gt;=4,FORSIDE!$B$5&gt;=4),"S864","")</f>
        <v/>
      </c>
      <c r="B865" t="str">
        <f>IF(AND(FORSIDE!$B$8&gt;=2,FORSIDE!$F$8&gt;=4,FORSIDE!$B$5&gt;=4),"950 -&gt; 951","")</f>
        <v/>
      </c>
      <c r="C865" t="str">
        <f>FORSIDE!$C$4</f>
        <v>S355, Stål / KFHUP 180x180x12.5</v>
      </c>
    </row>
    <row r="866" spans="1:3" x14ac:dyDescent="0.3">
      <c r="A866" t="str">
        <f>IF(AND(FORSIDE!$B$8&gt;=2,FORSIDE!$F$8&gt;=4,FORSIDE!$B$5&gt;=5),"S865","")</f>
        <v/>
      </c>
      <c r="B866" t="str">
        <f>IF(AND(FORSIDE!$B$8&gt;=2,FORSIDE!$F$8&gt;=4,FORSIDE!$B$5&gt;=5),"951 -&gt; 952","")</f>
        <v/>
      </c>
      <c r="C866" t="str">
        <f>FORSIDE!$C$4</f>
        <v>S355, Stål / KFHUP 180x180x12.5</v>
      </c>
    </row>
    <row r="867" spans="1:3" x14ac:dyDescent="0.3">
      <c r="A867" t="str">
        <f>IF(AND(FORSIDE!$B$8&gt;=2,FORSIDE!$F$8&gt;=4,FORSIDE!$B$5&gt;=6),"S866","")</f>
        <v/>
      </c>
      <c r="B867" t="str">
        <f>IF(AND(FORSIDE!$B$8&gt;=2,FORSIDE!$F$8&gt;=4,FORSIDE!$B$5&gt;=6),"952 -&gt; 953","")</f>
        <v/>
      </c>
      <c r="C867" t="str">
        <f>FORSIDE!$C$4</f>
        <v>S355, Stål / KFHUP 180x180x12.5</v>
      </c>
    </row>
    <row r="868" spans="1:3" x14ac:dyDescent="0.3">
      <c r="A868" t="str">
        <f>IF(AND(FORSIDE!$B$8&gt;=2,FORSIDE!$F$8&gt;=4,FORSIDE!$B$5&gt;=7),"S867","")</f>
        <v/>
      </c>
      <c r="B868" t="str">
        <f>IF(AND(FORSIDE!$B$8&gt;=2,FORSIDE!$F$8&gt;=4,FORSIDE!$B$5&gt;=7),"953 -&gt; 954","")</f>
        <v/>
      </c>
      <c r="C868" t="str">
        <f>FORSIDE!$C$4</f>
        <v>S355, Stål / KFHUP 180x180x12.5</v>
      </c>
    </row>
    <row r="869" spans="1:3" x14ac:dyDescent="0.3">
      <c r="A869" t="str">
        <f>IF(AND(FORSIDE!$B$8&gt;=2,FORSIDE!$F$8&gt;=4,FORSIDE!$B$5&gt;=8),"S868","")</f>
        <v/>
      </c>
      <c r="B869" t="str">
        <f>IF(AND(FORSIDE!$B$8&gt;=2,FORSIDE!$F$8&gt;=4,FORSIDE!$B$5&gt;=8),"954 -&gt; 955","")</f>
        <v/>
      </c>
      <c r="C869" t="str">
        <f>FORSIDE!$C$4</f>
        <v>S355, Stål / KFHUP 180x180x12.5</v>
      </c>
    </row>
    <row r="870" spans="1:3" x14ac:dyDescent="0.3">
      <c r="A870" t="str">
        <f>IF(AND(FORSIDE!$B$8&gt;=2,FORSIDE!$F$8&gt;=4,FORSIDE!$B$5&gt;=9),"S869","")</f>
        <v/>
      </c>
      <c r="B870" t="str">
        <f>IF(AND(FORSIDE!$B$8&gt;=2,FORSIDE!$F$8&gt;=4,FORSIDE!$B$5&gt;=9),"955 -&gt; 956","")</f>
        <v/>
      </c>
      <c r="C870" t="str">
        <f>FORSIDE!$C$4</f>
        <v>S355, Stål / KFHUP 180x180x12.5</v>
      </c>
    </row>
    <row r="871" spans="1:3" x14ac:dyDescent="0.3">
      <c r="A871" t="str">
        <f>IF(AND(FORSIDE!$B$8&gt;=2,FORSIDE!$F$8&gt;=4,FORSIDE!$B$5&gt;=10),"S870","")</f>
        <v/>
      </c>
      <c r="B871" t="str">
        <f>IF(AND(FORSIDE!$B$8&gt;=2,FORSIDE!$F$8&gt;=4,FORSIDE!$B$5&gt;=10),"956 -&gt; 957","")</f>
        <v/>
      </c>
      <c r="C871" t="str">
        <f>FORSIDE!$C$4</f>
        <v>S355, Stål / KFHUP 180x180x12.5</v>
      </c>
    </row>
    <row r="872" spans="1:3" x14ac:dyDescent="0.3">
      <c r="A872" t="str">
        <f>IF(AND(FORSIDE!$B$8&gt;=3,FORSIDE!$F$8&gt;=4,FORSIDE!$B$5&gt;=1),"S871","")</f>
        <v/>
      </c>
      <c r="B872" t="str">
        <f>IF(AND(FORSIDE!$B$8&gt;=3,FORSIDE!$F$8&gt;=4,FORSIDE!$B$5&gt;=1),"958 -&gt; 959","")</f>
        <v/>
      </c>
      <c r="C872" t="str">
        <f>FORSIDE!$C$4</f>
        <v>S355, Stål / KFHUP 180x180x12.5</v>
      </c>
    </row>
    <row r="873" spans="1:3" x14ac:dyDescent="0.3">
      <c r="A873" t="str">
        <f>IF(AND(FORSIDE!$B$8&gt;=3,FORSIDE!$F$8&gt;=4,FORSIDE!$B$5&gt;=2),"S872","")</f>
        <v/>
      </c>
      <c r="B873" t="str">
        <f>IF(AND(FORSIDE!$B$8&gt;=3,FORSIDE!$F$8&gt;=4,FORSIDE!$B$5&gt;=2),"959 -&gt; 960","")</f>
        <v/>
      </c>
      <c r="C873" t="str">
        <f>FORSIDE!$C$4</f>
        <v>S355, Stål / KFHUP 180x180x12.5</v>
      </c>
    </row>
    <row r="874" spans="1:3" x14ac:dyDescent="0.3">
      <c r="A874" t="str">
        <f>IF(AND(FORSIDE!$B$8&gt;=3,FORSIDE!$F$8&gt;=4,FORSIDE!$B$5&gt;=3),"S873","")</f>
        <v/>
      </c>
      <c r="B874" t="str">
        <f>IF(AND(FORSIDE!$B$8&gt;=3,FORSIDE!$F$8&gt;=4,FORSIDE!$B$5&gt;=3),"960 -&gt; 961","")</f>
        <v/>
      </c>
      <c r="C874" t="str">
        <f>FORSIDE!$C$4</f>
        <v>S355, Stål / KFHUP 180x180x12.5</v>
      </c>
    </row>
    <row r="875" spans="1:3" x14ac:dyDescent="0.3">
      <c r="A875" t="str">
        <f>IF(AND(FORSIDE!$B$8&gt;=3,FORSIDE!$F$8&gt;=4,FORSIDE!$B$5&gt;=4),"S874","")</f>
        <v/>
      </c>
      <c r="B875" t="str">
        <f>IF(AND(FORSIDE!$B$8&gt;=3,FORSIDE!$F$8&gt;=4,FORSIDE!$B$5&gt;=4),"961 -&gt; 962","")</f>
        <v/>
      </c>
      <c r="C875" t="str">
        <f>FORSIDE!$C$4</f>
        <v>S355, Stål / KFHUP 180x180x12.5</v>
      </c>
    </row>
    <row r="876" spans="1:3" x14ac:dyDescent="0.3">
      <c r="A876" t="str">
        <f>IF(AND(FORSIDE!$B$8&gt;=3,FORSIDE!$F$8&gt;=4,FORSIDE!$B$5&gt;=5),"S875","")</f>
        <v/>
      </c>
      <c r="B876" t="str">
        <f>IF(AND(FORSIDE!$B$8&gt;=3,FORSIDE!$F$8&gt;=4,FORSIDE!$B$5&gt;=5),"962 -&gt; 963","")</f>
        <v/>
      </c>
      <c r="C876" t="str">
        <f>FORSIDE!$C$4</f>
        <v>S355, Stål / KFHUP 180x180x12.5</v>
      </c>
    </row>
    <row r="877" spans="1:3" x14ac:dyDescent="0.3">
      <c r="A877" t="str">
        <f>IF(AND(FORSIDE!$B$8&gt;=3,FORSIDE!$F$8&gt;=4,FORSIDE!$B$5&gt;=6),"S876","")</f>
        <v/>
      </c>
      <c r="B877" t="str">
        <f>IF(AND(FORSIDE!$B$8&gt;=3,FORSIDE!$F$8&gt;=4,FORSIDE!$B$5&gt;=6),"963 -&gt; 964","")</f>
        <v/>
      </c>
      <c r="C877" t="str">
        <f>FORSIDE!$C$4</f>
        <v>S355, Stål / KFHUP 180x180x12.5</v>
      </c>
    </row>
    <row r="878" spans="1:3" x14ac:dyDescent="0.3">
      <c r="A878" t="str">
        <f>IF(AND(FORSIDE!$B$8&gt;=3,FORSIDE!$F$8&gt;=4,FORSIDE!$B$5&gt;=7),"S877","")</f>
        <v/>
      </c>
      <c r="B878" t="str">
        <f>IF(AND(FORSIDE!$B$8&gt;=3,FORSIDE!$F$8&gt;=4,FORSIDE!$B$5&gt;=7),"964 -&gt; 965","")</f>
        <v/>
      </c>
      <c r="C878" t="str">
        <f>FORSIDE!$C$4</f>
        <v>S355, Stål / KFHUP 180x180x12.5</v>
      </c>
    </row>
    <row r="879" spans="1:3" x14ac:dyDescent="0.3">
      <c r="A879" t="str">
        <f>IF(AND(FORSIDE!$B$8&gt;=3,FORSIDE!$F$8&gt;=4,FORSIDE!$B$5&gt;=8),"S878","")</f>
        <v/>
      </c>
      <c r="B879" t="str">
        <f>IF(AND(FORSIDE!$B$8&gt;=3,FORSIDE!$F$8&gt;=4,FORSIDE!$B$5&gt;=8),"965 -&gt; 966","")</f>
        <v/>
      </c>
      <c r="C879" t="str">
        <f>FORSIDE!$C$4</f>
        <v>S355, Stål / KFHUP 180x180x12.5</v>
      </c>
    </row>
    <row r="880" spans="1:3" x14ac:dyDescent="0.3">
      <c r="A880" t="str">
        <f>IF(AND(FORSIDE!$B$8&gt;=3,FORSIDE!$F$8&gt;=4,FORSIDE!$B$5&gt;=9),"S879","")</f>
        <v/>
      </c>
      <c r="B880" t="str">
        <f>IF(AND(FORSIDE!$B$8&gt;=3,FORSIDE!$F$8&gt;=4,FORSIDE!$B$5&gt;=9),"966 -&gt; 967","")</f>
        <v/>
      </c>
      <c r="C880" t="str">
        <f>FORSIDE!$C$4</f>
        <v>S355, Stål / KFHUP 180x180x12.5</v>
      </c>
    </row>
    <row r="881" spans="1:3" x14ac:dyDescent="0.3">
      <c r="A881" t="str">
        <f>IF(AND(FORSIDE!$B$8&gt;=3,FORSIDE!$F$8&gt;=4,FORSIDE!$B$5&gt;=10),"S880","")</f>
        <v/>
      </c>
      <c r="B881" t="str">
        <f>IF(AND(FORSIDE!$B$8&gt;=3,FORSIDE!$F$8&gt;=4,FORSIDE!$B$5&gt;=10),"967 -&gt; 968","")</f>
        <v/>
      </c>
      <c r="C881" t="str">
        <f>FORSIDE!$C$4</f>
        <v>S355, Stål / KFHUP 180x180x12.5</v>
      </c>
    </row>
    <row r="882" spans="1:3" x14ac:dyDescent="0.3">
      <c r="A882" t="str">
        <f>IF(AND(FORSIDE!$B$8&gt;=4,FORSIDE!$F$8&gt;=4,FORSIDE!$B$5&gt;=1),"S881","")</f>
        <v/>
      </c>
      <c r="B882" t="str">
        <f>IF(AND(FORSIDE!$B$8&gt;=4,FORSIDE!$F$8&gt;=4,FORSIDE!$B$5&gt;=1),"969 -&gt; 970","")</f>
        <v/>
      </c>
      <c r="C882" t="str">
        <f>FORSIDE!$C$4</f>
        <v>S355, Stål / KFHUP 180x180x12.5</v>
      </c>
    </row>
    <row r="883" spans="1:3" x14ac:dyDescent="0.3">
      <c r="A883" t="str">
        <f>IF(AND(FORSIDE!$B$8&gt;=4,FORSIDE!$F$8&gt;=4,FORSIDE!$B$5&gt;=2),"S882","")</f>
        <v/>
      </c>
      <c r="B883" t="str">
        <f>IF(AND(FORSIDE!$B$8&gt;=4,FORSIDE!$F$8&gt;=4,FORSIDE!$B$5&gt;=2),"970 -&gt; 971","")</f>
        <v/>
      </c>
      <c r="C883" t="str">
        <f>FORSIDE!$C$4</f>
        <v>S355, Stål / KFHUP 180x180x12.5</v>
      </c>
    </row>
    <row r="884" spans="1:3" x14ac:dyDescent="0.3">
      <c r="A884" t="str">
        <f>IF(AND(FORSIDE!$B$8&gt;=4,FORSIDE!$F$8&gt;=4,FORSIDE!$B$5&gt;=3),"S883","")</f>
        <v/>
      </c>
      <c r="B884" t="str">
        <f>IF(AND(FORSIDE!$B$8&gt;=4,FORSIDE!$F$8&gt;=4,FORSIDE!$B$5&gt;=3),"971 -&gt; 972","")</f>
        <v/>
      </c>
      <c r="C884" t="str">
        <f>FORSIDE!$C$4</f>
        <v>S355, Stål / KFHUP 180x180x12.5</v>
      </c>
    </row>
    <row r="885" spans="1:3" x14ac:dyDescent="0.3">
      <c r="A885" t="str">
        <f>IF(AND(FORSIDE!$B$8&gt;=4,FORSIDE!$F$8&gt;=4,FORSIDE!$B$5&gt;=4),"S884","")</f>
        <v/>
      </c>
      <c r="B885" t="str">
        <f>IF(AND(FORSIDE!$B$8&gt;=4,FORSIDE!$F$8&gt;=4,FORSIDE!$B$5&gt;=4),"972 -&gt; 973","")</f>
        <v/>
      </c>
      <c r="C885" t="str">
        <f>FORSIDE!$C$4</f>
        <v>S355, Stål / KFHUP 180x180x12.5</v>
      </c>
    </row>
    <row r="886" spans="1:3" x14ac:dyDescent="0.3">
      <c r="A886" t="str">
        <f>IF(AND(FORSIDE!$B$8&gt;=4,FORSIDE!$F$8&gt;=4,FORSIDE!$B$5&gt;=5),"S885","")</f>
        <v/>
      </c>
      <c r="B886" t="str">
        <f>IF(AND(FORSIDE!$B$8&gt;=4,FORSIDE!$F$8&gt;=4,FORSIDE!$B$5&gt;=5),"973 -&gt; 974","")</f>
        <v/>
      </c>
      <c r="C886" t="str">
        <f>FORSIDE!$C$4</f>
        <v>S355, Stål / KFHUP 180x180x12.5</v>
      </c>
    </row>
    <row r="887" spans="1:3" x14ac:dyDescent="0.3">
      <c r="A887" t="str">
        <f>IF(AND(FORSIDE!$B$8&gt;=4,FORSIDE!$F$8&gt;=4,FORSIDE!$B$5&gt;=6),"S886","")</f>
        <v/>
      </c>
      <c r="B887" t="str">
        <f>IF(AND(FORSIDE!$B$8&gt;=4,FORSIDE!$F$8&gt;=4,FORSIDE!$B$5&gt;=6),"974 -&gt; 975","")</f>
        <v/>
      </c>
      <c r="C887" t="str">
        <f>FORSIDE!$C$4</f>
        <v>S355, Stål / KFHUP 180x180x12.5</v>
      </c>
    </row>
    <row r="888" spans="1:3" x14ac:dyDescent="0.3">
      <c r="A888" t="str">
        <f>IF(AND(FORSIDE!$B$8&gt;=4,FORSIDE!$F$8&gt;=4,FORSIDE!$B$5&gt;=7),"S887","")</f>
        <v/>
      </c>
      <c r="B888" t="str">
        <f>IF(AND(FORSIDE!$B$8&gt;=4,FORSIDE!$F$8&gt;=4,FORSIDE!$B$5&gt;=7),"975 -&gt; 976","")</f>
        <v/>
      </c>
      <c r="C888" t="str">
        <f>FORSIDE!$C$4</f>
        <v>S355, Stål / KFHUP 180x180x12.5</v>
      </c>
    </row>
    <row r="889" spans="1:3" x14ac:dyDescent="0.3">
      <c r="A889" t="str">
        <f>IF(AND(FORSIDE!$B$8&gt;=4,FORSIDE!$F$8&gt;=4,FORSIDE!$B$5&gt;=8),"S888","")</f>
        <v/>
      </c>
      <c r="B889" t="str">
        <f>IF(AND(FORSIDE!$B$8&gt;=4,FORSIDE!$F$8&gt;=4,FORSIDE!$B$5&gt;=8),"976 -&gt; 977","")</f>
        <v/>
      </c>
      <c r="C889" t="str">
        <f>FORSIDE!$C$4</f>
        <v>S355, Stål / KFHUP 180x180x12.5</v>
      </c>
    </row>
    <row r="890" spans="1:3" x14ac:dyDescent="0.3">
      <c r="A890" t="str">
        <f>IF(AND(FORSIDE!$B$8&gt;=4,FORSIDE!$F$8&gt;=4,FORSIDE!$B$5&gt;=9),"S889","")</f>
        <v/>
      </c>
      <c r="B890" t="str">
        <f>IF(AND(FORSIDE!$B$8&gt;=4,FORSIDE!$F$8&gt;=4,FORSIDE!$B$5&gt;=9),"977 -&gt; 978","")</f>
        <v/>
      </c>
      <c r="C890" t="str">
        <f>FORSIDE!$C$4</f>
        <v>S355, Stål / KFHUP 180x180x12.5</v>
      </c>
    </row>
    <row r="891" spans="1:3" x14ac:dyDescent="0.3">
      <c r="A891" t="str">
        <f>IF(AND(FORSIDE!$B$8&gt;=4,FORSIDE!$F$8&gt;=4,FORSIDE!$B$5&gt;=10),"S890","")</f>
        <v/>
      </c>
      <c r="B891" t="str">
        <f>IF(AND(FORSIDE!$B$8&gt;=4,FORSIDE!$F$8&gt;=4,FORSIDE!$B$5&gt;=10),"978 -&gt; 979","")</f>
        <v/>
      </c>
      <c r="C891" t="str">
        <f>FORSIDE!$C$4</f>
        <v>S355, Stål / KFHUP 180x180x12.5</v>
      </c>
    </row>
    <row r="892" spans="1:3" x14ac:dyDescent="0.3">
      <c r="A892" t="str">
        <f>IF(AND(FORSIDE!$B$8&gt;=5,FORSIDE!$F$8&gt;=4,FORSIDE!$B$5&gt;=1),"S891","")</f>
        <v/>
      </c>
      <c r="B892" t="str">
        <f>IF(AND(FORSIDE!$B$8&gt;=5,FORSIDE!$F$8&gt;=4,FORSIDE!$B$5&gt;=1),"980 -&gt; 981","")</f>
        <v/>
      </c>
      <c r="C892" t="str">
        <f>FORSIDE!$C$4</f>
        <v>S355, Stål / KFHUP 180x180x12.5</v>
      </c>
    </row>
    <row r="893" spans="1:3" x14ac:dyDescent="0.3">
      <c r="A893" t="str">
        <f>IF(AND(FORSIDE!$B$8&gt;=5,FORSIDE!$F$8&gt;=4,FORSIDE!$B$5&gt;=2),"S892","")</f>
        <v/>
      </c>
      <c r="B893" t="str">
        <f>IF(AND(FORSIDE!$B$8&gt;=5,FORSIDE!$F$8&gt;=4,FORSIDE!$B$5&gt;=2),"981 -&gt; 982","")</f>
        <v/>
      </c>
      <c r="C893" t="str">
        <f>FORSIDE!$C$4</f>
        <v>S355, Stål / KFHUP 180x180x12.5</v>
      </c>
    </row>
    <row r="894" spans="1:3" x14ac:dyDescent="0.3">
      <c r="A894" t="str">
        <f>IF(AND(FORSIDE!$B$8&gt;=5,FORSIDE!$F$8&gt;=4,FORSIDE!$B$5&gt;=3),"S893","")</f>
        <v/>
      </c>
      <c r="B894" t="str">
        <f>IF(AND(FORSIDE!$B$8&gt;=5,FORSIDE!$F$8&gt;=4,FORSIDE!$B$5&gt;=3),"982 -&gt; 983","")</f>
        <v/>
      </c>
      <c r="C894" t="str">
        <f>FORSIDE!$C$4</f>
        <v>S355, Stål / KFHUP 180x180x12.5</v>
      </c>
    </row>
    <row r="895" spans="1:3" x14ac:dyDescent="0.3">
      <c r="A895" t="str">
        <f>IF(AND(FORSIDE!$B$8&gt;=5,FORSIDE!$F$8&gt;=4,FORSIDE!$B$5&gt;=4),"S894","")</f>
        <v/>
      </c>
      <c r="B895" t="str">
        <f>IF(AND(FORSIDE!$B$8&gt;=5,FORSIDE!$F$8&gt;=4,FORSIDE!$B$5&gt;=4),"983 -&gt; 984","")</f>
        <v/>
      </c>
      <c r="C895" t="str">
        <f>FORSIDE!$C$4</f>
        <v>S355, Stål / KFHUP 180x180x12.5</v>
      </c>
    </row>
    <row r="896" spans="1:3" x14ac:dyDescent="0.3">
      <c r="A896" t="str">
        <f>IF(AND(FORSIDE!$B$8&gt;=5,FORSIDE!$F$8&gt;=4,FORSIDE!$B$5&gt;=5),"S895","")</f>
        <v/>
      </c>
      <c r="B896" t="str">
        <f>IF(AND(FORSIDE!$B$8&gt;=5,FORSIDE!$F$8&gt;=4,FORSIDE!$B$5&gt;=5),"984 -&gt; 985","")</f>
        <v/>
      </c>
      <c r="C896" t="str">
        <f>FORSIDE!$C$4</f>
        <v>S355, Stål / KFHUP 180x180x12.5</v>
      </c>
    </row>
    <row r="897" spans="1:3" x14ac:dyDescent="0.3">
      <c r="A897" t="str">
        <f>IF(AND(FORSIDE!$B$8&gt;=5,FORSIDE!$F$8&gt;=4,FORSIDE!$B$5&gt;=6),"S896","")</f>
        <v/>
      </c>
      <c r="B897" t="str">
        <f>IF(AND(FORSIDE!$B$8&gt;=5,FORSIDE!$F$8&gt;=4,FORSIDE!$B$5&gt;=6),"985 -&gt; 986","")</f>
        <v/>
      </c>
      <c r="C897" t="str">
        <f>FORSIDE!$C$4</f>
        <v>S355, Stål / KFHUP 180x180x12.5</v>
      </c>
    </row>
    <row r="898" spans="1:3" x14ac:dyDescent="0.3">
      <c r="A898" t="str">
        <f>IF(AND(FORSIDE!$B$8&gt;=5,FORSIDE!$F$8&gt;=4,FORSIDE!$B$5&gt;=7),"S897","")</f>
        <v/>
      </c>
      <c r="B898" t="str">
        <f>IF(AND(FORSIDE!$B$8&gt;=5,FORSIDE!$F$8&gt;=4,FORSIDE!$B$5&gt;=7),"986 -&gt; 987","")</f>
        <v/>
      </c>
      <c r="C898" t="str">
        <f>FORSIDE!$C$4</f>
        <v>S355, Stål / KFHUP 180x180x12.5</v>
      </c>
    </row>
    <row r="899" spans="1:3" x14ac:dyDescent="0.3">
      <c r="A899" t="str">
        <f>IF(AND(FORSIDE!$B$8&gt;=5,FORSIDE!$F$8&gt;=4,FORSIDE!$B$5&gt;=8),"S898","")</f>
        <v/>
      </c>
      <c r="B899" t="str">
        <f>IF(AND(FORSIDE!$B$8&gt;=5,FORSIDE!$F$8&gt;=4,FORSIDE!$B$5&gt;=8),"987 -&gt; 988","")</f>
        <v/>
      </c>
      <c r="C899" t="str">
        <f>FORSIDE!$C$4</f>
        <v>S355, Stål / KFHUP 180x180x12.5</v>
      </c>
    </row>
    <row r="900" spans="1:3" x14ac:dyDescent="0.3">
      <c r="A900" t="str">
        <f>IF(AND(FORSIDE!$B$8&gt;=5,FORSIDE!$F$8&gt;=4,FORSIDE!$B$5&gt;=9),"S899","")</f>
        <v/>
      </c>
      <c r="B900" t="str">
        <f>IF(AND(FORSIDE!$B$8&gt;=5,FORSIDE!$F$8&gt;=4,FORSIDE!$B$5&gt;=9),"988 -&gt; 989","")</f>
        <v/>
      </c>
      <c r="C900" t="str">
        <f>FORSIDE!$C$4</f>
        <v>S355, Stål / KFHUP 180x180x12.5</v>
      </c>
    </row>
    <row r="901" spans="1:3" x14ac:dyDescent="0.3">
      <c r="A901" t="str">
        <f>IF(AND(FORSIDE!$B$8&gt;=5,FORSIDE!$F$8&gt;=4,FORSIDE!$B$5&gt;=10),"S900","")</f>
        <v/>
      </c>
      <c r="B901" t="str">
        <f>IF(AND(FORSIDE!$B$8&gt;=5,FORSIDE!$F$8&gt;=4,FORSIDE!$B$5&gt;=10),"989 -&gt; 990","")</f>
        <v/>
      </c>
      <c r="C901" t="str">
        <f>FORSIDE!$C$4</f>
        <v>S355, Stål / KFHUP 180x180x12.5</v>
      </c>
    </row>
    <row r="902" spans="1:3" x14ac:dyDescent="0.3">
      <c r="A902" t="str">
        <f>IF(AND(FORSIDE!$B$8&gt;=6,FORSIDE!$F$8&gt;=4,FORSIDE!$B$5&gt;=1),"S901","")</f>
        <v/>
      </c>
      <c r="B902" t="str">
        <f>IF(AND(FORSIDE!$B$8&gt;=6,FORSIDE!$F$8&gt;=4,FORSIDE!$B$5&gt;=1),"991 -&gt; 992","")</f>
        <v/>
      </c>
      <c r="C902" t="str">
        <f>FORSIDE!$C$4</f>
        <v>S355, Stål / KFHUP 180x180x12.5</v>
      </c>
    </row>
    <row r="903" spans="1:3" x14ac:dyDescent="0.3">
      <c r="A903" t="str">
        <f>IF(AND(FORSIDE!$B$8&gt;=6,FORSIDE!$F$8&gt;=4,FORSIDE!$B$5&gt;=2),"S902","")</f>
        <v/>
      </c>
      <c r="B903" t="str">
        <f>IF(AND(FORSIDE!$B$8&gt;=6,FORSIDE!$F$8&gt;=4,FORSIDE!$B$5&gt;=2),"992 -&gt; 993","")</f>
        <v/>
      </c>
      <c r="C903" t="str">
        <f>FORSIDE!$C$4</f>
        <v>S355, Stål / KFHUP 180x180x12.5</v>
      </c>
    </row>
    <row r="904" spans="1:3" x14ac:dyDescent="0.3">
      <c r="A904" t="str">
        <f>IF(AND(FORSIDE!$B$8&gt;=6,FORSIDE!$F$8&gt;=4,FORSIDE!$B$5&gt;=3),"S903","")</f>
        <v/>
      </c>
      <c r="B904" t="str">
        <f>IF(AND(FORSIDE!$B$8&gt;=6,FORSIDE!$F$8&gt;=4,FORSIDE!$B$5&gt;=3),"993 -&gt; 994","")</f>
        <v/>
      </c>
      <c r="C904" t="str">
        <f>FORSIDE!$C$4</f>
        <v>S355, Stål / KFHUP 180x180x12.5</v>
      </c>
    </row>
    <row r="905" spans="1:3" x14ac:dyDescent="0.3">
      <c r="A905" t="str">
        <f>IF(AND(FORSIDE!$B$8&gt;=6,FORSIDE!$F$8&gt;=4,FORSIDE!$B$5&gt;=4),"S904","")</f>
        <v/>
      </c>
      <c r="B905" t="str">
        <f>IF(AND(FORSIDE!$B$8&gt;=6,FORSIDE!$F$8&gt;=4,FORSIDE!$B$5&gt;=4),"994 -&gt; 995","")</f>
        <v/>
      </c>
      <c r="C905" t="str">
        <f>FORSIDE!$C$4</f>
        <v>S355, Stål / KFHUP 180x180x12.5</v>
      </c>
    </row>
    <row r="906" spans="1:3" x14ac:dyDescent="0.3">
      <c r="A906" t="str">
        <f>IF(AND(FORSIDE!$B$8&gt;=6,FORSIDE!$F$8&gt;=4,FORSIDE!$B$5&gt;=5),"S905","")</f>
        <v/>
      </c>
      <c r="B906" t="str">
        <f>IF(AND(FORSIDE!$B$8&gt;=6,FORSIDE!$F$8&gt;=4,FORSIDE!$B$5&gt;=5),"995 -&gt; 996","")</f>
        <v/>
      </c>
      <c r="C906" t="str">
        <f>FORSIDE!$C$4</f>
        <v>S355, Stål / KFHUP 180x180x12.5</v>
      </c>
    </row>
    <row r="907" spans="1:3" x14ac:dyDescent="0.3">
      <c r="A907" t="str">
        <f>IF(AND(FORSIDE!$B$8&gt;=6,FORSIDE!$F$8&gt;=4,FORSIDE!$B$5&gt;=6),"S906","")</f>
        <v/>
      </c>
      <c r="B907" t="str">
        <f>IF(AND(FORSIDE!$B$8&gt;=6,FORSIDE!$F$8&gt;=4,FORSIDE!$B$5&gt;=6),"996 -&gt; 997","")</f>
        <v/>
      </c>
      <c r="C907" t="str">
        <f>FORSIDE!$C$4</f>
        <v>S355, Stål / KFHUP 180x180x12.5</v>
      </c>
    </row>
    <row r="908" spans="1:3" x14ac:dyDescent="0.3">
      <c r="A908" t="str">
        <f>IF(AND(FORSIDE!$B$8&gt;=6,FORSIDE!$F$8&gt;=4,FORSIDE!$B$5&gt;=7),"S907","")</f>
        <v/>
      </c>
      <c r="B908" t="str">
        <f>IF(AND(FORSIDE!$B$8&gt;=6,FORSIDE!$F$8&gt;=4,FORSIDE!$B$5&gt;=7),"997 -&gt; 998","")</f>
        <v/>
      </c>
      <c r="C908" t="str">
        <f>FORSIDE!$C$4</f>
        <v>S355, Stål / KFHUP 180x180x12.5</v>
      </c>
    </row>
    <row r="909" spans="1:3" x14ac:dyDescent="0.3">
      <c r="A909" t="str">
        <f>IF(AND(FORSIDE!$B$8&gt;=6,FORSIDE!$F$8&gt;=4,FORSIDE!$B$5&gt;=8),"S908","")</f>
        <v/>
      </c>
      <c r="B909" t="str">
        <f>IF(AND(FORSIDE!$B$8&gt;=6,FORSIDE!$F$8&gt;=4,FORSIDE!$B$5&gt;=8),"998 -&gt; 999","")</f>
        <v/>
      </c>
      <c r="C909" t="str">
        <f>FORSIDE!$C$4</f>
        <v>S355, Stål / KFHUP 180x180x12.5</v>
      </c>
    </row>
    <row r="910" spans="1:3" x14ac:dyDescent="0.3">
      <c r="A910" t="str">
        <f>IF(AND(FORSIDE!$B$8&gt;=6,FORSIDE!$F$8&gt;=4,FORSIDE!$B$5&gt;=9),"S909","")</f>
        <v/>
      </c>
      <c r="B910" t="str">
        <f>IF(AND(FORSIDE!$B$8&gt;=6,FORSIDE!$F$8&gt;=4,FORSIDE!$B$5&gt;=9),"999 -&gt; 1000","")</f>
        <v/>
      </c>
      <c r="C910" t="str">
        <f>FORSIDE!$C$4</f>
        <v>S355, Stål / KFHUP 180x180x12.5</v>
      </c>
    </row>
    <row r="911" spans="1:3" x14ac:dyDescent="0.3">
      <c r="A911" t="str">
        <f>IF(AND(FORSIDE!$B$8&gt;=6,FORSIDE!$F$8&gt;=4,FORSIDE!$B$5&gt;=10),"S910","")</f>
        <v/>
      </c>
      <c r="B911" t="str">
        <f>IF(AND(FORSIDE!$B$8&gt;=6,FORSIDE!$F$8&gt;=4,FORSIDE!$B$5&gt;=10),"1000 -&gt; 1001","")</f>
        <v/>
      </c>
      <c r="C911" t="str">
        <f>FORSIDE!$C$4</f>
        <v>S355, Stål / KFHUP 180x180x12.5</v>
      </c>
    </row>
    <row r="912" spans="1:3" x14ac:dyDescent="0.3">
      <c r="A912" t="str">
        <f>IF(AND(FORSIDE!$B$8&gt;=7,FORSIDE!$F$8&gt;=4,FORSIDE!$B$5&gt;=1),"S911","")</f>
        <v/>
      </c>
      <c r="B912" t="str">
        <f>IF(AND(FORSIDE!$B$8&gt;=7,FORSIDE!$F$8&gt;=4,FORSIDE!$B$5&gt;=1),"1002 -&gt; 1003","")</f>
        <v/>
      </c>
      <c r="C912" t="str">
        <f>FORSIDE!$C$4</f>
        <v>S355, Stål / KFHUP 180x180x12.5</v>
      </c>
    </row>
    <row r="913" spans="1:3" x14ac:dyDescent="0.3">
      <c r="A913" t="str">
        <f>IF(AND(FORSIDE!$B$8&gt;=7,FORSIDE!$F$8&gt;=4,FORSIDE!$B$5&gt;=2),"S912","")</f>
        <v/>
      </c>
      <c r="B913" t="str">
        <f>IF(AND(FORSIDE!$B$8&gt;=7,FORSIDE!$F$8&gt;=4,FORSIDE!$B$5&gt;=2),"1003 -&gt; 1004","")</f>
        <v/>
      </c>
      <c r="C913" t="str">
        <f>FORSIDE!$C$4</f>
        <v>S355, Stål / KFHUP 180x180x12.5</v>
      </c>
    </row>
    <row r="914" spans="1:3" x14ac:dyDescent="0.3">
      <c r="A914" t="str">
        <f>IF(AND(FORSIDE!$B$8&gt;=7,FORSIDE!$F$8&gt;=4,FORSIDE!$B$5&gt;=3),"S913","")</f>
        <v/>
      </c>
      <c r="B914" t="str">
        <f>IF(AND(FORSIDE!$B$8&gt;=7,FORSIDE!$F$8&gt;=4,FORSIDE!$B$5&gt;=3),"1004 -&gt; 1005","")</f>
        <v/>
      </c>
      <c r="C914" t="str">
        <f>FORSIDE!$C$4</f>
        <v>S355, Stål / KFHUP 180x180x12.5</v>
      </c>
    </row>
    <row r="915" spans="1:3" x14ac:dyDescent="0.3">
      <c r="A915" t="str">
        <f>IF(AND(FORSIDE!$B$8&gt;=7,FORSIDE!$F$8&gt;=4,FORSIDE!$B$5&gt;=4),"S914","")</f>
        <v/>
      </c>
      <c r="B915" t="str">
        <f>IF(AND(FORSIDE!$B$8&gt;=7,FORSIDE!$F$8&gt;=4,FORSIDE!$B$5&gt;=4),"1005 -&gt; 1006","")</f>
        <v/>
      </c>
      <c r="C915" t="str">
        <f>FORSIDE!$C$4</f>
        <v>S355, Stål / KFHUP 180x180x12.5</v>
      </c>
    </row>
    <row r="916" spans="1:3" x14ac:dyDescent="0.3">
      <c r="A916" t="str">
        <f>IF(AND(FORSIDE!$B$8&gt;=7,FORSIDE!$F$8&gt;=4,FORSIDE!$B$5&gt;=5),"S915","")</f>
        <v/>
      </c>
      <c r="B916" t="str">
        <f>IF(AND(FORSIDE!$B$8&gt;=7,FORSIDE!$F$8&gt;=4,FORSIDE!$B$5&gt;=5),"1006 -&gt; 1007","")</f>
        <v/>
      </c>
      <c r="C916" t="str">
        <f>FORSIDE!$C$4</f>
        <v>S355, Stål / KFHUP 180x180x12.5</v>
      </c>
    </row>
    <row r="917" spans="1:3" x14ac:dyDescent="0.3">
      <c r="A917" t="str">
        <f>IF(AND(FORSIDE!$B$8&gt;=7,FORSIDE!$F$8&gt;=4,FORSIDE!$B$5&gt;=6),"S916","")</f>
        <v/>
      </c>
      <c r="B917" t="str">
        <f>IF(AND(FORSIDE!$B$8&gt;=7,FORSIDE!$F$8&gt;=4,FORSIDE!$B$5&gt;=6),"1007 -&gt; 1008","")</f>
        <v/>
      </c>
      <c r="C917" t="str">
        <f>FORSIDE!$C$4</f>
        <v>S355, Stål / KFHUP 180x180x12.5</v>
      </c>
    </row>
    <row r="918" spans="1:3" x14ac:dyDescent="0.3">
      <c r="A918" t="str">
        <f>IF(AND(FORSIDE!$B$8&gt;=7,FORSIDE!$F$8&gt;=4,FORSIDE!$B$5&gt;=7),"S917","")</f>
        <v/>
      </c>
      <c r="B918" t="str">
        <f>IF(AND(FORSIDE!$B$8&gt;=7,FORSIDE!$F$8&gt;=4,FORSIDE!$B$5&gt;=7),"1008 -&gt; 1009","")</f>
        <v/>
      </c>
      <c r="C918" t="str">
        <f>FORSIDE!$C$4</f>
        <v>S355, Stål / KFHUP 180x180x12.5</v>
      </c>
    </row>
    <row r="919" spans="1:3" x14ac:dyDescent="0.3">
      <c r="A919" t="str">
        <f>IF(AND(FORSIDE!$B$8&gt;=7,FORSIDE!$F$8&gt;=4,FORSIDE!$B$5&gt;=8),"S918","")</f>
        <v/>
      </c>
      <c r="B919" t="str">
        <f>IF(AND(FORSIDE!$B$8&gt;=7,FORSIDE!$F$8&gt;=4,FORSIDE!$B$5&gt;=8),"1009 -&gt; 1010","")</f>
        <v/>
      </c>
      <c r="C919" t="str">
        <f>FORSIDE!$C$4</f>
        <v>S355, Stål / KFHUP 180x180x12.5</v>
      </c>
    </row>
    <row r="920" spans="1:3" x14ac:dyDescent="0.3">
      <c r="A920" t="str">
        <f>IF(AND(FORSIDE!$B$8&gt;=7,FORSIDE!$F$8&gt;=4,FORSIDE!$B$5&gt;=9),"S919","")</f>
        <v/>
      </c>
      <c r="B920" t="str">
        <f>IF(AND(FORSIDE!$B$8&gt;=7,FORSIDE!$F$8&gt;=4,FORSIDE!$B$5&gt;=9),"1010 -&gt; 1011","")</f>
        <v/>
      </c>
      <c r="C920" t="str">
        <f>FORSIDE!$C$4</f>
        <v>S355, Stål / KFHUP 180x180x12.5</v>
      </c>
    </row>
    <row r="921" spans="1:3" x14ac:dyDescent="0.3">
      <c r="A921" t="str">
        <f>IF(AND(FORSIDE!$B$8&gt;=7,FORSIDE!$F$8&gt;=4,FORSIDE!$B$5&gt;=10),"S920","")</f>
        <v/>
      </c>
      <c r="B921" t="str">
        <f>IF(AND(FORSIDE!$B$8&gt;=7,FORSIDE!$F$8&gt;=4,FORSIDE!$B$5&gt;=10),"1011 -&gt; 1012","")</f>
        <v/>
      </c>
      <c r="C921" t="str">
        <f>FORSIDE!$C$4</f>
        <v>S355, Stål / KFHUP 180x180x12.5</v>
      </c>
    </row>
    <row r="922" spans="1:3" x14ac:dyDescent="0.3">
      <c r="A922" t="str">
        <f>IF(AND(FORSIDE!$B$8&gt;=8,FORSIDE!$F$8&gt;=4,FORSIDE!$B$5&gt;=1),"S921","")</f>
        <v/>
      </c>
      <c r="B922" t="str">
        <f>IF(AND(FORSIDE!$B$8&gt;=8,FORSIDE!$F$8&gt;=4,FORSIDE!$B$5&gt;=1),"1013 -&gt; 1014","")</f>
        <v/>
      </c>
      <c r="C922" t="str">
        <f>FORSIDE!$C$4</f>
        <v>S355, Stål / KFHUP 180x180x12.5</v>
      </c>
    </row>
    <row r="923" spans="1:3" x14ac:dyDescent="0.3">
      <c r="A923" t="str">
        <f>IF(AND(FORSIDE!$B$8&gt;=8,FORSIDE!$F$8&gt;=4,FORSIDE!$B$5&gt;=2),"S922","")</f>
        <v/>
      </c>
      <c r="B923" t="str">
        <f>IF(AND(FORSIDE!$B$8&gt;=8,FORSIDE!$F$8&gt;=4,FORSIDE!$B$5&gt;=2),"1014 -&gt; 1015","")</f>
        <v/>
      </c>
      <c r="C923" t="str">
        <f>FORSIDE!$C$4</f>
        <v>S355, Stål / KFHUP 180x180x12.5</v>
      </c>
    </row>
    <row r="924" spans="1:3" x14ac:dyDescent="0.3">
      <c r="A924" t="str">
        <f>IF(AND(FORSIDE!$B$8&gt;=8,FORSIDE!$F$8&gt;=4,FORSIDE!$B$5&gt;=3),"S923","")</f>
        <v/>
      </c>
      <c r="B924" t="str">
        <f>IF(AND(FORSIDE!$B$8&gt;=8,FORSIDE!$F$8&gt;=4,FORSIDE!$B$5&gt;=3),"1015 -&gt; 1016","")</f>
        <v/>
      </c>
      <c r="C924" t="str">
        <f>FORSIDE!$C$4</f>
        <v>S355, Stål / KFHUP 180x180x12.5</v>
      </c>
    </row>
    <row r="925" spans="1:3" x14ac:dyDescent="0.3">
      <c r="A925" t="str">
        <f>IF(AND(FORSIDE!$B$8&gt;=8,FORSIDE!$F$8&gt;=4,FORSIDE!$B$5&gt;=4),"S924","")</f>
        <v/>
      </c>
      <c r="B925" t="str">
        <f>IF(AND(FORSIDE!$B$8&gt;=8,FORSIDE!$F$8&gt;=4,FORSIDE!$B$5&gt;=4),"1016 -&gt; 1017","")</f>
        <v/>
      </c>
      <c r="C925" t="str">
        <f>FORSIDE!$C$4</f>
        <v>S355, Stål / KFHUP 180x180x12.5</v>
      </c>
    </row>
    <row r="926" spans="1:3" x14ac:dyDescent="0.3">
      <c r="A926" t="str">
        <f>IF(AND(FORSIDE!$B$8&gt;=8,FORSIDE!$F$8&gt;=4,FORSIDE!$B$5&gt;=5),"S925","")</f>
        <v/>
      </c>
      <c r="B926" t="str">
        <f>IF(AND(FORSIDE!$B$8&gt;=8,FORSIDE!$F$8&gt;=4,FORSIDE!$B$5&gt;=5),"1017 -&gt; 1018","")</f>
        <v/>
      </c>
      <c r="C926" t="str">
        <f>FORSIDE!$C$4</f>
        <v>S355, Stål / KFHUP 180x180x12.5</v>
      </c>
    </row>
    <row r="927" spans="1:3" x14ac:dyDescent="0.3">
      <c r="A927" t="str">
        <f>IF(AND(FORSIDE!$B$8&gt;=8,FORSIDE!$F$8&gt;=4,FORSIDE!$B$5&gt;=6),"S926","")</f>
        <v/>
      </c>
      <c r="B927" t="str">
        <f>IF(AND(FORSIDE!$B$8&gt;=8,FORSIDE!$F$8&gt;=4,FORSIDE!$B$5&gt;=6),"1018 -&gt; 1019","")</f>
        <v/>
      </c>
      <c r="C927" t="str">
        <f>FORSIDE!$C$4</f>
        <v>S355, Stål / KFHUP 180x180x12.5</v>
      </c>
    </row>
    <row r="928" spans="1:3" x14ac:dyDescent="0.3">
      <c r="A928" t="str">
        <f>IF(AND(FORSIDE!$B$8&gt;=8,FORSIDE!$F$8&gt;=4,FORSIDE!$B$5&gt;=7),"S927","")</f>
        <v/>
      </c>
      <c r="B928" t="str">
        <f>IF(AND(FORSIDE!$B$8&gt;=8,FORSIDE!$F$8&gt;=4,FORSIDE!$B$5&gt;=7),"1019 -&gt; 1020","")</f>
        <v/>
      </c>
      <c r="C928" t="str">
        <f>FORSIDE!$C$4</f>
        <v>S355, Stål / KFHUP 180x180x12.5</v>
      </c>
    </row>
    <row r="929" spans="1:3" x14ac:dyDescent="0.3">
      <c r="A929" t="str">
        <f>IF(AND(FORSIDE!$B$8&gt;=8,FORSIDE!$F$8&gt;=4,FORSIDE!$B$5&gt;=8),"S928","")</f>
        <v/>
      </c>
      <c r="B929" t="str">
        <f>IF(AND(FORSIDE!$B$8&gt;=8,FORSIDE!$F$8&gt;=4,FORSIDE!$B$5&gt;=8),"1020 -&gt; 1021","")</f>
        <v/>
      </c>
      <c r="C929" t="str">
        <f>FORSIDE!$C$4</f>
        <v>S355, Stål / KFHUP 180x180x12.5</v>
      </c>
    </row>
    <row r="930" spans="1:3" x14ac:dyDescent="0.3">
      <c r="A930" t="str">
        <f>IF(AND(FORSIDE!$B$8&gt;=8,FORSIDE!$F$8&gt;=4,FORSIDE!$B$5&gt;=9),"S929","")</f>
        <v/>
      </c>
      <c r="B930" t="str">
        <f>IF(AND(FORSIDE!$B$8&gt;=8,FORSIDE!$F$8&gt;=4,FORSIDE!$B$5&gt;=9),"1021 -&gt; 1022","")</f>
        <v/>
      </c>
      <c r="C930" t="str">
        <f>FORSIDE!$C$4</f>
        <v>S355, Stål / KFHUP 180x180x12.5</v>
      </c>
    </row>
    <row r="931" spans="1:3" x14ac:dyDescent="0.3">
      <c r="A931" t="str">
        <f>IF(AND(FORSIDE!$B$8&gt;=8,FORSIDE!$F$8&gt;=4,FORSIDE!$B$5&gt;=10),"S930","")</f>
        <v/>
      </c>
      <c r="B931" t="str">
        <f>IF(AND(FORSIDE!$B$8&gt;=8,FORSIDE!$F$8&gt;=4,FORSIDE!$B$5&gt;=10),"1022 -&gt; 1023","")</f>
        <v/>
      </c>
      <c r="C931" t="str">
        <f>FORSIDE!$C$4</f>
        <v>S355, Stål / KFHUP 180x180x12.5</v>
      </c>
    </row>
    <row r="932" spans="1:3" x14ac:dyDescent="0.3">
      <c r="A932" t="str">
        <f>IF(AND(FORSIDE!$B$8&gt;=9,FORSIDE!$F$8&gt;=4,FORSIDE!$B$5&gt;=1),"S931","")</f>
        <v/>
      </c>
      <c r="B932" t="str">
        <f>IF(AND(FORSIDE!$B$8&gt;=9,FORSIDE!$F$8&gt;=4,FORSIDE!$B$5&gt;=1),"1024 -&gt; 1025","")</f>
        <v/>
      </c>
      <c r="C932" t="str">
        <f>FORSIDE!$C$4</f>
        <v>S355, Stål / KFHUP 180x180x12.5</v>
      </c>
    </row>
    <row r="933" spans="1:3" x14ac:dyDescent="0.3">
      <c r="A933" t="str">
        <f>IF(AND(FORSIDE!$B$8&gt;=9,FORSIDE!$F$8&gt;=4,FORSIDE!$B$5&gt;=2),"S932","")</f>
        <v/>
      </c>
      <c r="B933" t="str">
        <f>IF(AND(FORSIDE!$B$8&gt;=9,FORSIDE!$F$8&gt;=4,FORSIDE!$B$5&gt;=2),"1025 -&gt; 1026","")</f>
        <v/>
      </c>
      <c r="C933" t="str">
        <f>FORSIDE!$C$4</f>
        <v>S355, Stål / KFHUP 180x180x12.5</v>
      </c>
    </row>
    <row r="934" spans="1:3" x14ac:dyDescent="0.3">
      <c r="A934" t="str">
        <f>IF(AND(FORSIDE!$B$8&gt;=9,FORSIDE!$F$8&gt;=4,FORSIDE!$B$5&gt;=3),"S933","")</f>
        <v/>
      </c>
      <c r="B934" t="str">
        <f>IF(AND(FORSIDE!$B$8&gt;=9,FORSIDE!$F$8&gt;=4,FORSIDE!$B$5&gt;=3),"1026 -&gt; 1027","")</f>
        <v/>
      </c>
      <c r="C934" t="str">
        <f>FORSIDE!$C$4</f>
        <v>S355, Stål / KFHUP 180x180x12.5</v>
      </c>
    </row>
    <row r="935" spans="1:3" x14ac:dyDescent="0.3">
      <c r="A935" t="str">
        <f>IF(AND(FORSIDE!$B$8&gt;=9,FORSIDE!$F$8&gt;=4,FORSIDE!$B$5&gt;=4),"S934","")</f>
        <v/>
      </c>
      <c r="B935" t="str">
        <f>IF(AND(FORSIDE!$B$8&gt;=9,FORSIDE!$F$8&gt;=4,FORSIDE!$B$5&gt;=4),"1027 -&gt; 1028","")</f>
        <v/>
      </c>
      <c r="C935" t="str">
        <f>FORSIDE!$C$4</f>
        <v>S355, Stål / KFHUP 180x180x12.5</v>
      </c>
    </row>
    <row r="936" spans="1:3" x14ac:dyDescent="0.3">
      <c r="A936" t="str">
        <f>IF(AND(FORSIDE!$B$8&gt;=9,FORSIDE!$F$8&gt;=4,FORSIDE!$B$5&gt;=5),"S935","")</f>
        <v/>
      </c>
      <c r="B936" t="str">
        <f>IF(AND(FORSIDE!$B$8&gt;=9,FORSIDE!$F$8&gt;=4,FORSIDE!$B$5&gt;=5),"1028 -&gt; 1029","")</f>
        <v/>
      </c>
      <c r="C936" t="str">
        <f>FORSIDE!$C$4</f>
        <v>S355, Stål / KFHUP 180x180x12.5</v>
      </c>
    </row>
    <row r="937" spans="1:3" x14ac:dyDescent="0.3">
      <c r="A937" t="str">
        <f>IF(AND(FORSIDE!$B$8&gt;=9,FORSIDE!$F$8&gt;=4,FORSIDE!$B$5&gt;=6),"S936","")</f>
        <v/>
      </c>
      <c r="B937" t="str">
        <f>IF(AND(FORSIDE!$B$8&gt;=9,FORSIDE!$F$8&gt;=4,FORSIDE!$B$5&gt;=6),"1029 -&gt; 1030","")</f>
        <v/>
      </c>
      <c r="C937" t="str">
        <f>FORSIDE!$C$4</f>
        <v>S355, Stål / KFHUP 180x180x12.5</v>
      </c>
    </row>
    <row r="938" spans="1:3" x14ac:dyDescent="0.3">
      <c r="A938" t="str">
        <f>IF(AND(FORSIDE!$B$8&gt;=9,FORSIDE!$F$8&gt;=4,FORSIDE!$B$5&gt;=7),"S937","")</f>
        <v/>
      </c>
      <c r="B938" t="str">
        <f>IF(AND(FORSIDE!$B$8&gt;=9,FORSIDE!$F$8&gt;=4,FORSIDE!$B$5&gt;=7),"1030 -&gt; 1031","")</f>
        <v/>
      </c>
      <c r="C938" t="str">
        <f>FORSIDE!$C$4</f>
        <v>S355, Stål / KFHUP 180x180x12.5</v>
      </c>
    </row>
    <row r="939" spans="1:3" x14ac:dyDescent="0.3">
      <c r="A939" t="str">
        <f>IF(AND(FORSIDE!$B$8&gt;=9,FORSIDE!$F$8&gt;=4,FORSIDE!$B$5&gt;=8),"S938","")</f>
        <v/>
      </c>
      <c r="B939" t="str">
        <f>IF(AND(FORSIDE!$B$8&gt;=9,FORSIDE!$F$8&gt;=4,FORSIDE!$B$5&gt;=8),"1031 -&gt; 1032","")</f>
        <v/>
      </c>
      <c r="C939" t="str">
        <f>FORSIDE!$C$4</f>
        <v>S355, Stål / KFHUP 180x180x12.5</v>
      </c>
    </row>
    <row r="940" spans="1:3" x14ac:dyDescent="0.3">
      <c r="A940" t="str">
        <f>IF(AND(FORSIDE!$B$8&gt;=9,FORSIDE!$F$8&gt;=4,FORSIDE!$B$5&gt;=9),"S939","")</f>
        <v/>
      </c>
      <c r="B940" t="str">
        <f>IF(AND(FORSIDE!$B$8&gt;=9,FORSIDE!$F$8&gt;=4,FORSIDE!$B$5&gt;=9),"1032 -&gt; 1033","")</f>
        <v/>
      </c>
      <c r="C940" t="str">
        <f>FORSIDE!$C$4</f>
        <v>S355, Stål / KFHUP 180x180x12.5</v>
      </c>
    </row>
    <row r="941" spans="1:3" x14ac:dyDescent="0.3">
      <c r="A941" t="str">
        <f>IF(AND(FORSIDE!$B$8&gt;=9,FORSIDE!$F$8&gt;=4,FORSIDE!$B$5&gt;=10),"S940","")</f>
        <v/>
      </c>
      <c r="B941" t="str">
        <f>IF(AND(FORSIDE!$B$8&gt;=9,FORSIDE!$F$8&gt;=4,FORSIDE!$B$5&gt;=10),"1033 -&gt; 1034","")</f>
        <v/>
      </c>
      <c r="C941" t="str">
        <f>FORSIDE!$C$4</f>
        <v>S355, Stål / KFHUP 180x180x12.5</v>
      </c>
    </row>
    <row r="942" spans="1:3" x14ac:dyDescent="0.3">
      <c r="A942" t="str">
        <f>IF(AND(FORSIDE!$B$8&gt;=10,FORSIDE!$F$8&gt;=4,FORSIDE!$B$5&gt;=1),"S941","")</f>
        <v/>
      </c>
      <c r="B942" t="str">
        <f>IF(AND(FORSIDE!$B$8&gt;=10,FORSIDE!$F$8&gt;=4,FORSIDE!$B$5&gt;=1),"1035 -&gt; 1036","")</f>
        <v/>
      </c>
      <c r="C942" t="str">
        <f>FORSIDE!$C$4</f>
        <v>S355, Stål / KFHUP 180x180x12.5</v>
      </c>
    </row>
    <row r="943" spans="1:3" x14ac:dyDescent="0.3">
      <c r="A943" t="str">
        <f>IF(AND(FORSIDE!$B$8&gt;=10,FORSIDE!$F$8&gt;=4,FORSIDE!$B$5&gt;=2),"S942","")</f>
        <v/>
      </c>
      <c r="B943" t="str">
        <f>IF(AND(FORSIDE!$B$8&gt;=10,FORSIDE!$F$8&gt;=4,FORSIDE!$B$5&gt;=2),"1036 -&gt; 1037","")</f>
        <v/>
      </c>
      <c r="C943" t="str">
        <f>FORSIDE!$C$4</f>
        <v>S355, Stål / KFHUP 180x180x12.5</v>
      </c>
    </row>
    <row r="944" spans="1:3" x14ac:dyDescent="0.3">
      <c r="A944" t="str">
        <f>IF(AND(FORSIDE!$B$8&gt;=10,FORSIDE!$F$8&gt;=4,FORSIDE!$B$5&gt;=3),"S943","")</f>
        <v/>
      </c>
      <c r="B944" t="str">
        <f>IF(AND(FORSIDE!$B$8&gt;=10,FORSIDE!$F$8&gt;=4,FORSIDE!$B$5&gt;=3),"1037 -&gt; 1038","")</f>
        <v/>
      </c>
      <c r="C944" t="str">
        <f>FORSIDE!$C$4</f>
        <v>S355, Stål / KFHUP 180x180x12.5</v>
      </c>
    </row>
    <row r="945" spans="1:3" x14ac:dyDescent="0.3">
      <c r="A945" t="str">
        <f>IF(AND(FORSIDE!$B$8&gt;=10,FORSIDE!$F$8&gt;=4,FORSIDE!$B$5&gt;=4),"S944","")</f>
        <v/>
      </c>
      <c r="B945" t="str">
        <f>IF(AND(FORSIDE!$B$8&gt;=10,FORSIDE!$F$8&gt;=4,FORSIDE!$B$5&gt;=4),"1038 -&gt; 1039","")</f>
        <v/>
      </c>
      <c r="C945" t="str">
        <f>FORSIDE!$C$4</f>
        <v>S355, Stål / KFHUP 180x180x12.5</v>
      </c>
    </row>
    <row r="946" spans="1:3" x14ac:dyDescent="0.3">
      <c r="A946" t="str">
        <f>IF(AND(FORSIDE!$B$8&gt;=10,FORSIDE!$F$8&gt;=4,FORSIDE!$B$5&gt;=5),"S945","")</f>
        <v/>
      </c>
      <c r="B946" t="str">
        <f>IF(AND(FORSIDE!$B$8&gt;=10,FORSIDE!$F$8&gt;=4,FORSIDE!$B$5&gt;=5),"1039 -&gt; 1040","")</f>
        <v/>
      </c>
      <c r="C946" t="str">
        <f>FORSIDE!$C$4</f>
        <v>S355, Stål / KFHUP 180x180x12.5</v>
      </c>
    </row>
    <row r="947" spans="1:3" x14ac:dyDescent="0.3">
      <c r="A947" t="str">
        <f>IF(AND(FORSIDE!$B$8&gt;=10,FORSIDE!$F$8&gt;=4,FORSIDE!$B$5&gt;=6),"S946","")</f>
        <v/>
      </c>
      <c r="B947" t="str">
        <f>IF(AND(FORSIDE!$B$8&gt;=10,FORSIDE!$F$8&gt;=4,FORSIDE!$B$5&gt;=6),"1040 -&gt; 1041","")</f>
        <v/>
      </c>
      <c r="C947" t="str">
        <f>FORSIDE!$C$4</f>
        <v>S355, Stål / KFHUP 180x180x12.5</v>
      </c>
    </row>
    <row r="948" spans="1:3" x14ac:dyDescent="0.3">
      <c r="A948" t="str">
        <f>IF(AND(FORSIDE!$B$8&gt;=10,FORSIDE!$F$8&gt;=4,FORSIDE!$B$5&gt;=7),"S947","")</f>
        <v/>
      </c>
      <c r="B948" t="str">
        <f>IF(AND(FORSIDE!$B$8&gt;=10,FORSIDE!$F$8&gt;=4,FORSIDE!$B$5&gt;=7),"1041 -&gt; 1042","")</f>
        <v/>
      </c>
      <c r="C948" t="str">
        <f>FORSIDE!$C$4</f>
        <v>S355, Stål / KFHUP 180x180x12.5</v>
      </c>
    </row>
    <row r="949" spans="1:3" x14ac:dyDescent="0.3">
      <c r="A949" t="str">
        <f>IF(AND(FORSIDE!$B$8&gt;=10,FORSIDE!$F$8&gt;=4,FORSIDE!$B$5&gt;=8),"S948","")</f>
        <v/>
      </c>
      <c r="B949" t="str">
        <f>IF(AND(FORSIDE!$B$8&gt;=10,FORSIDE!$F$8&gt;=4,FORSIDE!$B$5&gt;=8),"1042 -&gt; 1043","")</f>
        <v/>
      </c>
      <c r="C949" t="str">
        <f>FORSIDE!$C$4</f>
        <v>S355, Stål / KFHUP 180x180x12.5</v>
      </c>
    </row>
    <row r="950" spans="1:3" x14ac:dyDescent="0.3">
      <c r="A950" t="str">
        <f>IF(AND(FORSIDE!$B$8&gt;=10,FORSIDE!$F$8&gt;=4,FORSIDE!$B$5&gt;=9),"S949","")</f>
        <v/>
      </c>
      <c r="B950" t="str">
        <f>IF(AND(FORSIDE!$B$8&gt;=10,FORSIDE!$F$8&gt;=4,FORSIDE!$B$5&gt;=9),"1043 -&gt; 1044","")</f>
        <v/>
      </c>
      <c r="C950" t="str">
        <f>FORSIDE!$C$4</f>
        <v>S355, Stål / KFHUP 180x180x12.5</v>
      </c>
    </row>
    <row r="951" spans="1:3" x14ac:dyDescent="0.3">
      <c r="A951" t="str">
        <f>IF(AND(FORSIDE!$B$8&gt;=10,FORSIDE!$F$8&gt;=4,FORSIDE!$B$5&gt;=10),"S950","")</f>
        <v/>
      </c>
      <c r="B951" t="str">
        <f>IF(AND(FORSIDE!$B$8&gt;=10,FORSIDE!$F$8&gt;=4,FORSIDE!$B$5&gt;=10),"1044 -&gt; 1045","")</f>
        <v/>
      </c>
      <c r="C951" t="str">
        <f>FORSIDE!$C$4</f>
        <v>S355, Stål / KFHUP 180x180x12.5</v>
      </c>
    </row>
    <row r="952" spans="1:3" x14ac:dyDescent="0.3">
      <c r="A952" t="str">
        <f>IF(AND(FORSIDE!$B$8&gt;=11,FORSIDE!$F$8&gt;=4,FORSIDE!$B$5&gt;=1),"S951","")</f>
        <v/>
      </c>
      <c r="B952" t="str">
        <f>IF(AND(FORSIDE!$B$8&gt;=11,FORSIDE!$F$8&gt;=4,FORSIDE!$B$5&gt;=1),"1046 -&gt; 1047","")</f>
        <v/>
      </c>
      <c r="C952" t="str">
        <f>FORSIDE!$C$4</f>
        <v>S355, Stål / KFHUP 180x180x12.5</v>
      </c>
    </row>
    <row r="953" spans="1:3" x14ac:dyDescent="0.3">
      <c r="A953" t="str">
        <f>IF(AND(FORSIDE!$B$8&gt;=11,FORSIDE!$F$8&gt;=4,FORSIDE!$B$5&gt;=2),"S952","")</f>
        <v/>
      </c>
      <c r="B953" t="str">
        <f>IF(AND(FORSIDE!$B$8&gt;=11,FORSIDE!$F$8&gt;=4,FORSIDE!$B$5&gt;=2),"1047 -&gt; 1048","")</f>
        <v/>
      </c>
      <c r="C953" t="str">
        <f>FORSIDE!$C$4</f>
        <v>S355, Stål / KFHUP 180x180x12.5</v>
      </c>
    </row>
    <row r="954" spans="1:3" x14ac:dyDescent="0.3">
      <c r="A954" t="str">
        <f>IF(AND(FORSIDE!$B$8&gt;=11,FORSIDE!$F$8&gt;=4,FORSIDE!$B$5&gt;=3),"S953","")</f>
        <v/>
      </c>
      <c r="B954" t="str">
        <f>IF(AND(FORSIDE!$B$8&gt;=11,FORSIDE!$F$8&gt;=4,FORSIDE!$B$5&gt;=3),"1048 -&gt; 1049","")</f>
        <v/>
      </c>
      <c r="C954" t="str">
        <f>FORSIDE!$C$4</f>
        <v>S355, Stål / KFHUP 180x180x12.5</v>
      </c>
    </row>
    <row r="955" spans="1:3" x14ac:dyDescent="0.3">
      <c r="A955" t="str">
        <f>IF(AND(FORSIDE!$B$8&gt;=11,FORSIDE!$F$8&gt;=4,FORSIDE!$B$5&gt;=4),"S954","")</f>
        <v/>
      </c>
      <c r="B955" t="str">
        <f>IF(AND(FORSIDE!$B$8&gt;=11,FORSIDE!$F$8&gt;=4,FORSIDE!$B$5&gt;=4),"1049 -&gt; 1050","")</f>
        <v/>
      </c>
      <c r="C955" t="str">
        <f>FORSIDE!$C$4</f>
        <v>S355, Stål / KFHUP 180x180x12.5</v>
      </c>
    </row>
    <row r="956" spans="1:3" x14ac:dyDescent="0.3">
      <c r="A956" t="str">
        <f>IF(AND(FORSIDE!$B$8&gt;=11,FORSIDE!$F$8&gt;=4,FORSIDE!$B$5&gt;=5),"S955","")</f>
        <v/>
      </c>
      <c r="B956" t="str">
        <f>IF(AND(FORSIDE!$B$8&gt;=11,FORSIDE!$F$8&gt;=4,FORSIDE!$B$5&gt;=5),"1050 -&gt; 1051","")</f>
        <v/>
      </c>
      <c r="C956" t="str">
        <f>FORSIDE!$C$4</f>
        <v>S355, Stål / KFHUP 180x180x12.5</v>
      </c>
    </row>
    <row r="957" spans="1:3" x14ac:dyDescent="0.3">
      <c r="A957" t="str">
        <f>IF(AND(FORSIDE!$B$8&gt;=11,FORSIDE!$F$8&gt;=4,FORSIDE!$B$5&gt;=6),"S956","")</f>
        <v/>
      </c>
      <c r="B957" t="str">
        <f>IF(AND(FORSIDE!$B$8&gt;=11,FORSIDE!$F$8&gt;=4,FORSIDE!$B$5&gt;=6),"1051 -&gt; 1052","")</f>
        <v/>
      </c>
      <c r="C957" t="str">
        <f>FORSIDE!$C$4</f>
        <v>S355, Stål / KFHUP 180x180x12.5</v>
      </c>
    </row>
    <row r="958" spans="1:3" x14ac:dyDescent="0.3">
      <c r="A958" t="str">
        <f>IF(AND(FORSIDE!$B$8&gt;=11,FORSIDE!$F$8&gt;=4,FORSIDE!$B$5&gt;=7),"S957","")</f>
        <v/>
      </c>
      <c r="B958" t="str">
        <f>IF(AND(FORSIDE!$B$8&gt;=11,FORSIDE!$F$8&gt;=4,FORSIDE!$B$5&gt;=7),"1052 -&gt; 1053","")</f>
        <v/>
      </c>
      <c r="C958" t="str">
        <f>FORSIDE!$C$4</f>
        <v>S355, Stål / KFHUP 180x180x12.5</v>
      </c>
    </row>
    <row r="959" spans="1:3" x14ac:dyDescent="0.3">
      <c r="A959" t="str">
        <f>IF(AND(FORSIDE!$B$8&gt;=11,FORSIDE!$F$8&gt;=4,FORSIDE!$B$5&gt;=8),"S958","")</f>
        <v/>
      </c>
      <c r="B959" t="str">
        <f>IF(AND(FORSIDE!$B$8&gt;=11,FORSIDE!$F$8&gt;=4,FORSIDE!$B$5&gt;=8),"1053 -&gt; 1054","")</f>
        <v/>
      </c>
      <c r="C959" t="str">
        <f>FORSIDE!$C$4</f>
        <v>S355, Stål / KFHUP 180x180x12.5</v>
      </c>
    </row>
    <row r="960" spans="1:3" x14ac:dyDescent="0.3">
      <c r="A960" t="str">
        <f>IF(AND(FORSIDE!$B$8&gt;=11,FORSIDE!$F$8&gt;=4,FORSIDE!$B$5&gt;=9),"S959","")</f>
        <v/>
      </c>
      <c r="B960" t="str">
        <f>IF(AND(FORSIDE!$B$8&gt;=11,FORSIDE!$F$8&gt;=4,FORSIDE!$B$5&gt;=9),"1054 -&gt; 1055","")</f>
        <v/>
      </c>
      <c r="C960" t="str">
        <f>FORSIDE!$C$4</f>
        <v>S355, Stål / KFHUP 180x180x12.5</v>
      </c>
    </row>
    <row r="961" spans="1:3" x14ac:dyDescent="0.3">
      <c r="A961" t="str">
        <f>IF(AND(FORSIDE!$B$8&gt;=11,FORSIDE!$F$8&gt;=4,FORSIDE!$B$5&gt;=10),"S960","")</f>
        <v/>
      </c>
      <c r="B961" t="str">
        <f>IF(AND(FORSIDE!$B$8&gt;=11,FORSIDE!$F$8&gt;=4,FORSIDE!$B$5&gt;=10),"1055 -&gt; 1056","")</f>
        <v/>
      </c>
      <c r="C961" t="str">
        <f>FORSIDE!$C$4</f>
        <v>S355, Stål / KFHUP 180x180x12.5</v>
      </c>
    </row>
    <row r="962" spans="1:3" x14ac:dyDescent="0.3">
      <c r="A962" t="str">
        <f>IF(AND(FORSIDE!$B$8&gt;=12,FORSIDE!$F$8&gt;=4,FORSIDE!$B$5&gt;=1),"S961","")</f>
        <v/>
      </c>
      <c r="B962" t="str">
        <f>IF(AND(FORSIDE!$B$8&gt;=12,FORSIDE!$F$8&gt;=4,FORSIDE!$B$5&gt;=1),"1057 -&gt; 1058","")</f>
        <v/>
      </c>
      <c r="C962" t="str">
        <f>FORSIDE!$C$4</f>
        <v>S355, Stål / KFHUP 180x180x12.5</v>
      </c>
    </row>
    <row r="963" spans="1:3" x14ac:dyDescent="0.3">
      <c r="A963" t="str">
        <f>IF(AND(FORSIDE!$B$8&gt;=12,FORSIDE!$F$8&gt;=4,FORSIDE!$B$5&gt;=2),"S962","")</f>
        <v/>
      </c>
      <c r="B963" t="str">
        <f>IF(AND(FORSIDE!$B$8&gt;=12,FORSIDE!$F$8&gt;=4,FORSIDE!$B$5&gt;=2),"1058 -&gt; 1059","")</f>
        <v/>
      </c>
      <c r="C963" t="str">
        <f>FORSIDE!$C$4</f>
        <v>S355, Stål / KFHUP 180x180x12.5</v>
      </c>
    </row>
    <row r="964" spans="1:3" x14ac:dyDescent="0.3">
      <c r="A964" t="str">
        <f>IF(AND(FORSIDE!$B$8&gt;=12,FORSIDE!$F$8&gt;=4,FORSIDE!$B$5&gt;=3),"S963","")</f>
        <v/>
      </c>
      <c r="B964" t="str">
        <f>IF(AND(FORSIDE!$B$8&gt;=12,FORSIDE!$F$8&gt;=4,FORSIDE!$B$5&gt;=3),"1059 -&gt; 1060","")</f>
        <v/>
      </c>
      <c r="C964" t="str">
        <f>FORSIDE!$C$4</f>
        <v>S355, Stål / KFHUP 180x180x12.5</v>
      </c>
    </row>
    <row r="965" spans="1:3" x14ac:dyDescent="0.3">
      <c r="A965" t="str">
        <f>IF(AND(FORSIDE!$B$8&gt;=12,FORSIDE!$F$8&gt;=4,FORSIDE!$B$5&gt;=4),"S964","")</f>
        <v/>
      </c>
      <c r="B965" t="str">
        <f>IF(AND(FORSIDE!$B$8&gt;=12,FORSIDE!$F$8&gt;=4,FORSIDE!$B$5&gt;=4),"1060 -&gt; 1061","")</f>
        <v/>
      </c>
      <c r="C965" t="str">
        <f>FORSIDE!$C$4</f>
        <v>S355, Stål / KFHUP 180x180x12.5</v>
      </c>
    </row>
    <row r="966" spans="1:3" x14ac:dyDescent="0.3">
      <c r="A966" t="str">
        <f>IF(AND(FORSIDE!$B$8&gt;=12,FORSIDE!$F$8&gt;=4,FORSIDE!$B$5&gt;=5),"S965","")</f>
        <v/>
      </c>
      <c r="B966" t="str">
        <f>IF(AND(FORSIDE!$B$8&gt;=12,FORSIDE!$F$8&gt;=4,FORSIDE!$B$5&gt;=5),"1061 -&gt; 1062","")</f>
        <v/>
      </c>
      <c r="C966" t="str">
        <f>FORSIDE!$C$4</f>
        <v>S355, Stål / KFHUP 180x180x12.5</v>
      </c>
    </row>
    <row r="967" spans="1:3" x14ac:dyDescent="0.3">
      <c r="A967" t="str">
        <f>IF(AND(FORSIDE!$B$8&gt;=12,FORSIDE!$F$8&gt;=4,FORSIDE!$B$5&gt;=6),"S966","")</f>
        <v/>
      </c>
      <c r="B967" t="str">
        <f>IF(AND(FORSIDE!$B$8&gt;=12,FORSIDE!$F$8&gt;=4,FORSIDE!$B$5&gt;=6),"1062 -&gt; 1063","")</f>
        <v/>
      </c>
      <c r="C967" t="str">
        <f>FORSIDE!$C$4</f>
        <v>S355, Stål / KFHUP 180x180x12.5</v>
      </c>
    </row>
    <row r="968" spans="1:3" x14ac:dyDescent="0.3">
      <c r="A968" t="str">
        <f>IF(AND(FORSIDE!$B$8&gt;=12,FORSIDE!$F$8&gt;=4,FORSIDE!$B$5&gt;=7),"S967","")</f>
        <v/>
      </c>
      <c r="B968" t="str">
        <f>IF(AND(FORSIDE!$B$8&gt;=12,FORSIDE!$F$8&gt;=4,FORSIDE!$B$5&gt;=7),"1063 -&gt; 1064","")</f>
        <v/>
      </c>
      <c r="C968" t="str">
        <f>FORSIDE!$C$4</f>
        <v>S355, Stål / KFHUP 180x180x12.5</v>
      </c>
    </row>
    <row r="969" spans="1:3" x14ac:dyDescent="0.3">
      <c r="A969" t="str">
        <f>IF(AND(FORSIDE!$B$8&gt;=12,FORSIDE!$F$8&gt;=4,FORSIDE!$B$5&gt;=8),"S968","")</f>
        <v/>
      </c>
      <c r="B969" t="str">
        <f>IF(AND(FORSIDE!$B$8&gt;=12,FORSIDE!$F$8&gt;=4,FORSIDE!$B$5&gt;=8),"1064 -&gt; 1065","")</f>
        <v/>
      </c>
      <c r="C969" t="str">
        <f>FORSIDE!$C$4</f>
        <v>S355, Stål / KFHUP 180x180x12.5</v>
      </c>
    </row>
    <row r="970" spans="1:3" x14ac:dyDescent="0.3">
      <c r="A970" t="str">
        <f>IF(AND(FORSIDE!$B$8&gt;=12,FORSIDE!$F$8&gt;=4,FORSIDE!$B$5&gt;=9),"S969","")</f>
        <v/>
      </c>
      <c r="B970" t="str">
        <f>IF(AND(FORSIDE!$B$8&gt;=12,FORSIDE!$F$8&gt;=4,FORSIDE!$B$5&gt;=9),"1065 -&gt; 1066","")</f>
        <v/>
      </c>
      <c r="C970" t="str">
        <f>FORSIDE!$C$4</f>
        <v>S355, Stål / KFHUP 180x180x12.5</v>
      </c>
    </row>
    <row r="971" spans="1:3" x14ac:dyDescent="0.3">
      <c r="A971" t="str">
        <f>IF(AND(FORSIDE!$B$8&gt;=12,FORSIDE!$F$8&gt;=4,FORSIDE!$B$5&gt;=10),"S970","")</f>
        <v/>
      </c>
      <c r="B971" t="str">
        <f>IF(AND(FORSIDE!$B$8&gt;=12,FORSIDE!$F$8&gt;=4,FORSIDE!$B$5&gt;=10),"1066 -&gt; 1067","")</f>
        <v/>
      </c>
      <c r="C971" t="str">
        <f>FORSIDE!$C$4</f>
        <v>S355, Stål / KFHUP 180x180x12.5</v>
      </c>
    </row>
    <row r="972" spans="1:3" x14ac:dyDescent="0.3">
      <c r="A972" t="str">
        <f>IF(AND(FORSIDE!$B$8&gt;=13,FORSIDE!$F$8&gt;=4,FORSIDE!$B$5&gt;=1),"S971","")</f>
        <v/>
      </c>
      <c r="B972" t="str">
        <f>IF(AND(FORSIDE!$B$8&gt;=13,FORSIDE!$F$8&gt;=4,FORSIDE!$B$5&gt;=1),"1068 -&gt; 1069","")</f>
        <v/>
      </c>
      <c r="C972" t="str">
        <f>FORSIDE!$C$4</f>
        <v>S355, Stål / KFHUP 180x180x12.5</v>
      </c>
    </row>
    <row r="973" spans="1:3" x14ac:dyDescent="0.3">
      <c r="A973" t="str">
        <f>IF(AND(FORSIDE!$B$8&gt;=13,FORSIDE!$F$8&gt;=4,FORSIDE!$B$5&gt;=2),"S972","")</f>
        <v/>
      </c>
      <c r="B973" t="str">
        <f>IF(AND(FORSIDE!$B$8&gt;=13,FORSIDE!$F$8&gt;=4,FORSIDE!$B$5&gt;=2),"1069 -&gt; 1070","")</f>
        <v/>
      </c>
      <c r="C973" t="str">
        <f>FORSIDE!$C$4</f>
        <v>S355, Stål / KFHUP 180x180x12.5</v>
      </c>
    </row>
    <row r="974" spans="1:3" x14ac:dyDescent="0.3">
      <c r="A974" t="str">
        <f>IF(AND(FORSIDE!$B$8&gt;=13,FORSIDE!$F$8&gt;=4,FORSIDE!$B$5&gt;=3),"S973","")</f>
        <v/>
      </c>
      <c r="B974" t="str">
        <f>IF(AND(FORSIDE!$B$8&gt;=13,FORSIDE!$F$8&gt;=4,FORSIDE!$B$5&gt;=3),"1070 -&gt; 1071","")</f>
        <v/>
      </c>
      <c r="C974" t="str">
        <f>FORSIDE!$C$4</f>
        <v>S355, Stål / KFHUP 180x180x12.5</v>
      </c>
    </row>
    <row r="975" spans="1:3" x14ac:dyDescent="0.3">
      <c r="A975" t="str">
        <f>IF(AND(FORSIDE!$B$8&gt;=13,FORSIDE!$F$8&gt;=4,FORSIDE!$B$5&gt;=4),"S974","")</f>
        <v/>
      </c>
      <c r="B975" t="str">
        <f>IF(AND(FORSIDE!$B$8&gt;=13,FORSIDE!$F$8&gt;=4,FORSIDE!$B$5&gt;=4),"1071 -&gt; 1072","")</f>
        <v/>
      </c>
      <c r="C975" t="str">
        <f>FORSIDE!$C$4</f>
        <v>S355, Stål / KFHUP 180x180x12.5</v>
      </c>
    </row>
    <row r="976" spans="1:3" x14ac:dyDescent="0.3">
      <c r="A976" t="str">
        <f>IF(AND(FORSIDE!$B$8&gt;=13,FORSIDE!$F$8&gt;=4,FORSIDE!$B$5&gt;=5),"S975","")</f>
        <v/>
      </c>
      <c r="B976" t="str">
        <f>IF(AND(FORSIDE!$B$8&gt;=13,FORSIDE!$F$8&gt;=4,FORSIDE!$B$5&gt;=5),"1072 -&gt; 1073","")</f>
        <v/>
      </c>
      <c r="C976" t="str">
        <f>FORSIDE!$C$4</f>
        <v>S355, Stål / KFHUP 180x180x12.5</v>
      </c>
    </row>
    <row r="977" spans="1:3" x14ac:dyDescent="0.3">
      <c r="A977" t="str">
        <f>IF(AND(FORSIDE!$B$8&gt;=13,FORSIDE!$F$8&gt;=4,FORSIDE!$B$5&gt;=6),"S976","")</f>
        <v/>
      </c>
      <c r="B977" t="str">
        <f>IF(AND(FORSIDE!$B$8&gt;=13,FORSIDE!$F$8&gt;=4,FORSIDE!$B$5&gt;=6),"1073 -&gt; 1074","")</f>
        <v/>
      </c>
      <c r="C977" t="str">
        <f>FORSIDE!$C$4</f>
        <v>S355, Stål / KFHUP 180x180x12.5</v>
      </c>
    </row>
    <row r="978" spans="1:3" x14ac:dyDescent="0.3">
      <c r="A978" t="str">
        <f>IF(AND(FORSIDE!$B$8&gt;=13,FORSIDE!$F$8&gt;=4,FORSIDE!$B$5&gt;=7),"S977","")</f>
        <v/>
      </c>
      <c r="B978" t="str">
        <f>IF(AND(FORSIDE!$B$8&gt;=13,FORSIDE!$F$8&gt;=4,FORSIDE!$B$5&gt;=7),"1074 -&gt; 1075","")</f>
        <v/>
      </c>
      <c r="C978" t="str">
        <f>FORSIDE!$C$4</f>
        <v>S355, Stål / KFHUP 180x180x12.5</v>
      </c>
    </row>
    <row r="979" spans="1:3" x14ac:dyDescent="0.3">
      <c r="A979" t="str">
        <f>IF(AND(FORSIDE!$B$8&gt;=13,FORSIDE!$F$8&gt;=4,FORSIDE!$B$5&gt;=8),"S978","")</f>
        <v/>
      </c>
      <c r="B979" t="str">
        <f>IF(AND(FORSIDE!$B$8&gt;=13,FORSIDE!$F$8&gt;=4,FORSIDE!$B$5&gt;=8),"1075 -&gt; 1076","")</f>
        <v/>
      </c>
      <c r="C979" t="str">
        <f>FORSIDE!$C$4</f>
        <v>S355, Stål / KFHUP 180x180x12.5</v>
      </c>
    </row>
    <row r="980" spans="1:3" x14ac:dyDescent="0.3">
      <c r="A980" t="str">
        <f>IF(AND(FORSIDE!$B$8&gt;=13,FORSIDE!$F$8&gt;=4,FORSIDE!$B$5&gt;=9),"S979","")</f>
        <v/>
      </c>
      <c r="B980" t="str">
        <f>IF(AND(FORSIDE!$B$8&gt;=13,FORSIDE!$F$8&gt;=4,FORSIDE!$B$5&gt;=9),"1076 -&gt; 1077","")</f>
        <v/>
      </c>
      <c r="C980" t="str">
        <f>FORSIDE!$C$4</f>
        <v>S355, Stål / KFHUP 180x180x12.5</v>
      </c>
    </row>
    <row r="981" spans="1:3" x14ac:dyDescent="0.3">
      <c r="A981" t="str">
        <f>IF(AND(FORSIDE!$B$8&gt;=13,FORSIDE!$F$8&gt;=4,FORSIDE!$B$5&gt;=10),"S980","")</f>
        <v/>
      </c>
      <c r="B981" t="str">
        <f>IF(AND(FORSIDE!$B$8&gt;=13,FORSIDE!$F$8&gt;=4,FORSIDE!$B$5&gt;=10),"1077 -&gt; 1078","")</f>
        <v/>
      </c>
      <c r="C981" t="str">
        <f>FORSIDE!$C$4</f>
        <v>S355, Stål / KFHUP 180x180x12.5</v>
      </c>
    </row>
    <row r="982" spans="1:3" x14ac:dyDescent="0.3">
      <c r="A982" t="str">
        <f>IF(AND(FORSIDE!$B$8&gt;=14,FORSIDE!$F$8&gt;=4,FORSIDE!$B$5&gt;=1),"S981","")</f>
        <v/>
      </c>
      <c r="B982" t="str">
        <f>IF(AND(FORSIDE!$B$8&gt;=14,FORSIDE!$F$8&gt;=4,FORSIDE!$B$5&gt;=1),"1079 -&gt; 1080","")</f>
        <v/>
      </c>
      <c r="C982" t="str">
        <f>FORSIDE!$C$4</f>
        <v>S355, Stål / KFHUP 180x180x12.5</v>
      </c>
    </row>
    <row r="983" spans="1:3" x14ac:dyDescent="0.3">
      <c r="A983" t="str">
        <f>IF(AND(FORSIDE!$B$8&gt;=14,FORSIDE!$F$8&gt;=4,FORSIDE!$B$5&gt;=2),"S982","")</f>
        <v/>
      </c>
      <c r="B983" t="str">
        <f>IF(AND(FORSIDE!$B$8&gt;=14,FORSIDE!$F$8&gt;=4,FORSIDE!$B$5&gt;=2),"1080 -&gt; 1081","")</f>
        <v/>
      </c>
      <c r="C983" t="str">
        <f>FORSIDE!$C$4</f>
        <v>S355, Stål / KFHUP 180x180x12.5</v>
      </c>
    </row>
    <row r="984" spans="1:3" x14ac:dyDescent="0.3">
      <c r="A984" t="str">
        <f>IF(AND(FORSIDE!$B$8&gt;=14,FORSIDE!$F$8&gt;=4,FORSIDE!$B$5&gt;=3),"S983","")</f>
        <v/>
      </c>
      <c r="B984" t="str">
        <f>IF(AND(FORSIDE!$B$8&gt;=14,FORSIDE!$F$8&gt;=4,FORSIDE!$B$5&gt;=3),"1081 -&gt; 1082","")</f>
        <v/>
      </c>
      <c r="C984" t="str">
        <f>FORSIDE!$C$4</f>
        <v>S355, Stål / KFHUP 180x180x12.5</v>
      </c>
    </row>
    <row r="985" spans="1:3" x14ac:dyDescent="0.3">
      <c r="A985" t="str">
        <f>IF(AND(FORSIDE!$B$8&gt;=14,FORSIDE!$F$8&gt;=4,FORSIDE!$B$5&gt;=4),"S984","")</f>
        <v/>
      </c>
      <c r="B985" t="str">
        <f>IF(AND(FORSIDE!$B$8&gt;=14,FORSIDE!$F$8&gt;=4,FORSIDE!$B$5&gt;=4),"1082 -&gt; 1083","")</f>
        <v/>
      </c>
      <c r="C985" t="str">
        <f>FORSIDE!$C$4</f>
        <v>S355, Stål / KFHUP 180x180x12.5</v>
      </c>
    </row>
    <row r="986" spans="1:3" x14ac:dyDescent="0.3">
      <c r="A986" t="str">
        <f>IF(AND(FORSIDE!$B$8&gt;=14,FORSIDE!$F$8&gt;=4,FORSIDE!$B$5&gt;=5),"S985","")</f>
        <v/>
      </c>
      <c r="B986" t="str">
        <f>IF(AND(FORSIDE!$B$8&gt;=14,FORSIDE!$F$8&gt;=4,FORSIDE!$B$5&gt;=5),"1083 -&gt; 1084","")</f>
        <v/>
      </c>
      <c r="C986" t="str">
        <f>FORSIDE!$C$4</f>
        <v>S355, Stål / KFHUP 180x180x12.5</v>
      </c>
    </row>
    <row r="987" spans="1:3" x14ac:dyDescent="0.3">
      <c r="A987" t="str">
        <f>IF(AND(FORSIDE!$B$8&gt;=14,FORSIDE!$F$8&gt;=4,FORSIDE!$B$5&gt;=6),"S986","")</f>
        <v/>
      </c>
      <c r="B987" t="str">
        <f>IF(AND(FORSIDE!$B$8&gt;=14,FORSIDE!$F$8&gt;=4,FORSIDE!$B$5&gt;=6),"1084 -&gt; 1085","")</f>
        <v/>
      </c>
      <c r="C987" t="str">
        <f>FORSIDE!$C$4</f>
        <v>S355, Stål / KFHUP 180x180x12.5</v>
      </c>
    </row>
    <row r="988" spans="1:3" x14ac:dyDescent="0.3">
      <c r="A988" t="str">
        <f>IF(AND(FORSIDE!$B$8&gt;=14,FORSIDE!$F$8&gt;=4,FORSIDE!$B$5&gt;=7),"S987","")</f>
        <v/>
      </c>
      <c r="B988" t="str">
        <f>IF(AND(FORSIDE!$B$8&gt;=14,FORSIDE!$F$8&gt;=4,FORSIDE!$B$5&gt;=7),"1085 -&gt; 1086","")</f>
        <v/>
      </c>
      <c r="C988" t="str">
        <f>FORSIDE!$C$4</f>
        <v>S355, Stål / KFHUP 180x180x12.5</v>
      </c>
    </row>
    <row r="989" spans="1:3" x14ac:dyDescent="0.3">
      <c r="A989" t="str">
        <f>IF(AND(FORSIDE!$B$8&gt;=14,FORSIDE!$F$8&gt;=4,FORSIDE!$B$5&gt;=8),"S988","")</f>
        <v/>
      </c>
      <c r="B989" t="str">
        <f>IF(AND(FORSIDE!$B$8&gt;=14,FORSIDE!$F$8&gt;=4,FORSIDE!$B$5&gt;=8),"1086 -&gt; 1087","")</f>
        <v/>
      </c>
      <c r="C989" t="str">
        <f>FORSIDE!$C$4</f>
        <v>S355, Stål / KFHUP 180x180x12.5</v>
      </c>
    </row>
    <row r="990" spans="1:3" x14ac:dyDescent="0.3">
      <c r="A990" t="str">
        <f>IF(AND(FORSIDE!$B$8&gt;=14,FORSIDE!$F$8&gt;=4,FORSIDE!$B$5&gt;=9),"S989","")</f>
        <v/>
      </c>
      <c r="B990" t="str">
        <f>IF(AND(FORSIDE!$B$8&gt;=14,FORSIDE!$F$8&gt;=4,FORSIDE!$B$5&gt;=9),"1087 -&gt; 1088","")</f>
        <v/>
      </c>
      <c r="C990" t="str">
        <f>FORSIDE!$C$4</f>
        <v>S355, Stål / KFHUP 180x180x12.5</v>
      </c>
    </row>
    <row r="991" spans="1:3" x14ac:dyDescent="0.3">
      <c r="A991" t="str">
        <f>IF(AND(FORSIDE!$B$8&gt;=14,FORSIDE!$F$8&gt;=4,FORSIDE!$B$5&gt;=10),"S990","")</f>
        <v/>
      </c>
      <c r="B991" t="str">
        <f>IF(AND(FORSIDE!$B$8&gt;=14,FORSIDE!$F$8&gt;=4,FORSIDE!$B$5&gt;=10),"1088 -&gt; 1089","")</f>
        <v/>
      </c>
      <c r="C991" t="str">
        <f>FORSIDE!$C$4</f>
        <v>S355, Stål / KFHUP 180x180x12.5</v>
      </c>
    </row>
    <row r="992" spans="1:3" x14ac:dyDescent="0.3">
      <c r="A992" t="str">
        <f>IF(AND(FORSIDE!$B$8&gt;=15,FORSIDE!$F$8&gt;=4,FORSIDE!$B$5&gt;=1),"S991","")</f>
        <v/>
      </c>
      <c r="B992" t="str">
        <f>IF(AND(FORSIDE!$B$8&gt;=15,FORSIDE!$F$8&gt;=4,FORSIDE!$B$5&gt;=1),"1090 -&gt; 1091","")</f>
        <v/>
      </c>
      <c r="C992" t="str">
        <f>FORSIDE!$C$4</f>
        <v>S355, Stål / KFHUP 180x180x12.5</v>
      </c>
    </row>
    <row r="993" spans="1:3" x14ac:dyDescent="0.3">
      <c r="A993" t="str">
        <f>IF(AND(FORSIDE!$B$8&gt;=15,FORSIDE!$F$8&gt;=4,FORSIDE!$B$5&gt;=2),"S992","")</f>
        <v/>
      </c>
      <c r="B993" t="str">
        <f>IF(AND(FORSIDE!$B$8&gt;=15,FORSIDE!$F$8&gt;=4,FORSIDE!$B$5&gt;=2),"1091 -&gt; 1092","")</f>
        <v/>
      </c>
      <c r="C993" t="str">
        <f>FORSIDE!$C$4</f>
        <v>S355, Stål / KFHUP 180x180x12.5</v>
      </c>
    </row>
    <row r="994" spans="1:3" x14ac:dyDescent="0.3">
      <c r="A994" t="str">
        <f>IF(AND(FORSIDE!$B$8&gt;=15,FORSIDE!$F$8&gt;=4,FORSIDE!$B$5&gt;=3),"S993","")</f>
        <v/>
      </c>
      <c r="B994" t="str">
        <f>IF(AND(FORSIDE!$B$8&gt;=15,FORSIDE!$F$8&gt;=4,FORSIDE!$B$5&gt;=3),"1092 -&gt; 1093","")</f>
        <v/>
      </c>
      <c r="C994" t="str">
        <f>FORSIDE!$C$4</f>
        <v>S355, Stål / KFHUP 180x180x12.5</v>
      </c>
    </row>
    <row r="995" spans="1:3" x14ac:dyDescent="0.3">
      <c r="A995" t="str">
        <f>IF(AND(FORSIDE!$B$8&gt;=15,FORSIDE!$F$8&gt;=4,FORSIDE!$B$5&gt;=4),"S994","")</f>
        <v/>
      </c>
      <c r="B995" t="str">
        <f>IF(AND(FORSIDE!$B$8&gt;=15,FORSIDE!$F$8&gt;=4,FORSIDE!$B$5&gt;=4),"1093 -&gt; 1094","")</f>
        <v/>
      </c>
      <c r="C995" t="str">
        <f>FORSIDE!$C$4</f>
        <v>S355, Stål / KFHUP 180x180x12.5</v>
      </c>
    </row>
    <row r="996" spans="1:3" x14ac:dyDescent="0.3">
      <c r="A996" t="str">
        <f>IF(AND(FORSIDE!$B$8&gt;=15,FORSIDE!$F$8&gt;=4,FORSIDE!$B$5&gt;=5),"S995","")</f>
        <v/>
      </c>
      <c r="B996" t="str">
        <f>IF(AND(FORSIDE!$B$8&gt;=15,FORSIDE!$F$8&gt;=4,FORSIDE!$B$5&gt;=5),"1094 -&gt; 1095","")</f>
        <v/>
      </c>
      <c r="C996" t="str">
        <f>FORSIDE!$C$4</f>
        <v>S355, Stål / KFHUP 180x180x12.5</v>
      </c>
    </row>
    <row r="997" spans="1:3" x14ac:dyDescent="0.3">
      <c r="A997" t="str">
        <f>IF(AND(FORSIDE!$B$8&gt;=15,FORSIDE!$F$8&gt;=4,FORSIDE!$B$5&gt;=6),"S996","")</f>
        <v/>
      </c>
      <c r="B997" t="str">
        <f>IF(AND(FORSIDE!$B$8&gt;=15,FORSIDE!$F$8&gt;=4,FORSIDE!$B$5&gt;=6),"1095 -&gt; 1096","")</f>
        <v/>
      </c>
      <c r="C997" t="str">
        <f>FORSIDE!$C$4</f>
        <v>S355, Stål / KFHUP 180x180x12.5</v>
      </c>
    </row>
    <row r="998" spans="1:3" x14ac:dyDescent="0.3">
      <c r="A998" t="str">
        <f>IF(AND(FORSIDE!$B$8&gt;=15,FORSIDE!$F$8&gt;=4,FORSIDE!$B$5&gt;=7),"S997","")</f>
        <v/>
      </c>
      <c r="B998" t="str">
        <f>IF(AND(FORSIDE!$B$8&gt;=15,FORSIDE!$F$8&gt;=4,FORSIDE!$B$5&gt;=7),"1096 -&gt; 1097","")</f>
        <v/>
      </c>
      <c r="C998" t="str">
        <f>FORSIDE!$C$4</f>
        <v>S355, Stål / KFHUP 180x180x12.5</v>
      </c>
    </row>
    <row r="999" spans="1:3" x14ac:dyDescent="0.3">
      <c r="A999" t="str">
        <f>IF(AND(FORSIDE!$B$8&gt;=15,FORSIDE!$F$8&gt;=4,FORSIDE!$B$5&gt;=8),"S998","")</f>
        <v/>
      </c>
      <c r="B999" t="str">
        <f>IF(AND(FORSIDE!$B$8&gt;=15,FORSIDE!$F$8&gt;=4,FORSIDE!$B$5&gt;=8),"1097 -&gt; 1098","")</f>
        <v/>
      </c>
      <c r="C999" t="str">
        <f>FORSIDE!$C$4</f>
        <v>S355, Stål / KFHUP 180x180x12.5</v>
      </c>
    </row>
    <row r="1000" spans="1:3" x14ac:dyDescent="0.3">
      <c r="A1000" t="str">
        <f>IF(AND(FORSIDE!$B$8&gt;=15,FORSIDE!$F$8&gt;=4,FORSIDE!$B$5&gt;=9),"S999","")</f>
        <v/>
      </c>
      <c r="B1000" t="str">
        <f>IF(AND(FORSIDE!$B$8&gt;=15,FORSIDE!$F$8&gt;=4,FORSIDE!$B$5&gt;=9),"1098 -&gt; 1099","")</f>
        <v/>
      </c>
      <c r="C1000" t="str">
        <f>FORSIDE!$C$4</f>
        <v>S355, Stål / KFHUP 180x180x12.5</v>
      </c>
    </row>
    <row r="1001" spans="1:3" x14ac:dyDescent="0.3">
      <c r="A1001" t="str">
        <f>IF(AND(FORSIDE!$B$8&gt;=15,FORSIDE!$F$8&gt;=4,FORSIDE!$B$5&gt;=10),"S1000","")</f>
        <v/>
      </c>
      <c r="B1001" t="str">
        <f>IF(AND(FORSIDE!$B$8&gt;=15,FORSIDE!$F$8&gt;=4,FORSIDE!$B$5&gt;=10),"1099 -&gt; 1100","")</f>
        <v/>
      </c>
      <c r="C1001" t="str">
        <f>FORSIDE!$C$4</f>
        <v>S355, Stål / KFHUP 180x180x12.5</v>
      </c>
    </row>
    <row r="1002" spans="1:3" x14ac:dyDescent="0.3">
      <c r="A1002" t="str">
        <f>IF(AND(FORSIDE!$B$8&gt;=16,FORSIDE!$F$8&gt;=4,FORSIDE!$B$5&gt;=1),"S1001","")</f>
        <v/>
      </c>
      <c r="B1002" t="str">
        <f>IF(AND(FORSIDE!$B$8&gt;=16,FORSIDE!$F$8&gt;=4,FORSIDE!$B$5&gt;=1),"1101 -&gt; 1102","")</f>
        <v/>
      </c>
      <c r="C1002" t="str">
        <f>FORSIDE!$C$4</f>
        <v>S355, Stål / KFHUP 180x180x12.5</v>
      </c>
    </row>
    <row r="1003" spans="1:3" x14ac:dyDescent="0.3">
      <c r="A1003" t="str">
        <f>IF(AND(FORSIDE!$B$8&gt;=16,FORSIDE!$F$8&gt;=4,FORSIDE!$B$5&gt;=2),"S1002","")</f>
        <v/>
      </c>
      <c r="B1003" t="str">
        <f>IF(AND(FORSIDE!$B$8&gt;=16,FORSIDE!$F$8&gt;=4,FORSIDE!$B$5&gt;=2),"1102 -&gt; 1103","")</f>
        <v/>
      </c>
      <c r="C1003" t="str">
        <f>FORSIDE!$C$4</f>
        <v>S355, Stål / KFHUP 180x180x12.5</v>
      </c>
    </row>
    <row r="1004" spans="1:3" x14ac:dyDescent="0.3">
      <c r="A1004" t="str">
        <f>IF(AND(FORSIDE!$B$8&gt;=16,FORSIDE!$F$8&gt;=4,FORSIDE!$B$5&gt;=3),"S1003","")</f>
        <v/>
      </c>
      <c r="B1004" t="str">
        <f>IF(AND(FORSIDE!$B$8&gt;=16,FORSIDE!$F$8&gt;=4,FORSIDE!$B$5&gt;=3),"1103 -&gt; 1104","")</f>
        <v/>
      </c>
      <c r="C1004" t="str">
        <f>FORSIDE!$C$4</f>
        <v>S355, Stål / KFHUP 180x180x12.5</v>
      </c>
    </row>
    <row r="1005" spans="1:3" x14ac:dyDescent="0.3">
      <c r="A1005" t="str">
        <f>IF(AND(FORSIDE!$B$8&gt;=16,FORSIDE!$F$8&gt;=4,FORSIDE!$B$5&gt;=4),"S1004","")</f>
        <v/>
      </c>
      <c r="B1005" t="str">
        <f>IF(AND(FORSIDE!$B$8&gt;=16,FORSIDE!$F$8&gt;=4,FORSIDE!$B$5&gt;=4),"1104 -&gt; 1105","")</f>
        <v/>
      </c>
      <c r="C1005" t="str">
        <f>FORSIDE!$C$4</f>
        <v>S355, Stål / KFHUP 180x180x12.5</v>
      </c>
    </row>
    <row r="1006" spans="1:3" x14ac:dyDescent="0.3">
      <c r="A1006" t="str">
        <f>IF(AND(FORSIDE!$B$8&gt;=16,FORSIDE!$F$8&gt;=4,FORSIDE!$B$5&gt;=5),"S1005","")</f>
        <v/>
      </c>
      <c r="B1006" t="str">
        <f>IF(AND(FORSIDE!$B$8&gt;=16,FORSIDE!$F$8&gt;=4,FORSIDE!$B$5&gt;=5),"1105 -&gt; 1106","")</f>
        <v/>
      </c>
      <c r="C1006" t="str">
        <f>FORSIDE!$C$4</f>
        <v>S355, Stål / KFHUP 180x180x12.5</v>
      </c>
    </row>
    <row r="1007" spans="1:3" x14ac:dyDescent="0.3">
      <c r="A1007" t="str">
        <f>IF(AND(FORSIDE!$B$8&gt;=16,FORSIDE!$F$8&gt;=4,FORSIDE!$B$5&gt;=6),"S1006","")</f>
        <v/>
      </c>
      <c r="B1007" t="str">
        <f>IF(AND(FORSIDE!$B$8&gt;=16,FORSIDE!$F$8&gt;=4,FORSIDE!$B$5&gt;=6),"1106 -&gt; 1107","")</f>
        <v/>
      </c>
      <c r="C1007" t="str">
        <f>FORSIDE!$C$4</f>
        <v>S355, Stål / KFHUP 180x180x12.5</v>
      </c>
    </row>
    <row r="1008" spans="1:3" x14ac:dyDescent="0.3">
      <c r="A1008" t="str">
        <f>IF(AND(FORSIDE!$B$8&gt;=16,FORSIDE!$F$8&gt;=4,FORSIDE!$B$5&gt;=7),"S1007","")</f>
        <v/>
      </c>
      <c r="B1008" t="str">
        <f>IF(AND(FORSIDE!$B$8&gt;=16,FORSIDE!$F$8&gt;=4,FORSIDE!$B$5&gt;=7),"1107 -&gt; 1108","")</f>
        <v/>
      </c>
      <c r="C1008" t="str">
        <f>FORSIDE!$C$4</f>
        <v>S355, Stål / KFHUP 180x180x12.5</v>
      </c>
    </row>
    <row r="1009" spans="1:3" x14ac:dyDescent="0.3">
      <c r="A1009" t="str">
        <f>IF(AND(FORSIDE!$B$8&gt;=16,FORSIDE!$F$8&gt;=4,FORSIDE!$B$5&gt;=8),"S1008","")</f>
        <v/>
      </c>
      <c r="B1009" t="str">
        <f>IF(AND(FORSIDE!$B$8&gt;=16,FORSIDE!$F$8&gt;=4,FORSIDE!$B$5&gt;=8),"1108 -&gt; 1109","")</f>
        <v/>
      </c>
      <c r="C1009" t="str">
        <f>FORSIDE!$C$4</f>
        <v>S355, Stål / KFHUP 180x180x12.5</v>
      </c>
    </row>
    <row r="1010" spans="1:3" x14ac:dyDescent="0.3">
      <c r="A1010" t="str">
        <f>IF(AND(FORSIDE!$B$8&gt;=16,FORSIDE!$F$8&gt;=4,FORSIDE!$B$5&gt;=9),"S1009","")</f>
        <v/>
      </c>
      <c r="B1010" t="str">
        <f>IF(AND(FORSIDE!$B$8&gt;=16,FORSIDE!$F$8&gt;=4,FORSIDE!$B$5&gt;=9),"1109 -&gt; 1110","")</f>
        <v/>
      </c>
      <c r="C1010" t="str">
        <f>FORSIDE!$C$4</f>
        <v>S355, Stål / KFHUP 180x180x12.5</v>
      </c>
    </row>
    <row r="1011" spans="1:3" x14ac:dyDescent="0.3">
      <c r="A1011" t="str">
        <f>IF(AND(FORSIDE!$B$8&gt;=16,FORSIDE!$F$8&gt;=4,FORSIDE!$B$5&gt;=10),"S1010","")</f>
        <v/>
      </c>
      <c r="B1011" t="str">
        <f>IF(AND(FORSIDE!$B$8&gt;=16,FORSIDE!$F$8&gt;=4,FORSIDE!$B$5&gt;=10),"1110 -&gt; 1111","")</f>
        <v/>
      </c>
      <c r="C1011" t="str">
        <f>FORSIDE!$C$4</f>
        <v>S355, Stål / KFHUP 180x180x12.5</v>
      </c>
    </row>
    <row r="1012" spans="1:3" x14ac:dyDescent="0.3">
      <c r="A1012" t="str">
        <f>IF(AND(FORSIDE!$B$8&gt;=17,FORSIDE!$F$8&gt;=4,FORSIDE!$B$5&gt;=1),"S1011","")</f>
        <v/>
      </c>
      <c r="B1012" t="str">
        <f>IF(AND(FORSIDE!$B$8&gt;=17,FORSIDE!$F$8&gt;=4,FORSIDE!$B$5&gt;=1),"1112 -&gt; 1113","")</f>
        <v/>
      </c>
      <c r="C1012" t="str">
        <f>FORSIDE!$C$4</f>
        <v>S355, Stål / KFHUP 180x180x12.5</v>
      </c>
    </row>
    <row r="1013" spans="1:3" x14ac:dyDescent="0.3">
      <c r="A1013" t="str">
        <f>IF(AND(FORSIDE!$B$8&gt;=17,FORSIDE!$F$8&gt;=4,FORSIDE!$B$5&gt;=2),"S1012","")</f>
        <v/>
      </c>
      <c r="B1013" t="str">
        <f>IF(AND(FORSIDE!$B$8&gt;=17,FORSIDE!$F$8&gt;=4,FORSIDE!$B$5&gt;=2),"1113 -&gt; 1114","")</f>
        <v/>
      </c>
      <c r="C1013" t="str">
        <f>FORSIDE!$C$4</f>
        <v>S355, Stål / KFHUP 180x180x12.5</v>
      </c>
    </row>
    <row r="1014" spans="1:3" x14ac:dyDescent="0.3">
      <c r="A1014" t="str">
        <f>IF(AND(FORSIDE!$B$8&gt;=17,FORSIDE!$F$8&gt;=4,FORSIDE!$B$5&gt;=3),"S1013","")</f>
        <v/>
      </c>
      <c r="B1014" t="str">
        <f>IF(AND(FORSIDE!$B$8&gt;=17,FORSIDE!$F$8&gt;=4,FORSIDE!$B$5&gt;=3),"1114 -&gt; 1115","")</f>
        <v/>
      </c>
      <c r="C1014" t="str">
        <f>FORSIDE!$C$4</f>
        <v>S355, Stål / KFHUP 180x180x12.5</v>
      </c>
    </row>
    <row r="1015" spans="1:3" x14ac:dyDescent="0.3">
      <c r="A1015" t="str">
        <f>IF(AND(FORSIDE!$B$8&gt;=17,FORSIDE!$F$8&gt;=4,FORSIDE!$B$5&gt;=4),"S1014","")</f>
        <v/>
      </c>
      <c r="B1015" t="str">
        <f>IF(AND(FORSIDE!$B$8&gt;=17,FORSIDE!$F$8&gt;=4,FORSIDE!$B$5&gt;=4),"1115 -&gt; 1116","")</f>
        <v/>
      </c>
      <c r="C1015" t="str">
        <f>FORSIDE!$C$4</f>
        <v>S355, Stål / KFHUP 180x180x12.5</v>
      </c>
    </row>
    <row r="1016" spans="1:3" x14ac:dyDescent="0.3">
      <c r="A1016" t="str">
        <f>IF(AND(FORSIDE!$B$8&gt;=17,FORSIDE!$F$8&gt;=4,FORSIDE!$B$5&gt;=5),"S1015","")</f>
        <v/>
      </c>
      <c r="B1016" t="str">
        <f>IF(AND(FORSIDE!$B$8&gt;=17,FORSIDE!$F$8&gt;=4,FORSIDE!$B$5&gt;=5),"1116 -&gt; 1117","")</f>
        <v/>
      </c>
      <c r="C1016" t="str">
        <f>FORSIDE!$C$4</f>
        <v>S355, Stål / KFHUP 180x180x12.5</v>
      </c>
    </row>
    <row r="1017" spans="1:3" x14ac:dyDescent="0.3">
      <c r="A1017" t="str">
        <f>IF(AND(FORSIDE!$B$8&gt;=17,FORSIDE!$F$8&gt;=4,FORSIDE!$B$5&gt;=6),"S1016","")</f>
        <v/>
      </c>
      <c r="B1017" t="str">
        <f>IF(AND(FORSIDE!$B$8&gt;=17,FORSIDE!$F$8&gt;=4,FORSIDE!$B$5&gt;=6),"1117 -&gt; 1118","")</f>
        <v/>
      </c>
      <c r="C1017" t="str">
        <f>FORSIDE!$C$4</f>
        <v>S355, Stål / KFHUP 180x180x12.5</v>
      </c>
    </row>
    <row r="1018" spans="1:3" x14ac:dyDescent="0.3">
      <c r="A1018" t="str">
        <f>IF(AND(FORSIDE!$B$8&gt;=17,FORSIDE!$F$8&gt;=4,FORSIDE!$B$5&gt;=7),"S1017","")</f>
        <v/>
      </c>
      <c r="B1018" t="str">
        <f>IF(AND(FORSIDE!$B$8&gt;=17,FORSIDE!$F$8&gt;=4,FORSIDE!$B$5&gt;=7),"1118 -&gt; 1119","")</f>
        <v/>
      </c>
      <c r="C1018" t="str">
        <f>FORSIDE!$C$4</f>
        <v>S355, Stål / KFHUP 180x180x12.5</v>
      </c>
    </row>
    <row r="1019" spans="1:3" x14ac:dyDescent="0.3">
      <c r="A1019" t="str">
        <f>IF(AND(FORSIDE!$B$8&gt;=17,FORSIDE!$F$8&gt;=4,FORSIDE!$B$5&gt;=8),"S1018","")</f>
        <v/>
      </c>
      <c r="B1019" t="str">
        <f>IF(AND(FORSIDE!$B$8&gt;=17,FORSIDE!$F$8&gt;=4,FORSIDE!$B$5&gt;=8),"1119 -&gt; 1120","")</f>
        <v/>
      </c>
      <c r="C1019" t="str">
        <f>FORSIDE!$C$4</f>
        <v>S355, Stål / KFHUP 180x180x12.5</v>
      </c>
    </row>
    <row r="1020" spans="1:3" x14ac:dyDescent="0.3">
      <c r="A1020" t="str">
        <f>IF(AND(FORSIDE!$B$8&gt;=17,FORSIDE!$F$8&gt;=4,FORSIDE!$B$5&gt;=9),"S1019","")</f>
        <v/>
      </c>
      <c r="B1020" t="str">
        <f>IF(AND(FORSIDE!$B$8&gt;=17,FORSIDE!$F$8&gt;=4,FORSIDE!$B$5&gt;=9),"1120 -&gt; 1121","")</f>
        <v/>
      </c>
      <c r="C1020" t="str">
        <f>FORSIDE!$C$4</f>
        <v>S355, Stål / KFHUP 180x180x12.5</v>
      </c>
    </row>
    <row r="1021" spans="1:3" x14ac:dyDescent="0.3">
      <c r="A1021" t="str">
        <f>IF(AND(FORSIDE!$B$8&gt;=17,FORSIDE!$F$8&gt;=4,FORSIDE!$B$5&gt;=10),"S1020","")</f>
        <v/>
      </c>
      <c r="B1021" t="str">
        <f>IF(AND(FORSIDE!$B$8&gt;=17,FORSIDE!$F$8&gt;=4,FORSIDE!$B$5&gt;=10),"1121 -&gt; 1122","")</f>
        <v/>
      </c>
      <c r="C1021" t="str">
        <f>FORSIDE!$C$4</f>
        <v>S355, Stål / KFHUP 180x180x12.5</v>
      </c>
    </row>
    <row r="1022" spans="1:3" x14ac:dyDescent="0.3">
      <c r="A1022" t="str">
        <f>IF(AND(FORSIDE!$B$8&gt;=18,FORSIDE!$F$8&gt;=4,FORSIDE!$B$5&gt;=1),"S1021","")</f>
        <v/>
      </c>
      <c r="B1022" t="str">
        <f>IF(AND(FORSIDE!$B$8&gt;=18,FORSIDE!$F$8&gt;=4,FORSIDE!$B$5&gt;=1),"1123 -&gt; 1124","")</f>
        <v/>
      </c>
      <c r="C1022" t="str">
        <f>FORSIDE!$C$4</f>
        <v>S355, Stål / KFHUP 180x180x12.5</v>
      </c>
    </row>
    <row r="1023" spans="1:3" x14ac:dyDescent="0.3">
      <c r="A1023" t="str">
        <f>IF(AND(FORSIDE!$B$8&gt;=18,FORSIDE!$F$8&gt;=4,FORSIDE!$B$5&gt;=2),"S1022","")</f>
        <v/>
      </c>
      <c r="B1023" t="str">
        <f>IF(AND(FORSIDE!$B$8&gt;=18,FORSIDE!$F$8&gt;=4,FORSIDE!$B$5&gt;=2),"1124 -&gt; 1125","")</f>
        <v/>
      </c>
      <c r="C1023" t="str">
        <f>FORSIDE!$C$4</f>
        <v>S355, Stål / KFHUP 180x180x12.5</v>
      </c>
    </row>
    <row r="1024" spans="1:3" x14ac:dyDescent="0.3">
      <c r="A1024" t="str">
        <f>IF(AND(FORSIDE!$B$8&gt;=18,FORSIDE!$F$8&gt;=4,FORSIDE!$B$5&gt;=3),"S1023","")</f>
        <v/>
      </c>
      <c r="B1024" t="str">
        <f>IF(AND(FORSIDE!$B$8&gt;=18,FORSIDE!$F$8&gt;=4,FORSIDE!$B$5&gt;=3),"1125 -&gt; 1126","")</f>
        <v/>
      </c>
      <c r="C1024" t="str">
        <f>FORSIDE!$C$4</f>
        <v>S355, Stål / KFHUP 180x180x12.5</v>
      </c>
    </row>
    <row r="1025" spans="1:3" x14ac:dyDescent="0.3">
      <c r="A1025" t="str">
        <f>IF(AND(FORSIDE!$B$8&gt;=18,FORSIDE!$F$8&gt;=4,FORSIDE!$B$5&gt;=4),"S1024","")</f>
        <v/>
      </c>
      <c r="B1025" t="str">
        <f>IF(AND(FORSIDE!$B$8&gt;=18,FORSIDE!$F$8&gt;=4,FORSIDE!$B$5&gt;=4),"1126 -&gt; 1127","")</f>
        <v/>
      </c>
      <c r="C1025" t="str">
        <f>FORSIDE!$C$4</f>
        <v>S355, Stål / KFHUP 180x180x12.5</v>
      </c>
    </row>
    <row r="1026" spans="1:3" x14ac:dyDescent="0.3">
      <c r="A1026" t="str">
        <f>IF(AND(FORSIDE!$B$8&gt;=18,FORSIDE!$F$8&gt;=4,FORSIDE!$B$5&gt;=5),"S1025","")</f>
        <v/>
      </c>
      <c r="B1026" t="str">
        <f>IF(AND(FORSIDE!$B$8&gt;=18,FORSIDE!$F$8&gt;=4,FORSIDE!$B$5&gt;=5),"1127 -&gt; 1128","")</f>
        <v/>
      </c>
      <c r="C1026" t="str">
        <f>FORSIDE!$C$4</f>
        <v>S355, Stål / KFHUP 180x180x12.5</v>
      </c>
    </row>
    <row r="1027" spans="1:3" x14ac:dyDescent="0.3">
      <c r="A1027" t="str">
        <f>IF(AND(FORSIDE!$B$8&gt;=18,FORSIDE!$F$8&gt;=4,FORSIDE!$B$5&gt;=6),"S1026","")</f>
        <v/>
      </c>
      <c r="B1027" t="str">
        <f>IF(AND(FORSIDE!$B$8&gt;=18,FORSIDE!$F$8&gt;=4,FORSIDE!$B$5&gt;=6),"1128 -&gt; 1129","")</f>
        <v/>
      </c>
      <c r="C1027" t="str">
        <f>FORSIDE!$C$4</f>
        <v>S355, Stål / KFHUP 180x180x12.5</v>
      </c>
    </row>
    <row r="1028" spans="1:3" x14ac:dyDescent="0.3">
      <c r="A1028" t="str">
        <f>IF(AND(FORSIDE!$B$8&gt;=18,FORSIDE!$F$8&gt;=4,FORSIDE!$B$5&gt;=7),"S1027","")</f>
        <v/>
      </c>
      <c r="B1028" t="str">
        <f>IF(AND(FORSIDE!$B$8&gt;=18,FORSIDE!$F$8&gt;=4,FORSIDE!$B$5&gt;=7),"1129 -&gt; 1130","")</f>
        <v/>
      </c>
      <c r="C1028" t="str">
        <f>FORSIDE!$C$4</f>
        <v>S355, Stål / KFHUP 180x180x12.5</v>
      </c>
    </row>
    <row r="1029" spans="1:3" x14ac:dyDescent="0.3">
      <c r="A1029" t="str">
        <f>IF(AND(FORSIDE!$B$8&gt;=18,FORSIDE!$F$8&gt;=4,FORSIDE!$B$5&gt;=8),"S1028","")</f>
        <v/>
      </c>
      <c r="B1029" t="str">
        <f>IF(AND(FORSIDE!$B$8&gt;=18,FORSIDE!$F$8&gt;=4,FORSIDE!$B$5&gt;=8),"1130 -&gt; 1131","")</f>
        <v/>
      </c>
      <c r="C1029" t="str">
        <f>FORSIDE!$C$4</f>
        <v>S355, Stål / KFHUP 180x180x12.5</v>
      </c>
    </row>
    <row r="1030" spans="1:3" x14ac:dyDescent="0.3">
      <c r="A1030" t="str">
        <f>IF(AND(FORSIDE!$B$8&gt;=18,FORSIDE!$F$8&gt;=4,FORSIDE!$B$5&gt;=9),"S1029","")</f>
        <v/>
      </c>
      <c r="B1030" t="str">
        <f>IF(AND(FORSIDE!$B$8&gt;=18,FORSIDE!$F$8&gt;=4,FORSIDE!$B$5&gt;=9),"1131 -&gt; 1132","")</f>
        <v/>
      </c>
      <c r="C1030" t="str">
        <f>FORSIDE!$C$4</f>
        <v>S355, Stål / KFHUP 180x180x12.5</v>
      </c>
    </row>
    <row r="1031" spans="1:3" x14ac:dyDescent="0.3">
      <c r="A1031" t="str">
        <f>IF(AND(FORSIDE!$B$8&gt;=18,FORSIDE!$F$8&gt;=4,FORSIDE!$B$5&gt;=10),"S1030","")</f>
        <v/>
      </c>
      <c r="B1031" t="str">
        <f>IF(AND(FORSIDE!$B$8&gt;=18,FORSIDE!$F$8&gt;=4,FORSIDE!$B$5&gt;=10),"1132 -&gt; 1133","")</f>
        <v/>
      </c>
      <c r="C1031" t="str">
        <f>FORSIDE!$C$4</f>
        <v>S355, Stål / KFHUP 180x180x12.5</v>
      </c>
    </row>
    <row r="1032" spans="1:3" x14ac:dyDescent="0.3">
      <c r="A1032" t="str">
        <f>IF(AND(FORSIDE!$B$8&gt;=19,FORSIDE!$F$8&gt;=4,FORSIDE!$B$5&gt;=1),"S1031","")</f>
        <v/>
      </c>
      <c r="B1032" t="str">
        <f>IF(AND(FORSIDE!$B$8&gt;=19,FORSIDE!$F$8&gt;=4,FORSIDE!$B$5&gt;=1),"1134 -&gt; 1135","")</f>
        <v/>
      </c>
      <c r="C1032" t="str">
        <f>FORSIDE!$C$4</f>
        <v>S355, Stål / KFHUP 180x180x12.5</v>
      </c>
    </row>
    <row r="1033" spans="1:3" x14ac:dyDescent="0.3">
      <c r="A1033" t="str">
        <f>IF(AND(FORSIDE!$B$8&gt;=19,FORSIDE!$F$8&gt;=4,FORSIDE!$B$5&gt;=2),"S1032","")</f>
        <v/>
      </c>
      <c r="B1033" t="str">
        <f>IF(AND(FORSIDE!$B$8&gt;=19,FORSIDE!$F$8&gt;=4,FORSIDE!$B$5&gt;=2),"1135 -&gt; 1136","")</f>
        <v/>
      </c>
      <c r="C1033" t="str">
        <f>FORSIDE!$C$4</f>
        <v>S355, Stål / KFHUP 180x180x12.5</v>
      </c>
    </row>
    <row r="1034" spans="1:3" x14ac:dyDescent="0.3">
      <c r="A1034" t="str">
        <f>IF(AND(FORSIDE!$B$8&gt;=19,FORSIDE!$F$8&gt;=4,FORSIDE!$B$5&gt;=3),"S1033","")</f>
        <v/>
      </c>
      <c r="B1034" t="str">
        <f>IF(AND(FORSIDE!$B$8&gt;=19,FORSIDE!$F$8&gt;=4,FORSIDE!$B$5&gt;=3),"1136 -&gt; 1137","")</f>
        <v/>
      </c>
      <c r="C1034" t="str">
        <f>FORSIDE!$C$4</f>
        <v>S355, Stål / KFHUP 180x180x12.5</v>
      </c>
    </row>
    <row r="1035" spans="1:3" x14ac:dyDescent="0.3">
      <c r="A1035" t="str">
        <f>IF(AND(FORSIDE!$B$8&gt;=19,FORSIDE!$F$8&gt;=4,FORSIDE!$B$5&gt;=4),"S1034","")</f>
        <v/>
      </c>
      <c r="B1035" t="str">
        <f>IF(AND(FORSIDE!$B$8&gt;=19,FORSIDE!$F$8&gt;=4,FORSIDE!$B$5&gt;=4),"1137 -&gt; 1138","")</f>
        <v/>
      </c>
      <c r="C1035" t="str">
        <f>FORSIDE!$C$4</f>
        <v>S355, Stål / KFHUP 180x180x12.5</v>
      </c>
    </row>
    <row r="1036" spans="1:3" x14ac:dyDescent="0.3">
      <c r="A1036" t="str">
        <f>IF(AND(FORSIDE!$B$8&gt;=19,FORSIDE!$F$8&gt;=4,FORSIDE!$B$5&gt;=5),"S1035","")</f>
        <v/>
      </c>
      <c r="B1036" t="str">
        <f>IF(AND(FORSIDE!$B$8&gt;=19,FORSIDE!$F$8&gt;=4,FORSIDE!$B$5&gt;=5),"1138 -&gt; 1139","")</f>
        <v/>
      </c>
      <c r="C1036" t="str">
        <f>FORSIDE!$C$4</f>
        <v>S355, Stål / KFHUP 180x180x12.5</v>
      </c>
    </row>
    <row r="1037" spans="1:3" x14ac:dyDescent="0.3">
      <c r="A1037" t="str">
        <f>IF(AND(FORSIDE!$B$8&gt;=19,FORSIDE!$F$8&gt;=4,FORSIDE!$B$5&gt;=6),"S1036","")</f>
        <v/>
      </c>
      <c r="B1037" t="str">
        <f>IF(AND(FORSIDE!$B$8&gt;=19,FORSIDE!$F$8&gt;=4,FORSIDE!$B$5&gt;=6),"1139 -&gt; 1140","")</f>
        <v/>
      </c>
      <c r="C1037" t="str">
        <f>FORSIDE!$C$4</f>
        <v>S355, Stål / KFHUP 180x180x12.5</v>
      </c>
    </row>
    <row r="1038" spans="1:3" x14ac:dyDescent="0.3">
      <c r="A1038" t="str">
        <f>IF(AND(FORSIDE!$B$8&gt;=19,FORSIDE!$F$8&gt;=4,FORSIDE!$B$5&gt;=7),"S1037","")</f>
        <v/>
      </c>
      <c r="B1038" t="str">
        <f>IF(AND(FORSIDE!$B$8&gt;=19,FORSIDE!$F$8&gt;=4,FORSIDE!$B$5&gt;=7),"1140 -&gt; 1141","")</f>
        <v/>
      </c>
      <c r="C1038" t="str">
        <f>FORSIDE!$C$4</f>
        <v>S355, Stål / KFHUP 180x180x12.5</v>
      </c>
    </row>
    <row r="1039" spans="1:3" x14ac:dyDescent="0.3">
      <c r="A1039" t="str">
        <f>IF(AND(FORSIDE!$B$8&gt;=19,FORSIDE!$F$8&gt;=4,FORSIDE!$B$5&gt;=8),"S1038","")</f>
        <v/>
      </c>
      <c r="B1039" t="str">
        <f>IF(AND(FORSIDE!$B$8&gt;=19,FORSIDE!$F$8&gt;=4,FORSIDE!$B$5&gt;=8),"1141 -&gt; 1142","")</f>
        <v/>
      </c>
      <c r="C1039" t="str">
        <f>FORSIDE!$C$4</f>
        <v>S355, Stål / KFHUP 180x180x12.5</v>
      </c>
    </row>
    <row r="1040" spans="1:3" x14ac:dyDescent="0.3">
      <c r="A1040" t="str">
        <f>IF(AND(FORSIDE!$B$8&gt;=19,FORSIDE!$F$8&gt;=4,FORSIDE!$B$5&gt;=9),"S1039","")</f>
        <v/>
      </c>
      <c r="B1040" t="str">
        <f>IF(AND(FORSIDE!$B$8&gt;=19,FORSIDE!$F$8&gt;=4,FORSIDE!$B$5&gt;=9),"1142 -&gt; 1143","")</f>
        <v/>
      </c>
      <c r="C1040" t="str">
        <f>FORSIDE!$C$4</f>
        <v>S355, Stål / KFHUP 180x180x12.5</v>
      </c>
    </row>
    <row r="1041" spans="1:3" x14ac:dyDescent="0.3">
      <c r="A1041" t="str">
        <f>IF(AND(FORSIDE!$B$8&gt;=19,FORSIDE!$F$8&gt;=4,FORSIDE!$B$5&gt;=10),"S1040","")</f>
        <v/>
      </c>
      <c r="B1041" t="str">
        <f>IF(AND(FORSIDE!$B$8&gt;=19,FORSIDE!$F$8&gt;=4,FORSIDE!$B$5&gt;=10),"1143 -&gt; 1144","")</f>
        <v/>
      </c>
      <c r="C1041" t="str">
        <f>FORSIDE!$C$4</f>
        <v>S355, Stål / KFHUP 180x180x12.5</v>
      </c>
    </row>
    <row r="1042" spans="1:3" x14ac:dyDescent="0.3">
      <c r="A1042" t="str">
        <f>IF(AND(FORSIDE!$B$8&gt;=20,FORSIDE!$F$8&gt;=4,FORSIDE!$B$5&gt;=1),"S1041","")</f>
        <v/>
      </c>
      <c r="B1042" t="str">
        <f>IF(AND(FORSIDE!$B$8&gt;=20,FORSIDE!$F$8&gt;=4,FORSIDE!$B$5&gt;=1),"1145 -&gt; 1146","")</f>
        <v/>
      </c>
      <c r="C1042" t="str">
        <f>FORSIDE!$C$4</f>
        <v>S355, Stål / KFHUP 180x180x12.5</v>
      </c>
    </row>
    <row r="1043" spans="1:3" x14ac:dyDescent="0.3">
      <c r="A1043" t="str">
        <f>IF(AND(FORSIDE!$B$8&gt;=20,FORSIDE!$F$8&gt;=4,FORSIDE!$B$5&gt;=2),"S1042","")</f>
        <v/>
      </c>
      <c r="B1043" t="str">
        <f>IF(AND(FORSIDE!$B$8&gt;=20,FORSIDE!$F$8&gt;=4,FORSIDE!$B$5&gt;=2),"1146 -&gt; 1147","")</f>
        <v/>
      </c>
      <c r="C1043" t="str">
        <f>FORSIDE!$C$4</f>
        <v>S355, Stål / KFHUP 180x180x12.5</v>
      </c>
    </row>
    <row r="1044" spans="1:3" x14ac:dyDescent="0.3">
      <c r="A1044" t="str">
        <f>IF(AND(FORSIDE!$B$8&gt;=20,FORSIDE!$F$8&gt;=4,FORSIDE!$B$5&gt;=3),"S1043","")</f>
        <v/>
      </c>
      <c r="B1044" t="str">
        <f>IF(AND(FORSIDE!$B$8&gt;=20,FORSIDE!$F$8&gt;=4,FORSIDE!$B$5&gt;=3),"1147 -&gt; 1148","")</f>
        <v/>
      </c>
      <c r="C1044" t="str">
        <f>FORSIDE!$C$4</f>
        <v>S355, Stål / KFHUP 180x180x12.5</v>
      </c>
    </row>
    <row r="1045" spans="1:3" x14ac:dyDescent="0.3">
      <c r="A1045" t="str">
        <f>IF(AND(FORSIDE!$B$8&gt;=20,FORSIDE!$F$8&gt;=4,FORSIDE!$B$5&gt;=4),"S1044","")</f>
        <v/>
      </c>
      <c r="B1045" t="str">
        <f>IF(AND(FORSIDE!$B$8&gt;=20,FORSIDE!$F$8&gt;=4,FORSIDE!$B$5&gt;=4),"1148 -&gt; 1149","")</f>
        <v/>
      </c>
      <c r="C1045" t="str">
        <f>FORSIDE!$C$4</f>
        <v>S355, Stål / KFHUP 180x180x12.5</v>
      </c>
    </row>
    <row r="1046" spans="1:3" x14ac:dyDescent="0.3">
      <c r="A1046" t="str">
        <f>IF(AND(FORSIDE!$B$8&gt;=20,FORSIDE!$F$8&gt;=4,FORSIDE!$B$5&gt;=5),"S1045","")</f>
        <v/>
      </c>
      <c r="B1046" t="str">
        <f>IF(AND(FORSIDE!$B$8&gt;=20,FORSIDE!$F$8&gt;=4,FORSIDE!$B$5&gt;=5),"1149 -&gt; 1150","")</f>
        <v/>
      </c>
      <c r="C1046" t="str">
        <f>FORSIDE!$C$4</f>
        <v>S355, Stål / KFHUP 180x180x12.5</v>
      </c>
    </row>
    <row r="1047" spans="1:3" x14ac:dyDescent="0.3">
      <c r="A1047" t="str">
        <f>IF(AND(FORSIDE!$B$8&gt;=20,FORSIDE!$F$8&gt;=4,FORSIDE!$B$5&gt;=6),"S1046","")</f>
        <v/>
      </c>
      <c r="B1047" t="str">
        <f>IF(AND(FORSIDE!$B$8&gt;=20,FORSIDE!$F$8&gt;=4,FORSIDE!$B$5&gt;=6),"1150 -&gt; 1151","")</f>
        <v/>
      </c>
      <c r="C1047" t="str">
        <f>FORSIDE!$C$4</f>
        <v>S355, Stål / KFHUP 180x180x12.5</v>
      </c>
    </row>
    <row r="1048" spans="1:3" x14ac:dyDescent="0.3">
      <c r="A1048" t="str">
        <f>IF(AND(FORSIDE!$B$8&gt;=20,FORSIDE!$F$8&gt;=4,FORSIDE!$B$5&gt;=7),"S1047","")</f>
        <v/>
      </c>
      <c r="B1048" t="str">
        <f>IF(AND(FORSIDE!$B$8&gt;=20,FORSIDE!$F$8&gt;=4,FORSIDE!$B$5&gt;=7),"1151 -&gt; 1152","")</f>
        <v/>
      </c>
      <c r="C1048" t="str">
        <f>FORSIDE!$C$4</f>
        <v>S355, Stål / KFHUP 180x180x12.5</v>
      </c>
    </row>
    <row r="1049" spans="1:3" x14ac:dyDescent="0.3">
      <c r="A1049" t="str">
        <f>IF(AND(FORSIDE!$B$8&gt;=20,FORSIDE!$F$8&gt;=4,FORSIDE!$B$5&gt;=8),"S1048","")</f>
        <v/>
      </c>
      <c r="B1049" t="str">
        <f>IF(AND(FORSIDE!$B$8&gt;=20,FORSIDE!$F$8&gt;=4,FORSIDE!$B$5&gt;=8),"1152 -&gt; 1153","")</f>
        <v/>
      </c>
      <c r="C1049" t="str">
        <f>FORSIDE!$C$4</f>
        <v>S355, Stål / KFHUP 180x180x12.5</v>
      </c>
    </row>
    <row r="1050" spans="1:3" x14ac:dyDescent="0.3">
      <c r="A1050" t="str">
        <f>IF(AND(FORSIDE!$B$8&gt;=20,FORSIDE!$F$8&gt;=4,FORSIDE!$B$5&gt;=9),"S1049","")</f>
        <v/>
      </c>
      <c r="B1050" t="str">
        <f>IF(AND(FORSIDE!$B$8&gt;=20,FORSIDE!$F$8&gt;=4,FORSIDE!$B$5&gt;=9),"1153 -&gt; 1154","")</f>
        <v/>
      </c>
      <c r="C1050" t="str">
        <f>FORSIDE!$C$4</f>
        <v>S355, Stål / KFHUP 180x180x12.5</v>
      </c>
    </row>
    <row r="1051" spans="1:3" x14ac:dyDescent="0.3">
      <c r="A1051" t="str">
        <f>IF(AND(FORSIDE!$B$8&gt;=20,FORSIDE!$F$8&gt;=4,FORSIDE!$B$5&gt;=10),"S1050","")</f>
        <v/>
      </c>
      <c r="B1051" t="str">
        <f>IF(AND(FORSIDE!$B$8&gt;=20,FORSIDE!$F$8&gt;=4,FORSIDE!$B$5&gt;=10),"1154 -&gt; 1155","")</f>
        <v/>
      </c>
      <c r="C1051" t="str">
        <f>FORSIDE!$C$4</f>
        <v>S355, Stål / KFHUP 180x180x12.5</v>
      </c>
    </row>
    <row r="1052" spans="1:3" x14ac:dyDescent="0.3">
      <c r="A1052" t="str">
        <f>IF(AND(FORSIDE!$B$8&gt;=0,FORSIDE!$F$8&gt;=5,FORSIDE!$B$5&gt;=1),"S1051","")</f>
        <v/>
      </c>
      <c r="B1052" t="str">
        <f>IF(AND(FORSIDE!$B$8&gt;=0,FORSIDE!$F$8&gt;=5,FORSIDE!$B$5&gt;=1),"1156 -&gt; 1157","")</f>
        <v/>
      </c>
      <c r="C1052" t="str">
        <f>FORSIDE!$C$4</f>
        <v>S355, Stål / KFHUP 180x180x12.5</v>
      </c>
    </row>
    <row r="1053" spans="1:3" x14ac:dyDescent="0.3">
      <c r="A1053" t="str">
        <f>IF(AND(FORSIDE!$B$8&gt;=0,FORSIDE!$F$8&gt;=5,FORSIDE!$B$5&gt;=2),"S1052","")</f>
        <v/>
      </c>
      <c r="B1053" t="str">
        <f>IF(AND(FORSIDE!$B$8&gt;=0,FORSIDE!$F$8&gt;=5,FORSIDE!$B$5&gt;=2),"1157 -&gt; 1158","")</f>
        <v/>
      </c>
      <c r="C1053" t="str">
        <f>FORSIDE!$C$4</f>
        <v>S355, Stål / KFHUP 180x180x12.5</v>
      </c>
    </row>
    <row r="1054" spans="1:3" x14ac:dyDescent="0.3">
      <c r="A1054" t="str">
        <f>IF(AND(FORSIDE!$B$8&gt;=0,FORSIDE!$F$8&gt;=5,FORSIDE!$B$5&gt;=3),"S1053","")</f>
        <v/>
      </c>
      <c r="B1054" t="str">
        <f>IF(AND(FORSIDE!$B$8&gt;=0,FORSIDE!$F$8&gt;=5,FORSIDE!$B$5&gt;=3),"1158 -&gt; 1159","")</f>
        <v/>
      </c>
      <c r="C1054" t="str">
        <f>FORSIDE!$C$4</f>
        <v>S355, Stål / KFHUP 180x180x12.5</v>
      </c>
    </row>
    <row r="1055" spans="1:3" x14ac:dyDescent="0.3">
      <c r="A1055" t="str">
        <f>IF(AND(FORSIDE!$B$8&gt;=0,FORSIDE!$F$8&gt;=5,FORSIDE!$B$5&gt;=4),"S1054","")</f>
        <v/>
      </c>
      <c r="B1055" t="str">
        <f>IF(AND(FORSIDE!$B$8&gt;=0,FORSIDE!$F$8&gt;=5,FORSIDE!$B$5&gt;=4),"1159 -&gt; 1160","")</f>
        <v/>
      </c>
      <c r="C1055" t="str">
        <f>FORSIDE!$C$4</f>
        <v>S355, Stål / KFHUP 180x180x12.5</v>
      </c>
    </row>
    <row r="1056" spans="1:3" x14ac:dyDescent="0.3">
      <c r="A1056" t="str">
        <f>IF(AND(FORSIDE!$B$8&gt;=0,FORSIDE!$F$8&gt;=5,FORSIDE!$B$5&gt;=5),"S1055","")</f>
        <v/>
      </c>
      <c r="B1056" t="str">
        <f>IF(AND(FORSIDE!$B$8&gt;=0,FORSIDE!$F$8&gt;=5,FORSIDE!$B$5&gt;=5),"1160 -&gt; 1161","")</f>
        <v/>
      </c>
      <c r="C1056" t="str">
        <f>FORSIDE!$C$4</f>
        <v>S355, Stål / KFHUP 180x180x12.5</v>
      </c>
    </row>
    <row r="1057" spans="1:3" x14ac:dyDescent="0.3">
      <c r="A1057" t="str">
        <f>IF(AND(FORSIDE!$B$8&gt;=0,FORSIDE!$F$8&gt;=5,FORSIDE!$B$5&gt;=6),"S1056","")</f>
        <v/>
      </c>
      <c r="B1057" t="str">
        <f>IF(AND(FORSIDE!$B$8&gt;=0,FORSIDE!$F$8&gt;=5,FORSIDE!$B$5&gt;=6),"1161 -&gt; 1162","")</f>
        <v/>
      </c>
      <c r="C1057" t="str">
        <f>FORSIDE!$C$4</f>
        <v>S355, Stål / KFHUP 180x180x12.5</v>
      </c>
    </row>
    <row r="1058" spans="1:3" x14ac:dyDescent="0.3">
      <c r="A1058" t="str">
        <f>IF(AND(FORSIDE!$B$8&gt;=0,FORSIDE!$F$8&gt;=5,FORSIDE!$B$5&gt;=7),"S1057","")</f>
        <v/>
      </c>
      <c r="B1058" t="str">
        <f>IF(AND(FORSIDE!$B$8&gt;=0,FORSIDE!$F$8&gt;=5,FORSIDE!$B$5&gt;=7),"1162 -&gt; 1163","")</f>
        <v/>
      </c>
      <c r="C1058" t="str">
        <f>FORSIDE!$C$4</f>
        <v>S355, Stål / KFHUP 180x180x12.5</v>
      </c>
    </row>
    <row r="1059" spans="1:3" x14ac:dyDescent="0.3">
      <c r="A1059" t="str">
        <f>IF(AND(FORSIDE!$B$8&gt;=0,FORSIDE!$F$8&gt;=5,FORSIDE!$B$5&gt;=8),"S1058","")</f>
        <v/>
      </c>
      <c r="B1059" t="str">
        <f>IF(AND(FORSIDE!$B$8&gt;=0,FORSIDE!$F$8&gt;=5,FORSIDE!$B$5&gt;=8),"1163 -&gt; 1164","")</f>
        <v/>
      </c>
      <c r="C1059" t="str">
        <f>FORSIDE!$C$4</f>
        <v>S355, Stål / KFHUP 180x180x12.5</v>
      </c>
    </row>
    <row r="1060" spans="1:3" x14ac:dyDescent="0.3">
      <c r="A1060" t="str">
        <f>IF(AND(FORSIDE!$B$8&gt;=0,FORSIDE!$F$8&gt;=5,FORSIDE!$B$5&gt;=9),"S1059","")</f>
        <v/>
      </c>
      <c r="B1060" t="str">
        <f>IF(AND(FORSIDE!$B$8&gt;=0,FORSIDE!$F$8&gt;=5,FORSIDE!$B$5&gt;=9),"1164 -&gt; 1165","")</f>
        <v/>
      </c>
      <c r="C1060" t="str">
        <f>FORSIDE!$C$4</f>
        <v>S355, Stål / KFHUP 180x180x12.5</v>
      </c>
    </row>
    <row r="1061" spans="1:3" x14ac:dyDescent="0.3">
      <c r="A1061" t="str">
        <f>IF(AND(FORSIDE!$B$8&gt;=0,FORSIDE!$F$8&gt;=5,FORSIDE!$B$5&gt;=10),"S1060","")</f>
        <v/>
      </c>
      <c r="B1061" t="str">
        <f>IF(AND(FORSIDE!$B$8&gt;=0,FORSIDE!$F$8&gt;=5,FORSIDE!$B$5&gt;=10),"1165 -&gt; 1166","")</f>
        <v/>
      </c>
      <c r="C1061" t="str">
        <f>FORSIDE!$C$4</f>
        <v>S355, Stål / KFHUP 180x180x12.5</v>
      </c>
    </row>
    <row r="1062" spans="1:3" x14ac:dyDescent="0.3">
      <c r="A1062" t="str">
        <f>IF(AND(FORSIDE!$B$8&gt;=1,FORSIDE!$F$8&gt;=5,FORSIDE!$B$5&gt;=1),"S1061","")</f>
        <v/>
      </c>
      <c r="B1062" t="str">
        <f>IF(AND(FORSIDE!$B$8&gt;=1,FORSIDE!$F$8&gt;=5,FORSIDE!$B$5&gt;=1),"1167 -&gt; 1168","")</f>
        <v/>
      </c>
      <c r="C1062" t="str">
        <f>FORSIDE!$C$4</f>
        <v>S355, Stål / KFHUP 180x180x12.5</v>
      </c>
    </row>
    <row r="1063" spans="1:3" x14ac:dyDescent="0.3">
      <c r="A1063" t="str">
        <f>IF(AND(FORSIDE!$B$8&gt;=1,FORSIDE!$F$8&gt;=5,FORSIDE!$B$5&gt;=2),"S1062","")</f>
        <v/>
      </c>
      <c r="B1063" t="str">
        <f>IF(AND(FORSIDE!$B$8&gt;=1,FORSIDE!$F$8&gt;=5,FORSIDE!$B$5&gt;=2),"1168 -&gt; 1169","")</f>
        <v/>
      </c>
      <c r="C1063" t="str">
        <f>FORSIDE!$C$4</f>
        <v>S355, Stål / KFHUP 180x180x12.5</v>
      </c>
    </row>
    <row r="1064" spans="1:3" x14ac:dyDescent="0.3">
      <c r="A1064" t="str">
        <f>IF(AND(FORSIDE!$B$8&gt;=1,FORSIDE!$F$8&gt;=5,FORSIDE!$B$5&gt;=3),"S1063","")</f>
        <v/>
      </c>
      <c r="B1064" t="str">
        <f>IF(AND(FORSIDE!$B$8&gt;=1,FORSIDE!$F$8&gt;=5,FORSIDE!$B$5&gt;=3),"1169 -&gt; 1170","")</f>
        <v/>
      </c>
      <c r="C1064" t="str">
        <f>FORSIDE!$C$4</f>
        <v>S355, Stål / KFHUP 180x180x12.5</v>
      </c>
    </row>
    <row r="1065" spans="1:3" x14ac:dyDescent="0.3">
      <c r="A1065" t="str">
        <f>IF(AND(FORSIDE!$B$8&gt;=1,FORSIDE!$F$8&gt;=5,FORSIDE!$B$5&gt;=4),"S1064","")</f>
        <v/>
      </c>
      <c r="B1065" t="str">
        <f>IF(AND(FORSIDE!$B$8&gt;=1,FORSIDE!$F$8&gt;=5,FORSIDE!$B$5&gt;=4),"1170 -&gt; 1171","")</f>
        <v/>
      </c>
      <c r="C1065" t="str">
        <f>FORSIDE!$C$4</f>
        <v>S355, Stål / KFHUP 180x180x12.5</v>
      </c>
    </row>
    <row r="1066" spans="1:3" x14ac:dyDescent="0.3">
      <c r="A1066" t="str">
        <f>IF(AND(FORSIDE!$B$8&gt;=1,FORSIDE!$F$8&gt;=5,FORSIDE!$B$5&gt;=5),"S1065","")</f>
        <v/>
      </c>
      <c r="B1066" t="str">
        <f>IF(AND(FORSIDE!$B$8&gt;=1,FORSIDE!$F$8&gt;=5,FORSIDE!$B$5&gt;=5),"1171 -&gt; 1172","")</f>
        <v/>
      </c>
      <c r="C1066" t="str">
        <f>FORSIDE!$C$4</f>
        <v>S355, Stål / KFHUP 180x180x12.5</v>
      </c>
    </row>
    <row r="1067" spans="1:3" x14ac:dyDescent="0.3">
      <c r="A1067" t="str">
        <f>IF(AND(FORSIDE!$B$8&gt;=1,FORSIDE!$F$8&gt;=5,FORSIDE!$B$5&gt;=6),"S1066","")</f>
        <v/>
      </c>
      <c r="B1067" t="str">
        <f>IF(AND(FORSIDE!$B$8&gt;=1,FORSIDE!$F$8&gt;=5,FORSIDE!$B$5&gt;=6),"1172 -&gt; 1173","")</f>
        <v/>
      </c>
      <c r="C1067" t="str">
        <f>FORSIDE!$C$4</f>
        <v>S355, Stål / KFHUP 180x180x12.5</v>
      </c>
    </row>
    <row r="1068" spans="1:3" x14ac:dyDescent="0.3">
      <c r="A1068" t="str">
        <f>IF(AND(FORSIDE!$B$8&gt;=1,FORSIDE!$F$8&gt;=5,FORSIDE!$B$5&gt;=7),"S1067","")</f>
        <v/>
      </c>
      <c r="B1068" t="str">
        <f>IF(AND(FORSIDE!$B$8&gt;=1,FORSIDE!$F$8&gt;=5,FORSIDE!$B$5&gt;=7),"1173 -&gt; 1174","")</f>
        <v/>
      </c>
      <c r="C1068" t="str">
        <f>FORSIDE!$C$4</f>
        <v>S355, Stål / KFHUP 180x180x12.5</v>
      </c>
    </row>
    <row r="1069" spans="1:3" x14ac:dyDescent="0.3">
      <c r="A1069" t="str">
        <f>IF(AND(FORSIDE!$B$8&gt;=1,FORSIDE!$F$8&gt;=5,FORSIDE!$B$5&gt;=8),"S1068","")</f>
        <v/>
      </c>
      <c r="B1069" t="str">
        <f>IF(AND(FORSIDE!$B$8&gt;=1,FORSIDE!$F$8&gt;=5,FORSIDE!$B$5&gt;=8),"1174 -&gt; 1175","")</f>
        <v/>
      </c>
      <c r="C1069" t="str">
        <f>FORSIDE!$C$4</f>
        <v>S355, Stål / KFHUP 180x180x12.5</v>
      </c>
    </row>
    <row r="1070" spans="1:3" x14ac:dyDescent="0.3">
      <c r="A1070" t="str">
        <f>IF(AND(FORSIDE!$B$8&gt;=1,FORSIDE!$F$8&gt;=5,FORSIDE!$B$5&gt;=9),"S1069","")</f>
        <v/>
      </c>
      <c r="B1070" t="str">
        <f>IF(AND(FORSIDE!$B$8&gt;=1,FORSIDE!$F$8&gt;=5,FORSIDE!$B$5&gt;=9),"1175 -&gt; 1176","")</f>
        <v/>
      </c>
      <c r="C1070" t="str">
        <f>FORSIDE!$C$4</f>
        <v>S355, Stål / KFHUP 180x180x12.5</v>
      </c>
    </row>
    <row r="1071" spans="1:3" x14ac:dyDescent="0.3">
      <c r="A1071" t="str">
        <f>IF(AND(FORSIDE!$B$8&gt;=1,FORSIDE!$F$8&gt;=5,FORSIDE!$B$5&gt;=10),"S1070","")</f>
        <v/>
      </c>
      <c r="B1071" t="str">
        <f>IF(AND(FORSIDE!$B$8&gt;=1,FORSIDE!$F$8&gt;=5,FORSIDE!$B$5&gt;=10),"1176 -&gt; 1177","")</f>
        <v/>
      </c>
      <c r="C1071" t="str">
        <f>FORSIDE!$C$4</f>
        <v>S355, Stål / KFHUP 180x180x12.5</v>
      </c>
    </row>
    <row r="1072" spans="1:3" x14ac:dyDescent="0.3">
      <c r="A1072" t="str">
        <f>IF(AND(FORSIDE!$B$8&gt;=2,FORSIDE!$F$8&gt;=5,FORSIDE!$B$5&gt;=1),"S1071","")</f>
        <v/>
      </c>
      <c r="B1072" t="str">
        <f>IF(AND(FORSIDE!$B$8&gt;=2,FORSIDE!$F$8&gt;=5,FORSIDE!$B$5&gt;=1),"1178 -&gt; 1179","")</f>
        <v/>
      </c>
      <c r="C1072" t="str">
        <f>FORSIDE!$C$4</f>
        <v>S355, Stål / KFHUP 180x180x12.5</v>
      </c>
    </row>
    <row r="1073" spans="1:3" x14ac:dyDescent="0.3">
      <c r="A1073" t="str">
        <f>IF(AND(FORSIDE!$B$8&gt;=2,FORSIDE!$F$8&gt;=5,FORSIDE!$B$5&gt;=2),"S1072","")</f>
        <v/>
      </c>
      <c r="B1073" t="str">
        <f>IF(AND(FORSIDE!$B$8&gt;=2,FORSIDE!$F$8&gt;=5,FORSIDE!$B$5&gt;=2),"1179 -&gt; 1180","")</f>
        <v/>
      </c>
      <c r="C1073" t="str">
        <f>FORSIDE!$C$4</f>
        <v>S355, Stål / KFHUP 180x180x12.5</v>
      </c>
    </row>
    <row r="1074" spans="1:3" x14ac:dyDescent="0.3">
      <c r="A1074" t="str">
        <f>IF(AND(FORSIDE!$B$8&gt;=2,FORSIDE!$F$8&gt;=5,FORSIDE!$B$5&gt;=3),"S1073","")</f>
        <v/>
      </c>
      <c r="B1074" t="str">
        <f>IF(AND(FORSIDE!$B$8&gt;=2,FORSIDE!$F$8&gt;=5,FORSIDE!$B$5&gt;=3),"1180 -&gt; 1181","")</f>
        <v/>
      </c>
      <c r="C1074" t="str">
        <f>FORSIDE!$C$4</f>
        <v>S355, Stål / KFHUP 180x180x12.5</v>
      </c>
    </row>
    <row r="1075" spans="1:3" x14ac:dyDescent="0.3">
      <c r="A1075" t="str">
        <f>IF(AND(FORSIDE!$B$8&gt;=2,FORSIDE!$F$8&gt;=5,FORSIDE!$B$5&gt;=4),"S1074","")</f>
        <v/>
      </c>
      <c r="B1075" t="str">
        <f>IF(AND(FORSIDE!$B$8&gt;=2,FORSIDE!$F$8&gt;=5,FORSIDE!$B$5&gt;=4),"1181 -&gt; 1182","")</f>
        <v/>
      </c>
      <c r="C1075" t="str">
        <f>FORSIDE!$C$4</f>
        <v>S355, Stål / KFHUP 180x180x12.5</v>
      </c>
    </row>
    <row r="1076" spans="1:3" x14ac:dyDescent="0.3">
      <c r="A1076" t="str">
        <f>IF(AND(FORSIDE!$B$8&gt;=2,FORSIDE!$F$8&gt;=5,FORSIDE!$B$5&gt;=5),"S1075","")</f>
        <v/>
      </c>
      <c r="B1076" t="str">
        <f>IF(AND(FORSIDE!$B$8&gt;=2,FORSIDE!$F$8&gt;=5,FORSIDE!$B$5&gt;=5),"1182 -&gt; 1183","")</f>
        <v/>
      </c>
      <c r="C1076" t="str">
        <f>FORSIDE!$C$4</f>
        <v>S355, Stål / KFHUP 180x180x12.5</v>
      </c>
    </row>
    <row r="1077" spans="1:3" x14ac:dyDescent="0.3">
      <c r="A1077" t="str">
        <f>IF(AND(FORSIDE!$B$8&gt;=2,FORSIDE!$F$8&gt;=5,FORSIDE!$B$5&gt;=6),"S1076","")</f>
        <v/>
      </c>
      <c r="B1077" t="str">
        <f>IF(AND(FORSIDE!$B$8&gt;=2,FORSIDE!$F$8&gt;=5,FORSIDE!$B$5&gt;=6),"1183 -&gt; 1184","")</f>
        <v/>
      </c>
      <c r="C1077" t="str">
        <f>FORSIDE!$C$4</f>
        <v>S355, Stål / KFHUP 180x180x12.5</v>
      </c>
    </row>
    <row r="1078" spans="1:3" x14ac:dyDescent="0.3">
      <c r="A1078" t="str">
        <f>IF(AND(FORSIDE!$B$8&gt;=2,FORSIDE!$F$8&gt;=5,FORSIDE!$B$5&gt;=7),"S1077","")</f>
        <v/>
      </c>
      <c r="B1078" t="str">
        <f>IF(AND(FORSIDE!$B$8&gt;=2,FORSIDE!$F$8&gt;=5,FORSIDE!$B$5&gt;=7),"1184 -&gt; 1185","")</f>
        <v/>
      </c>
      <c r="C1078" t="str">
        <f>FORSIDE!$C$4</f>
        <v>S355, Stål / KFHUP 180x180x12.5</v>
      </c>
    </row>
    <row r="1079" spans="1:3" x14ac:dyDescent="0.3">
      <c r="A1079" t="str">
        <f>IF(AND(FORSIDE!$B$8&gt;=2,FORSIDE!$F$8&gt;=5,FORSIDE!$B$5&gt;=8),"S1078","")</f>
        <v/>
      </c>
      <c r="B1079" t="str">
        <f>IF(AND(FORSIDE!$B$8&gt;=2,FORSIDE!$F$8&gt;=5,FORSIDE!$B$5&gt;=8),"1185 -&gt; 1186","")</f>
        <v/>
      </c>
      <c r="C1079" t="str">
        <f>FORSIDE!$C$4</f>
        <v>S355, Stål / KFHUP 180x180x12.5</v>
      </c>
    </row>
    <row r="1080" spans="1:3" x14ac:dyDescent="0.3">
      <c r="A1080" t="str">
        <f>IF(AND(FORSIDE!$B$8&gt;=2,FORSIDE!$F$8&gt;=5,FORSIDE!$B$5&gt;=9),"S1079","")</f>
        <v/>
      </c>
      <c r="B1080" t="str">
        <f>IF(AND(FORSIDE!$B$8&gt;=2,FORSIDE!$F$8&gt;=5,FORSIDE!$B$5&gt;=9),"1186 -&gt; 1187","")</f>
        <v/>
      </c>
      <c r="C1080" t="str">
        <f>FORSIDE!$C$4</f>
        <v>S355, Stål / KFHUP 180x180x12.5</v>
      </c>
    </row>
    <row r="1081" spans="1:3" x14ac:dyDescent="0.3">
      <c r="A1081" t="str">
        <f>IF(AND(FORSIDE!$B$8&gt;=2,FORSIDE!$F$8&gt;=5,FORSIDE!$B$5&gt;=10),"S1080","")</f>
        <v/>
      </c>
      <c r="B1081" t="str">
        <f>IF(AND(FORSIDE!$B$8&gt;=2,FORSIDE!$F$8&gt;=5,FORSIDE!$B$5&gt;=10),"1187 -&gt; 1188","")</f>
        <v/>
      </c>
      <c r="C1081" t="str">
        <f>FORSIDE!$C$4</f>
        <v>S355, Stål / KFHUP 180x180x12.5</v>
      </c>
    </row>
    <row r="1082" spans="1:3" x14ac:dyDescent="0.3">
      <c r="A1082" t="str">
        <f>IF(AND(FORSIDE!$B$8&gt;=3,FORSIDE!$F$8&gt;=5,FORSIDE!$B$5&gt;=1),"S1081","")</f>
        <v/>
      </c>
      <c r="B1082" t="str">
        <f>IF(AND(FORSIDE!$B$8&gt;=3,FORSIDE!$F$8&gt;=5,FORSIDE!$B$5&gt;=1),"1189 -&gt; 1190","")</f>
        <v/>
      </c>
      <c r="C1082" t="str">
        <f>FORSIDE!$C$4</f>
        <v>S355, Stål / KFHUP 180x180x12.5</v>
      </c>
    </row>
    <row r="1083" spans="1:3" x14ac:dyDescent="0.3">
      <c r="A1083" t="str">
        <f>IF(AND(FORSIDE!$B$8&gt;=3,FORSIDE!$F$8&gt;=5,FORSIDE!$B$5&gt;=2),"S1082","")</f>
        <v/>
      </c>
      <c r="B1083" t="str">
        <f>IF(AND(FORSIDE!$B$8&gt;=3,FORSIDE!$F$8&gt;=5,FORSIDE!$B$5&gt;=2),"1190 -&gt; 1191","")</f>
        <v/>
      </c>
      <c r="C1083" t="str">
        <f>FORSIDE!$C$4</f>
        <v>S355, Stål / KFHUP 180x180x12.5</v>
      </c>
    </row>
    <row r="1084" spans="1:3" x14ac:dyDescent="0.3">
      <c r="A1084" t="str">
        <f>IF(AND(FORSIDE!$B$8&gt;=3,FORSIDE!$F$8&gt;=5,FORSIDE!$B$5&gt;=3),"S1083","")</f>
        <v/>
      </c>
      <c r="B1084" t="str">
        <f>IF(AND(FORSIDE!$B$8&gt;=3,FORSIDE!$F$8&gt;=5,FORSIDE!$B$5&gt;=3),"1191 -&gt; 1192","")</f>
        <v/>
      </c>
      <c r="C1084" t="str">
        <f>FORSIDE!$C$4</f>
        <v>S355, Stål / KFHUP 180x180x12.5</v>
      </c>
    </row>
    <row r="1085" spans="1:3" x14ac:dyDescent="0.3">
      <c r="A1085" t="str">
        <f>IF(AND(FORSIDE!$B$8&gt;=3,FORSIDE!$F$8&gt;=5,FORSIDE!$B$5&gt;=4),"S1084","")</f>
        <v/>
      </c>
      <c r="B1085" t="str">
        <f>IF(AND(FORSIDE!$B$8&gt;=3,FORSIDE!$F$8&gt;=5,FORSIDE!$B$5&gt;=4),"1192 -&gt; 1193","")</f>
        <v/>
      </c>
      <c r="C1085" t="str">
        <f>FORSIDE!$C$4</f>
        <v>S355, Stål / KFHUP 180x180x12.5</v>
      </c>
    </row>
    <row r="1086" spans="1:3" x14ac:dyDescent="0.3">
      <c r="A1086" t="str">
        <f>IF(AND(FORSIDE!$B$8&gt;=3,FORSIDE!$F$8&gt;=5,FORSIDE!$B$5&gt;=5),"S1085","")</f>
        <v/>
      </c>
      <c r="B1086" t="str">
        <f>IF(AND(FORSIDE!$B$8&gt;=3,FORSIDE!$F$8&gt;=5,FORSIDE!$B$5&gt;=5),"1193 -&gt; 1194","")</f>
        <v/>
      </c>
      <c r="C1086" t="str">
        <f>FORSIDE!$C$4</f>
        <v>S355, Stål / KFHUP 180x180x12.5</v>
      </c>
    </row>
    <row r="1087" spans="1:3" x14ac:dyDescent="0.3">
      <c r="A1087" t="str">
        <f>IF(AND(FORSIDE!$B$8&gt;=3,FORSIDE!$F$8&gt;=5,FORSIDE!$B$5&gt;=6),"S1086","")</f>
        <v/>
      </c>
      <c r="B1087" t="str">
        <f>IF(AND(FORSIDE!$B$8&gt;=3,FORSIDE!$F$8&gt;=5,FORSIDE!$B$5&gt;=6),"1194 -&gt; 1195","")</f>
        <v/>
      </c>
      <c r="C1087" t="str">
        <f>FORSIDE!$C$4</f>
        <v>S355, Stål / KFHUP 180x180x12.5</v>
      </c>
    </row>
    <row r="1088" spans="1:3" x14ac:dyDescent="0.3">
      <c r="A1088" t="str">
        <f>IF(AND(FORSIDE!$B$8&gt;=3,FORSIDE!$F$8&gt;=5,FORSIDE!$B$5&gt;=7),"S1087","")</f>
        <v/>
      </c>
      <c r="B1088" t="str">
        <f>IF(AND(FORSIDE!$B$8&gt;=3,FORSIDE!$F$8&gt;=5,FORSIDE!$B$5&gt;=7),"1195 -&gt; 1196","")</f>
        <v/>
      </c>
      <c r="C1088" t="str">
        <f>FORSIDE!$C$4</f>
        <v>S355, Stål / KFHUP 180x180x12.5</v>
      </c>
    </row>
    <row r="1089" spans="1:3" x14ac:dyDescent="0.3">
      <c r="A1089" t="str">
        <f>IF(AND(FORSIDE!$B$8&gt;=3,FORSIDE!$F$8&gt;=5,FORSIDE!$B$5&gt;=8),"S1088","")</f>
        <v/>
      </c>
      <c r="B1089" t="str">
        <f>IF(AND(FORSIDE!$B$8&gt;=3,FORSIDE!$F$8&gt;=5,FORSIDE!$B$5&gt;=8),"1196 -&gt; 1197","")</f>
        <v/>
      </c>
      <c r="C1089" t="str">
        <f>FORSIDE!$C$4</f>
        <v>S355, Stål / KFHUP 180x180x12.5</v>
      </c>
    </row>
    <row r="1090" spans="1:3" x14ac:dyDescent="0.3">
      <c r="A1090" t="str">
        <f>IF(AND(FORSIDE!$B$8&gt;=3,FORSIDE!$F$8&gt;=5,FORSIDE!$B$5&gt;=9),"S1089","")</f>
        <v/>
      </c>
      <c r="B1090" t="str">
        <f>IF(AND(FORSIDE!$B$8&gt;=3,FORSIDE!$F$8&gt;=5,FORSIDE!$B$5&gt;=9),"1197 -&gt; 1198","")</f>
        <v/>
      </c>
      <c r="C1090" t="str">
        <f>FORSIDE!$C$4</f>
        <v>S355, Stål / KFHUP 180x180x12.5</v>
      </c>
    </row>
    <row r="1091" spans="1:3" x14ac:dyDescent="0.3">
      <c r="A1091" t="str">
        <f>IF(AND(FORSIDE!$B$8&gt;=3,FORSIDE!$F$8&gt;=5,FORSIDE!$B$5&gt;=10),"S1090","")</f>
        <v/>
      </c>
      <c r="B1091" t="str">
        <f>IF(AND(FORSIDE!$B$8&gt;=3,FORSIDE!$F$8&gt;=5,FORSIDE!$B$5&gt;=10),"1198 -&gt; 1199","")</f>
        <v/>
      </c>
      <c r="C1091" t="str">
        <f>FORSIDE!$C$4</f>
        <v>S355, Stål / KFHUP 180x180x12.5</v>
      </c>
    </row>
    <row r="1092" spans="1:3" x14ac:dyDescent="0.3">
      <c r="A1092" t="str">
        <f>IF(AND(FORSIDE!$B$8&gt;=4,FORSIDE!$F$8&gt;=5,FORSIDE!$B$5&gt;=1),"S1091","")</f>
        <v/>
      </c>
      <c r="B1092" t="str">
        <f>IF(AND(FORSIDE!$B$8&gt;=4,FORSIDE!$F$8&gt;=5,FORSIDE!$B$5&gt;=1),"1200 -&gt; 1201","")</f>
        <v/>
      </c>
      <c r="C1092" t="str">
        <f>FORSIDE!$C$4</f>
        <v>S355, Stål / KFHUP 180x180x12.5</v>
      </c>
    </row>
    <row r="1093" spans="1:3" x14ac:dyDescent="0.3">
      <c r="A1093" t="str">
        <f>IF(AND(FORSIDE!$B$8&gt;=4,FORSIDE!$F$8&gt;=5,FORSIDE!$B$5&gt;=2),"S1092","")</f>
        <v/>
      </c>
      <c r="B1093" t="str">
        <f>IF(AND(FORSIDE!$B$8&gt;=4,FORSIDE!$F$8&gt;=5,FORSIDE!$B$5&gt;=2),"1201 -&gt; 1202","")</f>
        <v/>
      </c>
      <c r="C1093" t="str">
        <f>FORSIDE!$C$4</f>
        <v>S355, Stål / KFHUP 180x180x12.5</v>
      </c>
    </row>
    <row r="1094" spans="1:3" x14ac:dyDescent="0.3">
      <c r="A1094" t="str">
        <f>IF(AND(FORSIDE!$B$8&gt;=4,FORSIDE!$F$8&gt;=5,FORSIDE!$B$5&gt;=3),"S1093","")</f>
        <v/>
      </c>
      <c r="B1094" t="str">
        <f>IF(AND(FORSIDE!$B$8&gt;=4,FORSIDE!$F$8&gt;=5,FORSIDE!$B$5&gt;=3),"1202 -&gt; 1203","")</f>
        <v/>
      </c>
      <c r="C1094" t="str">
        <f>FORSIDE!$C$4</f>
        <v>S355, Stål / KFHUP 180x180x12.5</v>
      </c>
    </row>
    <row r="1095" spans="1:3" x14ac:dyDescent="0.3">
      <c r="A1095" t="str">
        <f>IF(AND(FORSIDE!$B$8&gt;=4,FORSIDE!$F$8&gt;=5,FORSIDE!$B$5&gt;=4),"S1094","")</f>
        <v/>
      </c>
      <c r="B1095" t="str">
        <f>IF(AND(FORSIDE!$B$8&gt;=4,FORSIDE!$F$8&gt;=5,FORSIDE!$B$5&gt;=4),"1203 -&gt; 1204","")</f>
        <v/>
      </c>
      <c r="C1095" t="str">
        <f>FORSIDE!$C$4</f>
        <v>S355, Stål / KFHUP 180x180x12.5</v>
      </c>
    </row>
    <row r="1096" spans="1:3" x14ac:dyDescent="0.3">
      <c r="A1096" t="str">
        <f>IF(AND(FORSIDE!$B$8&gt;=4,FORSIDE!$F$8&gt;=5,FORSIDE!$B$5&gt;=5),"S1095","")</f>
        <v/>
      </c>
      <c r="B1096" t="str">
        <f>IF(AND(FORSIDE!$B$8&gt;=4,FORSIDE!$F$8&gt;=5,FORSIDE!$B$5&gt;=5),"1204 -&gt; 1205","")</f>
        <v/>
      </c>
      <c r="C1096" t="str">
        <f>FORSIDE!$C$4</f>
        <v>S355, Stål / KFHUP 180x180x12.5</v>
      </c>
    </row>
    <row r="1097" spans="1:3" x14ac:dyDescent="0.3">
      <c r="A1097" t="str">
        <f>IF(AND(FORSIDE!$B$8&gt;=4,FORSIDE!$F$8&gt;=5,FORSIDE!$B$5&gt;=6),"S1096","")</f>
        <v/>
      </c>
      <c r="B1097" t="str">
        <f>IF(AND(FORSIDE!$B$8&gt;=4,FORSIDE!$F$8&gt;=5,FORSIDE!$B$5&gt;=6),"1205 -&gt; 1206","")</f>
        <v/>
      </c>
      <c r="C1097" t="str">
        <f>FORSIDE!$C$4</f>
        <v>S355, Stål / KFHUP 180x180x12.5</v>
      </c>
    </row>
    <row r="1098" spans="1:3" x14ac:dyDescent="0.3">
      <c r="A1098" t="str">
        <f>IF(AND(FORSIDE!$B$8&gt;=4,FORSIDE!$F$8&gt;=5,FORSIDE!$B$5&gt;=7),"S1097","")</f>
        <v/>
      </c>
      <c r="B1098" t="str">
        <f>IF(AND(FORSIDE!$B$8&gt;=4,FORSIDE!$F$8&gt;=5,FORSIDE!$B$5&gt;=7),"1206 -&gt; 1207","")</f>
        <v/>
      </c>
      <c r="C1098" t="str">
        <f>FORSIDE!$C$4</f>
        <v>S355, Stål / KFHUP 180x180x12.5</v>
      </c>
    </row>
    <row r="1099" spans="1:3" x14ac:dyDescent="0.3">
      <c r="A1099" t="str">
        <f>IF(AND(FORSIDE!$B$8&gt;=4,FORSIDE!$F$8&gt;=5,FORSIDE!$B$5&gt;=8),"S1098","")</f>
        <v/>
      </c>
      <c r="B1099" t="str">
        <f>IF(AND(FORSIDE!$B$8&gt;=4,FORSIDE!$F$8&gt;=5,FORSIDE!$B$5&gt;=8),"1207 -&gt; 1208","")</f>
        <v/>
      </c>
      <c r="C1099" t="str">
        <f>FORSIDE!$C$4</f>
        <v>S355, Stål / KFHUP 180x180x12.5</v>
      </c>
    </row>
    <row r="1100" spans="1:3" x14ac:dyDescent="0.3">
      <c r="A1100" t="str">
        <f>IF(AND(FORSIDE!$B$8&gt;=4,FORSIDE!$F$8&gt;=5,FORSIDE!$B$5&gt;=9),"S1099","")</f>
        <v/>
      </c>
      <c r="B1100" t="str">
        <f>IF(AND(FORSIDE!$B$8&gt;=4,FORSIDE!$F$8&gt;=5,FORSIDE!$B$5&gt;=9),"1208 -&gt; 1209","")</f>
        <v/>
      </c>
      <c r="C1100" t="str">
        <f>FORSIDE!$C$4</f>
        <v>S355, Stål / KFHUP 180x180x12.5</v>
      </c>
    </row>
    <row r="1101" spans="1:3" x14ac:dyDescent="0.3">
      <c r="A1101" t="str">
        <f>IF(AND(FORSIDE!$B$8&gt;=4,FORSIDE!$F$8&gt;=5,FORSIDE!$B$5&gt;=10),"S1100","")</f>
        <v/>
      </c>
      <c r="B1101" t="str">
        <f>IF(AND(FORSIDE!$B$8&gt;=4,FORSIDE!$F$8&gt;=5,FORSIDE!$B$5&gt;=10),"1209 -&gt; 1210","")</f>
        <v/>
      </c>
      <c r="C1101" t="str">
        <f>FORSIDE!$C$4</f>
        <v>S355, Stål / KFHUP 180x180x12.5</v>
      </c>
    </row>
    <row r="1102" spans="1:3" x14ac:dyDescent="0.3">
      <c r="A1102" t="str">
        <f>IF(AND(FORSIDE!$B$8&gt;=5,FORSIDE!$F$8&gt;=5,FORSIDE!$B$5&gt;=1),"S1101","")</f>
        <v/>
      </c>
      <c r="B1102" t="str">
        <f>IF(AND(FORSIDE!$B$8&gt;=5,FORSIDE!$F$8&gt;=5,FORSIDE!$B$5&gt;=1),"1211 -&gt; 1212","")</f>
        <v/>
      </c>
      <c r="C1102" t="str">
        <f>FORSIDE!$C$4</f>
        <v>S355, Stål / KFHUP 180x180x12.5</v>
      </c>
    </row>
    <row r="1103" spans="1:3" x14ac:dyDescent="0.3">
      <c r="A1103" t="str">
        <f>IF(AND(FORSIDE!$B$8&gt;=5,FORSIDE!$F$8&gt;=5,FORSIDE!$B$5&gt;=2),"S1102","")</f>
        <v/>
      </c>
      <c r="B1103" t="str">
        <f>IF(AND(FORSIDE!$B$8&gt;=5,FORSIDE!$F$8&gt;=5,FORSIDE!$B$5&gt;=2),"1212 -&gt; 1213","")</f>
        <v/>
      </c>
      <c r="C1103" t="str">
        <f>FORSIDE!$C$4</f>
        <v>S355, Stål / KFHUP 180x180x12.5</v>
      </c>
    </row>
    <row r="1104" spans="1:3" x14ac:dyDescent="0.3">
      <c r="A1104" t="str">
        <f>IF(AND(FORSIDE!$B$8&gt;=5,FORSIDE!$F$8&gt;=5,FORSIDE!$B$5&gt;=3),"S1103","")</f>
        <v/>
      </c>
      <c r="B1104" t="str">
        <f>IF(AND(FORSIDE!$B$8&gt;=5,FORSIDE!$F$8&gt;=5,FORSIDE!$B$5&gt;=3),"1213 -&gt; 1214","")</f>
        <v/>
      </c>
      <c r="C1104" t="str">
        <f>FORSIDE!$C$4</f>
        <v>S355, Stål / KFHUP 180x180x12.5</v>
      </c>
    </row>
    <row r="1105" spans="1:3" x14ac:dyDescent="0.3">
      <c r="A1105" t="str">
        <f>IF(AND(FORSIDE!$B$8&gt;=5,FORSIDE!$F$8&gt;=5,FORSIDE!$B$5&gt;=4),"S1104","")</f>
        <v/>
      </c>
      <c r="B1105" t="str">
        <f>IF(AND(FORSIDE!$B$8&gt;=5,FORSIDE!$F$8&gt;=5,FORSIDE!$B$5&gt;=4),"1214 -&gt; 1215","")</f>
        <v/>
      </c>
      <c r="C1105" t="str">
        <f>FORSIDE!$C$4</f>
        <v>S355, Stål / KFHUP 180x180x12.5</v>
      </c>
    </row>
    <row r="1106" spans="1:3" x14ac:dyDescent="0.3">
      <c r="A1106" t="str">
        <f>IF(AND(FORSIDE!$B$8&gt;=5,FORSIDE!$F$8&gt;=5,FORSIDE!$B$5&gt;=5),"S1105","")</f>
        <v/>
      </c>
      <c r="B1106" t="str">
        <f>IF(AND(FORSIDE!$B$8&gt;=5,FORSIDE!$F$8&gt;=5,FORSIDE!$B$5&gt;=5),"1215 -&gt; 1216","")</f>
        <v/>
      </c>
      <c r="C1106" t="str">
        <f>FORSIDE!$C$4</f>
        <v>S355, Stål / KFHUP 180x180x12.5</v>
      </c>
    </row>
    <row r="1107" spans="1:3" x14ac:dyDescent="0.3">
      <c r="A1107" t="str">
        <f>IF(AND(FORSIDE!$B$8&gt;=5,FORSIDE!$F$8&gt;=5,FORSIDE!$B$5&gt;=6),"S1106","")</f>
        <v/>
      </c>
      <c r="B1107" t="str">
        <f>IF(AND(FORSIDE!$B$8&gt;=5,FORSIDE!$F$8&gt;=5,FORSIDE!$B$5&gt;=6),"1216 -&gt; 1217","")</f>
        <v/>
      </c>
      <c r="C1107" t="str">
        <f>FORSIDE!$C$4</f>
        <v>S355, Stål / KFHUP 180x180x12.5</v>
      </c>
    </row>
    <row r="1108" spans="1:3" x14ac:dyDescent="0.3">
      <c r="A1108" t="str">
        <f>IF(AND(FORSIDE!$B$8&gt;=5,FORSIDE!$F$8&gt;=5,FORSIDE!$B$5&gt;=7),"S1107","")</f>
        <v/>
      </c>
      <c r="B1108" t="str">
        <f>IF(AND(FORSIDE!$B$8&gt;=5,FORSIDE!$F$8&gt;=5,FORSIDE!$B$5&gt;=7),"1217 -&gt; 1218","")</f>
        <v/>
      </c>
      <c r="C1108" t="str">
        <f>FORSIDE!$C$4</f>
        <v>S355, Stål / KFHUP 180x180x12.5</v>
      </c>
    </row>
    <row r="1109" spans="1:3" x14ac:dyDescent="0.3">
      <c r="A1109" t="str">
        <f>IF(AND(FORSIDE!$B$8&gt;=5,FORSIDE!$F$8&gt;=5,FORSIDE!$B$5&gt;=8),"S1108","")</f>
        <v/>
      </c>
      <c r="B1109" t="str">
        <f>IF(AND(FORSIDE!$B$8&gt;=5,FORSIDE!$F$8&gt;=5,FORSIDE!$B$5&gt;=8),"1218 -&gt; 1219","")</f>
        <v/>
      </c>
      <c r="C1109" t="str">
        <f>FORSIDE!$C$4</f>
        <v>S355, Stål / KFHUP 180x180x12.5</v>
      </c>
    </row>
    <row r="1110" spans="1:3" x14ac:dyDescent="0.3">
      <c r="A1110" t="str">
        <f>IF(AND(FORSIDE!$B$8&gt;=5,FORSIDE!$F$8&gt;=5,FORSIDE!$B$5&gt;=9),"S1109","")</f>
        <v/>
      </c>
      <c r="B1110" t="str">
        <f>IF(AND(FORSIDE!$B$8&gt;=5,FORSIDE!$F$8&gt;=5,FORSIDE!$B$5&gt;=9),"1219 -&gt; 1220","")</f>
        <v/>
      </c>
      <c r="C1110" t="str">
        <f>FORSIDE!$C$4</f>
        <v>S355, Stål / KFHUP 180x180x12.5</v>
      </c>
    </row>
    <row r="1111" spans="1:3" x14ac:dyDescent="0.3">
      <c r="A1111" t="str">
        <f>IF(AND(FORSIDE!$B$8&gt;=5,FORSIDE!$F$8&gt;=5,FORSIDE!$B$5&gt;=10),"S1110","")</f>
        <v/>
      </c>
      <c r="B1111" t="str">
        <f>IF(AND(FORSIDE!$B$8&gt;=5,FORSIDE!$F$8&gt;=5,FORSIDE!$B$5&gt;=10),"1220 -&gt; 1221","")</f>
        <v/>
      </c>
      <c r="C1111" t="str">
        <f>FORSIDE!$C$4</f>
        <v>S355, Stål / KFHUP 180x180x12.5</v>
      </c>
    </row>
    <row r="1112" spans="1:3" x14ac:dyDescent="0.3">
      <c r="A1112" t="str">
        <f>IF(AND(FORSIDE!$B$8&gt;=6,FORSIDE!$F$8&gt;=5,FORSIDE!$B$5&gt;=1),"S1111","")</f>
        <v/>
      </c>
      <c r="B1112" t="str">
        <f>IF(AND(FORSIDE!$B$8&gt;=6,FORSIDE!$F$8&gt;=5,FORSIDE!$B$5&gt;=1),"1222 -&gt; 1223","")</f>
        <v/>
      </c>
      <c r="C1112" t="str">
        <f>FORSIDE!$C$4</f>
        <v>S355, Stål / KFHUP 180x180x12.5</v>
      </c>
    </row>
    <row r="1113" spans="1:3" x14ac:dyDescent="0.3">
      <c r="A1113" t="str">
        <f>IF(AND(FORSIDE!$B$8&gt;=6,FORSIDE!$F$8&gt;=5,FORSIDE!$B$5&gt;=2),"S1112","")</f>
        <v/>
      </c>
      <c r="B1113" t="str">
        <f>IF(AND(FORSIDE!$B$8&gt;=6,FORSIDE!$F$8&gt;=5,FORSIDE!$B$5&gt;=2),"1223 -&gt; 1224","")</f>
        <v/>
      </c>
      <c r="C1113" t="str">
        <f>FORSIDE!$C$4</f>
        <v>S355, Stål / KFHUP 180x180x12.5</v>
      </c>
    </row>
    <row r="1114" spans="1:3" x14ac:dyDescent="0.3">
      <c r="A1114" t="str">
        <f>IF(AND(FORSIDE!$B$8&gt;=6,FORSIDE!$F$8&gt;=5,FORSIDE!$B$5&gt;=3),"S1113","")</f>
        <v/>
      </c>
      <c r="B1114" t="str">
        <f>IF(AND(FORSIDE!$B$8&gt;=6,FORSIDE!$F$8&gt;=5,FORSIDE!$B$5&gt;=3),"1224 -&gt; 1225","")</f>
        <v/>
      </c>
      <c r="C1114" t="str">
        <f>FORSIDE!$C$4</f>
        <v>S355, Stål / KFHUP 180x180x12.5</v>
      </c>
    </row>
    <row r="1115" spans="1:3" x14ac:dyDescent="0.3">
      <c r="A1115" t="str">
        <f>IF(AND(FORSIDE!$B$8&gt;=6,FORSIDE!$F$8&gt;=5,FORSIDE!$B$5&gt;=4),"S1114","")</f>
        <v/>
      </c>
      <c r="B1115" t="str">
        <f>IF(AND(FORSIDE!$B$8&gt;=6,FORSIDE!$F$8&gt;=5,FORSIDE!$B$5&gt;=4),"1225 -&gt; 1226","")</f>
        <v/>
      </c>
      <c r="C1115" t="str">
        <f>FORSIDE!$C$4</f>
        <v>S355, Stål / KFHUP 180x180x12.5</v>
      </c>
    </row>
    <row r="1116" spans="1:3" x14ac:dyDescent="0.3">
      <c r="A1116" t="str">
        <f>IF(AND(FORSIDE!$B$8&gt;=6,FORSIDE!$F$8&gt;=5,FORSIDE!$B$5&gt;=5),"S1115","")</f>
        <v/>
      </c>
      <c r="B1116" t="str">
        <f>IF(AND(FORSIDE!$B$8&gt;=6,FORSIDE!$F$8&gt;=5,FORSIDE!$B$5&gt;=5),"1226 -&gt; 1227","")</f>
        <v/>
      </c>
      <c r="C1116" t="str">
        <f>FORSIDE!$C$4</f>
        <v>S355, Stål / KFHUP 180x180x12.5</v>
      </c>
    </row>
    <row r="1117" spans="1:3" x14ac:dyDescent="0.3">
      <c r="A1117" t="str">
        <f>IF(AND(FORSIDE!$B$8&gt;=6,FORSIDE!$F$8&gt;=5,FORSIDE!$B$5&gt;=6),"S1116","")</f>
        <v/>
      </c>
      <c r="B1117" t="str">
        <f>IF(AND(FORSIDE!$B$8&gt;=6,FORSIDE!$F$8&gt;=5,FORSIDE!$B$5&gt;=6),"1227 -&gt; 1228","")</f>
        <v/>
      </c>
      <c r="C1117" t="str">
        <f>FORSIDE!$C$4</f>
        <v>S355, Stål / KFHUP 180x180x12.5</v>
      </c>
    </row>
    <row r="1118" spans="1:3" x14ac:dyDescent="0.3">
      <c r="A1118" t="str">
        <f>IF(AND(FORSIDE!$B$8&gt;=6,FORSIDE!$F$8&gt;=5,FORSIDE!$B$5&gt;=7),"S1117","")</f>
        <v/>
      </c>
      <c r="B1118" t="str">
        <f>IF(AND(FORSIDE!$B$8&gt;=6,FORSIDE!$F$8&gt;=5,FORSIDE!$B$5&gt;=7),"1228 -&gt; 1229","")</f>
        <v/>
      </c>
      <c r="C1118" t="str">
        <f>FORSIDE!$C$4</f>
        <v>S355, Stål / KFHUP 180x180x12.5</v>
      </c>
    </row>
    <row r="1119" spans="1:3" x14ac:dyDescent="0.3">
      <c r="A1119" t="str">
        <f>IF(AND(FORSIDE!$B$8&gt;=6,FORSIDE!$F$8&gt;=5,FORSIDE!$B$5&gt;=8),"S1118","")</f>
        <v/>
      </c>
      <c r="B1119" t="str">
        <f>IF(AND(FORSIDE!$B$8&gt;=6,FORSIDE!$F$8&gt;=5,FORSIDE!$B$5&gt;=8),"1229 -&gt; 1230","")</f>
        <v/>
      </c>
      <c r="C1119" t="str">
        <f>FORSIDE!$C$4</f>
        <v>S355, Stål / KFHUP 180x180x12.5</v>
      </c>
    </row>
    <row r="1120" spans="1:3" x14ac:dyDescent="0.3">
      <c r="A1120" t="str">
        <f>IF(AND(FORSIDE!$B$8&gt;=6,FORSIDE!$F$8&gt;=5,FORSIDE!$B$5&gt;=9),"S1119","")</f>
        <v/>
      </c>
      <c r="B1120" t="str">
        <f>IF(AND(FORSIDE!$B$8&gt;=6,FORSIDE!$F$8&gt;=5,FORSIDE!$B$5&gt;=9),"1230 -&gt; 1231","")</f>
        <v/>
      </c>
      <c r="C1120" t="str">
        <f>FORSIDE!$C$4</f>
        <v>S355, Stål / KFHUP 180x180x12.5</v>
      </c>
    </row>
    <row r="1121" spans="1:3" x14ac:dyDescent="0.3">
      <c r="A1121" t="str">
        <f>IF(AND(FORSIDE!$B$8&gt;=6,FORSIDE!$F$8&gt;=5,FORSIDE!$B$5&gt;=10),"S1120","")</f>
        <v/>
      </c>
      <c r="B1121" t="str">
        <f>IF(AND(FORSIDE!$B$8&gt;=6,FORSIDE!$F$8&gt;=5,FORSIDE!$B$5&gt;=10),"1231 -&gt; 1232","")</f>
        <v/>
      </c>
      <c r="C1121" t="str">
        <f>FORSIDE!$C$4</f>
        <v>S355, Stål / KFHUP 180x180x12.5</v>
      </c>
    </row>
    <row r="1122" spans="1:3" x14ac:dyDescent="0.3">
      <c r="A1122" t="str">
        <f>IF(AND(FORSIDE!$B$8&gt;=7,FORSIDE!$F$8&gt;=5,FORSIDE!$B$5&gt;=1),"S1121","")</f>
        <v/>
      </c>
      <c r="B1122" t="str">
        <f>IF(AND(FORSIDE!$B$8&gt;=7,FORSIDE!$F$8&gt;=5,FORSIDE!$B$5&gt;=1),"1233 -&gt; 1234","")</f>
        <v/>
      </c>
      <c r="C1122" t="str">
        <f>FORSIDE!$C$4</f>
        <v>S355, Stål / KFHUP 180x180x12.5</v>
      </c>
    </row>
    <row r="1123" spans="1:3" x14ac:dyDescent="0.3">
      <c r="A1123" t="str">
        <f>IF(AND(FORSIDE!$B$8&gt;=7,FORSIDE!$F$8&gt;=5,FORSIDE!$B$5&gt;=2),"S1122","")</f>
        <v/>
      </c>
      <c r="B1123" t="str">
        <f>IF(AND(FORSIDE!$B$8&gt;=7,FORSIDE!$F$8&gt;=5,FORSIDE!$B$5&gt;=2),"1234 -&gt; 1235","")</f>
        <v/>
      </c>
      <c r="C1123" t="str">
        <f>FORSIDE!$C$4</f>
        <v>S355, Stål / KFHUP 180x180x12.5</v>
      </c>
    </row>
    <row r="1124" spans="1:3" x14ac:dyDescent="0.3">
      <c r="A1124" t="str">
        <f>IF(AND(FORSIDE!$B$8&gt;=7,FORSIDE!$F$8&gt;=5,FORSIDE!$B$5&gt;=3),"S1123","")</f>
        <v/>
      </c>
      <c r="B1124" t="str">
        <f>IF(AND(FORSIDE!$B$8&gt;=7,FORSIDE!$F$8&gt;=5,FORSIDE!$B$5&gt;=3),"1235 -&gt; 1236","")</f>
        <v/>
      </c>
      <c r="C1124" t="str">
        <f>FORSIDE!$C$4</f>
        <v>S355, Stål / KFHUP 180x180x12.5</v>
      </c>
    </row>
    <row r="1125" spans="1:3" x14ac:dyDescent="0.3">
      <c r="A1125" t="str">
        <f>IF(AND(FORSIDE!$B$8&gt;=7,FORSIDE!$F$8&gt;=5,FORSIDE!$B$5&gt;=4),"S1124","")</f>
        <v/>
      </c>
      <c r="B1125" t="str">
        <f>IF(AND(FORSIDE!$B$8&gt;=7,FORSIDE!$F$8&gt;=5,FORSIDE!$B$5&gt;=4),"1236 -&gt; 1237","")</f>
        <v/>
      </c>
      <c r="C1125" t="str">
        <f>FORSIDE!$C$4</f>
        <v>S355, Stål / KFHUP 180x180x12.5</v>
      </c>
    </row>
    <row r="1126" spans="1:3" x14ac:dyDescent="0.3">
      <c r="A1126" t="str">
        <f>IF(AND(FORSIDE!$B$8&gt;=7,FORSIDE!$F$8&gt;=5,FORSIDE!$B$5&gt;=5),"S1125","")</f>
        <v/>
      </c>
      <c r="B1126" t="str">
        <f>IF(AND(FORSIDE!$B$8&gt;=7,FORSIDE!$F$8&gt;=5,FORSIDE!$B$5&gt;=5),"1237 -&gt; 1238","")</f>
        <v/>
      </c>
      <c r="C1126" t="str">
        <f>FORSIDE!$C$4</f>
        <v>S355, Stål / KFHUP 180x180x12.5</v>
      </c>
    </row>
    <row r="1127" spans="1:3" x14ac:dyDescent="0.3">
      <c r="A1127" t="str">
        <f>IF(AND(FORSIDE!$B$8&gt;=7,FORSIDE!$F$8&gt;=5,FORSIDE!$B$5&gt;=6),"S1126","")</f>
        <v/>
      </c>
      <c r="B1127" t="str">
        <f>IF(AND(FORSIDE!$B$8&gt;=7,FORSIDE!$F$8&gt;=5,FORSIDE!$B$5&gt;=6),"1238 -&gt; 1239","")</f>
        <v/>
      </c>
      <c r="C1127" t="str">
        <f>FORSIDE!$C$4</f>
        <v>S355, Stål / KFHUP 180x180x12.5</v>
      </c>
    </row>
    <row r="1128" spans="1:3" x14ac:dyDescent="0.3">
      <c r="A1128" t="str">
        <f>IF(AND(FORSIDE!$B$8&gt;=7,FORSIDE!$F$8&gt;=5,FORSIDE!$B$5&gt;=7),"S1127","")</f>
        <v/>
      </c>
      <c r="B1128" t="str">
        <f>IF(AND(FORSIDE!$B$8&gt;=7,FORSIDE!$F$8&gt;=5,FORSIDE!$B$5&gt;=7),"1239 -&gt; 1240","")</f>
        <v/>
      </c>
      <c r="C1128" t="str">
        <f>FORSIDE!$C$4</f>
        <v>S355, Stål / KFHUP 180x180x12.5</v>
      </c>
    </row>
    <row r="1129" spans="1:3" x14ac:dyDescent="0.3">
      <c r="A1129" t="str">
        <f>IF(AND(FORSIDE!$B$8&gt;=7,FORSIDE!$F$8&gt;=5,FORSIDE!$B$5&gt;=8),"S1128","")</f>
        <v/>
      </c>
      <c r="B1129" t="str">
        <f>IF(AND(FORSIDE!$B$8&gt;=7,FORSIDE!$F$8&gt;=5,FORSIDE!$B$5&gt;=8),"1240 -&gt; 1241","")</f>
        <v/>
      </c>
      <c r="C1129" t="str">
        <f>FORSIDE!$C$4</f>
        <v>S355, Stål / KFHUP 180x180x12.5</v>
      </c>
    </row>
    <row r="1130" spans="1:3" x14ac:dyDescent="0.3">
      <c r="A1130" t="str">
        <f>IF(AND(FORSIDE!$B$8&gt;=7,FORSIDE!$F$8&gt;=5,FORSIDE!$B$5&gt;=9),"S1129","")</f>
        <v/>
      </c>
      <c r="B1130" t="str">
        <f>IF(AND(FORSIDE!$B$8&gt;=7,FORSIDE!$F$8&gt;=5,FORSIDE!$B$5&gt;=9),"1241 -&gt; 1242","")</f>
        <v/>
      </c>
      <c r="C1130" t="str">
        <f>FORSIDE!$C$4</f>
        <v>S355, Stål / KFHUP 180x180x12.5</v>
      </c>
    </row>
    <row r="1131" spans="1:3" x14ac:dyDescent="0.3">
      <c r="A1131" t="str">
        <f>IF(AND(FORSIDE!$B$8&gt;=7,FORSIDE!$F$8&gt;=5,FORSIDE!$B$5&gt;=10),"S1130","")</f>
        <v/>
      </c>
      <c r="B1131" t="str">
        <f>IF(AND(FORSIDE!$B$8&gt;=7,FORSIDE!$F$8&gt;=5,FORSIDE!$B$5&gt;=10),"1242 -&gt; 1243","")</f>
        <v/>
      </c>
      <c r="C1131" t="str">
        <f>FORSIDE!$C$4</f>
        <v>S355, Stål / KFHUP 180x180x12.5</v>
      </c>
    </row>
    <row r="1132" spans="1:3" x14ac:dyDescent="0.3">
      <c r="A1132" t="str">
        <f>IF(AND(FORSIDE!$B$8&gt;=8,FORSIDE!$F$8&gt;=5,FORSIDE!$B$5&gt;=1),"S1131","")</f>
        <v/>
      </c>
      <c r="B1132" t="str">
        <f>IF(AND(FORSIDE!$B$8&gt;=8,FORSIDE!$F$8&gt;=5,FORSIDE!$B$5&gt;=1),"1244 -&gt; 1245","")</f>
        <v/>
      </c>
      <c r="C1132" t="str">
        <f>FORSIDE!$C$4</f>
        <v>S355, Stål / KFHUP 180x180x12.5</v>
      </c>
    </row>
    <row r="1133" spans="1:3" x14ac:dyDescent="0.3">
      <c r="A1133" t="str">
        <f>IF(AND(FORSIDE!$B$8&gt;=8,FORSIDE!$F$8&gt;=5,FORSIDE!$B$5&gt;=2),"S1132","")</f>
        <v/>
      </c>
      <c r="B1133" t="str">
        <f>IF(AND(FORSIDE!$B$8&gt;=8,FORSIDE!$F$8&gt;=5,FORSIDE!$B$5&gt;=2),"1245 -&gt; 1246","")</f>
        <v/>
      </c>
      <c r="C1133" t="str">
        <f>FORSIDE!$C$4</f>
        <v>S355, Stål / KFHUP 180x180x12.5</v>
      </c>
    </row>
    <row r="1134" spans="1:3" x14ac:dyDescent="0.3">
      <c r="A1134" t="str">
        <f>IF(AND(FORSIDE!$B$8&gt;=8,FORSIDE!$F$8&gt;=5,FORSIDE!$B$5&gt;=3),"S1133","")</f>
        <v/>
      </c>
      <c r="B1134" t="str">
        <f>IF(AND(FORSIDE!$B$8&gt;=8,FORSIDE!$F$8&gt;=5,FORSIDE!$B$5&gt;=3),"1246 -&gt; 1247","")</f>
        <v/>
      </c>
      <c r="C1134" t="str">
        <f>FORSIDE!$C$4</f>
        <v>S355, Stål / KFHUP 180x180x12.5</v>
      </c>
    </row>
    <row r="1135" spans="1:3" x14ac:dyDescent="0.3">
      <c r="A1135" t="str">
        <f>IF(AND(FORSIDE!$B$8&gt;=8,FORSIDE!$F$8&gt;=5,FORSIDE!$B$5&gt;=4),"S1134","")</f>
        <v/>
      </c>
      <c r="B1135" t="str">
        <f>IF(AND(FORSIDE!$B$8&gt;=8,FORSIDE!$F$8&gt;=5,FORSIDE!$B$5&gt;=4),"1247 -&gt; 1248","")</f>
        <v/>
      </c>
      <c r="C1135" t="str">
        <f>FORSIDE!$C$4</f>
        <v>S355, Stål / KFHUP 180x180x12.5</v>
      </c>
    </row>
    <row r="1136" spans="1:3" x14ac:dyDescent="0.3">
      <c r="A1136" t="str">
        <f>IF(AND(FORSIDE!$B$8&gt;=8,FORSIDE!$F$8&gt;=5,FORSIDE!$B$5&gt;=5),"S1135","")</f>
        <v/>
      </c>
      <c r="B1136" t="str">
        <f>IF(AND(FORSIDE!$B$8&gt;=8,FORSIDE!$F$8&gt;=5,FORSIDE!$B$5&gt;=5),"1248 -&gt; 1249","")</f>
        <v/>
      </c>
      <c r="C1136" t="str">
        <f>FORSIDE!$C$4</f>
        <v>S355, Stål / KFHUP 180x180x12.5</v>
      </c>
    </row>
    <row r="1137" spans="1:3" x14ac:dyDescent="0.3">
      <c r="A1137" t="str">
        <f>IF(AND(FORSIDE!$B$8&gt;=8,FORSIDE!$F$8&gt;=5,FORSIDE!$B$5&gt;=6),"S1136","")</f>
        <v/>
      </c>
      <c r="B1137" t="str">
        <f>IF(AND(FORSIDE!$B$8&gt;=8,FORSIDE!$F$8&gt;=5,FORSIDE!$B$5&gt;=6),"1249 -&gt; 1250","")</f>
        <v/>
      </c>
      <c r="C1137" t="str">
        <f>FORSIDE!$C$4</f>
        <v>S355, Stål / KFHUP 180x180x12.5</v>
      </c>
    </row>
    <row r="1138" spans="1:3" x14ac:dyDescent="0.3">
      <c r="A1138" t="str">
        <f>IF(AND(FORSIDE!$B$8&gt;=8,FORSIDE!$F$8&gt;=5,FORSIDE!$B$5&gt;=7),"S1137","")</f>
        <v/>
      </c>
      <c r="B1138" t="str">
        <f>IF(AND(FORSIDE!$B$8&gt;=8,FORSIDE!$F$8&gt;=5,FORSIDE!$B$5&gt;=7),"1250 -&gt; 1251","")</f>
        <v/>
      </c>
      <c r="C1138" t="str">
        <f>FORSIDE!$C$4</f>
        <v>S355, Stål / KFHUP 180x180x12.5</v>
      </c>
    </row>
    <row r="1139" spans="1:3" x14ac:dyDescent="0.3">
      <c r="A1139" t="str">
        <f>IF(AND(FORSIDE!$B$8&gt;=8,FORSIDE!$F$8&gt;=5,FORSIDE!$B$5&gt;=8),"S1138","")</f>
        <v/>
      </c>
      <c r="B1139" t="str">
        <f>IF(AND(FORSIDE!$B$8&gt;=8,FORSIDE!$F$8&gt;=5,FORSIDE!$B$5&gt;=8),"1251 -&gt; 1252","")</f>
        <v/>
      </c>
      <c r="C1139" t="str">
        <f>FORSIDE!$C$4</f>
        <v>S355, Stål / KFHUP 180x180x12.5</v>
      </c>
    </row>
    <row r="1140" spans="1:3" x14ac:dyDescent="0.3">
      <c r="A1140" t="str">
        <f>IF(AND(FORSIDE!$B$8&gt;=8,FORSIDE!$F$8&gt;=5,FORSIDE!$B$5&gt;=9),"S1139","")</f>
        <v/>
      </c>
      <c r="B1140" t="str">
        <f>IF(AND(FORSIDE!$B$8&gt;=8,FORSIDE!$F$8&gt;=5,FORSIDE!$B$5&gt;=9),"1252 -&gt; 1253","")</f>
        <v/>
      </c>
      <c r="C1140" t="str">
        <f>FORSIDE!$C$4</f>
        <v>S355, Stål / KFHUP 180x180x12.5</v>
      </c>
    </row>
    <row r="1141" spans="1:3" x14ac:dyDescent="0.3">
      <c r="A1141" t="str">
        <f>IF(AND(FORSIDE!$B$8&gt;=8,FORSIDE!$F$8&gt;=5,FORSIDE!$B$5&gt;=10),"S1140","")</f>
        <v/>
      </c>
      <c r="B1141" t="str">
        <f>IF(AND(FORSIDE!$B$8&gt;=8,FORSIDE!$F$8&gt;=5,FORSIDE!$B$5&gt;=10),"1253 -&gt; 1254","")</f>
        <v/>
      </c>
      <c r="C1141" t="str">
        <f>FORSIDE!$C$4</f>
        <v>S355, Stål / KFHUP 180x180x12.5</v>
      </c>
    </row>
    <row r="1142" spans="1:3" x14ac:dyDescent="0.3">
      <c r="A1142" t="str">
        <f>IF(AND(FORSIDE!$B$8&gt;=9,FORSIDE!$F$8&gt;=5,FORSIDE!$B$5&gt;=1),"S1141","")</f>
        <v/>
      </c>
      <c r="B1142" t="str">
        <f>IF(AND(FORSIDE!$B$8&gt;=9,FORSIDE!$F$8&gt;=5,FORSIDE!$B$5&gt;=1),"1255 -&gt; 1256","")</f>
        <v/>
      </c>
      <c r="C1142" t="str">
        <f>FORSIDE!$C$4</f>
        <v>S355, Stål / KFHUP 180x180x12.5</v>
      </c>
    </row>
    <row r="1143" spans="1:3" x14ac:dyDescent="0.3">
      <c r="A1143" t="str">
        <f>IF(AND(FORSIDE!$B$8&gt;=9,FORSIDE!$F$8&gt;=5,FORSIDE!$B$5&gt;=2),"S1142","")</f>
        <v/>
      </c>
      <c r="B1143" t="str">
        <f>IF(AND(FORSIDE!$B$8&gt;=9,FORSIDE!$F$8&gt;=5,FORSIDE!$B$5&gt;=2),"1256 -&gt; 1257","")</f>
        <v/>
      </c>
      <c r="C1143" t="str">
        <f>FORSIDE!$C$4</f>
        <v>S355, Stål / KFHUP 180x180x12.5</v>
      </c>
    </row>
    <row r="1144" spans="1:3" x14ac:dyDescent="0.3">
      <c r="A1144" t="str">
        <f>IF(AND(FORSIDE!$B$8&gt;=9,FORSIDE!$F$8&gt;=5,FORSIDE!$B$5&gt;=3),"S1143","")</f>
        <v/>
      </c>
      <c r="B1144" t="str">
        <f>IF(AND(FORSIDE!$B$8&gt;=9,FORSIDE!$F$8&gt;=5,FORSIDE!$B$5&gt;=3),"1257 -&gt; 1258","")</f>
        <v/>
      </c>
      <c r="C1144" t="str">
        <f>FORSIDE!$C$4</f>
        <v>S355, Stål / KFHUP 180x180x12.5</v>
      </c>
    </row>
    <row r="1145" spans="1:3" x14ac:dyDescent="0.3">
      <c r="A1145" t="str">
        <f>IF(AND(FORSIDE!$B$8&gt;=9,FORSIDE!$F$8&gt;=5,FORSIDE!$B$5&gt;=4),"S1144","")</f>
        <v/>
      </c>
      <c r="B1145" t="str">
        <f>IF(AND(FORSIDE!$B$8&gt;=9,FORSIDE!$F$8&gt;=5,FORSIDE!$B$5&gt;=4),"1258 -&gt; 1259","")</f>
        <v/>
      </c>
      <c r="C1145" t="str">
        <f>FORSIDE!$C$4</f>
        <v>S355, Stål / KFHUP 180x180x12.5</v>
      </c>
    </row>
    <row r="1146" spans="1:3" x14ac:dyDescent="0.3">
      <c r="A1146" t="str">
        <f>IF(AND(FORSIDE!$B$8&gt;=9,FORSIDE!$F$8&gt;=5,FORSIDE!$B$5&gt;=5),"S1145","")</f>
        <v/>
      </c>
      <c r="B1146" t="str">
        <f>IF(AND(FORSIDE!$B$8&gt;=9,FORSIDE!$F$8&gt;=5,FORSIDE!$B$5&gt;=5),"1259 -&gt; 1260","")</f>
        <v/>
      </c>
      <c r="C1146" t="str">
        <f>FORSIDE!$C$4</f>
        <v>S355, Stål / KFHUP 180x180x12.5</v>
      </c>
    </row>
    <row r="1147" spans="1:3" x14ac:dyDescent="0.3">
      <c r="A1147" t="str">
        <f>IF(AND(FORSIDE!$B$8&gt;=9,FORSIDE!$F$8&gt;=5,FORSIDE!$B$5&gt;=6),"S1146","")</f>
        <v/>
      </c>
      <c r="B1147" t="str">
        <f>IF(AND(FORSIDE!$B$8&gt;=9,FORSIDE!$F$8&gt;=5,FORSIDE!$B$5&gt;=6),"1260 -&gt; 1261","")</f>
        <v/>
      </c>
      <c r="C1147" t="str">
        <f>FORSIDE!$C$4</f>
        <v>S355, Stål / KFHUP 180x180x12.5</v>
      </c>
    </row>
    <row r="1148" spans="1:3" x14ac:dyDescent="0.3">
      <c r="A1148" t="str">
        <f>IF(AND(FORSIDE!$B$8&gt;=9,FORSIDE!$F$8&gt;=5,FORSIDE!$B$5&gt;=7),"S1147","")</f>
        <v/>
      </c>
      <c r="B1148" t="str">
        <f>IF(AND(FORSIDE!$B$8&gt;=9,FORSIDE!$F$8&gt;=5,FORSIDE!$B$5&gt;=7),"1261 -&gt; 1262","")</f>
        <v/>
      </c>
      <c r="C1148" t="str">
        <f>FORSIDE!$C$4</f>
        <v>S355, Stål / KFHUP 180x180x12.5</v>
      </c>
    </row>
    <row r="1149" spans="1:3" x14ac:dyDescent="0.3">
      <c r="A1149" t="str">
        <f>IF(AND(FORSIDE!$B$8&gt;=9,FORSIDE!$F$8&gt;=5,FORSIDE!$B$5&gt;=8),"S1148","")</f>
        <v/>
      </c>
      <c r="B1149" t="str">
        <f>IF(AND(FORSIDE!$B$8&gt;=9,FORSIDE!$F$8&gt;=5,FORSIDE!$B$5&gt;=8),"1262 -&gt; 1263","")</f>
        <v/>
      </c>
      <c r="C1149" t="str">
        <f>FORSIDE!$C$4</f>
        <v>S355, Stål / KFHUP 180x180x12.5</v>
      </c>
    </row>
    <row r="1150" spans="1:3" x14ac:dyDescent="0.3">
      <c r="A1150" t="str">
        <f>IF(AND(FORSIDE!$B$8&gt;=9,FORSIDE!$F$8&gt;=5,FORSIDE!$B$5&gt;=9),"S1149","")</f>
        <v/>
      </c>
      <c r="B1150" t="str">
        <f>IF(AND(FORSIDE!$B$8&gt;=9,FORSIDE!$F$8&gt;=5,FORSIDE!$B$5&gt;=9),"1263 -&gt; 1264","")</f>
        <v/>
      </c>
      <c r="C1150" t="str">
        <f>FORSIDE!$C$4</f>
        <v>S355, Stål / KFHUP 180x180x12.5</v>
      </c>
    </row>
    <row r="1151" spans="1:3" x14ac:dyDescent="0.3">
      <c r="A1151" t="str">
        <f>IF(AND(FORSIDE!$B$8&gt;=9,FORSIDE!$F$8&gt;=5,FORSIDE!$B$5&gt;=10),"S1150","")</f>
        <v/>
      </c>
      <c r="B1151" t="str">
        <f>IF(AND(FORSIDE!$B$8&gt;=9,FORSIDE!$F$8&gt;=5,FORSIDE!$B$5&gt;=10),"1264 -&gt; 1265","")</f>
        <v/>
      </c>
      <c r="C1151" t="str">
        <f>FORSIDE!$C$4</f>
        <v>S355, Stål / KFHUP 180x180x12.5</v>
      </c>
    </row>
    <row r="1152" spans="1:3" x14ac:dyDescent="0.3">
      <c r="A1152" t="str">
        <f>IF(AND(FORSIDE!$B$8&gt;=10,FORSIDE!$F$8&gt;=5,FORSIDE!$B$5&gt;=1),"S1151","")</f>
        <v/>
      </c>
      <c r="B1152" t="str">
        <f>IF(AND(FORSIDE!$B$8&gt;=10,FORSIDE!$F$8&gt;=5,FORSIDE!$B$5&gt;=1),"1266 -&gt; 1267","")</f>
        <v/>
      </c>
      <c r="C1152" t="str">
        <f>FORSIDE!$C$4</f>
        <v>S355, Stål / KFHUP 180x180x12.5</v>
      </c>
    </row>
    <row r="1153" spans="1:3" x14ac:dyDescent="0.3">
      <c r="A1153" t="str">
        <f>IF(AND(FORSIDE!$B$8&gt;=10,FORSIDE!$F$8&gt;=5,FORSIDE!$B$5&gt;=2),"S1152","")</f>
        <v/>
      </c>
      <c r="B1153" t="str">
        <f>IF(AND(FORSIDE!$B$8&gt;=10,FORSIDE!$F$8&gt;=5,FORSIDE!$B$5&gt;=2),"1267 -&gt; 1268","")</f>
        <v/>
      </c>
      <c r="C1153" t="str">
        <f>FORSIDE!$C$4</f>
        <v>S355, Stål / KFHUP 180x180x12.5</v>
      </c>
    </row>
    <row r="1154" spans="1:3" x14ac:dyDescent="0.3">
      <c r="A1154" t="str">
        <f>IF(AND(FORSIDE!$B$8&gt;=10,FORSIDE!$F$8&gt;=5,FORSIDE!$B$5&gt;=3),"S1153","")</f>
        <v/>
      </c>
      <c r="B1154" t="str">
        <f>IF(AND(FORSIDE!$B$8&gt;=10,FORSIDE!$F$8&gt;=5,FORSIDE!$B$5&gt;=3),"1268 -&gt; 1269","")</f>
        <v/>
      </c>
      <c r="C1154" t="str">
        <f>FORSIDE!$C$4</f>
        <v>S355, Stål / KFHUP 180x180x12.5</v>
      </c>
    </row>
    <row r="1155" spans="1:3" x14ac:dyDescent="0.3">
      <c r="A1155" t="str">
        <f>IF(AND(FORSIDE!$B$8&gt;=10,FORSIDE!$F$8&gt;=5,FORSIDE!$B$5&gt;=4),"S1154","")</f>
        <v/>
      </c>
      <c r="B1155" t="str">
        <f>IF(AND(FORSIDE!$B$8&gt;=10,FORSIDE!$F$8&gt;=5,FORSIDE!$B$5&gt;=4),"1269 -&gt; 1270","")</f>
        <v/>
      </c>
      <c r="C1155" t="str">
        <f>FORSIDE!$C$4</f>
        <v>S355, Stål / KFHUP 180x180x12.5</v>
      </c>
    </row>
    <row r="1156" spans="1:3" x14ac:dyDescent="0.3">
      <c r="A1156" t="str">
        <f>IF(AND(FORSIDE!$B$8&gt;=10,FORSIDE!$F$8&gt;=5,FORSIDE!$B$5&gt;=5),"S1155","")</f>
        <v/>
      </c>
      <c r="B1156" t="str">
        <f>IF(AND(FORSIDE!$B$8&gt;=10,FORSIDE!$F$8&gt;=5,FORSIDE!$B$5&gt;=5),"1270 -&gt; 1271","")</f>
        <v/>
      </c>
      <c r="C1156" t="str">
        <f>FORSIDE!$C$4</f>
        <v>S355, Stål / KFHUP 180x180x12.5</v>
      </c>
    </row>
    <row r="1157" spans="1:3" x14ac:dyDescent="0.3">
      <c r="A1157" t="str">
        <f>IF(AND(FORSIDE!$B$8&gt;=10,FORSIDE!$F$8&gt;=5,FORSIDE!$B$5&gt;=6),"S1156","")</f>
        <v/>
      </c>
      <c r="B1157" t="str">
        <f>IF(AND(FORSIDE!$B$8&gt;=10,FORSIDE!$F$8&gt;=5,FORSIDE!$B$5&gt;=6),"1271 -&gt; 1272","")</f>
        <v/>
      </c>
      <c r="C1157" t="str">
        <f>FORSIDE!$C$4</f>
        <v>S355, Stål / KFHUP 180x180x12.5</v>
      </c>
    </row>
    <row r="1158" spans="1:3" x14ac:dyDescent="0.3">
      <c r="A1158" t="str">
        <f>IF(AND(FORSIDE!$B$8&gt;=10,FORSIDE!$F$8&gt;=5,FORSIDE!$B$5&gt;=7),"S1157","")</f>
        <v/>
      </c>
      <c r="B1158" t="str">
        <f>IF(AND(FORSIDE!$B$8&gt;=10,FORSIDE!$F$8&gt;=5,FORSIDE!$B$5&gt;=7),"1272 -&gt; 1273","")</f>
        <v/>
      </c>
      <c r="C1158" t="str">
        <f>FORSIDE!$C$4</f>
        <v>S355, Stål / KFHUP 180x180x12.5</v>
      </c>
    </row>
    <row r="1159" spans="1:3" x14ac:dyDescent="0.3">
      <c r="A1159" t="str">
        <f>IF(AND(FORSIDE!$B$8&gt;=10,FORSIDE!$F$8&gt;=5,FORSIDE!$B$5&gt;=8),"S1158","")</f>
        <v/>
      </c>
      <c r="B1159" t="str">
        <f>IF(AND(FORSIDE!$B$8&gt;=10,FORSIDE!$F$8&gt;=5,FORSIDE!$B$5&gt;=8),"1273 -&gt; 1274","")</f>
        <v/>
      </c>
      <c r="C1159" t="str">
        <f>FORSIDE!$C$4</f>
        <v>S355, Stål / KFHUP 180x180x12.5</v>
      </c>
    </row>
    <row r="1160" spans="1:3" x14ac:dyDescent="0.3">
      <c r="A1160" t="str">
        <f>IF(AND(FORSIDE!$B$8&gt;=10,FORSIDE!$F$8&gt;=5,FORSIDE!$B$5&gt;=9),"S1159","")</f>
        <v/>
      </c>
      <c r="B1160" t="str">
        <f>IF(AND(FORSIDE!$B$8&gt;=10,FORSIDE!$F$8&gt;=5,FORSIDE!$B$5&gt;=9),"1274 -&gt; 1275","")</f>
        <v/>
      </c>
      <c r="C1160" t="str">
        <f>FORSIDE!$C$4</f>
        <v>S355, Stål / KFHUP 180x180x12.5</v>
      </c>
    </row>
    <row r="1161" spans="1:3" x14ac:dyDescent="0.3">
      <c r="A1161" t="str">
        <f>IF(AND(FORSIDE!$B$8&gt;=10,FORSIDE!$F$8&gt;=5,FORSIDE!$B$5&gt;=10),"S1160","")</f>
        <v/>
      </c>
      <c r="B1161" t="str">
        <f>IF(AND(FORSIDE!$B$8&gt;=10,FORSIDE!$F$8&gt;=5,FORSIDE!$B$5&gt;=10),"1275 -&gt; 1276","")</f>
        <v/>
      </c>
      <c r="C1161" t="str">
        <f>FORSIDE!$C$4</f>
        <v>S355, Stål / KFHUP 180x180x12.5</v>
      </c>
    </row>
    <row r="1162" spans="1:3" x14ac:dyDescent="0.3">
      <c r="A1162" t="str">
        <f>IF(AND(FORSIDE!$B$8&gt;=11,FORSIDE!$F$8&gt;=5,FORSIDE!$B$5&gt;=1),"S1161","")</f>
        <v/>
      </c>
      <c r="B1162" t="str">
        <f>IF(AND(FORSIDE!$B$8&gt;=11,FORSIDE!$F$8&gt;=5,FORSIDE!$B$5&gt;=1),"1277 -&gt; 1278","")</f>
        <v/>
      </c>
      <c r="C1162" t="str">
        <f>FORSIDE!$C$4</f>
        <v>S355, Stål / KFHUP 180x180x12.5</v>
      </c>
    </row>
    <row r="1163" spans="1:3" x14ac:dyDescent="0.3">
      <c r="A1163" t="str">
        <f>IF(AND(FORSIDE!$B$8&gt;=11,FORSIDE!$F$8&gt;=5,FORSIDE!$B$5&gt;=2),"S1162","")</f>
        <v/>
      </c>
      <c r="B1163" t="str">
        <f>IF(AND(FORSIDE!$B$8&gt;=11,FORSIDE!$F$8&gt;=5,FORSIDE!$B$5&gt;=2),"1278 -&gt; 1279","")</f>
        <v/>
      </c>
      <c r="C1163" t="str">
        <f>FORSIDE!$C$4</f>
        <v>S355, Stål / KFHUP 180x180x12.5</v>
      </c>
    </row>
    <row r="1164" spans="1:3" x14ac:dyDescent="0.3">
      <c r="A1164" t="str">
        <f>IF(AND(FORSIDE!$B$8&gt;=11,FORSIDE!$F$8&gt;=5,FORSIDE!$B$5&gt;=3),"S1163","")</f>
        <v/>
      </c>
      <c r="B1164" t="str">
        <f>IF(AND(FORSIDE!$B$8&gt;=11,FORSIDE!$F$8&gt;=5,FORSIDE!$B$5&gt;=3),"1279 -&gt; 1280","")</f>
        <v/>
      </c>
      <c r="C1164" t="str">
        <f>FORSIDE!$C$4</f>
        <v>S355, Stål / KFHUP 180x180x12.5</v>
      </c>
    </row>
    <row r="1165" spans="1:3" x14ac:dyDescent="0.3">
      <c r="A1165" t="str">
        <f>IF(AND(FORSIDE!$B$8&gt;=11,FORSIDE!$F$8&gt;=5,FORSIDE!$B$5&gt;=4),"S1164","")</f>
        <v/>
      </c>
      <c r="B1165" t="str">
        <f>IF(AND(FORSIDE!$B$8&gt;=11,FORSIDE!$F$8&gt;=5,FORSIDE!$B$5&gt;=4),"1280 -&gt; 1281","")</f>
        <v/>
      </c>
      <c r="C1165" t="str">
        <f>FORSIDE!$C$4</f>
        <v>S355, Stål / KFHUP 180x180x12.5</v>
      </c>
    </row>
    <row r="1166" spans="1:3" x14ac:dyDescent="0.3">
      <c r="A1166" t="str">
        <f>IF(AND(FORSIDE!$B$8&gt;=11,FORSIDE!$F$8&gt;=5,FORSIDE!$B$5&gt;=5),"S1165","")</f>
        <v/>
      </c>
      <c r="B1166" t="str">
        <f>IF(AND(FORSIDE!$B$8&gt;=11,FORSIDE!$F$8&gt;=5,FORSIDE!$B$5&gt;=5),"1281 -&gt; 1282","")</f>
        <v/>
      </c>
      <c r="C1166" t="str">
        <f>FORSIDE!$C$4</f>
        <v>S355, Stål / KFHUP 180x180x12.5</v>
      </c>
    </row>
    <row r="1167" spans="1:3" x14ac:dyDescent="0.3">
      <c r="A1167" t="str">
        <f>IF(AND(FORSIDE!$B$8&gt;=11,FORSIDE!$F$8&gt;=5,FORSIDE!$B$5&gt;=6),"S1166","")</f>
        <v/>
      </c>
      <c r="B1167" t="str">
        <f>IF(AND(FORSIDE!$B$8&gt;=11,FORSIDE!$F$8&gt;=5,FORSIDE!$B$5&gt;=6),"1282 -&gt; 1283","")</f>
        <v/>
      </c>
      <c r="C1167" t="str">
        <f>FORSIDE!$C$4</f>
        <v>S355, Stål / KFHUP 180x180x12.5</v>
      </c>
    </row>
    <row r="1168" spans="1:3" x14ac:dyDescent="0.3">
      <c r="A1168" t="str">
        <f>IF(AND(FORSIDE!$B$8&gt;=11,FORSIDE!$F$8&gt;=5,FORSIDE!$B$5&gt;=7),"S1167","")</f>
        <v/>
      </c>
      <c r="B1168" t="str">
        <f>IF(AND(FORSIDE!$B$8&gt;=11,FORSIDE!$F$8&gt;=5,FORSIDE!$B$5&gt;=7),"1283 -&gt; 1284","")</f>
        <v/>
      </c>
      <c r="C1168" t="str">
        <f>FORSIDE!$C$4</f>
        <v>S355, Stål / KFHUP 180x180x12.5</v>
      </c>
    </row>
    <row r="1169" spans="1:3" x14ac:dyDescent="0.3">
      <c r="A1169" t="str">
        <f>IF(AND(FORSIDE!$B$8&gt;=11,FORSIDE!$F$8&gt;=5,FORSIDE!$B$5&gt;=8),"S1168","")</f>
        <v/>
      </c>
      <c r="B1169" t="str">
        <f>IF(AND(FORSIDE!$B$8&gt;=11,FORSIDE!$F$8&gt;=5,FORSIDE!$B$5&gt;=8),"1284 -&gt; 1285","")</f>
        <v/>
      </c>
      <c r="C1169" t="str">
        <f>FORSIDE!$C$4</f>
        <v>S355, Stål / KFHUP 180x180x12.5</v>
      </c>
    </row>
    <row r="1170" spans="1:3" x14ac:dyDescent="0.3">
      <c r="A1170" t="str">
        <f>IF(AND(FORSIDE!$B$8&gt;=11,FORSIDE!$F$8&gt;=5,FORSIDE!$B$5&gt;=9),"S1169","")</f>
        <v/>
      </c>
      <c r="B1170" t="str">
        <f>IF(AND(FORSIDE!$B$8&gt;=11,FORSIDE!$F$8&gt;=5,FORSIDE!$B$5&gt;=9),"1285 -&gt; 1286","")</f>
        <v/>
      </c>
      <c r="C1170" t="str">
        <f>FORSIDE!$C$4</f>
        <v>S355, Stål / KFHUP 180x180x12.5</v>
      </c>
    </row>
    <row r="1171" spans="1:3" x14ac:dyDescent="0.3">
      <c r="A1171" t="str">
        <f>IF(AND(FORSIDE!$B$8&gt;=11,FORSIDE!$F$8&gt;=5,FORSIDE!$B$5&gt;=10),"S1170","")</f>
        <v/>
      </c>
      <c r="B1171" t="str">
        <f>IF(AND(FORSIDE!$B$8&gt;=11,FORSIDE!$F$8&gt;=5,FORSIDE!$B$5&gt;=10),"1286 -&gt; 1287","")</f>
        <v/>
      </c>
      <c r="C1171" t="str">
        <f>FORSIDE!$C$4</f>
        <v>S355, Stål / KFHUP 180x180x12.5</v>
      </c>
    </row>
    <row r="1172" spans="1:3" x14ac:dyDescent="0.3">
      <c r="A1172" t="str">
        <f>IF(AND(FORSIDE!$B$8&gt;=12,FORSIDE!$F$8&gt;=5,FORSIDE!$B$5&gt;=1),"S1171","")</f>
        <v/>
      </c>
      <c r="B1172" t="str">
        <f>IF(AND(FORSIDE!$B$8&gt;=12,FORSIDE!$F$8&gt;=5,FORSIDE!$B$5&gt;=1),"1288 -&gt; 1289","")</f>
        <v/>
      </c>
      <c r="C1172" t="str">
        <f>FORSIDE!$C$4</f>
        <v>S355, Stål / KFHUP 180x180x12.5</v>
      </c>
    </row>
    <row r="1173" spans="1:3" x14ac:dyDescent="0.3">
      <c r="A1173" t="str">
        <f>IF(AND(FORSIDE!$B$8&gt;=12,FORSIDE!$F$8&gt;=5,FORSIDE!$B$5&gt;=2),"S1172","")</f>
        <v/>
      </c>
      <c r="B1173" t="str">
        <f>IF(AND(FORSIDE!$B$8&gt;=12,FORSIDE!$F$8&gt;=5,FORSIDE!$B$5&gt;=2),"1289 -&gt; 1290","")</f>
        <v/>
      </c>
      <c r="C1173" t="str">
        <f>FORSIDE!$C$4</f>
        <v>S355, Stål / KFHUP 180x180x12.5</v>
      </c>
    </row>
    <row r="1174" spans="1:3" x14ac:dyDescent="0.3">
      <c r="A1174" t="str">
        <f>IF(AND(FORSIDE!$B$8&gt;=12,FORSIDE!$F$8&gt;=5,FORSIDE!$B$5&gt;=3),"S1173","")</f>
        <v/>
      </c>
      <c r="B1174" t="str">
        <f>IF(AND(FORSIDE!$B$8&gt;=12,FORSIDE!$F$8&gt;=5,FORSIDE!$B$5&gt;=3),"1290 -&gt; 1291","")</f>
        <v/>
      </c>
      <c r="C1174" t="str">
        <f>FORSIDE!$C$4</f>
        <v>S355, Stål / KFHUP 180x180x12.5</v>
      </c>
    </row>
    <row r="1175" spans="1:3" x14ac:dyDescent="0.3">
      <c r="A1175" t="str">
        <f>IF(AND(FORSIDE!$B$8&gt;=12,FORSIDE!$F$8&gt;=5,FORSIDE!$B$5&gt;=4),"S1174","")</f>
        <v/>
      </c>
      <c r="B1175" t="str">
        <f>IF(AND(FORSIDE!$B$8&gt;=12,FORSIDE!$F$8&gt;=5,FORSIDE!$B$5&gt;=4),"1291 -&gt; 1292","")</f>
        <v/>
      </c>
      <c r="C1175" t="str">
        <f>FORSIDE!$C$4</f>
        <v>S355, Stål / KFHUP 180x180x12.5</v>
      </c>
    </row>
    <row r="1176" spans="1:3" x14ac:dyDescent="0.3">
      <c r="A1176" t="str">
        <f>IF(AND(FORSIDE!$B$8&gt;=12,FORSIDE!$F$8&gt;=5,FORSIDE!$B$5&gt;=5),"S1175","")</f>
        <v/>
      </c>
      <c r="B1176" t="str">
        <f>IF(AND(FORSIDE!$B$8&gt;=12,FORSIDE!$F$8&gt;=5,FORSIDE!$B$5&gt;=5),"1292 -&gt; 1293","")</f>
        <v/>
      </c>
      <c r="C1176" t="str">
        <f>FORSIDE!$C$4</f>
        <v>S355, Stål / KFHUP 180x180x12.5</v>
      </c>
    </row>
    <row r="1177" spans="1:3" x14ac:dyDescent="0.3">
      <c r="A1177" t="str">
        <f>IF(AND(FORSIDE!$B$8&gt;=12,FORSIDE!$F$8&gt;=5,FORSIDE!$B$5&gt;=6),"S1176","")</f>
        <v/>
      </c>
      <c r="B1177" t="str">
        <f>IF(AND(FORSIDE!$B$8&gt;=12,FORSIDE!$F$8&gt;=5,FORSIDE!$B$5&gt;=6),"1293 -&gt; 1294","")</f>
        <v/>
      </c>
      <c r="C1177" t="str">
        <f>FORSIDE!$C$4</f>
        <v>S355, Stål / KFHUP 180x180x12.5</v>
      </c>
    </row>
    <row r="1178" spans="1:3" x14ac:dyDescent="0.3">
      <c r="A1178" t="str">
        <f>IF(AND(FORSIDE!$B$8&gt;=12,FORSIDE!$F$8&gt;=5,FORSIDE!$B$5&gt;=7),"S1177","")</f>
        <v/>
      </c>
      <c r="B1178" t="str">
        <f>IF(AND(FORSIDE!$B$8&gt;=12,FORSIDE!$F$8&gt;=5,FORSIDE!$B$5&gt;=7),"1294 -&gt; 1295","")</f>
        <v/>
      </c>
      <c r="C1178" t="str">
        <f>FORSIDE!$C$4</f>
        <v>S355, Stål / KFHUP 180x180x12.5</v>
      </c>
    </row>
    <row r="1179" spans="1:3" x14ac:dyDescent="0.3">
      <c r="A1179" t="str">
        <f>IF(AND(FORSIDE!$B$8&gt;=12,FORSIDE!$F$8&gt;=5,FORSIDE!$B$5&gt;=8),"S1178","")</f>
        <v/>
      </c>
      <c r="B1179" t="str">
        <f>IF(AND(FORSIDE!$B$8&gt;=12,FORSIDE!$F$8&gt;=5,FORSIDE!$B$5&gt;=8),"1295 -&gt; 1296","")</f>
        <v/>
      </c>
      <c r="C1179" t="str">
        <f>FORSIDE!$C$4</f>
        <v>S355, Stål / KFHUP 180x180x12.5</v>
      </c>
    </row>
    <row r="1180" spans="1:3" x14ac:dyDescent="0.3">
      <c r="A1180" t="str">
        <f>IF(AND(FORSIDE!$B$8&gt;=12,FORSIDE!$F$8&gt;=5,FORSIDE!$B$5&gt;=9),"S1179","")</f>
        <v/>
      </c>
      <c r="B1180" t="str">
        <f>IF(AND(FORSIDE!$B$8&gt;=12,FORSIDE!$F$8&gt;=5,FORSIDE!$B$5&gt;=9),"1296 -&gt; 1297","")</f>
        <v/>
      </c>
      <c r="C1180" t="str">
        <f>FORSIDE!$C$4</f>
        <v>S355, Stål / KFHUP 180x180x12.5</v>
      </c>
    </row>
    <row r="1181" spans="1:3" x14ac:dyDescent="0.3">
      <c r="A1181" t="str">
        <f>IF(AND(FORSIDE!$B$8&gt;=12,FORSIDE!$F$8&gt;=5,FORSIDE!$B$5&gt;=10),"S1180","")</f>
        <v/>
      </c>
      <c r="B1181" t="str">
        <f>IF(AND(FORSIDE!$B$8&gt;=12,FORSIDE!$F$8&gt;=5,FORSIDE!$B$5&gt;=10),"1297 -&gt; 1298","")</f>
        <v/>
      </c>
      <c r="C1181" t="str">
        <f>FORSIDE!$C$4</f>
        <v>S355, Stål / KFHUP 180x180x12.5</v>
      </c>
    </row>
    <row r="1182" spans="1:3" x14ac:dyDescent="0.3">
      <c r="A1182" t="str">
        <f>IF(AND(FORSIDE!$B$8&gt;=13,FORSIDE!$F$8&gt;=5,FORSIDE!$B$5&gt;=1),"S1181","")</f>
        <v/>
      </c>
      <c r="B1182" t="str">
        <f>IF(AND(FORSIDE!$B$8&gt;=13,FORSIDE!$F$8&gt;=5,FORSIDE!$B$5&gt;=1),"1299 -&gt; 1300","")</f>
        <v/>
      </c>
      <c r="C1182" t="str">
        <f>FORSIDE!$C$4</f>
        <v>S355, Stål / KFHUP 180x180x12.5</v>
      </c>
    </row>
    <row r="1183" spans="1:3" x14ac:dyDescent="0.3">
      <c r="A1183" t="str">
        <f>IF(AND(FORSIDE!$B$8&gt;=13,FORSIDE!$F$8&gt;=5,FORSIDE!$B$5&gt;=2),"S1182","")</f>
        <v/>
      </c>
      <c r="B1183" t="str">
        <f>IF(AND(FORSIDE!$B$8&gt;=13,FORSIDE!$F$8&gt;=5,FORSIDE!$B$5&gt;=2),"1300 -&gt; 1301","")</f>
        <v/>
      </c>
      <c r="C1183" t="str">
        <f>FORSIDE!$C$4</f>
        <v>S355, Stål / KFHUP 180x180x12.5</v>
      </c>
    </row>
    <row r="1184" spans="1:3" x14ac:dyDescent="0.3">
      <c r="A1184" t="str">
        <f>IF(AND(FORSIDE!$B$8&gt;=13,FORSIDE!$F$8&gt;=5,FORSIDE!$B$5&gt;=3),"S1183","")</f>
        <v/>
      </c>
      <c r="B1184" t="str">
        <f>IF(AND(FORSIDE!$B$8&gt;=13,FORSIDE!$F$8&gt;=5,FORSIDE!$B$5&gt;=3),"1301 -&gt; 1302","")</f>
        <v/>
      </c>
      <c r="C1184" t="str">
        <f>FORSIDE!$C$4</f>
        <v>S355, Stål / KFHUP 180x180x12.5</v>
      </c>
    </row>
    <row r="1185" spans="1:3" x14ac:dyDescent="0.3">
      <c r="A1185" t="str">
        <f>IF(AND(FORSIDE!$B$8&gt;=13,FORSIDE!$F$8&gt;=5,FORSIDE!$B$5&gt;=4),"S1184","")</f>
        <v/>
      </c>
      <c r="B1185" t="str">
        <f>IF(AND(FORSIDE!$B$8&gt;=13,FORSIDE!$F$8&gt;=5,FORSIDE!$B$5&gt;=4),"1302 -&gt; 1303","")</f>
        <v/>
      </c>
      <c r="C1185" t="str">
        <f>FORSIDE!$C$4</f>
        <v>S355, Stål / KFHUP 180x180x12.5</v>
      </c>
    </row>
    <row r="1186" spans="1:3" x14ac:dyDescent="0.3">
      <c r="A1186" t="str">
        <f>IF(AND(FORSIDE!$B$8&gt;=13,FORSIDE!$F$8&gt;=5,FORSIDE!$B$5&gt;=5),"S1185","")</f>
        <v/>
      </c>
      <c r="B1186" t="str">
        <f>IF(AND(FORSIDE!$B$8&gt;=13,FORSIDE!$F$8&gt;=5,FORSIDE!$B$5&gt;=5),"1303 -&gt; 1304","")</f>
        <v/>
      </c>
      <c r="C1186" t="str">
        <f>FORSIDE!$C$4</f>
        <v>S355, Stål / KFHUP 180x180x12.5</v>
      </c>
    </row>
    <row r="1187" spans="1:3" x14ac:dyDescent="0.3">
      <c r="A1187" t="str">
        <f>IF(AND(FORSIDE!$B$8&gt;=13,FORSIDE!$F$8&gt;=5,FORSIDE!$B$5&gt;=6),"S1186","")</f>
        <v/>
      </c>
      <c r="B1187" t="str">
        <f>IF(AND(FORSIDE!$B$8&gt;=13,FORSIDE!$F$8&gt;=5,FORSIDE!$B$5&gt;=6),"1304 -&gt; 1305","")</f>
        <v/>
      </c>
      <c r="C1187" t="str">
        <f>FORSIDE!$C$4</f>
        <v>S355, Stål / KFHUP 180x180x12.5</v>
      </c>
    </row>
    <row r="1188" spans="1:3" x14ac:dyDescent="0.3">
      <c r="A1188" t="str">
        <f>IF(AND(FORSIDE!$B$8&gt;=13,FORSIDE!$F$8&gt;=5,FORSIDE!$B$5&gt;=7),"S1187","")</f>
        <v/>
      </c>
      <c r="B1188" t="str">
        <f>IF(AND(FORSIDE!$B$8&gt;=13,FORSIDE!$F$8&gt;=5,FORSIDE!$B$5&gt;=7),"1305 -&gt; 1306","")</f>
        <v/>
      </c>
      <c r="C1188" t="str">
        <f>FORSIDE!$C$4</f>
        <v>S355, Stål / KFHUP 180x180x12.5</v>
      </c>
    </row>
    <row r="1189" spans="1:3" x14ac:dyDescent="0.3">
      <c r="A1189" t="str">
        <f>IF(AND(FORSIDE!$B$8&gt;=13,FORSIDE!$F$8&gt;=5,FORSIDE!$B$5&gt;=8),"S1188","")</f>
        <v/>
      </c>
      <c r="B1189" t="str">
        <f>IF(AND(FORSIDE!$B$8&gt;=13,FORSIDE!$F$8&gt;=5,FORSIDE!$B$5&gt;=8),"1306 -&gt; 1307","")</f>
        <v/>
      </c>
      <c r="C1189" t="str">
        <f>FORSIDE!$C$4</f>
        <v>S355, Stål / KFHUP 180x180x12.5</v>
      </c>
    </row>
    <row r="1190" spans="1:3" x14ac:dyDescent="0.3">
      <c r="A1190" t="str">
        <f>IF(AND(FORSIDE!$B$8&gt;=13,FORSIDE!$F$8&gt;=5,FORSIDE!$B$5&gt;=9),"S1189","")</f>
        <v/>
      </c>
      <c r="B1190" t="str">
        <f>IF(AND(FORSIDE!$B$8&gt;=13,FORSIDE!$F$8&gt;=5,FORSIDE!$B$5&gt;=9),"1307 -&gt; 1308","")</f>
        <v/>
      </c>
      <c r="C1190" t="str">
        <f>FORSIDE!$C$4</f>
        <v>S355, Stål / KFHUP 180x180x12.5</v>
      </c>
    </row>
    <row r="1191" spans="1:3" x14ac:dyDescent="0.3">
      <c r="A1191" t="str">
        <f>IF(AND(FORSIDE!$B$8&gt;=13,FORSIDE!$F$8&gt;=5,FORSIDE!$B$5&gt;=10),"S1190","")</f>
        <v/>
      </c>
      <c r="B1191" t="str">
        <f>IF(AND(FORSIDE!$B$8&gt;=13,FORSIDE!$F$8&gt;=5,FORSIDE!$B$5&gt;=10),"1308 -&gt; 1309","")</f>
        <v/>
      </c>
      <c r="C1191" t="str">
        <f>FORSIDE!$C$4</f>
        <v>S355, Stål / KFHUP 180x180x12.5</v>
      </c>
    </row>
    <row r="1192" spans="1:3" x14ac:dyDescent="0.3">
      <c r="A1192" t="str">
        <f>IF(AND(FORSIDE!$B$8&gt;=14,FORSIDE!$F$8&gt;=5,FORSIDE!$B$5&gt;=1),"S1191","")</f>
        <v/>
      </c>
      <c r="B1192" t="str">
        <f>IF(AND(FORSIDE!$B$8&gt;=14,FORSIDE!$F$8&gt;=5,FORSIDE!$B$5&gt;=1),"1310 -&gt; 1311","")</f>
        <v/>
      </c>
      <c r="C1192" t="str">
        <f>FORSIDE!$C$4</f>
        <v>S355, Stål / KFHUP 180x180x12.5</v>
      </c>
    </row>
    <row r="1193" spans="1:3" x14ac:dyDescent="0.3">
      <c r="A1193" t="str">
        <f>IF(AND(FORSIDE!$B$8&gt;=14,FORSIDE!$F$8&gt;=5,FORSIDE!$B$5&gt;=2),"S1192","")</f>
        <v/>
      </c>
      <c r="B1193" t="str">
        <f>IF(AND(FORSIDE!$B$8&gt;=14,FORSIDE!$F$8&gt;=5,FORSIDE!$B$5&gt;=2),"1311 -&gt; 1312","")</f>
        <v/>
      </c>
      <c r="C1193" t="str">
        <f>FORSIDE!$C$4</f>
        <v>S355, Stål / KFHUP 180x180x12.5</v>
      </c>
    </row>
    <row r="1194" spans="1:3" x14ac:dyDescent="0.3">
      <c r="A1194" t="str">
        <f>IF(AND(FORSIDE!$B$8&gt;=14,FORSIDE!$F$8&gt;=5,FORSIDE!$B$5&gt;=3),"S1193","")</f>
        <v/>
      </c>
      <c r="B1194" t="str">
        <f>IF(AND(FORSIDE!$B$8&gt;=14,FORSIDE!$F$8&gt;=5,FORSIDE!$B$5&gt;=3),"1312 -&gt; 1313","")</f>
        <v/>
      </c>
      <c r="C1194" t="str">
        <f>FORSIDE!$C$4</f>
        <v>S355, Stål / KFHUP 180x180x12.5</v>
      </c>
    </row>
    <row r="1195" spans="1:3" x14ac:dyDescent="0.3">
      <c r="A1195" t="str">
        <f>IF(AND(FORSIDE!$B$8&gt;=14,FORSIDE!$F$8&gt;=5,FORSIDE!$B$5&gt;=4),"S1194","")</f>
        <v/>
      </c>
      <c r="B1195" t="str">
        <f>IF(AND(FORSIDE!$B$8&gt;=14,FORSIDE!$F$8&gt;=5,FORSIDE!$B$5&gt;=4),"1313 -&gt; 1314","")</f>
        <v/>
      </c>
      <c r="C1195" t="str">
        <f>FORSIDE!$C$4</f>
        <v>S355, Stål / KFHUP 180x180x12.5</v>
      </c>
    </row>
    <row r="1196" spans="1:3" x14ac:dyDescent="0.3">
      <c r="A1196" t="str">
        <f>IF(AND(FORSIDE!$B$8&gt;=14,FORSIDE!$F$8&gt;=5,FORSIDE!$B$5&gt;=5),"S1195","")</f>
        <v/>
      </c>
      <c r="B1196" t="str">
        <f>IF(AND(FORSIDE!$B$8&gt;=14,FORSIDE!$F$8&gt;=5,FORSIDE!$B$5&gt;=5),"1314 -&gt; 1315","")</f>
        <v/>
      </c>
      <c r="C1196" t="str">
        <f>FORSIDE!$C$4</f>
        <v>S355, Stål / KFHUP 180x180x12.5</v>
      </c>
    </row>
    <row r="1197" spans="1:3" x14ac:dyDescent="0.3">
      <c r="A1197" t="str">
        <f>IF(AND(FORSIDE!$B$8&gt;=14,FORSIDE!$F$8&gt;=5,FORSIDE!$B$5&gt;=6),"S1196","")</f>
        <v/>
      </c>
      <c r="B1197" t="str">
        <f>IF(AND(FORSIDE!$B$8&gt;=14,FORSIDE!$F$8&gt;=5,FORSIDE!$B$5&gt;=6),"1315 -&gt; 1316","")</f>
        <v/>
      </c>
      <c r="C1197" t="str">
        <f>FORSIDE!$C$4</f>
        <v>S355, Stål / KFHUP 180x180x12.5</v>
      </c>
    </row>
    <row r="1198" spans="1:3" x14ac:dyDescent="0.3">
      <c r="A1198" t="str">
        <f>IF(AND(FORSIDE!$B$8&gt;=14,FORSIDE!$F$8&gt;=5,FORSIDE!$B$5&gt;=7),"S1197","")</f>
        <v/>
      </c>
      <c r="B1198" t="str">
        <f>IF(AND(FORSIDE!$B$8&gt;=14,FORSIDE!$F$8&gt;=5,FORSIDE!$B$5&gt;=7),"1316 -&gt; 1317","")</f>
        <v/>
      </c>
      <c r="C1198" t="str">
        <f>FORSIDE!$C$4</f>
        <v>S355, Stål / KFHUP 180x180x12.5</v>
      </c>
    </row>
    <row r="1199" spans="1:3" x14ac:dyDescent="0.3">
      <c r="A1199" t="str">
        <f>IF(AND(FORSIDE!$B$8&gt;=14,FORSIDE!$F$8&gt;=5,FORSIDE!$B$5&gt;=8),"S1198","")</f>
        <v/>
      </c>
      <c r="B1199" t="str">
        <f>IF(AND(FORSIDE!$B$8&gt;=14,FORSIDE!$F$8&gt;=5,FORSIDE!$B$5&gt;=8),"1317 -&gt; 1318","")</f>
        <v/>
      </c>
      <c r="C1199" t="str">
        <f>FORSIDE!$C$4</f>
        <v>S355, Stål / KFHUP 180x180x12.5</v>
      </c>
    </row>
    <row r="1200" spans="1:3" x14ac:dyDescent="0.3">
      <c r="A1200" t="str">
        <f>IF(AND(FORSIDE!$B$8&gt;=14,FORSIDE!$F$8&gt;=5,FORSIDE!$B$5&gt;=9),"S1199","")</f>
        <v/>
      </c>
      <c r="B1200" t="str">
        <f>IF(AND(FORSIDE!$B$8&gt;=14,FORSIDE!$F$8&gt;=5,FORSIDE!$B$5&gt;=9),"1318 -&gt; 1319","")</f>
        <v/>
      </c>
      <c r="C1200" t="str">
        <f>FORSIDE!$C$4</f>
        <v>S355, Stål / KFHUP 180x180x12.5</v>
      </c>
    </row>
    <row r="1201" spans="1:3" x14ac:dyDescent="0.3">
      <c r="A1201" t="str">
        <f>IF(AND(FORSIDE!$B$8&gt;=14,FORSIDE!$F$8&gt;=5,FORSIDE!$B$5&gt;=10),"S1200","")</f>
        <v/>
      </c>
      <c r="B1201" t="str">
        <f>IF(AND(FORSIDE!$B$8&gt;=14,FORSIDE!$F$8&gt;=5,FORSIDE!$B$5&gt;=10),"1319 -&gt; 1320","")</f>
        <v/>
      </c>
      <c r="C1201" t="str">
        <f>FORSIDE!$C$4</f>
        <v>S355, Stål / KFHUP 180x180x12.5</v>
      </c>
    </row>
    <row r="1202" spans="1:3" x14ac:dyDescent="0.3">
      <c r="A1202" t="str">
        <f>IF(AND(FORSIDE!$B$8&gt;=15,FORSIDE!$F$8&gt;=5,FORSIDE!$B$5&gt;=1),"S1201","")</f>
        <v/>
      </c>
      <c r="B1202" t="str">
        <f>IF(AND(FORSIDE!$B$8&gt;=15,FORSIDE!$F$8&gt;=5,FORSIDE!$B$5&gt;=1),"1321 -&gt; 1322","")</f>
        <v/>
      </c>
      <c r="C1202" t="str">
        <f>FORSIDE!$C$4</f>
        <v>S355, Stål / KFHUP 180x180x12.5</v>
      </c>
    </row>
    <row r="1203" spans="1:3" x14ac:dyDescent="0.3">
      <c r="A1203" t="str">
        <f>IF(AND(FORSIDE!$B$8&gt;=15,FORSIDE!$F$8&gt;=5,FORSIDE!$B$5&gt;=2),"S1202","")</f>
        <v/>
      </c>
      <c r="B1203" t="str">
        <f>IF(AND(FORSIDE!$B$8&gt;=15,FORSIDE!$F$8&gt;=5,FORSIDE!$B$5&gt;=2),"1322 -&gt; 1323","")</f>
        <v/>
      </c>
      <c r="C1203" t="str">
        <f>FORSIDE!$C$4</f>
        <v>S355, Stål / KFHUP 180x180x12.5</v>
      </c>
    </row>
    <row r="1204" spans="1:3" x14ac:dyDescent="0.3">
      <c r="A1204" t="str">
        <f>IF(AND(FORSIDE!$B$8&gt;=15,FORSIDE!$F$8&gt;=5,FORSIDE!$B$5&gt;=3),"S1203","")</f>
        <v/>
      </c>
      <c r="B1204" t="str">
        <f>IF(AND(FORSIDE!$B$8&gt;=15,FORSIDE!$F$8&gt;=5,FORSIDE!$B$5&gt;=3),"1323 -&gt; 1324","")</f>
        <v/>
      </c>
      <c r="C1204" t="str">
        <f>FORSIDE!$C$4</f>
        <v>S355, Stål / KFHUP 180x180x12.5</v>
      </c>
    </row>
    <row r="1205" spans="1:3" x14ac:dyDescent="0.3">
      <c r="A1205" t="str">
        <f>IF(AND(FORSIDE!$B$8&gt;=15,FORSIDE!$F$8&gt;=5,FORSIDE!$B$5&gt;=4),"S1204","")</f>
        <v/>
      </c>
      <c r="B1205" t="str">
        <f>IF(AND(FORSIDE!$B$8&gt;=15,FORSIDE!$F$8&gt;=5,FORSIDE!$B$5&gt;=4),"1324 -&gt; 1325","")</f>
        <v/>
      </c>
      <c r="C1205" t="str">
        <f>FORSIDE!$C$4</f>
        <v>S355, Stål / KFHUP 180x180x12.5</v>
      </c>
    </row>
    <row r="1206" spans="1:3" x14ac:dyDescent="0.3">
      <c r="A1206" t="str">
        <f>IF(AND(FORSIDE!$B$8&gt;=15,FORSIDE!$F$8&gt;=5,FORSIDE!$B$5&gt;=5),"S1205","")</f>
        <v/>
      </c>
      <c r="B1206" t="str">
        <f>IF(AND(FORSIDE!$B$8&gt;=15,FORSIDE!$F$8&gt;=5,FORSIDE!$B$5&gt;=5),"1325 -&gt; 1326","")</f>
        <v/>
      </c>
      <c r="C1206" t="str">
        <f>FORSIDE!$C$4</f>
        <v>S355, Stål / KFHUP 180x180x12.5</v>
      </c>
    </row>
    <row r="1207" spans="1:3" x14ac:dyDescent="0.3">
      <c r="A1207" t="str">
        <f>IF(AND(FORSIDE!$B$8&gt;=15,FORSIDE!$F$8&gt;=5,FORSIDE!$B$5&gt;=6),"S1206","")</f>
        <v/>
      </c>
      <c r="B1207" t="str">
        <f>IF(AND(FORSIDE!$B$8&gt;=15,FORSIDE!$F$8&gt;=5,FORSIDE!$B$5&gt;=6),"1326 -&gt; 1327","")</f>
        <v/>
      </c>
      <c r="C1207" t="str">
        <f>FORSIDE!$C$4</f>
        <v>S355, Stål / KFHUP 180x180x12.5</v>
      </c>
    </row>
    <row r="1208" spans="1:3" x14ac:dyDescent="0.3">
      <c r="A1208" t="str">
        <f>IF(AND(FORSIDE!$B$8&gt;=15,FORSIDE!$F$8&gt;=5,FORSIDE!$B$5&gt;=7),"S1207","")</f>
        <v/>
      </c>
      <c r="B1208" t="str">
        <f>IF(AND(FORSIDE!$B$8&gt;=15,FORSIDE!$F$8&gt;=5,FORSIDE!$B$5&gt;=7),"1327 -&gt; 1328","")</f>
        <v/>
      </c>
      <c r="C1208" t="str">
        <f>FORSIDE!$C$4</f>
        <v>S355, Stål / KFHUP 180x180x12.5</v>
      </c>
    </row>
    <row r="1209" spans="1:3" x14ac:dyDescent="0.3">
      <c r="A1209" t="str">
        <f>IF(AND(FORSIDE!$B$8&gt;=15,FORSIDE!$F$8&gt;=5,FORSIDE!$B$5&gt;=8),"S1208","")</f>
        <v/>
      </c>
      <c r="B1209" t="str">
        <f>IF(AND(FORSIDE!$B$8&gt;=15,FORSIDE!$F$8&gt;=5,FORSIDE!$B$5&gt;=8),"1328 -&gt; 1329","")</f>
        <v/>
      </c>
      <c r="C1209" t="str">
        <f>FORSIDE!$C$4</f>
        <v>S355, Stål / KFHUP 180x180x12.5</v>
      </c>
    </row>
    <row r="1210" spans="1:3" x14ac:dyDescent="0.3">
      <c r="A1210" t="str">
        <f>IF(AND(FORSIDE!$B$8&gt;=15,FORSIDE!$F$8&gt;=5,FORSIDE!$B$5&gt;=9),"S1209","")</f>
        <v/>
      </c>
      <c r="B1210" t="str">
        <f>IF(AND(FORSIDE!$B$8&gt;=15,FORSIDE!$F$8&gt;=5,FORSIDE!$B$5&gt;=9),"1329 -&gt; 1330","")</f>
        <v/>
      </c>
      <c r="C1210" t="str">
        <f>FORSIDE!$C$4</f>
        <v>S355, Stål / KFHUP 180x180x12.5</v>
      </c>
    </row>
    <row r="1211" spans="1:3" x14ac:dyDescent="0.3">
      <c r="A1211" t="str">
        <f>IF(AND(FORSIDE!$B$8&gt;=15,FORSIDE!$F$8&gt;=5,FORSIDE!$B$5&gt;=10),"S1210","")</f>
        <v/>
      </c>
      <c r="B1211" t="str">
        <f>IF(AND(FORSIDE!$B$8&gt;=15,FORSIDE!$F$8&gt;=5,FORSIDE!$B$5&gt;=10),"1330 -&gt; 1331","")</f>
        <v/>
      </c>
      <c r="C1211" t="str">
        <f>FORSIDE!$C$4</f>
        <v>S355, Stål / KFHUP 180x180x12.5</v>
      </c>
    </row>
    <row r="1212" spans="1:3" x14ac:dyDescent="0.3">
      <c r="A1212" t="str">
        <f>IF(AND(FORSIDE!$B$8&gt;=16,FORSIDE!$F$8&gt;=5,FORSIDE!$B$5&gt;=1),"S1211","")</f>
        <v/>
      </c>
      <c r="B1212" t="str">
        <f>IF(AND(FORSIDE!$B$8&gt;=16,FORSIDE!$F$8&gt;=5,FORSIDE!$B$5&gt;=1),"1332 -&gt; 1333","")</f>
        <v/>
      </c>
      <c r="C1212" t="str">
        <f>FORSIDE!$C$4</f>
        <v>S355, Stål / KFHUP 180x180x12.5</v>
      </c>
    </row>
    <row r="1213" spans="1:3" x14ac:dyDescent="0.3">
      <c r="A1213" t="str">
        <f>IF(AND(FORSIDE!$B$8&gt;=16,FORSIDE!$F$8&gt;=5,FORSIDE!$B$5&gt;=2),"S1212","")</f>
        <v/>
      </c>
      <c r="B1213" t="str">
        <f>IF(AND(FORSIDE!$B$8&gt;=16,FORSIDE!$F$8&gt;=5,FORSIDE!$B$5&gt;=2),"1333 -&gt; 1334","")</f>
        <v/>
      </c>
      <c r="C1213" t="str">
        <f>FORSIDE!$C$4</f>
        <v>S355, Stål / KFHUP 180x180x12.5</v>
      </c>
    </row>
    <row r="1214" spans="1:3" x14ac:dyDescent="0.3">
      <c r="A1214" t="str">
        <f>IF(AND(FORSIDE!$B$8&gt;=16,FORSIDE!$F$8&gt;=5,FORSIDE!$B$5&gt;=3),"S1213","")</f>
        <v/>
      </c>
      <c r="B1214" t="str">
        <f>IF(AND(FORSIDE!$B$8&gt;=16,FORSIDE!$F$8&gt;=5,FORSIDE!$B$5&gt;=3),"1334 -&gt; 1335","")</f>
        <v/>
      </c>
      <c r="C1214" t="str">
        <f>FORSIDE!$C$4</f>
        <v>S355, Stål / KFHUP 180x180x12.5</v>
      </c>
    </row>
    <row r="1215" spans="1:3" x14ac:dyDescent="0.3">
      <c r="A1215" t="str">
        <f>IF(AND(FORSIDE!$B$8&gt;=16,FORSIDE!$F$8&gt;=5,FORSIDE!$B$5&gt;=4),"S1214","")</f>
        <v/>
      </c>
      <c r="B1215" t="str">
        <f>IF(AND(FORSIDE!$B$8&gt;=16,FORSIDE!$F$8&gt;=5,FORSIDE!$B$5&gt;=4),"1335 -&gt; 1336","")</f>
        <v/>
      </c>
      <c r="C1215" t="str">
        <f>FORSIDE!$C$4</f>
        <v>S355, Stål / KFHUP 180x180x12.5</v>
      </c>
    </row>
    <row r="1216" spans="1:3" x14ac:dyDescent="0.3">
      <c r="A1216" t="str">
        <f>IF(AND(FORSIDE!$B$8&gt;=16,FORSIDE!$F$8&gt;=5,FORSIDE!$B$5&gt;=5),"S1215","")</f>
        <v/>
      </c>
      <c r="B1216" t="str">
        <f>IF(AND(FORSIDE!$B$8&gt;=16,FORSIDE!$F$8&gt;=5,FORSIDE!$B$5&gt;=5),"1336 -&gt; 1337","")</f>
        <v/>
      </c>
      <c r="C1216" t="str">
        <f>FORSIDE!$C$4</f>
        <v>S355, Stål / KFHUP 180x180x12.5</v>
      </c>
    </row>
    <row r="1217" spans="1:3" x14ac:dyDescent="0.3">
      <c r="A1217" t="str">
        <f>IF(AND(FORSIDE!$B$8&gt;=16,FORSIDE!$F$8&gt;=5,FORSIDE!$B$5&gt;=6),"S1216","")</f>
        <v/>
      </c>
      <c r="B1217" t="str">
        <f>IF(AND(FORSIDE!$B$8&gt;=16,FORSIDE!$F$8&gt;=5,FORSIDE!$B$5&gt;=6),"1337 -&gt; 1338","")</f>
        <v/>
      </c>
      <c r="C1217" t="str">
        <f>FORSIDE!$C$4</f>
        <v>S355, Stål / KFHUP 180x180x12.5</v>
      </c>
    </row>
    <row r="1218" spans="1:3" x14ac:dyDescent="0.3">
      <c r="A1218" t="str">
        <f>IF(AND(FORSIDE!$B$8&gt;=16,FORSIDE!$F$8&gt;=5,FORSIDE!$B$5&gt;=7),"S1217","")</f>
        <v/>
      </c>
      <c r="B1218" t="str">
        <f>IF(AND(FORSIDE!$B$8&gt;=16,FORSIDE!$F$8&gt;=5,FORSIDE!$B$5&gt;=7),"1338 -&gt; 1339","")</f>
        <v/>
      </c>
      <c r="C1218" t="str">
        <f>FORSIDE!$C$4</f>
        <v>S355, Stål / KFHUP 180x180x12.5</v>
      </c>
    </row>
    <row r="1219" spans="1:3" x14ac:dyDescent="0.3">
      <c r="A1219" t="str">
        <f>IF(AND(FORSIDE!$B$8&gt;=16,FORSIDE!$F$8&gt;=5,FORSIDE!$B$5&gt;=8),"S1218","")</f>
        <v/>
      </c>
      <c r="B1219" t="str">
        <f>IF(AND(FORSIDE!$B$8&gt;=16,FORSIDE!$F$8&gt;=5,FORSIDE!$B$5&gt;=8),"1339 -&gt; 1340","")</f>
        <v/>
      </c>
      <c r="C1219" t="str">
        <f>FORSIDE!$C$4</f>
        <v>S355, Stål / KFHUP 180x180x12.5</v>
      </c>
    </row>
    <row r="1220" spans="1:3" x14ac:dyDescent="0.3">
      <c r="A1220" t="str">
        <f>IF(AND(FORSIDE!$B$8&gt;=16,FORSIDE!$F$8&gt;=5,FORSIDE!$B$5&gt;=9),"S1219","")</f>
        <v/>
      </c>
      <c r="B1220" t="str">
        <f>IF(AND(FORSIDE!$B$8&gt;=16,FORSIDE!$F$8&gt;=5,FORSIDE!$B$5&gt;=9),"1340 -&gt; 1341","")</f>
        <v/>
      </c>
      <c r="C1220" t="str">
        <f>FORSIDE!$C$4</f>
        <v>S355, Stål / KFHUP 180x180x12.5</v>
      </c>
    </row>
    <row r="1221" spans="1:3" x14ac:dyDescent="0.3">
      <c r="A1221" t="str">
        <f>IF(AND(FORSIDE!$B$8&gt;=16,FORSIDE!$F$8&gt;=5,FORSIDE!$B$5&gt;=10),"S1220","")</f>
        <v/>
      </c>
      <c r="B1221" t="str">
        <f>IF(AND(FORSIDE!$B$8&gt;=16,FORSIDE!$F$8&gt;=5,FORSIDE!$B$5&gt;=10),"1341 -&gt; 1342","")</f>
        <v/>
      </c>
      <c r="C1221" t="str">
        <f>FORSIDE!$C$4</f>
        <v>S355, Stål / KFHUP 180x180x12.5</v>
      </c>
    </row>
    <row r="1222" spans="1:3" x14ac:dyDescent="0.3">
      <c r="A1222" t="str">
        <f>IF(AND(FORSIDE!$B$8&gt;=17,FORSIDE!$F$8&gt;=5,FORSIDE!$B$5&gt;=1),"S1221","")</f>
        <v/>
      </c>
      <c r="B1222" t="str">
        <f>IF(AND(FORSIDE!$B$8&gt;=17,FORSIDE!$F$8&gt;=5,FORSIDE!$B$5&gt;=1),"1343 -&gt; 1344","")</f>
        <v/>
      </c>
      <c r="C1222" t="str">
        <f>FORSIDE!$C$4</f>
        <v>S355, Stål / KFHUP 180x180x12.5</v>
      </c>
    </row>
    <row r="1223" spans="1:3" x14ac:dyDescent="0.3">
      <c r="A1223" t="str">
        <f>IF(AND(FORSIDE!$B$8&gt;=17,FORSIDE!$F$8&gt;=5,FORSIDE!$B$5&gt;=2),"S1222","")</f>
        <v/>
      </c>
      <c r="B1223" t="str">
        <f>IF(AND(FORSIDE!$B$8&gt;=17,FORSIDE!$F$8&gt;=5,FORSIDE!$B$5&gt;=2),"1344 -&gt; 1345","")</f>
        <v/>
      </c>
      <c r="C1223" t="str">
        <f>FORSIDE!$C$4</f>
        <v>S355, Stål / KFHUP 180x180x12.5</v>
      </c>
    </row>
    <row r="1224" spans="1:3" x14ac:dyDescent="0.3">
      <c r="A1224" t="str">
        <f>IF(AND(FORSIDE!$B$8&gt;=17,FORSIDE!$F$8&gt;=5,FORSIDE!$B$5&gt;=3),"S1223","")</f>
        <v/>
      </c>
      <c r="B1224" t="str">
        <f>IF(AND(FORSIDE!$B$8&gt;=17,FORSIDE!$F$8&gt;=5,FORSIDE!$B$5&gt;=3),"1345 -&gt; 1346","")</f>
        <v/>
      </c>
      <c r="C1224" t="str">
        <f>FORSIDE!$C$4</f>
        <v>S355, Stål / KFHUP 180x180x12.5</v>
      </c>
    </row>
    <row r="1225" spans="1:3" x14ac:dyDescent="0.3">
      <c r="A1225" t="str">
        <f>IF(AND(FORSIDE!$B$8&gt;=17,FORSIDE!$F$8&gt;=5,FORSIDE!$B$5&gt;=4),"S1224","")</f>
        <v/>
      </c>
      <c r="B1225" t="str">
        <f>IF(AND(FORSIDE!$B$8&gt;=17,FORSIDE!$F$8&gt;=5,FORSIDE!$B$5&gt;=4),"1346 -&gt; 1347","")</f>
        <v/>
      </c>
      <c r="C1225" t="str">
        <f>FORSIDE!$C$4</f>
        <v>S355, Stål / KFHUP 180x180x12.5</v>
      </c>
    </row>
    <row r="1226" spans="1:3" x14ac:dyDescent="0.3">
      <c r="A1226" t="str">
        <f>IF(AND(FORSIDE!$B$8&gt;=17,FORSIDE!$F$8&gt;=5,FORSIDE!$B$5&gt;=5),"S1225","")</f>
        <v/>
      </c>
      <c r="B1226" t="str">
        <f>IF(AND(FORSIDE!$B$8&gt;=17,FORSIDE!$F$8&gt;=5,FORSIDE!$B$5&gt;=5),"1347 -&gt; 1348","")</f>
        <v/>
      </c>
      <c r="C1226" t="str">
        <f>FORSIDE!$C$4</f>
        <v>S355, Stål / KFHUP 180x180x12.5</v>
      </c>
    </row>
    <row r="1227" spans="1:3" x14ac:dyDescent="0.3">
      <c r="A1227" t="str">
        <f>IF(AND(FORSIDE!$B$8&gt;=17,FORSIDE!$F$8&gt;=5,FORSIDE!$B$5&gt;=6),"S1226","")</f>
        <v/>
      </c>
      <c r="B1227" t="str">
        <f>IF(AND(FORSIDE!$B$8&gt;=17,FORSIDE!$F$8&gt;=5,FORSIDE!$B$5&gt;=6),"1348 -&gt; 1349","")</f>
        <v/>
      </c>
      <c r="C1227" t="str">
        <f>FORSIDE!$C$4</f>
        <v>S355, Stål / KFHUP 180x180x12.5</v>
      </c>
    </row>
    <row r="1228" spans="1:3" x14ac:dyDescent="0.3">
      <c r="A1228" t="str">
        <f>IF(AND(FORSIDE!$B$8&gt;=17,FORSIDE!$F$8&gt;=5,FORSIDE!$B$5&gt;=7),"S1227","")</f>
        <v/>
      </c>
      <c r="B1228" t="str">
        <f>IF(AND(FORSIDE!$B$8&gt;=17,FORSIDE!$F$8&gt;=5,FORSIDE!$B$5&gt;=7),"1349 -&gt; 1350","")</f>
        <v/>
      </c>
      <c r="C1228" t="str">
        <f>FORSIDE!$C$4</f>
        <v>S355, Stål / KFHUP 180x180x12.5</v>
      </c>
    </row>
    <row r="1229" spans="1:3" x14ac:dyDescent="0.3">
      <c r="A1229" t="str">
        <f>IF(AND(FORSIDE!$B$8&gt;=17,FORSIDE!$F$8&gt;=5,FORSIDE!$B$5&gt;=8),"S1228","")</f>
        <v/>
      </c>
      <c r="B1229" t="str">
        <f>IF(AND(FORSIDE!$B$8&gt;=17,FORSIDE!$F$8&gt;=5,FORSIDE!$B$5&gt;=8),"1350 -&gt; 1351","")</f>
        <v/>
      </c>
      <c r="C1229" t="str">
        <f>FORSIDE!$C$4</f>
        <v>S355, Stål / KFHUP 180x180x12.5</v>
      </c>
    </row>
    <row r="1230" spans="1:3" x14ac:dyDescent="0.3">
      <c r="A1230" t="str">
        <f>IF(AND(FORSIDE!$B$8&gt;=17,FORSIDE!$F$8&gt;=5,FORSIDE!$B$5&gt;=9),"S1229","")</f>
        <v/>
      </c>
      <c r="B1230" t="str">
        <f>IF(AND(FORSIDE!$B$8&gt;=17,FORSIDE!$F$8&gt;=5,FORSIDE!$B$5&gt;=9),"1351 -&gt; 1352","")</f>
        <v/>
      </c>
      <c r="C1230" t="str">
        <f>FORSIDE!$C$4</f>
        <v>S355, Stål / KFHUP 180x180x12.5</v>
      </c>
    </row>
    <row r="1231" spans="1:3" x14ac:dyDescent="0.3">
      <c r="A1231" t="str">
        <f>IF(AND(FORSIDE!$B$8&gt;=17,FORSIDE!$F$8&gt;=5,FORSIDE!$B$5&gt;=10),"S1230","")</f>
        <v/>
      </c>
      <c r="B1231" t="str">
        <f>IF(AND(FORSIDE!$B$8&gt;=17,FORSIDE!$F$8&gt;=5,FORSIDE!$B$5&gt;=10),"1352 -&gt; 1353","")</f>
        <v/>
      </c>
      <c r="C1231" t="str">
        <f>FORSIDE!$C$4</f>
        <v>S355, Stål / KFHUP 180x180x12.5</v>
      </c>
    </row>
    <row r="1232" spans="1:3" x14ac:dyDescent="0.3">
      <c r="A1232" t="str">
        <f>IF(AND(FORSIDE!$B$8&gt;=18,FORSIDE!$F$8&gt;=5,FORSIDE!$B$5&gt;=1),"S1231","")</f>
        <v/>
      </c>
      <c r="B1232" t="str">
        <f>IF(AND(FORSIDE!$B$8&gt;=18,FORSIDE!$F$8&gt;=5,FORSIDE!$B$5&gt;=1),"1354 -&gt; 1355","")</f>
        <v/>
      </c>
      <c r="C1232" t="str">
        <f>FORSIDE!$C$4</f>
        <v>S355, Stål / KFHUP 180x180x12.5</v>
      </c>
    </row>
    <row r="1233" spans="1:3" x14ac:dyDescent="0.3">
      <c r="A1233" t="str">
        <f>IF(AND(FORSIDE!$B$8&gt;=18,FORSIDE!$F$8&gt;=5,FORSIDE!$B$5&gt;=2),"S1232","")</f>
        <v/>
      </c>
      <c r="B1233" t="str">
        <f>IF(AND(FORSIDE!$B$8&gt;=18,FORSIDE!$F$8&gt;=5,FORSIDE!$B$5&gt;=2),"1355 -&gt; 1356","")</f>
        <v/>
      </c>
      <c r="C1233" t="str">
        <f>FORSIDE!$C$4</f>
        <v>S355, Stål / KFHUP 180x180x12.5</v>
      </c>
    </row>
    <row r="1234" spans="1:3" x14ac:dyDescent="0.3">
      <c r="A1234" t="str">
        <f>IF(AND(FORSIDE!$B$8&gt;=18,FORSIDE!$F$8&gt;=5,FORSIDE!$B$5&gt;=3),"S1233","")</f>
        <v/>
      </c>
      <c r="B1234" t="str">
        <f>IF(AND(FORSIDE!$B$8&gt;=18,FORSIDE!$F$8&gt;=5,FORSIDE!$B$5&gt;=3),"1356 -&gt; 1357","")</f>
        <v/>
      </c>
      <c r="C1234" t="str">
        <f>FORSIDE!$C$4</f>
        <v>S355, Stål / KFHUP 180x180x12.5</v>
      </c>
    </row>
    <row r="1235" spans="1:3" x14ac:dyDescent="0.3">
      <c r="A1235" t="str">
        <f>IF(AND(FORSIDE!$B$8&gt;=18,FORSIDE!$F$8&gt;=5,FORSIDE!$B$5&gt;=4),"S1234","")</f>
        <v/>
      </c>
      <c r="B1235" t="str">
        <f>IF(AND(FORSIDE!$B$8&gt;=18,FORSIDE!$F$8&gt;=5,FORSIDE!$B$5&gt;=4),"1357 -&gt; 1358","")</f>
        <v/>
      </c>
      <c r="C1235" t="str">
        <f>FORSIDE!$C$4</f>
        <v>S355, Stål / KFHUP 180x180x12.5</v>
      </c>
    </row>
    <row r="1236" spans="1:3" x14ac:dyDescent="0.3">
      <c r="A1236" t="str">
        <f>IF(AND(FORSIDE!$B$8&gt;=18,FORSIDE!$F$8&gt;=5,FORSIDE!$B$5&gt;=5),"S1235","")</f>
        <v/>
      </c>
      <c r="B1236" t="str">
        <f>IF(AND(FORSIDE!$B$8&gt;=18,FORSIDE!$F$8&gt;=5,FORSIDE!$B$5&gt;=5),"1358 -&gt; 1359","")</f>
        <v/>
      </c>
      <c r="C1236" t="str">
        <f>FORSIDE!$C$4</f>
        <v>S355, Stål / KFHUP 180x180x12.5</v>
      </c>
    </row>
    <row r="1237" spans="1:3" x14ac:dyDescent="0.3">
      <c r="A1237" t="str">
        <f>IF(AND(FORSIDE!$B$8&gt;=18,FORSIDE!$F$8&gt;=5,FORSIDE!$B$5&gt;=6),"S1236","")</f>
        <v/>
      </c>
      <c r="B1237" t="str">
        <f>IF(AND(FORSIDE!$B$8&gt;=18,FORSIDE!$F$8&gt;=5,FORSIDE!$B$5&gt;=6),"1359 -&gt; 1360","")</f>
        <v/>
      </c>
      <c r="C1237" t="str">
        <f>FORSIDE!$C$4</f>
        <v>S355, Stål / KFHUP 180x180x12.5</v>
      </c>
    </row>
    <row r="1238" spans="1:3" x14ac:dyDescent="0.3">
      <c r="A1238" t="str">
        <f>IF(AND(FORSIDE!$B$8&gt;=18,FORSIDE!$F$8&gt;=5,FORSIDE!$B$5&gt;=7),"S1237","")</f>
        <v/>
      </c>
      <c r="B1238" t="str">
        <f>IF(AND(FORSIDE!$B$8&gt;=18,FORSIDE!$F$8&gt;=5,FORSIDE!$B$5&gt;=7),"1360 -&gt; 1361","")</f>
        <v/>
      </c>
      <c r="C1238" t="str">
        <f>FORSIDE!$C$4</f>
        <v>S355, Stål / KFHUP 180x180x12.5</v>
      </c>
    </row>
    <row r="1239" spans="1:3" x14ac:dyDescent="0.3">
      <c r="A1239" t="str">
        <f>IF(AND(FORSIDE!$B$8&gt;=18,FORSIDE!$F$8&gt;=5,FORSIDE!$B$5&gt;=8),"S1238","")</f>
        <v/>
      </c>
      <c r="B1239" t="str">
        <f>IF(AND(FORSIDE!$B$8&gt;=18,FORSIDE!$F$8&gt;=5,FORSIDE!$B$5&gt;=8),"1361 -&gt; 1362","")</f>
        <v/>
      </c>
      <c r="C1239" t="str">
        <f>FORSIDE!$C$4</f>
        <v>S355, Stål / KFHUP 180x180x12.5</v>
      </c>
    </row>
    <row r="1240" spans="1:3" x14ac:dyDescent="0.3">
      <c r="A1240" t="str">
        <f>IF(AND(FORSIDE!$B$8&gt;=18,FORSIDE!$F$8&gt;=5,FORSIDE!$B$5&gt;=9),"S1239","")</f>
        <v/>
      </c>
      <c r="B1240" t="str">
        <f>IF(AND(FORSIDE!$B$8&gt;=18,FORSIDE!$F$8&gt;=5,FORSIDE!$B$5&gt;=9),"1362 -&gt; 1363","")</f>
        <v/>
      </c>
      <c r="C1240" t="str">
        <f>FORSIDE!$C$4</f>
        <v>S355, Stål / KFHUP 180x180x12.5</v>
      </c>
    </row>
    <row r="1241" spans="1:3" x14ac:dyDescent="0.3">
      <c r="A1241" t="str">
        <f>IF(AND(FORSIDE!$B$8&gt;=18,FORSIDE!$F$8&gt;=5,FORSIDE!$B$5&gt;=10),"S1240","")</f>
        <v/>
      </c>
      <c r="B1241" t="str">
        <f>IF(AND(FORSIDE!$B$8&gt;=18,FORSIDE!$F$8&gt;=5,FORSIDE!$B$5&gt;=10),"1363 -&gt; 1364","")</f>
        <v/>
      </c>
      <c r="C1241" t="str">
        <f>FORSIDE!$C$4</f>
        <v>S355, Stål / KFHUP 180x180x12.5</v>
      </c>
    </row>
    <row r="1242" spans="1:3" x14ac:dyDescent="0.3">
      <c r="A1242" t="str">
        <f>IF(AND(FORSIDE!$B$8&gt;=19,FORSIDE!$F$8&gt;=5,FORSIDE!$B$5&gt;=1),"S1241","")</f>
        <v/>
      </c>
      <c r="B1242" t="str">
        <f>IF(AND(FORSIDE!$B$8&gt;=19,FORSIDE!$F$8&gt;=5,FORSIDE!$B$5&gt;=1),"1365 -&gt; 1366","")</f>
        <v/>
      </c>
      <c r="C1242" t="str">
        <f>FORSIDE!$C$4</f>
        <v>S355, Stål / KFHUP 180x180x12.5</v>
      </c>
    </row>
    <row r="1243" spans="1:3" x14ac:dyDescent="0.3">
      <c r="A1243" t="str">
        <f>IF(AND(FORSIDE!$B$8&gt;=19,FORSIDE!$F$8&gt;=5,FORSIDE!$B$5&gt;=2),"S1242","")</f>
        <v/>
      </c>
      <c r="B1243" t="str">
        <f>IF(AND(FORSIDE!$B$8&gt;=19,FORSIDE!$F$8&gt;=5,FORSIDE!$B$5&gt;=2),"1366 -&gt; 1367","")</f>
        <v/>
      </c>
      <c r="C1243" t="str">
        <f>FORSIDE!$C$4</f>
        <v>S355, Stål / KFHUP 180x180x12.5</v>
      </c>
    </row>
    <row r="1244" spans="1:3" x14ac:dyDescent="0.3">
      <c r="A1244" t="str">
        <f>IF(AND(FORSIDE!$B$8&gt;=19,FORSIDE!$F$8&gt;=5,FORSIDE!$B$5&gt;=3),"S1243","")</f>
        <v/>
      </c>
      <c r="B1244" t="str">
        <f>IF(AND(FORSIDE!$B$8&gt;=19,FORSIDE!$F$8&gt;=5,FORSIDE!$B$5&gt;=3),"1367 -&gt; 1368","")</f>
        <v/>
      </c>
      <c r="C1244" t="str">
        <f>FORSIDE!$C$4</f>
        <v>S355, Stål / KFHUP 180x180x12.5</v>
      </c>
    </row>
    <row r="1245" spans="1:3" x14ac:dyDescent="0.3">
      <c r="A1245" t="str">
        <f>IF(AND(FORSIDE!$B$8&gt;=19,FORSIDE!$F$8&gt;=5,FORSIDE!$B$5&gt;=4),"S1244","")</f>
        <v/>
      </c>
      <c r="B1245" t="str">
        <f>IF(AND(FORSIDE!$B$8&gt;=19,FORSIDE!$F$8&gt;=5,FORSIDE!$B$5&gt;=4),"1368 -&gt; 1369","")</f>
        <v/>
      </c>
      <c r="C1245" t="str">
        <f>FORSIDE!$C$4</f>
        <v>S355, Stål / KFHUP 180x180x12.5</v>
      </c>
    </row>
    <row r="1246" spans="1:3" x14ac:dyDescent="0.3">
      <c r="A1246" t="str">
        <f>IF(AND(FORSIDE!$B$8&gt;=19,FORSIDE!$F$8&gt;=5,FORSIDE!$B$5&gt;=5),"S1245","")</f>
        <v/>
      </c>
      <c r="B1246" t="str">
        <f>IF(AND(FORSIDE!$B$8&gt;=19,FORSIDE!$F$8&gt;=5,FORSIDE!$B$5&gt;=5),"1369 -&gt; 1370","")</f>
        <v/>
      </c>
      <c r="C1246" t="str">
        <f>FORSIDE!$C$4</f>
        <v>S355, Stål / KFHUP 180x180x12.5</v>
      </c>
    </row>
    <row r="1247" spans="1:3" x14ac:dyDescent="0.3">
      <c r="A1247" t="str">
        <f>IF(AND(FORSIDE!$B$8&gt;=19,FORSIDE!$F$8&gt;=5,FORSIDE!$B$5&gt;=6),"S1246","")</f>
        <v/>
      </c>
      <c r="B1247" t="str">
        <f>IF(AND(FORSIDE!$B$8&gt;=19,FORSIDE!$F$8&gt;=5,FORSIDE!$B$5&gt;=6),"1370 -&gt; 1371","")</f>
        <v/>
      </c>
      <c r="C1247" t="str">
        <f>FORSIDE!$C$4</f>
        <v>S355, Stål / KFHUP 180x180x12.5</v>
      </c>
    </row>
    <row r="1248" spans="1:3" x14ac:dyDescent="0.3">
      <c r="A1248" t="str">
        <f>IF(AND(FORSIDE!$B$8&gt;=19,FORSIDE!$F$8&gt;=5,FORSIDE!$B$5&gt;=7),"S1247","")</f>
        <v/>
      </c>
      <c r="B1248" t="str">
        <f>IF(AND(FORSIDE!$B$8&gt;=19,FORSIDE!$F$8&gt;=5,FORSIDE!$B$5&gt;=7),"1371 -&gt; 1372","")</f>
        <v/>
      </c>
      <c r="C1248" t="str">
        <f>FORSIDE!$C$4</f>
        <v>S355, Stål / KFHUP 180x180x12.5</v>
      </c>
    </row>
    <row r="1249" spans="1:3" x14ac:dyDescent="0.3">
      <c r="A1249" t="str">
        <f>IF(AND(FORSIDE!$B$8&gt;=19,FORSIDE!$F$8&gt;=5,FORSIDE!$B$5&gt;=8),"S1248","")</f>
        <v/>
      </c>
      <c r="B1249" t="str">
        <f>IF(AND(FORSIDE!$B$8&gt;=19,FORSIDE!$F$8&gt;=5,FORSIDE!$B$5&gt;=8),"1372 -&gt; 1373","")</f>
        <v/>
      </c>
      <c r="C1249" t="str">
        <f>FORSIDE!$C$4</f>
        <v>S355, Stål / KFHUP 180x180x12.5</v>
      </c>
    </row>
    <row r="1250" spans="1:3" x14ac:dyDescent="0.3">
      <c r="A1250" t="str">
        <f>IF(AND(FORSIDE!$B$8&gt;=19,FORSIDE!$F$8&gt;=5,FORSIDE!$B$5&gt;=9),"S1249","")</f>
        <v/>
      </c>
      <c r="B1250" t="str">
        <f>IF(AND(FORSIDE!$B$8&gt;=19,FORSIDE!$F$8&gt;=5,FORSIDE!$B$5&gt;=9),"1373 -&gt; 1374","")</f>
        <v/>
      </c>
      <c r="C1250" t="str">
        <f>FORSIDE!$C$4</f>
        <v>S355, Stål / KFHUP 180x180x12.5</v>
      </c>
    </row>
    <row r="1251" spans="1:3" x14ac:dyDescent="0.3">
      <c r="A1251" t="str">
        <f>IF(AND(FORSIDE!$B$8&gt;=19,FORSIDE!$F$8&gt;=5,FORSIDE!$B$5&gt;=10),"S1250","")</f>
        <v/>
      </c>
      <c r="B1251" t="str">
        <f>IF(AND(FORSIDE!$B$8&gt;=19,FORSIDE!$F$8&gt;=5,FORSIDE!$B$5&gt;=10),"1374 -&gt; 1375","")</f>
        <v/>
      </c>
      <c r="C1251" t="str">
        <f>FORSIDE!$C$4</f>
        <v>S355, Stål / KFHUP 180x180x12.5</v>
      </c>
    </row>
    <row r="1252" spans="1:3" x14ac:dyDescent="0.3">
      <c r="A1252" t="str">
        <f>IF(AND(FORSIDE!$B$8&gt;=20,FORSIDE!$F$8&gt;=5,FORSIDE!$B$5&gt;=1),"S1251","")</f>
        <v/>
      </c>
      <c r="B1252" t="str">
        <f>IF(AND(FORSIDE!$B$8&gt;=20,FORSIDE!$F$8&gt;=5,FORSIDE!$B$5&gt;=1),"1376 -&gt; 1377","")</f>
        <v/>
      </c>
      <c r="C1252" t="str">
        <f>FORSIDE!$C$4</f>
        <v>S355, Stål / KFHUP 180x180x12.5</v>
      </c>
    </row>
    <row r="1253" spans="1:3" x14ac:dyDescent="0.3">
      <c r="A1253" t="str">
        <f>IF(AND(FORSIDE!$B$8&gt;=20,FORSIDE!$F$8&gt;=5,FORSIDE!$B$5&gt;=2),"S1252","")</f>
        <v/>
      </c>
      <c r="B1253" t="str">
        <f>IF(AND(FORSIDE!$B$8&gt;=20,FORSIDE!$F$8&gt;=5,FORSIDE!$B$5&gt;=2),"1377 -&gt; 1378","")</f>
        <v/>
      </c>
      <c r="C1253" t="str">
        <f>FORSIDE!$C$4</f>
        <v>S355, Stål / KFHUP 180x180x12.5</v>
      </c>
    </row>
    <row r="1254" spans="1:3" x14ac:dyDescent="0.3">
      <c r="A1254" t="str">
        <f>IF(AND(FORSIDE!$B$8&gt;=20,FORSIDE!$F$8&gt;=5,FORSIDE!$B$5&gt;=3),"S1253","")</f>
        <v/>
      </c>
      <c r="B1254" t="str">
        <f>IF(AND(FORSIDE!$B$8&gt;=20,FORSIDE!$F$8&gt;=5,FORSIDE!$B$5&gt;=3),"1378 -&gt; 1379","")</f>
        <v/>
      </c>
      <c r="C1254" t="str">
        <f>FORSIDE!$C$4</f>
        <v>S355, Stål / KFHUP 180x180x12.5</v>
      </c>
    </row>
    <row r="1255" spans="1:3" x14ac:dyDescent="0.3">
      <c r="A1255" t="str">
        <f>IF(AND(FORSIDE!$B$8&gt;=20,FORSIDE!$F$8&gt;=5,FORSIDE!$B$5&gt;=4),"S1254","")</f>
        <v/>
      </c>
      <c r="B1255" t="str">
        <f>IF(AND(FORSIDE!$B$8&gt;=20,FORSIDE!$F$8&gt;=5,FORSIDE!$B$5&gt;=4),"1379 -&gt; 1380","")</f>
        <v/>
      </c>
      <c r="C1255" t="str">
        <f>FORSIDE!$C$4</f>
        <v>S355, Stål / KFHUP 180x180x12.5</v>
      </c>
    </row>
    <row r="1256" spans="1:3" x14ac:dyDescent="0.3">
      <c r="A1256" t="str">
        <f>IF(AND(FORSIDE!$B$8&gt;=20,FORSIDE!$F$8&gt;=5,FORSIDE!$B$5&gt;=5),"S1255","")</f>
        <v/>
      </c>
      <c r="B1256" t="str">
        <f>IF(AND(FORSIDE!$B$8&gt;=20,FORSIDE!$F$8&gt;=5,FORSIDE!$B$5&gt;=5),"1380 -&gt; 1381","")</f>
        <v/>
      </c>
      <c r="C1256" t="str">
        <f>FORSIDE!$C$4</f>
        <v>S355, Stål / KFHUP 180x180x12.5</v>
      </c>
    </row>
    <row r="1257" spans="1:3" x14ac:dyDescent="0.3">
      <c r="A1257" t="str">
        <f>IF(AND(FORSIDE!$B$8&gt;=20,FORSIDE!$F$8&gt;=5,FORSIDE!$B$5&gt;=6),"S1256","")</f>
        <v/>
      </c>
      <c r="B1257" t="str">
        <f>IF(AND(FORSIDE!$B$8&gt;=20,FORSIDE!$F$8&gt;=5,FORSIDE!$B$5&gt;=6),"1381 -&gt; 1382","")</f>
        <v/>
      </c>
      <c r="C1257" t="str">
        <f>FORSIDE!$C$4</f>
        <v>S355, Stål / KFHUP 180x180x12.5</v>
      </c>
    </row>
    <row r="1258" spans="1:3" x14ac:dyDescent="0.3">
      <c r="A1258" t="str">
        <f>IF(AND(FORSIDE!$B$8&gt;=20,FORSIDE!$F$8&gt;=5,FORSIDE!$B$5&gt;=7),"S1257","")</f>
        <v/>
      </c>
      <c r="B1258" t="str">
        <f>IF(AND(FORSIDE!$B$8&gt;=20,FORSIDE!$F$8&gt;=5,FORSIDE!$B$5&gt;=7),"1382 -&gt; 1383","")</f>
        <v/>
      </c>
      <c r="C1258" t="str">
        <f>FORSIDE!$C$4</f>
        <v>S355, Stål / KFHUP 180x180x12.5</v>
      </c>
    </row>
    <row r="1259" spans="1:3" x14ac:dyDescent="0.3">
      <c r="A1259" t="str">
        <f>IF(AND(FORSIDE!$B$8&gt;=20,FORSIDE!$F$8&gt;=5,FORSIDE!$B$5&gt;=8),"S1258","")</f>
        <v/>
      </c>
      <c r="B1259" t="str">
        <f>IF(AND(FORSIDE!$B$8&gt;=20,FORSIDE!$F$8&gt;=5,FORSIDE!$B$5&gt;=8),"1383 -&gt; 1384","")</f>
        <v/>
      </c>
      <c r="C1259" t="str">
        <f>FORSIDE!$C$4</f>
        <v>S355, Stål / KFHUP 180x180x12.5</v>
      </c>
    </row>
    <row r="1260" spans="1:3" x14ac:dyDescent="0.3">
      <c r="A1260" t="str">
        <f>IF(AND(FORSIDE!$B$8&gt;=20,FORSIDE!$F$8&gt;=5,FORSIDE!$B$5&gt;=9),"S1259","")</f>
        <v/>
      </c>
      <c r="B1260" t="str">
        <f>IF(AND(FORSIDE!$B$8&gt;=20,FORSIDE!$F$8&gt;=5,FORSIDE!$B$5&gt;=9),"1384 -&gt; 1385","")</f>
        <v/>
      </c>
      <c r="C1260" t="str">
        <f>FORSIDE!$C$4</f>
        <v>S355, Stål / KFHUP 180x180x12.5</v>
      </c>
    </row>
    <row r="1261" spans="1:3" x14ac:dyDescent="0.3">
      <c r="A1261" t="str">
        <f>IF(AND(FORSIDE!$B$8&gt;=20,FORSIDE!$F$8&gt;=5,FORSIDE!$B$5&gt;=10),"S1260","")</f>
        <v/>
      </c>
      <c r="B1261" t="str">
        <f>IF(AND(FORSIDE!$B$8&gt;=20,FORSIDE!$F$8&gt;=5,FORSIDE!$B$5&gt;=10),"1385 -&gt; 1386","")</f>
        <v/>
      </c>
      <c r="C1261" t="str">
        <f>FORSIDE!$C$4</f>
        <v>S355, Stål / KFHUP 180x180x12.5</v>
      </c>
    </row>
    <row r="1262" spans="1:3" x14ac:dyDescent="0.3">
      <c r="A1262" t="str">
        <f>IF(AND(FORSIDE!$B$8&gt;=0,FORSIDE!$F$8&gt;=6,FORSIDE!$B$5&gt;=1),"S1261","")</f>
        <v/>
      </c>
      <c r="B1262" t="str">
        <f>IF(AND(FORSIDE!$B$8&gt;=0,FORSIDE!$F$8&gt;=6,FORSIDE!$B$5&gt;=1),"1387 -&gt; 1388","")</f>
        <v/>
      </c>
      <c r="C1262" t="str">
        <f>FORSIDE!$C$4</f>
        <v>S355, Stål / KFHUP 180x180x12.5</v>
      </c>
    </row>
    <row r="1263" spans="1:3" x14ac:dyDescent="0.3">
      <c r="A1263" t="str">
        <f>IF(AND(FORSIDE!$B$8&gt;=0,FORSIDE!$F$8&gt;=6,FORSIDE!$B$5&gt;=2),"S1262","")</f>
        <v/>
      </c>
      <c r="B1263" t="str">
        <f>IF(AND(FORSIDE!$B$8&gt;=0,FORSIDE!$F$8&gt;=6,FORSIDE!$B$5&gt;=2),"1388 -&gt; 1389","")</f>
        <v/>
      </c>
      <c r="C1263" t="str">
        <f>FORSIDE!$C$4</f>
        <v>S355, Stål / KFHUP 180x180x12.5</v>
      </c>
    </row>
    <row r="1264" spans="1:3" x14ac:dyDescent="0.3">
      <c r="A1264" t="str">
        <f>IF(AND(FORSIDE!$B$8&gt;=0,FORSIDE!$F$8&gt;=6,FORSIDE!$B$5&gt;=3),"S1263","")</f>
        <v/>
      </c>
      <c r="B1264" t="str">
        <f>IF(AND(FORSIDE!$B$8&gt;=0,FORSIDE!$F$8&gt;=6,FORSIDE!$B$5&gt;=3),"1389 -&gt; 1390","")</f>
        <v/>
      </c>
      <c r="C1264" t="str">
        <f>FORSIDE!$C$4</f>
        <v>S355, Stål / KFHUP 180x180x12.5</v>
      </c>
    </row>
    <row r="1265" spans="1:3" x14ac:dyDescent="0.3">
      <c r="A1265" t="str">
        <f>IF(AND(FORSIDE!$B$8&gt;=0,FORSIDE!$F$8&gt;=6,FORSIDE!$B$5&gt;=4),"S1264","")</f>
        <v/>
      </c>
      <c r="B1265" t="str">
        <f>IF(AND(FORSIDE!$B$8&gt;=0,FORSIDE!$F$8&gt;=6,FORSIDE!$B$5&gt;=4),"1390 -&gt; 1391","")</f>
        <v/>
      </c>
      <c r="C1265" t="str">
        <f>FORSIDE!$C$4</f>
        <v>S355, Stål / KFHUP 180x180x12.5</v>
      </c>
    </row>
    <row r="1266" spans="1:3" x14ac:dyDescent="0.3">
      <c r="A1266" t="str">
        <f>IF(AND(FORSIDE!$B$8&gt;=0,FORSIDE!$F$8&gt;=6,FORSIDE!$B$5&gt;=5),"S1265","")</f>
        <v/>
      </c>
      <c r="B1266" t="str">
        <f>IF(AND(FORSIDE!$B$8&gt;=0,FORSIDE!$F$8&gt;=6,FORSIDE!$B$5&gt;=5),"1391 -&gt; 1392","")</f>
        <v/>
      </c>
      <c r="C1266" t="str">
        <f>FORSIDE!$C$4</f>
        <v>S355, Stål / KFHUP 180x180x12.5</v>
      </c>
    </row>
    <row r="1267" spans="1:3" x14ac:dyDescent="0.3">
      <c r="A1267" t="str">
        <f>IF(AND(FORSIDE!$B$8&gt;=0,FORSIDE!$F$8&gt;=6,FORSIDE!$B$5&gt;=6),"S1266","")</f>
        <v/>
      </c>
      <c r="B1267" t="str">
        <f>IF(AND(FORSIDE!$B$8&gt;=0,FORSIDE!$F$8&gt;=6,FORSIDE!$B$5&gt;=6),"1392 -&gt; 1393","")</f>
        <v/>
      </c>
      <c r="C1267" t="str">
        <f>FORSIDE!$C$4</f>
        <v>S355, Stål / KFHUP 180x180x12.5</v>
      </c>
    </row>
    <row r="1268" spans="1:3" x14ac:dyDescent="0.3">
      <c r="A1268" t="str">
        <f>IF(AND(FORSIDE!$B$8&gt;=0,FORSIDE!$F$8&gt;=6,FORSIDE!$B$5&gt;=7),"S1267","")</f>
        <v/>
      </c>
      <c r="B1268" t="str">
        <f>IF(AND(FORSIDE!$B$8&gt;=0,FORSIDE!$F$8&gt;=6,FORSIDE!$B$5&gt;=7),"1393 -&gt; 1394","")</f>
        <v/>
      </c>
      <c r="C1268" t="str">
        <f>FORSIDE!$C$4</f>
        <v>S355, Stål / KFHUP 180x180x12.5</v>
      </c>
    </row>
    <row r="1269" spans="1:3" x14ac:dyDescent="0.3">
      <c r="A1269" t="str">
        <f>IF(AND(FORSIDE!$B$8&gt;=0,FORSIDE!$F$8&gt;=6,FORSIDE!$B$5&gt;=8),"S1268","")</f>
        <v/>
      </c>
      <c r="B1269" t="str">
        <f>IF(AND(FORSIDE!$B$8&gt;=0,FORSIDE!$F$8&gt;=6,FORSIDE!$B$5&gt;=8),"1394 -&gt; 1395","")</f>
        <v/>
      </c>
      <c r="C1269" t="str">
        <f>FORSIDE!$C$4</f>
        <v>S355, Stål / KFHUP 180x180x12.5</v>
      </c>
    </row>
    <row r="1270" spans="1:3" x14ac:dyDescent="0.3">
      <c r="A1270" t="str">
        <f>IF(AND(FORSIDE!$B$8&gt;=0,FORSIDE!$F$8&gt;=6,FORSIDE!$B$5&gt;=9),"S1269","")</f>
        <v/>
      </c>
      <c r="B1270" t="str">
        <f>IF(AND(FORSIDE!$B$8&gt;=0,FORSIDE!$F$8&gt;=6,FORSIDE!$B$5&gt;=9),"1395 -&gt; 1396","")</f>
        <v/>
      </c>
      <c r="C1270" t="str">
        <f>FORSIDE!$C$4</f>
        <v>S355, Stål / KFHUP 180x180x12.5</v>
      </c>
    </row>
    <row r="1271" spans="1:3" x14ac:dyDescent="0.3">
      <c r="A1271" t="str">
        <f>IF(AND(FORSIDE!$B$8&gt;=0,FORSIDE!$F$8&gt;=6,FORSIDE!$B$5&gt;=10),"S1270","")</f>
        <v/>
      </c>
      <c r="B1271" t="str">
        <f>IF(AND(FORSIDE!$B$8&gt;=0,FORSIDE!$F$8&gt;=6,FORSIDE!$B$5&gt;=10),"1396 -&gt; 1397","")</f>
        <v/>
      </c>
      <c r="C1271" t="str">
        <f>FORSIDE!$C$4</f>
        <v>S355, Stål / KFHUP 180x180x12.5</v>
      </c>
    </row>
    <row r="1272" spans="1:3" x14ac:dyDescent="0.3">
      <c r="A1272" t="str">
        <f>IF(AND(FORSIDE!$B$8&gt;=1,FORSIDE!$F$8&gt;=6,FORSIDE!$B$5&gt;=1),"S1271","")</f>
        <v/>
      </c>
      <c r="B1272" t="str">
        <f>IF(AND(FORSIDE!$B$8&gt;=1,FORSIDE!$F$8&gt;=6,FORSIDE!$B$5&gt;=1),"1398 -&gt; 1399","")</f>
        <v/>
      </c>
      <c r="C1272" t="str">
        <f>FORSIDE!$C$4</f>
        <v>S355, Stål / KFHUP 180x180x12.5</v>
      </c>
    </row>
    <row r="1273" spans="1:3" x14ac:dyDescent="0.3">
      <c r="A1273" t="str">
        <f>IF(AND(FORSIDE!$B$8&gt;=1,FORSIDE!$F$8&gt;=6,FORSIDE!$B$5&gt;=2),"S1272","")</f>
        <v/>
      </c>
      <c r="B1273" t="str">
        <f>IF(AND(FORSIDE!$B$8&gt;=1,FORSIDE!$F$8&gt;=6,FORSIDE!$B$5&gt;=2),"1399 -&gt; 1400","")</f>
        <v/>
      </c>
      <c r="C1273" t="str">
        <f>FORSIDE!$C$4</f>
        <v>S355, Stål / KFHUP 180x180x12.5</v>
      </c>
    </row>
    <row r="1274" spans="1:3" x14ac:dyDescent="0.3">
      <c r="A1274" t="str">
        <f>IF(AND(FORSIDE!$B$8&gt;=1,FORSIDE!$F$8&gt;=6,FORSIDE!$B$5&gt;=3),"S1273","")</f>
        <v/>
      </c>
      <c r="B1274" t="str">
        <f>IF(AND(FORSIDE!$B$8&gt;=1,FORSIDE!$F$8&gt;=6,FORSIDE!$B$5&gt;=3),"1400 -&gt; 1401","")</f>
        <v/>
      </c>
      <c r="C1274" t="str">
        <f>FORSIDE!$C$4</f>
        <v>S355, Stål / KFHUP 180x180x12.5</v>
      </c>
    </row>
    <row r="1275" spans="1:3" x14ac:dyDescent="0.3">
      <c r="A1275" t="str">
        <f>IF(AND(FORSIDE!$B$8&gt;=1,FORSIDE!$F$8&gt;=6,FORSIDE!$B$5&gt;=4),"S1274","")</f>
        <v/>
      </c>
      <c r="B1275" t="str">
        <f>IF(AND(FORSIDE!$B$8&gt;=1,FORSIDE!$F$8&gt;=6,FORSIDE!$B$5&gt;=4),"1401 -&gt; 1402","")</f>
        <v/>
      </c>
      <c r="C1275" t="str">
        <f>FORSIDE!$C$4</f>
        <v>S355, Stål / KFHUP 180x180x12.5</v>
      </c>
    </row>
    <row r="1276" spans="1:3" x14ac:dyDescent="0.3">
      <c r="A1276" t="str">
        <f>IF(AND(FORSIDE!$B$8&gt;=1,FORSIDE!$F$8&gt;=6,FORSIDE!$B$5&gt;=5),"S1275","")</f>
        <v/>
      </c>
      <c r="B1276" t="str">
        <f>IF(AND(FORSIDE!$B$8&gt;=1,FORSIDE!$F$8&gt;=6,FORSIDE!$B$5&gt;=5),"1402 -&gt; 1403","")</f>
        <v/>
      </c>
      <c r="C1276" t="str">
        <f>FORSIDE!$C$4</f>
        <v>S355, Stål / KFHUP 180x180x12.5</v>
      </c>
    </row>
    <row r="1277" spans="1:3" x14ac:dyDescent="0.3">
      <c r="A1277" t="str">
        <f>IF(AND(FORSIDE!$B$8&gt;=1,FORSIDE!$F$8&gt;=6,FORSIDE!$B$5&gt;=6),"S1276","")</f>
        <v/>
      </c>
      <c r="B1277" t="str">
        <f>IF(AND(FORSIDE!$B$8&gt;=1,FORSIDE!$F$8&gt;=6,FORSIDE!$B$5&gt;=6),"1403 -&gt; 1404","")</f>
        <v/>
      </c>
      <c r="C1277" t="str">
        <f>FORSIDE!$C$4</f>
        <v>S355, Stål / KFHUP 180x180x12.5</v>
      </c>
    </row>
    <row r="1278" spans="1:3" x14ac:dyDescent="0.3">
      <c r="A1278" t="str">
        <f>IF(AND(FORSIDE!$B$8&gt;=1,FORSIDE!$F$8&gt;=6,FORSIDE!$B$5&gt;=7),"S1277","")</f>
        <v/>
      </c>
      <c r="B1278" t="str">
        <f>IF(AND(FORSIDE!$B$8&gt;=1,FORSIDE!$F$8&gt;=6,FORSIDE!$B$5&gt;=7),"1404 -&gt; 1405","")</f>
        <v/>
      </c>
      <c r="C1278" t="str">
        <f>FORSIDE!$C$4</f>
        <v>S355, Stål / KFHUP 180x180x12.5</v>
      </c>
    </row>
    <row r="1279" spans="1:3" x14ac:dyDescent="0.3">
      <c r="A1279" t="str">
        <f>IF(AND(FORSIDE!$B$8&gt;=1,FORSIDE!$F$8&gt;=6,FORSIDE!$B$5&gt;=8),"S1278","")</f>
        <v/>
      </c>
      <c r="B1279" t="str">
        <f>IF(AND(FORSIDE!$B$8&gt;=1,FORSIDE!$F$8&gt;=6,FORSIDE!$B$5&gt;=8),"1405 -&gt; 1406","")</f>
        <v/>
      </c>
      <c r="C1279" t="str">
        <f>FORSIDE!$C$4</f>
        <v>S355, Stål / KFHUP 180x180x12.5</v>
      </c>
    </row>
    <row r="1280" spans="1:3" x14ac:dyDescent="0.3">
      <c r="A1280" t="str">
        <f>IF(AND(FORSIDE!$B$8&gt;=1,FORSIDE!$F$8&gt;=6,FORSIDE!$B$5&gt;=9),"S1279","")</f>
        <v/>
      </c>
      <c r="B1280" t="str">
        <f>IF(AND(FORSIDE!$B$8&gt;=1,FORSIDE!$F$8&gt;=6,FORSIDE!$B$5&gt;=9),"1406 -&gt; 1407","")</f>
        <v/>
      </c>
      <c r="C1280" t="str">
        <f>FORSIDE!$C$4</f>
        <v>S355, Stål / KFHUP 180x180x12.5</v>
      </c>
    </row>
    <row r="1281" spans="1:3" x14ac:dyDescent="0.3">
      <c r="A1281" t="str">
        <f>IF(AND(FORSIDE!$B$8&gt;=1,FORSIDE!$F$8&gt;=6,FORSIDE!$B$5&gt;=10),"S1280","")</f>
        <v/>
      </c>
      <c r="B1281" t="str">
        <f>IF(AND(FORSIDE!$B$8&gt;=1,FORSIDE!$F$8&gt;=6,FORSIDE!$B$5&gt;=10),"1407 -&gt; 1408","")</f>
        <v/>
      </c>
      <c r="C1281" t="str">
        <f>FORSIDE!$C$4</f>
        <v>S355, Stål / KFHUP 180x180x12.5</v>
      </c>
    </row>
    <row r="1282" spans="1:3" x14ac:dyDescent="0.3">
      <c r="A1282" t="str">
        <f>IF(AND(FORSIDE!$B$8&gt;=2,FORSIDE!$F$8&gt;=6,FORSIDE!$B$5&gt;=1),"S1281","")</f>
        <v/>
      </c>
      <c r="B1282" t="str">
        <f>IF(AND(FORSIDE!$B$8&gt;=2,FORSIDE!$F$8&gt;=6,FORSIDE!$B$5&gt;=1),"1409 -&gt; 1410","")</f>
        <v/>
      </c>
      <c r="C1282" t="str">
        <f>FORSIDE!$C$4</f>
        <v>S355, Stål / KFHUP 180x180x12.5</v>
      </c>
    </row>
    <row r="1283" spans="1:3" x14ac:dyDescent="0.3">
      <c r="A1283" t="str">
        <f>IF(AND(FORSIDE!$B$8&gt;=2,FORSIDE!$F$8&gt;=6,FORSIDE!$B$5&gt;=2),"S1282","")</f>
        <v/>
      </c>
      <c r="B1283" t="str">
        <f>IF(AND(FORSIDE!$B$8&gt;=2,FORSIDE!$F$8&gt;=6,FORSIDE!$B$5&gt;=2),"1410 -&gt; 1411","")</f>
        <v/>
      </c>
      <c r="C1283" t="str">
        <f>FORSIDE!$C$4</f>
        <v>S355, Stål / KFHUP 180x180x12.5</v>
      </c>
    </row>
    <row r="1284" spans="1:3" x14ac:dyDescent="0.3">
      <c r="A1284" t="str">
        <f>IF(AND(FORSIDE!$B$8&gt;=2,FORSIDE!$F$8&gt;=6,FORSIDE!$B$5&gt;=3),"S1283","")</f>
        <v/>
      </c>
      <c r="B1284" t="str">
        <f>IF(AND(FORSIDE!$B$8&gt;=2,FORSIDE!$F$8&gt;=6,FORSIDE!$B$5&gt;=3),"1411 -&gt; 1412","")</f>
        <v/>
      </c>
      <c r="C1284" t="str">
        <f>FORSIDE!$C$4</f>
        <v>S355, Stål / KFHUP 180x180x12.5</v>
      </c>
    </row>
    <row r="1285" spans="1:3" x14ac:dyDescent="0.3">
      <c r="A1285" t="str">
        <f>IF(AND(FORSIDE!$B$8&gt;=2,FORSIDE!$F$8&gt;=6,FORSIDE!$B$5&gt;=4),"S1284","")</f>
        <v/>
      </c>
      <c r="B1285" t="str">
        <f>IF(AND(FORSIDE!$B$8&gt;=2,FORSIDE!$F$8&gt;=6,FORSIDE!$B$5&gt;=4),"1412 -&gt; 1413","")</f>
        <v/>
      </c>
      <c r="C1285" t="str">
        <f>FORSIDE!$C$4</f>
        <v>S355, Stål / KFHUP 180x180x12.5</v>
      </c>
    </row>
    <row r="1286" spans="1:3" x14ac:dyDescent="0.3">
      <c r="A1286" t="str">
        <f>IF(AND(FORSIDE!$B$8&gt;=2,FORSIDE!$F$8&gt;=6,FORSIDE!$B$5&gt;=5),"S1285","")</f>
        <v/>
      </c>
      <c r="B1286" t="str">
        <f>IF(AND(FORSIDE!$B$8&gt;=2,FORSIDE!$F$8&gt;=6,FORSIDE!$B$5&gt;=5),"1413 -&gt; 1414","")</f>
        <v/>
      </c>
      <c r="C1286" t="str">
        <f>FORSIDE!$C$4</f>
        <v>S355, Stål / KFHUP 180x180x12.5</v>
      </c>
    </row>
    <row r="1287" spans="1:3" x14ac:dyDescent="0.3">
      <c r="A1287" t="str">
        <f>IF(AND(FORSIDE!$B$8&gt;=2,FORSIDE!$F$8&gt;=6,FORSIDE!$B$5&gt;=6),"S1286","")</f>
        <v/>
      </c>
      <c r="B1287" t="str">
        <f>IF(AND(FORSIDE!$B$8&gt;=2,FORSIDE!$F$8&gt;=6,FORSIDE!$B$5&gt;=6),"1414 -&gt; 1415","")</f>
        <v/>
      </c>
      <c r="C1287" t="str">
        <f>FORSIDE!$C$4</f>
        <v>S355, Stål / KFHUP 180x180x12.5</v>
      </c>
    </row>
    <row r="1288" spans="1:3" x14ac:dyDescent="0.3">
      <c r="A1288" t="str">
        <f>IF(AND(FORSIDE!$B$8&gt;=2,FORSIDE!$F$8&gt;=6,FORSIDE!$B$5&gt;=7),"S1287","")</f>
        <v/>
      </c>
      <c r="B1288" t="str">
        <f>IF(AND(FORSIDE!$B$8&gt;=2,FORSIDE!$F$8&gt;=6,FORSIDE!$B$5&gt;=7),"1415 -&gt; 1416","")</f>
        <v/>
      </c>
      <c r="C1288" t="str">
        <f>FORSIDE!$C$4</f>
        <v>S355, Stål / KFHUP 180x180x12.5</v>
      </c>
    </row>
    <row r="1289" spans="1:3" x14ac:dyDescent="0.3">
      <c r="A1289" t="str">
        <f>IF(AND(FORSIDE!$B$8&gt;=2,FORSIDE!$F$8&gt;=6,FORSIDE!$B$5&gt;=8),"S1288","")</f>
        <v/>
      </c>
      <c r="B1289" t="str">
        <f>IF(AND(FORSIDE!$B$8&gt;=2,FORSIDE!$F$8&gt;=6,FORSIDE!$B$5&gt;=8),"1416 -&gt; 1417","")</f>
        <v/>
      </c>
      <c r="C1289" t="str">
        <f>FORSIDE!$C$4</f>
        <v>S355, Stål / KFHUP 180x180x12.5</v>
      </c>
    </row>
    <row r="1290" spans="1:3" x14ac:dyDescent="0.3">
      <c r="A1290" t="str">
        <f>IF(AND(FORSIDE!$B$8&gt;=2,FORSIDE!$F$8&gt;=6,FORSIDE!$B$5&gt;=9),"S1289","")</f>
        <v/>
      </c>
      <c r="B1290" t="str">
        <f>IF(AND(FORSIDE!$B$8&gt;=2,FORSIDE!$F$8&gt;=6,FORSIDE!$B$5&gt;=9),"1417 -&gt; 1418","")</f>
        <v/>
      </c>
      <c r="C1290" t="str">
        <f>FORSIDE!$C$4</f>
        <v>S355, Stål / KFHUP 180x180x12.5</v>
      </c>
    </row>
    <row r="1291" spans="1:3" x14ac:dyDescent="0.3">
      <c r="A1291" t="str">
        <f>IF(AND(FORSIDE!$B$8&gt;=2,FORSIDE!$F$8&gt;=6,FORSIDE!$B$5&gt;=10),"S1290","")</f>
        <v/>
      </c>
      <c r="B1291" t="str">
        <f>IF(AND(FORSIDE!$B$8&gt;=2,FORSIDE!$F$8&gt;=6,FORSIDE!$B$5&gt;=10),"1418 -&gt; 1419","")</f>
        <v/>
      </c>
      <c r="C1291" t="str">
        <f>FORSIDE!$C$4</f>
        <v>S355, Stål / KFHUP 180x180x12.5</v>
      </c>
    </row>
    <row r="1292" spans="1:3" x14ac:dyDescent="0.3">
      <c r="A1292" t="str">
        <f>IF(AND(FORSIDE!$B$8&gt;=3,FORSIDE!$F$8&gt;=6,FORSIDE!$B$5&gt;=1),"S1291","")</f>
        <v/>
      </c>
      <c r="B1292" t="str">
        <f>IF(AND(FORSIDE!$B$8&gt;=3,FORSIDE!$F$8&gt;=6,FORSIDE!$B$5&gt;=1),"1420 -&gt; 1421","")</f>
        <v/>
      </c>
      <c r="C1292" t="str">
        <f>FORSIDE!$C$4</f>
        <v>S355, Stål / KFHUP 180x180x12.5</v>
      </c>
    </row>
    <row r="1293" spans="1:3" x14ac:dyDescent="0.3">
      <c r="A1293" t="str">
        <f>IF(AND(FORSIDE!$B$8&gt;=3,FORSIDE!$F$8&gt;=6,FORSIDE!$B$5&gt;=2),"S1292","")</f>
        <v/>
      </c>
      <c r="B1293" t="str">
        <f>IF(AND(FORSIDE!$B$8&gt;=3,FORSIDE!$F$8&gt;=6,FORSIDE!$B$5&gt;=2),"1421 -&gt; 1422","")</f>
        <v/>
      </c>
      <c r="C1293" t="str">
        <f>FORSIDE!$C$4</f>
        <v>S355, Stål / KFHUP 180x180x12.5</v>
      </c>
    </row>
    <row r="1294" spans="1:3" x14ac:dyDescent="0.3">
      <c r="A1294" t="str">
        <f>IF(AND(FORSIDE!$B$8&gt;=3,FORSIDE!$F$8&gt;=6,FORSIDE!$B$5&gt;=3),"S1293","")</f>
        <v/>
      </c>
      <c r="B1294" t="str">
        <f>IF(AND(FORSIDE!$B$8&gt;=3,FORSIDE!$F$8&gt;=6,FORSIDE!$B$5&gt;=3),"1422 -&gt; 1423","")</f>
        <v/>
      </c>
      <c r="C1294" t="str">
        <f>FORSIDE!$C$4</f>
        <v>S355, Stål / KFHUP 180x180x12.5</v>
      </c>
    </row>
    <row r="1295" spans="1:3" x14ac:dyDescent="0.3">
      <c r="A1295" t="str">
        <f>IF(AND(FORSIDE!$B$8&gt;=3,FORSIDE!$F$8&gt;=6,FORSIDE!$B$5&gt;=4),"S1294","")</f>
        <v/>
      </c>
      <c r="B1295" t="str">
        <f>IF(AND(FORSIDE!$B$8&gt;=3,FORSIDE!$F$8&gt;=6,FORSIDE!$B$5&gt;=4),"1423 -&gt; 1424","")</f>
        <v/>
      </c>
      <c r="C1295" t="str">
        <f>FORSIDE!$C$4</f>
        <v>S355, Stål / KFHUP 180x180x12.5</v>
      </c>
    </row>
    <row r="1296" spans="1:3" x14ac:dyDescent="0.3">
      <c r="A1296" t="str">
        <f>IF(AND(FORSIDE!$B$8&gt;=3,FORSIDE!$F$8&gt;=6,FORSIDE!$B$5&gt;=5),"S1295","")</f>
        <v/>
      </c>
      <c r="B1296" t="str">
        <f>IF(AND(FORSIDE!$B$8&gt;=3,FORSIDE!$F$8&gt;=6,FORSIDE!$B$5&gt;=5),"1424 -&gt; 1425","")</f>
        <v/>
      </c>
      <c r="C1296" t="str">
        <f>FORSIDE!$C$4</f>
        <v>S355, Stål / KFHUP 180x180x12.5</v>
      </c>
    </row>
    <row r="1297" spans="1:3" x14ac:dyDescent="0.3">
      <c r="A1297" t="str">
        <f>IF(AND(FORSIDE!$B$8&gt;=3,FORSIDE!$F$8&gt;=6,FORSIDE!$B$5&gt;=6),"S1296","")</f>
        <v/>
      </c>
      <c r="B1297" t="str">
        <f>IF(AND(FORSIDE!$B$8&gt;=3,FORSIDE!$F$8&gt;=6,FORSIDE!$B$5&gt;=6),"1425 -&gt; 1426","")</f>
        <v/>
      </c>
      <c r="C1297" t="str">
        <f>FORSIDE!$C$4</f>
        <v>S355, Stål / KFHUP 180x180x12.5</v>
      </c>
    </row>
    <row r="1298" spans="1:3" x14ac:dyDescent="0.3">
      <c r="A1298" t="str">
        <f>IF(AND(FORSIDE!$B$8&gt;=3,FORSIDE!$F$8&gt;=6,FORSIDE!$B$5&gt;=7),"S1297","")</f>
        <v/>
      </c>
      <c r="B1298" t="str">
        <f>IF(AND(FORSIDE!$B$8&gt;=3,FORSIDE!$F$8&gt;=6,FORSIDE!$B$5&gt;=7),"1426 -&gt; 1427","")</f>
        <v/>
      </c>
      <c r="C1298" t="str">
        <f>FORSIDE!$C$4</f>
        <v>S355, Stål / KFHUP 180x180x12.5</v>
      </c>
    </row>
    <row r="1299" spans="1:3" x14ac:dyDescent="0.3">
      <c r="A1299" t="str">
        <f>IF(AND(FORSIDE!$B$8&gt;=3,FORSIDE!$F$8&gt;=6,FORSIDE!$B$5&gt;=8),"S1298","")</f>
        <v/>
      </c>
      <c r="B1299" t="str">
        <f>IF(AND(FORSIDE!$B$8&gt;=3,FORSIDE!$F$8&gt;=6,FORSIDE!$B$5&gt;=8),"1427 -&gt; 1428","")</f>
        <v/>
      </c>
      <c r="C1299" t="str">
        <f>FORSIDE!$C$4</f>
        <v>S355, Stål / KFHUP 180x180x12.5</v>
      </c>
    </row>
    <row r="1300" spans="1:3" x14ac:dyDescent="0.3">
      <c r="A1300" t="str">
        <f>IF(AND(FORSIDE!$B$8&gt;=3,FORSIDE!$F$8&gt;=6,FORSIDE!$B$5&gt;=9),"S1299","")</f>
        <v/>
      </c>
      <c r="B1300" t="str">
        <f>IF(AND(FORSIDE!$B$8&gt;=3,FORSIDE!$F$8&gt;=6,FORSIDE!$B$5&gt;=9),"1428 -&gt; 1429","")</f>
        <v/>
      </c>
      <c r="C1300" t="str">
        <f>FORSIDE!$C$4</f>
        <v>S355, Stål / KFHUP 180x180x12.5</v>
      </c>
    </row>
    <row r="1301" spans="1:3" x14ac:dyDescent="0.3">
      <c r="A1301" t="str">
        <f>IF(AND(FORSIDE!$B$8&gt;=3,FORSIDE!$F$8&gt;=6,FORSIDE!$B$5&gt;=10),"S1300","")</f>
        <v/>
      </c>
      <c r="B1301" t="str">
        <f>IF(AND(FORSIDE!$B$8&gt;=3,FORSIDE!$F$8&gt;=6,FORSIDE!$B$5&gt;=10),"1429 -&gt; 1430","")</f>
        <v/>
      </c>
      <c r="C1301" t="str">
        <f>FORSIDE!$C$4</f>
        <v>S355, Stål / KFHUP 180x180x12.5</v>
      </c>
    </row>
    <row r="1302" spans="1:3" x14ac:dyDescent="0.3">
      <c r="A1302" t="str">
        <f>IF(AND(FORSIDE!$B$8&gt;=4,FORSIDE!$F$8&gt;=6,FORSIDE!$B$5&gt;=1),"S1301","")</f>
        <v/>
      </c>
      <c r="B1302" t="str">
        <f>IF(AND(FORSIDE!$B$8&gt;=4,FORSIDE!$F$8&gt;=6,FORSIDE!$B$5&gt;=1),"1431 -&gt; 1432","")</f>
        <v/>
      </c>
      <c r="C1302" t="str">
        <f>FORSIDE!$C$4</f>
        <v>S355, Stål / KFHUP 180x180x12.5</v>
      </c>
    </row>
    <row r="1303" spans="1:3" x14ac:dyDescent="0.3">
      <c r="A1303" t="str">
        <f>IF(AND(FORSIDE!$B$8&gt;=4,FORSIDE!$F$8&gt;=6,FORSIDE!$B$5&gt;=2),"S1302","")</f>
        <v/>
      </c>
      <c r="B1303" t="str">
        <f>IF(AND(FORSIDE!$B$8&gt;=4,FORSIDE!$F$8&gt;=6,FORSIDE!$B$5&gt;=2),"1432 -&gt; 1433","")</f>
        <v/>
      </c>
      <c r="C1303" t="str">
        <f>FORSIDE!$C$4</f>
        <v>S355, Stål / KFHUP 180x180x12.5</v>
      </c>
    </row>
    <row r="1304" spans="1:3" x14ac:dyDescent="0.3">
      <c r="A1304" t="str">
        <f>IF(AND(FORSIDE!$B$8&gt;=4,FORSIDE!$F$8&gt;=6,FORSIDE!$B$5&gt;=3),"S1303","")</f>
        <v/>
      </c>
      <c r="B1304" t="str">
        <f>IF(AND(FORSIDE!$B$8&gt;=4,FORSIDE!$F$8&gt;=6,FORSIDE!$B$5&gt;=3),"1433 -&gt; 1434","")</f>
        <v/>
      </c>
      <c r="C1304" t="str">
        <f>FORSIDE!$C$4</f>
        <v>S355, Stål / KFHUP 180x180x12.5</v>
      </c>
    </row>
    <row r="1305" spans="1:3" x14ac:dyDescent="0.3">
      <c r="A1305" t="str">
        <f>IF(AND(FORSIDE!$B$8&gt;=4,FORSIDE!$F$8&gt;=6,FORSIDE!$B$5&gt;=4),"S1304","")</f>
        <v/>
      </c>
      <c r="B1305" t="str">
        <f>IF(AND(FORSIDE!$B$8&gt;=4,FORSIDE!$F$8&gt;=6,FORSIDE!$B$5&gt;=4),"1434 -&gt; 1435","")</f>
        <v/>
      </c>
      <c r="C1305" t="str">
        <f>FORSIDE!$C$4</f>
        <v>S355, Stål / KFHUP 180x180x12.5</v>
      </c>
    </row>
    <row r="1306" spans="1:3" x14ac:dyDescent="0.3">
      <c r="A1306" t="str">
        <f>IF(AND(FORSIDE!$B$8&gt;=4,FORSIDE!$F$8&gt;=6,FORSIDE!$B$5&gt;=5),"S1305","")</f>
        <v/>
      </c>
      <c r="B1306" t="str">
        <f>IF(AND(FORSIDE!$B$8&gt;=4,FORSIDE!$F$8&gt;=6,FORSIDE!$B$5&gt;=5),"1435 -&gt; 1436","")</f>
        <v/>
      </c>
      <c r="C1306" t="str">
        <f>FORSIDE!$C$4</f>
        <v>S355, Stål / KFHUP 180x180x12.5</v>
      </c>
    </row>
    <row r="1307" spans="1:3" x14ac:dyDescent="0.3">
      <c r="A1307" t="str">
        <f>IF(AND(FORSIDE!$B$8&gt;=4,FORSIDE!$F$8&gt;=6,FORSIDE!$B$5&gt;=6),"S1306","")</f>
        <v/>
      </c>
      <c r="B1307" t="str">
        <f>IF(AND(FORSIDE!$B$8&gt;=4,FORSIDE!$F$8&gt;=6,FORSIDE!$B$5&gt;=6),"1436 -&gt; 1437","")</f>
        <v/>
      </c>
      <c r="C1307" t="str">
        <f>FORSIDE!$C$4</f>
        <v>S355, Stål / KFHUP 180x180x12.5</v>
      </c>
    </row>
    <row r="1308" spans="1:3" x14ac:dyDescent="0.3">
      <c r="A1308" t="str">
        <f>IF(AND(FORSIDE!$B$8&gt;=4,FORSIDE!$F$8&gt;=6,FORSIDE!$B$5&gt;=7),"S1307","")</f>
        <v/>
      </c>
      <c r="B1308" t="str">
        <f>IF(AND(FORSIDE!$B$8&gt;=4,FORSIDE!$F$8&gt;=6,FORSIDE!$B$5&gt;=7),"1437 -&gt; 1438","")</f>
        <v/>
      </c>
      <c r="C1308" t="str">
        <f>FORSIDE!$C$4</f>
        <v>S355, Stål / KFHUP 180x180x12.5</v>
      </c>
    </row>
    <row r="1309" spans="1:3" x14ac:dyDescent="0.3">
      <c r="A1309" t="str">
        <f>IF(AND(FORSIDE!$B$8&gt;=4,FORSIDE!$F$8&gt;=6,FORSIDE!$B$5&gt;=8),"S1308","")</f>
        <v/>
      </c>
      <c r="B1309" t="str">
        <f>IF(AND(FORSIDE!$B$8&gt;=4,FORSIDE!$F$8&gt;=6,FORSIDE!$B$5&gt;=8),"1438 -&gt; 1439","")</f>
        <v/>
      </c>
      <c r="C1309" t="str">
        <f>FORSIDE!$C$4</f>
        <v>S355, Stål / KFHUP 180x180x12.5</v>
      </c>
    </row>
    <row r="1310" spans="1:3" x14ac:dyDescent="0.3">
      <c r="A1310" t="str">
        <f>IF(AND(FORSIDE!$B$8&gt;=4,FORSIDE!$F$8&gt;=6,FORSIDE!$B$5&gt;=9),"S1309","")</f>
        <v/>
      </c>
      <c r="B1310" t="str">
        <f>IF(AND(FORSIDE!$B$8&gt;=4,FORSIDE!$F$8&gt;=6,FORSIDE!$B$5&gt;=9),"1439 -&gt; 1440","")</f>
        <v/>
      </c>
      <c r="C1310" t="str">
        <f>FORSIDE!$C$4</f>
        <v>S355, Stål / KFHUP 180x180x12.5</v>
      </c>
    </row>
    <row r="1311" spans="1:3" x14ac:dyDescent="0.3">
      <c r="A1311" t="str">
        <f>IF(AND(FORSIDE!$B$8&gt;=4,FORSIDE!$F$8&gt;=6,FORSIDE!$B$5&gt;=10),"S1310","")</f>
        <v/>
      </c>
      <c r="B1311" t="str">
        <f>IF(AND(FORSIDE!$B$8&gt;=4,FORSIDE!$F$8&gt;=6,FORSIDE!$B$5&gt;=10),"1440 -&gt; 1441","")</f>
        <v/>
      </c>
      <c r="C1311" t="str">
        <f>FORSIDE!$C$4</f>
        <v>S355, Stål / KFHUP 180x180x12.5</v>
      </c>
    </row>
    <row r="1312" spans="1:3" x14ac:dyDescent="0.3">
      <c r="A1312" t="str">
        <f>IF(AND(FORSIDE!$B$8&gt;=5,FORSIDE!$F$8&gt;=6,FORSIDE!$B$5&gt;=1),"S1311","")</f>
        <v/>
      </c>
      <c r="B1312" t="str">
        <f>IF(AND(FORSIDE!$B$8&gt;=5,FORSIDE!$F$8&gt;=6,FORSIDE!$B$5&gt;=1),"1442 -&gt; 1443","")</f>
        <v/>
      </c>
      <c r="C1312" t="str">
        <f>FORSIDE!$C$4</f>
        <v>S355, Stål / KFHUP 180x180x12.5</v>
      </c>
    </row>
    <row r="1313" spans="1:3" x14ac:dyDescent="0.3">
      <c r="A1313" t="str">
        <f>IF(AND(FORSIDE!$B$8&gt;=5,FORSIDE!$F$8&gt;=6,FORSIDE!$B$5&gt;=2),"S1312","")</f>
        <v/>
      </c>
      <c r="B1313" t="str">
        <f>IF(AND(FORSIDE!$B$8&gt;=5,FORSIDE!$F$8&gt;=6,FORSIDE!$B$5&gt;=2),"1443 -&gt; 1444","")</f>
        <v/>
      </c>
      <c r="C1313" t="str">
        <f>FORSIDE!$C$4</f>
        <v>S355, Stål / KFHUP 180x180x12.5</v>
      </c>
    </row>
    <row r="1314" spans="1:3" x14ac:dyDescent="0.3">
      <c r="A1314" t="str">
        <f>IF(AND(FORSIDE!$B$8&gt;=5,FORSIDE!$F$8&gt;=6,FORSIDE!$B$5&gt;=3),"S1313","")</f>
        <v/>
      </c>
      <c r="B1314" t="str">
        <f>IF(AND(FORSIDE!$B$8&gt;=5,FORSIDE!$F$8&gt;=6,FORSIDE!$B$5&gt;=3),"1444 -&gt; 1445","")</f>
        <v/>
      </c>
      <c r="C1314" t="str">
        <f>FORSIDE!$C$4</f>
        <v>S355, Stål / KFHUP 180x180x12.5</v>
      </c>
    </row>
    <row r="1315" spans="1:3" x14ac:dyDescent="0.3">
      <c r="A1315" t="str">
        <f>IF(AND(FORSIDE!$B$8&gt;=5,FORSIDE!$F$8&gt;=6,FORSIDE!$B$5&gt;=4),"S1314","")</f>
        <v/>
      </c>
      <c r="B1315" t="str">
        <f>IF(AND(FORSIDE!$B$8&gt;=5,FORSIDE!$F$8&gt;=6,FORSIDE!$B$5&gt;=4),"1445 -&gt; 1446","")</f>
        <v/>
      </c>
      <c r="C1315" t="str">
        <f>FORSIDE!$C$4</f>
        <v>S355, Stål / KFHUP 180x180x12.5</v>
      </c>
    </row>
    <row r="1316" spans="1:3" x14ac:dyDescent="0.3">
      <c r="A1316" t="str">
        <f>IF(AND(FORSIDE!$B$8&gt;=5,FORSIDE!$F$8&gt;=6,FORSIDE!$B$5&gt;=5),"S1315","")</f>
        <v/>
      </c>
      <c r="B1316" t="str">
        <f>IF(AND(FORSIDE!$B$8&gt;=5,FORSIDE!$F$8&gt;=6,FORSIDE!$B$5&gt;=5),"1446 -&gt; 1447","")</f>
        <v/>
      </c>
      <c r="C1316" t="str">
        <f>FORSIDE!$C$4</f>
        <v>S355, Stål / KFHUP 180x180x12.5</v>
      </c>
    </row>
    <row r="1317" spans="1:3" x14ac:dyDescent="0.3">
      <c r="A1317" t="str">
        <f>IF(AND(FORSIDE!$B$8&gt;=5,FORSIDE!$F$8&gt;=6,FORSIDE!$B$5&gt;=6),"S1316","")</f>
        <v/>
      </c>
      <c r="B1317" t="str">
        <f>IF(AND(FORSIDE!$B$8&gt;=5,FORSIDE!$F$8&gt;=6,FORSIDE!$B$5&gt;=6),"1447 -&gt; 1448","")</f>
        <v/>
      </c>
      <c r="C1317" t="str">
        <f>FORSIDE!$C$4</f>
        <v>S355, Stål / KFHUP 180x180x12.5</v>
      </c>
    </row>
    <row r="1318" spans="1:3" x14ac:dyDescent="0.3">
      <c r="A1318" t="str">
        <f>IF(AND(FORSIDE!$B$8&gt;=5,FORSIDE!$F$8&gt;=6,FORSIDE!$B$5&gt;=7),"S1317","")</f>
        <v/>
      </c>
      <c r="B1318" t="str">
        <f>IF(AND(FORSIDE!$B$8&gt;=5,FORSIDE!$F$8&gt;=6,FORSIDE!$B$5&gt;=7),"1448 -&gt; 1449","")</f>
        <v/>
      </c>
      <c r="C1318" t="str">
        <f>FORSIDE!$C$4</f>
        <v>S355, Stål / KFHUP 180x180x12.5</v>
      </c>
    </row>
    <row r="1319" spans="1:3" x14ac:dyDescent="0.3">
      <c r="A1319" t="str">
        <f>IF(AND(FORSIDE!$B$8&gt;=5,FORSIDE!$F$8&gt;=6,FORSIDE!$B$5&gt;=8),"S1318","")</f>
        <v/>
      </c>
      <c r="B1319" t="str">
        <f>IF(AND(FORSIDE!$B$8&gt;=5,FORSIDE!$F$8&gt;=6,FORSIDE!$B$5&gt;=8),"1449 -&gt; 1450","")</f>
        <v/>
      </c>
      <c r="C1319" t="str">
        <f>FORSIDE!$C$4</f>
        <v>S355, Stål / KFHUP 180x180x12.5</v>
      </c>
    </row>
    <row r="1320" spans="1:3" x14ac:dyDescent="0.3">
      <c r="A1320" t="str">
        <f>IF(AND(FORSIDE!$B$8&gt;=5,FORSIDE!$F$8&gt;=6,FORSIDE!$B$5&gt;=9),"S1319","")</f>
        <v/>
      </c>
      <c r="B1320" t="str">
        <f>IF(AND(FORSIDE!$B$8&gt;=5,FORSIDE!$F$8&gt;=6,FORSIDE!$B$5&gt;=9),"1450 -&gt; 1451","")</f>
        <v/>
      </c>
      <c r="C1320" t="str">
        <f>FORSIDE!$C$4</f>
        <v>S355, Stål / KFHUP 180x180x12.5</v>
      </c>
    </row>
    <row r="1321" spans="1:3" x14ac:dyDescent="0.3">
      <c r="A1321" t="str">
        <f>IF(AND(FORSIDE!$B$8&gt;=5,FORSIDE!$F$8&gt;=6,FORSIDE!$B$5&gt;=10),"S1320","")</f>
        <v/>
      </c>
      <c r="B1321" t="str">
        <f>IF(AND(FORSIDE!$B$8&gt;=5,FORSIDE!$F$8&gt;=6,FORSIDE!$B$5&gt;=10),"1451 -&gt; 1452","")</f>
        <v/>
      </c>
      <c r="C1321" t="str">
        <f>FORSIDE!$C$4</f>
        <v>S355, Stål / KFHUP 180x180x12.5</v>
      </c>
    </row>
    <row r="1322" spans="1:3" x14ac:dyDescent="0.3">
      <c r="A1322" t="str">
        <f>IF(AND(FORSIDE!$B$8&gt;=6,FORSIDE!$F$8&gt;=6,FORSIDE!$B$5&gt;=1),"S1321","")</f>
        <v/>
      </c>
      <c r="B1322" t="str">
        <f>IF(AND(FORSIDE!$B$8&gt;=6,FORSIDE!$F$8&gt;=6,FORSIDE!$B$5&gt;=1),"1453 -&gt; 1454","")</f>
        <v/>
      </c>
      <c r="C1322" t="str">
        <f>FORSIDE!$C$4</f>
        <v>S355, Stål / KFHUP 180x180x12.5</v>
      </c>
    </row>
    <row r="1323" spans="1:3" x14ac:dyDescent="0.3">
      <c r="A1323" t="str">
        <f>IF(AND(FORSIDE!$B$8&gt;=6,FORSIDE!$F$8&gt;=6,FORSIDE!$B$5&gt;=2),"S1322","")</f>
        <v/>
      </c>
      <c r="B1323" t="str">
        <f>IF(AND(FORSIDE!$B$8&gt;=6,FORSIDE!$F$8&gt;=6,FORSIDE!$B$5&gt;=2),"1454 -&gt; 1455","")</f>
        <v/>
      </c>
      <c r="C1323" t="str">
        <f>FORSIDE!$C$4</f>
        <v>S355, Stål / KFHUP 180x180x12.5</v>
      </c>
    </row>
    <row r="1324" spans="1:3" x14ac:dyDescent="0.3">
      <c r="A1324" t="str">
        <f>IF(AND(FORSIDE!$B$8&gt;=6,FORSIDE!$F$8&gt;=6,FORSIDE!$B$5&gt;=3),"S1323","")</f>
        <v/>
      </c>
      <c r="B1324" t="str">
        <f>IF(AND(FORSIDE!$B$8&gt;=6,FORSIDE!$F$8&gt;=6,FORSIDE!$B$5&gt;=3),"1455 -&gt; 1456","")</f>
        <v/>
      </c>
      <c r="C1324" t="str">
        <f>FORSIDE!$C$4</f>
        <v>S355, Stål / KFHUP 180x180x12.5</v>
      </c>
    </row>
    <row r="1325" spans="1:3" x14ac:dyDescent="0.3">
      <c r="A1325" t="str">
        <f>IF(AND(FORSIDE!$B$8&gt;=6,FORSIDE!$F$8&gt;=6,FORSIDE!$B$5&gt;=4),"S1324","")</f>
        <v/>
      </c>
      <c r="B1325" t="str">
        <f>IF(AND(FORSIDE!$B$8&gt;=6,FORSIDE!$F$8&gt;=6,FORSIDE!$B$5&gt;=4),"1456 -&gt; 1457","")</f>
        <v/>
      </c>
      <c r="C1325" t="str">
        <f>FORSIDE!$C$4</f>
        <v>S355, Stål / KFHUP 180x180x12.5</v>
      </c>
    </row>
    <row r="1326" spans="1:3" x14ac:dyDescent="0.3">
      <c r="A1326" t="str">
        <f>IF(AND(FORSIDE!$B$8&gt;=6,FORSIDE!$F$8&gt;=6,FORSIDE!$B$5&gt;=5),"S1325","")</f>
        <v/>
      </c>
      <c r="B1326" t="str">
        <f>IF(AND(FORSIDE!$B$8&gt;=6,FORSIDE!$F$8&gt;=6,FORSIDE!$B$5&gt;=5),"1457 -&gt; 1458","")</f>
        <v/>
      </c>
      <c r="C1326" t="str">
        <f>FORSIDE!$C$4</f>
        <v>S355, Stål / KFHUP 180x180x12.5</v>
      </c>
    </row>
    <row r="1327" spans="1:3" x14ac:dyDescent="0.3">
      <c r="A1327" t="str">
        <f>IF(AND(FORSIDE!$B$8&gt;=6,FORSIDE!$F$8&gt;=6,FORSIDE!$B$5&gt;=6),"S1326","")</f>
        <v/>
      </c>
      <c r="B1327" t="str">
        <f>IF(AND(FORSIDE!$B$8&gt;=6,FORSIDE!$F$8&gt;=6,FORSIDE!$B$5&gt;=6),"1458 -&gt; 1459","")</f>
        <v/>
      </c>
      <c r="C1327" t="str">
        <f>FORSIDE!$C$4</f>
        <v>S355, Stål / KFHUP 180x180x12.5</v>
      </c>
    </row>
    <row r="1328" spans="1:3" x14ac:dyDescent="0.3">
      <c r="A1328" t="str">
        <f>IF(AND(FORSIDE!$B$8&gt;=6,FORSIDE!$F$8&gt;=6,FORSIDE!$B$5&gt;=7),"S1327","")</f>
        <v/>
      </c>
      <c r="B1328" t="str">
        <f>IF(AND(FORSIDE!$B$8&gt;=6,FORSIDE!$F$8&gt;=6,FORSIDE!$B$5&gt;=7),"1459 -&gt; 1460","")</f>
        <v/>
      </c>
      <c r="C1328" t="str">
        <f>FORSIDE!$C$4</f>
        <v>S355, Stål / KFHUP 180x180x12.5</v>
      </c>
    </row>
    <row r="1329" spans="1:3" x14ac:dyDescent="0.3">
      <c r="A1329" t="str">
        <f>IF(AND(FORSIDE!$B$8&gt;=6,FORSIDE!$F$8&gt;=6,FORSIDE!$B$5&gt;=8),"S1328","")</f>
        <v/>
      </c>
      <c r="B1329" t="str">
        <f>IF(AND(FORSIDE!$B$8&gt;=6,FORSIDE!$F$8&gt;=6,FORSIDE!$B$5&gt;=8),"1460 -&gt; 1461","")</f>
        <v/>
      </c>
      <c r="C1329" t="str">
        <f>FORSIDE!$C$4</f>
        <v>S355, Stål / KFHUP 180x180x12.5</v>
      </c>
    </row>
    <row r="1330" spans="1:3" x14ac:dyDescent="0.3">
      <c r="A1330" t="str">
        <f>IF(AND(FORSIDE!$B$8&gt;=6,FORSIDE!$F$8&gt;=6,FORSIDE!$B$5&gt;=9),"S1329","")</f>
        <v/>
      </c>
      <c r="B1330" t="str">
        <f>IF(AND(FORSIDE!$B$8&gt;=6,FORSIDE!$F$8&gt;=6,FORSIDE!$B$5&gt;=9),"1461 -&gt; 1462","")</f>
        <v/>
      </c>
      <c r="C1330" t="str">
        <f>FORSIDE!$C$4</f>
        <v>S355, Stål / KFHUP 180x180x12.5</v>
      </c>
    </row>
    <row r="1331" spans="1:3" x14ac:dyDescent="0.3">
      <c r="A1331" t="str">
        <f>IF(AND(FORSIDE!$B$8&gt;=6,FORSIDE!$F$8&gt;=6,FORSIDE!$B$5&gt;=10),"S1330","")</f>
        <v/>
      </c>
      <c r="B1331" t="str">
        <f>IF(AND(FORSIDE!$B$8&gt;=6,FORSIDE!$F$8&gt;=6,FORSIDE!$B$5&gt;=10),"1462 -&gt; 1463","")</f>
        <v/>
      </c>
      <c r="C1331" t="str">
        <f>FORSIDE!$C$4</f>
        <v>S355, Stål / KFHUP 180x180x12.5</v>
      </c>
    </row>
    <row r="1332" spans="1:3" x14ac:dyDescent="0.3">
      <c r="A1332" t="str">
        <f>IF(AND(FORSIDE!$B$8&gt;=7,FORSIDE!$F$8&gt;=6,FORSIDE!$B$5&gt;=1),"S1331","")</f>
        <v/>
      </c>
      <c r="B1332" t="str">
        <f>IF(AND(FORSIDE!$B$8&gt;=7,FORSIDE!$F$8&gt;=6,FORSIDE!$B$5&gt;=1),"1464 -&gt; 1465","")</f>
        <v/>
      </c>
      <c r="C1332" t="str">
        <f>FORSIDE!$C$4</f>
        <v>S355, Stål / KFHUP 180x180x12.5</v>
      </c>
    </row>
    <row r="1333" spans="1:3" x14ac:dyDescent="0.3">
      <c r="A1333" t="str">
        <f>IF(AND(FORSIDE!$B$8&gt;=7,FORSIDE!$F$8&gt;=6,FORSIDE!$B$5&gt;=2),"S1332","")</f>
        <v/>
      </c>
      <c r="B1333" t="str">
        <f>IF(AND(FORSIDE!$B$8&gt;=7,FORSIDE!$F$8&gt;=6,FORSIDE!$B$5&gt;=2),"1465 -&gt; 1466","")</f>
        <v/>
      </c>
      <c r="C1333" t="str">
        <f>FORSIDE!$C$4</f>
        <v>S355, Stål / KFHUP 180x180x12.5</v>
      </c>
    </row>
    <row r="1334" spans="1:3" x14ac:dyDescent="0.3">
      <c r="A1334" t="str">
        <f>IF(AND(FORSIDE!$B$8&gt;=7,FORSIDE!$F$8&gt;=6,FORSIDE!$B$5&gt;=3),"S1333","")</f>
        <v/>
      </c>
      <c r="B1334" t="str">
        <f>IF(AND(FORSIDE!$B$8&gt;=7,FORSIDE!$F$8&gt;=6,FORSIDE!$B$5&gt;=3),"1466 -&gt; 1467","")</f>
        <v/>
      </c>
      <c r="C1334" t="str">
        <f>FORSIDE!$C$4</f>
        <v>S355, Stål / KFHUP 180x180x12.5</v>
      </c>
    </row>
    <row r="1335" spans="1:3" x14ac:dyDescent="0.3">
      <c r="A1335" t="str">
        <f>IF(AND(FORSIDE!$B$8&gt;=7,FORSIDE!$F$8&gt;=6,FORSIDE!$B$5&gt;=4),"S1334","")</f>
        <v/>
      </c>
      <c r="B1335" t="str">
        <f>IF(AND(FORSIDE!$B$8&gt;=7,FORSIDE!$F$8&gt;=6,FORSIDE!$B$5&gt;=4),"1467 -&gt; 1468","")</f>
        <v/>
      </c>
      <c r="C1335" t="str">
        <f>FORSIDE!$C$4</f>
        <v>S355, Stål / KFHUP 180x180x12.5</v>
      </c>
    </row>
    <row r="1336" spans="1:3" x14ac:dyDescent="0.3">
      <c r="A1336" t="str">
        <f>IF(AND(FORSIDE!$B$8&gt;=7,FORSIDE!$F$8&gt;=6,FORSIDE!$B$5&gt;=5),"S1335","")</f>
        <v/>
      </c>
      <c r="B1336" t="str">
        <f>IF(AND(FORSIDE!$B$8&gt;=7,FORSIDE!$F$8&gt;=6,FORSIDE!$B$5&gt;=5),"1468 -&gt; 1469","")</f>
        <v/>
      </c>
      <c r="C1336" t="str">
        <f>FORSIDE!$C$4</f>
        <v>S355, Stål / KFHUP 180x180x12.5</v>
      </c>
    </row>
    <row r="1337" spans="1:3" x14ac:dyDescent="0.3">
      <c r="A1337" t="str">
        <f>IF(AND(FORSIDE!$B$8&gt;=7,FORSIDE!$F$8&gt;=6,FORSIDE!$B$5&gt;=6),"S1336","")</f>
        <v/>
      </c>
      <c r="B1337" t="str">
        <f>IF(AND(FORSIDE!$B$8&gt;=7,FORSIDE!$F$8&gt;=6,FORSIDE!$B$5&gt;=6),"1469 -&gt; 1470","")</f>
        <v/>
      </c>
      <c r="C1337" t="str">
        <f>FORSIDE!$C$4</f>
        <v>S355, Stål / KFHUP 180x180x12.5</v>
      </c>
    </row>
    <row r="1338" spans="1:3" x14ac:dyDescent="0.3">
      <c r="A1338" t="str">
        <f>IF(AND(FORSIDE!$B$8&gt;=7,FORSIDE!$F$8&gt;=6,FORSIDE!$B$5&gt;=7),"S1337","")</f>
        <v/>
      </c>
      <c r="B1338" t="str">
        <f>IF(AND(FORSIDE!$B$8&gt;=7,FORSIDE!$F$8&gt;=6,FORSIDE!$B$5&gt;=7),"1470 -&gt; 1471","")</f>
        <v/>
      </c>
      <c r="C1338" t="str">
        <f>FORSIDE!$C$4</f>
        <v>S355, Stål / KFHUP 180x180x12.5</v>
      </c>
    </row>
    <row r="1339" spans="1:3" x14ac:dyDescent="0.3">
      <c r="A1339" t="str">
        <f>IF(AND(FORSIDE!$B$8&gt;=7,FORSIDE!$F$8&gt;=6,FORSIDE!$B$5&gt;=8),"S1338","")</f>
        <v/>
      </c>
      <c r="B1339" t="str">
        <f>IF(AND(FORSIDE!$B$8&gt;=7,FORSIDE!$F$8&gt;=6,FORSIDE!$B$5&gt;=8),"1471 -&gt; 1472","")</f>
        <v/>
      </c>
      <c r="C1339" t="str">
        <f>FORSIDE!$C$4</f>
        <v>S355, Stål / KFHUP 180x180x12.5</v>
      </c>
    </row>
    <row r="1340" spans="1:3" x14ac:dyDescent="0.3">
      <c r="A1340" t="str">
        <f>IF(AND(FORSIDE!$B$8&gt;=7,FORSIDE!$F$8&gt;=6,FORSIDE!$B$5&gt;=9),"S1339","")</f>
        <v/>
      </c>
      <c r="B1340" t="str">
        <f>IF(AND(FORSIDE!$B$8&gt;=7,FORSIDE!$F$8&gt;=6,FORSIDE!$B$5&gt;=9),"1472 -&gt; 1473","")</f>
        <v/>
      </c>
      <c r="C1340" t="str">
        <f>FORSIDE!$C$4</f>
        <v>S355, Stål / KFHUP 180x180x12.5</v>
      </c>
    </row>
    <row r="1341" spans="1:3" x14ac:dyDescent="0.3">
      <c r="A1341" t="str">
        <f>IF(AND(FORSIDE!$B$8&gt;=7,FORSIDE!$F$8&gt;=6,FORSIDE!$B$5&gt;=10),"S1340","")</f>
        <v/>
      </c>
      <c r="B1341" t="str">
        <f>IF(AND(FORSIDE!$B$8&gt;=7,FORSIDE!$F$8&gt;=6,FORSIDE!$B$5&gt;=10),"1473 -&gt; 1474","")</f>
        <v/>
      </c>
      <c r="C1341" t="str">
        <f>FORSIDE!$C$4</f>
        <v>S355, Stål / KFHUP 180x180x12.5</v>
      </c>
    </row>
    <row r="1342" spans="1:3" x14ac:dyDescent="0.3">
      <c r="A1342" t="str">
        <f>IF(AND(FORSIDE!$B$8&gt;=8,FORSIDE!$F$8&gt;=6,FORSIDE!$B$5&gt;=1),"S1341","")</f>
        <v/>
      </c>
      <c r="B1342" t="str">
        <f>IF(AND(FORSIDE!$B$8&gt;=8,FORSIDE!$F$8&gt;=6,FORSIDE!$B$5&gt;=1),"1475 -&gt; 1476","")</f>
        <v/>
      </c>
      <c r="C1342" t="str">
        <f>FORSIDE!$C$4</f>
        <v>S355, Stål / KFHUP 180x180x12.5</v>
      </c>
    </row>
    <row r="1343" spans="1:3" x14ac:dyDescent="0.3">
      <c r="A1343" t="str">
        <f>IF(AND(FORSIDE!$B$8&gt;=8,FORSIDE!$F$8&gt;=6,FORSIDE!$B$5&gt;=2),"S1342","")</f>
        <v/>
      </c>
      <c r="B1343" t="str">
        <f>IF(AND(FORSIDE!$B$8&gt;=8,FORSIDE!$F$8&gt;=6,FORSIDE!$B$5&gt;=2),"1476 -&gt; 1477","")</f>
        <v/>
      </c>
      <c r="C1343" t="str">
        <f>FORSIDE!$C$4</f>
        <v>S355, Stål / KFHUP 180x180x12.5</v>
      </c>
    </row>
    <row r="1344" spans="1:3" x14ac:dyDescent="0.3">
      <c r="A1344" t="str">
        <f>IF(AND(FORSIDE!$B$8&gt;=8,FORSIDE!$F$8&gt;=6,FORSIDE!$B$5&gt;=3),"S1343","")</f>
        <v/>
      </c>
      <c r="B1344" t="str">
        <f>IF(AND(FORSIDE!$B$8&gt;=8,FORSIDE!$F$8&gt;=6,FORSIDE!$B$5&gt;=3),"1477 -&gt; 1478","")</f>
        <v/>
      </c>
      <c r="C1344" t="str">
        <f>FORSIDE!$C$4</f>
        <v>S355, Stål / KFHUP 180x180x12.5</v>
      </c>
    </row>
    <row r="1345" spans="1:3" x14ac:dyDescent="0.3">
      <c r="A1345" t="str">
        <f>IF(AND(FORSIDE!$B$8&gt;=8,FORSIDE!$F$8&gt;=6,FORSIDE!$B$5&gt;=4),"S1344","")</f>
        <v/>
      </c>
      <c r="B1345" t="str">
        <f>IF(AND(FORSIDE!$B$8&gt;=8,FORSIDE!$F$8&gt;=6,FORSIDE!$B$5&gt;=4),"1478 -&gt; 1479","")</f>
        <v/>
      </c>
      <c r="C1345" t="str">
        <f>FORSIDE!$C$4</f>
        <v>S355, Stål / KFHUP 180x180x12.5</v>
      </c>
    </row>
    <row r="1346" spans="1:3" x14ac:dyDescent="0.3">
      <c r="A1346" t="str">
        <f>IF(AND(FORSIDE!$B$8&gt;=8,FORSIDE!$F$8&gt;=6,FORSIDE!$B$5&gt;=5),"S1345","")</f>
        <v/>
      </c>
      <c r="B1346" t="str">
        <f>IF(AND(FORSIDE!$B$8&gt;=8,FORSIDE!$F$8&gt;=6,FORSIDE!$B$5&gt;=5),"1479 -&gt; 1480","")</f>
        <v/>
      </c>
      <c r="C1346" t="str">
        <f>FORSIDE!$C$4</f>
        <v>S355, Stål / KFHUP 180x180x12.5</v>
      </c>
    </row>
    <row r="1347" spans="1:3" x14ac:dyDescent="0.3">
      <c r="A1347" t="str">
        <f>IF(AND(FORSIDE!$B$8&gt;=8,FORSIDE!$F$8&gt;=6,FORSIDE!$B$5&gt;=6),"S1346","")</f>
        <v/>
      </c>
      <c r="B1347" t="str">
        <f>IF(AND(FORSIDE!$B$8&gt;=8,FORSIDE!$F$8&gt;=6,FORSIDE!$B$5&gt;=6),"1480 -&gt; 1481","")</f>
        <v/>
      </c>
      <c r="C1347" t="str">
        <f>FORSIDE!$C$4</f>
        <v>S355, Stål / KFHUP 180x180x12.5</v>
      </c>
    </row>
    <row r="1348" spans="1:3" x14ac:dyDescent="0.3">
      <c r="A1348" t="str">
        <f>IF(AND(FORSIDE!$B$8&gt;=8,FORSIDE!$F$8&gt;=6,FORSIDE!$B$5&gt;=7),"S1347","")</f>
        <v/>
      </c>
      <c r="B1348" t="str">
        <f>IF(AND(FORSIDE!$B$8&gt;=8,FORSIDE!$F$8&gt;=6,FORSIDE!$B$5&gt;=7),"1481 -&gt; 1482","")</f>
        <v/>
      </c>
      <c r="C1348" t="str">
        <f>FORSIDE!$C$4</f>
        <v>S355, Stål / KFHUP 180x180x12.5</v>
      </c>
    </row>
    <row r="1349" spans="1:3" x14ac:dyDescent="0.3">
      <c r="A1349" t="str">
        <f>IF(AND(FORSIDE!$B$8&gt;=8,FORSIDE!$F$8&gt;=6,FORSIDE!$B$5&gt;=8),"S1348","")</f>
        <v/>
      </c>
      <c r="B1349" t="str">
        <f>IF(AND(FORSIDE!$B$8&gt;=8,FORSIDE!$F$8&gt;=6,FORSIDE!$B$5&gt;=8),"1482 -&gt; 1483","")</f>
        <v/>
      </c>
      <c r="C1349" t="str">
        <f>FORSIDE!$C$4</f>
        <v>S355, Stål / KFHUP 180x180x12.5</v>
      </c>
    </row>
    <row r="1350" spans="1:3" x14ac:dyDescent="0.3">
      <c r="A1350" t="str">
        <f>IF(AND(FORSIDE!$B$8&gt;=8,FORSIDE!$F$8&gt;=6,FORSIDE!$B$5&gt;=9),"S1349","")</f>
        <v/>
      </c>
      <c r="B1350" t="str">
        <f>IF(AND(FORSIDE!$B$8&gt;=8,FORSIDE!$F$8&gt;=6,FORSIDE!$B$5&gt;=9),"1483 -&gt; 1484","")</f>
        <v/>
      </c>
      <c r="C1350" t="str">
        <f>FORSIDE!$C$4</f>
        <v>S355, Stål / KFHUP 180x180x12.5</v>
      </c>
    </row>
    <row r="1351" spans="1:3" x14ac:dyDescent="0.3">
      <c r="A1351" t="str">
        <f>IF(AND(FORSIDE!$B$8&gt;=8,FORSIDE!$F$8&gt;=6,FORSIDE!$B$5&gt;=10),"S1350","")</f>
        <v/>
      </c>
      <c r="B1351" t="str">
        <f>IF(AND(FORSIDE!$B$8&gt;=8,FORSIDE!$F$8&gt;=6,FORSIDE!$B$5&gt;=10),"1484 -&gt; 1485","")</f>
        <v/>
      </c>
      <c r="C1351" t="str">
        <f>FORSIDE!$C$4</f>
        <v>S355, Stål / KFHUP 180x180x12.5</v>
      </c>
    </row>
    <row r="1352" spans="1:3" x14ac:dyDescent="0.3">
      <c r="A1352" t="str">
        <f>IF(AND(FORSIDE!$B$8&gt;=9,FORSIDE!$F$8&gt;=6,FORSIDE!$B$5&gt;=1),"S1351","")</f>
        <v/>
      </c>
      <c r="B1352" t="str">
        <f>IF(AND(FORSIDE!$B$8&gt;=9,FORSIDE!$F$8&gt;=6,FORSIDE!$B$5&gt;=1),"1486 -&gt; 1487","")</f>
        <v/>
      </c>
      <c r="C1352" t="str">
        <f>FORSIDE!$C$4</f>
        <v>S355, Stål / KFHUP 180x180x12.5</v>
      </c>
    </row>
    <row r="1353" spans="1:3" x14ac:dyDescent="0.3">
      <c r="A1353" t="str">
        <f>IF(AND(FORSIDE!$B$8&gt;=9,FORSIDE!$F$8&gt;=6,FORSIDE!$B$5&gt;=2),"S1352","")</f>
        <v/>
      </c>
      <c r="B1353" t="str">
        <f>IF(AND(FORSIDE!$B$8&gt;=9,FORSIDE!$F$8&gt;=6,FORSIDE!$B$5&gt;=2),"1487 -&gt; 1488","")</f>
        <v/>
      </c>
      <c r="C1353" t="str">
        <f>FORSIDE!$C$4</f>
        <v>S355, Stål / KFHUP 180x180x12.5</v>
      </c>
    </row>
    <row r="1354" spans="1:3" x14ac:dyDescent="0.3">
      <c r="A1354" t="str">
        <f>IF(AND(FORSIDE!$B$8&gt;=9,FORSIDE!$F$8&gt;=6,FORSIDE!$B$5&gt;=3),"S1353","")</f>
        <v/>
      </c>
      <c r="B1354" t="str">
        <f>IF(AND(FORSIDE!$B$8&gt;=9,FORSIDE!$F$8&gt;=6,FORSIDE!$B$5&gt;=3),"1488 -&gt; 1489","")</f>
        <v/>
      </c>
      <c r="C1354" t="str">
        <f>FORSIDE!$C$4</f>
        <v>S355, Stål / KFHUP 180x180x12.5</v>
      </c>
    </row>
    <row r="1355" spans="1:3" x14ac:dyDescent="0.3">
      <c r="A1355" t="str">
        <f>IF(AND(FORSIDE!$B$8&gt;=9,FORSIDE!$F$8&gt;=6,FORSIDE!$B$5&gt;=4),"S1354","")</f>
        <v/>
      </c>
      <c r="B1355" t="str">
        <f>IF(AND(FORSIDE!$B$8&gt;=9,FORSIDE!$F$8&gt;=6,FORSIDE!$B$5&gt;=4),"1489 -&gt; 1490","")</f>
        <v/>
      </c>
      <c r="C1355" t="str">
        <f>FORSIDE!$C$4</f>
        <v>S355, Stål / KFHUP 180x180x12.5</v>
      </c>
    </row>
    <row r="1356" spans="1:3" x14ac:dyDescent="0.3">
      <c r="A1356" t="str">
        <f>IF(AND(FORSIDE!$B$8&gt;=9,FORSIDE!$F$8&gt;=6,FORSIDE!$B$5&gt;=5),"S1355","")</f>
        <v/>
      </c>
      <c r="B1356" t="str">
        <f>IF(AND(FORSIDE!$B$8&gt;=9,FORSIDE!$F$8&gt;=6,FORSIDE!$B$5&gt;=5),"1490 -&gt; 1491","")</f>
        <v/>
      </c>
      <c r="C1356" t="str">
        <f>FORSIDE!$C$4</f>
        <v>S355, Stål / KFHUP 180x180x12.5</v>
      </c>
    </row>
    <row r="1357" spans="1:3" x14ac:dyDescent="0.3">
      <c r="A1357" t="str">
        <f>IF(AND(FORSIDE!$B$8&gt;=9,FORSIDE!$F$8&gt;=6,FORSIDE!$B$5&gt;=6),"S1356","")</f>
        <v/>
      </c>
      <c r="B1357" t="str">
        <f>IF(AND(FORSIDE!$B$8&gt;=9,FORSIDE!$F$8&gt;=6,FORSIDE!$B$5&gt;=6),"1491 -&gt; 1492","")</f>
        <v/>
      </c>
      <c r="C1357" t="str">
        <f>FORSIDE!$C$4</f>
        <v>S355, Stål / KFHUP 180x180x12.5</v>
      </c>
    </row>
    <row r="1358" spans="1:3" x14ac:dyDescent="0.3">
      <c r="A1358" t="str">
        <f>IF(AND(FORSIDE!$B$8&gt;=9,FORSIDE!$F$8&gt;=6,FORSIDE!$B$5&gt;=7),"S1357","")</f>
        <v/>
      </c>
      <c r="B1358" t="str">
        <f>IF(AND(FORSIDE!$B$8&gt;=9,FORSIDE!$F$8&gt;=6,FORSIDE!$B$5&gt;=7),"1492 -&gt; 1493","")</f>
        <v/>
      </c>
      <c r="C1358" t="str">
        <f>FORSIDE!$C$4</f>
        <v>S355, Stål / KFHUP 180x180x12.5</v>
      </c>
    </row>
    <row r="1359" spans="1:3" x14ac:dyDescent="0.3">
      <c r="A1359" t="str">
        <f>IF(AND(FORSIDE!$B$8&gt;=9,FORSIDE!$F$8&gt;=6,FORSIDE!$B$5&gt;=8),"S1358","")</f>
        <v/>
      </c>
      <c r="B1359" t="str">
        <f>IF(AND(FORSIDE!$B$8&gt;=9,FORSIDE!$F$8&gt;=6,FORSIDE!$B$5&gt;=8),"1493 -&gt; 1494","")</f>
        <v/>
      </c>
      <c r="C1359" t="str">
        <f>FORSIDE!$C$4</f>
        <v>S355, Stål / KFHUP 180x180x12.5</v>
      </c>
    </row>
    <row r="1360" spans="1:3" x14ac:dyDescent="0.3">
      <c r="A1360" t="str">
        <f>IF(AND(FORSIDE!$B$8&gt;=9,FORSIDE!$F$8&gt;=6,FORSIDE!$B$5&gt;=9),"S1359","")</f>
        <v/>
      </c>
      <c r="B1360" t="str">
        <f>IF(AND(FORSIDE!$B$8&gt;=9,FORSIDE!$F$8&gt;=6,FORSIDE!$B$5&gt;=9),"1494 -&gt; 1495","")</f>
        <v/>
      </c>
      <c r="C1360" t="str">
        <f>FORSIDE!$C$4</f>
        <v>S355, Stål / KFHUP 180x180x12.5</v>
      </c>
    </row>
    <row r="1361" spans="1:3" x14ac:dyDescent="0.3">
      <c r="A1361" t="str">
        <f>IF(AND(FORSIDE!$B$8&gt;=9,FORSIDE!$F$8&gt;=6,FORSIDE!$B$5&gt;=10),"S1360","")</f>
        <v/>
      </c>
      <c r="B1361" t="str">
        <f>IF(AND(FORSIDE!$B$8&gt;=9,FORSIDE!$F$8&gt;=6,FORSIDE!$B$5&gt;=10),"1495 -&gt; 1496","")</f>
        <v/>
      </c>
      <c r="C1361" t="str">
        <f>FORSIDE!$C$4</f>
        <v>S355, Stål / KFHUP 180x180x12.5</v>
      </c>
    </row>
    <row r="1362" spans="1:3" x14ac:dyDescent="0.3">
      <c r="A1362" t="str">
        <f>IF(AND(FORSIDE!$B$8&gt;=10,FORSIDE!$F$8&gt;=6,FORSIDE!$B$5&gt;=1),"S1361","")</f>
        <v/>
      </c>
      <c r="B1362" t="str">
        <f>IF(AND(FORSIDE!$B$8&gt;=10,FORSIDE!$F$8&gt;=6,FORSIDE!$B$5&gt;=1),"1497 -&gt; 1498","")</f>
        <v/>
      </c>
      <c r="C1362" t="str">
        <f>FORSIDE!$C$4</f>
        <v>S355, Stål / KFHUP 180x180x12.5</v>
      </c>
    </row>
    <row r="1363" spans="1:3" x14ac:dyDescent="0.3">
      <c r="A1363" t="str">
        <f>IF(AND(FORSIDE!$B$8&gt;=10,FORSIDE!$F$8&gt;=6,FORSIDE!$B$5&gt;=2),"S1362","")</f>
        <v/>
      </c>
      <c r="B1363" t="str">
        <f>IF(AND(FORSIDE!$B$8&gt;=10,FORSIDE!$F$8&gt;=6,FORSIDE!$B$5&gt;=2),"1498 -&gt; 1499","")</f>
        <v/>
      </c>
      <c r="C1363" t="str">
        <f>FORSIDE!$C$4</f>
        <v>S355, Stål / KFHUP 180x180x12.5</v>
      </c>
    </row>
    <row r="1364" spans="1:3" x14ac:dyDescent="0.3">
      <c r="A1364" t="str">
        <f>IF(AND(FORSIDE!$B$8&gt;=10,FORSIDE!$F$8&gt;=6,FORSIDE!$B$5&gt;=3),"S1363","")</f>
        <v/>
      </c>
      <c r="B1364" t="str">
        <f>IF(AND(FORSIDE!$B$8&gt;=10,FORSIDE!$F$8&gt;=6,FORSIDE!$B$5&gt;=3),"1499 -&gt; 1500","")</f>
        <v/>
      </c>
      <c r="C1364" t="str">
        <f>FORSIDE!$C$4</f>
        <v>S355, Stål / KFHUP 180x180x12.5</v>
      </c>
    </row>
    <row r="1365" spans="1:3" x14ac:dyDescent="0.3">
      <c r="A1365" t="str">
        <f>IF(AND(FORSIDE!$B$8&gt;=10,FORSIDE!$F$8&gt;=6,FORSIDE!$B$5&gt;=4),"S1364","")</f>
        <v/>
      </c>
      <c r="B1365" t="str">
        <f>IF(AND(FORSIDE!$B$8&gt;=10,FORSIDE!$F$8&gt;=6,FORSIDE!$B$5&gt;=4),"1500 -&gt; 1501","")</f>
        <v/>
      </c>
      <c r="C1365" t="str">
        <f>FORSIDE!$C$4</f>
        <v>S355, Stål / KFHUP 180x180x12.5</v>
      </c>
    </row>
    <row r="1366" spans="1:3" x14ac:dyDescent="0.3">
      <c r="A1366" t="str">
        <f>IF(AND(FORSIDE!$B$8&gt;=10,FORSIDE!$F$8&gt;=6,FORSIDE!$B$5&gt;=5),"S1365","")</f>
        <v/>
      </c>
      <c r="B1366" t="str">
        <f>IF(AND(FORSIDE!$B$8&gt;=10,FORSIDE!$F$8&gt;=6,FORSIDE!$B$5&gt;=5),"1501 -&gt; 1502","")</f>
        <v/>
      </c>
      <c r="C1366" t="str">
        <f>FORSIDE!$C$4</f>
        <v>S355, Stål / KFHUP 180x180x12.5</v>
      </c>
    </row>
    <row r="1367" spans="1:3" x14ac:dyDescent="0.3">
      <c r="A1367" t="str">
        <f>IF(AND(FORSIDE!$B$8&gt;=10,FORSIDE!$F$8&gt;=6,FORSIDE!$B$5&gt;=6),"S1366","")</f>
        <v/>
      </c>
      <c r="B1367" t="str">
        <f>IF(AND(FORSIDE!$B$8&gt;=10,FORSIDE!$F$8&gt;=6,FORSIDE!$B$5&gt;=6),"1502 -&gt; 1503","")</f>
        <v/>
      </c>
      <c r="C1367" t="str">
        <f>FORSIDE!$C$4</f>
        <v>S355, Stål / KFHUP 180x180x12.5</v>
      </c>
    </row>
    <row r="1368" spans="1:3" x14ac:dyDescent="0.3">
      <c r="A1368" t="str">
        <f>IF(AND(FORSIDE!$B$8&gt;=10,FORSIDE!$F$8&gt;=6,FORSIDE!$B$5&gt;=7),"S1367","")</f>
        <v/>
      </c>
      <c r="B1368" t="str">
        <f>IF(AND(FORSIDE!$B$8&gt;=10,FORSIDE!$F$8&gt;=6,FORSIDE!$B$5&gt;=7),"1503 -&gt; 1504","")</f>
        <v/>
      </c>
      <c r="C1368" t="str">
        <f>FORSIDE!$C$4</f>
        <v>S355, Stål / KFHUP 180x180x12.5</v>
      </c>
    </row>
    <row r="1369" spans="1:3" x14ac:dyDescent="0.3">
      <c r="A1369" t="str">
        <f>IF(AND(FORSIDE!$B$8&gt;=10,FORSIDE!$F$8&gt;=6,FORSIDE!$B$5&gt;=8),"S1368","")</f>
        <v/>
      </c>
      <c r="B1369" t="str">
        <f>IF(AND(FORSIDE!$B$8&gt;=10,FORSIDE!$F$8&gt;=6,FORSIDE!$B$5&gt;=8),"1504 -&gt; 1505","")</f>
        <v/>
      </c>
      <c r="C1369" t="str">
        <f>FORSIDE!$C$4</f>
        <v>S355, Stål / KFHUP 180x180x12.5</v>
      </c>
    </row>
    <row r="1370" spans="1:3" x14ac:dyDescent="0.3">
      <c r="A1370" t="str">
        <f>IF(AND(FORSIDE!$B$8&gt;=10,FORSIDE!$F$8&gt;=6,FORSIDE!$B$5&gt;=9),"S1369","")</f>
        <v/>
      </c>
      <c r="B1370" t="str">
        <f>IF(AND(FORSIDE!$B$8&gt;=10,FORSIDE!$F$8&gt;=6,FORSIDE!$B$5&gt;=9),"1505 -&gt; 1506","")</f>
        <v/>
      </c>
      <c r="C1370" t="str">
        <f>FORSIDE!$C$4</f>
        <v>S355, Stål / KFHUP 180x180x12.5</v>
      </c>
    </row>
    <row r="1371" spans="1:3" x14ac:dyDescent="0.3">
      <c r="A1371" t="str">
        <f>IF(AND(FORSIDE!$B$8&gt;=10,FORSIDE!$F$8&gt;=6,FORSIDE!$B$5&gt;=10),"S1370","")</f>
        <v/>
      </c>
      <c r="B1371" t="str">
        <f>IF(AND(FORSIDE!$B$8&gt;=10,FORSIDE!$F$8&gt;=6,FORSIDE!$B$5&gt;=10),"1506 -&gt; 1507","")</f>
        <v/>
      </c>
      <c r="C1371" t="str">
        <f>FORSIDE!$C$4</f>
        <v>S355, Stål / KFHUP 180x180x12.5</v>
      </c>
    </row>
    <row r="1372" spans="1:3" x14ac:dyDescent="0.3">
      <c r="A1372" t="str">
        <f>IF(AND(FORSIDE!$B$8&gt;=11,FORSIDE!$F$8&gt;=6,FORSIDE!$B$5&gt;=1),"S1371","")</f>
        <v/>
      </c>
      <c r="B1372" t="str">
        <f>IF(AND(FORSIDE!$B$8&gt;=11,FORSIDE!$F$8&gt;=6,FORSIDE!$B$5&gt;=1),"1508 -&gt; 1509","")</f>
        <v/>
      </c>
      <c r="C1372" t="str">
        <f>FORSIDE!$C$4</f>
        <v>S355, Stål / KFHUP 180x180x12.5</v>
      </c>
    </row>
    <row r="1373" spans="1:3" x14ac:dyDescent="0.3">
      <c r="A1373" t="str">
        <f>IF(AND(FORSIDE!$B$8&gt;=11,FORSIDE!$F$8&gt;=6,FORSIDE!$B$5&gt;=2),"S1372","")</f>
        <v/>
      </c>
      <c r="B1373" t="str">
        <f>IF(AND(FORSIDE!$B$8&gt;=11,FORSIDE!$F$8&gt;=6,FORSIDE!$B$5&gt;=2),"1509 -&gt; 1510","")</f>
        <v/>
      </c>
      <c r="C1373" t="str">
        <f>FORSIDE!$C$4</f>
        <v>S355, Stål / KFHUP 180x180x12.5</v>
      </c>
    </row>
    <row r="1374" spans="1:3" x14ac:dyDescent="0.3">
      <c r="A1374" t="str">
        <f>IF(AND(FORSIDE!$B$8&gt;=11,FORSIDE!$F$8&gt;=6,FORSIDE!$B$5&gt;=3),"S1373","")</f>
        <v/>
      </c>
      <c r="B1374" t="str">
        <f>IF(AND(FORSIDE!$B$8&gt;=11,FORSIDE!$F$8&gt;=6,FORSIDE!$B$5&gt;=3),"1510 -&gt; 1511","")</f>
        <v/>
      </c>
      <c r="C1374" t="str">
        <f>FORSIDE!$C$4</f>
        <v>S355, Stål / KFHUP 180x180x12.5</v>
      </c>
    </row>
    <row r="1375" spans="1:3" x14ac:dyDescent="0.3">
      <c r="A1375" t="str">
        <f>IF(AND(FORSIDE!$B$8&gt;=11,FORSIDE!$F$8&gt;=6,FORSIDE!$B$5&gt;=4),"S1374","")</f>
        <v/>
      </c>
      <c r="B1375" t="str">
        <f>IF(AND(FORSIDE!$B$8&gt;=11,FORSIDE!$F$8&gt;=6,FORSIDE!$B$5&gt;=4),"1511 -&gt; 1512","")</f>
        <v/>
      </c>
      <c r="C1375" t="str">
        <f>FORSIDE!$C$4</f>
        <v>S355, Stål / KFHUP 180x180x12.5</v>
      </c>
    </row>
    <row r="1376" spans="1:3" x14ac:dyDescent="0.3">
      <c r="A1376" t="str">
        <f>IF(AND(FORSIDE!$B$8&gt;=11,FORSIDE!$F$8&gt;=6,FORSIDE!$B$5&gt;=5),"S1375","")</f>
        <v/>
      </c>
      <c r="B1376" t="str">
        <f>IF(AND(FORSIDE!$B$8&gt;=11,FORSIDE!$F$8&gt;=6,FORSIDE!$B$5&gt;=5),"1512 -&gt; 1513","")</f>
        <v/>
      </c>
      <c r="C1376" t="str">
        <f>FORSIDE!$C$4</f>
        <v>S355, Stål / KFHUP 180x180x12.5</v>
      </c>
    </row>
    <row r="1377" spans="1:3" x14ac:dyDescent="0.3">
      <c r="A1377" t="str">
        <f>IF(AND(FORSIDE!$B$8&gt;=11,FORSIDE!$F$8&gt;=6,FORSIDE!$B$5&gt;=6),"S1376","")</f>
        <v/>
      </c>
      <c r="B1377" t="str">
        <f>IF(AND(FORSIDE!$B$8&gt;=11,FORSIDE!$F$8&gt;=6,FORSIDE!$B$5&gt;=6),"1513 -&gt; 1514","")</f>
        <v/>
      </c>
      <c r="C1377" t="str">
        <f>FORSIDE!$C$4</f>
        <v>S355, Stål / KFHUP 180x180x12.5</v>
      </c>
    </row>
    <row r="1378" spans="1:3" x14ac:dyDescent="0.3">
      <c r="A1378" t="str">
        <f>IF(AND(FORSIDE!$B$8&gt;=11,FORSIDE!$F$8&gt;=6,FORSIDE!$B$5&gt;=7),"S1377","")</f>
        <v/>
      </c>
      <c r="B1378" t="str">
        <f>IF(AND(FORSIDE!$B$8&gt;=11,FORSIDE!$F$8&gt;=6,FORSIDE!$B$5&gt;=7),"1514 -&gt; 1515","")</f>
        <v/>
      </c>
      <c r="C1378" t="str">
        <f>FORSIDE!$C$4</f>
        <v>S355, Stål / KFHUP 180x180x12.5</v>
      </c>
    </row>
    <row r="1379" spans="1:3" x14ac:dyDescent="0.3">
      <c r="A1379" t="str">
        <f>IF(AND(FORSIDE!$B$8&gt;=11,FORSIDE!$F$8&gt;=6,FORSIDE!$B$5&gt;=8),"S1378","")</f>
        <v/>
      </c>
      <c r="B1379" t="str">
        <f>IF(AND(FORSIDE!$B$8&gt;=11,FORSIDE!$F$8&gt;=6,FORSIDE!$B$5&gt;=8),"1515 -&gt; 1516","")</f>
        <v/>
      </c>
      <c r="C1379" t="str">
        <f>FORSIDE!$C$4</f>
        <v>S355, Stål / KFHUP 180x180x12.5</v>
      </c>
    </row>
    <row r="1380" spans="1:3" x14ac:dyDescent="0.3">
      <c r="A1380" t="str">
        <f>IF(AND(FORSIDE!$B$8&gt;=11,FORSIDE!$F$8&gt;=6,FORSIDE!$B$5&gt;=9),"S1379","")</f>
        <v/>
      </c>
      <c r="B1380" t="str">
        <f>IF(AND(FORSIDE!$B$8&gt;=11,FORSIDE!$F$8&gt;=6,FORSIDE!$B$5&gt;=9),"1516 -&gt; 1517","")</f>
        <v/>
      </c>
      <c r="C1380" t="str">
        <f>FORSIDE!$C$4</f>
        <v>S355, Stål / KFHUP 180x180x12.5</v>
      </c>
    </row>
    <row r="1381" spans="1:3" x14ac:dyDescent="0.3">
      <c r="A1381" t="str">
        <f>IF(AND(FORSIDE!$B$8&gt;=11,FORSIDE!$F$8&gt;=6,FORSIDE!$B$5&gt;=10),"S1380","")</f>
        <v/>
      </c>
      <c r="B1381" t="str">
        <f>IF(AND(FORSIDE!$B$8&gt;=11,FORSIDE!$F$8&gt;=6,FORSIDE!$B$5&gt;=10),"1517 -&gt; 1518","")</f>
        <v/>
      </c>
      <c r="C1381" t="str">
        <f>FORSIDE!$C$4</f>
        <v>S355, Stål / KFHUP 180x180x12.5</v>
      </c>
    </row>
    <row r="1382" spans="1:3" x14ac:dyDescent="0.3">
      <c r="A1382" t="str">
        <f>IF(AND(FORSIDE!$B$8&gt;=12,FORSIDE!$F$8&gt;=6,FORSIDE!$B$5&gt;=1),"S1381","")</f>
        <v/>
      </c>
      <c r="B1382" t="str">
        <f>IF(AND(FORSIDE!$B$8&gt;=12,FORSIDE!$F$8&gt;=6,FORSIDE!$B$5&gt;=1),"1519 -&gt; 1520","")</f>
        <v/>
      </c>
      <c r="C1382" t="str">
        <f>FORSIDE!$C$4</f>
        <v>S355, Stål / KFHUP 180x180x12.5</v>
      </c>
    </row>
    <row r="1383" spans="1:3" x14ac:dyDescent="0.3">
      <c r="A1383" t="str">
        <f>IF(AND(FORSIDE!$B$8&gt;=12,FORSIDE!$F$8&gt;=6,FORSIDE!$B$5&gt;=2),"S1382","")</f>
        <v/>
      </c>
      <c r="B1383" t="str">
        <f>IF(AND(FORSIDE!$B$8&gt;=12,FORSIDE!$F$8&gt;=6,FORSIDE!$B$5&gt;=2),"1520 -&gt; 1521","")</f>
        <v/>
      </c>
      <c r="C1383" t="str">
        <f>FORSIDE!$C$4</f>
        <v>S355, Stål / KFHUP 180x180x12.5</v>
      </c>
    </row>
    <row r="1384" spans="1:3" x14ac:dyDescent="0.3">
      <c r="A1384" t="str">
        <f>IF(AND(FORSIDE!$B$8&gt;=12,FORSIDE!$F$8&gt;=6,FORSIDE!$B$5&gt;=3),"S1383","")</f>
        <v/>
      </c>
      <c r="B1384" t="str">
        <f>IF(AND(FORSIDE!$B$8&gt;=12,FORSIDE!$F$8&gt;=6,FORSIDE!$B$5&gt;=3),"1521 -&gt; 1522","")</f>
        <v/>
      </c>
      <c r="C1384" t="str">
        <f>FORSIDE!$C$4</f>
        <v>S355, Stål / KFHUP 180x180x12.5</v>
      </c>
    </row>
    <row r="1385" spans="1:3" x14ac:dyDescent="0.3">
      <c r="A1385" t="str">
        <f>IF(AND(FORSIDE!$B$8&gt;=12,FORSIDE!$F$8&gt;=6,FORSIDE!$B$5&gt;=4),"S1384","")</f>
        <v/>
      </c>
      <c r="B1385" t="str">
        <f>IF(AND(FORSIDE!$B$8&gt;=12,FORSIDE!$F$8&gt;=6,FORSIDE!$B$5&gt;=4),"1522 -&gt; 1523","")</f>
        <v/>
      </c>
      <c r="C1385" t="str">
        <f>FORSIDE!$C$4</f>
        <v>S355, Stål / KFHUP 180x180x12.5</v>
      </c>
    </row>
    <row r="1386" spans="1:3" x14ac:dyDescent="0.3">
      <c r="A1386" t="str">
        <f>IF(AND(FORSIDE!$B$8&gt;=12,FORSIDE!$F$8&gt;=6,FORSIDE!$B$5&gt;=5),"S1385","")</f>
        <v/>
      </c>
      <c r="B1386" t="str">
        <f>IF(AND(FORSIDE!$B$8&gt;=12,FORSIDE!$F$8&gt;=6,FORSIDE!$B$5&gt;=5),"1523 -&gt; 1524","")</f>
        <v/>
      </c>
      <c r="C1386" t="str">
        <f>FORSIDE!$C$4</f>
        <v>S355, Stål / KFHUP 180x180x12.5</v>
      </c>
    </row>
    <row r="1387" spans="1:3" x14ac:dyDescent="0.3">
      <c r="A1387" t="str">
        <f>IF(AND(FORSIDE!$B$8&gt;=12,FORSIDE!$F$8&gt;=6,FORSIDE!$B$5&gt;=6),"S1386","")</f>
        <v/>
      </c>
      <c r="B1387" t="str">
        <f>IF(AND(FORSIDE!$B$8&gt;=12,FORSIDE!$F$8&gt;=6,FORSIDE!$B$5&gt;=6),"1524 -&gt; 1525","")</f>
        <v/>
      </c>
      <c r="C1387" t="str">
        <f>FORSIDE!$C$4</f>
        <v>S355, Stål / KFHUP 180x180x12.5</v>
      </c>
    </row>
    <row r="1388" spans="1:3" x14ac:dyDescent="0.3">
      <c r="A1388" t="str">
        <f>IF(AND(FORSIDE!$B$8&gt;=12,FORSIDE!$F$8&gt;=6,FORSIDE!$B$5&gt;=7),"S1387","")</f>
        <v/>
      </c>
      <c r="B1388" t="str">
        <f>IF(AND(FORSIDE!$B$8&gt;=12,FORSIDE!$F$8&gt;=6,FORSIDE!$B$5&gt;=7),"1525 -&gt; 1526","")</f>
        <v/>
      </c>
      <c r="C1388" t="str">
        <f>FORSIDE!$C$4</f>
        <v>S355, Stål / KFHUP 180x180x12.5</v>
      </c>
    </row>
    <row r="1389" spans="1:3" x14ac:dyDescent="0.3">
      <c r="A1389" t="str">
        <f>IF(AND(FORSIDE!$B$8&gt;=12,FORSIDE!$F$8&gt;=6,FORSIDE!$B$5&gt;=8),"S1388","")</f>
        <v/>
      </c>
      <c r="B1389" t="str">
        <f>IF(AND(FORSIDE!$B$8&gt;=12,FORSIDE!$F$8&gt;=6,FORSIDE!$B$5&gt;=8),"1526 -&gt; 1527","")</f>
        <v/>
      </c>
      <c r="C1389" t="str">
        <f>FORSIDE!$C$4</f>
        <v>S355, Stål / KFHUP 180x180x12.5</v>
      </c>
    </row>
    <row r="1390" spans="1:3" x14ac:dyDescent="0.3">
      <c r="A1390" t="str">
        <f>IF(AND(FORSIDE!$B$8&gt;=12,FORSIDE!$F$8&gt;=6,FORSIDE!$B$5&gt;=9),"S1389","")</f>
        <v/>
      </c>
      <c r="B1390" t="str">
        <f>IF(AND(FORSIDE!$B$8&gt;=12,FORSIDE!$F$8&gt;=6,FORSIDE!$B$5&gt;=9),"1527 -&gt; 1528","")</f>
        <v/>
      </c>
      <c r="C1390" t="str">
        <f>FORSIDE!$C$4</f>
        <v>S355, Stål / KFHUP 180x180x12.5</v>
      </c>
    </row>
    <row r="1391" spans="1:3" x14ac:dyDescent="0.3">
      <c r="A1391" t="str">
        <f>IF(AND(FORSIDE!$B$8&gt;=12,FORSIDE!$F$8&gt;=6,FORSIDE!$B$5&gt;=10),"S1390","")</f>
        <v/>
      </c>
      <c r="B1391" t="str">
        <f>IF(AND(FORSIDE!$B$8&gt;=12,FORSIDE!$F$8&gt;=6,FORSIDE!$B$5&gt;=10),"1528 -&gt; 1529","")</f>
        <v/>
      </c>
      <c r="C1391" t="str">
        <f>FORSIDE!$C$4</f>
        <v>S355, Stål / KFHUP 180x180x12.5</v>
      </c>
    </row>
    <row r="1392" spans="1:3" x14ac:dyDescent="0.3">
      <c r="A1392" t="str">
        <f>IF(AND(FORSIDE!$B$8&gt;=13,FORSIDE!$F$8&gt;=6,FORSIDE!$B$5&gt;=1),"S1391","")</f>
        <v/>
      </c>
      <c r="B1392" t="str">
        <f>IF(AND(FORSIDE!$B$8&gt;=13,FORSIDE!$F$8&gt;=6,FORSIDE!$B$5&gt;=1),"1530 -&gt; 1531","")</f>
        <v/>
      </c>
      <c r="C1392" t="str">
        <f>FORSIDE!$C$4</f>
        <v>S355, Stål / KFHUP 180x180x12.5</v>
      </c>
    </row>
    <row r="1393" spans="1:3" x14ac:dyDescent="0.3">
      <c r="A1393" t="str">
        <f>IF(AND(FORSIDE!$B$8&gt;=13,FORSIDE!$F$8&gt;=6,FORSIDE!$B$5&gt;=2),"S1392","")</f>
        <v/>
      </c>
      <c r="B1393" t="str">
        <f>IF(AND(FORSIDE!$B$8&gt;=13,FORSIDE!$F$8&gt;=6,FORSIDE!$B$5&gt;=2),"1531 -&gt; 1532","")</f>
        <v/>
      </c>
      <c r="C1393" t="str">
        <f>FORSIDE!$C$4</f>
        <v>S355, Stål / KFHUP 180x180x12.5</v>
      </c>
    </row>
    <row r="1394" spans="1:3" x14ac:dyDescent="0.3">
      <c r="A1394" t="str">
        <f>IF(AND(FORSIDE!$B$8&gt;=13,FORSIDE!$F$8&gt;=6,FORSIDE!$B$5&gt;=3),"S1393","")</f>
        <v/>
      </c>
      <c r="B1394" t="str">
        <f>IF(AND(FORSIDE!$B$8&gt;=13,FORSIDE!$F$8&gt;=6,FORSIDE!$B$5&gt;=3),"1532 -&gt; 1533","")</f>
        <v/>
      </c>
      <c r="C1394" t="str">
        <f>FORSIDE!$C$4</f>
        <v>S355, Stål / KFHUP 180x180x12.5</v>
      </c>
    </row>
    <row r="1395" spans="1:3" x14ac:dyDescent="0.3">
      <c r="A1395" t="str">
        <f>IF(AND(FORSIDE!$B$8&gt;=13,FORSIDE!$F$8&gt;=6,FORSIDE!$B$5&gt;=4),"S1394","")</f>
        <v/>
      </c>
      <c r="B1395" t="str">
        <f>IF(AND(FORSIDE!$B$8&gt;=13,FORSIDE!$F$8&gt;=6,FORSIDE!$B$5&gt;=4),"1533 -&gt; 1534","")</f>
        <v/>
      </c>
      <c r="C1395" t="str">
        <f>FORSIDE!$C$4</f>
        <v>S355, Stål / KFHUP 180x180x12.5</v>
      </c>
    </row>
    <row r="1396" spans="1:3" x14ac:dyDescent="0.3">
      <c r="A1396" t="str">
        <f>IF(AND(FORSIDE!$B$8&gt;=13,FORSIDE!$F$8&gt;=6,FORSIDE!$B$5&gt;=5),"S1395","")</f>
        <v/>
      </c>
      <c r="B1396" t="str">
        <f>IF(AND(FORSIDE!$B$8&gt;=13,FORSIDE!$F$8&gt;=6,FORSIDE!$B$5&gt;=5),"1534 -&gt; 1535","")</f>
        <v/>
      </c>
      <c r="C1396" t="str">
        <f>FORSIDE!$C$4</f>
        <v>S355, Stål / KFHUP 180x180x12.5</v>
      </c>
    </row>
    <row r="1397" spans="1:3" x14ac:dyDescent="0.3">
      <c r="A1397" t="str">
        <f>IF(AND(FORSIDE!$B$8&gt;=13,FORSIDE!$F$8&gt;=6,FORSIDE!$B$5&gt;=6),"S1396","")</f>
        <v/>
      </c>
      <c r="B1397" t="str">
        <f>IF(AND(FORSIDE!$B$8&gt;=13,FORSIDE!$F$8&gt;=6,FORSIDE!$B$5&gt;=6),"1535 -&gt; 1536","")</f>
        <v/>
      </c>
      <c r="C1397" t="str">
        <f>FORSIDE!$C$4</f>
        <v>S355, Stål / KFHUP 180x180x12.5</v>
      </c>
    </row>
    <row r="1398" spans="1:3" x14ac:dyDescent="0.3">
      <c r="A1398" t="str">
        <f>IF(AND(FORSIDE!$B$8&gt;=13,FORSIDE!$F$8&gt;=6,FORSIDE!$B$5&gt;=7),"S1397","")</f>
        <v/>
      </c>
      <c r="B1398" t="str">
        <f>IF(AND(FORSIDE!$B$8&gt;=13,FORSIDE!$F$8&gt;=6,FORSIDE!$B$5&gt;=7),"1536 -&gt; 1537","")</f>
        <v/>
      </c>
      <c r="C1398" t="str">
        <f>FORSIDE!$C$4</f>
        <v>S355, Stål / KFHUP 180x180x12.5</v>
      </c>
    </row>
    <row r="1399" spans="1:3" x14ac:dyDescent="0.3">
      <c r="A1399" t="str">
        <f>IF(AND(FORSIDE!$B$8&gt;=13,FORSIDE!$F$8&gt;=6,FORSIDE!$B$5&gt;=8),"S1398","")</f>
        <v/>
      </c>
      <c r="B1399" t="str">
        <f>IF(AND(FORSIDE!$B$8&gt;=13,FORSIDE!$F$8&gt;=6,FORSIDE!$B$5&gt;=8),"1537 -&gt; 1538","")</f>
        <v/>
      </c>
      <c r="C1399" t="str">
        <f>FORSIDE!$C$4</f>
        <v>S355, Stål / KFHUP 180x180x12.5</v>
      </c>
    </row>
    <row r="1400" spans="1:3" x14ac:dyDescent="0.3">
      <c r="A1400" t="str">
        <f>IF(AND(FORSIDE!$B$8&gt;=13,FORSIDE!$F$8&gt;=6,FORSIDE!$B$5&gt;=9),"S1399","")</f>
        <v/>
      </c>
      <c r="B1400" t="str">
        <f>IF(AND(FORSIDE!$B$8&gt;=13,FORSIDE!$F$8&gt;=6,FORSIDE!$B$5&gt;=9),"1538 -&gt; 1539","")</f>
        <v/>
      </c>
      <c r="C1400" t="str">
        <f>FORSIDE!$C$4</f>
        <v>S355, Stål / KFHUP 180x180x12.5</v>
      </c>
    </row>
    <row r="1401" spans="1:3" x14ac:dyDescent="0.3">
      <c r="A1401" t="str">
        <f>IF(AND(FORSIDE!$B$8&gt;=13,FORSIDE!$F$8&gt;=6,FORSIDE!$B$5&gt;=10),"S1400","")</f>
        <v/>
      </c>
      <c r="B1401" t="str">
        <f>IF(AND(FORSIDE!$B$8&gt;=13,FORSIDE!$F$8&gt;=6,FORSIDE!$B$5&gt;=10),"1539 -&gt; 1540","")</f>
        <v/>
      </c>
      <c r="C1401" t="str">
        <f>FORSIDE!$C$4</f>
        <v>S355, Stål / KFHUP 180x180x12.5</v>
      </c>
    </row>
    <row r="1402" spans="1:3" x14ac:dyDescent="0.3">
      <c r="A1402" t="str">
        <f>IF(AND(FORSIDE!$B$8&gt;=14,FORSIDE!$F$8&gt;=6,FORSIDE!$B$5&gt;=1),"S1401","")</f>
        <v/>
      </c>
      <c r="B1402" t="str">
        <f>IF(AND(FORSIDE!$B$8&gt;=14,FORSIDE!$F$8&gt;=6,FORSIDE!$B$5&gt;=1),"1541 -&gt; 1542","")</f>
        <v/>
      </c>
      <c r="C1402" t="str">
        <f>FORSIDE!$C$4</f>
        <v>S355, Stål / KFHUP 180x180x12.5</v>
      </c>
    </row>
    <row r="1403" spans="1:3" x14ac:dyDescent="0.3">
      <c r="A1403" t="str">
        <f>IF(AND(FORSIDE!$B$8&gt;=14,FORSIDE!$F$8&gt;=6,FORSIDE!$B$5&gt;=2),"S1402","")</f>
        <v/>
      </c>
      <c r="B1403" t="str">
        <f>IF(AND(FORSIDE!$B$8&gt;=14,FORSIDE!$F$8&gt;=6,FORSIDE!$B$5&gt;=2),"1542 -&gt; 1543","")</f>
        <v/>
      </c>
      <c r="C1403" t="str">
        <f>FORSIDE!$C$4</f>
        <v>S355, Stål / KFHUP 180x180x12.5</v>
      </c>
    </row>
    <row r="1404" spans="1:3" x14ac:dyDescent="0.3">
      <c r="A1404" t="str">
        <f>IF(AND(FORSIDE!$B$8&gt;=14,FORSIDE!$F$8&gt;=6,FORSIDE!$B$5&gt;=3),"S1403","")</f>
        <v/>
      </c>
      <c r="B1404" t="str">
        <f>IF(AND(FORSIDE!$B$8&gt;=14,FORSIDE!$F$8&gt;=6,FORSIDE!$B$5&gt;=3),"1543 -&gt; 1544","")</f>
        <v/>
      </c>
      <c r="C1404" t="str">
        <f>FORSIDE!$C$4</f>
        <v>S355, Stål / KFHUP 180x180x12.5</v>
      </c>
    </row>
    <row r="1405" spans="1:3" x14ac:dyDescent="0.3">
      <c r="A1405" t="str">
        <f>IF(AND(FORSIDE!$B$8&gt;=14,FORSIDE!$F$8&gt;=6,FORSIDE!$B$5&gt;=4),"S1404","")</f>
        <v/>
      </c>
      <c r="B1405" t="str">
        <f>IF(AND(FORSIDE!$B$8&gt;=14,FORSIDE!$F$8&gt;=6,FORSIDE!$B$5&gt;=4),"1544 -&gt; 1545","")</f>
        <v/>
      </c>
      <c r="C1405" t="str">
        <f>FORSIDE!$C$4</f>
        <v>S355, Stål / KFHUP 180x180x12.5</v>
      </c>
    </row>
    <row r="1406" spans="1:3" x14ac:dyDescent="0.3">
      <c r="A1406" t="str">
        <f>IF(AND(FORSIDE!$B$8&gt;=14,FORSIDE!$F$8&gt;=6,FORSIDE!$B$5&gt;=5),"S1405","")</f>
        <v/>
      </c>
      <c r="B1406" t="str">
        <f>IF(AND(FORSIDE!$B$8&gt;=14,FORSIDE!$F$8&gt;=6,FORSIDE!$B$5&gt;=5),"1545 -&gt; 1546","")</f>
        <v/>
      </c>
      <c r="C1406" t="str">
        <f>FORSIDE!$C$4</f>
        <v>S355, Stål / KFHUP 180x180x12.5</v>
      </c>
    </row>
    <row r="1407" spans="1:3" x14ac:dyDescent="0.3">
      <c r="A1407" t="str">
        <f>IF(AND(FORSIDE!$B$8&gt;=14,FORSIDE!$F$8&gt;=6,FORSIDE!$B$5&gt;=6),"S1406","")</f>
        <v/>
      </c>
      <c r="B1407" t="str">
        <f>IF(AND(FORSIDE!$B$8&gt;=14,FORSIDE!$F$8&gt;=6,FORSIDE!$B$5&gt;=6),"1546 -&gt; 1547","")</f>
        <v/>
      </c>
      <c r="C1407" t="str">
        <f>FORSIDE!$C$4</f>
        <v>S355, Stål / KFHUP 180x180x12.5</v>
      </c>
    </row>
    <row r="1408" spans="1:3" x14ac:dyDescent="0.3">
      <c r="A1408" t="str">
        <f>IF(AND(FORSIDE!$B$8&gt;=14,FORSIDE!$F$8&gt;=6,FORSIDE!$B$5&gt;=7),"S1407","")</f>
        <v/>
      </c>
      <c r="B1408" t="str">
        <f>IF(AND(FORSIDE!$B$8&gt;=14,FORSIDE!$F$8&gt;=6,FORSIDE!$B$5&gt;=7),"1547 -&gt; 1548","")</f>
        <v/>
      </c>
      <c r="C1408" t="str">
        <f>FORSIDE!$C$4</f>
        <v>S355, Stål / KFHUP 180x180x12.5</v>
      </c>
    </row>
    <row r="1409" spans="1:3" x14ac:dyDescent="0.3">
      <c r="A1409" t="str">
        <f>IF(AND(FORSIDE!$B$8&gt;=14,FORSIDE!$F$8&gt;=6,FORSIDE!$B$5&gt;=8),"S1408","")</f>
        <v/>
      </c>
      <c r="B1409" t="str">
        <f>IF(AND(FORSIDE!$B$8&gt;=14,FORSIDE!$F$8&gt;=6,FORSIDE!$B$5&gt;=8),"1548 -&gt; 1549","")</f>
        <v/>
      </c>
      <c r="C1409" t="str">
        <f>FORSIDE!$C$4</f>
        <v>S355, Stål / KFHUP 180x180x12.5</v>
      </c>
    </row>
    <row r="1410" spans="1:3" x14ac:dyDescent="0.3">
      <c r="A1410" t="str">
        <f>IF(AND(FORSIDE!$B$8&gt;=14,FORSIDE!$F$8&gt;=6,FORSIDE!$B$5&gt;=9),"S1409","")</f>
        <v/>
      </c>
      <c r="B1410" t="str">
        <f>IF(AND(FORSIDE!$B$8&gt;=14,FORSIDE!$F$8&gt;=6,FORSIDE!$B$5&gt;=9),"1549 -&gt; 1550","")</f>
        <v/>
      </c>
      <c r="C1410" t="str">
        <f>FORSIDE!$C$4</f>
        <v>S355, Stål / KFHUP 180x180x12.5</v>
      </c>
    </row>
    <row r="1411" spans="1:3" x14ac:dyDescent="0.3">
      <c r="A1411" t="str">
        <f>IF(AND(FORSIDE!$B$8&gt;=14,FORSIDE!$F$8&gt;=6,FORSIDE!$B$5&gt;=10),"S1410","")</f>
        <v/>
      </c>
      <c r="B1411" t="str">
        <f>IF(AND(FORSIDE!$B$8&gt;=14,FORSIDE!$F$8&gt;=6,FORSIDE!$B$5&gt;=10),"1550 -&gt; 1551","")</f>
        <v/>
      </c>
      <c r="C1411" t="str">
        <f>FORSIDE!$C$4</f>
        <v>S355, Stål / KFHUP 180x180x12.5</v>
      </c>
    </row>
    <row r="1412" spans="1:3" x14ac:dyDescent="0.3">
      <c r="A1412" t="str">
        <f>IF(AND(FORSIDE!$B$8&gt;=15,FORSIDE!$F$8&gt;=6,FORSIDE!$B$5&gt;=1),"S1411","")</f>
        <v/>
      </c>
      <c r="B1412" t="str">
        <f>IF(AND(FORSIDE!$B$8&gt;=15,FORSIDE!$F$8&gt;=6,FORSIDE!$B$5&gt;=1),"1552 -&gt; 1553","")</f>
        <v/>
      </c>
      <c r="C1412" t="str">
        <f>FORSIDE!$C$4</f>
        <v>S355, Stål / KFHUP 180x180x12.5</v>
      </c>
    </row>
    <row r="1413" spans="1:3" x14ac:dyDescent="0.3">
      <c r="A1413" t="str">
        <f>IF(AND(FORSIDE!$B$8&gt;=15,FORSIDE!$F$8&gt;=6,FORSIDE!$B$5&gt;=2),"S1412","")</f>
        <v/>
      </c>
      <c r="B1413" t="str">
        <f>IF(AND(FORSIDE!$B$8&gt;=15,FORSIDE!$F$8&gt;=6,FORSIDE!$B$5&gt;=2),"1553 -&gt; 1554","")</f>
        <v/>
      </c>
      <c r="C1413" t="str">
        <f>FORSIDE!$C$4</f>
        <v>S355, Stål / KFHUP 180x180x12.5</v>
      </c>
    </row>
    <row r="1414" spans="1:3" x14ac:dyDescent="0.3">
      <c r="A1414" t="str">
        <f>IF(AND(FORSIDE!$B$8&gt;=15,FORSIDE!$F$8&gt;=6,FORSIDE!$B$5&gt;=3),"S1413","")</f>
        <v/>
      </c>
      <c r="B1414" t="str">
        <f>IF(AND(FORSIDE!$B$8&gt;=15,FORSIDE!$F$8&gt;=6,FORSIDE!$B$5&gt;=3),"1554 -&gt; 1555","")</f>
        <v/>
      </c>
      <c r="C1414" t="str">
        <f>FORSIDE!$C$4</f>
        <v>S355, Stål / KFHUP 180x180x12.5</v>
      </c>
    </row>
    <row r="1415" spans="1:3" x14ac:dyDescent="0.3">
      <c r="A1415" t="str">
        <f>IF(AND(FORSIDE!$B$8&gt;=15,FORSIDE!$F$8&gt;=6,FORSIDE!$B$5&gt;=4),"S1414","")</f>
        <v/>
      </c>
      <c r="B1415" t="str">
        <f>IF(AND(FORSIDE!$B$8&gt;=15,FORSIDE!$F$8&gt;=6,FORSIDE!$B$5&gt;=4),"1555 -&gt; 1556","")</f>
        <v/>
      </c>
      <c r="C1415" t="str">
        <f>FORSIDE!$C$4</f>
        <v>S355, Stål / KFHUP 180x180x12.5</v>
      </c>
    </row>
    <row r="1416" spans="1:3" x14ac:dyDescent="0.3">
      <c r="A1416" t="str">
        <f>IF(AND(FORSIDE!$B$8&gt;=15,FORSIDE!$F$8&gt;=6,FORSIDE!$B$5&gt;=5),"S1415","")</f>
        <v/>
      </c>
      <c r="B1416" t="str">
        <f>IF(AND(FORSIDE!$B$8&gt;=15,FORSIDE!$F$8&gt;=6,FORSIDE!$B$5&gt;=5),"1556 -&gt; 1557","")</f>
        <v/>
      </c>
      <c r="C1416" t="str">
        <f>FORSIDE!$C$4</f>
        <v>S355, Stål / KFHUP 180x180x12.5</v>
      </c>
    </row>
    <row r="1417" spans="1:3" x14ac:dyDescent="0.3">
      <c r="A1417" t="str">
        <f>IF(AND(FORSIDE!$B$8&gt;=15,FORSIDE!$F$8&gt;=6,FORSIDE!$B$5&gt;=6),"S1416","")</f>
        <v/>
      </c>
      <c r="B1417" t="str">
        <f>IF(AND(FORSIDE!$B$8&gt;=15,FORSIDE!$F$8&gt;=6,FORSIDE!$B$5&gt;=6),"1557 -&gt; 1558","")</f>
        <v/>
      </c>
      <c r="C1417" t="str">
        <f>FORSIDE!$C$4</f>
        <v>S355, Stål / KFHUP 180x180x12.5</v>
      </c>
    </row>
    <row r="1418" spans="1:3" x14ac:dyDescent="0.3">
      <c r="A1418" t="str">
        <f>IF(AND(FORSIDE!$B$8&gt;=15,FORSIDE!$F$8&gt;=6,FORSIDE!$B$5&gt;=7),"S1417","")</f>
        <v/>
      </c>
      <c r="B1418" t="str">
        <f>IF(AND(FORSIDE!$B$8&gt;=15,FORSIDE!$F$8&gt;=6,FORSIDE!$B$5&gt;=7),"1558 -&gt; 1559","")</f>
        <v/>
      </c>
      <c r="C1418" t="str">
        <f>FORSIDE!$C$4</f>
        <v>S355, Stål / KFHUP 180x180x12.5</v>
      </c>
    </row>
    <row r="1419" spans="1:3" x14ac:dyDescent="0.3">
      <c r="A1419" t="str">
        <f>IF(AND(FORSIDE!$B$8&gt;=15,FORSIDE!$F$8&gt;=6,FORSIDE!$B$5&gt;=8),"S1418","")</f>
        <v/>
      </c>
      <c r="B1419" t="str">
        <f>IF(AND(FORSIDE!$B$8&gt;=15,FORSIDE!$F$8&gt;=6,FORSIDE!$B$5&gt;=8),"1559 -&gt; 1560","")</f>
        <v/>
      </c>
      <c r="C1419" t="str">
        <f>FORSIDE!$C$4</f>
        <v>S355, Stål / KFHUP 180x180x12.5</v>
      </c>
    </row>
    <row r="1420" spans="1:3" x14ac:dyDescent="0.3">
      <c r="A1420" t="str">
        <f>IF(AND(FORSIDE!$B$8&gt;=15,FORSIDE!$F$8&gt;=6,FORSIDE!$B$5&gt;=9),"S1419","")</f>
        <v/>
      </c>
      <c r="B1420" t="str">
        <f>IF(AND(FORSIDE!$B$8&gt;=15,FORSIDE!$F$8&gt;=6,FORSIDE!$B$5&gt;=9),"1560 -&gt; 1561","")</f>
        <v/>
      </c>
      <c r="C1420" t="str">
        <f>FORSIDE!$C$4</f>
        <v>S355, Stål / KFHUP 180x180x12.5</v>
      </c>
    </row>
    <row r="1421" spans="1:3" x14ac:dyDescent="0.3">
      <c r="A1421" t="str">
        <f>IF(AND(FORSIDE!$B$8&gt;=15,FORSIDE!$F$8&gt;=6,FORSIDE!$B$5&gt;=10),"S1420","")</f>
        <v/>
      </c>
      <c r="B1421" t="str">
        <f>IF(AND(FORSIDE!$B$8&gt;=15,FORSIDE!$F$8&gt;=6,FORSIDE!$B$5&gt;=10),"1561 -&gt; 1562","")</f>
        <v/>
      </c>
      <c r="C1421" t="str">
        <f>FORSIDE!$C$4</f>
        <v>S355, Stål / KFHUP 180x180x12.5</v>
      </c>
    </row>
    <row r="1422" spans="1:3" x14ac:dyDescent="0.3">
      <c r="A1422" t="str">
        <f>IF(AND(FORSIDE!$B$8&gt;=16,FORSIDE!$F$8&gt;=6,FORSIDE!$B$5&gt;=1),"S1421","")</f>
        <v/>
      </c>
      <c r="B1422" t="str">
        <f>IF(AND(FORSIDE!$B$8&gt;=16,FORSIDE!$F$8&gt;=6,FORSIDE!$B$5&gt;=1),"1563 -&gt; 1564","")</f>
        <v/>
      </c>
      <c r="C1422" t="str">
        <f>FORSIDE!$C$4</f>
        <v>S355, Stål / KFHUP 180x180x12.5</v>
      </c>
    </row>
    <row r="1423" spans="1:3" x14ac:dyDescent="0.3">
      <c r="A1423" t="str">
        <f>IF(AND(FORSIDE!$B$8&gt;=16,FORSIDE!$F$8&gt;=6,FORSIDE!$B$5&gt;=2),"S1422","")</f>
        <v/>
      </c>
      <c r="B1423" t="str">
        <f>IF(AND(FORSIDE!$B$8&gt;=16,FORSIDE!$F$8&gt;=6,FORSIDE!$B$5&gt;=2),"1564 -&gt; 1565","")</f>
        <v/>
      </c>
      <c r="C1423" t="str">
        <f>FORSIDE!$C$4</f>
        <v>S355, Stål / KFHUP 180x180x12.5</v>
      </c>
    </row>
    <row r="1424" spans="1:3" x14ac:dyDescent="0.3">
      <c r="A1424" t="str">
        <f>IF(AND(FORSIDE!$B$8&gt;=16,FORSIDE!$F$8&gt;=6,FORSIDE!$B$5&gt;=3),"S1423","")</f>
        <v/>
      </c>
      <c r="B1424" t="str">
        <f>IF(AND(FORSIDE!$B$8&gt;=16,FORSIDE!$F$8&gt;=6,FORSIDE!$B$5&gt;=3),"1565 -&gt; 1566","")</f>
        <v/>
      </c>
      <c r="C1424" t="str">
        <f>FORSIDE!$C$4</f>
        <v>S355, Stål / KFHUP 180x180x12.5</v>
      </c>
    </row>
    <row r="1425" spans="1:3" x14ac:dyDescent="0.3">
      <c r="A1425" t="str">
        <f>IF(AND(FORSIDE!$B$8&gt;=16,FORSIDE!$F$8&gt;=6,FORSIDE!$B$5&gt;=4),"S1424","")</f>
        <v/>
      </c>
      <c r="B1425" t="str">
        <f>IF(AND(FORSIDE!$B$8&gt;=16,FORSIDE!$F$8&gt;=6,FORSIDE!$B$5&gt;=4),"1566 -&gt; 1567","")</f>
        <v/>
      </c>
      <c r="C1425" t="str">
        <f>FORSIDE!$C$4</f>
        <v>S355, Stål / KFHUP 180x180x12.5</v>
      </c>
    </row>
    <row r="1426" spans="1:3" x14ac:dyDescent="0.3">
      <c r="A1426" t="str">
        <f>IF(AND(FORSIDE!$B$8&gt;=16,FORSIDE!$F$8&gt;=6,FORSIDE!$B$5&gt;=5),"S1425","")</f>
        <v/>
      </c>
      <c r="B1426" t="str">
        <f>IF(AND(FORSIDE!$B$8&gt;=16,FORSIDE!$F$8&gt;=6,FORSIDE!$B$5&gt;=5),"1567 -&gt; 1568","")</f>
        <v/>
      </c>
      <c r="C1426" t="str">
        <f>FORSIDE!$C$4</f>
        <v>S355, Stål / KFHUP 180x180x12.5</v>
      </c>
    </row>
    <row r="1427" spans="1:3" x14ac:dyDescent="0.3">
      <c r="A1427" t="str">
        <f>IF(AND(FORSIDE!$B$8&gt;=16,FORSIDE!$F$8&gt;=6,FORSIDE!$B$5&gt;=6),"S1426","")</f>
        <v/>
      </c>
      <c r="B1427" t="str">
        <f>IF(AND(FORSIDE!$B$8&gt;=16,FORSIDE!$F$8&gt;=6,FORSIDE!$B$5&gt;=6),"1568 -&gt; 1569","")</f>
        <v/>
      </c>
      <c r="C1427" t="str">
        <f>FORSIDE!$C$4</f>
        <v>S355, Stål / KFHUP 180x180x12.5</v>
      </c>
    </row>
    <row r="1428" spans="1:3" x14ac:dyDescent="0.3">
      <c r="A1428" t="str">
        <f>IF(AND(FORSIDE!$B$8&gt;=16,FORSIDE!$F$8&gt;=6,FORSIDE!$B$5&gt;=7),"S1427","")</f>
        <v/>
      </c>
      <c r="B1428" t="str">
        <f>IF(AND(FORSIDE!$B$8&gt;=16,FORSIDE!$F$8&gt;=6,FORSIDE!$B$5&gt;=7),"1569 -&gt; 1570","")</f>
        <v/>
      </c>
      <c r="C1428" t="str">
        <f>FORSIDE!$C$4</f>
        <v>S355, Stål / KFHUP 180x180x12.5</v>
      </c>
    </row>
    <row r="1429" spans="1:3" x14ac:dyDescent="0.3">
      <c r="A1429" t="str">
        <f>IF(AND(FORSIDE!$B$8&gt;=16,FORSIDE!$F$8&gt;=6,FORSIDE!$B$5&gt;=8),"S1428","")</f>
        <v/>
      </c>
      <c r="B1429" t="str">
        <f>IF(AND(FORSIDE!$B$8&gt;=16,FORSIDE!$F$8&gt;=6,FORSIDE!$B$5&gt;=8),"1570 -&gt; 1571","")</f>
        <v/>
      </c>
      <c r="C1429" t="str">
        <f>FORSIDE!$C$4</f>
        <v>S355, Stål / KFHUP 180x180x12.5</v>
      </c>
    </row>
    <row r="1430" spans="1:3" x14ac:dyDescent="0.3">
      <c r="A1430" t="str">
        <f>IF(AND(FORSIDE!$B$8&gt;=16,FORSIDE!$F$8&gt;=6,FORSIDE!$B$5&gt;=9),"S1429","")</f>
        <v/>
      </c>
      <c r="B1430" t="str">
        <f>IF(AND(FORSIDE!$B$8&gt;=16,FORSIDE!$F$8&gt;=6,FORSIDE!$B$5&gt;=9),"1571 -&gt; 1572","")</f>
        <v/>
      </c>
      <c r="C1430" t="str">
        <f>FORSIDE!$C$4</f>
        <v>S355, Stål / KFHUP 180x180x12.5</v>
      </c>
    </row>
    <row r="1431" spans="1:3" x14ac:dyDescent="0.3">
      <c r="A1431" t="str">
        <f>IF(AND(FORSIDE!$B$8&gt;=16,FORSIDE!$F$8&gt;=6,FORSIDE!$B$5&gt;=10),"S1430","")</f>
        <v/>
      </c>
      <c r="B1431" t="str">
        <f>IF(AND(FORSIDE!$B$8&gt;=16,FORSIDE!$F$8&gt;=6,FORSIDE!$B$5&gt;=10),"1572 -&gt; 1573","")</f>
        <v/>
      </c>
      <c r="C1431" t="str">
        <f>FORSIDE!$C$4</f>
        <v>S355, Stål / KFHUP 180x180x12.5</v>
      </c>
    </row>
    <row r="1432" spans="1:3" x14ac:dyDescent="0.3">
      <c r="A1432" t="str">
        <f>IF(AND(FORSIDE!$B$8&gt;=17,FORSIDE!$F$8&gt;=6,FORSIDE!$B$5&gt;=1),"S1431","")</f>
        <v/>
      </c>
      <c r="B1432" t="str">
        <f>IF(AND(FORSIDE!$B$8&gt;=17,FORSIDE!$F$8&gt;=6,FORSIDE!$B$5&gt;=1),"1574 -&gt; 1575","")</f>
        <v/>
      </c>
      <c r="C1432" t="str">
        <f>FORSIDE!$C$4</f>
        <v>S355, Stål / KFHUP 180x180x12.5</v>
      </c>
    </row>
    <row r="1433" spans="1:3" x14ac:dyDescent="0.3">
      <c r="A1433" t="str">
        <f>IF(AND(FORSIDE!$B$8&gt;=17,FORSIDE!$F$8&gt;=6,FORSIDE!$B$5&gt;=2),"S1432","")</f>
        <v/>
      </c>
      <c r="B1433" t="str">
        <f>IF(AND(FORSIDE!$B$8&gt;=17,FORSIDE!$F$8&gt;=6,FORSIDE!$B$5&gt;=2),"1575 -&gt; 1576","")</f>
        <v/>
      </c>
      <c r="C1433" t="str">
        <f>FORSIDE!$C$4</f>
        <v>S355, Stål / KFHUP 180x180x12.5</v>
      </c>
    </row>
    <row r="1434" spans="1:3" x14ac:dyDescent="0.3">
      <c r="A1434" t="str">
        <f>IF(AND(FORSIDE!$B$8&gt;=17,FORSIDE!$F$8&gt;=6,FORSIDE!$B$5&gt;=3),"S1433","")</f>
        <v/>
      </c>
      <c r="B1434" t="str">
        <f>IF(AND(FORSIDE!$B$8&gt;=17,FORSIDE!$F$8&gt;=6,FORSIDE!$B$5&gt;=3),"1576 -&gt; 1577","")</f>
        <v/>
      </c>
      <c r="C1434" t="str">
        <f>FORSIDE!$C$4</f>
        <v>S355, Stål / KFHUP 180x180x12.5</v>
      </c>
    </row>
    <row r="1435" spans="1:3" x14ac:dyDescent="0.3">
      <c r="A1435" t="str">
        <f>IF(AND(FORSIDE!$B$8&gt;=17,FORSIDE!$F$8&gt;=6,FORSIDE!$B$5&gt;=4),"S1434","")</f>
        <v/>
      </c>
      <c r="B1435" t="str">
        <f>IF(AND(FORSIDE!$B$8&gt;=17,FORSIDE!$F$8&gt;=6,FORSIDE!$B$5&gt;=4),"1577 -&gt; 1578","")</f>
        <v/>
      </c>
      <c r="C1435" t="str">
        <f>FORSIDE!$C$4</f>
        <v>S355, Stål / KFHUP 180x180x12.5</v>
      </c>
    </row>
    <row r="1436" spans="1:3" x14ac:dyDescent="0.3">
      <c r="A1436" t="str">
        <f>IF(AND(FORSIDE!$B$8&gt;=17,FORSIDE!$F$8&gt;=6,FORSIDE!$B$5&gt;=5),"S1435","")</f>
        <v/>
      </c>
      <c r="B1436" t="str">
        <f>IF(AND(FORSIDE!$B$8&gt;=17,FORSIDE!$F$8&gt;=6,FORSIDE!$B$5&gt;=5),"1578 -&gt; 1579","")</f>
        <v/>
      </c>
      <c r="C1436" t="str">
        <f>FORSIDE!$C$4</f>
        <v>S355, Stål / KFHUP 180x180x12.5</v>
      </c>
    </row>
    <row r="1437" spans="1:3" x14ac:dyDescent="0.3">
      <c r="A1437" t="str">
        <f>IF(AND(FORSIDE!$B$8&gt;=17,FORSIDE!$F$8&gt;=6,FORSIDE!$B$5&gt;=6),"S1436","")</f>
        <v/>
      </c>
      <c r="B1437" t="str">
        <f>IF(AND(FORSIDE!$B$8&gt;=17,FORSIDE!$F$8&gt;=6,FORSIDE!$B$5&gt;=6),"1579 -&gt; 1580","")</f>
        <v/>
      </c>
      <c r="C1437" t="str">
        <f>FORSIDE!$C$4</f>
        <v>S355, Stål / KFHUP 180x180x12.5</v>
      </c>
    </row>
    <row r="1438" spans="1:3" x14ac:dyDescent="0.3">
      <c r="A1438" t="str">
        <f>IF(AND(FORSIDE!$B$8&gt;=17,FORSIDE!$F$8&gt;=6,FORSIDE!$B$5&gt;=7),"S1437","")</f>
        <v/>
      </c>
      <c r="B1438" t="str">
        <f>IF(AND(FORSIDE!$B$8&gt;=17,FORSIDE!$F$8&gt;=6,FORSIDE!$B$5&gt;=7),"1580 -&gt; 1581","")</f>
        <v/>
      </c>
      <c r="C1438" t="str">
        <f>FORSIDE!$C$4</f>
        <v>S355, Stål / KFHUP 180x180x12.5</v>
      </c>
    </row>
    <row r="1439" spans="1:3" x14ac:dyDescent="0.3">
      <c r="A1439" t="str">
        <f>IF(AND(FORSIDE!$B$8&gt;=17,FORSIDE!$F$8&gt;=6,FORSIDE!$B$5&gt;=8),"S1438","")</f>
        <v/>
      </c>
      <c r="B1439" t="str">
        <f>IF(AND(FORSIDE!$B$8&gt;=17,FORSIDE!$F$8&gt;=6,FORSIDE!$B$5&gt;=8),"1581 -&gt; 1582","")</f>
        <v/>
      </c>
      <c r="C1439" t="str">
        <f>FORSIDE!$C$4</f>
        <v>S355, Stål / KFHUP 180x180x12.5</v>
      </c>
    </row>
    <row r="1440" spans="1:3" x14ac:dyDescent="0.3">
      <c r="A1440" t="str">
        <f>IF(AND(FORSIDE!$B$8&gt;=17,FORSIDE!$F$8&gt;=6,FORSIDE!$B$5&gt;=9),"S1439","")</f>
        <v/>
      </c>
      <c r="B1440" t="str">
        <f>IF(AND(FORSIDE!$B$8&gt;=17,FORSIDE!$F$8&gt;=6,FORSIDE!$B$5&gt;=9),"1582 -&gt; 1583","")</f>
        <v/>
      </c>
      <c r="C1440" t="str">
        <f>FORSIDE!$C$4</f>
        <v>S355, Stål / KFHUP 180x180x12.5</v>
      </c>
    </row>
    <row r="1441" spans="1:3" x14ac:dyDescent="0.3">
      <c r="A1441" t="str">
        <f>IF(AND(FORSIDE!$B$8&gt;=17,FORSIDE!$F$8&gt;=6,FORSIDE!$B$5&gt;=10),"S1440","")</f>
        <v/>
      </c>
      <c r="B1441" t="str">
        <f>IF(AND(FORSIDE!$B$8&gt;=17,FORSIDE!$F$8&gt;=6,FORSIDE!$B$5&gt;=10),"1583 -&gt; 1584","")</f>
        <v/>
      </c>
      <c r="C1441" t="str">
        <f>FORSIDE!$C$4</f>
        <v>S355, Stål / KFHUP 180x180x12.5</v>
      </c>
    </row>
    <row r="1442" spans="1:3" x14ac:dyDescent="0.3">
      <c r="A1442" t="str">
        <f>IF(AND(FORSIDE!$B$8&gt;=18,FORSIDE!$F$8&gt;=6,FORSIDE!$B$5&gt;=1),"S1441","")</f>
        <v/>
      </c>
      <c r="B1442" t="str">
        <f>IF(AND(FORSIDE!$B$8&gt;=18,FORSIDE!$F$8&gt;=6,FORSIDE!$B$5&gt;=1),"1585 -&gt; 1586","")</f>
        <v/>
      </c>
      <c r="C1442" t="str">
        <f>FORSIDE!$C$4</f>
        <v>S355, Stål / KFHUP 180x180x12.5</v>
      </c>
    </row>
    <row r="1443" spans="1:3" x14ac:dyDescent="0.3">
      <c r="A1443" t="str">
        <f>IF(AND(FORSIDE!$B$8&gt;=18,FORSIDE!$F$8&gt;=6,FORSIDE!$B$5&gt;=2),"S1442","")</f>
        <v/>
      </c>
      <c r="B1443" t="str">
        <f>IF(AND(FORSIDE!$B$8&gt;=18,FORSIDE!$F$8&gt;=6,FORSIDE!$B$5&gt;=2),"1586 -&gt; 1587","")</f>
        <v/>
      </c>
      <c r="C1443" t="str">
        <f>FORSIDE!$C$4</f>
        <v>S355, Stål / KFHUP 180x180x12.5</v>
      </c>
    </row>
    <row r="1444" spans="1:3" x14ac:dyDescent="0.3">
      <c r="A1444" t="str">
        <f>IF(AND(FORSIDE!$B$8&gt;=18,FORSIDE!$F$8&gt;=6,FORSIDE!$B$5&gt;=3),"S1443","")</f>
        <v/>
      </c>
      <c r="B1444" t="str">
        <f>IF(AND(FORSIDE!$B$8&gt;=18,FORSIDE!$F$8&gt;=6,FORSIDE!$B$5&gt;=3),"1587 -&gt; 1588","")</f>
        <v/>
      </c>
      <c r="C1444" t="str">
        <f>FORSIDE!$C$4</f>
        <v>S355, Stål / KFHUP 180x180x12.5</v>
      </c>
    </row>
    <row r="1445" spans="1:3" x14ac:dyDescent="0.3">
      <c r="A1445" t="str">
        <f>IF(AND(FORSIDE!$B$8&gt;=18,FORSIDE!$F$8&gt;=6,FORSIDE!$B$5&gt;=4),"S1444","")</f>
        <v/>
      </c>
      <c r="B1445" t="str">
        <f>IF(AND(FORSIDE!$B$8&gt;=18,FORSIDE!$F$8&gt;=6,FORSIDE!$B$5&gt;=4),"1588 -&gt; 1589","")</f>
        <v/>
      </c>
      <c r="C1445" t="str">
        <f>FORSIDE!$C$4</f>
        <v>S355, Stål / KFHUP 180x180x12.5</v>
      </c>
    </row>
    <row r="1446" spans="1:3" x14ac:dyDescent="0.3">
      <c r="A1446" t="str">
        <f>IF(AND(FORSIDE!$B$8&gt;=18,FORSIDE!$F$8&gt;=6,FORSIDE!$B$5&gt;=5),"S1445","")</f>
        <v/>
      </c>
      <c r="B1446" t="str">
        <f>IF(AND(FORSIDE!$B$8&gt;=18,FORSIDE!$F$8&gt;=6,FORSIDE!$B$5&gt;=5),"1589 -&gt; 1590","")</f>
        <v/>
      </c>
      <c r="C1446" t="str">
        <f>FORSIDE!$C$4</f>
        <v>S355, Stål / KFHUP 180x180x12.5</v>
      </c>
    </row>
    <row r="1447" spans="1:3" x14ac:dyDescent="0.3">
      <c r="A1447" t="str">
        <f>IF(AND(FORSIDE!$B$8&gt;=18,FORSIDE!$F$8&gt;=6,FORSIDE!$B$5&gt;=6),"S1446","")</f>
        <v/>
      </c>
      <c r="B1447" t="str">
        <f>IF(AND(FORSIDE!$B$8&gt;=18,FORSIDE!$F$8&gt;=6,FORSIDE!$B$5&gt;=6),"1590 -&gt; 1591","")</f>
        <v/>
      </c>
      <c r="C1447" t="str">
        <f>FORSIDE!$C$4</f>
        <v>S355, Stål / KFHUP 180x180x12.5</v>
      </c>
    </row>
    <row r="1448" spans="1:3" x14ac:dyDescent="0.3">
      <c r="A1448" t="str">
        <f>IF(AND(FORSIDE!$B$8&gt;=18,FORSIDE!$F$8&gt;=6,FORSIDE!$B$5&gt;=7),"S1447","")</f>
        <v/>
      </c>
      <c r="B1448" t="str">
        <f>IF(AND(FORSIDE!$B$8&gt;=18,FORSIDE!$F$8&gt;=6,FORSIDE!$B$5&gt;=7),"1591 -&gt; 1592","")</f>
        <v/>
      </c>
      <c r="C1448" t="str">
        <f>FORSIDE!$C$4</f>
        <v>S355, Stål / KFHUP 180x180x12.5</v>
      </c>
    </row>
    <row r="1449" spans="1:3" x14ac:dyDescent="0.3">
      <c r="A1449" t="str">
        <f>IF(AND(FORSIDE!$B$8&gt;=18,FORSIDE!$F$8&gt;=6,FORSIDE!$B$5&gt;=8),"S1448","")</f>
        <v/>
      </c>
      <c r="B1449" t="str">
        <f>IF(AND(FORSIDE!$B$8&gt;=18,FORSIDE!$F$8&gt;=6,FORSIDE!$B$5&gt;=8),"1592 -&gt; 1593","")</f>
        <v/>
      </c>
      <c r="C1449" t="str">
        <f>FORSIDE!$C$4</f>
        <v>S355, Stål / KFHUP 180x180x12.5</v>
      </c>
    </row>
    <row r="1450" spans="1:3" x14ac:dyDescent="0.3">
      <c r="A1450" t="str">
        <f>IF(AND(FORSIDE!$B$8&gt;=18,FORSIDE!$F$8&gt;=6,FORSIDE!$B$5&gt;=9),"S1449","")</f>
        <v/>
      </c>
      <c r="B1450" t="str">
        <f>IF(AND(FORSIDE!$B$8&gt;=18,FORSIDE!$F$8&gt;=6,FORSIDE!$B$5&gt;=9),"1593 -&gt; 1594","")</f>
        <v/>
      </c>
      <c r="C1450" t="str">
        <f>FORSIDE!$C$4</f>
        <v>S355, Stål / KFHUP 180x180x12.5</v>
      </c>
    </row>
    <row r="1451" spans="1:3" x14ac:dyDescent="0.3">
      <c r="A1451" t="str">
        <f>IF(AND(FORSIDE!$B$8&gt;=18,FORSIDE!$F$8&gt;=6,FORSIDE!$B$5&gt;=10),"S1450","")</f>
        <v/>
      </c>
      <c r="B1451" t="str">
        <f>IF(AND(FORSIDE!$B$8&gt;=18,FORSIDE!$F$8&gt;=6,FORSIDE!$B$5&gt;=10),"1594 -&gt; 1595","")</f>
        <v/>
      </c>
      <c r="C1451" t="str">
        <f>FORSIDE!$C$4</f>
        <v>S355, Stål / KFHUP 180x180x12.5</v>
      </c>
    </row>
    <row r="1452" spans="1:3" x14ac:dyDescent="0.3">
      <c r="A1452" t="str">
        <f>IF(AND(FORSIDE!$B$8&gt;=19,FORSIDE!$F$8&gt;=6,FORSIDE!$B$5&gt;=1),"S1451","")</f>
        <v/>
      </c>
      <c r="B1452" t="str">
        <f>IF(AND(FORSIDE!$B$8&gt;=19,FORSIDE!$F$8&gt;=6,FORSIDE!$B$5&gt;=1),"1596 -&gt; 1597","")</f>
        <v/>
      </c>
      <c r="C1452" t="str">
        <f>FORSIDE!$C$4</f>
        <v>S355, Stål / KFHUP 180x180x12.5</v>
      </c>
    </row>
    <row r="1453" spans="1:3" x14ac:dyDescent="0.3">
      <c r="A1453" t="str">
        <f>IF(AND(FORSIDE!$B$8&gt;=19,FORSIDE!$F$8&gt;=6,FORSIDE!$B$5&gt;=2),"S1452","")</f>
        <v/>
      </c>
      <c r="B1453" t="str">
        <f>IF(AND(FORSIDE!$B$8&gt;=19,FORSIDE!$F$8&gt;=6,FORSIDE!$B$5&gt;=2),"1597 -&gt; 1598","")</f>
        <v/>
      </c>
      <c r="C1453" t="str">
        <f>FORSIDE!$C$4</f>
        <v>S355, Stål / KFHUP 180x180x12.5</v>
      </c>
    </row>
    <row r="1454" spans="1:3" x14ac:dyDescent="0.3">
      <c r="A1454" t="str">
        <f>IF(AND(FORSIDE!$B$8&gt;=19,FORSIDE!$F$8&gt;=6,FORSIDE!$B$5&gt;=3),"S1453","")</f>
        <v/>
      </c>
      <c r="B1454" t="str">
        <f>IF(AND(FORSIDE!$B$8&gt;=19,FORSIDE!$F$8&gt;=6,FORSIDE!$B$5&gt;=3),"1598 -&gt; 1599","")</f>
        <v/>
      </c>
      <c r="C1454" t="str">
        <f>FORSIDE!$C$4</f>
        <v>S355, Stål / KFHUP 180x180x12.5</v>
      </c>
    </row>
    <row r="1455" spans="1:3" x14ac:dyDescent="0.3">
      <c r="A1455" t="str">
        <f>IF(AND(FORSIDE!$B$8&gt;=19,FORSIDE!$F$8&gt;=6,FORSIDE!$B$5&gt;=4),"S1454","")</f>
        <v/>
      </c>
      <c r="B1455" t="str">
        <f>IF(AND(FORSIDE!$B$8&gt;=19,FORSIDE!$F$8&gt;=6,FORSIDE!$B$5&gt;=4),"1599 -&gt; 1600","")</f>
        <v/>
      </c>
      <c r="C1455" t="str">
        <f>FORSIDE!$C$4</f>
        <v>S355, Stål / KFHUP 180x180x12.5</v>
      </c>
    </row>
    <row r="1456" spans="1:3" x14ac:dyDescent="0.3">
      <c r="A1456" t="str">
        <f>IF(AND(FORSIDE!$B$8&gt;=19,FORSIDE!$F$8&gt;=6,FORSIDE!$B$5&gt;=5),"S1455","")</f>
        <v/>
      </c>
      <c r="B1456" t="str">
        <f>IF(AND(FORSIDE!$B$8&gt;=19,FORSIDE!$F$8&gt;=6,FORSIDE!$B$5&gt;=5),"1600 -&gt; 1601","")</f>
        <v/>
      </c>
      <c r="C1456" t="str">
        <f>FORSIDE!$C$4</f>
        <v>S355, Stål / KFHUP 180x180x12.5</v>
      </c>
    </row>
    <row r="1457" spans="1:3" x14ac:dyDescent="0.3">
      <c r="A1457" t="str">
        <f>IF(AND(FORSIDE!$B$8&gt;=19,FORSIDE!$F$8&gt;=6,FORSIDE!$B$5&gt;=6),"S1456","")</f>
        <v/>
      </c>
      <c r="B1457" t="str">
        <f>IF(AND(FORSIDE!$B$8&gt;=19,FORSIDE!$F$8&gt;=6,FORSIDE!$B$5&gt;=6),"1601 -&gt; 1602","")</f>
        <v/>
      </c>
      <c r="C1457" t="str">
        <f>FORSIDE!$C$4</f>
        <v>S355, Stål / KFHUP 180x180x12.5</v>
      </c>
    </row>
    <row r="1458" spans="1:3" x14ac:dyDescent="0.3">
      <c r="A1458" t="str">
        <f>IF(AND(FORSIDE!$B$8&gt;=19,FORSIDE!$F$8&gt;=6,FORSIDE!$B$5&gt;=7),"S1457","")</f>
        <v/>
      </c>
      <c r="B1458" t="str">
        <f>IF(AND(FORSIDE!$B$8&gt;=19,FORSIDE!$F$8&gt;=6,FORSIDE!$B$5&gt;=7),"1602 -&gt; 1603","")</f>
        <v/>
      </c>
      <c r="C1458" t="str">
        <f>FORSIDE!$C$4</f>
        <v>S355, Stål / KFHUP 180x180x12.5</v>
      </c>
    </row>
    <row r="1459" spans="1:3" x14ac:dyDescent="0.3">
      <c r="A1459" t="str">
        <f>IF(AND(FORSIDE!$B$8&gt;=19,FORSIDE!$F$8&gt;=6,FORSIDE!$B$5&gt;=8),"S1458","")</f>
        <v/>
      </c>
      <c r="B1459" t="str">
        <f>IF(AND(FORSIDE!$B$8&gt;=19,FORSIDE!$F$8&gt;=6,FORSIDE!$B$5&gt;=8),"1603 -&gt; 1604","")</f>
        <v/>
      </c>
      <c r="C1459" t="str">
        <f>FORSIDE!$C$4</f>
        <v>S355, Stål / KFHUP 180x180x12.5</v>
      </c>
    </row>
    <row r="1460" spans="1:3" x14ac:dyDescent="0.3">
      <c r="A1460" t="str">
        <f>IF(AND(FORSIDE!$B$8&gt;=19,FORSIDE!$F$8&gt;=6,FORSIDE!$B$5&gt;=9),"S1459","")</f>
        <v/>
      </c>
      <c r="B1460" t="str">
        <f>IF(AND(FORSIDE!$B$8&gt;=19,FORSIDE!$F$8&gt;=6,FORSIDE!$B$5&gt;=9),"1604 -&gt; 1605","")</f>
        <v/>
      </c>
      <c r="C1460" t="str">
        <f>FORSIDE!$C$4</f>
        <v>S355, Stål / KFHUP 180x180x12.5</v>
      </c>
    </row>
    <row r="1461" spans="1:3" x14ac:dyDescent="0.3">
      <c r="A1461" t="str">
        <f>IF(AND(FORSIDE!$B$8&gt;=19,FORSIDE!$F$8&gt;=6,FORSIDE!$B$5&gt;=10),"S1460","")</f>
        <v/>
      </c>
      <c r="B1461" t="str">
        <f>IF(AND(FORSIDE!$B$8&gt;=19,FORSIDE!$F$8&gt;=6,FORSIDE!$B$5&gt;=10),"1605 -&gt; 1606","")</f>
        <v/>
      </c>
      <c r="C1461" t="str">
        <f>FORSIDE!$C$4</f>
        <v>S355, Stål / KFHUP 180x180x12.5</v>
      </c>
    </row>
    <row r="1462" spans="1:3" x14ac:dyDescent="0.3">
      <c r="A1462" t="str">
        <f>IF(AND(FORSIDE!$B$8&gt;=20,FORSIDE!$F$8&gt;=6,FORSIDE!$B$5&gt;=1),"S1461","")</f>
        <v/>
      </c>
      <c r="B1462" t="str">
        <f>IF(AND(FORSIDE!$B$8&gt;=20,FORSIDE!$F$8&gt;=6,FORSIDE!$B$5&gt;=1),"1607 -&gt; 1608","")</f>
        <v/>
      </c>
      <c r="C1462" t="str">
        <f>FORSIDE!$C$4</f>
        <v>S355, Stål / KFHUP 180x180x12.5</v>
      </c>
    </row>
    <row r="1463" spans="1:3" x14ac:dyDescent="0.3">
      <c r="A1463" t="str">
        <f>IF(AND(FORSIDE!$B$8&gt;=20,FORSIDE!$F$8&gt;=6,FORSIDE!$B$5&gt;=2),"S1462","")</f>
        <v/>
      </c>
      <c r="B1463" t="str">
        <f>IF(AND(FORSIDE!$B$8&gt;=20,FORSIDE!$F$8&gt;=6,FORSIDE!$B$5&gt;=2),"1608 -&gt; 1609","")</f>
        <v/>
      </c>
      <c r="C1463" t="str">
        <f>FORSIDE!$C$4</f>
        <v>S355, Stål / KFHUP 180x180x12.5</v>
      </c>
    </row>
    <row r="1464" spans="1:3" x14ac:dyDescent="0.3">
      <c r="A1464" t="str">
        <f>IF(AND(FORSIDE!$B$8&gt;=20,FORSIDE!$F$8&gt;=6,FORSIDE!$B$5&gt;=3),"S1463","")</f>
        <v/>
      </c>
      <c r="B1464" t="str">
        <f>IF(AND(FORSIDE!$B$8&gt;=20,FORSIDE!$F$8&gt;=6,FORSIDE!$B$5&gt;=3),"1609 -&gt; 1610","")</f>
        <v/>
      </c>
      <c r="C1464" t="str">
        <f>FORSIDE!$C$4</f>
        <v>S355, Stål / KFHUP 180x180x12.5</v>
      </c>
    </row>
    <row r="1465" spans="1:3" x14ac:dyDescent="0.3">
      <c r="A1465" t="str">
        <f>IF(AND(FORSIDE!$B$8&gt;=20,FORSIDE!$F$8&gt;=6,FORSIDE!$B$5&gt;=4),"S1464","")</f>
        <v/>
      </c>
      <c r="B1465" t="str">
        <f>IF(AND(FORSIDE!$B$8&gt;=20,FORSIDE!$F$8&gt;=6,FORSIDE!$B$5&gt;=4),"1610 -&gt; 1611","")</f>
        <v/>
      </c>
      <c r="C1465" t="str">
        <f>FORSIDE!$C$4</f>
        <v>S355, Stål / KFHUP 180x180x12.5</v>
      </c>
    </row>
    <row r="1466" spans="1:3" x14ac:dyDescent="0.3">
      <c r="A1466" t="str">
        <f>IF(AND(FORSIDE!$B$8&gt;=20,FORSIDE!$F$8&gt;=6,FORSIDE!$B$5&gt;=5),"S1465","")</f>
        <v/>
      </c>
      <c r="B1466" t="str">
        <f>IF(AND(FORSIDE!$B$8&gt;=20,FORSIDE!$F$8&gt;=6,FORSIDE!$B$5&gt;=5),"1611 -&gt; 1612","")</f>
        <v/>
      </c>
      <c r="C1466" t="str">
        <f>FORSIDE!$C$4</f>
        <v>S355, Stål / KFHUP 180x180x12.5</v>
      </c>
    </row>
    <row r="1467" spans="1:3" x14ac:dyDescent="0.3">
      <c r="A1467" t="str">
        <f>IF(AND(FORSIDE!$B$8&gt;=20,FORSIDE!$F$8&gt;=6,FORSIDE!$B$5&gt;=6),"S1466","")</f>
        <v/>
      </c>
      <c r="B1467" t="str">
        <f>IF(AND(FORSIDE!$B$8&gt;=20,FORSIDE!$F$8&gt;=6,FORSIDE!$B$5&gt;=6),"1612 -&gt; 1613","")</f>
        <v/>
      </c>
      <c r="C1467" t="str">
        <f>FORSIDE!$C$4</f>
        <v>S355, Stål / KFHUP 180x180x12.5</v>
      </c>
    </row>
    <row r="1468" spans="1:3" x14ac:dyDescent="0.3">
      <c r="A1468" t="str">
        <f>IF(AND(FORSIDE!$B$8&gt;=20,FORSIDE!$F$8&gt;=6,FORSIDE!$B$5&gt;=7),"S1467","")</f>
        <v/>
      </c>
      <c r="B1468" t="str">
        <f>IF(AND(FORSIDE!$B$8&gt;=20,FORSIDE!$F$8&gt;=6,FORSIDE!$B$5&gt;=7),"1613 -&gt; 1614","")</f>
        <v/>
      </c>
      <c r="C1468" t="str">
        <f>FORSIDE!$C$4</f>
        <v>S355, Stål / KFHUP 180x180x12.5</v>
      </c>
    </row>
    <row r="1469" spans="1:3" x14ac:dyDescent="0.3">
      <c r="A1469" t="str">
        <f>IF(AND(FORSIDE!$B$8&gt;=20,FORSIDE!$F$8&gt;=6,FORSIDE!$B$5&gt;=8),"S1468","")</f>
        <v/>
      </c>
      <c r="B1469" t="str">
        <f>IF(AND(FORSIDE!$B$8&gt;=20,FORSIDE!$F$8&gt;=6,FORSIDE!$B$5&gt;=8),"1614 -&gt; 1615","")</f>
        <v/>
      </c>
      <c r="C1469" t="str">
        <f>FORSIDE!$C$4</f>
        <v>S355, Stål / KFHUP 180x180x12.5</v>
      </c>
    </row>
    <row r="1470" spans="1:3" x14ac:dyDescent="0.3">
      <c r="A1470" t="str">
        <f>IF(AND(FORSIDE!$B$8&gt;=20,FORSIDE!$F$8&gt;=6,FORSIDE!$B$5&gt;=9),"S1469","")</f>
        <v/>
      </c>
      <c r="B1470" t="str">
        <f>IF(AND(FORSIDE!$B$8&gt;=20,FORSIDE!$F$8&gt;=6,FORSIDE!$B$5&gt;=9),"1615 -&gt; 1616","")</f>
        <v/>
      </c>
      <c r="C1470" t="str">
        <f>FORSIDE!$C$4</f>
        <v>S355, Stål / KFHUP 180x180x12.5</v>
      </c>
    </row>
    <row r="1471" spans="1:3" x14ac:dyDescent="0.3">
      <c r="A1471" t="str">
        <f>IF(AND(FORSIDE!$B$8&gt;=20,FORSIDE!$F$8&gt;=6,FORSIDE!$B$5&gt;=10),"S1470","")</f>
        <v/>
      </c>
      <c r="B1471" t="str">
        <f>IF(AND(FORSIDE!$B$8&gt;=20,FORSIDE!$F$8&gt;=6,FORSIDE!$B$5&gt;=10),"1616 -&gt; 1617","")</f>
        <v/>
      </c>
      <c r="C1471" t="str">
        <f>FORSIDE!$C$4</f>
        <v>S355, Stål / KFHUP 180x180x12.5</v>
      </c>
    </row>
    <row r="1472" spans="1:3" x14ac:dyDescent="0.3">
      <c r="A1472" t="str">
        <f>IF(AND(FORSIDE!$B$8&gt;=0,FORSIDE!$F$8&gt;=7,FORSIDE!$B$5&gt;=1),"S1471","")</f>
        <v/>
      </c>
      <c r="B1472" t="str">
        <f>IF(AND(FORSIDE!$B$8&gt;=0,FORSIDE!$F$8&gt;=7,FORSIDE!$B$5&gt;=1),"1618 -&gt; 1619","")</f>
        <v/>
      </c>
      <c r="C1472" t="str">
        <f>FORSIDE!$C$4</f>
        <v>S355, Stål / KFHUP 180x180x12.5</v>
      </c>
    </row>
    <row r="1473" spans="1:3" x14ac:dyDescent="0.3">
      <c r="A1473" t="str">
        <f>IF(AND(FORSIDE!$B$8&gt;=0,FORSIDE!$F$8&gt;=7,FORSIDE!$B$5&gt;=2),"S1472","")</f>
        <v/>
      </c>
      <c r="B1473" t="str">
        <f>IF(AND(FORSIDE!$B$8&gt;=0,FORSIDE!$F$8&gt;=7,FORSIDE!$B$5&gt;=2),"1619 -&gt; 1620","")</f>
        <v/>
      </c>
      <c r="C1473" t="str">
        <f>FORSIDE!$C$4</f>
        <v>S355, Stål / KFHUP 180x180x12.5</v>
      </c>
    </row>
    <row r="1474" spans="1:3" x14ac:dyDescent="0.3">
      <c r="A1474" t="str">
        <f>IF(AND(FORSIDE!$B$8&gt;=0,FORSIDE!$F$8&gt;=7,FORSIDE!$B$5&gt;=3),"S1473","")</f>
        <v/>
      </c>
      <c r="B1474" t="str">
        <f>IF(AND(FORSIDE!$B$8&gt;=0,FORSIDE!$F$8&gt;=7,FORSIDE!$B$5&gt;=3),"1620 -&gt; 1621","")</f>
        <v/>
      </c>
      <c r="C1474" t="str">
        <f>FORSIDE!$C$4</f>
        <v>S355, Stål / KFHUP 180x180x12.5</v>
      </c>
    </row>
    <row r="1475" spans="1:3" x14ac:dyDescent="0.3">
      <c r="A1475" t="str">
        <f>IF(AND(FORSIDE!$B$8&gt;=0,FORSIDE!$F$8&gt;=7,FORSIDE!$B$5&gt;=4),"S1474","")</f>
        <v/>
      </c>
      <c r="B1475" t="str">
        <f>IF(AND(FORSIDE!$B$8&gt;=0,FORSIDE!$F$8&gt;=7,FORSIDE!$B$5&gt;=4),"1621 -&gt; 1622","")</f>
        <v/>
      </c>
      <c r="C1475" t="str">
        <f>FORSIDE!$C$4</f>
        <v>S355, Stål / KFHUP 180x180x12.5</v>
      </c>
    </row>
    <row r="1476" spans="1:3" x14ac:dyDescent="0.3">
      <c r="A1476" t="str">
        <f>IF(AND(FORSIDE!$B$8&gt;=0,FORSIDE!$F$8&gt;=7,FORSIDE!$B$5&gt;=5),"S1475","")</f>
        <v/>
      </c>
      <c r="B1476" t="str">
        <f>IF(AND(FORSIDE!$B$8&gt;=0,FORSIDE!$F$8&gt;=7,FORSIDE!$B$5&gt;=5),"1622 -&gt; 1623","")</f>
        <v/>
      </c>
      <c r="C1476" t="str">
        <f>FORSIDE!$C$4</f>
        <v>S355, Stål / KFHUP 180x180x12.5</v>
      </c>
    </row>
    <row r="1477" spans="1:3" x14ac:dyDescent="0.3">
      <c r="A1477" t="str">
        <f>IF(AND(FORSIDE!$B$8&gt;=0,FORSIDE!$F$8&gt;=7,FORSIDE!$B$5&gt;=6),"S1476","")</f>
        <v/>
      </c>
      <c r="B1477" t="str">
        <f>IF(AND(FORSIDE!$B$8&gt;=0,FORSIDE!$F$8&gt;=7,FORSIDE!$B$5&gt;=6),"1623 -&gt; 1624","")</f>
        <v/>
      </c>
      <c r="C1477" t="str">
        <f>FORSIDE!$C$4</f>
        <v>S355, Stål / KFHUP 180x180x12.5</v>
      </c>
    </row>
    <row r="1478" spans="1:3" x14ac:dyDescent="0.3">
      <c r="A1478" t="str">
        <f>IF(AND(FORSIDE!$B$8&gt;=0,FORSIDE!$F$8&gt;=7,FORSIDE!$B$5&gt;=7),"S1477","")</f>
        <v/>
      </c>
      <c r="B1478" t="str">
        <f>IF(AND(FORSIDE!$B$8&gt;=0,FORSIDE!$F$8&gt;=7,FORSIDE!$B$5&gt;=7),"1624 -&gt; 1625","")</f>
        <v/>
      </c>
      <c r="C1478" t="str">
        <f>FORSIDE!$C$4</f>
        <v>S355, Stål / KFHUP 180x180x12.5</v>
      </c>
    </row>
    <row r="1479" spans="1:3" x14ac:dyDescent="0.3">
      <c r="A1479" t="str">
        <f>IF(AND(FORSIDE!$B$8&gt;=0,FORSIDE!$F$8&gt;=7,FORSIDE!$B$5&gt;=8),"S1478","")</f>
        <v/>
      </c>
      <c r="B1479" t="str">
        <f>IF(AND(FORSIDE!$B$8&gt;=0,FORSIDE!$F$8&gt;=7,FORSIDE!$B$5&gt;=8),"1625 -&gt; 1626","")</f>
        <v/>
      </c>
      <c r="C1479" t="str">
        <f>FORSIDE!$C$4</f>
        <v>S355, Stål / KFHUP 180x180x12.5</v>
      </c>
    </row>
    <row r="1480" spans="1:3" x14ac:dyDescent="0.3">
      <c r="A1480" t="str">
        <f>IF(AND(FORSIDE!$B$8&gt;=0,FORSIDE!$F$8&gt;=7,FORSIDE!$B$5&gt;=9),"S1479","")</f>
        <v/>
      </c>
      <c r="B1480" t="str">
        <f>IF(AND(FORSIDE!$B$8&gt;=0,FORSIDE!$F$8&gt;=7,FORSIDE!$B$5&gt;=9),"1626 -&gt; 1627","")</f>
        <v/>
      </c>
      <c r="C1480" t="str">
        <f>FORSIDE!$C$4</f>
        <v>S355, Stål / KFHUP 180x180x12.5</v>
      </c>
    </row>
    <row r="1481" spans="1:3" x14ac:dyDescent="0.3">
      <c r="A1481" t="str">
        <f>IF(AND(FORSIDE!$B$8&gt;=0,FORSIDE!$F$8&gt;=7,FORSIDE!$B$5&gt;=10),"S1480","")</f>
        <v/>
      </c>
      <c r="B1481" t="str">
        <f>IF(AND(FORSIDE!$B$8&gt;=0,FORSIDE!$F$8&gt;=7,FORSIDE!$B$5&gt;=10),"1627 -&gt; 1628","")</f>
        <v/>
      </c>
      <c r="C1481" t="str">
        <f>FORSIDE!$C$4</f>
        <v>S355, Stål / KFHUP 180x180x12.5</v>
      </c>
    </row>
    <row r="1482" spans="1:3" x14ac:dyDescent="0.3">
      <c r="A1482" t="str">
        <f>IF(AND(FORSIDE!$B$8&gt;=1,FORSIDE!$F$8&gt;=7,FORSIDE!$B$5&gt;=1),"S1481","")</f>
        <v/>
      </c>
      <c r="B1482" t="str">
        <f>IF(AND(FORSIDE!$B$8&gt;=1,FORSIDE!$F$8&gt;=7,FORSIDE!$B$5&gt;=1),"1629 -&gt; 1630","")</f>
        <v/>
      </c>
      <c r="C1482" t="str">
        <f>FORSIDE!$C$4</f>
        <v>S355, Stål / KFHUP 180x180x12.5</v>
      </c>
    </row>
    <row r="1483" spans="1:3" x14ac:dyDescent="0.3">
      <c r="A1483" t="str">
        <f>IF(AND(FORSIDE!$B$8&gt;=1,FORSIDE!$F$8&gt;=7,FORSIDE!$B$5&gt;=2),"S1482","")</f>
        <v/>
      </c>
      <c r="B1483" t="str">
        <f>IF(AND(FORSIDE!$B$8&gt;=1,FORSIDE!$F$8&gt;=7,FORSIDE!$B$5&gt;=2),"1630 -&gt; 1631","")</f>
        <v/>
      </c>
      <c r="C1483" t="str">
        <f>FORSIDE!$C$4</f>
        <v>S355, Stål / KFHUP 180x180x12.5</v>
      </c>
    </row>
    <row r="1484" spans="1:3" x14ac:dyDescent="0.3">
      <c r="A1484" t="str">
        <f>IF(AND(FORSIDE!$B$8&gt;=1,FORSIDE!$F$8&gt;=7,FORSIDE!$B$5&gt;=3),"S1483","")</f>
        <v/>
      </c>
      <c r="B1484" t="str">
        <f>IF(AND(FORSIDE!$B$8&gt;=1,FORSIDE!$F$8&gt;=7,FORSIDE!$B$5&gt;=3),"1631 -&gt; 1632","")</f>
        <v/>
      </c>
      <c r="C1484" t="str">
        <f>FORSIDE!$C$4</f>
        <v>S355, Stål / KFHUP 180x180x12.5</v>
      </c>
    </row>
    <row r="1485" spans="1:3" x14ac:dyDescent="0.3">
      <c r="A1485" t="str">
        <f>IF(AND(FORSIDE!$B$8&gt;=1,FORSIDE!$F$8&gt;=7,FORSIDE!$B$5&gt;=4),"S1484","")</f>
        <v/>
      </c>
      <c r="B1485" t="str">
        <f>IF(AND(FORSIDE!$B$8&gt;=1,FORSIDE!$F$8&gt;=7,FORSIDE!$B$5&gt;=4),"1632 -&gt; 1633","")</f>
        <v/>
      </c>
      <c r="C1485" t="str">
        <f>FORSIDE!$C$4</f>
        <v>S355, Stål / KFHUP 180x180x12.5</v>
      </c>
    </row>
    <row r="1486" spans="1:3" x14ac:dyDescent="0.3">
      <c r="A1486" t="str">
        <f>IF(AND(FORSIDE!$B$8&gt;=1,FORSIDE!$F$8&gt;=7,FORSIDE!$B$5&gt;=5),"S1485","")</f>
        <v/>
      </c>
      <c r="B1486" t="str">
        <f>IF(AND(FORSIDE!$B$8&gt;=1,FORSIDE!$F$8&gt;=7,FORSIDE!$B$5&gt;=5),"1633 -&gt; 1634","")</f>
        <v/>
      </c>
      <c r="C1486" t="str">
        <f>FORSIDE!$C$4</f>
        <v>S355, Stål / KFHUP 180x180x12.5</v>
      </c>
    </row>
    <row r="1487" spans="1:3" x14ac:dyDescent="0.3">
      <c r="A1487" t="str">
        <f>IF(AND(FORSIDE!$B$8&gt;=1,FORSIDE!$F$8&gt;=7,FORSIDE!$B$5&gt;=6),"S1486","")</f>
        <v/>
      </c>
      <c r="B1487" t="str">
        <f>IF(AND(FORSIDE!$B$8&gt;=1,FORSIDE!$F$8&gt;=7,FORSIDE!$B$5&gt;=6),"1634 -&gt; 1635","")</f>
        <v/>
      </c>
      <c r="C1487" t="str">
        <f>FORSIDE!$C$4</f>
        <v>S355, Stål / KFHUP 180x180x12.5</v>
      </c>
    </row>
    <row r="1488" spans="1:3" x14ac:dyDescent="0.3">
      <c r="A1488" t="str">
        <f>IF(AND(FORSIDE!$B$8&gt;=1,FORSIDE!$F$8&gt;=7,FORSIDE!$B$5&gt;=7),"S1487","")</f>
        <v/>
      </c>
      <c r="B1488" t="str">
        <f>IF(AND(FORSIDE!$B$8&gt;=1,FORSIDE!$F$8&gt;=7,FORSIDE!$B$5&gt;=7),"1635 -&gt; 1636","")</f>
        <v/>
      </c>
      <c r="C1488" t="str">
        <f>FORSIDE!$C$4</f>
        <v>S355, Stål / KFHUP 180x180x12.5</v>
      </c>
    </row>
    <row r="1489" spans="1:3" x14ac:dyDescent="0.3">
      <c r="A1489" t="str">
        <f>IF(AND(FORSIDE!$B$8&gt;=1,FORSIDE!$F$8&gt;=7,FORSIDE!$B$5&gt;=8),"S1488","")</f>
        <v/>
      </c>
      <c r="B1489" t="str">
        <f>IF(AND(FORSIDE!$B$8&gt;=1,FORSIDE!$F$8&gt;=7,FORSIDE!$B$5&gt;=8),"1636 -&gt; 1637","")</f>
        <v/>
      </c>
      <c r="C1489" t="str">
        <f>FORSIDE!$C$4</f>
        <v>S355, Stål / KFHUP 180x180x12.5</v>
      </c>
    </row>
    <row r="1490" spans="1:3" x14ac:dyDescent="0.3">
      <c r="A1490" t="str">
        <f>IF(AND(FORSIDE!$B$8&gt;=1,FORSIDE!$F$8&gt;=7,FORSIDE!$B$5&gt;=9),"S1489","")</f>
        <v/>
      </c>
      <c r="B1490" t="str">
        <f>IF(AND(FORSIDE!$B$8&gt;=1,FORSIDE!$F$8&gt;=7,FORSIDE!$B$5&gt;=9),"1637 -&gt; 1638","")</f>
        <v/>
      </c>
      <c r="C1490" t="str">
        <f>FORSIDE!$C$4</f>
        <v>S355, Stål / KFHUP 180x180x12.5</v>
      </c>
    </row>
    <row r="1491" spans="1:3" x14ac:dyDescent="0.3">
      <c r="A1491" t="str">
        <f>IF(AND(FORSIDE!$B$8&gt;=1,FORSIDE!$F$8&gt;=7,FORSIDE!$B$5&gt;=10),"S1490","")</f>
        <v/>
      </c>
      <c r="B1491" t="str">
        <f>IF(AND(FORSIDE!$B$8&gt;=1,FORSIDE!$F$8&gt;=7,FORSIDE!$B$5&gt;=10),"1638 -&gt; 1639","")</f>
        <v/>
      </c>
      <c r="C1491" t="str">
        <f>FORSIDE!$C$4</f>
        <v>S355, Stål / KFHUP 180x180x12.5</v>
      </c>
    </row>
    <row r="1492" spans="1:3" x14ac:dyDescent="0.3">
      <c r="A1492" t="str">
        <f>IF(AND(FORSIDE!$B$8&gt;=2,FORSIDE!$F$8&gt;=7,FORSIDE!$B$5&gt;=1),"S1491","")</f>
        <v/>
      </c>
      <c r="B1492" t="str">
        <f>IF(AND(FORSIDE!$B$8&gt;=2,FORSIDE!$F$8&gt;=7,FORSIDE!$B$5&gt;=1),"1640 -&gt; 1641","")</f>
        <v/>
      </c>
      <c r="C1492" t="str">
        <f>FORSIDE!$C$4</f>
        <v>S355, Stål / KFHUP 180x180x12.5</v>
      </c>
    </row>
    <row r="1493" spans="1:3" x14ac:dyDescent="0.3">
      <c r="A1493" t="str">
        <f>IF(AND(FORSIDE!$B$8&gt;=2,FORSIDE!$F$8&gt;=7,FORSIDE!$B$5&gt;=2),"S1492","")</f>
        <v/>
      </c>
      <c r="B1493" t="str">
        <f>IF(AND(FORSIDE!$B$8&gt;=2,FORSIDE!$F$8&gt;=7,FORSIDE!$B$5&gt;=2),"1641 -&gt; 1642","")</f>
        <v/>
      </c>
      <c r="C1493" t="str">
        <f>FORSIDE!$C$4</f>
        <v>S355, Stål / KFHUP 180x180x12.5</v>
      </c>
    </row>
    <row r="1494" spans="1:3" x14ac:dyDescent="0.3">
      <c r="A1494" t="str">
        <f>IF(AND(FORSIDE!$B$8&gt;=2,FORSIDE!$F$8&gt;=7,FORSIDE!$B$5&gt;=3),"S1493","")</f>
        <v/>
      </c>
      <c r="B1494" t="str">
        <f>IF(AND(FORSIDE!$B$8&gt;=2,FORSIDE!$F$8&gt;=7,FORSIDE!$B$5&gt;=3),"1642 -&gt; 1643","")</f>
        <v/>
      </c>
      <c r="C1494" t="str">
        <f>FORSIDE!$C$4</f>
        <v>S355, Stål / KFHUP 180x180x12.5</v>
      </c>
    </row>
    <row r="1495" spans="1:3" x14ac:dyDescent="0.3">
      <c r="A1495" t="str">
        <f>IF(AND(FORSIDE!$B$8&gt;=2,FORSIDE!$F$8&gt;=7,FORSIDE!$B$5&gt;=4),"S1494","")</f>
        <v/>
      </c>
      <c r="B1495" t="str">
        <f>IF(AND(FORSIDE!$B$8&gt;=2,FORSIDE!$F$8&gt;=7,FORSIDE!$B$5&gt;=4),"1643 -&gt; 1644","")</f>
        <v/>
      </c>
      <c r="C1495" t="str">
        <f>FORSIDE!$C$4</f>
        <v>S355, Stål / KFHUP 180x180x12.5</v>
      </c>
    </row>
    <row r="1496" spans="1:3" x14ac:dyDescent="0.3">
      <c r="A1496" t="str">
        <f>IF(AND(FORSIDE!$B$8&gt;=2,FORSIDE!$F$8&gt;=7,FORSIDE!$B$5&gt;=5),"S1495","")</f>
        <v/>
      </c>
      <c r="B1496" t="str">
        <f>IF(AND(FORSIDE!$B$8&gt;=2,FORSIDE!$F$8&gt;=7,FORSIDE!$B$5&gt;=5),"1644 -&gt; 1645","")</f>
        <v/>
      </c>
      <c r="C1496" t="str">
        <f>FORSIDE!$C$4</f>
        <v>S355, Stål / KFHUP 180x180x12.5</v>
      </c>
    </row>
    <row r="1497" spans="1:3" x14ac:dyDescent="0.3">
      <c r="A1497" t="str">
        <f>IF(AND(FORSIDE!$B$8&gt;=2,FORSIDE!$F$8&gt;=7,FORSIDE!$B$5&gt;=6),"S1496","")</f>
        <v/>
      </c>
      <c r="B1497" t="str">
        <f>IF(AND(FORSIDE!$B$8&gt;=2,FORSIDE!$F$8&gt;=7,FORSIDE!$B$5&gt;=6),"1645 -&gt; 1646","")</f>
        <v/>
      </c>
      <c r="C1497" t="str">
        <f>FORSIDE!$C$4</f>
        <v>S355, Stål / KFHUP 180x180x12.5</v>
      </c>
    </row>
    <row r="1498" spans="1:3" x14ac:dyDescent="0.3">
      <c r="A1498" t="str">
        <f>IF(AND(FORSIDE!$B$8&gt;=2,FORSIDE!$F$8&gt;=7,FORSIDE!$B$5&gt;=7),"S1497","")</f>
        <v/>
      </c>
      <c r="B1498" t="str">
        <f>IF(AND(FORSIDE!$B$8&gt;=2,FORSIDE!$F$8&gt;=7,FORSIDE!$B$5&gt;=7),"1646 -&gt; 1647","")</f>
        <v/>
      </c>
      <c r="C1498" t="str">
        <f>FORSIDE!$C$4</f>
        <v>S355, Stål / KFHUP 180x180x12.5</v>
      </c>
    </row>
    <row r="1499" spans="1:3" x14ac:dyDescent="0.3">
      <c r="A1499" t="str">
        <f>IF(AND(FORSIDE!$B$8&gt;=2,FORSIDE!$F$8&gt;=7,FORSIDE!$B$5&gt;=8),"S1498","")</f>
        <v/>
      </c>
      <c r="B1499" t="str">
        <f>IF(AND(FORSIDE!$B$8&gt;=2,FORSIDE!$F$8&gt;=7,FORSIDE!$B$5&gt;=8),"1647 -&gt; 1648","")</f>
        <v/>
      </c>
      <c r="C1499" t="str">
        <f>FORSIDE!$C$4</f>
        <v>S355, Stål / KFHUP 180x180x12.5</v>
      </c>
    </row>
    <row r="1500" spans="1:3" x14ac:dyDescent="0.3">
      <c r="A1500" t="str">
        <f>IF(AND(FORSIDE!$B$8&gt;=2,FORSIDE!$F$8&gt;=7,FORSIDE!$B$5&gt;=9),"S1499","")</f>
        <v/>
      </c>
      <c r="B1500" t="str">
        <f>IF(AND(FORSIDE!$B$8&gt;=2,FORSIDE!$F$8&gt;=7,FORSIDE!$B$5&gt;=9),"1648 -&gt; 1649","")</f>
        <v/>
      </c>
      <c r="C1500" t="str">
        <f>FORSIDE!$C$4</f>
        <v>S355, Stål / KFHUP 180x180x12.5</v>
      </c>
    </row>
    <row r="1501" spans="1:3" x14ac:dyDescent="0.3">
      <c r="A1501" t="str">
        <f>IF(AND(FORSIDE!$B$8&gt;=2,FORSIDE!$F$8&gt;=7,FORSIDE!$B$5&gt;=10),"S1500","")</f>
        <v/>
      </c>
      <c r="B1501" t="str">
        <f>IF(AND(FORSIDE!$B$8&gt;=2,FORSIDE!$F$8&gt;=7,FORSIDE!$B$5&gt;=10),"1649 -&gt; 1650","")</f>
        <v/>
      </c>
      <c r="C1501" t="str">
        <f>FORSIDE!$C$4</f>
        <v>S355, Stål / KFHUP 180x180x12.5</v>
      </c>
    </row>
    <row r="1502" spans="1:3" x14ac:dyDescent="0.3">
      <c r="A1502" t="str">
        <f>IF(AND(FORSIDE!$B$8&gt;=3,FORSIDE!$F$8&gt;=7,FORSIDE!$B$5&gt;=1),"S1501","")</f>
        <v/>
      </c>
      <c r="B1502" t="str">
        <f>IF(AND(FORSIDE!$B$8&gt;=3,FORSIDE!$F$8&gt;=7,FORSIDE!$B$5&gt;=1),"1651 -&gt; 1652","")</f>
        <v/>
      </c>
      <c r="C1502" t="str">
        <f>FORSIDE!$C$4</f>
        <v>S355, Stål / KFHUP 180x180x12.5</v>
      </c>
    </row>
    <row r="1503" spans="1:3" x14ac:dyDescent="0.3">
      <c r="A1503" t="str">
        <f>IF(AND(FORSIDE!$B$8&gt;=3,FORSIDE!$F$8&gt;=7,FORSIDE!$B$5&gt;=2),"S1502","")</f>
        <v/>
      </c>
      <c r="B1503" t="str">
        <f>IF(AND(FORSIDE!$B$8&gt;=3,FORSIDE!$F$8&gt;=7,FORSIDE!$B$5&gt;=2),"1652 -&gt; 1653","")</f>
        <v/>
      </c>
      <c r="C1503" t="str">
        <f>FORSIDE!$C$4</f>
        <v>S355, Stål / KFHUP 180x180x12.5</v>
      </c>
    </row>
    <row r="1504" spans="1:3" x14ac:dyDescent="0.3">
      <c r="A1504" t="str">
        <f>IF(AND(FORSIDE!$B$8&gt;=3,FORSIDE!$F$8&gt;=7,FORSIDE!$B$5&gt;=3),"S1503","")</f>
        <v/>
      </c>
      <c r="B1504" t="str">
        <f>IF(AND(FORSIDE!$B$8&gt;=3,FORSIDE!$F$8&gt;=7,FORSIDE!$B$5&gt;=3),"1653 -&gt; 1654","")</f>
        <v/>
      </c>
      <c r="C1504" t="str">
        <f>FORSIDE!$C$4</f>
        <v>S355, Stål / KFHUP 180x180x12.5</v>
      </c>
    </row>
    <row r="1505" spans="1:3" x14ac:dyDescent="0.3">
      <c r="A1505" t="str">
        <f>IF(AND(FORSIDE!$B$8&gt;=3,FORSIDE!$F$8&gt;=7,FORSIDE!$B$5&gt;=4),"S1504","")</f>
        <v/>
      </c>
      <c r="B1505" t="str">
        <f>IF(AND(FORSIDE!$B$8&gt;=3,FORSIDE!$F$8&gt;=7,FORSIDE!$B$5&gt;=4),"1654 -&gt; 1655","")</f>
        <v/>
      </c>
      <c r="C1505" t="str">
        <f>FORSIDE!$C$4</f>
        <v>S355, Stål / KFHUP 180x180x12.5</v>
      </c>
    </row>
    <row r="1506" spans="1:3" x14ac:dyDescent="0.3">
      <c r="A1506" t="str">
        <f>IF(AND(FORSIDE!$B$8&gt;=3,FORSIDE!$F$8&gt;=7,FORSIDE!$B$5&gt;=5),"S1505","")</f>
        <v/>
      </c>
      <c r="B1506" t="str">
        <f>IF(AND(FORSIDE!$B$8&gt;=3,FORSIDE!$F$8&gt;=7,FORSIDE!$B$5&gt;=5),"1655 -&gt; 1656","")</f>
        <v/>
      </c>
      <c r="C1506" t="str">
        <f>FORSIDE!$C$4</f>
        <v>S355, Stål / KFHUP 180x180x12.5</v>
      </c>
    </row>
    <row r="1507" spans="1:3" x14ac:dyDescent="0.3">
      <c r="A1507" t="str">
        <f>IF(AND(FORSIDE!$B$8&gt;=3,FORSIDE!$F$8&gt;=7,FORSIDE!$B$5&gt;=6),"S1506","")</f>
        <v/>
      </c>
      <c r="B1507" t="str">
        <f>IF(AND(FORSIDE!$B$8&gt;=3,FORSIDE!$F$8&gt;=7,FORSIDE!$B$5&gt;=6),"1656 -&gt; 1657","")</f>
        <v/>
      </c>
      <c r="C1507" t="str">
        <f>FORSIDE!$C$4</f>
        <v>S355, Stål / KFHUP 180x180x12.5</v>
      </c>
    </row>
    <row r="1508" spans="1:3" x14ac:dyDescent="0.3">
      <c r="A1508" t="str">
        <f>IF(AND(FORSIDE!$B$8&gt;=3,FORSIDE!$F$8&gt;=7,FORSIDE!$B$5&gt;=7),"S1507","")</f>
        <v/>
      </c>
      <c r="B1508" t="str">
        <f>IF(AND(FORSIDE!$B$8&gt;=3,FORSIDE!$F$8&gt;=7,FORSIDE!$B$5&gt;=7),"1657 -&gt; 1658","")</f>
        <v/>
      </c>
      <c r="C1508" t="str">
        <f>FORSIDE!$C$4</f>
        <v>S355, Stål / KFHUP 180x180x12.5</v>
      </c>
    </row>
    <row r="1509" spans="1:3" x14ac:dyDescent="0.3">
      <c r="A1509" t="str">
        <f>IF(AND(FORSIDE!$B$8&gt;=3,FORSIDE!$F$8&gt;=7,FORSIDE!$B$5&gt;=8),"S1508","")</f>
        <v/>
      </c>
      <c r="B1509" t="str">
        <f>IF(AND(FORSIDE!$B$8&gt;=3,FORSIDE!$F$8&gt;=7,FORSIDE!$B$5&gt;=8),"1658 -&gt; 1659","")</f>
        <v/>
      </c>
      <c r="C1509" t="str">
        <f>FORSIDE!$C$4</f>
        <v>S355, Stål / KFHUP 180x180x12.5</v>
      </c>
    </row>
    <row r="1510" spans="1:3" x14ac:dyDescent="0.3">
      <c r="A1510" t="str">
        <f>IF(AND(FORSIDE!$B$8&gt;=3,FORSIDE!$F$8&gt;=7,FORSIDE!$B$5&gt;=9),"S1509","")</f>
        <v/>
      </c>
      <c r="B1510" t="str">
        <f>IF(AND(FORSIDE!$B$8&gt;=3,FORSIDE!$F$8&gt;=7,FORSIDE!$B$5&gt;=9),"1659 -&gt; 1660","")</f>
        <v/>
      </c>
      <c r="C1510" t="str">
        <f>FORSIDE!$C$4</f>
        <v>S355, Stål / KFHUP 180x180x12.5</v>
      </c>
    </row>
    <row r="1511" spans="1:3" x14ac:dyDescent="0.3">
      <c r="A1511" t="str">
        <f>IF(AND(FORSIDE!$B$8&gt;=3,FORSIDE!$F$8&gt;=7,FORSIDE!$B$5&gt;=10),"S1510","")</f>
        <v/>
      </c>
      <c r="B1511" t="str">
        <f>IF(AND(FORSIDE!$B$8&gt;=3,FORSIDE!$F$8&gt;=7,FORSIDE!$B$5&gt;=10),"1660 -&gt; 1661","")</f>
        <v/>
      </c>
      <c r="C1511" t="str">
        <f>FORSIDE!$C$4</f>
        <v>S355, Stål / KFHUP 180x180x12.5</v>
      </c>
    </row>
    <row r="1512" spans="1:3" x14ac:dyDescent="0.3">
      <c r="A1512" t="str">
        <f>IF(AND(FORSIDE!$B$8&gt;=4,FORSIDE!$F$8&gt;=7,FORSIDE!$B$5&gt;=1),"S1511","")</f>
        <v/>
      </c>
      <c r="B1512" t="str">
        <f>IF(AND(FORSIDE!$B$8&gt;=4,FORSIDE!$F$8&gt;=7,FORSIDE!$B$5&gt;=1),"1662 -&gt; 1663","")</f>
        <v/>
      </c>
      <c r="C1512" t="str">
        <f>FORSIDE!$C$4</f>
        <v>S355, Stål / KFHUP 180x180x12.5</v>
      </c>
    </row>
    <row r="1513" spans="1:3" x14ac:dyDescent="0.3">
      <c r="A1513" t="str">
        <f>IF(AND(FORSIDE!$B$8&gt;=4,FORSIDE!$F$8&gt;=7,FORSIDE!$B$5&gt;=2),"S1512","")</f>
        <v/>
      </c>
      <c r="B1513" t="str">
        <f>IF(AND(FORSIDE!$B$8&gt;=4,FORSIDE!$F$8&gt;=7,FORSIDE!$B$5&gt;=2),"1663 -&gt; 1664","")</f>
        <v/>
      </c>
      <c r="C1513" t="str">
        <f>FORSIDE!$C$4</f>
        <v>S355, Stål / KFHUP 180x180x12.5</v>
      </c>
    </row>
    <row r="1514" spans="1:3" x14ac:dyDescent="0.3">
      <c r="A1514" t="str">
        <f>IF(AND(FORSIDE!$B$8&gt;=4,FORSIDE!$F$8&gt;=7,FORSIDE!$B$5&gt;=3),"S1513","")</f>
        <v/>
      </c>
      <c r="B1514" t="str">
        <f>IF(AND(FORSIDE!$B$8&gt;=4,FORSIDE!$F$8&gt;=7,FORSIDE!$B$5&gt;=3),"1664 -&gt; 1665","")</f>
        <v/>
      </c>
      <c r="C1514" t="str">
        <f>FORSIDE!$C$4</f>
        <v>S355, Stål / KFHUP 180x180x12.5</v>
      </c>
    </row>
    <row r="1515" spans="1:3" x14ac:dyDescent="0.3">
      <c r="A1515" t="str">
        <f>IF(AND(FORSIDE!$B$8&gt;=4,FORSIDE!$F$8&gt;=7,FORSIDE!$B$5&gt;=4),"S1514","")</f>
        <v/>
      </c>
      <c r="B1515" t="str">
        <f>IF(AND(FORSIDE!$B$8&gt;=4,FORSIDE!$F$8&gt;=7,FORSIDE!$B$5&gt;=4),"1665 -&gt; 1666","")</f>
        <v/>
      </c>
      <c r="C1515" t="str">
        <f>FORSIDE!$C$4</f>
        <v>S355, Stål / KFHUP 180x180x12.5</v>
      </c>
    </row>
    <row r="1516" spans="1:3" x14ac:dyDescent="0.3">
      <c r="A1516" t="str">
        <f>IF(AND(FORSIDE!$B$8&gt;=4,FORSIDE!$F$8&gt;=7,FORSIDE!$B$5&gt;=5),"S1515","")</f>
        <v/>
      </c>
      <c r="B1516" t="str">
        <f>IF(AND(FORSIDE!$B$8&gt;=4,FORSIDE!$F$8&gt;=7,FORSIDE!$B$5&gt;=5),"1666 -&gt; 1667","")</f>
        <v/>
      </c>
      <c r="C1516" t="str">
        <f>FORSIDE!$C$4</f>
        <v>S355, Stål / KFHUP 180x180x12.5</v>
      </c>
    </row>
    <row r="1517" spans="1:3" x14ac:dyDescent="0.3">
      <c r="A1517" t="str">
        <f>IF(AND(FORSIDE!$B$8&gt;=4,FORSIDE!$F$8&gt;=7,FORSIDE!$B$5&gt;=6),"S1516","")</f>
        <v/>
      </c>
      <c r="B1517" t="str">
        <f>IF(AND(FORSIDE!$B$8&gt;=4,FORSIDE!$F$8&gt;=7,FORSIDE!$B$5&gt;=6),"1667 -&gt; 1668","")</f>
        <v/>
      </c>
      <c r="C1517" t="str">
        <f>FORSIDE!$C$4</f>
        <v>S355, Stål / KFHUP 180x180x12.5</v>
      </c>
    </row>
    <row r="1518" spans="1:3" x14ac:dyDescent="0.3">
      <c r="A1518" t="str">
        <f>IF(AND(FORSIDE!$B$8&gt;=4,FORSIDE!$F$8&gt;=7,FORSIDE!$B$5&gt;=7),"S1517","")</f>
        <v/>
      </c>
      <c r="B1518" t="str">
        <f>IF(AND(FORSIDE!$B$8&gt;=4,FORSIDE!$F$8&gt;=7,FORSIDE!$B$5&gt;=7),"1668 -&gt; 1669","")</f>
        <v/>
      </c>
      <c r="C1518" t="str">
        <f>FORSIDE!$C$4</f>
        <v>S355, Stål / KFHUP 180x180x12.5</v>
      </c>
    </row>
    <row r="1519" spans="1:3" x14ac:dyDescent="0.3">
      <c r="A1519" t="str">
        <f>IF(AND(FORSIDE!$B$8&gt;=4,FORSIDE!$F$8&gt;=7,FORSIDE!$B$5&gt;=8),"S1518","")</f>
        <v/>
      </c>
      <c r="B1519" t="str">
        <f>IF(AND(FORSIDE!$B$8&gt;=4,FORSIDE!$F$8&gt;=7,FORSIDE!$B$5&gt;=8),"1669 -&gt; 1670","")</f>
        <v/>
      </c>
      <c r="C1519" t="str">
        <f>FORSIDE!$C$4</f>
        <v>S355, Stål / KFHUP 180x180x12.5</v>
      </c>
    </row>
    <row r="1520" spans="1:3" x14ac:dyDescent="0.3">
      <c r="A1520" t="str">
        <f>IF(AND(FORSIDE!$B$8&gt;=4,FORSIDE!$F$8&gt;=7,FORSIDE!$B$5&gt;=9),"S1519","")</f>
        <v/>
      </c>
      <c r="B1520" t="str">
        <f>IF(AND(FORSIDE!$B$8&gt;=4,FORSIDE!$F$8&gt;=7,FORSIDE!$B$5&gt;=9),"1670 -&gt; 1671","")</f>
        <v/>
      </c>
      <c r="C1520" t="str">
        <f>FORSIDE!$C$4</f>
        <v>S355, Stål / KFHUP 180x180x12.5</v>
      </c>
    </row>
    <row r="1521" spans="1:3" x14ac:dyDescent="0.3">
      <c r="A1521" t="str">
        <f>IF(AND(FORSIDE!$B$8&gt;=4,FORSIDE!$F$8&gt;=7,FORSIDE!$B$5&gt;=10),"S1520","")</f>
        <v/>
      </c>
      <c r="B1521" t="str">
        <f>IF(AND(FORSIDE!$B$8&gt;=4,FORSIDE!$F$8&gt;=7,FORSIDE!$B$5&gt;=10),"1671 -&gt; 1672","")</f>
        <v/>
      </c>
      <c r="C1521" t="str">
        <f>FORSIDE!$C$4</f>
        <v>S355, Stål / KFHUP 180x180x12.5</v>
      </c>
    </row>
    <row r="1522" spans="1:3" x14ac:dyDescent="0.3">
      <c r="A1522" t="str">
        <f>IF(AND(FORSIDE!$B$8&gt;=5,FORSIDE!$F$8&gt;=7,FORSIDE!$B$5&gt;=1),"S1521","")</f>
        <v/>
      </c>
      <c r="B1522" t="str">
        <f>IF(AND(FORSIDE!$B$8&gt;=5,FORSIDE!$F$8&gt;=7,FORSIDE!$B$5&gt;=1),"1673 -&gt; 1674","")</f>
        <v/>
      </c>
      <c r="C1522" t="str">
        <f>FORSIDE!$C$4</f>
        <v>S355, Stål / KFHUP 180x180x12.5</v>
      </c>
    </row>
    <row r="1523" spans="1:3" x14ac:dyDescent="0.3">
      <c r="A1523" t="str">
        <f>IF(AND(FORSIDE!$B$8&gt;=5,FORSIDE!$F$8&gt;=7,FORSIDE!$B$5&gt;=2),"S1522","")</f>
        <v/>
      </c>
      <c r="B1523" t="str">
        <f>IF(AND(FORSIDE!$B$8&gt;=5,FORSIDE!$F$8&gt;=7,FORSIDE!$B$5&gt;=2),"1674 -&gt; 1675","")</f>
        <v/>
      </c>
      <c r="C1523" t="str">
        <f>FORSIDE!$C$4</f>
        <v>S355, Stål / KFHUP 180x180x12.5</v>
      </c>
    </row>
    <row r="1524" spans="1:3" x14ac:dyDescent="0.3">
      <c r="A1524" t="str">
        <f>IF(AND(FORSIDE!$B$8&gt;=5,FORSIDE!$F$8&gt;=7,FORSIDE!$B$5&gt;=3),"S1523","")</f>
        <v/>
      </c>
      <c r="B1524" t="str">
        <f>IF(AND(FORSIDE!$B$8&gt;=5,FORSIDE!$F$8&gt;=7,FORSIDE!$B$5&gt;=3),"1675 -&gt; 1676","")</f>
        <v/>
      </c>
      <c r="C1524" t="str">
        <f>FORSIDE!$C$4</f>
        <v>S355, Stål / KFHUP 180x180x12.5</v>
      </c>
    </row>
    <row r="1525" spans="1:3" x14ac:dyDescent="0.3">
      <c r="A1525" t="str">
        <f>IF(AND(FORSIDE!$B$8&gt;=5,FORSIDE!$F$8&gt;=7,FORSIDE!$B$5&gt;=4),"S1524","")</f>
        <v/>
      </c>
      <c r="B1525" t="str">
        <f>IF(AND(FORSIDE!$B$8&gt;=5,FORSIDE!$F$8&gt;=7,FORSIDE!$B$5&gt;=4),"1676 -&gt; 1677","")</f>
        <v/>
      </c>
      <c r="C1525" t="str">
        <f>FORSIDE!$C$4</f>
        <v>S355, Stål / KFHUP 180x180x12.5</v>
      </c>
    </row>
    <row r="1526" spans="1:3" x14ac:dyDescent="0.3">
      <c r="A1526" t="str">
        <f>IF(AND(FORSIDE!$B$8&gt;=5,FORSIDE!$F$8&gt;=7,FORSIDE!$B$5&gt;=5),"S1525","")</f>
        <v/>
      </c>
      <c r="B1526" t="str">
        <f>IF(AND(FORSIDE!$B$8&gt;=5,FORSIDE!$F$8&gt;=7,FORSIDE!$B$5&gt;=5),"1677 -&gt; 1678","")</f>
        <v/>
      </c>
      <c r="C1526" t="str">
        <f>FORSIDE!$C$4</f>
        <v>S355, Stål / KFHUP 180x180x12.5</v>
      </c>
    </row>
    <row r="1527" spans="1:3" x14ac:dyDescent="0.3">
      <c r="A1527" t="str">
        <f>IF(AND(FORSIDE!$B$8&gt;=5,FORSIDE!$F$8&gt;=7,FORSIDE!$B$5&gt;=6),"S1526","")</f>
        <v/>
      </c>
      <c r="B1527" t="str">
        <f>IF(AND(FORSIDE!$B$8&gt;=5,FORSIDE!$F$8&gt;=7,FORSIDE!$B$5&gt;=6),"1678 -&gt; 1679","")</f>
        <v/>
      </c>
      <c r="C1527" t="str">
        <f>FORSIDE!$C$4</f>
        <v>S355, Stål / KFHUP 180x180x12.5</v>
      </c>
    </row>
    <row r="1528" spans="1:3" x14ac:dyDescent="0.3">
      <c r="A1528" t="str">
        <f>IF(AND(FORSIDE!$B$8&gt;=5,FORSIDE!$F$8&gt;=7,FORSIDE!$B$5&gt;=7),"S1527","")</f>
        <v/>
      </c>
      <c r="B1528" t="str">
        <f>IF(AND(FORSIDE!$B$8&gt;=5,FORSIDE!$F$8&gt;=7,FORSIDE!$B$5&gt;=7),"1679 -&gt; 1680","")</f>
        <v/>
      </c>
      <c r="C1528" t="str">
        <f>FORSIDE!$C$4</f>
        <v>S355, Stål / KFHUP 180x180x12.5</v>
      </c>
    </row>
    <row r="1529" spans="1:3" x14ac:dyDescent="0.3">
      <c r="A1529" t="str">
        <f>IF(AND(FORSIDE!$B$8&gt;=5,FORSIDE!$F$8&gt;=7,FORSIDE!$B$5&gt;=8),"S1528","")</f>
        <v/>
      </c>
      <c r="B1529" t="str">
        <f>IF(AND(FORSIDE!$B$8&gt;=5,FORSIDE!$F$8&gt;=7,FORSIDE!$B$5&gt;=8),"1680 -&gt; 1681","")</f>
        <v/>
      </c>
      <c r="C1529" t="str">
        <f>FORSIDE!$C$4</f>
        <v>S355, Stål / KFHUP 180x180x12.5</v>
      </c>
    </row>
    <row r="1530" spans="1:3" x14ac:dyDescent="0.3">
      <c r="A1530" t="str">
        <f>IF(AND(FORSIDE!$B$8&gt;=5,FORSIDE!$F$8&gt;=7,FORSIDE!$B$5&gt;=9),"S1529","")</f>
        <v/>
      </c>
      <c r="B1530" t="str">
        <f>IF(AND(FORSIDE!$B$8&gt;=5,FORSIDE!$F$8&gt;=7,FORSIDE!$B$5&gt;=9),"1681 -&gt; 1682","")</f>
        <v/>
      </c>
      <c r="C1530" t="str">
        <f>FORSIDE!$C$4</f>
        <v>S355, Stål / KFHUP 180x180x12.5</v>
      </c>
    </row>
    <row r="1531" spans="1:3" x14ac:dyDescent="0.3">
      <c r="A1531" t="str">
        <f>IF(AND(FORSIDE!$B$8&gt;=5,FORSIDE!$F$8&gt;=7,FORSIDE!$B$5&gt;=10),"S1530","")</f>
        <v/>
      </c>
      <c r="B1531" t="str">
        <f>IF(AND(FORSIDE!$B$8&gt;=5,FORSIDE!$F$8&gt;=7,FORSIDE!$B$5&gt;=10),"1682 -&gt; 1683","")</f>
        <v/>
      </c>
      <c r="C1531" t="str">
        <f>FORSIDE!$C$4</f>
        <v>S355, Stål / KFHUP 180x180x12.5</v>
      </c>
    </row>
    <row r="1532" spans="1:3" x14ac:dyDescent="0.3">
      <c r="A1532" t="str">
        <f>IF(AND(FORSIDE!$B$8&gt;=6,FORSIDE!$F$8&gt;=7,FORSIDE!$B$5&gt;=1),"S1531","")</f>
        <v/>
      </c>
      <c r="B1532" t="str">
        <f>IF(AND(FORSIDE!$B$8&gt;=6,FORSIDE!$F$8&gt;=7,FORSIDE!$B$5&gt;=1),"1684 -&gt; 1685","")</f>
        <v/>
      </c>
      <c r="C1532" t="str">
        <f>FORSIDE!$C$4</f>
        <v>S355, Stål / KFHUP 180x180x12.5</v>
      </c>
    </row>
    <row r="1533" spans="1:3" x14ac:dyDescent="0.3">
      <c r="A1533" t="str">
        <f>IF(AND(FORSIDE!$B$8&gt;=6,FORSIDE!$F$8&gt;=7,FORSIDE!$B$5&gt;=2),"S1532","")</f>
        <v/>
      </c>
      <c r="B1533" t="str">
        <f>IF(AND(FORSIDE!$B$8&gt;=6,FORSIDE!$F$8&gt;=7,FORSIDE!$B$5&gt;=2),"1685 -&gt; 1686","")</f>
        <v/>
      </c>
      <c r="C1533" t="str">
        <f>FORSIDE!$C$4</f>
        <v>S355, Stål / KFHUP 180x180x12.5</v>
      </c>
    </row>
    <row r="1534" spans="1:3" x14ac:dyDescent="0.3">
      <c r="A1534" t="str">
        <f>IF(AND(FORSIDE!$B$8&gt;=6,FORSIDE!$F$8&gt;=7,FORSIDE!$B$5&gt;=3),"S1533","")</f>
        <v/>
      </c>
      <c r="B1534" t="str">
        <f>IF(AND(FORSIDE!$B$8&gt;=6,FORSIDE!$F$8&gt;=7,FORSIDE!$B$5&gt;=3),"1686 -&gt; 1687","")</f>
        <v/>
      </c>
      <c r="C1534" t="str">
        <f>FORSIDE!$C$4</f>
        <v>S355, Stål / KFHUP 180x180x12.5</v>
      </c>
    </row>
    <row r="1535" spans="1:3" x14ac:dyDescent="0.3">
      <c r="A1535" t="str">
        <f>IF(AND(FORSIDE!$B$8&gt;=6,FORSIDE!$F$8&gt;=7,FORSIDE!$B$5&gt;=4),"S1534","")</f>
        <v/>
      </c>
      <c r="B1535" t="str">
        <f>IF(AND(FORSIDE!$B$8&gt;=6,FORSIDE!$F$8&gt;=7,FORSIDE!$B$5&gt;=4),"1687 -&gt; 1688","")</f>
        <v/>
      </c>
      <c r="C1535" t="str">
        <f>FORSIDE!$C$4</f>
        <v>S355, Stål / KFHUP 180x180x12.5</v>
      </c>
    </row>
    <row r="1536" spans="1:3" x14ac:dyDescent="0.3">
      <c r="A1536" t="str">
        <f>IF(AND(FORSIDE!$B$8&gt;=6,FORSIDE!$F$8&gt;=7,FORSIDE!$B$5&gt;=5),"S1535","")</f>
        <v/>
      </c>
      <c r="B1536" t="str">
        <f>IF(AND(FORSIDE!$B$8&gt;=6,FORSIDE!$F$8&gt;=7,FORSIDE!$B$5&gt;=5),"1688 -&gt; 1689","")</f>
        <v/>
      </c>
      <c r="C1536" t="str">
        <f>FORSIDE!$C$4</f>
        <v>S355, Stål / KFHUP 180x180x12.5</v>
      </c>
    </row>
    <row r="1537" spans="1:3" x14ac:dyDescent="0.3">
      <c r="A1537" t="str">
        <f>IF(AND(FORSIDE!$B$8&gt;=6,FORSIDE!$F$8&gt;=7,FORSIDE!$B$5&gt;=6),"S1536","")</f>
        <v/>
      </c>
      <c r="B1537" t="str">
        <f>IF(AND(FORSIDE!$B$8&gt;=6,FORSIDE!$F$8&gt;=7,FORSIDE!$B$5&gt;=6),"1689 -&gt; 1690","")</f>
        <v/>
      </c>
      <c r="C1537" t="str">
        <f>FORSIDE!$C$4</f>
        <v>S355, Stål / KFHUP 180x180x12.5</v>
      </c>
    </row>
    <row r="1538" spans="1:3" x14ac:dyDescent="0.3">
      <c r="A1538" t="str">
        <f>IF(AND(FORSIDE!$B$8&gt;=6,FORSIDE!$F$8&gt;=7,FORSIDE!$B$5&gt;=7),"S1537","")</f>
        <v/>
      </c>
      <c r="B1538" t="str">
        <f>IF(AND(FORSIDE!$B$8&gt;=6,FORSIDE!$F$8&gt;=7,FORSIDE!$B$5&gt;=7),"1690 -&gt; 1691","")</f>
        <v/>
      </c>
      <c r="C1538" t="str">
        <f>FORSIDE!$C$4</f>
        <v>S355, Stål / KFHUP 180x180x12.5</v>
      </c>
    </row>
    <row r="1539" spans="1:3" x14ac:dyDescent="0.3">
      <c r="A1539" t="str">
        <f>IF(AND(FORSIDE!$B$8&gt;=6,FORSIDE!$F$8&gt;=7,FORSIDE!$B$5&gt;=8),"S1538","")</f>
        <v/>
      </c>
      <c r="B1539" t="str">
        <f>IF(AND(FORSIDE!$B$8&gt;=6,FORSIDE!$F$8&gt;=7,FORSIDE!$B$5&gt;=8),"1691 -&gt; 1692","")</f>
        <v/>
      </c>
      <c r="C1539" t="str">
        <f>FORSIDE!$C$4</f>
        <v>S355, Stål / KFHUP 180x180x12.5</v>
      </c>
    </row>
    <row r="1540" spans="1:3" x14ac:dyDescent="0.3">
      <c r="A1540" t="str">
        <f>IF(AND(FORSIDE!$B$8&gt;=6,FORSIDE!$F$8&gt;=7,FORSIDE!$B$5&gt;=9),"S1539","")</f>
        <v/>
      </c>
      <c r="B1540" t="str">
        <f>IF(AND(FORSIDE!$B$8&gt;=6,FORSIDE!$F$8&gt;=7,FORSIDE!$B$5&gt;=9),"1692 -&gt; 1693","")</f>
        <v/>
      </c>
      <c r="C1540" t="str">
        <f>FORSIDE!$C$4</f>
        <v>S355, Stål / KFHUP 180x180x12.5</v>
      </c>
    </row>
    <row r="1541" spans="1:3" x14ac:dyDescent="0.3">
      <c r="A1541" t="str">
        <f>IF(AND(FORSIDE!$B$8&gt;=6,FORSIDE!$F$8&gt;=7,FORSIDE!$B$5&gt;=10),"S1540","")</f>
        <v/>
      </c>
      <c r="B1541" t="str">
        <f>IF(AND(FORSIDE!$B$8&gt;=6,FORSIDE!$F$8&gt;=7,FORSIDE!$B$5&gt;=10),"1693 -&gt; 1694","")</f>
        <v/>
      </c>
      <c r="C1541" t="str">
        <f>FORSIDE!$C$4</f>
        <v>S355, Stål / KFHUP 180x180x12.5</v>
      </c>
    </row>
    <row r="1542" spans="1:3" x14ac:dyDescent="0.3">
      <c r="A1542" t="str">
        <f>IF(AND(FORSIDE!$B$8&gt;=7,FORSIDE!$F$8&gt;=7,FORSIDE!$B$5&gt;=1),"S1541","")</f>
        <v/>
      </c>
      <c r="B1542" t="str">
        <f>IF(AND(FORSIDE!$B$8&gt;=7,FORSIDE!$F$8&gt;=7,FORSIDE!$B$5&gt;=1),"1695 -&gt; 1696","")</f>
        <v/>
      </c>
      <c r="C1542" t="str">
        <f>FORSIDE!$C$4</f>
        <v>S355, Stål / KFHUP 180x180x12.5</v>
      </c>
    </row>
    <row r="1543" spans="1:3" x14ac:dyDescent="0.3">
      <c r="A1543" t="str">
        <f>IF(AND(FORSIDE!$B$8&gt;=7,FORSIDE!$F$8&gt;=7,FORSIDE!$B$5&gt;=2),"S1542","")</f>
        <v/>
      </c>
      <c r="B1543" t="str">
        <f>IF(AND(FORSIDE!$B$8&gt;=7,FORSIDE!$F$8&gt;=7,FORSIDE!$B$5&gt;=2),"1696 -&gt; 1697","")</f>
        <v/>
      </c>
      <c r="C1543" t="str">
        <f>FORSIDE!$C$4</f>
        <v>S355, Stål / KFHUP 180x180x12.5</v>
      </c>
    </row>
    <row r="1544" spans="1:3" x14ac:dyDescent="0.3">
      <c r="A1544" t="str">
        <f>IF(AND(FORSIDE!$B$8&gt;=7,FORSIDE!$F$8&gt;=7,FORSIDE!$B$5&gt;=3),"S1543","")</f>
        <v/>
      </c>
      <c r="B1544" t="str">
        <f>IF(AND(FORSIDE!$B$8&gt;=7,FORSIDE!$F$8&gt;=7,FORSIDE!$B$5&gt;=3),"1697 -&gt; 1698","")</f>
        <v/>
      </c>
      <c r="C1544" t="str">
        <f>FORSIDE!$C$4</f>
        <v>S355, Stål / KFHUP 180x180x12.5</v>
      </c>
    </row>
    <row r="1545" spans="1:3" x14ac:dyDescent="0.3">
      <c r="A1545" t="str">
        <f>IF(AND(FORSIDE!$B$8&gt;=7,FORSIDE!$F$8&gt;=7,FORSIDE!$B$5&gt;=4),"S1544","")</f>
        <v/>
      </c>
      <c r="B1545" t="str">
        <f>IF(AND(FORSIDE!$B$8&gt;=7,FORSIDE!$F$8&gt;=7,FORSIDE!$B$5&gt;=4),"1698 -&gt; 1699","")</f>
        <v/>
      </c>
      <c r="C1545" t="str">
        <f>FORSIDE!$C$4</f>
        <v>S355, Stål / KFHUP 180x180x12.5</v>
      </c>
    </row>
    <row r="1546" spans="1:3" x14ac:dyDescent="0.3">
      <c r="A1546" t="str">
        <f>IF(AND(FORSIDE!$B$8&gt;=7,FORSIDE!$F$8&gt;=7,FORSIDE!$B$5&gt;=5),"S1545","")</f>
        <v/>
      </c>
      <c r="B1546" t="str">
        <f>IF(AND(FORSIDE!$B$8&gt;=7,FORSIDE!$F$8&gt;=7,FORSIDE!$B$5&gt;=5),"1699 -&gt; 1700","")</f>
        <v/>
      </c>
      <c r="C1546" t="str">
        <f>FORSIDE!$C$4</f>
        <v>S355, Stål / KFHUP 180x180x12.5</v>
      </c>
    </row>
    <row r="1547" spans="1:3" x14ac:dyDescent="0.3">
      <c r="A1547" t="str">
        <f>IF(AND(FORSIDE!$B$8&gt;=7,FORSIDE!$F$8&gt;=7,FORSIDE!$B$5&gt;=6),"S1546","")</f>
        <v/>
      </c>
      <c r="B1547" t="str">
        <f>IF(AND(FORSIDE!$B$8&gt;=7,FORSIDE!$F$8&gt;=7,FORSIDE!$B$5&gt;=6),"1700 -&gt; 1701","")</f>
        <v/>
      </c>
      <c r="C1547" t="str">
        <f>FORSIDE!$C$4</f>
        <v>S355, Stål / KFHUP 180x180x12.5</v>
      </c>
    </row>
    <row r="1548" spans="1:3" x14ac:dyDescent="0.3">
      <c r="A1548" t="str">
        <f>IF(AND(FORSIDE!$B$8&gt;=7,FORSIDE!$F$8&gt;=7,FORSIDE!$B$5&gt;=7),"S1547","")</f>
        <v/>
      </c>
      <c r="B1548" t="str">
        <f>IF(AND(FORSIDE!$B$8&gt;=7,FORSIDE!$F$8&gt;=7,FORSIDE!$B$5&gt;=7),"1701 -&gt; 1702","")</f>
        <v/>
      </c>
      <c r="C1548" t="str">
        <f>FORSIDE!$C$4</f>
        <v>S355, Stål / KFHUP 180x180x12.5</v>
      </c>
    </row>
    <row r="1549" spans="1:3" x14ac:dyDescent="0.3">
      <c r="A1549" t="str">
        <f>IF(AND(FORSIDE!$B$8&gt;=7,FORSIDE!$F$8&gt;=7,FORSIDE!$B$5&gt;=8),"S1548","")</f>
        <v/>
      </c>
      <c r="B1549" t="str">
        <f>IF(AND(FORSIDE!$B$8&gt;=7,FORSIDE!$F$8&gt;=7,FORSIDE!$B$5&gt;=8),"1702 -&gt; 1703","")</f>
        <v/>
      </c>
      <c r="C1549" t="str">
        <f>FORSIDE!$C$4</f>
        <v>S355, Stål / KFHUP 180x180x12.5</v>
      </c>
    </row>
    <row r="1550" spans="1:3" x14ac:dyDescent="0.3">
      <c r="A1550" t="str">
        <f>IF(AND(FORSIDE!$B$8&gt;=7,FORSIDE!$F$8&gt;=7,FORSIDE!$B$5&gt;=9),"S1549","")</f>
        <v/>
      </c>
      <c r="B1550" t="str">
        <f>IF(AND(FORSIDE!$B$8&gt;=7,FORSIDE!$F$8&gt;=7,FORSIDE!$B$5&gt;=9),"1703 -&gt; 1704","")</f>
        <v/>
      </c>
      <c r="C1550" t="str">
        <f>FORSIDE!$C$4</f>
        <v>S355, Stål / KFHUP 180x180x12.5</v>
      </c>
    </row>
    <row r="1551" spans="1:3" x14ac:dyDescent="0.3">
      <c r="A1551" t="str">
        <f>IF(AND(FORSIDE!$B$8&gt;=7,FORSIDE!$F$8&gt;=7,FORSIDE!$B$5&gt;=10),"S1550","")</f>
        <v/>
      </c>
      <c r="B1551" t="str">
        <f>IF(AND(FORSIDE!$B$8&gt;=7,FORSIDE!$F$8&gt;=7,FORSIDE!$B$5&gt;=10),"1704 -&gt; 1705","")</f>
        <v/>
      </c>
      <c r="C1551" t="str">
        <f>FORSIDE!$C$4</f>
        <v>S355, Stål / KFHUP 180x180x12.5</v>
      </c>
    </row>
    <row r="1552" spans="1:3" x14ac:dyDescent="0.3">
      <c r="A1552" t="str">
        <f>IF(AND(FORSIDE!$B$8&gt;=8,FORSIDE!$F$8&gt;=7,FORSIDE!$B$5&gt;=1),"S1551","")</f>
        <v/>
      </c>
      <c r="B1552" t="str">
        <f>IF(AND(FORSIDE!$B$8&gt;=8,FORSIDE!$F$8&gt;=7,FORSIDE!$B$5&gt;=1),"1706 -&gt; 1707","")</f>
        <v/>
      </c>
      <c r="C1552" t="str">
        <f>FORSIDE!$C$4</f>
        <v>S355, Stål / KFHUP 180x180x12.5</v>
      </c>
    </row>
    <row r="1553" spans="1:3" x14ac:dyDescent="0.3">
      <c r="A1553" t="str">
        <f>IF(AND(FORSIDE!$B$8&gt;=8,FORSIDE!$F$8&gt;=7,FORSIDE!$B$5&gt;=2),"S1552","")</f>
        <v/>
      </c>
      <c r="B1553" t="str">
        <f>IF(AND(FORSIDE!$B$8&gt;=8,FORSIDE!$F$8&gt;=7,FORSIDE!$B$5&gt;=2),"1707 -&gt; 1708","")</f>
        <v/>
      </c>
      <c r="C1553" t="str">
        <f>FORSIDE!$C$4</f>
        <v>S355, Stål / KFHUP 180x180x12.5</v>
      </c>
    </row>
    <row r="1554" spans="1:3" x14ac:dyDescent="0.3">
      <c r="A1554" t="str">
        <f>IF(AND(FORSIDE!$B$8&gt;=8,FORSIDE!$F$8&gt;=7,FORSIDE!$B$5&gt;=3),"S1553","")</f>
        <v/>
      </c>
      <c r="B1554" t="str">
        <f>IF(AND(FORSIDE!$B$8&gt;=8,FORSIDE!$F$8&gt;=7,FORSIDE!$B$5&gt;=3),"1708 -&gt; 1709","")</f>
        <v/>
      </c>
      <c r="C1554" t="str">
        <f>FORSIDE!$C$4</f>
        <v>S355, Stål / KFHUP 180x180x12.5</v>
      </c>
    </row>
    <row r="1555" spans="1:3" x14ac:dyDescent="0.3">
      <c r="A1555" t="str">
        <f>IF(AND(FORSIDE!$B$8&gt;=8,FORSIDE!$F$8&gt;=7,FORSIDE!$B$5&gt;=4),"S1554","")</f>
        <v/>
      </c>
      <c r="B1555" t="str">
        <f>IF(AND(FORSIDE!$B$8&gt;=8,FORSIDE!$F$8&gt;=7,FORSIDE!$B$5&gt;=4),"1709 -&gt; 1710","")</f>
        <v/>
      </c>
      <c r="C1555" t="str">
        <f>FORSIDE!$C$4</f>
        <v>S355, Stål / KFHUP 180x180x12.5</v>
      </c>
    </row>
    <row r="1556" spans="1:3" x14ac:dyDescent="0.3">
      <c r="A1556" t="str">
        <f>IF(AND(FORSIDE!$B$8&gt;=8,FORSIDE!$F$8&gt;=7,FORSIDE!$B$5&gt;=5),"S1555","")</f>
        <v/>
      </c>
      <c r="B1556" t="str">
        <f>IF(AND(FORSIDE!$B$8&gt;=8,FORSIDE!$F$8&gt;=7,FORSIDE!$B$5&gt;=5),"1710 -&gt; 1711","")</f>
        <v/>
      </c>
      <c r="C1556" t="str">
        <f>FORSIDE!$C$4</f>
        <v>S355, Stål / KFHUP 180x180x12.5</v>
      </c>
    </row>
    <row r="1557" spans="1:3" x14ac:dyDescent="0.3">
      <c r="A1557" t="str">
        <f>IF(AND(FORSIDE!$B$8&gt;=8,FORSIDE!$F$8&gt;=7,FORSIDE!$B$5&gt;=6),"S1556","")</f>
        <v/>
      </c>
      <c r="B1557" t="str">
        <f>IF(AND(FORSIDE!$B$8&gt;=8,FORSIDE!$F$8&gt;=7,FORSIDE!$B$5&gt;=6),"1711 -&gt; 1712","")</f>
        <v/>
      </c>
      <c r="C1557" t="str">
        <f>FORSIDE!$C$4</f>
        <v>S355, Stål / KFHUP 180x180x12.5</v>
      </c>
    </row>
    <row r="1558" spans="1:3" x14ac:dyDescent="0.3">
      <c r="A1558" t="str">
        <f>IF(AND(FORSIDE!$B$8&gt;=8,FORSIDE!$F$8&gt;=7,FORSIDE!$B$5&gt;=7),"S1557","")</f>
        <v/>
      </c>
      <c r="B1558" t="str">
        <f>IF(AND(FORSIDE!$B$8&gt;=8,FORSIDE!$F$8&gt;=7,FORSIDE!$B$5&gt;=7),"1712 -&gt; 1713","")</f>
        <v/>
      </c>
      <c r="C1558" t="str">
        <f>FORSIDE!$C$4</f>
        <v>S355, Stål / KFHUP 180x180x12.5</v>
      </c>
    </row>
    <row r="1559" spans="1:3" x14ac:dyDescent="0.3">
      <c r="A1559" t="str">
        <f>IF(AND(FORSIDE!$B$8&gt;=8,FORSIDE!$F$8&gt;=7,FORSIDE!$B$5&gt;=8),"S1558","")</f>
        <v/>
      </c>
      <c r="B1559" t="str">
        <f>IF(AND(FORSIDE!$B$8&gt;=8,FORSIDE!$F$8&gt;=7,FORSIDE!$B$5&gt;=8),"1713 -&gt; 1714","")</f>
        <v/>
      </c>
      <c r="C1559" t="str">
        <f>FORSIDE!$C$4</f>
        <v>S355, Stål / KFHUP 180x180x12.5</v>
      </c>
    </row>
    <row r="1560" spans="1:3" x14ac:dyDescent="0.3">
      <c r="A1560" t="str">
        <f>IF(AND(FORSIDE!$B$8&gt;=8,FORSIDE!$F$8&gt;=7,FORSIDE!$B$5&gt;=9),"S1559","")</f>
        <v/>
      </c>
      <c r="B1560" t="str">
        <f>IF(AND(FORSIDE!$B$8&gt;=8,FORSIDE!$F$8&gt;=7,FORSIDE!$B$5&gt;=9),"1714 -&gt; 1715","")</f>
        <v/>
      </c>
      <c r="C1560" t="str">
        <f>FORSIDE!$C$4</f>
        <v>S355, Stål / KFHUP 180x180x12.5</v>
      </c>
    </row>
    <row r="1561" spans="1:3" x14ac:dyDescent="0.3">
      <c r="A1561" t="str">
        <f>IF(AND(FORSIDE!$B$8&gt;=8,FORSIDE!$F$8&gt;=7,FORSIDE!$B$5&gt;=10),"S1560","")</f>
        <v/>
      </c>
      <c r="B1561" t="str">
        <f>IF(AND(FORSIDE!$B$8&gt;=8,FORSIDE!$F$8&gt;=7,FORSIDE!$B$5&gt;=10),"1715 -&gt; 1716","")</f>
        <v/>
      </c>
      <c r="C1561" t="str">
        <f>FORSIDE!$C$4</f>
        <v>S355, Stål / KFHUP 180x180x12.5</v>
      </c>
    </row>
    <row r="1562" spans="1:3" x14ac:dyDescent="0.3">
      <c r="A1562" t="str">
        <f>IF(AND(FORSIDE!$B$8&gt;=9,FORSIDE!$F$8&gt;=7,FORSIDE!$B$5&gt;=1),"S1561","")</f>
        <v/>
      </c>
      <c r="B1562" t="str">
        <f>IF(AND(FORSIDE!$B$8&gt;=9,FORSIDE!$F$8&gt;=7,FORSIDE!$B$5&gt;=1),"1717 -&gt; 1718","")</f>
        <v/>
      </c>
      <c r="C1562" t="str">
        <f>FORSIDE!$C$4</f>
        <v>S355, Stål / KFHUP 180x180x12.5</v>
      </c>
    </row>
    <row r="1563" spans="1:3" x14ac:dyDescent="0.3">
      <c r="A1563" t="str">
        <f>IF(AND(FORSIDE!$B$8&gt;=9,FORSIDE!$F$8&gt;=7,FORSIDE!$B$5&gt;=2),"S1562","")</f>
        <v/>
      </c>
      <c r="B1563" t="str">
        <f>IF(AND(FORSIDE!$B$8&gt;=9,FORSIDE!$F$8&gt;=7,FORSIDE!$B$5&gt;=2),"1718 -&gt; 1719","")</f>
        <v/>
      </c>
      <c r="C1563" t="str">
        <f>FORSIDE!$C$4</f>
        <v>S355, Stål / KFHUP 180x180x12.5</v>
      </c>
    </row>
    <row r="1564" spans="1:3" x14ac:dyDescent="0.3">
      <c r="A1564" t="str">
        <f>IF(AND(FORSIDE!$B$8&gt;=9,FORSIDE!$F$8&gt;=7,FORSIDE!$B$5&gt;=3),"S1563","")</f>
        <v/>
      </c>
      <c r="B1564" t="str">
        <f>IF(AND(FORSIDE!$B$8&gt;=9,FORSIDE!$F$8&gt;=7,FORSIDE!$B$5&gt;=3),"1719 -&gt; 1720","")</f>
        <v/>
      </c>
      <c r="C1564" t="str">
        <f>FORSIDE!$C$4</f>
        <v>S355, Stål / KFHUP 180x180x12.5</v>
      </c>
    </row>
    <row r="1565" spans="1:3" x14ac:dyDescent="0.3">
      <c r="A1565" t="str">
        <f>IF(AND(FORSIDE!$B$8&gt;=9,FORSIDE!$F$8&gt;=7,FORSIDE!$B$5&gt;=4),"S1564","")</f>
        <v/>
      </c>
      <c r="B1565" t="str">
        <f>IF(AND(FORSIDE!$B$8&gt;=9,FORSIDE!$F$8&gt;=7,FORSIDE!$B$5&gt;=4),"1720 -&gt; 1721","")</f>
        <v/>
      </c>
      <c r="C1565" t="str">
        <f>FORSIDE!$C$4</f>
        <v>S355, Stål / KFHUP 180x180x12.5</v>
      </c>
    </row>
    <row r="1566" spans="1:3" x14ac:dyDescent="0.3">
      <c r="A1566" t="str">
        <f>IF(AND(FORSIDE!$B$8&gt;=9,FORSIDE!$F$8&gt;=7,FORSIDE!$B$5&gt;=5),"S1565","")</f>
        <v/>
      </c>
      <c r="B1566" t="str">
        <f>IF(AND(FORSIDE!$B$8&gt;=9,FORSIDE!$F$8&gt;=7,FORSIDE!$B$5&gt;=5),"1721 -&gt; 1722","")</f>
        <v/>
      </c>
      <c r="C1566" t="str">
        <f>FORSIDE!$C$4</f>
        <v>S355, Stål / KFHUP 180x180x12.5</v>
      </c>
    </row>
    <row r="1567" spans="1:3" x14ac:dyDescent="0.3">
      <c r="A1567" t="str">
        <f>IF(AND(FORSIDE!$B$8&gt;=9,FORSIDE!$F$8&gt;=7,FORSIDE!$B$5&gt;=6),"S1566","")</f>
        <v/>
      </c>
      <c r="B1567" t="str">
        <f>IF(AND(FORSIDE!$B$8&gt;=9,FORSIDE!$F$8&gt;=7,FORSIDE!$B$5&gt;=6),"1722 -&gt; 1723","")</f>
        <v/>
      </c>
      <c r="C1567" t="str">
        <f>FORSIDE!$C$4</f>
        <v>S355, Stål / KFHUP 180x180x12.5</v>
      </c>
    </row>
    <row r="1568" spans="1:3" x14ac:dyDescent="0.3">
      <c r="A1568" t="str">
        <f>IF(AND(FORSIDE!$B$8&gt;=9,FORSIDE!$F$8&gt;=7,FORSIDE!$B$5&gt;=7),"S1567","")</f>
        <v/>
      </c>
      <c r="B1568" t="str">
        <f>IF(AND(FORSIDE!$B$8&gt;=9,FORSIDE!$F$8&gt;=7,FORSIDE!$B$5&gt;=7),"1723 -&gt; 1724","")</f>
        <v/>
      </c>
      <c r="C1568" t="str">
        <f>FORSIDE!$C$4</f>
        <v>S355, Stål / KFHUP 180x180x12.5</v>
      </c>
    </row>
    <row r="1569" spans="1:3" x14ac:dyDescent="0.3">
      <c r="A1569" t="str">
        <f>IF(AND(FORSIDE!$B$8&gt;=9,FORSIDE!$F$8&gt;=7,FORSIDE!$B$5&gt;=8),"S1568","")</f>
        <v/>
      </c>
      <c r="B1569" t="str">
        <f>IF(AND(FORSIDE!$B$8&gt;=9,FORSIDE!$F$8&gt;=7,FORSIDE!$B$5&gt;=8),"1724 -&gt; 1725","")</f>
        <v/>
      </c>
      <c r="C1569" t="str">
        <f>FORSIDE!$C$4</f>
        <v>S355, Stål / KFHUP 180x180x12.5</v>
      </c>
    </row>
    <row r="1570" spans="1:3" x14ac:dyDescent="0.3">
      <c r="A1570" t="str">
        <f>IF(AND(FORSIDE!$B$8&gt;=9,FORSIDE!$F$8&gt;=7,FORSIDE!$B$5&gt;=9),"S1569","")</f>
        <v/>
      </c>
      <c r="B1570" t="str">
        <f>IF(AND(FORSIDE!$B$8&gt;=9,FORSIDE!$F$8&gt;=7,FORSIDE!$B$5&gt;=9),"1725 -&gt; 1726","")</f>
        <v/>
      </c>
      <c r="C1570" t="str">
        <f>FORSIDE!$C$4</f>
        <v>S355, Stål / KFHUP 180x180x12.5</v>
      </c>
    </row>
    <row r="1571" spans="1:3" x14ac:dyDescent="0.3">
      <c r="A1571" t="str">
        <f>IF(AND(FORSIDE!$B$8&gt;=9,FORSIDE!$F$8&gt;=7,FORSIDE!$B$5&gt;=10),"S1570","")</f>
        <v/>
      </c>
      <c r="B1571" t="str">
        <f>IF(AND(FORSIDE!$B$8&gt;=9,FORSIDE!$F$8&gt;=7,FORSIDE!$B$5&gt;=10),"1726 -&gt; 1727","")</f>
        <v/>
      </c>
      <c r="C1571" t="str">
        <f>FORSIDE!$C$4</f>
        <v>S355, Stål / KFHUP 180x180x12.5</v>
      </c>
    </row>
    <row r="1572" spans="1:3" x14ac:dyDescent="0.3">
      <c r="A1572" t="str">
        <f>IF(AND(FORSIDE!$B$8&gt;=10,FORSIDE!$F$8&gt;=7,FORSIDE!$B$5&gt;=1),"S1571","")</f>
        <v/>
      </c>
      <c r="B1572" t="str">
        <f>IF(AND(FORSIDE!$B$8&gt;=10,FORSIDE!$F$8&gt;=7,FORSIDE!$B$5&gt;=1),"1728 -&gt; 1729","")</f>
        <v/>
      </c>
      <c r="C1572" t="str">
        <f>FORSIDE!$C$4</f>
        <v>S355, Stål / KFHUP 180x180x12.5</v>
      </c>
    </row>
    <row r="1573" spans="1:3" x14ac:dyDescent="0.3">
      <c r="A1573" t="str">
        <f>IF(AND(FORSIDE!$B$8&gt;=10,FORSIDE!$F$8&gt;=7,FORSIDE!$B$5&gt;=2),"S1572","")</f>
        <v/>
      </c>
      <c r="B1573" t="str">
        <f>IF(AND(FORSIDE!$B$8&gt;=10,FORSIDE!$F$8&gt;=7,FORSIDE!$B$5&gt;=2),"1729 -&gt; 1730","")</f>
        <v/>
      </c>
      <c r="C1573" t="str">
        <f>FORSIDE!$C$4</f>
        <v>S355, Stål / KFHUP 180x180x12.5</v>
      </c>
    </row>
    <row r="1574" spans="1:3" x14ac:dyDescent="0.3">
      <c r="A1574" t="str">
        <f>IF(AND(FORSIDE!$B$8&gt;=10,FORSIDE!$F$8&gt;=7,FORSIDE!$B$5&gt;=3),"S1573","")</f>
        <v/>
      </c>
      <c r="B1574" t="str">
        <f>IF(AND(FORSIDE!$B$8&gt;=10,FORSIDE!$F$8&gt;=7,FORSIDE!$B$5&gt;=3),"1730 -&gt; 1731","")</f>
        <v/>
      </c>
      <c r="C1574" t="str">
        <f>FORSIDE!$C$4</f>
        <v>S355, Stål / KFHUP 180x180x12.5</v>
      </c>
    </row>
    <row r="1575" spans="1:3" x14ac:dyDescent="0.3">
      <c r="A1575" t="str">
        <f>IF(AND(FORSIDE!$B$8&gt;=10,FORSIDE!$F$8&gt;=7,FORSIDE!$B$5&gt;=4),"S1574","")</f>
        <v/>
      </c>
      <c r="B1575" t="str">
        <f>IF(AND(FORSIDE!$B$8&gt;=10,FORSIDE!$F$8&gt;=7,FORSIDE!$B$5&gt;=4),"1731 -&gt; 1732","")</f>
        <v/>
      </c>
      <c r="C1575" t="str">
        <f>FORSIDE!$C$4</f>
        <v>S355, Stål / KFHUP 180x180x12.5</v>
      </c>
    </row>
    <row r="1576" spans="1:3" x14ac:dyDescent="0.3">
      <c r="A1576" t="str">
        <f>IF(AND(FORSIDE!$B$8&gt;=10,FORSIDE!$F$8&gt;=7,FORSIDE!$B$5&gt;=5),"S1575","")</f>
        <v/>
      </c>
      <c r="B1576" t="str">
        <f>IF(AND(FORSIDE!$B$8&gt;=10,FORSIDE!$F$8&gt;=7,FORSIDE!$B$5&gt;=5),"1732 -&gt; 1733","")</f>
        <v/>
      </c>
      <c r="C1576" t="str">
        <f>FORSIDE!$C$4</f>
        <v>S355, Stål / KFHUP 180x180x12.5</v>
      </c>
    </row>
    <row r="1577" spans="1:3" x14ac:dyDescent="0.3">
      <c r="A1577" t="str">
        <f>IF(AND(FORSIDE!$B$8&gt;=10,FORSIDE!$F$8&gt;=7,FORSIDE!$B$5&gt;=6),"S1576","")</f>
        <v/>
      </c>
      <c r="B1577" t="str">
        <f>IF(AND(FORSIDE!$B$8&gt;=10,FORSIDE!$F$8&gt;=7,FORSIDE!$B$5&gt;=6),"1733 -&gt; 1734","")</f>
        <v/>
      </c>
      <c r="C1577" t="str">
        <f>FORSIDE!$C$4</f>
        <v>S355, Stål / KFHUP 180x180x12.5</v>
      </c>
    </row>
    <row r="1578" spans="1:3" x14ac:dyDescent="0.3">
      <c r="A1578" t="str">
        <f>IF(AND(FORSIDE!$B$8&gt;=10,FORSIDE!$F$8&gt;=7,FORSIDE!$B$5&gt;=7),"S1577","")</f>
        <v/>
      </c>
      <c r="B1578" t="str">
        <f>IF(AND(FORSIDE!$B$8&gt;=10,FORSIDE!$F$8&gt;=7,FORSIDE!$B$5&gt;=7),"1734 -&gt; 1735","")</f>
        <v/>
      </c>
      <c r="C1578" t="str">
        <f>FORSIDE!$C$4</f>
        <v>S355, Stål / KFHUP 180x180x12.5</v>
      </c>
    </row>
    <row r="1579" spans="1:3" x14ac:dyDescent="0.3">
      <c r="A1579" t="str">
        <f>IF(AND(FORSIDE!$B$8&gt;=10,FORSIDE!$F$8&gt;=7,FORSIDE!$B$5&gt;=8),"S1578","")</f>
        <v/>
      </c>
      <c r="B1579" t="str">
        <f>IF(AND(FORSIDE!$B$8&gt;=10,FORSIDE!$F$8&gt;=7,FORSIDE!$B$5&gt;=8),"1735 -&gt; 1736","")</f>
        <v/>
      </c>
      <c r="C1579" t="str">
        <f>FORSIDE!$C$4</f>
        <v>S355, Stål / KFHUP 180x180x12.5</v>
      </c>
    </row>
    <row r="1580" spans="1:3" x14ac:dyDescent="0.3">
      <c r="A1580" t="str">
        <f>IF(AND(FORSIDE!$B$8&gt;=10,FORSIDE!$F$8&gt;=7,FORSIDE!$B$5&gt;=9),"S1579","")</f>
        <v/>
      </c>
      <c r="B1580" t="str">
        <f>IF(AND(FORSIDE!$B$8&gt;=10,FORSIDE!$F$8&gt;=7,FORSIDE!$B$5&gt;=9),"1736 -&gt; 1737","")</f>
        <v/>
      </c>
      <c r="C1580" t="str">
        <f>FORSIDE!$C$4</f>
        <v>S355, Stål / KFHUP 180x180x12.5</v>
      </c>
    </row>
    <row r="1581" spans="1:3" x14ac:dyDescent="0.3">
      <c r="A1581" t="str">
        <f>IF(AND(FORSIDE!$B$8&gt;=10,FORSIDE!$F$8&gt;=7,FORSIDE!$B$5&gt;=10),"S1580","")</f>
        <v/>
      </c>
      <c r="B1581" t="str">
        <f>IF(AND(FORSIDE!$B$8&gt;=10,FORSIDE!$F$8&gt;=7,FORSIDE!$B$5&gt;=10),"1737 -&gt; 1738","")</f>
        <v/>
      </c>
      <c r="C1581" t="str">
        <f>FORSIDE!$C$4</f>
        <v>S355, Stål / KFHUP 180x180x12.5</v>
      </c>
    </row>
    <row r="1582" spans="1:3" x14ac:dyDescent="0.3">
      <c r="A1582" t="str">
        <f>IF(AND(FORSIDE!$B$8&gt;=11,FORSIDE!$F$8&gt;=7,FORSIDE!$B$5&gt;=1),"S1581","")</f>
        <v/>
      </c>
      <c r="B1582" t="str">
        <f>IF(AND(FORSIDE!$B$8&gt;=11,FORSIDE!$F$8&gt;=7,FORSIDE!$B$5&gt;=1),"1739 -&gt; 1740","")</f>
        <v/>
      </c>
      <c r="C1582" t="str">
        <f>FORSIDE!$C$4</f>
        <v>S355, Stål / KFHUP 180x180x12.5</v>
      </c>
    </row>
    <row r="1583" spans="1:3" x14ac:dyDescent="0.3">
      <c r="A1583" t="str">
        <f>IF(AND(FORSIDE!$B$8&gt;=11,FORSIDE!$F$8&gt;=7,FORSIDE!$B$5&gt;=2),"S1582","")</f>
        <v/>
      </c>
      <c r="B1583" t="str">
        <f>IF(AND(FORSIDE!$B$8&gt;=11,FORSIDE!$F$8&gt;=7,FORSIDE!$B$5&gt;=2),"1740 -&gt; 1741","")</f>
        <v/>
      </c>
      <c r="C1583" t="str">
        <f>FORSIDE!$C$4</f>
        <v>S355, Stål / KFHUP 180x180x12.5</v>
      </c>
    </row>
    <row r="1584" spans="1:3" x14ac:dyDescent="0.3">
      <c r="A1584" t="str">
        <f>IF(AND(FORSIDE!$B$8&gt;=11,FORSIDE!$F$8&gt;=7,FORSIDE!$B$5&gt;=3),"S1583","")</f>
        <v/>
      </c>
      <c r="B1584" t="str">
        <f>IF(AND(FORSIDE!$B$8&gt;=11,FORSIDE!$F$8&gt;=7,FORSIDE!$B$5&gt;=3),"1741 -&gt; 1742","")</f>
        <v/>
      </c>
      <c r="C1584" t="str">
        <f>FORSIDE!$C$4</f>
        <v>S355, Stål / KFHUP 180x180x12.5</v>
      </c>
    </row>
    <row r="1585" spans="1:3" x14ac:dyDescent="0.3">
      <c r="A1585" t="str">
        <f>IF(AND(FORSIDE!$B$8&gt;=11,FORSIDE!$F$8&gt;=7,FORSIDE!$B$5&gt;=4),"S1584","")</f>
        <v/>
      </c>
      <c r="B1585" t="str">
        <f>IF(AND(FORSIDE!$B$8&gt;=11,FORSIDE!$F$8&gt;=7,FORSIDE!$B$5&gt;=4),"1742 -&gt; 1743","")</f>
        <v/>
      </c>
      <c r="C1585" t="str">
        <f>FORSIDE!$C$4</f>
        <v>S355, Stål / KFHUP 180x180x12.5</v>
      </c>
    </row>
    <row r="1586" spans="1:3" x14ac:dyDescent="0.3">
      <c r="A1586" t="str">
        <f>IF(AND(FORSIDE!$B$8&gt;=11,FORSIDE!$F$8&gt;=7,FORSIDE!$B$5&gt;=5),"S1585","")</f>
        <v/>
      </c>
      <c r="B1586" t="str">
        <f>IF(AND(FORSIDE!$B$8&gt;=11,FORSIDE!$F$8&gt;=7,FORSIDE!$B$5&gt;=5),"1743 -&gt; 1744","")</f>
        <v/>
      </c>
      <c r="C1586" t="str">
        <f>FORSIDE!$C$4</f>
        <v>S355, Stål / KFHUP 180x180x12.5</v>
      </c>
    </row>
    <row r="1587" spans="1:3" x14ac:dyDescent="0.3">
      <c r="A1587" t="str">
        <f>IF(AND(FORSIDE!$B$8&gt;=11,FORSIDE!$F$8&gt;=7,FORSIDE!$B$5&gt;=6),"S1586","")</f>
        <v/>
      </c>
      <c r="B1587" t="str">
        <f>IF(AND(FORSIDE!$B$8&gt;=11,FORSIDE!$F$8&gt;=7,FORSIDE!$B$5&gt;=6),"1744 -&gt; 1745","")</f>
        <v/>
      </c>
      <c r="C1587" t="str">
        <f>FORSIDE!$C$4</f>
        <v>S355, Stål / KFHUP 180x180x12.5</v>
      </c>
    </row>
    <row r="1588" spans="1:3" x14ac:dyDescent="0.3">
      <c r="A1588" t="str">
        <f>IF(AND(FORSIDE!$B$8&gt;=11,FORSIDE!$F$8&gt;=7,FORSIDE!$B$5&gt;=7),"S1587","")</f>
        <v/>
      </c>
      <c r="B1588" t="str">
        <f>IF(AND(FORSIDE!$B$8&gt;=11,FORSIDE!$F$8&gt;=7,FORSIDE!$B$5&gt;=7),"1745 -&gt; 1746","")</f>
        <v/>
      </c>
      <c r="C1588" t="str">
        <f>FORSIDE!$C$4</f>
        <v>S355, Stål / KFHUP 180x180x12.5</v>
      </c>
    </row>
    <row r="1589" spans="1:3" x14ac:dyDescent="0.3">
      <c r="A1589" t="str">
        <f>IF(AND(FORSIDE!$B$8&gt;=11,FORSIDE!$F$8&gt;=7,FORSIDE!$B$5&gt;=8),"S1588","")</f>
        <v/>
      </c>
      <c r="B1589" t="str">
        <f>IF(AND(FORSIDE!$B$8&gt;=11,FORSIDE!$F$8&gt;=7,FORSIDE!$B$5&gt;=8),"1746 -&gt; 1747","")</f>
        <v/>
      </c>
      <c r="C1589" t="str">
        <f>FORSIDE!$C$4</f>
        <v>S355, Stål / KFHUP 180x180x12.5</v>
      </c>
    </row>
    <row r="1590" spans="1:3" x14ac:dyDescent="0.3">
      <c r="A1590" t="str">
        <f>IF(AND(FORSIDE!$B$8&gt;=11,FORSIDE!$F$8&gt;=7,FORSIDE!$B$5&gt;=9),"S1589","")</f>
        <v/>
      </c>
      <c r="B1590" t="str">
        <f>IF(AND(FORSIDE!$B$8&gt;=11,FORSIDE!$F$8&gt;=7,FORSIDE!$B$5&gt;=9),"1747 -&gt; 1748","")</f>
        <v/>
      </c>
      <c r="C1590" t="str">
        <f>FORSIDE!$C$4</f>
        <v>S355, Stål / KFHUP 180x180x12.5</v>
      </c>
    </row>
    <row r="1591" spans="1:3" x14ac:dyDescent="0.3">
      <c r="A1591" t="str">
        <f>IF(AND(FORSIDE!$B$8&gt;=11,FORSIDE!$F$8&gt;=7,FORSIDE!$B$5&gt;=10),"S1590","")</f>
        <v/>
      </c>
      <c r="B1591" t="str">
        <f>IF(AND(FORSIDE!$B$8&gt;=11,FORSIDE!$F$8&gt;=7,FORSIDE!$B$5&gt;=10),"1748 -&gt; 1749","")</f>
        <v/>
      </c>
      <c r="C1591" t="str">
        <f>FORSIDE!$C$4</f>
        <v>S355, Stål / KFHUP 180x180x12.5</v>
      </c>
    </row>
    <row r="1592" spans="1:3" x14ac:dyDescent="0.3">
      <c r="A1592" t="str">
        <f>IF(AND(FORSIDE!$B$8&gt;=12,FORSIDE!$F$8&gt;=7,FORSIDE!$B$5&gt;=1),"S1591","")</f>
        <v/>
      </c>
      <c r="B1592" t="str">
        <f>IF(AND(FORSIDE!$B$8&gt;=12,FORSIDE!$F$8&gt;=7,FORSIDE!$B$5&gt;=1),"1750 -&gt; 1751","")</f>
        <v/>
      </c>
      <c r="C1592" t="str">
        <f>FORSIDE!$C$4</f>
        <v>S355, Stål / KFHUP 180x180x12.5</v>
      </c>
    </row>
    <row r="1593" spans="1:3" x14ac:dyDescent="0.3">
      <c r="A1593" t="str">
        <f>IF(AND(FORSIDE!$B$8&gt;=12,FORSIDE!$F$8&gt;=7,FORSIDE!$B$5&gt;=2),"S1592","")</f>
        <v/>
      </c>
      <c r="B1593" t="str">
        <f>IF(AND(FORSIDE!$B$8&gt;=12,FORSIDE!$F$8&gt;=7,FORSIDE!$B$5&gt;=2),"1751 -&gt; 1752","")</f>
        <v/>
      </c>
      <c r="C1593" t="str">
        <f>FORSIDE!$C$4</f>
        <v>S355, Stål / KFHUP 180x180x12.5</v>
      </c>
    </row>
    <row r="1594" spans="1:3" x14ac:dyDescent="0.3">
      <c r="A1594" t="str">
        <f>IF(AND(FORSIDE!$B$8&gt;=12,FORSIDE!$F$8&gt;=7,FORSIDE!$B$5&gt;=3),"S1593","")</f>
        <v/>
      </c>
      <c r="B1594" t="str">
        <f>IF(AND(FORSIDE!$B$8&gt;=12,FORSIDE!$F$8&gt;=7,FORSIDE!$B$5&gt;=3),"1752 -&gt; 1753","")</f>
        <v/>
      </c>
      <c r="C1594" t="str">
        <f>FORSIDE!$C$4</f>
        <v>S355, Stål / KFHUP 180x180x12.5</v>
      </c>
    </row>
    <row r="1595" spans="1:3" x14ac:dyDescent="0.3">
      <c r="A1595" t="str">
        <f>IF(AND(FORSIDE!$B$8&gt;=12,FORSIDE!$F$8&gt;=7,FORSIDE!$B$5&gt;=4),"S1594","")</f>
        <v/>
      </c>
      <c r="B1595" t="str">
        <f>IF(AND(FORSIDE!$B$8&gt;=12,FORSIDE!$F$8&gt;=7,FORSIDE!$B$5&gt;=4),"1753 -&gt; 1754","")</f>
        <v/>
      </c>
      <c r="C1595" t="str">
        <f>FORSIDE!$C$4</f>
        <v>S355, Stål / KFHUP 180x180x12.5</v>
      </c>
    </row>
    <row r="1596" spans="1:3" x14ac:dyDescent="0.3">
      <c r="A1596" t="str">
        <f>IF(AND(FORSIDE!$B$8&gt;=12,FORSIDE!$F$8&gt;=7,FORSIDE!$B$5&gt;=5),"S1595","")</f>
        <v/>
      </c>
      <c r="B1596" t="str">
        <f>IF(AND(FORSIDE!$B$8&gt;=12,FORSIDE!$F$8&gt;=7,FORSIDE!$B$5&gt;=5),"1754 -&gt; 1755","")</f>
        <v/>
      </c>
      <c r="C1596" t="str">
        <f>FORSIDE!$C$4</f>
        <v>S355, Stål / KFHUP 180x180x12.5</v>
      </c>
    </row>
    <row r="1597" spans="1:3" x14ac:dyDescent="0.3">
      <c r="A1597" t="str">
        <f>IF(AND(FORSIDE!$B$8&gt;=12,FORSIDE!$F$8&gt;=7,FORSIDE!$B$5&gt;=6),"S1596","")</f>
        <v/>
      </c>
      <c r="B1597" t="str">
        <f>IF(AND(FORSIDE!$B$8&gt;=12,FORSIDE!$F$8&gt;=7,FORSIDE!$B$5&gt;=6),"1755 -&gt; 1756","")</f>
        <v/>
      </c>
      <c r="C1597" t="str">
        <f>FORSIDE!$C$4</f>
        <v>S355, Stål / KFHUP 180x180x12.5</v>
      </c>
    </row>
    <row r="1598" spans="1:3" x14ac:dyDescent="0.3">
      <c r="A1598" t="str">
        <f>IF(AND(FORSIDE!$B$8&gt;=12,FORSIDE!$F$8&gt;=7,FORSIDE!$B$5&gt;=7),"S1597","")</f>
        <v/>
      </c>
      <c r="B1598" t="str">
        <f>IF(AND(FORSIDE!$B$8&gt;=12,FORSIDE!$F$8&gt;=7,FORSIDE!$B$5&gt;=7),"1756 -&gt; 1757","")</f>
        <v/>
      </c>
      <c r="C1598" t="str">
        <f>FORSIDE!$C$4</f>
        <v>S355, Stål / KFHUP 180x180x12.5</v>
      </c>
    </row>
    <row r="1599" spans="1:3" x14ac:dyDescent="0.3">
      <c r="A1599" t="str">
        <f>IF(AND(FORSIDE!$B$8&gt;=12,FORSIDE!$F$8&gt;=7,FORSIDE!$B$5&gt;=8),"S1598","")</f>
        <v/>
      </c>
      <c r="B1599" t="str">
        <f>IF(AND(FORSIDE!$B$8&gt;=12,FORSIDE!$F$8&gt;=7,FORSIDE!$B$5&gt;=8),"1757 -&gt; 1758","")</f>
        <v/>
      </c>
      <c r="C1599" t="str">
        <f>FORSIDE!$C$4</f>
        <v>S355, Stål / KFHUP 180x180x12.5</v>
      </c>
    </row>
    <row r="1600" spans="1:3" x14ac:dyDescent="0.3">
      <c r="A1600" t="str">
        <f>IF(AND(FORSIDE!$B$8&gt;=12,FORSIDE!$F$8&gt;=7,FORSIDE!$B$5&gt;=9),"S1599","")</f>
        <v/>
      </c>
      <c r="B1600" t="str">
        <f>IF(AND(FORSIDE!$B$8&gt;=12,FORSIDE!$F$8&gt;=7,FORSIDE!$B$5&gt;=9),"1758 -&gt; 1759","")</f>
        <v/>
      </c>
      <c r="C1600" t="str">
        <f>FORSIDE!$C$4</f>
        <v>S355, Stål / KFHUP 180x180x12.5</v>
      </c>
    </row>
    <row r="1601" spans="1:3" x14ac:dyDescent="0.3">
      <c r="A1601" t="str">
        <f>IF(AND(FORSIDE!$B$8&gt;=12,FORSIDE!$F$8&gt;=7,FORSIDE!$B$5&gt;=10),"S1600","")</f>
        <v/>
      </c>
      <c r="B1601" t="str">
        <f>IF(AND(FORSIDE!$B$8&gt;=12,FORSIDE!$F$8&gt;=7,FORSIDE!$B$5&gt;=10),"1759 -&gt; 1760","")</f>
        <v/>
      </c>
      <c r="C1601" t="str">
        <f>FORSIDE!$C$4</f>
        <v>S355, Stål / KFHUP 180x180x12.5</v>
      </c>
    </row>
    <row r="1602" spans="1:3" x14ac:dyDescent="0.3">
      <c r="A1602" t="str">
        <f>IF(AND(FORSIDE!$B$8&gt;=13,FORSIDE!$F$8&gt;=7,FORSIDE!$B$5&gt;=1),"S1601","")</f>
        <v/>
      </c>
      <c r="B1602" t="str">
        <f>IF(AND(FORSIDE!$B$8&gt;=13,FORSIDE!$F$8&gt;=7,FORSIDE!$B$5&gt;=1),"1761 -&gt; 1762","")</f>
        <v/>
      </c>
      <c r="C1602" t="str">
        <f>FORSIDE!$C$4</f>
        <v>S355, Stål / KFHUP 180x180x12.5</v>
      </c>
    </row>
    <row r="1603" spans="1:3" x14ac:dyDescent="0.3">
      <c r="A1603" t="str">
        <f>IF(AND(FORSIDE!$B$8&gt;=13,FORSIDE!$F$8&gt;=7,FORSIDE!$B$5&gt;=2),"S1602","")</f>
        <v/>
      </c>
      <c r="B1603" t="str">
        <f>IF(AND(FORSIDE!$B$8&gt;=13,FORSIDE!$F$8&gt;=7,FORSIDE!$B$5&gt;=2),"1762 -&gt; 1763","")</f>
        <v/>
      </c>
      <c r="C1603" t="str">
        <f>FORSIDE!$C$4</f>
        <v>S355, Stål / KFHUP 180x180x12.5</v>
      </c>
    </row>
    <row r="1604" spans="1:3" x14ac:dyDescent="0.3">
      <c r="A1604" t="str">
        <f>IF(AND(FORSIDE!$B$8&gt;=13,FORSIDE!$F$8&gt;=7,FORSIDE!$B$5&gt;=3),"S1603","")</f>
        <v/>
      </c>
      <c r="B1604" t="str">
        <f>IF(AND(FORSIDE!$B$8&gt;=13,FORSIDE!$F$8&gt;=7,FORSIDE!$B$5&gt;=3),"1763 -&gt; 1764","")</f>
        <v/>
      </c>
      <c r="C1604" t="str">
        <f>FORSIDE!$C$4</f>
        <v>S355, Stål / KFHUP 180x180x12.5</v>
      </c>
    </row>
    <row r="1605" spans="1:3" x14ac:dyDescent="0.3">
      <c r="A1605" t="str">
        <f>IF(AND(FORSIDE!$B$8&gt;=13,FORSIDE!$F$8&gt;=7,FORSIDE!$B$5&gt;=4),"S1604","")</f>
        <v/>
      </c>
      <c r="B1605" t="str">
        <f>IF(AND(FORSIDE!$B$8&gt;=13,FORSIDE!$F$8&gt;=7,FORSIDE!$B$5&gt;=4),"1764 -&gt; 1765","")</f>
        <v/>
      </c>
      <c r="C1605" t="str">
        <f>FORSIDE!$C$4</f>
        <v>S355, Stål / KFHUP 180x180x12.5</v>
      </c>
    </row>
    <row r="1606" spans="1:3" x14ac:dyDescent="0.3">
      <c r="A1606" t="str">
        <f>IF(AND(FORSIDE!$B$8&gt;=13,FORSIDE!$F$8&gt;=7,FORSIDE!$B$5&gt;=5),"S1605","")</f>
        <v/>
      </c>
      <c r="B1606" t="str">
        <f>IF(AND(FORSIDE!$B$8&gt;=13,FORSIDE!$F$8&gt;=7,FORSIDE!$B$5&gt;=5),"1765 -&gt; 1766","")</f>
        <v/>
      </c>
      <c r="C1606" t="str">
        <f>FORSIDE!$C$4</f>
        <v>S355, Stål / KFHUP 180x180x12.5</v>
      </c>
    </row>
    <row r="1607" spans="1:3" x14ac:dyDescent="0.3">
      <c r="A1607" t="str">
        <f>IF(AND(FORSIDE!$B$8&gt;=13,FORSIDE!$F$8&gt;=7,FORSIDE!$B$5&gt;=6),"S1606","")</f>
        <v/>
      </c>
      <c r="B1607" t="str">
        <f>IF(AND(FORSIDE!$B$8&gt;=13,FORSIDE!$F$8&gt;=7,FORSIDE!$B$5&gt;=6),"1766 -&gt; 1767","")</f>
        <v/>
      </c>
      <c r="C1607" t="str">
        <f>FORSIDE!$C$4</f>
        <v>S355, Stål / KFHUP 180x180x12.5</v>
      </c>
    </row>
    <row r="1608" spans="1:3" x14ac:dyDescent="0.3">
      <c r="A1608" t="str">
        <f>IF(AND(FORSIDE!$B$8&gt;=13,FORSIDE!$F$8&gt;=7,FORSIDE!$B$5&gt;=7),"S1607","")</f>
        <v/>
      </c>
      <c r="B1608" t="str">
        <f>IF(AND(FORSIDE!$B$8&gt;=13,FORSIDE!$F$8&gt;=7,FORSIDE!$B$5&gt;=7),"1767 -&gt; 1768","")</f>
        <v/>
      </c>
      <c r="C1608" t="str">
        <f>FORSIDE!$C$4</f>
        <v>S355, Stål / KFHUP 180x180x12.5</v>
      </c>
    </row>
    <row r="1609" spans="1:3" x14ac:dyDescent="0.3">
      <c r="A1609" t="str">
        <f>IF(AND(FORSIDE!$B$8&gt;=13,FORSIDE!$F$8&gt;=7,FORSIDE!$B$5&gt;=8),"S1608","")</f>
        <v/>
      </c>
      <c r="B1609" t="str">
        <f>IF(AND(FORSIDE!$B$8&gt;=13,FORSIDE!$F$8&gt;=7,FORSIDE!$B$5&gt;=8),"1768 -&gt; 1769","")</f>
        <v/>
      </c>
      <c r="C1609" t="str">
        <f>FORSIDE!$C$4</f>
        <v>S355, Stål / KFHUP 180x180x12.5</v>
      </c>
    </row>
    <row r="1610" spans="1:3" x14ac:dyDescent="0.3">
      <c r="A1610" t="str">
        <f>IF(AND(FORSIDE!$B$8&gt;=13,FORSIDE!$F$8&gt;=7,FORSIDE!$B$5&gt;=9),"S1609","")</f>
        <v/>
      </c>
      <c r="B1610" t="str">
        <f>IF(AND(FORSIDE!$B$8&gt;=13,FORSIDE!$F$8&gt;=7,FORSIDE!$B$5&gt;=9),"1769 -&gt; 1770","")</f>
        <v/>
      </c>
      <c r="C1610" t="str">
        <f>FORSIDE!$C$4</f>
        <v>S355, Stål / KFHUP 180x180x12.5</v>
      </c>
    </row>
    <row r="1611" spans="1:3" x14ac:dyDescent="0.3">
      <c r="A1611" t="str">
        <f>IF(AND(FORSIDE!$B$8&gt;=13,FORSIDE!$F$8&gt;=7,FORSIDE!$B$5&gt;=10),"S1610","")</f>
        <v/>
      </c>
      <c r="B1611" t="str">
        <f>IF(AND(FORSIDE!$B$8&gt;=13,FORSIDE!$F$8&gt;=7,FORSIDE!$B$5&gt;=10),"1770 -&gt; 1771","")</f>
        <v/>
      </c>
      <c r="C1611" t="str">
        <f>FORSIDE!$C$4</f>
        <v>S355, Stål / KFHUP 180x180x12.5</v>
      </c>
    </row>
    <row r="1612" spans="1:3" x14ac:dyDescent="0.3">
      <c r="A1612" t="str">
        <f>IF(AND(FORSIDE!$B$8&gt;=14,FORSIDE!$F$8&gt;=7,FORSIDE!$B$5&gt;=1),"S1611","")</f>
        <v/>
      </c>
      <c r="B1612" t="str">
        <f>IF(AND(FORSIDE!$B$8&gt;=14,FORSIDE!$F$8&gt;=7,FORSIDE!$B$5&gt;=1),"1772 -&gt; 1773","")</f>
        <v/>
      </c>
      <c r="C1612" t="str">
        <f>FORSIDE!$C$4</f>
        <v>S355, Stål / KFHUP 180x180x12.5</v>
      </c>
    </row>
    <row r="1613" spans="1:3" x14ac:dyDescent="0.3">
      <c r="A1613" t="str">
        <f>IF(AND(FORSIDE!$B$8&gt;=14,FORSIDE!$F$8&gt;=7,FORSIDE!$B$5&gt;=2),"S1612","")</f>
        <v/>
      </c>
      <c r="B1613" t="str">
        <f>IF(AND(FORSIDE!$B$8&gt;=14,FORSIDE!$F$8&gt;=7,FORSIDE!$B$5&gt;=2),"1773 -&gt; 1774","")</f>
        <v/>
      </c>
      <c r="C1613" t="str">
        <f>FORSIDE!$C$4</f>
        <v>S355, Stål / KFHUP 180x180x12.5</v>
      </c>
    </row>
    <row r="1614" spans="1:3" x14ac:dyDescent="0.3">
      <c r="A1614" t="str">
        <f>IF(AND(FORSIDE!$B$8&gt;=14,FORSIDE!$F$8&gt;=7,FORSIDE!$B$5&gt;=3),"S1613","")</f>
        <v/>
      </c>
      <c r="B1614" t="str">
        <f>IF(AND(FORSIDE!$B$8&gt;=14,FORSIDE!$F$8&gt;=7,FORSIDE!$B$5&gt;=3),"1774 -&gt; 1775","")</f>
        <v/>
      </c>
      <c r="C1614" t="str">
        <f>FORSIDE!$C$4</f>
        <v>S355, Stål / KFHUP 180x180x12.5</v>
      </c>
    </row>
    <row r="1615" spans="1:3" x14ac:dyDescent="0.3">
      <c r="A1615" t="str">
        <f>IF(AND(FORSIDE!$B$8&gt;=14,FORSIDE!$F$8&gt;=7,FORSIDE!$B$5&gt;=4),"S1614","")</f>
        <v/>
      </c>
      <c r="B1615" t="str">
        <f>IF(AND(FORSIDE!$B$8&gt;=14,FORSIDE!$F$8&gt;=7,FORSIDE!$B$5&gt;=4),"1775 -&gt; 1776","")</f>
        <v/>
      </c>
      <c r="C1615" t="str">
        <f>FORSIDE!$C$4</f>
        <v>S355, Stål / KFHUP 180x180x12.5</v>
      </c>
    </row>
    <row r="1616" spans="1:3" x14ac:dyDescent="0.3">
      <c r="A1616" t="str">
        <f>IF(AND(FORSIDE!$B$8&gt;=14,FORSIDE!$F$8&gt;=7,FORSIDE!$B$5&gt;=5),"S1615","")</f>
        <v/>
      </c>
      <c r="B1616" t="str">
        <f>IF(AND(FORSIDE!$B$8&gt;=14,FORSIDE!$F$8&gt;=7,FORSIDE!$B$5&gt;=5),"1776 -&gt; 1777","")</f>
        <v/>
      </c>
      <c r="C1616" t="str">
        <f>FORSIDE!$C$4</f>
        <v>S355, Stål / KFHUP 180x180x12.5</v>
      </c>
    </row>
    <row r="1617" spans="1:3" x14ac:dyDescent="0.3">
      <c r="A1617" t="str">
        <f>IF(AND(FORSIDE!$B$8&gt;=14,FORSIDE!$F$8&gt;=7,FORSIDE!$B$5&gt;=6),"S1616","")</f>
        <v/>
      </c>
      <c r="B1617" t="str">
        <f>IF(AND(FORSIDE!$B$8&gt;=14,FORSIDE!$F$8&gt;=7,FORSIDE!$B$5&gt;=6),"1777 -&gt; 1778","")</f>
        <v/>
      </c>
      <c r="C1617" t="str">
        <f>FORSIDE!$C$4</f>
        <v>S355, Stål / KFHUP 180x180x12.5</v>
      </c>
    </row>
    <row r="1618" spans="1:3" x14ac:dyDescent="0.3">
      <c r="A1618" t="str">
        <f>IF(AND(FORSIDE!$B$8&gt;=14,FORSIDE!$F$8&gt;=7,FORSIDE!$B$5&gt;=7),"S1617","")</f>
        <v/>
      </c>
      <c r="B1618" t="str">
        <f>IF(AND(FORSIDE!$B$8&gt;=14,FORSIDE!$F$8&gt;=7,FORSIDE!$B$5&gt;=7),"1778 -&gt; 1779","")</f>
        <v/>
      </c>
      <c r="C1618" t="str">
        <f>FORSIDE!$C$4</f>
        <v>S355, Stål / KFHUP 180x180x12.5</v>
      </c>
    </row>
    <row r="1619" spans="1:3" x14ac:dyDescent="0.3">
      <c r="A1619" t="str">
        <f>IF(AND(FORSIDE!$B$8&gt;=14,FORSIDE!$F$8&gt;=7,FORSIDE!$B$5&gt;=8),"S1618","")</f>
        <v/>
      </c>
      <c r="B1619" t="str">
        <f>IF(AND(FORSIDE!$B$8&gt;=14,FORSIDE!$F$8&gt;=7,FORSIDE!$B$5&gt;=8),"1779 -&gt; 1780","")</f>
        <v/>
      </c>
      <c r="C1619" t="str">
        <f>FORSIDE!$C$4</f>
        <v>S355, Stål / KFHUP 180x180x12.5</v>
      </c>
    </row>
    <row r="1620" spans="1:3" x14ac:dyDescent="0.3">
      <c r="A1620" t="str">
        <f>IF(AND(FORSIDE!$B$8&gt;=14,FORSIDE!$F$8&gt;=7,FORSIDE!$B$5&gt;=9),"S1619","")</f>
        <v/>
      </c>
      <c r="B1620" t="str">
        <f>IF(AND(FORSIDE!$B$8&gt;=14,FORSIDE!$F$8&gt;=7,FORSIDE!$B$5&gt;=9),"1780 -&gt; 1781","")</f>
        <v/>
      </c>
      <c r="C1620" t="str">
        <f>FORSIDE!$C$4</f>
        <v>S355, Stål / KFHUP 180x180x12.5</v>
      </c>
    </row>
    <row r="1621" spans="1:3" x14ac:dyDescent="0.3">
      <c r="A1621" t="str">
        <f>IF(AND(FORSIDE!$B$8&gt;=14,FORSIDE!$F$8&gt;=7,FORSIDE!$B$5&gt;=10),"S1620","")</f>
        <v/>
      </c>
      <c r="B1621" t="str">
        <f>IF(AND(FORSIDE!$B$8&gt;=14,FORSIDE!$F$8&gt;=7,FORSIDE!$B$5&gt;=10),"1781 -&gt; 1782","")</f>
        <v/>
      </c>
      <c r="C1621" t="str">
        <f>FORSIDE!$C$4</f>
        <v>S355, Stål / KFHUP 180x180x12.5</v>
      </c>
    </row>
    <row r="1622" spans="1:3" x14ac:dyDescent="0.3">
      <c r="A1622" t="str">
        <f>IF(AND(FORSIDE!$B$8&gt;=15,FORSIDE!$F$8&gt;=7,FORSIDE!$B$5&gt;=1),"S1621","")</f>
        <v/>
      </c>
      <c r="B1622" t="str">
        <f>IF(AND(FORSIDE!$B$8&gt;=15,FORSIDE!$F$8&gt;=7,FORSIDE!$B$5&gt;=1),"1783 -&gt; 1784","")</f>
        <v/>
      </c>
      <c r="C1622" t="str">
        <f>FORSIDE!$C$4</f>
        <v>S355, Stål / KFHUP 180x180x12.5</v>
      </c>
    </row>
    <row r="1623" spans="1:3" x14ac:dyDescent="0.3">
      <c r="A1623" t="str">
        <f>IF(AND(FORSIDE!$B$8&gt;=15,FORSIDE!$F$8&gt;=7,FORSIDE!$B$5&gt;=2),"S1622","")</f>
        <v/>
      </c>
      <c r="B1623" t="str">
        <f>IF(AND(FORSIDE!$B$8&gt;=15,FORSIDE!$F$8&gt;=7,FORSIDE!$B$5&gt;=2),"1784 -&gt; 1785","")</f>
        <v/>
      </c>
      <c r="C1623" t="str">
        <f>FORSIDE!$C$4</f>
        <v>S355, Stål / KFHUP 180x180x12.5</v>
      </c>
    </row>
    <row r="1624" spans="1:3" x14ac:dyDescent="0.3">
      <c r="A1624" t="str">
        <f>IF(AND(FORSIDE!$B$8&gt;=15,FORSIDE!$F$8&gt;=7,FORSIDE!$B$5&gt;=3),"S1623","")</f>
        <v/>
      </c>
      <c r="B1624" t="str">
        <f>IF(AND(FORSIDE!$B$8&gt;=15,FORSIDE!$F$8&gt;=7,FORSIDE!$B$5&gt;=3),"1785 -&gt; 1786","")</f>
        <v/>
      </c>
      <c r="C1624" t="str">
        <f>FORSIDE!$C$4</f>
        <v>S355, Stål / KFHUP 180x180x12.5</v>
      </c>
    </row>
    <row r="1625" spans="1:3" x14ac:dyDescent="0.3">
      <c r="A1625" t="str">
        <f>IF(AND(FORSIDE!$B$8&gt;=15,FORSIDE!$F$8&gt;=7,FORSIDE!$B$5&gt;=4),"S1624","")</f>
        <v/>
      </c>
      <c r="B1625" t="str">
        <f>IF(AND(FORSIDE!$B$8&gt;=15,FORSIDE!$F$8&gt;=7,FORSIDE!$B$5&gt;=4),"1786 -&gt; 1787","")</f>
        <v/>
      </c>
      <c r="C1625" t="str">
        <f>FORSIDE!$C$4</f>
        <v>S355, Stål / KFHUP 180x180x12.5</v>
      </c>
    </row>
    <row r="1626" spans="1:3" x14ac:dyDescent="0.3">
      <c r="A1626" t="str">
        <f>IF(AND(FORSIDE!$B$8&gt;=15,FORSIDE!$F$8&gt;=7,FORSIDE!$B$5&gt;=5),"S1625","")</f>
        <v/>
      </c>
      <c r="B1626" t="str">
        <f>IF(AND(FORSIDE!$B$8&gt;=15,FORSIDE!$F$8&gt;=7,FORSIDE!$B$5&gt;=5),"1787 -&gt; 1788","")</f>
        <v/>
      </c>
      <c r="C1626" t="str">
        <f>FORSIDE!$C$4</f>
        <v>S355, Stål / KFHUP 180x180x12.5</v>
      </c>
    </row>
    <row r="1627" spans="1:3" x14ac:dyDescent="0.3">
      <c r="A1627" t="str">
        <f>IF(AND(FORSIDE!$B$8&gt;=15,FORSIDE!$F$8&gt;=7,FORSIDE!$B$5&gt;=6),"S1626","")</f>
        <v/>
      </c>
      <c r="B1627" t="str">
        <f>IF(AND(FORSIDE!$B$8&gt;=15,FORSIDE!$F$8&gt;=7,FORSIDE!$B$5&gt;=6),"1788 -&gt; 1789","")</f>
        <v/>
      </c>
      <c r="C1627" t="str">
        <f>FORSIDE!$C$4</f>
        <v>S355, Stål / KFHUP 180x180x12.5</v>
      </c>
    </row>
    <row r="1628" spans="1:3" x14ac:dyDescent="0.3">
      <c r="A1628" t="str">
        <f>IF(AND(FORSIDE!$B$8&gt;=15,FORSIDE!$F$8&gt;=7,FORSIDE!$B$5&gt;=7),"S1627","")</f>
        <v/>
      </c>
      <c r="B1628" t="str">
        <f>IF(AND(FORSIDE!$B$8&gt;=15,FORSIDE!$F$8&gt;=7,FORSIDE!$B$5&gt;=7),"1789 -&gt; 1790","")</f>
        <v/>
      </c>
      <c r="C1628" t="str">
        <f>FORSIDE!$C$4</f>
        <v>S355, Stål / KFHUP 180x180x12.5</v>
      </c>
    </row>
    <row r="1629" spans="1:3" x14ac:dyDescent="0.3">
      <c r="A1629" t="str">
        <f>IF(AND(FORSIDE!$B$8&gt;=15,FORSIDE!$F$8&gt;=7,FORSIDE!$B$5&gt;=8),"S1628","")</f>
        <v/>
      </c>
      <c r="B1629" t="str">
        <f>IF(AND(FORSIDE!$B$8&gt;=15,FORSIDE!$F$8&gt;=7,FORSIDE!$B$5&gt;=8),"1790 -&gt; 1791","")</f>
        <v/>
      </c>
      <c r="C1629" t="str">
        <f>FORSIDE!$C$4</f>
        <v>S355, Stål / KFHUP 180x180x12.5</v>
      </c>
    </row>
    <row r="1630" spans="1:3" x14ac:dyDescent="0.3">
      <c r="A1630" t="str">
        <f>IF(AND(FORSIDE!$B$8&gt;=15,FORSIDE!$F$8&gt;=7,FORSIDE!$B$5&gt;=9),"S1629","")</f>
        <v/>
      </c>
      <c r="B1630" t="str">
        <f>IF(AND(FORSIDE!$B$8&gt;=15,FORSIDE!$F$8&gt;=7,FORSIDE!$B$5&gt;=9),"1791 -&gt; 1792","")</f>
        <v/>
      </c>
      <c r="C1630" t="str">
        <f>FORSIDE!$C$4</f>
        <v>S355, Stål / KFHUP 180x180x12.5</v>
      </c>
    </row>
    <row r="1631" spans="1:3" x14ac:dyDescent="0.3">
      <c r="A1631" t="str">
        <f>IF(AND(FORSIDE!$B$8&gt;=15,FORSIDE!$F$8&gt;=7,FORSIDE!$B$5&gt;=10),"S1630","")</f>
        <v/>
      </c>
      <c r="B1631" t="str">
        <f>IF(AND(FORSIDE!$B$8&gt;=15,FORSIDE!$F$8&gt;=7,FORSIDE!$B$5&gt;=10),"1792 -&gt; 1793","")</f>
        <v/>
      </c>
      <c r="C1631" t="str">
        <f>FORSIDE!$C$4</f>
        <v>S355, Stål / KFHUP 180x180x12.5</v>
      </c>
    </row>
    <row r="1632" spans="1:3" x14ac:dyDescent="0.3">
      <c r="A1632" t="str">
        <f>IF(AND(FORSIDE!$B$8&gt;=16,FORSIDE!$F$8&gt;=7,FORSIDE!$B$5&gt;=1),"S1631","")</f>
        <v/>
      </c>
      <c r="B1632" t="str">
        <f>IF(AND(FORSIDE!$B$8&gt;=16,FORSIDE!$F$8&gt;=7,FORSIDE!$B$5&gt;=1),"1794 -&gt; 1795","")</f>
        <v/>
      </c>
      <c r="C1632" t="str">
        <f>FORSIDE!$C$4</f>
        <v>S355, Stål / KFHUP 180x180x12.5</v>
      </c>
    </row>
    <row r="1633" spans="1:3" x14ac:dyDescent="0.3">
      <c r="A1633" t="str">
        <f>IF(AND(FORSIDE!$B$8&gt;=16,FORSIDE!$F$8&gt;=7,FORSIDE!$B$5&gt;=2),"S1632","")</f>
        <v/>
      </c>
      <c r="B1633" t="str">
        <f>IF(AND(FORSIDE!$B$8&gt;=16,FORSIDE!$F$8&gt;=7,FORSIDE!$B$5&gt;=2),"1795 -&gt; 1796","")</f>
        <v/>
      </c>
      <c r="C1633" t="str">
        <f>FORSIDE!$C$4</f>
        <v>S355, Stål / KFHUP 180x180x12.5</v>
      </c>
    </row>
    <row r="1634" spans="1:3" x14ac:dyDescent="0.3">
      <c r="A1634" t="str">
        <f>IF(AND(FORSIDE!$B$8&gt;=16,FORSIDE!$F$8&gt;=7,FORSIDE!$B$5&gt;=3),"S1633","")</f>
        <v/>
      </c>
      <c r="B1634" t="str">
        <f>IF(AND(FORSIDE!$B$8&gt;=16,FORSIDE!$F$8&gt;=7,FORSIDE!$B$5&gt;=3),"1796 -&gt; 1797","")</f>
        <v/>
      </c>
      <c r="C1634" t="str">
        <f>FORSIDE!$C$4</f>
        <v>S355, Stål / KFHUP 180x180x12.5</v>
      </c>
    </row>
    <row r="1635" spans="1:3" x14ac:dyDescent="0.3">
      <c r="A1635" t="str">
        <f>IF(AND(FORSIDE!$B$8&gt;=16,FORSIDE!$F$8&gt;=7,FORSIDE!$B$5&gt;=4),"S1634","")</f>
        <v/>
      </c>
      <c r="B1635" t="str">
        <f>IF(AND(FORSIDE!$B$8&gt;=16,FORSIDE!$F$8&gt;=7,FORSIDE!$B$5&gt;=4),"1797 -&gt; 1798","")</f>
        <v/>
      </c>
      <c r="C1635" t="str">
        <f>FORSIDE!$C$4</f>
        <v>S355, Stål / KFHUP 180x180x12.5</v>
      </c>
    </row>
    <row r="1636" spans="1:3" x14ac:dyDescent="0.3">
      <c r="A1636" t="str">
        <f>IF(AND(FORSIDE!$B$8&gt;=16,FORSIDE!$F$8&gt;=7,FORSIDE!$B$5&gt;=5),"S1635","")</f>
        <v/>
      </c>
      <c r="B1636" t="str">
        <f>IF(AND(FORSIDE!$B$8&gt;=16,FORSIDE!$F$8&gt;=7,FORSIDE!$B$5&gt;=5),"1798 -&gt; 1799","")</f>
        <v/>
      </c>
      <c r="C1636" t="str">
        <f>FORSIDE!$C$4</f>
        <v>S355, Stål / KFHUP 180x180x12.5</v>
      </c>
    </row>
    <row r="1637" spans="1:3" x14ac:dyDescent="0.3">
      <c r="A1637" t="str">
        <f>IF(AND(FORSIDE!$B$8&gt;=16,FORSIDE!$F$8&gt;=7,FORSIDE!$B$5&gt;=6),"S1636","")</f>
        <v/>
      </c>
      <c r="B1637" t="str">
        <f>IF(AND(FORSIDE!$B$8&gt;=16,FORSIDE!$F$8&gt;=7,FORSIDE!$B$5&gt;=6),"1799 -&gt; 1800","")</f>
        <v/>
      </c>
      <c r="C1637" t="str">
        <f>FORSIDE!$C$4</f>
        <v>S355, Stål / KFHUP 180x180x12.5</v>
      </c>
    </row>
    <row r="1638" spans="1:3" x14ac:dyDescent="0.3">
      <c r="A1638" t="str">
        <f>IF(AND(FORSIDE!$B$8&gt;=16,FORSIDE!$F$8&gt;=7,FORSIDE!$B$5&gt;=7),"S1637","")</f>
        <v/>
      </c>
      <c r="B1638" t="str">
        <f>IF(AND(FORSIDE!$B$8&gt;=16,FORSIDE!$F$8&gt;=7,FORSIDE!$B$5&gt;=7),"1800 -&gt; 1801","")</f>
        <v/>
      </c>
      <c r="C1638" t="str">
        <f>FORSIDE!$C$4</f>
        <v>S355, Stål / KFHUP 180x180x12.5</v>
      </c>
    </row>
    <row r="1639" spans="1:3" x14ac:dyDescent="0.3">
      <c r="A1639" t="str">
        <f>IF(AND(FORSIDE!$B$8&gt;=16,FORSIDE!$F$8&gt;=7,FORSIDE!$B$5&gt;=8),"S1638","")</f>
        <v/>
      </c>
      <c r="B1639" t="str">
        <f>IF(AND(FORSIDE!$B$8&gt;=16,FORSIDE!$F$8&gt;=7,FORSIDE!$B$5&gt;=8),"1801 -&gt; 1802","")</f>
        <v/>
      </c>
      <c r="C1639" t="str">
        <f>FORSIDE!$C$4</f>
        <v>S355, Stål / KFHUP 180x180x12.5</v>
      </c>
    </row>
    <row r="1640" spans="1:3" x14ac:dyDescent="0.3">
      <c r="A1640" t="str">
        <f>IF(AND(FORSIDE!$B$8&gt;=16,FORSIDE!$F$8&gt;=7,FORSIDE!$B$5&gt;=9),"S1639","")</f>
        <v/>
      </c>
      <c r="B1640" t="str">
        <f>IF(AND(FORSIDE!$B$8&gt;=16,FORSIDE!$F$8&gt;=7,FORSIDE!$B$5&gt;=9),"1802 -&gt; 1803","")</f>
        <v/>
      </c>
      <c r="C1640" t="str">
        <f>FORSIDE!$C$4</f>
        <v>S355, Stål / KFHUP 180x180x12.5</v>
      </c>
    </row>
    <row r="1641" spans="1:3" x14ac:dyDescent="0.3">
      <c r="A1641" t="str">
        <f>IF(AND(FORSIDE!$B$8&gt;=16,FORSIDE!$F$8&gt;=7,FORSIDE!$B$5&gt;=10),"S1640","")</f>
        <v/>
      </c>
      <c r="B1641" t="str">
        <f>IF(AND(FORSIDE!$B$8&gt;=16,FORSIDE!$F$8&gt;=7,FORSIDE!$B$5&gt;=10),"1803 -&gt; 1804","")</f>
        <v/>
      </c>
      <c r="C1641" t="str">
        <f>FORSIDE!$C$4</f>
        <v>S355, Stål / KFHUP 180x180x12.5</v>
      </c>
    </row>
    <row r="1642" spans="1:3" x14ac:dyDescent="0.3">
      <c r="A1642" t="str">
        <f>IF(AND(FORSIDE!$B$8&gt;=17,FORSIDE!$F$8&gt;=7,FORSIDE!$B$5&gt;=1),"S1641","")</f>
        <v/>
      </c>
      <c r="B1642" t="str">
        <f>IF(AND(FORSIDE!$B$8&gt;=17,FORSIDE!$F$8&gt;=7,FORSIDE!$B$5&gt;=1),"1805 -&gt; 1806","")</f>
        <v/>
      </c>
      <c r="C1642" t="str">
        <f>FORSIDE!$C$4</f>
        <v>S355, Stål / KFHUP 180x180x12.5</v>
      </c>
    </row>
    <row r="1643" spans="1:3" x14ac:dyDescent="0.3">
      <c r="A1643" t="str">
        <f>IF(AND(FORSIDE!$B$8&gt;=17,FORSIDE!$F$8&gt;=7,FORSIDE!$B$5&gt;=2),"S1642","")</f>
        <v/>
      </c>
      <c r="B1643" t="str">
        <f>IF(AND(FORSIDE!$B$8&gt;=17,FORSIDE!$F$8&gt;=7,FORSIDE!$B$5&gt;=2),"1806 -&gt; 1807","")</f>
        <v/>
      </c>
      <c r="C1643" t="str">
        <f>FORSIDE!$C$4</f>
        <v>S355, Stål / KFHUP 180x180x12.5</v>
      </c>
    </row>
    <row r="1644" spans="1:3" x14ac:dyDescent="0.3">
      <c r="A1644" t="str">
        <f>IF(AND(FORSIDE!$B$8&gt;=17,FORSIDE!$F$8&gt;=7,FORSIDE!$B$5&gt;=3),"S1643","")</f>
        <v/>
      </c>
      <c r="B1644" t="str">
        <f>IF(AND(FORSIDE!$B$8&gt;=17,FORSIDE!$F$8&gt;=7,FORSIDE!$B$5&gt;=3),"1807 -&gt; 1808","")</f>
        <v/>
      </c>
      <c r="C1644" t="str">
        <f>FORSIDE!$C$4</f>
        <v>S355, Stål / KFHUP 180x180x12.5</v>
      </c>
    </row>
    <row r="1645" spans="1:3" x14ac:dyDescent="0.3">
      <c r="A1645" t="str">
        <f>IF(AND(FORSIDE!$B$8&gt;=17,FORSIDE!$F$8&gt;=7,FORSIDE!$B$5&gt;=4),"S1644","")</f>
        <v/>
      </c>
      <c r="B1645" t="str">
        <f>IF(AND(FORSIDE!$B$8&gt;=17,FORSIDE!$F$8&gt;=7,FORSIDE!$B$5&gt;=4),"1808 -&gt; 1809","")</f>
        <v/>
      </c>
      <c r="C1645" t="str">
        <f>FORSIDE!$C$4</f>
        <v>S355, Stål / KFHUP 180x180x12.5</v>
      </c>
    </row>
    <row r="1646" spans="1:3" x14ac:dyDescent="0.3">
      <c r="A1646" t="str">
        <f>IF(AND(FORSIDE!$B$8&gt;=17,FORSIDE!$F$8&gt;=7,FORSIDE!$B$5&gt;=5),"S1645","")</f>
        <v/>
      </c>
      <c r="B1646" t="str">
        <f>IF(AND(FORSIDE!$B$8&gt;=17,FORSIDE!$F$8&gt;=7,FORSIDE!$B$5&gt;=5),"1809 -&gt; 1810","")</f>
        <v/>
      </c>
      <c r="C1646" t="str">
        <f>FORSIDE!$C$4</f>
        <v>S355, Stål / KFHUP 180x180x12.5</v>
      </c>
    </row>
    <row r="1647" spans="1:3" x14ac:dyDescent="0.3">
      <c r="A1647" t="str">
        <f>IF(AND(FORSIDE!$B$8&gt;=17,FORSIDE!$F$8&gt;=7,FORSIDE!$B$5&gt;=6),"S1646","")</f>
        <v/>
      </c>
      <c r="B1647" t="str">
        <f>IF(AND(FORSIDE!$B$8&gt;=17,FORSIDE!$F$8&gt;=7,FORSIDE!$B$5&gt;=6),"1810 -&gt; 1811","")</f>
        <v/>
      </c>
      <c r="C1647" t="str">
        <f>FORSIDE!$C$4</f>
        <v>S355, Stål / KFHUP 180x180x12.5</v>
      </c>
    </row>
    <row r="1648" spans="1:3" x14ac:dyDescent="0.3">
      <c r="A1648" t="str">
        <f>IF(AND(FORSIDE!$B$8&gt;=17,FORSIDE!$F$8&gt;=7,FORSIDE!$B$5&gt;=7),"S1647","")</f>
        <v/>
      </c>
      <c r="B1648" t="str">
        <f>IF(AND(FORSIDE!$B$8&gt;=17,FORSIDE!$F$8&gt;=7,FORSIDE!$B$5&gt;=7),"1811 -&gt; 1812","")</f>
        <v/>
      </c>
      <c r="C1648" t="str">
        <f>FORSIDE!$C$4</f>
        <v>S355, Stål / KFHUP 180x180x12.5</v>
      </c>
    </row>
    <row r="1649" spans="1:3" x14ac:dyDescent="0.3">
      <c r="A1649" t="str">
        <f>IF(AND(FORSIDE!$B$8&gt;=17,FORSIDE!$F$8&gt;=7,FORSIDE!$B$5&gt;=8),"S1648","")</f>
        <v/>
      </c>
      <c r="B1649" t="str">
        <f>IF(AND(FORSIDE!$B$8&gt;=17,FORSIDE!$F$8&gt;=7,FORSIDE!$B$5&gt;=8),"1812 -&gt; 1813","")</f>
        <v/>
      </c>
      <c r="C1649" t="str">
        <f>FORSIDE!$C$4</f>
        <v>S355, Stål / KFHUP 180x180x12.5</v>
      </c>
    </row>
    <row r="1650" spans="1:3" x14ac:dyDescent="0.3">
      <c r="A1650" t="str">
        <f>IF(AND(FORSIDE!$B$8&gt;=17,FORSIDE!$F$8&gt;=7,FORSIDE!$B$5&gt;=9),"S1649","")</f>
        <v/>
      </c>
      <c r="B1650" t="str">
        <f>IF(AND(FORSIDE!$B$8&gt;=17,FORSIDE!$F$8&gt;=7,FORSIDE!$B$5&gt;=9),"1813 -&gt; 1814","")</f>
        <v/>
      </c>
      <c r="C1650" t="str">
        <f>FORSIDE!$C$4</f>
        <v>S355, Stål / KFHUP 180x180x12.5</v>
      </c>
    </row>
    <row r="1651" spans="1:3" x14ac:dyDescent="0.3">
      <c r="A1651" t="str">
        <f>IF(AND(FORSIDE!$B$8&gt;=17,FORSIDE!$F$8&gt;=7,FORSIDE!$B$5&gt;=10),"S1650","")</f>
        <v/>
      </c>
      <c r="B1651" t="str">
        <f>IF(AND(FORSIDE!$B$8&gt;=17,FORSIDE!$F$8&gt;=7,FORSIDE!$B$5&gt;=10),"1814 -&gt; 1815","")</f>
        <v/>
      </c>
      <c r="C1651" t="str">
        <f>FORSIDE!$C$4</f>
        <v>S355, Stål / KFHUP 180x180x12.5</v>
      </c>
    </row>
    <row r="1652" spans="1:3" x14ac:dyDescent="0.3">
      <c r="A1652" t="str">
        <f>IF(AND(FORSIDE!$B$8&gt;=18,FORSIDE!$F$8&gt;=7,FORSIDE!$B$5&gt;=1),"S1651","")</f>
        <v/>
      </c>
      <c r="B1652" t="str">
        <f>IF(AND(FORSIDE!$B$8&gt;=18,FORSIDE!$F$8&gt;=7,FORSIDE!$B$5&gt;=1),"1816 -&gt; 1817","")</f>
        <v/>
      </c>
      <c r="C1652" t="str">
        <f>FORSIDE!$C$4</f>
        <v>S355, Stål / KFHUP 180x180x12.5</v>
      </c>
    </row>
    <row r="1653" spans="1:3" x14ac:dyDescent="0.3">
      <c r="A1653" t="str">
        <f>IF(AND(FORSIDE!$B$8&gt;=18,FORSIDE!$F$8&gt;=7,FORSIDE!$B$5&gt;=2),"S1652","")</f>
        <v/>
      </c>
      <c r="B1653" t="str">
        <f>IF(AND(FORSIDE!$B$8&gt;=18,FORSIDE!$F$8&gt;=7,FORSIDE!$B$5&gt;=2),"1817 -&gt; 1818","")</f>
        <v/>
      </c>
      <c r="C1653" t="str">
        <f>FORSIDE!$C$4</f>
        <v>S355, Stål / KFHUP 180x180x12.5</v>
      </c>
    </row>
    <row r="1654" spans="1:3" x14ac:dyDescent="0.3">
      <c r="A1654" t="str">
        <f>IF(AND(FORSIDE!$B$8&gt;=18,FORSIDE!$F$8&gt;=7,FORSIDE!$B$5&gt;=3),"S1653","")</f>
        <v/>
      </c>
      <c r="B1654" t="str">
        <f>IF(AND(FORSIDE!$B$8&gt;=18,FORSIDE!$F$8&gt;=7,FORSIDE!$B$5&gt;=3),"1818 -&gt; 1819","")</f>
        <v/>
      </c>
      <c r="C1654" t="str">
        <f>FORSIDE!$C$4</f>
        <v>S355, Stål / KFHUP 180x180x12.5</v>
      </c>
    </row>
    <row r="1655" spans="1:3" x14ac:dyDescent="0.3">
      <c r="A1655" t="str">
        <f>IF(AND(FORSIDE!$B$8&gt;=18,FORSIDE!$F$8&gt;=7,FORSIDE!$B$5&gt;=4),"S1654","")</f>
        <v/>
      </c>
      <c r="B1655" t="str">
        <f>IF(AND(FORSIDE!$B$8&gt;=18,FORSIDE!$F$8&gt;=7,FORSIDE!$B$5&gt;=4),"1819 -&gt; 1820","")</f>
        <v/>
      </c>
      <c r="C1655" t="str">
        <f>FORSIDE!$C$4</f>
        <v>S355, Stål / KFHUP 180x180x12.5</v>
      </c>
    </row>
    <row r="1656" spans="1:3" x14ac:dyDescent="0.3">
      <c r="A1656" t="str">
        <f>IF(AND(FORSIDE!$B$8&gt;=18,FORSIDE!$F$8&gt;=7,FORSIDE!$B$5&gt;=5),"S1655","")</f>
        <v/>
      </c>
      <c r="B1656" t="str">
        <f>IF(AND(FORSIDE!$B$8&gt;=18,FORSIDE!$F$8&gt;=7,FORSIDE!$B$5&gt;=5),"1820 -&gt; 1821","")</f>
        <v/>
      </c>
      <c r="C1656" t="str">
        <f>FORSIDE!$C$4</f>
        <v>S355, Stål / KFHUP 180x180x12.5</v>
      </c>
    </row>
    <row r="1657" spans="1:3" x14ac:dyDescent="0.3">
      <c r="A1657" t="str">
        <f>IF(AND(FORSIDE!$B$8&gt;=18,FORSIDE!$F$8&gt;=7,FORSIDE!$B$5&gt;=6),"S1656","")</f>
        <v/>
      </c>
      <c r="B1657" t="str">
        <f>IF(AND(FORSIDE!$B$8&gt;=18,FORSIDE!$F$8&gt;=7,FORSIDE!$B$5&gt;=6),"1821 -&gt; 1822","")</f>
        <v/>
      </c>
      <c r="C1657" t="str">
        <f>FORSIDE!$C$4</f>
        <v>S355, Stål / KFHUP 180x180x12.5</v>
      </c>
    </row>
    <row r="1658" spans="1:3" x14ac:dyDescent="0.3">
      <c r="A1658" t="str">
        <f>IF(AND(FORSIDE!$B$8&gt;=18,FORSIDE!$F$8&gt;=7,FORSIDE!$B$5&gt;=7),"S1657","")</f>
        <v/>
      </c>
      <c r="B1658" t="str">
        <f>IF(AND(FORSIDE!$B$8&gt;=18,FORSIDE!$F$8&gt;=7,FORSIDE!$B$5&gt;=7),"1822 -&gt; 1823","")</f>
        <v/>
      </c>
      <c r="C1658" t="str">
        <f>FORSIDE!$C$4</f>
        <v>S355, Stål / KFHUP 180x180x12.5</v>
      </c>
    </row>
    <row r="1659" spans="1:3" x14ac:dyDescent="0.3">
      <c r="A1659" t="str">
        <f>IF(AND(FORSIDE!$B$8&gt;=18,FORSIDE!$F$8&gt;=7,FORSIDE!$B$5&gt;=8),"S1658","")</f>
        <v/>
      </c>
      <c r="B1659" t="str">
        <f>IF(AND(FORSIDE!$B$8&gt;=18,FORSIDE!$F$8&gt;=7,FORSIDE!$B$5&gt;=8),"1823 -&gt; 1824","")</f>
        <v/>
      </c>
      <c r="C1659" t="str">
        <f>FORSIDE!$C$4</f>
        <v>S355, Stål / KFHUP 180x180x12.5</v>
      </c>
    </row>
    <row r="1660" spans="1:3" x14ac:dyDescent="0.3">
      <c r="A1660" t="str">
        <f>IF(AND(FORSIDE!$B$8&gt;=18,FORSIDE!$F$8&gt;=7,FORSIDE!$B$5&gt;=9),"S1659","")</f>
        <v/>
      </c>
      <c r="B1660" t="str">
        <f>IF(AND(FORSIDE!$B$8&gt;=18,FORSIDE!$F$8&gt;=7,FORSIDE!$B$5&gt;=9),"1824 -&gt; 1825","")</f>
        <v/>
      </c>
      <c r="C1660" t="str">
        <f>FORSIDE!$C$4</f>
        <v>S355, Stål / KFHUP 180x180x12.5</v>
      </c>
    </row>
    <row r="1661" spans="1:3" x14ac:dyDescent="0.3">
      <c r="A1661" t="str">
        <f>IF(AND(FORSIDE!$B$8&gt;=18,FORSIDE!$F$8&gt;=7,FORSIDE!$B$5&gt;=10),"S1660","")</f>
        <v/>
      </c>
      <c r="B1661" t="str">
        <f>IF(AND(FORSIDE!$B$8&gt;=18,FORSIDE!$F$8&gt;=7,FORSIDE!$B$5&gt;=10),"1825 -&gt; 1826","")</f>
        <v/>
      </c>
      <c r="C1661" t="str">
        <f>FORSIDE!$C$4</f>
        <v>S355, Stål / KFHUP 180x180x12.5</v>
      </c>
    </row>
    <row r="1662" spans="1:3" x14ac:dyDescent="0.3">
      <c r="A1662" t="str">
        <f>IF(AND(FORSIDE!$B$8&gt;=19,FORSIDE!$F$8&gt;=7,FORSIDE!$B$5&gt;=1),"S1661","")</f>
        <v/>
      </c>
      <c r="B1662" t="str">
        <f>IF(AND(FORSIDE!$B$8&gt;=19,FORSIDE!$F$8&gt;=7,FORSIDE!$B$5&gt;=1),"1827 -&gt; 1828","")</f>
        <v/>
      </c>
      <c r="C1662" t="str">
        <f>FORSIDE!$C$4</f>
        <v>S355, Stål / KFHUP 180x180x12.5</v>
      </c>
    </row>
    <row r="1663" spans="1:3" x14ac:dyDescent="0.3">
      <c r="A1663" t="str">
        <f>IF(AND(FORSIDE!$B$8&gt;=19,FORSIDE!$F$8&gt;=7,FORSIDE!$B$5&gt;=2),"S1662","")</f>
        <v/>
      </c>
      <c r="B1663" t="str">
        <f>IF(AND(FORSIDE!$B$8&gt;=19,FORSIDE!$F$8&gt;=7,FORSIDE!$B$5&gt;=2),"1828 -&gt; 1829","")</f>
        <v/>
      </c>
      <c r="C1663" t="str">
        <f>FORSIDE!$C$4</f>
        <v>S355, Stål / KFHUP 180x180x12.5</v>
      </c>
    </row>
    <row r="1664" spans="1:3" x14ac:dyDescent="0.3">
      <c r="A1664" t="str">
        <f>IF(AND(FORSIDE!$B$8&gt;=19,FORSIDE!$F$8&gt;=7,FORSIDE!$B$5&gt;=3),"S1663","")</f>
        <v/>
      </c>
      <c r="B1664" t="str">
        <f>IF(AND(FORSIDE!$B$8&gt;=19,FORSIDE!$F$8&gt;=7,FORSIDE!$B$5&gt;=3),"1829 -&gt; 1830","")</f>
        <v/>
      </c>
      <c r="C1664" t="str">
        <f>FORSIDE!$C$4</f>
        <v>S355, Stål / KFHUP 180x180x12.5</v>
      </c>
    </row>
    <row r="1665" spans="1:3" x14ac:dyDescent="0.3">
      <c r="A1665" t="str">
        <f>IF(AND(FORSIDE!$B$8&gt;=19,FORSIDE!$F$8&gt;=7,FORSIDE!$B$5&gt;=4),"S1664","")</f>
        <v/>
      </c>
      <c r="B1665" t="str">
        <f>IF(AND(FORSIDE!$B$8&gt;=19,FORSIDE!$F$8&gt;=7,FORSIDE!$B$5&gt;=4),"1830 -&gt; 1831","")</f>
        <v/>
      </c>
      <c r="C1665" t="str">
        <f>FORSIDE!$C$4</f>
        <v>S355, Stål / KFHUP 180x180x12.5</v>
      </c>
    </row>
    <row r="1666" spans="1:3" x14ac:dyDescent="0.3">
      <c r="A1666" t="str">
        <f>IF(AND(FORSIDE!$B$8&gt;=19,FORSIDE!$F$8&gt;=7,FORSIDE!$B$5&gt;=5),"S1665","")</f>
        <v/>
      </c>
      <c r="B1666" t="str">
        <f>IF(AND(FORSIDE!$B$8&gt;=19,FORSIDE!$F$8&gt;=7,FORSIDE!$B$5&gt;=5),"1831 -&gt; 1832","")</f>
        <v/>
      </c>
      <c r="C1666" t="str">
        <f>FORSIDE!$C$4</f>
        <v>S355, Stål / KFHUP 180x180x12.5</v>
      </c>
    </row>
    <row r="1667" spans="1:3" x14ac:dyDescent="0.3">
      <c r="A1667" t="str">
        <f>IF(AND(FORSIDE!$B$8&gt;=19,FORSIDE!$F$8&gt;=7,FORSIDE!$B$5&gt;=6),"S1666","")</f>
        <v/>
      </c>
      <c r="B1667" t="str">
        <f>IF(AND(FORSIDE!$B$8&gt;=19,FORSIDE!$F$8&gt;=7,FORSIDE!$B$5&gt;=6),"1832 -&gt; 1833","")</f>
        <v/>
      </c>
      <c r="C1667" t="str">
        <f>FORSIDE!$C$4</f>
        <v>S355, Stål / KFHUP 180x180x12.5</v>
      </c>
    </row>
    <row r="1668" spans="1:3" x14ac:dyDescent="0.3">
      <c r="A1668" t="str">
        <f>IF(AND(FORSIDE!$B$8&gt;=19,FORSIDE!$F$8&gt;=7,FORSIDE!$B$5&gt;=7),"S1667","")</f>
        <v/>
      </c>
      <c r="B1668" t="str">
        <f>IF(AND(FORSIDE!$B$8&gt;=19,FORSIDE!$F$8&gt;=7,FORSIDE!$B$5&gt;=7),"1833 -&gt; 1834","")</f>
        <v/>
      </c>
      <c r="C1668" t="str">
        <f>FORSIDE!$C$4</f>
        <v>S355, Stål / KFHUP 180x180x12.5</v>
      </c>
    </row>
    <row r="1669" spans="1:3" x14ac:dyDescent="0.3">
      <c r="A1669" t="str">
        <f>IF(AND(FORSIDE!$B$8&gt;=19,FORSIDE!$F$8&gt;=7,FORSIDE!$B$5&gt;=8),"S1668","")</f>
        <v/>
      </c>
      <c r="B1669" t="str">
        <f>IF(AND(FORSIDE!$B$8&gt;=19,FORSIDE!$F$8&gt;=7,FORSIDE!$B$5&gt;=8),"1834 -&gt; 1835","")</f>
        <v/>
      </c>
      <c r="C1669" t="str">
        <f>FORSIDE!$C$4</f>
        <v>S355, Stål / KFHUP 180x180x12.5</v>
      </c>
    </row>
    <row r="1670" spans="1:3" x14ac:dyDescent="0.3">
      <c r="A1670" t="str">
        <f>IF(AND(FORSIDE!$B$8&gt;=19,FORSIDE!$F$8&gt;=7,FORSIDE!$B$5&gt;=9),"S1669","")</f>
        <v/>
      </c>
      <c r="B1670" t="str">
        <f>IF(AND(FORSIDE!$B$8&gt;=19,FORSIDE!$F$8&gt;=7,FORSIDE!$B$5&gt;=9),"1835 -&gt; 1836","")</f>
        <v/>
      </c>
      <c r="C1670" t="str">
        <f>FORSIDE!$C$4</f>
        <v>S355, Stål / KFHUP 180x180x12.5</v>
      </c>
    </row>
    <row r="1671" spans="1:3" x14ac:dyDescent="0.3">
      <c r="A1671" t="str">
        <f>IF(AND(FORSIDE!$B$8&gt;=19,FORSIDE!$F$8&gt;=7,FORSIDE!$B$5&gt;=10),"S1670","")</f>
        <v/>
      </c>
      <c r="B1671" t="str">
        <f>IF(AND(FORSIDE!$B$8&gt;=19,FORSIDE!$F$8&gt;=7,FORSIDE!$B$5&gt;=10),"1836 -&gt; 1837","")</f>
        <v/>
      </c>
      <c r="C1671" t="str">
        <f>FORSIDE!$C$4</f>
        <v>S355, Stål / KFHUP 180x180x12.5</v>
      </c>
    </row>
    <row r="1672" spans="1:3" x14ac:dyDescent="0.3">
      <c r="A1672" t="str">
        <f>IF(AND(FORSIDE!$B$8&gt;=20,FORSIDE!$F$8&gt;=7,FORSIDE!$B$5&gt;=1),"S1671","")</f>
        <v/>
      </c>
      <c r="B1672" t="str">
        <f>IF(AND(FORSIDE!$B$8&gt;=20,FORSIDE!$F$8&gt;=7,FORSIDE!$B$5&gt;=1),"1838 -&gt; 1839","")</f>
        <v/>
      </c>
      <c r="C1672" t="str">
        <f>FORSIDE!$C$4</f>
        <v>S355, Stål / KFHUP 180x180x12.5</v>
      </c>
    </row>
    <row r="1673" spans="1:3" x14ac:dyDescent="0.3">
      <c r="A1673" t="str">
        <f>IF(AND(FORSIDE!$B$8&gt;=20,FORSIDE!$F$8&gt;=7,FORSIDE!$B$5&gt;=2),"S1672","")</f>
        <v/>
      </c>
      <c r="B1673" t="str">
        <f>IF(AND(FORSIDE!$B$8&gt;=20,FORSIDE!$F$8&gt;=7,FORSIDE!$B$5&gt;=2),"1839 -&gt; 1840","")</f>
        <v/>
      </c>
      <c r="C1673" t="str">
        <f>FORSIDE!$C$4</f>
        <v>S355, Stål / KFHUP 180x180x12.5</v>
      </c>
    </row>
    <row r="1674" spans="1:3" x14ac:dyDescent="0.3">
      <c r="A1674" t="str">
        <f>IF(AND(FORSIDE!$B$8&gt;=20,FORSIDE!$F$8&gt;=7,FORSIDE!$B$5&gt;=3),"S1673","")</f>
        <v/>
      </c>
      <c r="B1674" t="str">
        <f>IF(AND(FORSIDE!$B$8&gt;=20,FORSIDE!$F$8&gt;=7,FORSIDE!$B$5&gt;=3),"1840 -&gt; 1841","")</f>
        <v/>
      </c>
      <c r="C1674" t="str">
        <f>FORSIDE!$C$4</f>
        <v>S355, Stål / KFHUP 180x180x12.5</v>
      </c>
    </row>
    <row r="1675" spans="1:3" x14ac:dyDescent="0.3">
      <c r="A1675" t="str">
        <f>IF(AND(FORSIDE!$B$8&gt;=20,FORSIDE!$F$8&gt;=7,FORSIDE!$B$5&gt;=4),"S1674","")</f>
        <v/>
      </c>
      <c r="B1675" t="str">
        <f>IF(AND(FORSIDE!$B$8&gt;=20,FORSIDE!$F$8&gt;=7,FORSIDE!$B$5&gt;=4),"1841 -&gt; 1842","")</f>
        <v/>
      </c>
      <c r="C1675" t="str">
        <f>FORSIDE!$C$4</f>
        <v>S355, Stål / KFHUP 180x180x12.5</v>
      </c>
    </row>
    <row r="1676" spans="1:3" x14ac:dyDescent="0.3">
      <c r="A1676" t="str">
        <f>IF(AND(FORSIDE!$B$8&gt;=20,FORSIDE!$F$8&gt;=7,FORSIDE!$B$5&gt;=5),"S1675","")</f>
        <v/>
      </c>
      <c r="B1676" t="str">
        <f>IF(AND(FORSIDE!$B$8&gt;=20,FORSIDE!$F$8&gt;=7,FORSIDE!$B$5&gt;=5),"1842 -&gt; 1843","")</f>
        <v/>
      </c>
      <c r="C1676" t="str">
        <f>FORSIDE!$C$4</f>
        <v>S355, Stål / KFHUP 180x180x12.5</v>
      </c>
    </row>
    <row r="1677" spans="1:3" x14ac:dyDescent="0.3">
      <c r="A1677" t="str">
        <f>IF(AND(FORSIDE!$B$8&gt;=20,FORSIDE!$F$8&gt;=7,FORSIDE!$B$5&gt;=6),"S1676","")</f>
        <v/>
      </c>
      <c r="B1677" t="str">
        <f>IF(AND(FORSIDE!$B$8&gt;=20,FORSIDE!$F$8&gt;=7,FORSIDE!$B$5&gt;=6),"1843 -&gt; 1844","")</f>
        <v/>
      </c>
      <c r="C1677" t="str">
        <f>FORSIDE!$C$4</f>
        <v>S355, Stål / KFHUP 180x180x12.5</v>
      </c>
    </row>
    <row r="1678" spans="1:3" x14ac:dyDescent="0.3">
      <c r="A1678" t="str">
        <f>IF(AND(FORSIDE!$B$8&gt;=20,FORSIDE!$F$8&gt;=7,FORSIDE!$B$5&gt;=7),"S1677","")</f>
        <v/>
      </c>
      <c r="B1678" t="str">
        <f>IF(AND(FORSIDE!$B$8&gt;=20,FORSIDE!$F$8&gt;=7,FORSIDE!$B$5&gt;=7),"1844 -&gt; 1845","")</f>
        <v/>
      </c>
      <c r="C1678" t="str">
        <f>FORSIDE!$C$4</f>
        <v>S355, Stål / KFHUP 180x180x12.5</v>
      </c>
    </row>
    <row r="1679" spans="1:3" x14ac:dyDescent="0.3">
      <c r="A1679" t="str">
        <f>IF(AND(FORSIDE!$B$8&gt;=20,FORSIDE!$F$8&gt;=7,FORSIDE!$B$5&gt;=8),"S1678","")</f>
        <v/>
      </c>
      <c r="B1679" t="str">
        <f>IF(AND(FORSIDE!$B$8&gt;=20,FORSIDE!$F$8&gt;=7,FORSIDE!$B$5&gt;=8),"1845 -&gt; 1846","")</f>
        <v/>
      </c>
      <c r="C1679" t="str">
        <f>FORSIDE!$C$4</f>
        <v>S355, Stål / KFHUP 180x180x12.5</v>
      </c>
    </row>
    <row r="1680" spans="1:3" x14ac:dyDescent="0.3">
      <c r="A1680" t="str">
        <f>IF(AND(FORSIDE!$B$8&gt;=20,FORSIDE!$F$8&gt;=7,FORSIDE!$B$5&gt;=9),"S1679","")</f>
        <v/>
      </c>
      <c r="B1680" t="str">
        <f>IF(AND(FORSIDE!$B$8&gt;=20,FORSIDE!$F$8&gt;=7,FORSIDE!$B$5&gt;=9),"1846 -&gt; 1847","")</f>
        <v/>
      </c>
      <c r="C1680" t="str">
        <f>FORSIDE!$C$4</f>
        <v>S355, Stål / KFHUP 180x180x12.5</v>
      </c>
    </row>
    <row r="1681" spans="1:3" x14ac:dyDescent="0.3">
      <c r="A1681" t="str">
        <f>IF(AND(FORSIDE!$B$8&gt;=20,FORSIDE!$F$8&gt;=7,FORSIDE!$B$5&gt;=10),"S1680","")</f>
        <v/>
      </c>
      <c r="B1681" t="str">
        <f>IF(AND(FORSIDE!$B$8&gt;=20,FORSIDE!$F$8&gt;=7,FORSIDE!$B$5&gt;=10),"1847 -&gt; 1848","")</f>
        <v/>
      </c>
      <c r="C1681" t="str">
        <f>FORSIDE!$C$4</f>
        <v>S355, Stål / KFHUP 180x180x12.5</v>
      </c>
    </row>
    <row r="1682" spans="1:3" x14ac:dyDescent="0.3">
      <c r="A1682" t="str">
        <f>IF(AND(FORSIDE!$B$8&gt;=0,FORSIDE!$F$8&gt;=8,FORSIDE!$B$5&gt;=1),"S1681","")</f>
        <v/>
      </c>
      <c r="B1682" t="str">
        <f>IF(AND(FORSIDE!$B$8&gt;=0,FORSIDE!$F$8&gt;=8,FORSIDE!$B$5&gt;=1),"1849 -&gt; 1850","")</f>
        <v/>
      </c>
      <c r="C1682" t="str">
        <f>FORSIDE!$C$4</f>
        <v>S355, Stål / KFHUP 180x180x12.5</v>
      </c>
    </row>
    <row r="1683" spans="1:3" x14ac:dyDescent="0.3">
      <c r="A1683" t="str">
        <f>IF(AND(FORSIDE!$B$8&gt;=0,FORSIDE!$F$8&gt;=8,FORSIDE!$B$5&gt;=2),"S1682","")</f>
        <v/>
      </c>
      <c r="B1683" t="str">
        <f>IF(AND(FORSIDE!$B$8&gt;=0,FORSIDE!$F$8&gt;=8,FORSIDE!$B$5&gt;=2),"1850 -&gt; 1851","")</f>
        <v/>
      </c>
      <c r="C1683" t="str">
        <f>FORSIDE!$C$4</f>
        <v>S355, Stål / KFHUP 180x180x12.5</v>
      </c>
    </row>
    <row r="1684" spans="1:3" x14ac:dyDescent="0.3">
      <c r="A1684" t="str">
        <f>IF(AND(FORSIDE!$B$8&gt;=0,FORSIDE!$F$8&gt;=8,FORSIDE!$B$5&gt;=3),"S1683","")</f>
        <v/>
      </c>
      <c r="B1684" t="str">
        <f>IF(AND(FORSIDE!$B$8&gt;=0,FORSIDE!$F$8&gt;=8,FORSIDE!$B$5&gt;=3),"1851 -&gt; 1852","")</f>
        <v/>
      </c>
      <c r="C1684" t="str">
        <f>FORSIDE!$C$4</f>
        <v>S355, Stål / KFHUP 180x180x12.5</v>
      </c>
    </row>
    <row r="1685" spans="1:3" x14ac:dyDescent="0.3">
      <c r="A1685" t="str">
        <f>IF(AND(FORSIDE!$B$8&gt;=0,FORSIDE!$F$8&gt;=8,FORSIDE!$B$5&gt;=4),"S1684","")</f>
        <v/>
      </c>
      <c r="B1685" t="str">
        <f>IF(AND(FORSIDE!$B$8&gt;=0,FORSIDE!$F$8&gt;=8,FORSIDE!$B$5&gt;=4),"1852 -&gt; 1853","")</f>
        <v/>
      </c>
      <c r="C1685" t="str">
        <f>FORSIDE!$C$4</f>
        <v>S355, Stål / KFHUP 180x180x12.5</v>
      </c>
    </row>
    <row r="1686" spans="1:3" x14ac:dyDescent="0.3">
      <c r="A1686" t="str">
        <f>IF(AND(FORSIDE!$B$8&gt;=0,FORSIDE!$F$8&gt;=8,FORSIDE!$B$5&gt;=5),"S1685","")</f>
        <v/>
      </c>
      <c r="B1686" t="str">
        <f>IF(AND(FORSIDE!$B$8&gt;=0,FORSIDE!$F$8&gt;=8,FORSIDE!$B$5&gt;=5),"1853 -&gt; 1854","")</f>
        <v/>
      </c>
      <c r="C1686" t="str">
        <f>FORSIDE!$C$4</f>
        <v>S355, Stål / KFHUP 180x180x12.5</v>
      </c>
    </row>
    <row r="1687" spans="1:3" x14ac:dyDescent="0.3">
      <c r="A1687" t="str">
        <f>IF(AND(FORSIDE!$B$8&gt;=0,FORSIDE!$F$8&gt;=8,FORSIDE!$B$5&gt;=6),"S1686","")</f>
        <v/>
      </c>
      <c r="B1687" t="str">
        <f>IF(AND(FORSIDE!$B$8&gt;=0,FORSIDE!$F$8&gt;=8,FORSIDE!$B$5&gt;=6),"1854 -&gt; 1855","")</f>
        <v/>
      </c>
      <c r="C1687" t="str">
        <f>FORSIDE!$C$4</f>
        <v>S355, Stål / KFHUP 180x180x12.5</v>
      </c>
    </row>
    <row r="1688" spans="1:3" x14ac:dyDescent="0.3">
      <c r="A1688" t="str">
        <f>IF(AND(FORSIDE!$B$8&gt;=0,FORSIDE!$F$8&gt;=8,FORSIDE!$B$5&gt;=7),"S1687","")</f>
        <v/>
      </c>
      <c r="B1688" t="str">
        <f>IF(AND(FORSIDE!$B$8&gt;=0,FORSIDE!$F$8&gt;=8,FORSIDE!$B$5&gt;=7),"1855 -&gt; 1856","")</f>
        <v/>
      </c>
      <c r="C1688" t="str">
        <f>FORSIDE!$C$4</f>
        <v>S355, Stål / KFHUP 180x180x12.5</v>
      </c>
    </row>
    <row r="1689" spans="1:3" x14ac:dyDescent="0.3">
      <c r="A1689" t="str">
        <f>IF(AND(FORSIDE!$B$8&gt;=0,FORSIDE!$F$8&gt;=8,FORSIDE!$B$5&gt;=8),"S1688","")</f>
        <v/>
      </c>
      <c r="B1689" t="str">
        <f>IF(AND(FORSIDE!$B$8&gt;=0,FORSIDE!$F$8&gt;=8,FORSIDE!$B$5&gt;=8),"1856 -&gt; 1857","")</f>
        <v/>
      </c>
      <c r="C1689" t="str">
        <f>FORSIDE!$C$4</f>
        <v>S355, Stål / KFHUP 180x180x12.5</v>
      </c>
    </row>
    <row r="1690" spans="1:3" x14ac:dyDescent="0.3">
      <c r="A1690" t="str">
        <f>IF(AND(FORSIDE!$B$8&gt;=0,FORSIDE!$F$8&gt;=8,FORSIDE!$B$5&gt;=9),"S1689","")</f>
        <v/>
      </c>
      <c r="B1690" t="str">
        <f>IF(AND(FORSIDE!$B$8&gt;=0,FORSIDE!$F$8&gt;=8,FORSIDE!$B$5&gt;=9),"1857 -&gt; 1858","")</f>
        <v/>
      </c>
      <c r="C1690" t="str">
        <f>FORSIDE!$C$4</f>
        <v>S355, Stål / KFHUP 180x180x12.5</v>
      </c>
    </row>
    <row r="1691" spans="1:3" x14ac:dyDescent="0.3">
      <c r="A1691" t="str">
        <f>IF(AND(FORSIDE!$B$8&gt;=0,FORSIDE!$F$8&gt;=8,FORSIDE!$B$5&gt;=10),"S1690","")</f>
        <v/>
      </c>
      <c r="B1691" t="str">
        <f>IF(AND(FORSIDE!$B$8&gt;=0,FORSIDE!$F$8&gt;=8,FORSIDE!$B$5&gt;=10),"1858 -&gt; 1859","")</f>
        <v/>
      </c>
      <c r="C1691" t="str">
        <f>FORSIDE!$C$4</f>
        <v>S355, Stål / KFHUP 180x180x12.5</v>
      </c>
    </row>
    <row r="1692" spans="1:3" x14ac:dyDescent="0.3">
      <c r="A1692" t="str">
        <f>IF(AND(FORSIDE!$B$8&gt;=1,FORSIDE!$F$8&gt;=8,FORSIDE!$B$5&gt;=1),"S1691","")</f>
        <v/>
      </c>
      <c r="B1692" t="str">
        <f>IF(AND(FORSIDE!$B$8&gt;=1,FORSIDE!$F$8&gt;=8,FORSIDE!$B$5&gt;=1),"1860 -&gt; 1861","")</f>
        <v/>
      </c>
      <c r="C1692" t="str">
        <f>FORSIDE!$C$4</f>
        <v>S355, Stål / KFHUP 180x180x12.5</v>
      </c>
    </row>
    <row r="1693" spans="1:3" x14ac:dyDescent="0.3">
      <c r="A1693" t="str">
        <f>IF(AND(FORSIDE!$B$8&gt;=1,FORSIDE!$F$8&gt;=8,FORSIDE!$B$5&gt;=2),"S1692","")</f>
        <v/>
      </c>
      <c r="B1693" t="str">
        <f>IF(AND(FORSIDE!$B$8&gt;=1,FORSIDE!$F$8&gt;=8,FORSIDE!$B$5&gt;=2),"1861 -&gt; 1862","")</f>
        <v/>
      </c>
      <c r="C1693" t="str">
        <f>FORSIDE!$C$4</f>
        <v>S355, Stål / KFHUP 180x180x12.5</v>
      </c>
    </row>
    <row r="1694" spans="1:3" x14ac:dyDescent="0.3">
      <c r="A1694" t="str">
        <f>IF(AND(FORSIDE!$B$8&gt;=1,FORSIDE!$F$8&gt;=8,FORSIDE!$B$5&gt;=3),"S1693","")</f>
        <v/>
      </c>
      <c r="B1694" t="str">
        <f>IF(AND(FORSIDE!$B$8&gt;=1,FORSIDE!$F$8&gt;=8,FORSIDE!$B$5&gt;=3),"1862 -&gt; 1863","")</f>
        <v/>
      </c>
      <c r="C1694" t="str">
        <f>FORSIDE!$C$4</f>
        <v>S355, Stål / KFHUP 180x180x12.5</v>
      </c>
    </row>
    <row r="1695" spans="1:3" x14ac:dyDescent="0.3">
      <c r="A1695" t="str">
        <f>IF(AND(FORSIDE!$B$8&gt;=1,FORSIDE!$F$8&gt;=8,FORSIDE!$B$5&gt;=4),"S1694","")</f>
        <v/>
      </c>
      <c r="B1695" t="str">
        <f>IF(AND(FORSIDE!$B$8&gt;=1,FORSIDE!$F$8&gt;=8,FORSIDE!$B$5&gt;=4),"1863 -&gt; 1864","")</f>
        <v/>
      </c>
      <c r="C1695" t="str">
        <f>FORSIDE!$C$4</f>
        <v>S355, Stål / KFHUP 180x180x12.5</v>
      </c>
    </row>
    <row r="1696" spans="1:3" x14ac:dyDescent="0.3">
      <c r="A1696" t="str">
        <f>IF(AND(FORSIDE!$B$8&gt;=1,FORSIDE!$F$8&gt;=8,FORSIDE!$B$5&gt;=5),"S1695","")</f>
        <v/>
      </c>
      <c r="B1696" t="str">
        <f>IF(AND(FORSIDE!$B$8&gt;=1,FORSIDE!$F$8&gt;=8,FORSIDE!$B$5&gt;=5),"1864 -&gt; 1865","")</f>
        <v/>
      </c>
      <c r="C1696" t="str">
        <f>FORSIDE!$C$4</f>
        <v>S355, Stål / KFHUP 180x180x12.5</v>
      </c>
    </row>
    <row r="1697" spans="1:3" x14ac:dyDescent="0.3">
      <c r="A1697" t="str">
        <f>IF(AND(FORSIDE!$B$8&gt;=1,FORSIDE!$F$8&gt;=8,FORSIDE!$B$5&gt;=6),"S1696","")</f>
        <v/>
      </c>
      <c r="B1697" t="str">
        <f>IF(AND(FORSIDE!$B$8&gt;=1,FORSIDE!$F$8&gt;=8,FORSIDE!$B$5&gt;=6),"1865 -&gt; 1866","")</f>
        <v/>
      </c>
      <c r="C1697" t="str">
        <f>FORSIDE!$C$4</f>
        <v>S355, Stål / KFHUP 180x180x12.5</v>
      </c>
    </row>
    <row r="1698" spans="1:3" x14ac:dyDescent="0.3">
      <c r="A1698" t="str">
        <f>IF(AND(FORSIDE!$B$8&gt;=1,FORSIDE!$F$8&gt;=8,FORSIDE!$B$5&gt;=7),"S1697","")</f>
        <v/>
      </c>
      <c r="B1698" t="str">
        <f>IF(AND(FORSIDE!$B$8&gt;=1,FORSIDE!$F$8&gt;=8,FORSIDE!$B$5&gt;=7),"1866 -&gt; 1867","")</f>
        <v/>
      </c>
      <c r="C1698" t="str">
        <f>FORSIDE!$C$4</f>
        <v>S355, Stål / KFHUP 180x180x12.5</v>
      </c>
    </row>
    <row r="1699" spans="1:3" x14ac:dyDescent="0.3">
      <c r="A1699" t="str">
        <f>IF(AND(FORSIDE!$B$8&gt;=1,FORSIDE!$F$8&gt;=8,FORSIDE!$B$5&gt;=8),"S1698","")</f>
        <v/>
      </c>
      <c r="B1699" t="str">
        <f>IF(AND(FORSIDE!$B$8&gt;=1,FORSIDE!$F$8&gt;=8,FORSIDE!$B$5&gt;=8),"1867 -&gt; 1868","")</f>
        <v/>
      </c>
      <c r="C1699" t="str">
        <f>FORSIDE!$C$4</f>
        <v>S355, Stål / KFHUP 180x180x12.5</v>
      </c>
    </row>
    <row r="1700" spans="1:3" x14ac:dyDescent="0.3">
      <c r="A1700" t="str">
        <f>IF(AND(FORSIDE!$B$8&gt;=1,FORSIDE!$F$8&gt;=8,FORSIDE!$B$5&gt;=9),"S1699","")</f>
        <v/>
      </c>
      <c r="B1700" t="str">
        <f>IF(AND(FORSIDE!$B$8&gt;=1,FORSIDE!$F$8&gt;=8,FORSIDE!$B$5&gt;=9),"1868 -&gt; 1869","")</f>
        <v/>
      </c>
      <c r="C1700" t="str">
        <f>FORSIDE!$C$4</f>
        <v>S355, Stål / KFHUP 180x180x12.5</v>
      </c>
    </row>
    <row r="1701" spans="1:3" x14ac:dyDescent="0.3">
      <c r="A1701" t="str">
        <f>IF(AND(FORSIDE!$B$8&gt;=1,FORSIDE!$F$8&gt;=8,FORSIDE!$B$5&gt;=10),"S1700","")</f>
        <v/>
      </c>
      <c r="B1701" t="str">
        <f>IF(AND(FORSIDE!$B$8&gt;=1,FORSIDE!$F$8&gt;=8,FORSIDE!$B$5&gt;=10),"1869 -&gt; 1870","")</f>
        <v/>
      </c>
      <c r="C1701" t="str">
        <f>FORSIDE!$C$4</f>
        <v>S355, Stål / KFHUP 180x180x12.5</v>
      </c>
    </row>
    <row r="1702" spans="1:3" x14ac:dyDescent="0.3">
      <c r="A1702" t="str">
        <f>IF(AND(FORSIDE!$B$8&gt;=2,FORSIDE!$F$8&gt;=8,FORSIDE!$B$5&gt;=1),"S1701","")</f>
        <v/>
      </c>
      <c r="B1702" t="str">
        <f>IF(AND(FORSIDE!$B$8&gt;=2,FORSIDE!$F$8&gt;=8,FORSIDE!$B$5&gt;=1),"1871 -&gt; 1872","")</f>
        <v/>
      </c>
      <c r="C1702" t="str">
        <f>FORSIDE!$C$4</f>
        <v>S355, Stål / KFHUP 180x180x12.5</v>
      </c>
    </row>
    <row r="1703" spans="1:3" x14ac:dyDescent="0.3">
      <c r="A1703" t="str">
        <f>IF(AND(FORSIDE!$B$8&gt;=2,FORSIDE!$F$8&gt;=8,FORSIDE!$B$5&gt;=2),"S1702","")</f>
        <v/>
      </c>
      <c r="B1703" t="str">
        <f>IF(AND(FORSIDE!$B$8&gt;=2,FORSIDE!$F$8&gt;=8,FORSIDE!$B$5&gt;=2),"1872 -&gt; 1873","")</f>
        <v/>
      </c>
      <c r="C1703" t="str">
        <f>FORSIDE!$C$4</f>
        <v>S355, Stål / KFHUP 180x180x12.5</v>
      </c>
    </row>
    <row r="1704" spans="1:3" x14ac:dyDescent="0.3">
      <c r="A1704" t="str">
        <f>IF(AND(FORSIDE!$B$8&gt;=2,FORSIDE!$F$8&gt;=8,FORSIDE!$B$5&gt;=3),"S1703","")</f>
        <v/>
      </c>
      <c r="B1704" t="str">
        <f>IF(AND(FORSIDE!$B$8&gt;=2,FORSIDE!$F$8&gt;=8,FORSIDE!$B$5&gt;=3),"1873 -&gt; 1874","")</f>
        <v/>
      </c>
      <c r="C1704" t="str">
        <f>FORSIDE!$C$4</f>
        <v>S355, Stål / KFHUP 180x180x12.5</v>
      </c>
    </row>
    <row r="1705" spans="1:3" x14ac:dyDescent="0.3">
      <c r="A1705" t="str">
        <f>IF(AND(FORSIDE!$B$8&gt;=2,FORSIDE!$F$8&gt;=8,FORSIDE!$B$5&gt;=4),"S1704","")</f>
        <v/>
      </c>
      <c r="B1705" t="str">
        <f>IF(AND(FORSIDE!$B$8&gt;=2,FORSIDE!$F$8&gt;=8,FORSIDE!$B$5&gt;=4),"1874 -&gt; 1875","")</f>
        <v/>
      </c>
      <c r="C1705" t="str">
        <f>FORSIDE!$C$4</f>
        <v>S355, Stål / KFHUP 180x180x12.5</v>
      </c>
    </row>
    <row r="1706" spans="1:3" x14ac:dyDescent="0.3">
      <c r="A1706" t="str">
        <f>IF(AND(FORSIDE!$B$8&gt;=2,FORSIDE!$F$8&gt;=8,FORSIDE!$B$5&gt;=5),"S1705","")</f>
        <v/>
      </c>
      <c r="B1706" t="str">
        <f>IF(AND(FORSIDE!$B$8&gt;=2,FORSIDE!$F$8&gt;=8,FORSIDE!$B$5&gt;=5),"1875 -&gt; 1876","")</f>
        <v/>
      </c>
      <c r="C1706" t="str">
        <f>FORSIDE!$C$4</f>
        <v>S355, Stål / KFHUP 180x180x12.5</v>
      </c>
    </row>
    <row r="1707" spans="1:3" x14ac:dyDescent="0.3">
      <c r="A1707" t="str">
        <f>IF(AND(FORSIDE!$B$8&gt;=2,FORSIDE!$F$8&gt;=8,FORSIDE!$B$5&gt;=6),"S1706","")</f>
        <v/>
      </c>
      <c r="B1707" t="str">
        <f>IF(AND(FORSIDE!$B$8&gt;=2,FORSIDE!$F$8&gt;=8,FORSIDE!$B$5&gt;=6),"1876 -&gt; 1877","")</f>
        <v/>
      </c>
      <c r="C1707" t="str">
        <f>FORSIDE!$C$4</f>
        <v>S355, Stål / KFHUP 180x180x12.5</v>
      </c>
    </row>
    <row r="1708" spans="1:3" x14ac:dyDescent="0.3">
      <c r="A1708" t="str">
        <f>IF(AND(FORSIDE!$B$8&gt;=2,FORSIDE!$F$8&gt;=8,FORSIDE!$B$5&gt;=7),"S1707","")</f>
        <v/>
      </c>
      <c r="B1708" t="str">
        <f>IF(AND(FORSIDE!$B$8&gt;=2,FORSIDE!$F$8&gt;=8,FORSIDE!$B$5&gt;=7),"1877 -&gt; 1878","")</f>
        <v/>
      </c>
      <c r="C1708" t="str">
        <f>FORSIDE!$C$4</f>
        <v>S355, Stål / KFHUP 180x180x12.5</v>
      </c>
    </row>
    <row r="1709" spans="1:3" x14ac:dyDescent="0.3">
      <c r="A1709" t="str">
        <f>IF(AND(FORSIDE!$B$8&gt;=2,FORSIDE!$F$8&gt;=8,FORSIDE!$B$5&gt;=8),"S1708","")</f>
        <v/>
      </c>
      <c r="B1709" t="str">
        <f>IF(AND(FORSIDE!$B$8&gt;=2,FORSIDE!$F$8&gt;=8,FORSIDE!$B$5&gt;=8),"1878 -&gt; 1879","")</f>
        <v/>
      </c>
      <c r="C1709" t="str">
        <f>FORSIDE!$C$4</f>
        <v>S355, Stål / KFHUP 180x180x12.5</v>
      </c>
    </row>
    <row r="1710" spans="1:3" x14ac:dyDescent="0.3">
      <c r="A1710" t="str">
        <f>IF(AND(FORSIDE!$B$8&gt;=2,FORSIDE!$F$8&gt;=8,FORSIDE!$B$5&gt;=9),"S1709","")</f>
        <v/>
      </c>
      <c r="B1710" t="str">
        <f>IF(AND(FORSIDE!$B$8&gt;=2,FORSIDE!$F$8&gt;=8,FORSIDE!$B$5&gt;=9),"1879 -&gt; 1880","")</f>
        <v/>
      </c>
      <c r="C1710" t="str">
        <f>FORSIDE!$C$4</f>
        <v>S355, Stål / KFHUP 180x180x12.5</v>
      </c>
    </row>
    <row r="1711" spans="1:3" x14ac:dyDescent="0.3">
      <c r="A1711" t="str">
        <f>IF(AND(FORSIDE!$B$8&gt;=2,FORSIDE!$F$8&gt;=8,FORSIDE!$B$5&gt;=10),"S1710","")</f>
        <v/>
      </c>
      <c r="B1711" t="str">
        <f>IF(AND(FORSIDE!$B$8&gt;=2,FORSIDE!$F$8&gt;=8,FORSIDE!$B$5&gt;=10),"1880 -&gt; 1881","")</f>
        <v/>
      </c>
      <c r="C1711" t="str">
        <f>FORSIDE!$C$4</f>
        <v>S355, Stål / KFHUP 180x180x12.5</v>
      </c>
    </row>
    <row r="1712" spans="1:3" x14ac:dyDescent="0.3">
      <c r="A1712" t="str">
        <f>IF(AND(FORSIDE!$B$8&gt;=3,FORSIDE!$F$8&gt;=8,FORSIDE!$B$5&gt;=1),"S1711","")</f>
        <v/>
      </c>
      <c r="B1712" t="str">
        <f>IF(AND(FORSIDE!$B$8&gt;=3,FORSIDE!$F$8&gt;=8,FORSIDE!$B$5&gt;=1),"1882 -&gt; 1883","")</f>
        <v/>
      </c>
      <c r="C1712" t="str">
        <f>FORSIDE!$C$4</f>
        <v>S355, Stål / KFHUP 180x180x12.5</v>
      </c>
    </row>
    <row r="1713" spans="1:3" x14ac:dyDescent="0.3">
      <c r="A1713" t="str">
        <f>IF(AND(FORSIDE!$B$8&gt;=3,FORSIDE!$F$8&gt;=8,FORSIDE!$B$5&gt;=2),"S1712","")</f>
        <v/>
      </c>
      <c r="B1713" t="str">
        <f>IF(AND(FORSIDE!$B$8&gt;=3,FORSIDE!$F$8&gt;=8,FORSIDE!$B$5&gt;=2),"1883 -&gt; 1884","")</f>
        <v/>
      </c>
      <c r="C1713" t="str">
        <f>FORSIDE!$C$4</f>
        <v>S355, Stål / KFHUP 180x180x12.5</v>
      </c>
    </row>
    <row r="1714" spans="1:3" x14ac:dyDescent="0.3">
      <c r="A1714" t="str">
        <f>IF(AND(FORSIDE!$B$8&gt;=3,FORSIDE!$F$8&gt;=8,FORSIDE!$B$5&gt;=3),"S1713","")</f>
        <v/>
      </c>
      <c r="B1714" t="str">
        <f>IF(AND(FORSIDE!$B$8&gt;=3,FORSIDE!$F$8&gt;=8,FORSIDE!$B$5&gt;=3),"1884 -&gt; 1885","")</f>
        <v/>
      </c>
      <c r="C1714" t="str">
        <f>FORSIDE!$C$4</f>
        <v>S355, Stål / KFHUP 180x180x12.5</v>
      </c>
    </row>
    <row r="1715" spans="1:3" x14ac:dyDescent="0.3">
      <c r="A1715" t="str">
        <f>IF(AND(FORSIDE!$B$8&gt;=3,FORSIDE!$F$8&gt;=8,FORSIDE!$B$5&gt;=4),"S1714","")</f>
        <v/>
      </c>
      <c r="B1715" t="str">
        <f>IF(AND(FORSIDE!$B$8&gt;=3,FORSIDE!$F$8&gt;=8,FORSIDE!$B$5&gt;=4),"1885 -&gt; 1886","")</f>
        <v/>
      </c>
      <c r="C1715" t="str">
        <f>FORSIDE!$C$4</f>
        <v>S355, Stål / KFHUP 180x180x12.5</v>
      </c>
    </row>
    <row r="1716" spans="1:3" x14ac:dyDescent="0.3">
      <c r="A1716" t="str">
        <f>IF(AND(FORSIDE!$B$8&gt;=3,FORSIDE!$F$8&gt;=8,FORSIDE!$B$5&gt;=5),"S1715","")</f>
        <v/>
      </c>
      <c r="B1716" t="str">
        <f>IF(AND(FORSIDE!$B$8&gt;=3,FORSIDE!$F$8&gt;=8,FORSIDE!$B$5&gt;=5),"1886 -&gt; 1887","")</f>
        <v/>
      </c>
      <c r="C1716" t="str">
        <f>FORSIDE!$C$4</f>
        <v>S355, Stål / KFHUP 180x180x12.5</v>
      </c>
    </row>
    <row r="1717" spans="1:3" x14ac:dyDescent="0.3">
      <c r="A1717" t="str">
        <f>IF(AND(FORSIDE!$B$8&gt;=3,FORSIDE!$F$8&gt;=8,FORSIDE!$B$5&gt;=6),"S1716","")</f>
        <v/>
      </c>
      <c r="B1717" t="str">
        <f>IF(AND(FORSIDE!$B$8&gt;=3,FORSIDE!$F$8&gt;=8,FORSIDE!$B$5&gt;=6),"1887 -&gt; 1888","")</f>
        <v/>
      </c>
      <c r="C1717" t="str">
        <f>FORSIDE!$C$4</f>
        <v>S355, Stål / KFHUP 180x180x12.5</v>
      </c>
    </row>
    <row r="1718" spans="1:3" x14ac:dyDescent="0.3">
      <c r="A1718" t="str">
        <f>IF(AND(FORSIDE!$B$8&gt;=3,FORSIDE!$F$8&gt;=8,FORSIDE!$B$5&gt;=7),"S1717","")</f>
        <v/>
      </c>
      <c r="B1718" t="str">
        <f>IF(AND(FORSIDE!$B$8&gt;=3,FORSIDE!$F$8&gt;=8,FORSIDE!$B$5&gt;=7),"1888 -&gt; 1889","")</f>
        <v/>
      </c>
      <c r="C1718" t="str">
        <f>FORSIDE!$C$4</f>
        <v>S355, Stål / KFHUP 180x180x12.5</v>
      </c>
    </row>
    <row r="1719" spans="1:3" x14ac:dyDescent="0.3">
      <c r="A1719" t="str">
        <f>IF(AND(FORSIDE!$B$8&gt;=3,FORSIDE!$F$8&gt;=8,FORSIDE!$B$5&gt;=8),"S1718","")</f>
        <v/>
      </c>
      <c r="B1719" t="str">
        <f>IF(AND(FORSIDE!$B$8&gt;=3,FORSIDE!$F$8&gt;=8,FORSIDE!$B$5&gt;=8),"1889 -&gt; 1890","")</f>
        <v/>
      </c>
      <c r="C1719" t="str">
        <f>FORSIDE!$C$4</f>
        <v>S355, Stål / KFHUP 180x180x12.5</v>
      </c>
    </row>
    <row r="1720" spans="1:3" x14ac:dyDescent="0.3">
      <c r="A1720" t="str">
        <f>IF(AND(FORSIDE!$B$8&gt;=3,FORSIDE!$F$8&gt;=8,FORSIDE!$B$5&gt;=9),"S1719","")</f>
        <v/>
      </c>
      <c r="B1720" t="str">
        <f>IF(AND(FORSIDE!$B$8&gt;=3,FORSIDE!$F$8&gt;=8,FORSIDE!$B$5&gt;=9),"1890 -&gt; 1891","")</f>
        <v/>
      </c>
      <c r="C1720" t="str">
        <f>FORSIDE!$C$4</f>
        <v>S355, Stål / KFHUP 180x180x12.5</v>
      </c>
    </row>
    <row r="1721" spans="1:3" x14ac:dyDescent="0.3">
      <c r="A1721" t="str">
        <f>IF(AND(FORSIDE!$B$8&gt;=3,FORSIDE!$F$8&gt;=8,FORSIDE!$B$5&gt;=10),"S1720","")</f>
        <v/>
      </c>
      <c r="B1721" t="str">
        <f>IF(AND(FORSIDE!$B$8&gt;=3,FORSIDE!$F$8&gt;=8,FORSIDE!$B$5&gt;=10),"1891 -&gt; 1892","")</f>
        <v/>
      </c>
      <c r="C1721" t="str">
        <f>FORSIDE!$C$4</f>
        <v>S355, Stål / KFHUP 180x180x12.5</v>
      </c>
    </row>
    <row r="1722" spans="1:3" x14ac:dyDescent="0.3">
      <c r="A1722" t="str">
        <f>IF(AND(FORSIDE!$B$8&gt;=4,FORSIDE!$F$8&gt;=8,FORSIDE!$B$5&gt;=1),"S1721","")</f>
        <v/>
      </c>
      <c r="B1722" t="str">
        <f>IF(AND(FORSIDE!$B$8&gt;=4,FORSIDE!$F$8&gt;=8,FORSIDE!$B$5&gt;=1),"1893 -&gt; 1894","")</f>
        <v/>
      </c>
      <c r="C1722" t="str">
        <f>FORSIDE!$C$4</f>
        <v>S355, Stål / KFHUP 180x180x12.5</v>
      </c>
    </row>
    <row r="1723" spans="1:3" x14ac:dyDescent="0.3">
      <c r="A1723" t="str">
        <f>IF(AND(FORSIDE!$B$8&gt;=4,FORSIDE!$F$8&gt;=8,FORSIDE!$B$5&gt;=2),"S1722","")</f>
        <v/>
      </c>
      <c r="B1723" t="str">
        <f>IF(AND(FORSIDE!$B$8&gt;=4,FORSIDE!$F$8&gt;=8,FORSIDE!$B$5&gt;=2),"1894 -&gt; 1895","")</f>
        <v/>
      </c>
      <c r="C1723" t="str">
        <f>FORSIDE!$C$4</f>
        <v>S355, Stål / KFHUP 180x180x12.5</v>
      </c>
    </row>
    <row r="1724" spans="1:3" x14ac:dyDescent="0.3">
      <c r="A1724" t="str">
        <f>IF(AND(FORSIDE!$B$8&gt;=4,FORSIDE!$F$8&gt;=8,FORSIDE!$B$5&gt;=3),"S1723","")</f>
        <v/>
      </c>
      <c r="B1724" t="str">
        <f>IF(AND(FORSIDE!$B$8&gt;=4,FORSIDE!$F$8&gt;=8,FORSIDE!$B$5&gt;=3),"1895 -&gt; 1896","")</f>
        <v/>
      </c>
      <c r="C1724" t="str">
        <f>FORSIDE!$C$4</f>
        <v>S355, Stål / KFHUP 180x180x12.5</v>
      </c>
    </row>
    <row r="1725" spans="1:3" x14ac:dyDescent="0.3">
      <c r="A1725" t="str">
        <f>IF(AND(FORSIDE!$B$8&gt;=4,FORSIDE!$F$8&gt;=8,FORSIDE!$B$5&gt;=4),"S1724","")</f>
        <v/>
      </c>
      <c r="B1725" t="str">
        <f>IF(AND(FORSIDE!$B$8&gt;=4,FORSIDE!$F$8&gt;=8,FORSIDE!$B$5&gt;=4),"1896 -&gt; 1897","")</f>
        <v/>
      </c>
      <c r="C1725" t="str">
        <f>FORSIDE!$C$4</f>
        <v>S355, Stål / KFHUP 180x180x12.5</v>
      </c>
    </row>
    <row r="1726" spans="1:3" x14ac:dyDescent="0.3">
      <c r="A1726" t="str">
        <f>IF(AND(FORSIDE!$B$8&gt;=4,FORSIDE!$F$8&gt;=8,FORSIDE!$B$5&gt;=5),"S1725","")</f>
        <v/>
      </c>
      <c r="B1726" t="str">
        <f>IF(AND(FORSIDE!$B$8&gt;=4,FORSIDE!$F$8&gt;=8,FORSIDE!$B$5&gt;=5),"1897 -&gt; 1898","")</f>
        <v/>
      </c>
      <c r="C1726" t="str">
        <f>FORSIDE!$C$4</f>
        <v>S355, Stål / KFHUP 180x180x12.5</v>
      </c>
    </row>
    <row r="1727" spans="1:3" x14ac:dyDescent="0.3">
      <c r="A1727" t="str">
        <f>IF(AND(FORSIDE!$B$8&gt;=4,FORSIDE!$F$8&gt;=8,FORSIDE!$B$5&gt;=6),"S1726","")</f>
        <v/>
      </c>
      <c r="B1727" t="str">
        <f>IF(AND(FORSIDE!$B$8&gt;=4,FORSIDE!$F$8&gt;=8,FORSIDE!$B$5&gt;=6),"1898 -&gt; 1899","")</f>
        <v/>
      </c>
      <c r="C1727" t="str">
        <f>FORSIDE!$C$4</f>
        <v>S355, Stål / KFHUP 180x180x12.5</v>
      </c>
    </row>
    <row r="1728" spans="1:3" x14ac:dyDescent="0.3">
      <c r="A1728" t="str">
        <f>IF(AND(FORSIDE!$B$8&gt;=4,FORSIDE!$F$8&gt;=8,FORSIDE!$B$5&gt;=7),"S1727","")</f>
        <v/>
      </c>
      <c r="B1728" t="str">
        <f>IF(AND(FORSIDE!$B$8&gt;=4,FORSIDE!$F$8&gt;=8,FORSIDE!$B$5&gt;=7),"1899 -&gt; 1900","")</f>
        <v/>
      </c>
      <c r="C1728" t="str">
        <f>FORSIDE!$C$4</f>
        <v>S355, Stål / KFHUP 180x180x12.5</v>
      </c>
    </row>
    <row r="1729" spans="1:3" x14ac:dyDescent="0.3">
      <c r="A1729" t="str">
        <f>IF(AND(FORSIDE!$B$8&gt;=4,FORSIDE!$F$8&gt;=8,FORSIDE!$B$5&gt;=8),"S1728","")</f>
        <v/>
      </c>
      <c r="B1729" t="str">
        <f>IF(AND(FORSIDE!$B$8&gt;=4,FORSIDE!$F$8&gt;=8,FORSIDE!$B$5&gt;=8),"1900 -&gt; 1901","")</f>
        <v/>
      </c>
      <c r="C1729" t="str">
        <f>FORSIDE!$C$4</f>
        <v>S355, Stål / KFHUP 180x180x12.5</v>
      </c>
    </row>
    <row r="1730" spans="1:3" x14ac:dyDescent="0.3">
      <c r="A1730" t="str">
        <f>IF(AND(FORSIDE!$B$8&gt;=4,FORSIDE!$F$8&gt;=8,FORSIDE!$B$5&gt;=9),"S1729","")</f>
        <v/>
      </c>
      <c r="B1730" t="str">
        <f>IF(AND(FORSIDE!$B$8&gt;=4,FORSIDE!$F$8&gt;=8,FORSIDE!$B$5&gt;=9),"1901 -&gt; 1902","")</f>
        <v/>
      </c>
      <c r="C1730" t="str">
        <f>FORSIDE!$C$4</f>
        <v>S355, Stål / KFHUP 180x180x12.5</v>
      </c>
    </row>
    <row r="1731" spans="1:3" x14ac:dyDescent="0.3">
      <c r="A1731" t="str">
        <f>IF(AND(FORSIDE!$B$8&gt;=4,FORSIDE!$F$8&gt;=8,FORSIDE!$B$5&gt;=10),"S1730","")</f>
        <v/>
      </c>
      <c r="B1731" t="str">
        <f>IF(AND(FORSIDE!$B$8&gt;=4,FORSIDE!$F$8&gt;=8,FORSIDE!$B$5&gt;=10),"1902 -&gt; 1903","")</f>
        <v/>
      </c>
      <c r="C1731" t="str">
        <f>FORSIDE!$C$4</f>
        <v>S355, Stål / KFHUP 180x180x12.5</v>
      </c>
    </row>
    <row r="1732" spans="1:3" x14ac:dyDescent="0.3">
      <c r="A1732" t="str">
        <f>IF(AND(FORSIDE!$B$8&gt;=5,FORSIDE!$F$8&gt;=8,FORSIDE!$B$5&gt;=1),"S1731","")</f>
        <v/>
      </c>
      <c r="B1732" t="str">
        <f>IF(AND(FORSIDE!$B$8&gt;=5,FORSIDE!$F$8&gt;=8,FORSIDE!$B$5&gt;=1),"1904 -&gt; 1905","")</f>
        <v/>
      </c>
      <c r="C1732" t="str">
        <f>FORSIDE!$C$4</f>
        <v>S355, Stål / KFHUP 180x180x12.5</v>
      </c>
    </row>
    <row r="1733" spans="1:3" x14ac:dyDescent="0.3">
      <c r="A1733" t="str">
        <f>IF(AND(FORSIDE!$B$8&gt;=5,FORSIDE!$F$8&gt;=8,FORSIDE!$B$5&gt;=2),"S1732","")</f>
        <v/>
      </c>
      <c r="B1733" t="str">
        <f>IF(AND(FORSIDE!$B$8&gt;=5,FORSIDE!$F$8&gt;=8,FORSIDE!$B$5&gt;=2),"1905 -&gt; 1906","")</f>
        <v/>
      </c>
      <c r="C1733" t="str">
        <f>FORSIDE!$C$4</f>
        <v>S355, Stål / KFHUP 180x180x12.5</v>
      </c>
    </row>
    <row r="1734" spans="1:3" x14ac:dyDescent="0.3">
      <c r="A1734" t="str">
        <f>IF(AND(FORSIDE!$B$8&gt;=5,FORSIDE!$F$8&gt;=8,FORSIDE!$B$5&gt;=3),"S1733","")</f>
        <v/>
      </c>
      <c r="B1734" t="str">
        <f>IF(AND(FORSIDE!$B$8&gt;=5,FORSIDE!$F$8&gt;=8,FORSIDE!$B$5&gt;=3),"1906 -&gt; 1907","")</f>
        <v/>
      </c>
      <c r="C1734" t="str">
        <f>FORSIDE!$C$4</f>
        <v>S355, Stål / KFHUP 180x180x12.5</v>
      </c>
    </row>
    <row r="1735" spans="1:3" x14ac:dyDescent="0.3">
      <c r="A1735" t="str">
        <f>IF(AND(FORSIDE!$B$8&gt;=5,FORSIDE!$F$8&gt;=8,FORSIDE!$B$5&gt;=4),"S1734","")</f>
        <v/>
      </c>
      <c r="B1735" t="str">
        <f>IF(AND(FORSIDE!$B$8&gt;=5,FORSIDE!$F$8&gt;=8,FORSIDE!$B$5&gt;=4),"1907 -&gt; 1908","")</f>
        <v/>
      </c>
      <c r="C1735" t="str">
        <f>FORSIDE!$C$4</f>
        <v>S355, Stål / KFHUP 180x180x12.5</v>
      </c>
    </row>
    <row r="1736" spans="1:3" x14ac:dyDescent="0.3">
      <c r="A1736" t="str">
        <f>IF(AND(FORSIDE!$B$8&gt;=5,FORSIDE!$F$8&gt;=8,FORSIDE!$B$5&gt;=5),"S1735","")</f>
        <v/>
      </c>
      <c r="B1736" t="str">
        <f>IF(AND(FORSIDE!$B$8&gt;=5,FORSIDE!$F$8&gt;=8,FORSIDE!$B$5&gt;=5),"1908 -&gt; 1909","")</f>
        <v/>
      </c>
      <c r="C1736" t="str">
        <f>FORSIDE!$C$4</f>
        <v>S355, Stål / KFHUP 180x180x12.5</v>
      </c>
    </row>
    <row r="1737" spans="1:3" x14ac:dyDescent="0.3">
      <c r="A1737" t="str">
        <f>IF(AND(FORSIDE!$B$8&gt;=5,FORSIDE!$F$8&gt;=8,FORSIDE!$B$5&gt;=6),"S1736","")</f>
        <v/>
      </c>
      <c r="B1737" t="str">
        <f>IF(AND(FORSIDE!$B$8&gt;=5,FORSIDE!$F$8&gt;=8,FORSIDE!$B$5&gt;=6),"1909 -&gt; 1910","")</f>
        <v/>
      </c>
      <c r="C1737" t="str">
        <f>FORSIDE!$C$4</f>
        <v>S355, Stål / KFHUP 180x180x12.5</v>
      </c>
    </row>
    <row r="1738" spans="1:3" x14ac:dyDescent="0.3">
      <c r="A1738" t="str">
        <f>IF(AND(FORSIDE!$B$8&gt;=5,FORSIDE!$F$8&gt;=8,FORSIDE!$B$5&gt;=7),"S1737","")</f>
        <v/>
      </c>
      <c r="B1738" t="str">
        <f>IF(AND(FORSIDE!$B$8&gt;=5,FORSIDE!$F$8&gt;=8,FORSIDE!$B$5&gt;=7),"1910 -&gt; 1911","")</f>
        <v/>
      </c>
      <c r="C1738" t="str">
        <f>FORSIDE!$C$4</f>
        <v>S355, Stål / KFHUP 180x180x12.5</v>
      </c>
    </row>
    <row r="1739" spans="1:3" x14ac:dyDescent="0.3">
      <c r="A1739" t="str">
        <f>IF(AND(FORSIDE!$B$8&gt;=5,FORSIDE!$F$8&gt;=8,FORSIDE!$B$5&gt;=8),"S1738","")</f>
        <v/>
      </c>
      <c r="B1739" t="str">
        <f>IF(AND(FORSIDE!$B$8&gt;=5,FORSIDE!$F$8&gt;=8,FORSIDE!$B$5&gt;=8),"1911 -&gt; 1912","")</f>
        <v/>
      </c>
      <c r="C1739" t="str">
        <f>FORSIDE!$C$4</f>
        <v>S355, Stål / KFHUP 180x180x12.5</v>
      </c>
    </row>
    <row r="1740" spans="1:3" x14ac:dyDescent="0.3">
      <c r="A1740" t="str">
        <f>IF(AND(FORSIDE!$B$8&gt;=5,FORSIDE!$F$8&gt;=8,FORSIDE!$B$5&gt;=9),"S1739","")</f>
        <v/>
      </c>
      <c r="B1740" t="str">
        <f>IF(AND(FORSIDE!$B$8&gt;=5,FORSIDE!$F$8&gt;=8,FORSIDE!$B$5&gt;=9),"1912 -&gt; 1913","")</f>
        <v/>
      </c>
      <c r="C1740" t="str">
        <f>FORSIDE!$C$4</f>
        <v>S355, Stål / KFHUP 180x180x12.5</v>
      </c>
    </row>
    <row r="1741" spans="1:3" x14ac:dyDescent="0.3">
      <c r="A1741" t="str">
        <f>IF(AND(FORSIDE!$B$8&gt;=5,FORSIDE!$F$8&gt;=8,FORSIDE!$B$5&gt;=10),"S1740","")</f>
        <v/>
      </c>
      <c r="B1741" t="str">
        <f>IF(AND(FORSIDE!$B$8&gt;=5,FORSIDE!$F$8&gt;=8,FORSIDE!$B$5&gt;=10),"1913 -&gt; 1914","")</f>
        <v/>
      </c>
      <c r="C1741" t="str">
        <f>FORSIDE!$C$4</f>
        <v>S355, Stål / KFHUP 180x180x12.5</v>
      </c>
    </row>
    <row r="1742" spans="1:3" x14ac:dyDescent="0.3">
      <c r="A1742" t="str">
        <f>IF(AND(FORSIDE!$B$8&gt;=6,FORSIDE!$F$8&gt;=8,FORSIDE!$B$5&gt;=1),"S1741","")</f>
        <v/>
      </c>
      <c r="B1742" t="str">
        <f>IF(AND(FORSIDE!$B$8&gt;=6,FORSIDE!$F$8&gt;=8,FORSIDE!$B$5&gt;=1),"1915 -&gt; 1916","")</f>
        <v/>
      </c>
      <c r="C1742" t="str">
        <f>FORSIDE!$C$4</f>
        <v>S355, Stål / KFHUP 180x180x12.5</v>
      </c>
    </row>
    <row r="1743" spans="1:3" x14ac:dyDescent="0.3">
      <c r="A1743" t="str">
        <f>IF(AND(FORSIDE!$B$8&gt;=6,FORSIDE!$F$8&gt;=8,FORSIDE!$B$5&gt;=2),"S1742","")</f>
        <v/>
      </c>
      <c r="B1743" t="str">
        <f>IF(AND(FORSIDE!$B$8&gt;=6,FORSIDE!$F$8&gt;=8,FORSIDE!$B$5&gt;=2),"1916 -&gt; 1917","")</f>
        <v/>
      </c>
      <c r="C1743" t="str">
        <f>FORSIDE!$C$4</f>
        <v>S355, Stål / KFHUP 180x180x12.5</v>
      </c>
    </row>
    <row r="1744" spans="1:3" x14ac:dyDescent="0.3">
      <c r="A1744" t="str">
        <f>IF(AND(FORSIDE!$B$8&gt;=6,FORSIDE!$F$8&gt;=8,FORSIDE!$B$5&gt;=3),"S1743","")</f>
        <v/>
      </c>
      <c r="B1744" t="str">
        <f>IF(AND(FORSIDE!$B$8&gt;=6,FORSIDE!$F$8&gt;=8,FORSIDE!$B$5&gt;=3),"1917 -&gt; 1918","")</f>
        <v/>
      </c>
      <c r="C1744" t="str">
        <f>FORSIDE!$C$4</f>
        <v>S355, Stål / KFHUP 180x180x12.5</v>
      </c>
    </row>
    <row r="1745" spans="1:3" x14ac:dyDescent="0.3">
      <c r="A1745" t="str">
        <f>IF(AND(FORSIDE!$B$8&gt;=6,FORSIDE!$F$8&gt;=8,FORSIDE!$B$5&gt;=4),"S1744","")</f>
        <v/>
      </c>
      <c r="B1745" t="str">
        <f>IF(AND(FORSIDE!$B$8&gt;=6,FORSIDE!$F$8&gt;=8,FORSIDE!$B$5&gt;=4),"1918 -&gt; 1919","")</f>
        <v/>
      </c>
      <c r="C1745" t="str">
        <f>FORSIDE!$C$4</f>
        <v>S355, Stål / KFHUP 180x180x12.5</v>
      </c>
    </row>
    <row r="1746" spans="1:3" x14ac:dyDescent="0.3">
      <c r="A1746" t="str">
        <f>IF(AND(FORSIDE!$B$8&gt;=6,FORSIDE!$F$8&gt;=8,FORSIDE!$B$5&gt;=5),"S1745","")</f>
        <v/>
      </c>
      <c r="B1746" t="str">
        <f>IF(AND(FORSIDE!$B$8&gt;=6,FORSIDE!$F$8&gt;=8,FORSIDE!$B$5&gt;=5),"1919 -&gt; 1920","")</f>
        <v/>
      </c>
      <c r="C1746" t="str">
        <f>FORSIDE!$C$4</f>
        <v>S355, Stål / KFHUP 180x180x12.5</v>
      </c>
    </row>
    <row r="1747" spans="1:3" x14ac:dyDescent="0.3">
      <c r="A1747" t="str">
        <f>IF(AND(FORSIDE!$B$8&gt;=6,FORSIDE!$F$8&gt;=8,FORSIDE!$B$5&gt;=6),"S1746","")</f>
        <v/>
      </c>
      <c r="B1747" t="str">
        <f>IF(AND(FORSIDE!$B$8&gt;=6,FORSIDE!$F$8&gt;=8,FORSIDE!$B$5&gt;=6),"1920 -&gt; 1921","")</f>
        <v/>
      </c>
      <c r="C1747" t="str">
        <f>FORSIDE!$C$4</f>
        <v>S355, Stål / KFHUP 180x180x12.5</v>
      </c>
    </row>
    <row r="1748" spans="1:3" x14ac:dyDescent="0.3">
      <c r="A1748" t="str">
        <f>IF(AND(FORSIDE!$B$8&gt;=6,FORSIDE!$F$8&gt;=8,FORSIDE!$B$5&gt;=7),"S1747","")</f>
        <v/>
      </c>
      <c r="B1748" t="str">
        <f>IF(AND(FORSIDE!$B$8&gt;=6,FORSIDE!$F$8&gt;=8,FORSIDE!$B$5&gt;=7),"1921 -&gt; 1922","")</f>
        <v/>
      </c>
      <c r="C1748" t="str">
        <f>FORSIDE!$C$4</f>
        <v>S355, Stål / KFHUP 180x180x12.5</v>
      </c>
    </row>
    <row r="1749" spans="1:3" x14ac:dyDescent="0.3">
      <c r="A1749" t="str">
        <f>IF(AND(FORSIDE!$B$8&gt;=6,FORSIDE!$F$8&gt;=8,FORSIDE!$B$5&gt;=8),"S1748","")</f>
        <v/>
      </c>
      <c r="B1749" t="str">
        <f>IF(AND(FORSIDE!$B$8&gt;=6,FORSIDE!$F$8&gt;=8,FORSIDE!$B$5&gt;=8),"1922 -&gt; 1923","")</f>
        <v/>
      </c>
      <c r="C1749" t="str">
        <f>FORSIDE!$C$4</f>
        <v>S355, Stål / KFHUP 180x180x12.5</v>
      </c>
    </row>
    <row r="1750" spans="1:3" x14ac:dyDescent="0.3">
      <c r="A1750" t="str">
        <f>IF(AND(FORSIDE!$B$8&gt;=6,FORSIDE!$F$8&gt;=8,FORSIDE!$B$5&gt;=9),"S1749","")</f>
        <v/>
      </c>
      <c r="B1750" t="str">
        <f>IF(AND(FORSIDE!$B$8&gt;=6,FORSIDE!$F$8&gt;=8,FORSIDE!$B$5&gt;=9),"1923 -&gt; 1924","")</f>
        <v/>
      </c>
      <c r="C1750" t="str">
        <f>FORSIDE!$C$4</f>
        <v>S355, Stål / KFHUP 180x180x12.5</v>
      </c>
    </row>
    <row r="1751" spans="1:3" x14ac:dyDescent="0.3">
      <c r="A1751" t="str">
        <f>IF(AND(FORSIDE!$B$8&gt;=6,FORSIDE!$F$8&gt;=8,FORSIDE!$B$5&gt;=10),"S1750","")</f>
        <v/>
      </c>
      <c r="B1751" t="str">
        <f>IF(AND(FORSIDE!$B$8&gt;=6,FORSIDE!$F$8&gt;=8,FORSIDE!$B$5&gt;=10),"1924 -&gt; 1925","")</f>
        <v/>
      </c>
      <c r="C1751" t="str">
        <f>FORSIDE!$C$4</f>
        <v>S355, Stål / KFHUP 180x180x12.5</v>
      </c>
    </row>
    <row r="1752" spans="1:3" x14ac:dyDescent="0.3">
      <c r="A1752" t="str">
        <f>IF(AND(FORSIDE!$B$8&gt;=7,FORSIDE!$F$8&gt;=8,FORSIDE!$B$5&gt;=1),"S1751","")</f>
        <v/>
      </c>
      <c r="B1752" t="str">
        <f>IF(AND(FORSIDE!$B$8&gt;=7,FORSIDE!$F$8&gt;=8,FORSIDE!$B$5&gt;=1),"1926 -&gt; 1927","")</f>
        <v/>
      </c>
      <c r="C1752" t="str">
        <f>FORSIDE!$C$4</f>
        <v>S355, Stål / KFHUP 180x180x12.5</v>
      </c>
    </row>
    <row r="1753" spans="1:3" x14ac:dyDescent="0.3">
      <c r="A1753" t="str">
        <f>IF(AND(FORSIDE!$B$8&gt;=7,FORSIDE!$F$8&gt;=8,FORSIDE!$B$5&gt;=2),"S1752","")</f>
        <v/>
      </c>
      <c r="B1753" t="str">
        <f>IF(AND(FORSIDE!$B$8&gt;=7,FORSIDE!$F$8&gt;=8,FORSIDE!$B$5&gt;=2),"1927 -&gt; 1928","")</f>
        <v/>
      </c>
      <c r="C1753" t="str">
        <f>FORSIDE!$C$4</f>
        <v>S355, Stål / KFHUP 180x180x12.5</v>
      </c>
    </row>
    <row r="1754" spans="1:3" x14ac:dyDescent="0.3">
      <c r="A1754" t="str">
        <f>IF(AND(FORSIDE!$B$8&gt;=7,FORSIDE!$F$8&gt;=8,FORSIDE!$B$5&gt;=3),"S1753","")</f>
        <v/>
      </c>
      <c r="B1754" t="str">
        <f>IF(AND(FORSIDE!$B$8&gt;=7,FORSIDE!$F$8&gt;=8,FORSIDE!$B$5&gt;=3),"1928 -&gt; 1929","")</f>
        <v/>
      </c>
      <c r="C1754" t="str">
        <f>FORSIDE!$C$4</f>
        <v>S355, Stål / KFHUP 180x180x12.5</v>
      </c>
    </row>
    <row r="1755" spans="1:3" x14ac:dyDescent="0.3">
      <c r="A1755" t="str">
        <f>IF(AND(FORSIDE!$B$8&gt;=7,FORSIDE!$F$8&gt;=8,FORSIDE!$B$5&gt;=4),"S1754","")</f>
        <v/>
      </c>
      <c r="B1755" t="str">
        <f>IF(AND(FORSIDE!$B$8&gt;=7,FORSIDE!$F$8&gt;=8,FORSIDE!$B$5&gt;=4),"1929 -&gt; 1930","")</f>
        <v/>
      </c>
      <c r="C1755" t="str">
        <f>FORSIDE!$C$4</f>
        <v>S355, Stål / KFHUP 180x180x12.5</v>
      </c>
    </row>
    <row r="1756" spans="1:3" x14ac:dyDescent="0.3">
      <c r="A1756" t="str">
        <f>IF(AND(FORSIDE!$B$8&gt;=7,FORSIDE!$F$8&gt;=8,FORSIDE!$B$5&gt;=5),"S1755","")</f>
        <v/>
      </c>
      <c r="B1756" t="str">
        <f>IF(AND(FORSIDE!$B$8&gt;=7,FORSIDE!$F$8&gt;=8,FORSIDE!$B$5&gt;=5),"1930 -&gt; 1931","")</f>
        <v/>
      </c>
      <c r="C1756" t="str">
        <f>FORSIDE!$C$4</f>
        <v>S355, Stål / KFHUP 180x180x12.5</v>
      </c>
    </row>
    <row r="1757" spans="1:3" x14ac:dyDescent="0.3">
      <c r="A1757" t="str">
        <f>IF(AND(FORSIDE!$B$8&gt;=7,FORSIDE!$F$8&gt;=8,FORSIDE!$B$5&gt;=6),"S1756","")</f>
        <v/>
      </c>
      <c r="B1757" t="str">
        <f>IF(AND(FORSIDE!$B$8&gt;=7,FORSIDE!$F$8&gt;=8,FORSIDE!$B$5&gt;=6),"1931 -&gt; 1932","")</f>
        <v/>
      </c>
      <c r="C1757" t="str">
        <f>FORSIDE!$C$4</f>
        <v>S355, Stål / KFHUP 180x180x12.5</v>
      </c>
    </row>
    <row r="1758" spans="1:3" x14ac:dyDescent="0.3">
      <c r="A1758" t="str">
        <f>IF(AND(FORSIDE!$B$8&gt;=7,FORSIDE!$F$8&gt;=8,FORSIDE!$B$5&gt;=7),"S1757","")</f>
        <v/>
      </c>
      <c r="B1758" t="str">
        <f>IF(AND(FORSIDE!$B$8&gt;=7,FORSIDE!$F$8&gt;=8,FORSIDE!$B$5&gt;=7),"1932 -&gt; 1933","")</f>
        <v/>
      </c>
      <c r="C1758" t="str">
        <f>FORSIDE!$C$4</f>
        <v>S355, Stål / KFHUP 180x180x12.5</v>
      </c>
    </row>
    <row r="1759" spans="1:3" x14ac:dyDescent="0.3">
      <c r="A1759" t="str">
        <f>IF(AND(FORSIDE!$B$8&gt;=7,FORSIDE!$F$8&gt;=8,FORSIDE!$B$5&gt;=8),"S1758","")</f>
        <v/>
      </c>
      <c r="B1759" t="str">
        <f>IF(AND(FORSIDE!$B$8&gt;=7,FORSIDE!$F$8&gt;=8,FORSIDE!$B$5&gt;=8),"1933 -&gt; 1934","")</f>
        <v/>
      </c>
      <c r="C1759" t="str">
        <f>FORSIDE!$C$4</f>
        <v>S355, Stål / KFHUP 180x180x12.5</v>
      </c>
    </row>
    <row r="1760" spans="1:3" x14ac:dyDescent="0.3">
      <c r="A1760" t="str">
        <f>IF(AND(FORSIDE!$B$8&gt;=7,FORSIDE!$F$8&gt;=8,FORSIDE!$B$5&gt;=9),"S1759","")</f>
        <v/>
      </c>
      <c r="B1760" t="str">
        <f>IF(AND(FORSIDE!$B$8&gt;=7,FORSIDE!$F$8&gt;=8,FORSIDE!$B$5&gt;=9),"1934 -&gt; 1935","")</f>
        <v/>
      </c>
      <c r="C1760" t="str">
        <f>FORSIDE!$C$4</f>
        <v>S355, Stål / KFHUP 180x180x12.5</v>
      </c>
    </row>
    <row r="1761" spans="1:3" x14ac:dyDescent="0.3">
      <c r="A1761" t="str">
        <f>IF(AND(FORSIDE!$B$8&gt;=7,FORSIDE!$F$8&gt;=8,FORSIDE!$B$5&gt;=10),"S1760","")</f>
        <v/>
      </c>
      <c r="B1761" t="str">
        <f>IF(AND(FORSIDE!$B$8&gt;=7,FORSIDE!$F$8&gt;=8,FORSIDE!$B$5&gt;=10),"1935 -&gt; 1936","")</f>
        <v/>
      </c>
      <c r="C1761" t="str">
        <f>FORSIDE!$C$4</f>
        <v>S355, Stål / KFHUP 180x180x12.5</v>
      </c>
    </row>
    <row r="1762" spans="1:3" x14ac:dyDescent="0.3">
      <c r="A1762" t="str">
        <f>IF(AND(FORSIDE!$B$8&gt;=8,FORSIDE!$F$8&gt;=8,FORSIDE!$B$5&gt;=1),"S1761","")</f>
        <v/>
      </c>
      <c r="B1762" t="str">
        <f>IF(AND(FORSIDE!$B$8&gt;=8,FORSIDE!$F$8&gt;=8,FORSIDE!$B$5&gt;=1),"1937 -&gt; 1938","")</f>
        <v/>
      </c>
      <c r="C1762" t="str">
        <f>FORSIDE!$C$4</f>
        <v>S355, Stål / KFHUP 180x180x12.5</v>
      </c>
    </row>
    <row r="1763" spans="1:3" x14ac:dyDescent="0.3">
      <c r="A1763" t="str">
        <f>IF(AND(FORSIDE!$B$8&gt;=8,FORSIDE!$F$8&gt;=8,FORSIDE!$B$5&gt;=2),"S1762","")</f>
        <v/>
      </c>
      <c r="B1763" t="str">
        <f>IF(AND(FORSIDE!$B$8&gt;=8,FORSIDE!$F$8&gt;=8,FORSIDE!$B$5&gt;=2),"1938 -&gt; 1939","")</f>
        <v/>
      </c>
      <c r="C1763" t="str">
        <f>FORSIDE!$C$4</f>
        <v>S355, Stål / KFHUP 180x180x12.5</v>
      </c>
    </row>
    <row r="1764" spans="1:3" x14ac:dyDescent="0.3">
      <c r="A1764" t="str">
        <f>IF(AND(FORSIDE!$B$8&gt;=8,FORSIDE!$F$8&gt;=8,FORSIDE!$B$5&gt;=3),"S1763","")</f>
        <v/>
      </c>
      <c r="B1764" t="str">
        <f>IF(AND(FORSIDE!$B$8&gt;=8,FORSIDE!$F$8&gt;=8,FORSIDE!$B$5&gt;=3),"1939 -&gt; 1940","")</f>
        <v/>
      </c>
      <c r="C1764" t="str">
        <f>FORSIDE!$C$4</f>
        <v>S355, Stål / KFHUP 180x180x12.5</v>
      </c>
    </row>
    <row r="1765" spans="1:3" x14ac:dyDescent="0.3">
      <c r="A1765" t="str">
        <f>IF(AND(FORSIDE!$B$8&gt;=8,FORSIDE!$F$8&gt;=8,FORSIDE!$B$5&gt;=4),"S1764","")</f>
        <v/>
      </c>
      <c r="B1765" t="str">
        <f>IF(AND(FORSIDE!$B$8&gt;=8,FORSIDE!$F$8&gt;=8,FORSIDE!$B$5&gt;=4),"1940 -&gt; 1941","")</f>
        <v/>
      </c>
      <c r="C1765" t="str">
        <f>FORSIDE!$C$4</f>
        <v>S355, Stål / KFHUP 180x180x12.5</v>
      </c>
    </row>
    <row r="1766" spans="1:3" x14ac:dyDescent="0.3">
      <c r="A1766" t="str">
        <f>IF(AND(FORSIDE!$B$8&gt;=8,FORSIDE!$F$8&gt;=8,FORSIDE!$B$5&gt;=5),"S1765","")</f>
        <v/>
      </c>
      <c r="B1766" t="str">
        <f>IF(AND(FORSIDE!$B$8&gt;=8,FORSIDE!$F$8&gt;=8,FORSIDE!$B$5&gt;=5),"1941 -&gt; 1942","")</f>
        <v/>
      </c>
      <c r="C1766" t="str">
        <f>FORSIDE!$C$4</f>
        <v>S355, Stål / KFHUP 180x180x12.5</v>
      </c>
    </row>
    <row r="1767" spans="1:3" x14ac:dyDescent="0.3">
      <c r="A1767" t="str">
        <f>IF(AND(FORSIDE!$B$8&gt;=8,FORSIDE!$F$8&gt;=8,FORSIDE!$B$5&gt;=6),"S1766","")</f>
        <v/>
      </c>
      <c r="B1767" t="str">
        <f>IF(AND(FORSIDE!$B$8&gt;=8,FORSIDE!$F$8&gt;=8,FORSIDE!$B$5&gt;=6),"1942 -&gt; 1943","")</f>
        <v/>
      </c>
      <c r="C1767" t="str">
        <f>FORSIDE!$C$4</f>
        <v>S355, Stål / KFHUP 180x180x12.5</v>
      </c>
    </row>
    <row r="1768" spans="1:3" x14ac:dyDescent="0.3">
      <c r="A1768" t="str">
        <f>IF(AND(FORSIDE!$B$8&gt;=8,FORSIDE!$F$8&gt;=8,FORSIDE!$B$5&gt;=7),"S1767","")</f>
        <v/>
      </c>
      <c r="B1768" t="str">
        <f>IF(AND(FORSIDE!$B$8&gt;=8,FORSIDE!$F$8&gt;=8,FORSIDE!$B$5&gt;=7),"1943 -&gt; 1944","")</f>
        <v/>
      </c>
      <c r="C1768" t="str">
        <f>FORSIDE!$C$4</f>
        <v>S355, Stål / KFHUP 180x180x12.5</v>
      </c>
    </row>
    <row r="1769" spans="1:3" x14ac:dyDescent="0.3">
      <c r="A1769" t="str">
        <f>IF(AND(FORSIDE!$B$8&gt;=8,FORSIDE!$F$8&gt;=8,FORSIDE!$B$5&gt;=8),"S1768","")</f>
        <v/>
      </c>
      <c r="B1769" t="str">
        <f>IF(AND(FORSIDE!$B$8&gt;=8,FORSIDE!$F$8&gt;=8,FORSIDE!$B$5&gt;=8),"1944 -&gt; 1945","")</f>
        <v/>
      </c>
      <c r="C1769" t="str">
        <f>FORSIDE!$C$4</f>
        <v>S355, Stål / KFHUP 180x180x12.5</v>
      </c>
    </row>
    <row r="1770" spans="1:3" x14ac:dyDescent="0.3">
      <c r="A1770" t="str">
        <f>IF(AND(FORSIDE!$B$8&gt;=8,FORSIDE!$F$8&gt;=8,FORSIDE!$B$5&gt;=9),"S1769","")</f>
        <v/>
      </c>
      <c r="B1770" t="str">
        <f>IF(AND(FORSIDE!$B$8&gt;=8,FORSIDE!$F$8&gt;=8,FORSIDE!$B$5&gt;=9),"1945 -&gt; 1946","")</f>
        <v/>
      </c>
      <c r="C1770" t="str">
        <f>FORSIDE!$C$4</f>
        <v>S355, Stål / KFHUP 180x180x12.5</v>
      </c>
    </row>
    <row r="1771" spans="1:3" x14ac:dyDescent="0.3">
      <c r="A1771" t="str">
        <f>IF(AND(FORSIDE!$B$8&gt;=8,FORSIDE!$F$8&gt;=8,FORSIDE!$B$5&gt;=10),"S1770","")</f>
        <v/>
      </c>
      <c r="B1771" t="str">
        <f>IF(AND(FORSIDE!$B$8&gt;=8,FORSIDE!$F$8&gt;=8,FORSIDE!$B$5&gt;=10),"1946 -&gt; 1947","")</f>
        <v/>
      </c>
      <c r="C1771" t="str">
        <f>FORSIDE!$C$4</f>
        <v>S355, Stål / KFHUP 180x180x12.5</v>
      </c>
    </row>
    <row r="1772" spans="1:3" x14ac:dyDescent="0.3">
      <c r="A1772" t="str">
        <f>IF(AND(FORSIDE!$B$8&gt;=9,FORSIDE!$F$8&gt;=8,FORSIDE!$B$5&gt;=1),"S1771","")</f>
        <v/>
      </c>
      <c r="B1772" t="str">
        <f>IF(AND(FORSIDE!$B$8&gt;=9,FORSIDE!$F$8&gt;=8,FORSIDE!$B$5&gt;=1),"1948 -&gt; 1949","")</f>
        <v/>
      </c>
      <c r="C1772" t="str">
        <f>FORSIDE!$C$4</f>
        <v>S355, Stål / KFHUP 180x180x12.5</v>
      </c>
    </row>
    <row r="1773" spans="1:3" x14ac:dyDescent="0.3">
      <c r="A1773" t="str">
        <f>IF(AND(FORSIDE!$B$8&gt;=9,FORSIDE!$F$8&gt;=8,FORSIDE!$B$5&gt;=2),"S1772","")</f>
        <v/>
      </c>
      <c r="B1773" t="str">
        <f>IF(AND(FORSIDE!$B$8&gt;=9,FORSIDE!$F$8&gt;=8,FORSIDE!$B$5&gt;=2),"1949 -&gt; 1950","")</f>
        <v/>
      </c>
      <c r="C1773" t="str">
        <f>FORSIDE!$C$4</f>
        <v>S355, Stål / KFHUP 180x180x12.5</v>
      </c>
    </row>
    <row r="1774" spans="1:3" x14ac:dyDescent="0.3">
      <c r="A1774" t="str">
        <f>IF(AND(FORSIDE!$B$8&gt;=9,FORSIDE!$F$8&gt;=8,FORSIDE!$B$5&gt;=3),"S1773","")</f>
        <v/>
      </c>
      <c r="B1774" t="str">
        <f>IF(AND(FORSIDE!$B$8&gt;=9,FORSIDE!$F$8&gt;=8,FORSIDE!$B$5&gt;=3),"1950 -&gt; 1951","")</f>
        <v/>
      </c>
      <c r="C1774" t="str">
        <f>FORSIDE!$C$4</f>
        <v>S355, Stål / KFHUP 180x180x12.5</v>
      </c>
    </row>
    <row r="1775" spans="1:3" x14ac:dyDescent="0.3">
      <c r="A1775" t="str">
        <f>IF(AND(FORSIDE!$B$8&gt;=9,FORSIDE!$F$8&gt;=8,FORSIDE!$B$5&gt;=4),"S1774","")</f>
        <v/>
      </c>
      <c r="B1775" t="str">
        <f>IF(AND(FORSIDE!$B$8&gt;=9,FORSIDE!$F$8&gt;=8,FORSIDE!$B$5&gt;=4),"1951 -&gt; 1952","")</f>
        <v/>
      </c>
      <c r="C1775" t="str">
        <f>FORSIDE!$C$4</f>
        <v>S355, Stål / KFHUP 180x180x12.5</v>
      </c>
    </row>
    <row r="1776" spans="1:3" x14ac:dyDescent="0.3">
      <c r="A1776" t="str">
        <f>IF(AND(FORSIDE!$B$8&gt;=9,FORSIDE!$F$8&gt;=8,FORSIDE!$B$5&gt;=5),"S1775","")</f>
        <v/>
      </c>
      <c r="B1776" t="str">
        <f>IF(AND(FORSIDE!$B$8&gt;=9,FORSIDE!$F$8&gt;=8,FORSIDE!$B$5&gt;=5),"1952 -&gt; 1953","")</f>
        <v/>
      </c>
      <c r="C1776" t="str">
        <f>FORSIDE!$C$4</f>
        <v>S355, Stål / KFHUP 180x180x12.5</v>
      </c>
    </row>
    <row r="1777" spans="1:3" x14ac:dyDescent="0.3">
      <c r="A1777" t="str">
        <f>IF(AND(FORSIDE!$B$8&gt;=9,FORSIDE!$F$8&gt;=8,FORSIDE!$B$5&gt;=6),"S1776","")</f>
        <v/>
      </c>
      <c r="B1777" t="str">
        <f>IF(AND(FORSIDE!$B$8&gt;=9,FORSIDE!$F$8&gt;=8,FORSIDE!$B$5&gt;=6),"1953 -&gt; 1954","")</f>
        <v/>
      </c>
      <c r="C1777" t="str">
        <f>FORSIDE!$C$4</f>
        <v>S355, Stål / KFHUP 180x180x12.5</v>
      </c>
    </row>
    <row r="1778" spans="1:3" x14ac:dyDescent="0.3">
      <c r="A1778" t="str">
        <f>IF(AND(FORSIDE!$B$8&gt;=9,FORSIDE!$F$8&gt;=8,FORSIDE!$B$5&gt;=7),"S1777","")</f>
        <v/>
      </c>
      <c r="B1778" t="str">
        <f>IF(AND(FORSIDE!$B$8&gt;=9,FORSIDE!$F$8&gt;=8,FORSIDE!$B$5&gt;=7),"1954 -&gt; 1955","")</f>
        <v/>
      </c>
      <c r="C1778" t="str">
        <f>FORSIDE!$C$4</f>
        <v>S355, Stål / KFHUP 180x180x12.5</v>
      </c>
    </row>
    <row r="1779" spans="1:3" x14ac:dyDescent="0.3">
      <c r="A1779" t="str">
        <f>IF(AND(FORSIDE!$B$8&gt;=9,FORSIDE!$F$8&gt;=8,FORSIDE!$B$5&gt;=8),"S1778","")</f>
        <v/>
      </c>
      <c r="B1779" t="str">
        <f>IF(AND(FORSIDE!$B$8&gt;=9,FORSIDE!$F$8&gt;=8,FORSIDE!$B$5&gt;=8),"1955 -&gt; 1956","")</f>
        <v/>
      </c>
      <c r="C1779" t="str">
        <f>FORSIDE!$C$4</f>
        <v>S355, Stål / KFHUP 180x180x12.5</v>
      </c>
    </row>
    <row r="1780" spans="1:3" x14ac:dyDescent="0.3">
      <c r="A1780" t="str">
        <f>IF(AND(FORSIDE!$B$8&gt;=9,FORSIDE!$F$8&gt;=8,FORSIDE!$B$5&gt;=9),"S1779","")</f>
        <v/>
      </c>
      <c r="B1780" t="str">
        <f>IF(AND(FORSIDE!$B$8&gt;=9,FORSIDE!$F$8&gt;=8,FORSIDE!$B$5&gt;=9),"1956 -&gt; 1957","")</f>
        <v/>
      </c>
      <c r="C1780" t="str">
        <f>FORSIDE!$C$4</f>
        <v>S355, Stål / KFHUP 180x180x12.5</v>
      </c>
    </row>
    <row r="1781" spans="1:3" x14ac:dyDescent="0.3">
      <c r="A1781" t="str">
        <f>IF(AND(FORSIDE!$B$8&gt;=9,FORSIDE!$F$8&gt;=8,FORSIDE!$B$5&gt;=10),"S1780","")</f>
        <v/>
      </c>
      <c r="B1781" t="str">
        <f>IF(AND(FORSIDE!$B$8&gt;=9,FORSIDE!$F$8&gt;=8,FORSIDE!$B$5&gt;=10),"1957 -&gt; 1958","")</f>
        <v/>
      </c>
      <c r="C1781" t="str">
        <f>FORSIDE!$C$4</f>
        <v>S355, Stål / KFHUP 180x180x12.5</v>
      </c>
    </row>
    <row r="1782" spans="1:3" x14ac:dyDescent="0.3">
      <c r="A1782" t="str">
        <f>IF(AND(FORSIDE!$B$8&gt;=10,FORSIDE!$F$8&gt;=8,FORSIDE!$B$5&gt;=1),"S1781","")</f>
        <v/>
      </c>
      <c r="B1782" t="str">
        <f>IF(AND(FORSIDE!$B$8&gt;=10,FORSIDE!$F$8&gt;=8,FORSIDE!$B$5&gt;=1),"1959 -&gt; 1960","")</f>
        <v/>
      </c>
      <c r="C1782" t="str">
        <f>FORSIDE!$C$4</f>
        <v>S355, Stål / KFHUP 180x180x12.5</v>
      </c>
    </row>
    <row r="1783" spans="1:3" x14ac:dyDescent="0.3">
      <c r="A1783" t="str">
        <f>IF(AND(FORSIDE!$B$8&gt;=10,FORSIDE!$F$8&gt;=8,FORSIDE!$B$5&gt;=2),"S1782","")</f>
        <v/>
      </c>
      <c r="B1783" t="str">
        <f>IF(AND(FORSIDE!$B$8&gt;=10,FORSIDE!$F$8&gt;=8,FORSIDE!$B$5&gt;=2),"1960 -&gt; 1961","")</f>
        <v/>
      </c>
      <c r="C1783" t="str">
        <f>FORSIDE!$C$4</f>
        <v>S355, Stål / KFHUP 180x180x12.5</v>
      </c>
    </row>
    <row r="1784" spans="1:3" x14ac:dyDescent="0.3">
      <c r="A1784" t="str">
        <f>IF(AND(FORSIDE!$B$8&gt;=10,FORSIDE!$F$8&gt;=8,FORSIDE!$B$5&gt;=3),"S1783","")</f>
        <v/>
      </c>
      <c r="B1784" t="str">
        <f>IF(AND(FORSIDE!$B$8&gt;=10,FORSIDE!$F$8&gt;=8,FORSIDE!$B$5&gt;=3),"1961 -&gt; 1962","")</f>
        <v/>
      </c>
      <c r="C1784" t="str">
        <f>FORSIDE!$C$4</f>
        <v>S355, Stål / KFHUP 180x180x12.5</v>
      </c>
    </row>
    <row r="1785" spans="1:3" x14ac:dyDescent="0.3">
      <c r="A1785" t="str">
        <f>IF(AND(FORSIDE!$B$8&gt;=10,FORSIDE!$F$8&gt;=8,FORSIDE!$B$5&gt;=4),"S1784","")</f>
        <v/>
      </c>
      <c r="B1785" t="str">
        <f>IF(AND(FORSIDE!$B$8&gt;=10,FORSIDE!$F$8&gt;=8,FORSIDE!$B$5&gt;=4),"1962 -&gt; 1963","")</f>
        <v/>
      </c>
      <c r="C1785" t="str">
        <f>FORSIDE!$C$4</f>
        <v>S355, Stål / KFHUP 180x180x12.5</v>
      </c>
    </row>
    <row r="1786" spans="1:3" x14ac:dyDescent="0.3">
      <c r="A1786" t="str">
        <f>IF(AND(FORSIDE!$B$8&gt;=10,FORSIDE!$F$8&gt;=8,FORSIDE!$B$5&gt;=5),"S1785","")</f>
        <v/>
      </c>
      <c r="B1786" t="str">
        <f>IF(AND(FORSIDE!$B$8&gt;=10,FORSIDE!$F$8&gt;=8,FORSIDE!$B$5&gt;=5),"1963 -&gt; 1964","")</f>
        <v/>
      </c>
      <c r="C1786" t="str">
        <f>FORSIDE!$C$4</f>
        <v>S355, Stål / KFHUP 180x180x12.5</v>
      </c>
    </row>
    <row r="1787" spans="1:3" x14ac:dyDescent="0.3">
      <c r="A1787" t="str">
        <f>IF(AND(FORSIDE!$B$8&gt;=10,FORSIDE!$F$8&gt;=8,FORSIDE!$B$5&gt;=6),"S1786","")</f>
        <v/>
      </c>
      <c r="B1787" t="str">
        <f>IF(AND(FORSIDE!$B$8&gt;=10,FORSIDE!$F$8&gt;=8,FORSIDE!$B$5&gt;=6),"1964 -&gt; 1965","")</f>
        <v/>
      </c>
      <c r="C1787" t="str">
        <f>FORSIDE!$C$4</f>
        <v>S355, Stål / KFHUP 180x180x12.5</v>
      </c>
    </row>
    <row r="1788" spans="1:3" x14ac:dyDescent="0.3">
      <c r="A1788" t="str">
        <f>IF(AND(FORSIDE!$B$8&gt;=10,FORSIDE!$F$8&gt;=8,FORSIDE!$B$5&gt;=7),"S1787","")</f>
        <v/>
      </c>
      <c r="B1788" t="str">
        <f>IF(AND(FORSIDE!$B$8&gt;=10,FORSIDE!$F$8&gt;=8,FORSIDE!$B$5&gt;=7),"1965 -&gt; 1966","")</f>
        <v/>
      </c>
      <c r="C1788" t="str">
        <f>FORSIDE!$C$4</f>
        <v>S355, Stål / KFHUP 180x180x12.5</v>
      </c>
    </row>
    <row r="1789" spans="1:3" x14ac:dyDescent="0.3">
      <c r="A1789" t="str">
        <f>IF(AND(FORSIDE!$B$8&gt;=10,FORSIDE!$F$8&gt;=8,FORSIDE!$B$5&gt;=8),"S1788","")</f>
        <v/>
      </c>
      <c r="B1789" t="str">
        <f>IF(AND(FORSIDE!$B$8&gt;=10,FORSIDE!$F$8&gt;=8,FORSIDE!$B$5&gt;=8),"1966 -&gt; 1967","")</f>
        <v/>
      </c>
      <c r="C1789" t="str">
        <f>FORSIDE!$C$4</f>
        <v>S355, Stål / KFHUP 180x180x12.5</v>
      </c>
    </row>
    <row r="1790" spans="1:3" x14ac:dyDescent="0.3">
      <c r="A1790" t="str">
        <f>IF(AND(FORSIDE!$B$8&gt;=10,FORSIDE!$F$8&gt;=8,FORSIDE!$B$5&gt;=9),"S1789","")</f>
        <v/>
      </c>
      <c r="B1790" t="str">
        <f>IF(AND(FORSIDE!$B$8&gt;=10,FORSIDE!$F$8&gt;=8,FORSIDE!$B$5&gt;=9),"1967 -&gt; 1968","")</f>
        <v/>
      </c>
      <c r="C1790" t="str">
        <f>FORSIDE!$C$4</f>
        <v>S355, Stål / KFHUP 180x180x12.5</v>
      </c>
    </row>
    <row r="1791" spans="1:3" x14ac:dyDescent="0.3">
      <c r="A1791" t="str">
        <f>IF(AND(FORSIDE!$B$8&gt;=10,FORSIDE!$F$8&gt;=8,FORSIDE!$B$5&gt;=10),"S1790","")</f>
        <v/>
      </c>
      <c r="B1791" t="str">
        <f>IF(AND(FORSIDE!$B$8&gt;=10,FORSIDE!$F$8&gt;=8,FORSIDE!$B$5&gt;=10),"1968 -&gt; 1969","")</f>
        <v/>
      </c>
      <c r="C1791" t="str">
        <f>FORSIDE!$C$4</f>
        <v>S355, Stål / KFHUP 180x180x12.5</v>
      </c>
    </row>
    <row r="1792" spans="1:3" x14ac:dyDescent="0.3">
      <c r="A1792" t="str">
        <f>IF(AND(FORSIDE!$B$8&gt;=11,FORSIDE!$F$8&gt;=8,FORSIDE!$B$5&gt;=1),"S1791","")</f>
        <v/>
      </c>
      <c r="B1792" t="str">
        <f>IF(AND(FORSIDE!$B$8&gt;=11,FORSIDE!$F$8&gt;=8,FORSIDE!$B$5&gt;=1),"1970 -&gt; 1971","")</f>
        <v/>
      </c>
      <c r="C1792" t="str">
        <f>FORSIDE!$C$4</f>
        <v>S355, Stål / KFHUP 180x180x12.5</v>
      </c>
    </row>
    <row r="1793" spans="1:3" x14ac:dyDescent="0.3">
      <c r="A1793" t="str">
        <f>IF(AND(FORSIDE!$B$8&gt;=11,FORSIDE!$F$8&gt;=8,FORSIDE!$B$5&gt;=2),"S1792","")</f>
        <v/>
      </c>
      <c r="B1793" t="str">
        <f>IF(AND(FORSIDE!$B$8&gt;=11,FORSIDE!$F$8&gt;=8,FORSIDE!$B$5&gt;=2),"1971 -&gt; 1972","")</f>
        <v/>
      </c>
      <c r="C1793" t="str">
        <f>FORSIDE!$C$4</f>
        <v>S355, Stål / KFHUP 180x180x12.5</v>
      </c>
    </row>
    <row r="1794" spans="1:3" x14ac:dyDescent="0.3">
      <c r="A1794" t="str">
        <f>IF(AND(FORSIDE!$B$8&gt;=11,FORSIDE!$F$8&gt;=8,FORSIDE!$B$5&gt;=3),"S1793","")</f>
        <v/>
      </c>
      <c r="B1794" t="str">
        <f>IF(AND(FORSIDE!$B$8&gt;=11,FORSIDE!$F$8&gt;=8,FORSIDE!$B$5&gt;=3),"1972 -&gt; 1973","")</f>
        <v/>
      </c>
      <c r="C1794" t="str">
        <f>FORSIDE!$C$4</f>
        <v>S355, Stål / KFHUP 180x180x12.5</v>
      </c>
    </row>
    <row r="1795" spans="1:3" x14ac:dyDescent="0.3">
      <c r="A1795" t="str">
        <f>IF(AND(FORSIDE!$B$8&gt;=11,FORSIDE!$F$8&gt;=8,FORSIDE!$B$5&gt;=4),"S1794","")</f>
        <v/>
      </c>
      <c r="B1795" t="str">
        <f>IF(AND(FORSIDE!$B$8&gt;=11,FORSIDE!$F$8&gt;=8,FORSIDE!$B$5&gt;=4),"1973 -&gt; 1974","")</f>
        <v/>
      </c>
      <c r="C1795" t="str">
        <f>FORSIDE!$C$4</f>
        <v>S355, Stål / KFHUP 180x180x12.5</v>
      </c>
    </row>
    <row r="1796" spans="1:3" x14ac:dyDescent="0.3">
      <c r="A1796" t="str">
        <f>IF(AND(FORSIDE!$B$8&gt;=11,FORSIDE!$F$8&gt;=8,FORSIDE!$B$5&gt;=5),"S1795","")</f>
        <v/>
      </c>
      <c r="B1796" t="str">
        <f>IF(AND(FORSIDE!$B$8&gt;=11,FORSIDE!$F$8&gt;=8,FORSIDE!$B$5&gt;=5),"1974 -&gt; 1975","")</f>
        <v/>
      </c>
      <c r="C1796" t="str">
        <f>FORSIDE!$C$4</f>
        <v>S355, Stål / KFHUP 180x180x12.5</v>
      </c>
    </row>
    <row r="1797" spans="1:3" x14ac:dyDescent="0.3">
      <c r="A1797" t="str">
        <f>IF(AND(FORSIDE!$B$8&gt;=11,FORSIDE!$F$8&gt;=8,FORSIDE!$B$5&gt;=6),"S1796","")</f>
        <v/>
      </c>
      <c r="B1797" t="str">
        <f>IF(AND(FORSIDE!$B$8&gt;=11,FORSIDE!$F$8&gt;=8,FORSIDE!$B$5&gt;=6),"1975 -&gt; 1976","")</f>
        <v/>
      </c>
      <c r="C1797" t="str">
        <f>FORSIDE!$C$4</f>
        <v>S355, Stål / KFHUP 180x180x12.5</v>
      </c>
    </row>
    <row r="1798" spans="1:3" x14ac:dyDescent="0.3">
      <c r="A1798" t="str">
        <f>IF(AND(FORSIDE!$B$8&gt;=11,FORSIDE!$F$8&gt;=8,FORSIDE!$B$5&gt;=7),"S1797","")</f>
        <v/>
      </c>
      <c r="B1798" t="str">
        <f>IF(AND(FORSIDE!$B$8&gt;=11,FORSIDE!$F$8&gt;=8,FORSIDE!$B$5&gt;=7),"1976 -&gt; 1977","")</f>
        <v/>
      </c>
      <c r="C1798" t="str">
        <f>FORSIDE!$C$4</f>
        <v>S355, Stål / KFHUP 180x180x12.5</v>
      </c>
    </row>
    <row r="1799" spans="1:3" x14ac:dyDescent="0.3">
      <c r="A1799" t="str">
        <f>IF(AND(FORSIDE!$B$8&gt;=11,FORSIDE!$F$8&gt;=8,FORSIDE!$B$5&gt;=8),"S1798","")</f>
        <v/>
      </c>
      <c r="B1799" t="str">
        <f>IF(AND(FORSIDE!$B$8&gt;=11,FORSIDE!$F$8&gt;=8,FORSIDE!$B$5&gt;=8),"1977 -&gt; 1978","")</f>
        <v/>
      </c>
      <c r="C1799" t="str">
        <f>FORSIDE!$C$4</f>
        <v>S355, Stål / KFHUP 180x180x12.5</v>
      </c>
    </row>
    <row r="1800" spans="1:3" x14ac:dyDescent="0.3">
      <c r="A1800" t="str">
        <f>IF(AND(FORSIDE!$B$8&gt;=11,FORSIDE!$F$8&gt;=8,FORSIDE!$B$5&gt;=9),"S1799","")</f>
        <v/>
      </c>
      <c r="B1800" t="str">
        <f>IF(AND(FORSIDE!$B$8&gt;=11,FORSIDE!$F$8&gt;=8,FORSIDE!$B$5&gt;=9),"1978 -&gt; 1979","")</f>
        <v/>
      </c>
      <c r="C1800" t="str">
        <f>FORSIDE!$C$4</f>
        <v>S355, Stål / KFHUP 180x180x12.5</v>
      </c>
    </row>
    <row r="1801" spans="1:3" x14ac:dyDescent="0.3">
      <c r="A1801" t="str">
        <f>IF(AND(FORSIDE!$B$8&gt;=11,FORSIDE!$F$8&gt;=8,FORSIDE!$B$5&gt;=10),"S1800","")</f>
        <v/>
      </c>
      <c r="B1801" t="str">
        <f>IF(AND(FORSIDE!$B$8&gt;=11,FORSIDE!$F$8&gt;=8,FORSIDE!$B$5&gt;=10),"1979 -&gt; 1980","")</f>
        <v/>
      </c>
      <c r="C1801" t="str">
        <f>FORSIDE!$C$4</f>
        <v>S355, Stål / KFHUP 180x180x12.5</v>
      </c>
    </row>
    <row r="1802" spans="1:3" x14ac:dyDescent="0.3">
      <c r="A1802" t="str">
        <f>IF(AND(FORSIDE!$B$8&gt;=12,FORSIDE!$F$8&gt;=8,FORSIDE!$B$5&gt;=1),"S1801","")</f>
        <v/>
      </c>
      <c r="B1802" t="str">
        <f>IF(AND(FORSIDE!$B$8&gt;=12,FORSIDE!$F$8&gt;=8,FORSIDE!$B$5&gt;=1),"1981 -&gt; 1982","")</f>
        <v/>
      </c>
      <c r="C1802" t="str">
        <f>FORSIDE!$C$4</f>
        <v>S355, Stål / KFHUP 180x180x12.5</v>
      </c>
    </row>
    <row r="1803" spans="1:3" x14ac:dyDescent="0.3">
      <c r="A1803" t="str">
        <f>IF(AND(FORSIDE!$B$8&gt;=12,FORSIDE!$F$8&gt;=8,FORSIDE!$B$5&gt;=2),"S1802","")</f>
        <v/>
      </c>
      <c r="B1803" t="str">
        <f>IF(AND(FORSIDE!$B$8&gt;=12,FORSIDE!$F$8&gt;=8,FORSIDE!$B$5&gt;=2),"1982 -&gt; 1983","")</f>
        <v/>
      </c>
      <c r="C1803" t="str">
        <f>FORSIDE!$C$4</f>
        <v>S355, Stål / KFHUP 180x180x12.5</v>
      </c>
    </row>
    <row r="1804" spans="1:3" x14ac:dyDescent="0.3">
      <c r="A1804" t="str">
        <f>IF(AND(FORSIDE!$B$8&gt;=12,FORSIDE!$F$8&gt;=8,FORSIDE!$B$5&gt;=3),"S1803","")</f>
        <v/>
      </c>
      <c r="B1804" t="str">
        <f>IF(AND(FORSIDE!$B$8&gt;=12,FORSIDE!$F$8&gt;=8,FORSIDE!$B$5&gt;=3),"1983 -&gt; 1984","")</f>
        <v/>
      </c>
      <c r="C1804" t="str">
        <f>FORSIDE!$C$4</f>
        <v>S355, Stål / KFHUP 180x180x12.5</v>
      </c>
    </row>
    <row r="1805" spans="1:3" x14ac:dyDescent="0.3">
      <c r="A1805" t="str">
        <f>IF(AND(FORSIDE!$B$8&gt;=12,FORSIDE!$F$8&gt;=8,FORSIDE!$B$5&gt;=4),"S1804","")</f>
        <v/>
      </c>
      <c r="B1805" t="str">
        <f>IF(AND(FORSIDE!$B$8&gt;=12,FORSIDE!$F$8&gt;=8,FORSIDE!$B$5&gt;=4),"1984 -&gt; 1985","")</f>
        <v/>
      </c>
      <c r="C1805" t="str">
        <f>FORSIDE!$C$4</f>
        <v>S355, Stål / KFHUP 180x180x12.5</v>
      </c>
    </row>
    <row r="1806" spans="1:3" x14ac:dyDescent="0.3">
      <c r="A1806" t="str">
        <f>IF(AND(FORSIDE!$B$8&gt;=12,FORSIDE!$F$8&gt;=8,FORSIDE!$B$5&gt;=5),"S1805","")</f>
        <v/>
      </c>
      <c r="B1806" t="str">
        <f>IF(AND(FORSIDE!$B$8&gt;=12,FORSIDE!$F$8&gt;=8,FORSIDE!$B$5&gt;=5),"1985 -&gt; 1986","")</f>
        <v/>
      </c>
      <c r="C1806" t="str">
        <f>FORSIDE!$C$4</f>
        <v>S355, Stål / KFHUP 180x180x12.5</v>
      </c>
    </row>
    <row r="1807" spans="1:3" x14ac:dyDescent="0.3">
      <c r="A1807" t="str">
        <f>IF(AND(FORSIDE!$B$8&gt;=12,FORSIDE!$F$8&gt;=8,FORSIDE!$B$5&gt;=6),"S1806","")</f>
        <v/>
      </c>
      <c r="B1807" t="str">
        <f>IF(AND(FORSIDE!$B$8&gt;=12,FORSIDE!$F$8&gt;=8,FORSIDE!$B$5&gt;=6),"1986 -&gt; 1987","")</f>
        <v/>
      </c>
      <c r="C1807" t="str">
        <f>FORSIDE!$C$4</f>
        <v>S355, Stål / KFHUP 180x180x12.5</v>
      </c>
    </row>
    <row r="1808" spans="1:3" x14ac:dyDescent="0.3">
      <c r="A1808" t="str">
        <f>IF(AND(FORSIDE!$B$8&gt;=12,FORSIDE!$F$8&gt;=8,FORSIDE!$B$5&gt;=7),"S1807","")</f>
        <v/>
      </c>
      <c r="B1808" t="str">
        <f>IF(AND(FORSIDE!$B$8&gt;=12,FORSIDE!$F$8&gt;=8,FORSIDE!$B$5&gt;=7),"1987 -&gt; 1988","")</f>
        <v/>
      </c>
      <c r="C1808" t="str">
        <f>FORSIDE!$C$4</f>
        <v>S355, Stål / KFHUP 180x180x12.5</v>
      </c>
    </row>
    <row r="1809" spans="1:3" x14ac:dyDescent="0.3">
      <c r="A1809" t="str">
        <f>IF(AND(FORSIDE!$B$8&gt;=12,FORSIDE!$F$8&gt;=8,FORSIDE!$B$5&gt;=8),"S1808","")</f>
        <v/>
      </c>
      <c r="B1809" t="str">
        <f>IF(AND(FORSIDE!$B$8&gt;=12,FORSIDE!$F$8&gt;=8,FORSIDE!$B$5&gt;=8),"1988 -&gt; 1989","")</f>
        <v/>
      </c>
      <c r="C1809" t="str">
        <f>FORSIDE!$C$4</f>
        <v>S355, Stål / KFHUP 180x180x12.5</v>
      </c>
    </row>
    <row r="1810" spans="1:3" x14ac:dyDescent="0.3">
      <c r="A1810" t="str">
        <f>IF(AND(FORSIDE!$B$8&gt;=12,FORSIDE!$F$8&gt;=8,FORSIDE!$B$5&gt;=9),"S1809","")</f>
        <v/>
      </c>
      <c r="B1810" t="str">
        <f>IF(AND(FORSIDE!$B$8&gt;=12,FORSIDE!$F$8&gt;=8,FORSIDE!$B$5&gt;=9),"1989 -&gt; 1990","")</f>
        <v/>
      </c>
      <c r="C1810" t="str">
        <f>FORSIDE!$C$4</f>
        <v>S355, Stål / KFHUP 180x180x12.5</v>
      </c>
    </row>
    <row r="1811" spans="1:3" x14ac:dyDescent="0.3">
      <c r="A1811" t="str">
        <f>IF(AND(FORSIDE!$B$8&gt;=12,FORSIDE!$F$8&gt;=8,FORSIDE!$B$5&gt;=10),"S1810","")</f>
        <v/>
      </c>
      <c r="B1811" t="str">
        <f>IF(AND(FORSIDE!$B$8&gt;=12,FORSIDE!$F$8&gt;=8,FORSIDE!$B$5&gt;=10),"1990 -&gt; 1991","")</f>
        <v/>
      </c>
      <c r="C1811" t="str">
        <f>FORSIDE!$C$4</f>
        <v>S355, Stål / KFHUP 180x180x12.5</v>
      </c>
    </row>
    <row r="1812" spans="1:3" x14ac:dyDescent="0.3">
      <c r="A1812" t="str">
        <f>IF(AND(FORSIDE!$B$8&gt;=13,FORSIDE!$F$8&gt;=8,FORSIDE!$B$5&gt;=1),"S1811","")</f>
        <v/>
      </c>
      <c r="B1812" t="str">
        <f>IF(AND(FORSIDE!$B$8&gt;=13,FORSIDE!$F$8&gt;=8,FORSIDE!$B$5&gt;=1),"1992 -&gt; 1993","")</f>
        <v/>
      </c>
      <c r="C1812" t="str">
        <f>FORSIDE!$C$4</f>
        <v>S355, Stål / KFHUP 180x180x12.5</v>
      </c>
    </row>
    <row r="1813" spans="1:3" x14ac:dyDescent="0.3">
      <c r="A1813" t="str">
        <f>IF(AND(FORSIDE!$B$8&gt;=13,FORSIDE!$F$8&gt;=8,FORSIDE!$B$5&gt;=2),"S1812","")</f>
        <v/>
      </c>
      <c r="B1813" t="str">
        <f>IF(AND(FORSIDE!$B$8&gt;=13,FORSIDE!$F$8&gt;=8,FORSIDE!$B$5&gt;=2),"1993 -&gt; 1994","")</f>
        <v/>
      </c>
      <c r="C1813" t="str">
        <f>FORSIDE!$C$4</f>
        <v>S355, Stål / KFHUP 180x180x12.5</v>
      </c>
    </row>
    <row r="1814" spans="1:3" x14ac:dyDescent="0.3">
      <c r="A1814" t="str">
        <f>IF(AND(FORSIDE!$B$8&gt;=13,FORSIDE!$F$8&gt;=8,FORSIDE!$B$5&gt;=3),"S1813","")</f>
        <v/>
      </c>
      <c r="B1814" t="str">
        <f>IF(AND(FORSIDE!$B$8&gt;=13,FORSIDE!$F$8&gt;=8,FORSIDE!$B$5&gt;=3),"1994 -&gt; 1995","")</f>
        <v/>
      </c>
      <c r="C1814" t="str">
        <f>FORSIDE!$C$4</f>
        <v>S355, Stål / KFHUP 180x180x12.5</v>
      </c>
    </row>
    <row r="1815" spans="1:3" x14ac:dyDescent="0.3">
      <c r="A1815" t="str">
        <f>IF(AND(FORSIDE!$B$8&gt;=13,FORSIDE!$F$8&gt;=8,FORSIDE!$B$5&gt;=4),"S1814","")</f>
        <v/>
      </c>
      <c r="B1815" t="str">
        <f>IF(AND(FORSIDE!$B$8&gt;=13,FORSIDE!$F$8&gt;=8,FORSIDE!$B$5&gt;=4),"1995 -&gt; 1996","")</f>
        <v/>
      </c>
      <c r="C1815" t="str">
        <f>FORSIDE!$C$4</f>
        <v>S355, Stål / KFHUP 180x180x12.5</v>
      </c>
    </row>
    <row r="1816" spans="1:3" x14ac:dyDescent="0.3">
      <c r="A1816" t="str">
        <f>IF(AND(FORSIDE!$B$8&gt;=13,FORSIDE!$F$8&gt;=8,FORSIDE!$B$5&gt;=5),"S1815","")</f>
        <v/>
      </c>
      <c r="B1816" t="str">
        <f>IF(AND(FORSIDE!$B$8&gt;=13,FORSIDE!$F$8&gt;=8,FORSIDE!$B$5&gt;=5),"1996 -&gt; 1997","")</f>
        <v/>
      </c>
      <c r="C1816" t="str">
        <f>FORSIDE!$C$4</f>
        <v>S355, Stål / KFHUP 180x180x12.5</v>
      </c>
    </row>
    <row r="1817" spans="1:3" x14ac:dyDescent="0.3">
      <c r="A1817" t="str">
        <f>IF(AND(FORSIDE!$B$8&gt;=13,FORSIDE!$F$8&gt;=8,FORSIDE!$B$5&gt;=6),"S1816","")</f>
        <v/>
      </c>
      <c r="B1817" t="str">
        <f>IF(AND(FORSIDE!$B$8&gt;=13,FORSIDE!$F$8&gt;=8,FORSIDE!$B$5&gt;=6),"1997 -&gt; 1998","")</f>
        <v/>
      </c>
      <c r="C1817" t="str">
        <f>FORSIDE!$C$4</f>
        <v>S355, Stål / KFHUP 180x180x12.5</v>
      </c>
    </row>
    <row r="1818" spans="1:3" x14ac:dyDescent="0.3">
      <c r="A1818" t="str">
        <f>IF(AND(FORSIDE!$B$8&gt;=13,FORSIDE!$F$8&gt;=8,FORSIDE!$B$5&gt;=7),"S1817","")</f>
        <v/>
      </c>
      <c r="B1818" t="str">
        <f>IF(AND(FORSIDE!$B$8&gt;=13,FORSIDE!$F$8&gt;=8,FORSIDE!$B$5&gt;=7),"1998 -&gt; 1999","")</f>
        <v/>
      </c>
      <c r="C1818" t="str">
        <f>FORSIDE!$C$4</f>
        <v>S355, Stål / KFHUP 180x180x12.5</v>
      </c>
    </row>
    <row r="1819" spans="1:3" x14ac:dyDescent="0.3">
      <c r="A1819" t="str">
        <f>IF(AND(FORSIDE!$B$8&gt;=13,FORSIDE!$F$8&gt;=8,FORSIDE!$B$5&gt;=8),"S1818","")</f>
        <v/>
      </c>
      <c r="B1819" t="str">
        <f>IF(AND(FORSIDE!$B$8&gt;=13,FORSIDE!$F$8&gt;=8,FORSIDE!$B$5&gt;=8),"1999 -&gt; 2000","")</f>
        <v/>
      </c>
      <c r="C1819" t="str">
        <f>FORSIDE!$C$4</f>
        <v>S355, Stål / KFHUP 180x180x12.5</v>
      </c>
    </row>
    <row r="1820" spans="1:3" x14ac:dyDescent="0.3">
      <c r="A1820" t="str">
        <f>IF(AND(FORSIDE!$B$8&gt;=13,FORSIDE!$F$8&gt;=8,FORSIDE!$B$5&gt;=9),"S1819","")</f>
        <v/>
      </c>
      <c r="B1820" t="str">
        <f>IF(AND(FORSIDE!$B$8&gt;=13,FORSIDE!$F$8&gt;=8,FORSIDE!$B$5&gt;=9),"2000 -&gt; 2001","")</f>
        <v/>
      </c>
      <c r="C1820" t="str">
        <f>FORSIDE!$C$4</f>
        <v>S355, Stål / KFHUP 180x180x12.5</v>
      </c>
    </row>
    <row r="1821" spans="1:3" x14ac:dyDescent="0.3">
      <c r="A1821" t="str">
        <f>IF(AND(FORSIDE!$B$8&gt;=13,FORSIDE!$F$8&gt;=8,FORSIDE!$B$5&gt;=10),"S1820","")</f>
        <v/>
      </c>
      <c r="B1821" t="str">
        <f>IF(AND(FORSIDE!$B$8&gt;=13,FORSIDE!$F$8&gt;=8,FORSIDE!$B$5&gt;=10),"2001 -&gt; 2002","")</f>
        <v/>
      </c>
      <c r="C1821" t="str">
        <f>FORSIDE!$C$4</f>
        <v>S355, Stål / KFHUP 180x180x12.5</v>
      </c>
    </row>
    <row r="1822" spans="1:3" x14ac:dyDescent="0.3">
      <c r="A1822" t="str">
        <f>IF(AND(FORSIDE!$B$8&gt;=14,FORSIDE!$F$8&gt;=8,FORSIDE!$B$5&gt;=1),"S1821","")</f>
        <v/>
      </c>
      <c r="B1822" t="str">
        <f>IF(AND(FORSIDE!$B$8&gt;=14,FORSIDE!$F$8&gt;=8,FORSIDE!$B$5&gt;=1),"2003 -&gt; 2004","")</f>
        <v/>
      </c>
      <c r="C1822" t="str">
        <f>FORSIDE!$C$4</f>
        <v>S355, Stål / KFHUP 180x180x12.5</v>
      </c>
    </row>
    <row r="1823" spans="1:3" x14ac:dyDescent="0.3">
      <c r="A1823" t="str">
        <f>IF(AND(FORSIDE!$B$8&gt;=14,FORSIDE!$F$8&gt;=8,FORSIDE!$B$5&gt;=2),"S1822","")</f>
        <v/>
      </c>
      <c r="B1823" t="str">
        <f>IF(AND(FORSIDE!$B$8&gt;=14,FORSIDE!$F$8&gt;=8,FORSIDE!$B$5&gt;=2),"2004 -&gt; 2005","")</f>
        <v/>
      </c>
      <c r="C1823" t="str">
        <f>FORSIDE!$C$4</f>
        <v>S355, Stål / KFHUP 180x180x12.5</v>
      </c>
    </row>
    <row r="1824" spans="1:3" x14ac:dyDescent="0.3">
      <c r="A1824" t="str">
        <f>IF(AND(FORSIDE!$B$8&gt;=14,FORSIDE!$F$8&gt;=8,FORSIDE!$B$5&gt;=3),"S1823","")</f>
        <v/>
      </c>
      <c r="B1824" t="str">
        <f>IF(AND(FORSIDE!$B$8&gt;=14,FORSIDE!$F$8&gt;=8,FORSIDE!$B$5&gt;=3),"2005 -&gt; 2006","")</f>
        <v/>
      </c>
      <c r="C1824" t="str">
        <f>FORSIDE!$C$4</f>
        <v>S355, Stål / KFHUP 180x180x12.5</v>
      </c>
    </row>
    <row r="1825" spans="1:3" x14ac:dyDescent="0.3">
      <c r="A1825" t="str">
        <f>IF(AND(FORSIDE!$B$8&gt;=14,FORSIDE!$F$8&gt;=8,FORSIDE!$B$5&gt;=4),"S1824","")</f>
        <v/>
      </c>
      <c r="B1825" t="str">
        <f>IF(AND(FORSIDE!$B$8&gt;=14,FORSIDE!$F$8&gt;=8,FORSIDE!$B$5&gt;=4),"2006 -&gt; 2007","")</f>
        <v/>
      </c>
      <c r="C1825" t="str">
        <f>FORSIDE!$C$4</f>
        <v>S355, Stål / KFHUP 180x180x12.5</v>
      </c>
    </row>
    <row r="1826" spans="1:3" x14ac:dyDescent="0.3">
      <c r="A1826" t="str">
        <f>IF(AND(FORSIDE!$B$8&gt;=14,FORSIDE!$F$8&gt;=8,FORSIDE!$B$5&gt;=5),"S1825","")</f>
        <v/>
      </c>
      <c r="B1826" t="str">
        <f>IF(AND(FORSIDE!$B$8&gt;=14,FORSIDE!$F$8&gt;=8,FORSIDE!$B$5&gt;=5),"2007 -&gt; 2008","")</f>
        <v/>
      </c>
      <c r="C1826" t="str">
        <f>FORSIDE!$C$4</f>
        <v>S355, Stål / KFHUP 180x180x12.5</v>
      </c>
    </row>
    <row r="1827" spans="1:3" x14ac:dyDescent="0.3">
      <c r="A1827" t="str">
        <f>IF(AND(FORSIDE!$B$8&gt;=14,FORSIDE!$F$8&gt;=8,FORSIDE!$B$5&gt;=6),"S1826","")</f>
        <v/>
      </c>
      <c r="B1827" t="str">
        <f>IF(AND(FORSIDE!$B$8&gt;=14,FORSIDE!$F$8&gt;=8,FORSIDE!$B$5&gt;=6),"2008 -&gt; 2009","")</f>
        <v/>
      </c>
      <c r="C1827" t="str">
        <f>FORSIDE!$C$4</f>
        <v>S355, Stål / KFHUP 180x180x12.5</v>
      </c>
    </row>
    <row r="1828" spans="1:3" x14ac:dyDescent="0.3">
      <c r="A1828" t="str">
        <f>IF(AND(FORSIDE!$B$8&gt;=14,FORSIDE!$F$8&gt;=8,FORSIDE!$B$5&gt;=7),"S1827","")</f>
        <v/>
      </c>
      <c r="B1828" t="str">
        <f>IF(AND(FORSIDE!$B$8&gt;=14,FORSIDE!$F$8&gt;=8,FORSIDE!$B$5&gt;=7),"2009 -&gt; 2010","")</f>
        <v/>
      </c>
      <c r="C1828" t="str">
        <f>FORSIDE!$C$4</f>
        <v>S355, Stål / KFHUP 180x180x12.5</v>
      </c>
    </row>
    <row r="1829" spans="1:3" x14ac:dyDescent="0.3">
      <c r="A1829" t="str">
        <f>IF(AND(FORSIDE!$B$8&gt;=14,FORSIDE!$F$8&gt;=8,FORSIDE!$B$5&gt;=8),"S1828","")</f>
        <v/>
      </c>
      <c r="B1829" t="str">
        <f>IF(AND(FORSIDE!$B$8&gt;=14,FORSIDE!$F$8&gt;=8,FORSIDE!$B$5&gt;=8),"2010 -&gt; 2011","")</f>
        <v/>
      </c>
      <c r="C1829" t="str">
        <f>FORSIDE!$C$4</f>
        <v>S355, Stål / KFHUP 180x180x12.5</v>
      </c>
    </row>
    <row r="1830" spans="1:3" x14ac:dyDescent="0.3">
      <c r="A1830" t="str">
        <f>IF(AND(FORSIDE!$B$8&gt;=14,FORSIDE!$F$8&gt;=8,FORSIDE!$B$5&gt;=9),"S1829","")</f>
        <v/>
      </c>
      <c r="B1830" t="str">
        <f>IF(AND(FORSIDE!$B$8&gt;=14,FORSIDE!$F$8&gt;=8,FORSIDE!$B$5&gt;=9),"2011 -&gt; 2012","")</f>
        <v/>
      </c>
      <c r="C1830" t="str">
        <f>FORSIDE!$C$4</f>
        <v>S355, Stål / KFHUP 180x180x12.5</v>
      </c>
    </row>
    <row r="1831" spans="1:3" x14ac:dyDescent="0.3">
      <c r="A1831" t="str">
        <f>IF(AND(FORSIDE!$B$8&gt;=14,FORSIDE!$F$8&gt;=8,FORSIDE!$B$5&gt;=10),"S1830","")</f>
        <v/>
      </c>
      <c r="B1831" t="str">
        <f>IF(AND(FORSIDE!$B$8&gt;=14,FORSIDE!$F$8&gt;=8,FORSIDE!$B$5&gt;=10),"2012 -&gt; 2013","")</f>
        <v/>
      </c>
      <c r="C1831" t="str">
        <f>FORSIDE!$C$4</f>
        <v>S355, Stål / KFHUP 180x180x12.5</v>
      </c>
    </row>
    <row r="1832" spans="1:3" x14ac:dyDescent="0.3">
      <c r="A1832" t="str">
        <f>IF(AND(FORSIDE!$B$8&gt;=15,FORSIDE!$F$8&gt;=8,FORSIDE!$B$5&gt;=1),"S1831","")</f>
        <v/>
      </c>
      <c r="B1832" t="str">
        <f>IF(AND(FORSIDE!$B$8&gt;=15,FORSIDE!$F$8&gt;=8,FORSIDE!$B$5&gt;=1),"2014 -&gt; 2015","")</f>
        <v/>
      </c>
      <c r="C1832" t="str">
        <f>FORSIDE!$C$4</f>
        <v>S355, Stål / KFHUP 180x180x12.5</v>
      </c>
    </row>
    <row r="1833" spans="1:3" x14ac:dyDescent="0.3">
      <c r="A1833" t="str">
        <f>IF(AND(FORSIDE!$B$8&gt;=15,FORSIDE!$F$8&gt;=8,FORSIDE!$B$5&gt;=2),"S1832","")</f>
        <v/>
      </c>
      <c r="B1833" t="str">
        <f>IF(AND(FORSIDE!$B$8&gt;=15,FORSIDE!$F$8&gt;=8,FORSIDE!$B$5&gt;=2),"2015 -&gt; 2016","")</f>
        <v/>
      </c>
      <c r="C1833" t="str">
        <f>FORSIDE!$C$4</f>
        <v>S355, Stål / KFHUP 180x180x12.5</v>
      </c>
    </row>
    <row r="1834" spans="1:3" x14ac:dyDescent="0.3">
      <c r="A1834" t="str">
        <f>IF(AND(FORSIDE!$B$8&gt;=15,FORSIDE!$F$8&gt;=8,FORSIDE!$B$5&gt;=3),"S1833","")</f>
        <v/>
      </c>
      <c r="B1834" t="str">
        <f>IF(AND(FORSIDE!$B$8&gt;=15,FORSIDE!$F$8&gt;=8,FORSIDE!$B$5&gt;=3),"2016 -&gt; 2017","")</f>
        <v/>
      </c>
      <c r="C1834" t="str">
        <f>FORSIDE!$C$4</f>
        <v>S355, Stål / KFHUP 180x180x12.5</v>
      </c>
    </row>
    <row r="1835" spans="1:3" x14ac:dyDescent="0.3">
      <c r="A1835" t="str">
        <f>IF(AND(FORSIDE!$B$8&gt;=15,FORSIDE!$F$8&gt;=8,FORSIDE!$B$5&gt;=4),"S1834","")</f>
        <v/>
      </c>
      <c r="B1835" t="str">
        <f>IF(AND(FORSIDE!$B$8&gt;=15,FORSIDE!$F$8&gt;=8,FORSIDE!$B$5&gt;=4),"2017 -&gt; 2018","")</f>
        <v/>
      </c>
      <c r="C1835" t="str">
        <f>FORSIDE!$C$4</f>
        <v>S355, Stål / KFHUP 180x180x12.5</v>
      </c>
    </row>
    <row r="1836" spans="1:3" x14ac:dyDescent="0.3">
      <c r="A1836" t="str">
        <f>IF(AND(FORSIDE!$B$8&gt;=15,FORSIDE!$F$8&gt;=8,FORSIDE!$B$5&gt;=5),"S1835","")</f>
        <v/>
      </c>
      <c r="B1836" t="str">
        <f>IF(AND(FORSIDE!$B$8&gt;=15,FORSIDE!$F$8&gt;=8,FORSIDE!$B$5&gt;=5),"2018 -&gt; 2019","")</f>
        <v/>
      </c>
      <c r="C1836" t="str">
        <f>FORSIDE!$C$4</f>
        <v>S355, Stål / KFHUP 180x180x12.5</v>
      </c>
    </row>
    <row r="1837" spans="1:3" x14ac:dyDescent="0.3">
      <c r="A1837" t="str">
        <f>IF(AND(FORSIDE!$B$8&gt;=15,FORSIDE!$F$8&gt;=8,FORSIDE!$B$5&gt;=6),"S1836","")</f>
        <v/>
      </c>
      <c r="B1837" t="str">
        <f>IF(AND(FORSIDE!$B$8&gt;=15,FORSIDE!$F$8&gt;=8,FORSIDE!$B$5&gt;=6),"2019 -&gt; 2020","")</f>
        <v/>
      </c>
      <c r="C1837" t="str">
        <f>FORSIDE!$C$4</f>
        <v>S355, Stål / KFHUP 180x180x12.5</v>
      </c>
    </row>
    <row r="1838" spans="1:3" x14ac:dyDescent="0.3">
      <c r="A1838" t="str">
        <f>IF(AND(FORSIDE!$B$8&gt;=15,FORSIDE!$F$8&gt;=8,FORSIDE!$B$5&gt;=7),"S1837","")</f>
        <v/>
      </c>
      <c r="B1838" t="str">
        <f>IF(AND(FORSIDE!$B$8&gt;=15,FORSIDE!$F$8&gt;=8,FORSIDE!$B$5&gt;=7),"2020 -&gt; 2021","")</f>
        <v/>
      </c>
      <c r="C1838" t="str">
        <f>FORSIDE!$C$4</f>
        <v>S355, Stål / KFHUP 180x180x12.5</v>
      </c>
    </row>
    <row r="1839" spans="1:3" x14ac:dyDescent="0.3">
      <c r="A1839" t="str">
        <f>IF(AND(FORSIDE!$B$8&gt;=15,FORSIDE!$F$8&gt;=8,FORSIDE!$B$5&gt;=8),"S1838","")</f>
        <v/>
      </c>
      <c r="B1839" t="str">
        <f>IF(AND(FORSIDE!$B$8&gt;=15,FORSIDE!$F$8&gt;=8,FORSIDE!$B$5&gt;=8),"2021 -&gt; 2022","")</f>
        <v/>
      </c>
      <c r="C1839" t="str">
        <f>FORSIDE!$C$4</f>
        <v>S355, Stål / KFHUP 180x180x12.5</v>
      </c>
    </row>
    <row r="1840" spans="1:3" x14ac:dyDescent="0.3">
      <c r="A1840" t="str">
        <f>IF(AND(FORSIDE!$B$8&gt;=15,FORSIDE!$F$8&gt;=8,FORSIDE!$B$5&gt;=9),"S1839","")</f>
        <v/>
      </c>
      <c r="B1840" t="str">
        <f>IF(AND(FORSIDE!$B$8&gt;=15,FORSIDE!$F$8&gt;=8,FORSIDE!$B$5&gt;=9),"2022 -&gt; 2023","")</f>
        <v/>
      </c>
      <c r="C1840" t="str">
        <f>FORSIDE!$C$4</f>
        <v>S355, Stål / KFHUP 180x180x12.5</v>
      </c>
    </row>
    <row r="1841" spans="1:3" x14ac:dyDescent="0.3">
      <c r="A1841" t="str">
        <f>IF(AND(FORSIDE!$B$8&gt;=15,FORSIDE!$F$8&gt;=8,FORSIDE!$B$5&gt;=10),"S1840","")</f>
        <v/>
      </c>
      <c r="B1841" t="str">
        <f>IF(AND(FORSIDE!$B$8&gt;=15,FORSIDE!$F$8&gt;=8,FORSIDE!$B$5&gt;=10),"2023 -&gt; 2024","")</f>
        <v/>
      </c>
      <c r="C1841" t="str">
        <f>FORSIDE!$C$4</f>
        <v>S355, Stål / KFHUP 180x180x12.5</v>
      </c>
    </row>
    <row r="1842" spans="1:3" x14ac:dyDescent="0.3">
      <c r="A1842" t="str">
        <f>IF(AND(FORSIDE!$B$8&gt;=16,FORSIDE!$F$8&gt;=8,FORSIDE!$B$5&gt;=1),"S1841","")</f>
        <v/>
      </c>
      <c r="B1842" t="str">
        <f>IF(AND(FORSIDE!$B$8&gt;=16,FORSIDE!$F$8&gt;=8,FORSIDE!$B$5&gt;=1),"2025 -&gt; 2026","")</f>
        <v/>
      </c>
      <c r="C1842" t="str">
        <f>FORSIDE!$C$4</f>
        <v>S355, Stål / KFHUP 180x180x12.5</v>
      </c>
    </row>
    <row r="1843" spans="1:3" x14ac:dyDescent="0.3">
      <c r="A1843" t="str">
        <f>IF(AND(FORSIDE!$B$8&gt;=16,FORSIDE!$F$8&gt;=8,FORSIDE!$B$5&gt;=2),"S1842","")</f>
        <v/>
      </c>
      <c r="B1843" t="str">
        <f>IF(AND(FORSIDE!$B$8&gt;=16,FORSIDE!$F$8&gt;=8,FORSIDE!$B$5&gt;=2),"2026 -&gt; 2027","")</f>
        <v/>
      </c>
      <c r="C1843" t="str">
        <f>FORSIDE!$C$4</f>
        <v>S355, Stål / KFHUP 180x180x12.5</v>
      </c>
    </row>
    <row r="1844" spans="1:3" x14ac:dyDescent="0.3">
      <c r="A1844" t="str">
        <f>IF(AND(FORSIDE!$B$8&gt;=16,FORSIDE!$F$8&gt;=8,FORSIDE!$B$5&gt;=3),"S1843","")</f>
        <v/>
      </c>
      <c r="B1844" t="str">
        <f>IF(AND(FORSIDE!$B$8&gt;=16,FORSIDE!$F$8&gt;=8,FORSIDE!$B$5&gt;=3),"2027 -&gt; 2028","")</f>
        <v/>
      </c>
      <c r="C1844" t="str">
        <f>FORSIDE!$C$4</f>
        <v>S355, Stål / KFHUP 180x180x12.5</v>
      </c>
    </row>
    <row r="1845" spans="1:3" x14ac:dyDescent="0.3">
      <c r="A1845" t="str">
        <f>IF(AND(FORSIDE!$B$8&gt;=16,FORSIDE!$F$8&gt;=8,FORSIDE!$B$5&gt;=4),"S1844","")</f>
        <v/>
      </c>
      <c r="B1845" t="str">
        <f>IF(AND(FORSIDE!$B$8&gt;=16,FORSIDE!$F$8&gt;=8,FORSIDE!$B$5&gt;=4),"2028 -&gt; 2029","")</f>
        <v/>
      </c>
      <c r="C1845" t="str">
        <f>FORSIDE!$C$4</f>
        <v>S355, Stål / KFHUP 180x180x12.5</v>
      </c>
    </row>
    <row r="1846" spans="1:3" x14ac:dyDescent="0.3">
      <c r="A1846" t="str">
        <f>IF(AND(FORSIDE!$B$8&gt;=16,FORSIDE!$F$8&gt;=8,FORSIDE!$B$5&gt;=5),"S1845","")</f>
        <v/>
      </c>
      <c r="B1846" t="str">
        <f>IF(AND(FORSIDE!$B$8&gt;=16,FORSIDE!$F$8&gt;=8,FORSIDE!$B$5&gt;=5),"2029 -&gt; 2030","")</f>
        <v/>
      </c>
      <c r="C1846" t="str">
        <f>FORSIDE!$C$4</f>
        <v>S355, Stål / KFHUP 180x180x12.5</v>
      </c>
    </row>
    <row r="1847" spans="1:3" x14ac:dyDescent="0.3">
      <c r="A1847" t="str">
        <f>IF(AND(FORSIDE!$B$8&gt;=16,FORSIDE!$F$8&gt;=8,FORSIDE!$B$5&gt;=6),"S1846","")</f>
        <v/>
      </c>
      <c r="B1847" t="str">
        <f>IF(AND(FORSIDE!$B$8&gt;=16,FORSIDE!$F$8&gt;=8,FORSIDE!$B$5&gt;=6),"2030 -&gt; 2031","")</f>
        <v/>
      </c>
      <c r="C1847" t="str">
        <f>FORSIDE!$C$4</f>
        <v>S355, Stål / KFHUP 180x180x12.5</v>
      </c>
    </row>
    <row r="1848" spans="1:3" x14ac:dyDescent="0.3">
      <c r="A1848" t="str">
        <f>IF(AND(FORSIDE!$B$8&gt;=16,FORSIDE!$F$8&gt;=8,FORSIDE!$B$5&gt;=7),"S1847","")</f>
        <v/>
      </c>
      <c r="B1848" t="str">
        <f>IF(AND(FORSIDE!$B$8&gt;=16,FORSIDE!$F$8&gt;=8,FORSIDE!$B$5&gt;=7),"2031 -&gt; 2032","")</f>
        <v/>
      </c>
      <c r="C1848" t="str">
        <f>FORSIDE!$C$4</f>
        <v>S355, Stål / KFHUP 180x180x12.5</v>
      </c>
    </row>
    <row r="1849" spans="1:3" x14ac:dyDescent="0.3">
      <c r="A1849" t="str">
        <f>IF(AND(FORSIDE!$B$8&gt;=16,FORSIDE!$F$8&gt;=8,FORSIDE!$B$5&gt;=8),"S1848","")</f>
        <v/>
      </c>
      <c r="B1849" t="str">
        <f>IF(AND(FORSIDE!$B$8&gt;=16,FORSIDE!$F$8&gt;=8,FORSIDE!$B$5&gt;=8),"2032 -&gt; 2033","")</f>
        <v/>
      </c>
      <c r="C1849" t="str">
        <f>FORSIDE!$C$4</f>
        <v>S355, Stål / KFHUP 180x180x12.5</v>
      </c>
    </row>
    <row r="1850" spans="1:3" x14ac:dyDescent="0.3">
      <c r="A1850" t="str">
        <f>IF(AND(FORSIDE!$B$8&gt;=16,FORSIDE!$F$8&gt;=8,FORSIDE!$B$5&gt;=9),"S1849","")</f>
        <v/>
      </c>
      <c r="B1850" t="str">
        <f>IF(AND(FORSIDE!$B$8&gt;=16,FORSIDE!$F$8&gt;=8,FORSIDE!$B$5&gt;=9),"2033 -&gt; 2034","")</f>
        <v/>
      </c>
      <c r="C1850" t="str">
        <f>FORSIDE!$C$4</f>
        <v>S355, Stål / KFHUP 180x180x12.5</v>
      </c>
    </row>
    <row r="1851" spans="1:3" x14ac:dyDescent="0.3">
      <c r="A1851" t="str">
        <f>IF(AND(FORSIDE!$B$8&gt;=16,FORSIDE!$F$8&gt;=8,FORSIDE!$B$5&gt;=10),"S1850","")</f>
        <v/>
      </c>
      <c r="B1851" t="str">
        <f>IF(AND(FORSIDE!$B$8&gt;=16,FORSIDE!$F$8&gt;=8,FORSIDE!$B$5&gt;=10),"2034 -&gt; 2035","")</f>
        <v/>
      </c>
      <c r="C1851" t="str">
        <f>FORSIDE!$C$4</f>
        <v>S355, Stål / KFHUP 180x180x12.5</v>
      </c>
    </row>
    <row r="1852" spans="1:3" x14ac:dyDescent="0.3">
      <c r="A1852" t="str">
        <f>IF(AND(FORSIDE!$B$8&gt;=17,FORSIDE!$F$8&gt;=8,FORSIDE!$B$5&gt;=1),"S1851","")</f>
        <v/>
      </c>
      <c r="B1852" t="str">
        <f>IF(AND(FORSIDE!$B$8&gt;=17,FORSIDE!$F$8&gt;=8,FORSIDE!$B$5&gt;=1),"2036 -&gt; 2037","")</f>
        <v/>
      </c>
      <c r="C1852" t="str">
        <f>FORSIDE!$C$4</f>
        <v>S355, Stål / KFHUP 180x180x12.5</v>
      </c>
    </row>
    <row r="1853" spans="1:3" x14ac:dyDescent="0.3">
      <c r="A1853" t="str">
        <f>IF(AND(FORSIDE!$B$8&gt;=17,FORSIDE!$F$8&gt;=8,FORSIDE!$B$5&gt;=2),"S1852","")</f>
        <v/>
      </c>
      <c r="B1853" t="str">
        <f>IF(AND(FORSIDE!$B$8&gt;=17,FORSIDE!$F$8&gt;=8,FORSIDE!$B$5&gt;=2),"2037 -&gt; 2038","")</f>
        <v/>
      </c>
      <c r="C1853" t="str">
        <f>FORSIDE!$C$4</f>
        <v>S355, Stål / KFHUP 180x180x12.5</v>
      </c>
    </row>
    <row r="1854" spans="1:3" x14ac:dyDescent="0.3">
      <c r="A1854" t="str">
        <f>IF(AND(FORSIDE!$B$8&gt;=17,FORSIDE!$F$8&gt;=8,FORSIDE!$B$5&gt;=3),"S1853","")</f>
        <v/>
      </c>
      <c r="B1854" t="str">
        <f>IF(AND(FORSIDE!$B$8&gt;=17,FORSIDE!$F$8&gt;=8,FORSIDE!$B$5&gt;=3),"2038 -&gt; 2039","")</f>
        <v/>
      </c>
      <c r="C1854" t="str">
        <f>FORSIDE!$C$4</f>
        <v>S355, Stål / KFHUP 180x180x12.5</v>
      </c>
    </row>
    <row r="1855" spans="1:3" x14ac:dyDescent="0.3">
      <c r="A1855" t="str">
        <f>IF(AND(FORSIDE!$B$8&gt;=17,FORSIDE!$F$8&gt;=8,FORSIDE!$B$5&gt;=4),"S1854","")</f>
        <v/>
      </c>
      <c r="B1855" t="str">
        <f>IF(AND(FORSIDE!$B$8&gt;=17,FORSIDE!$F$8&gt;=8,FORSIDE!$B$5&gt;=4),"2039 -&gt; 2040","")</f>
        <v/>
      </c>
      <c r="C1855" t="str">
        <f>FORSIDE!$C$4</f>
        <v>S355, Stål / KFHUP 180x180x12.5</v>
      </c>
    </row>
    <row r="1856" spans="1:3" x14ac:dyDescent="0.3">
      <c r="A1856" t="str">
        <f>IF(AND(FORSIDE!$B$8&gt;=17,FORSIDE!$F$8&gt;=8,FORSIDE!$B$5&gt;=5),"S1855","")</f>
        <v/>
      </c>
      <c r="B1856" t="str">
        <f>IF(AND(FORSIDE!$B$8&gt;=17,FORSIDE!$F$8&gt;=8,FORSIDE!$B$5&gt;=5),"2040 -&gt; 2041","")</f>
        <v/>
      </c>
      <c r="C1856" t="str">
        <f>FORSIDE!$C$4</f>
        <v>S355, Stål / KFHUP 180x180x12.5</v>
      </c>
    </row>
    <row r="1857" spans="1:3" x14ac:dyDescent="0.3">
      <c r="A1857" t="str">
        <f>IF(AND(FORSIDE!$B$8&gt;=17,FORSIDE!$F$8&gt;=8,FORSIDE!$B$5&gt;=6),"S1856","")</f>
        <v/>
      </c>
      <c r="B1857" t="str">
        <f>IF(AND(FORSIDE!$B$8&gt;=17,FORSIDE!$F$8&gt;=8,FORSIDE!$B$5&gt;=6),"2041 -&gt; 2042","")</f>
        <v/>
      </c>
      <c r="C1857" t="str">
        <f>FORSIDE!$C$4</f>
        <v>S355, Stål / KFHUP 180x180x12.5</v>
      </c>
    </row>
    <row r="1858" spans="1:3" x14ac:dyDescent="0.3">
      <c r="A1858" t="str">
        <f>IF(AND(FORSIDE!$B$8&gt;=17,FORSIDE!$F$8&gt;=8,FORSIDE!$B$5&gt;=7),"S1857","")</f>
        <v/>
      </c>
      <c r="B1858" t="str">
        <f>IF(AND(FORSIDE!$B$8&gt;=17,FORSIDE!$F$8&gt;=8,FORSIDE!$B$5&gt;=7),"2042 -&gt; 2043","")</f>
        <v/>
      </c>
      <c r="C1858" t="str">
        <f>FORSIDE!$C$4</f>
        <v>S355, Stål / KFHUP 180x180x12.5</v>
      </c>
    </row>
    <row r="1859" spans="1:3" x14ac:dyDescent="0.3">
      <c r="A1859" t="str">
        <f>IF(AND(FORSIDE!$B$8&gt;=17,FORSIDE!$F$8&gt;=8,FORSIDE!$B$5&gt;=8),"S1858","")</f>
        <v/>
      </c>
      <c r="B1859" t="str">
        <f>IF(AND(FORSIDE!$B$8&gt;=17,FORSIDE!$F$8&gt;=8,FORSIDE!$B$5&gt;=8),"2043 -&gt; 2044","")</f>
        <v/>
      </c>
      <c r="C1859" t="str">
        <f>FORSIDE!$C$4</f>
        <v>S355, Stål / KFHUP 180x180x12.5</v>
      </c>
    </row>
    <row r="1860" spans="1:3" x14ac:dyDescent="0.3">
      <c r="A1860" t="str">
        <f>IF(AND(FORSIDE!$B$8&gt;=17,FORSIDE!$F$8&gt;=8,FORSIDE!$B$5&gt;=9),"S1859","")</f>
        <v/>
      </c>
      <c r="B1860" t="str">
        <f>IF(AND(FORSIDE!$B$8&gt;=17,FORSIDE!$F$8&gt;=8,FORSIDE!$B$5&gt;=9),"2044 -&gt; 2045","")</f>
        <v/>
      </c>
      <c r="C1860" t="str">
        <f>FORSIDE!$C$4</f>
        <v>S355, Stål / KFHUP 180x180x12.5</v>
      </c>
    </row>
    <row r="1861" spans="1:3" x14ac:dyDescent="0.3">
      <c r="A1861" t="str">
        <f>IF(AND(FORSIDE!$B$8&gt;=17,FORSIDE!$F$8&gt;=8,FORSIDE!$B$5&gt;=10),"S1860","")</f>
        <v/>
      </c>
      <c r="B1861" t="str">
        <f>IF(AND(FORSIDE!$B$8&gt;=17,FORSIDE!$F$8&gt;=8,FORSIDE!$B$5&gt;=10),"2045 -&gt; 2046","")</f>
        <v/>
      </c>
      <c r="C1861" t="str">
        <f>FORSIDE!$C$4</f>
        <v>S355, Stål / KFHUP 180x180x12.5</v>
      </c>
    </row>
    <row r="1862" spans="1:3" x14ac:dyDescent="0.3">
      <c r="A1862" t="str">
        <f>IF(AND(FORSIDE!$B$8&gt;=18,FORSIDE!$F$8&gt;=8,FORSIDE!$B$5&gt;=1),"S1861","")</f>
        <v/>
      </c>
      <c r="B1862" t="str">
        <f>IF(AND(FORSIDE!$B$8&gt;=18,FORSIDE!$F$8&gt;=8,FORSIDE!$B$5&gt;=1),"2047 -&gt; 2048","")</f>
        <v/>
      </c>
      <c r="C1862" t="str">
        <f>FORSIDE!$C$4</f>
        <v>S355, Stål / KFHUP 180x180x12.5</v>
      </c>
    </row>
    <row r="1863" spans="1:3" x14ac:dyDescent="0.3">
      <c r="A1863" t="str">
        <f>IF(AND(FORSIDE!$B$8&gt;=18,FORSIDE!$F$8&gt;=8,FORSIDE!$B$5&gt;=2),"S1862","")</f>
        <v/>
      </c>
      <c r="B1863" t="str">
        <f>IF(AND(FORSIDE!$B$8&gt;=18,FORSIDE!$F$8&gt;=8,FORSIDE!$B$5&gt;=2),"2048 -&gt; 2049","")</f>
        <v/>
      </c>
      <c r="C1863" t="str">
        <f>FORSIDE!$C$4</f>
        <v>S355, Stål / KFHUP 180x180x12.5</v>
      </c>
    </row>
    <row r="1864" spans="1:3" x14ac:dyDescent="0.3">
      <c r="A1864" t="str">
        <f>IF(AND(FORSIDE!$B$8&gt;=18,FORSIDE!$F$8&gt;=8,FORSIDE!$B$5&gt;=3),"S1863","")</f>
        <v/>
      </c>
      <c r="B1864" t="str">
        <f>IF(AND(FORSIDE!$B$8&gt;=18,FORSIDE!$F$8&gt;=8,FORSIDE!$B$5&gt;=3),"2049 -&gt; 2050","")</f>
        <v/>
      </c>
      <c r="C1864" t="str">
        <f>FORSIDE!$C$4</f>
        <v>S355, Stål / KFHUP 180x180x12.5</v>
      </c>
    </row>
    <row r="1865" spans="1:3" x14ac:dyDescent="0.3">
      <c r="A1865" t="str">
        <f>IF(AND(FORSIDE!$B$8&gt;=18,FORSIDE!$F$8&gt;=8,FORSIDE!$B$5&gt;=4),"S1864","")</f>
        <v/>
      </c>
      <c r="B1865" t="str">
        <f>IF(AND(FORSIDE!$B$8&gt;=18,FORSIDE!$F$8&gt;=8,FORSIDE!$B$5&gt;=4),"2050 -&gt; 2051","")</f>
        <v/>
      </c>
      <c r="C1865" t="str">
        <f>FORSIDE!$C$4</f>
        <v>S355, Stål / KFHUP 180x180x12.5</v>
      </c>
    </row>
    <row r="1866" spans="1:3" x14ac:dyDescent="0.3">
      <c r="A1866" t="str">
        <f>IF(AND(FORSIDE!$B$8&gt;=18,FORSIDE!$F$8&gt;=8,FORSIDE!$B$5&gt;=5),"S1865","")</f>
        <v/>
      </c>
      <c r="B1866" t="str">
        <f>IF(AND(FORSIDE!$B$8&gt;=18,FORSIDE!$F$8&gt;=8,FORSIDE!$B$5&gt;=5),"2051 -&gt; 2052","")</f>
        <v/>
      </c>
      <c r="C1866" t="str">
        <f>FORSIDE!$C$4</f>
        <v>S355, Stål / KFHUP 180x180x12.5</v>
      </c>
    </row>
    <row r="1867" spans="1:3" x14ac:dyDescent="0.3">
      <c r="A1867" t="str">
        <f>IF(AND(FORSIDE!$B$8&gt;=18,FORSIDE!$F$8&gt;=8,FORSIDE!$B$5&gt;=6),"S1866","")</f>
        <v/>
      </c>
      <c r="B1867" t="str">
        <f>IF(AND(FORSIDE!$B$8&gt;=18,FORSIDE!$F$8&gt;=8,FORSIDE!$B$5&gt;=6),"2052 -&gt; 2053","")</f>
        <v/>
      </c>
      <c r="C1867" t="str">
        <f>FORSIDE!$C$4</f>
        <v>S355, Stål / KFHUP 180x180x12.5</v>
      </c>
    </row>
    <row r="1868" spans="1:3" x14ac:dyDescent="0.3">
      <c r="A1868" t="str">
        <f>IF(AND(FORSIDE!$B$8&gt;=18,FORSIDE!$F$8&gt;=8,FORSIDE!$B$5&gt;=7),"S1867","")</f>
        <v/>
      </c>
      <c r="B1868" t="str">
        <f>IF(AND(FORSIDE!$B$8&gt;=18,FORSIDE!$F$8&gt;=8,FORSIDE!$B$5&gt;=7),"2053 -&gt; 2054","")</f>
        <v/>
      </c>
      <c r="C1868" t="str">
        <f>FORSIDE!$C$4</f>
        <v>S355, Stål / KFHUP 180x180x12.5</v>
      </c>
    </row>
    <row r="1869" spans="1:3" x14ac:dyDescent="0.3">
      <c r="A1869" t="str">
        <f>IF(AND(FORSIDE!$B$8&gt;=18,FORSIDE!$F$8&gt;=8,FORSIDE!$B$5&gt;=8),"S1868","")</f>
        <v/>
      </c>
      <c r="B1869" t="str">
        <f>IF(AND(FORSIDE!$B$8&gt;=18,FORSIDE!$F$8&gt;=8,FORSIDE!$B$5&gt;=8),"2054 -&gt; 2055","")</f>
        <v/>
      </c>
      <c r="C1869" t="str">
        <f>FORSIDE!$C$4</f>
        <v>S355, Stål / KFHUP 180x180x12.5</v>
      </c>
    </row>
    <row r="1870" spans="1:3" x14ac:dyDescent="0.3">
      <c r="A1870" t="str">
        <f>IF(AND(FORSIDE!$B$8&gt;=18,FORSIDE!$F$8&gt;=8,FORSIDE!$B$5&gt;=9),"S1869","")</f>
        <v/>
      </c>
      <c r="B1870" t="str">
        <f>IF(AND(FORSIDE!$B$8&gt;=18,FORSIDE!$F$8&gt;=8,FORSIDE!$B$5&gt;=9),"2055 -&gt; 2056","")</f>
        <v/>
      </c>
      <c r="C1870" t="str">
        <f>FORSIDE!$C$4</f>
        <v>S355, Stål / KFHUP 180x180x12.5</v>
      </c>
    </row>
    <row r="1871" spans="1:3" x14ac:dyDescent="0.3">
      <c r="A1871" t="str">
        <f>IF(AND(FORSIDE!$B$8&gt;=18,FORSIDE!$F$8&gt;=8,FORSIDE!$B$5&gt;=10),"S1870","")</f>
        <v/>
      </c>
      <c r="B1871" t="str">
        <f>IF(AND(FORSIDE!$B$8&gt;=18,FORSIDE!$F$8&gt;=8,FORSIDE!$B$5&gt;=10),"2056 -&gt; 2057","")</f>
        <v/>
      </c>
      <c r="C1871" t="str">
        <f>FORSIDE!$C$4</f>
        <v>S355, Stål / KFHUP 180x180x12.5</v>
      </c>
    </row>
    <row r="1872" spans="1:3" x14ac:dyDescent="0.3">
      <c r="A1872" t="str">
        <f>IF(AND(FORSIDE!$B$8&gt;=19,FORSIDE!$F$8&gt;=8,FORSIDE!$B$5&gt;=1),"S1871","")</f>
        <v/>
      </c>
      <c r="B1872" t="str">
        <f>IF(AND(FORSIDE!$B$8&gt;=19,FORSIDE!$F$8&gt;=8,FORSIDE!$B$5&gt;=1),"2058 -&gt; 2059","")</f>
        <v/>
      </c>
      <c r="C1872" t="str">
        <f>FORSIDE!$C$4</f>
        <v>S355, Stål / KFHUP 180x180x12.5</v>
      </c>
    </row>
    <row r="1873" spans="1:3" x14ac:dyDescent="0.3">
      <c r="A1873" t="str">
        <f>IF(AND(FORSIDE!$B$8&gt;=19,FORSIDE!$F$8&gt;=8,FORSIDE!$B$5&gt;=2),"S1872","")</f>
        <v/>
      </c>
      <c r="B1873" t="str">
        <f>IF(AND(FORSIDE!$B$8&gt;=19,FORSIDE!$F$8&gt;=8,FORSIDE!$B$5&gt;=2),"2059 -&gt; 2060","")</f>
        <v/>
      </c>
      <c r="C1873" t="str">
        <f>FORSIDE!$C$4</f>
        <v>S355, Stål / KFHUP 180x180x12.5</v>
      </c>
    </row>
    <row r="1874" spans="1:3" x14ac:dyDescent="0.3">
      <c r="A1874" t="str">
        <f>IF(AND(FORSIDE!$B$8&gt;=19,FORSIDE!$F$8&gt;=8,FORSIDE!$B$5&gt;=3),"S1873","")</f>
        <v/>
      </c>
      <c r="B1874" t="str">
        <f>IF(AND(FORSIDE!$B$8&gt;=19,FORSIDE!$F$8&gt;=8,FORSIDE!$B$5&gt;=3),"2060 -&gt; 2061","")</f>
        <v/>
      </c>
      <c r="C1874" t="str">
        <f>FORSIDE!$C$4</f>
        <v>S355, Stål / KFHUP 180x180x12.5</v>
      </c>
    </row>
    <row r="1875" spans="1:3" x14ac:dyDescent="0.3">
      <c r="A1875" t="str">
        <f>IF(AND(FORSIDE!$B$8&gt;=19,FORSIDE!$F$8&gt;=8,FORSIDE!$B$5&gt;=4),"S1874","")</f>
        <v/>
      </c>
      <c r="B1875" t="str">
        <f>IF(AND(FORSIDE!$B$8&gt;=19,FORSIDE!$F$8&gt;=8,FORSIDE!$B$5&gt;=4),"2061 -&gt; 2062","")</f>
        <v/>
      </c>
      <c r="C1875" t="str">
        <f>FORSIDE!$C$4</f>
        <v>S355, Stål / KFHUP 180x180x12.5</v>
      </c>
    </row>
    <row r="1876" spans="1:3" x14ac:dyDescent="0.3">
      <c r="A1876" t="str">
        <f>IF(AND(FORSIDE!$B$8&gt;=19,FORSIDE!$F$8&gt;=8,FORSIDE!$B$5&gt;=5),"S1875","")</f>
        <v/>
      </c>
      <c r="B1876" t="str">
        <f>IF(AND(FORSIDE!$B$8&gt;=19,FORSIDE!$F$8&gt;=8,FORSIDE!$B$5&gt;=5),"2062 -&gt; 2063","")</f>
        <v/>
      </c>
      <c r="C1876" t="str">
        <f>FORSIDE!$C$4</f>
        <v>S355, Stål / KFHUP 180x180x12.5</v>
      </c>
    </row>
    <row r="1877" spans="1:3" x14ac:dyDescent="0.3">
      <c r="A1877" t="str">
        <f>IF(AND(FORSIDE!$B$8&gt;=19,FORSIDE!$F$8&gt;=8,FORSIDE!$B$5&gt;=6),"S1876","")</f>
        <v/>
      </c>
      <c r="B1877" t="str">
        <f>IF(AND(FORSIDE!$B$8&gt;=19,FORSIDE!$F$8&gt;=8,FORSIDE!$B$5&gt;=6),"2063 -&gt; 2064","")</f>
        <v/>
      </c>
      <c r="C1877" t="str">
        <f>FORSIDE!$C$4</f>
        <v>S355, Stål / KFHUP 180x180x12.5</v>
      </c>
    </row>
    <row r="1878" spans="1:3" x14ac:dyDescent="0.3">
      <c r="A1878" t="str">
        <f>IF(AND(FORSIDE!$B$8&gt;=19,FORSIDE!$F$8&gt;=8,FORSIDE!$B$5&gt;=7),"S1877","")</f>
        <v/>
      </c>
      <c r="B1878" t="str">
        <f>IF(AND(FORSIDE!$B$8&gt;=19,FORSIDE!$F$8&gt;=8,FORSIDE!$B$5&gt;=7),"2064 -&gt; 2065","")</f>
        <v/>
      </c>
      <c r="C1878" t="str">
        <f>FORSIDE!$C$4</f>
        <v>S355, Stål / KFHUP 180x180x12.5</v>
      </c>
    </row>
    <row r="1879" spans="1:3" x14ac:dyDescent="0.3">
      <c r="A1879" t="str">
        <f>IF(AND(FORSIDE!$B$8&gt;=19,FORSIDE!$F$8&gt;=8,FORSIDE!$B$5&gt;=8),"S1878","")</f>
        <v/>
      </c>
      <c r="B1879" t="str">
        <f>IF(AND(FORSIDE!$B$8&gt;=19,FORSIDE!$F$8&gt;=8,FORSIDE!$B$5&gt;=8),"2065 -&gt; 2066","")</f>
        <v/>
      </c>
      <c r="C1879" t="str">
        <f>FORSIDE!$C$4</f>
        <v>S355, Stål / KFHUP 180x180x12.5</v>
      </c>
    </row>
    <row r="1880" spans="1:3" x14ac:dyDescent="0.3">
      <c r="A1880" t="str">
        <f>IF(AND(FORSIDE!$B$8&gt;=19,FORSIDE!$F$8&gt;=8,FORSIDE!$B$5&gt;=9),"S1879","")</f>
        <v/>
      </c>
      <c r="B1880" t="str">
        <f>IF(AND(FORSIDE!$B$8&gt;=19,FORSIDE!$F$8&gt;=8,FORSIDE!$B$5&gt;=9),"2066 -&gt; 2067","")</f>
        <v/>
      </c>
      <c r="C1880" t="str">
        <f>FORSIDE!$C$4</f>
        <v>S355, Stål / KFHUP 180x180x12.5</v>
      </c>
    </row>
    <row r="1881" spans="1:3" x14ac:dyDescent="0.3">
      <c r="A1881" t="str">
        <f>IF(AND(FORSIDE!$B$8&gt;=19,FORSIDE!$F$8&gt;=8,FORSIDE!$B$5&gt;=10),"S1880","")</f>
        <v/>
      </c>
      <c r="B1881" t="str">
        <f>IF(AND(FORSIDE!$B$8&gt;=19,FORSIDE!$F$8&gt;=8,FORSIDE!$B$5&gt;=10),"2067 -&gt; 2068","")</f>
        <v/>
      </c>
      <c r="C1881" t="str">
        <f>FORSIDE!$C$4</f>
        <v>S355, Stål / KFHUP 180x180x12.5</v>
      </c>
    </row>
    <row r="1882" spans="1:3" x14ac:dyDescent="0.3">
      <c r="A1882" t="str">
        <f>IF(AND(FORSIDE!$B$8&gt;=20,FORSIDE!$F$8&gt;=8,FORSIDE!$B$5&gt;=1),"S1881","")</f>
        <v/>
      </c>
      <c r="B1882" t="str">
        <f>IF(AND(FORSIDE!$B$8&gt;=20,FORSIDE!$F$8&gt;=8,FORSIDE!$B$5&gt;=1),"2069 -&gt; 2070","")</f>
        <v/>
      </c>
      <c r="C1882" t="str">
        <f>FORSIDE!$C$4</f>
        <v>S355, Stål / KFHUP 180x180x12.5</v>
      </c>
    </row>
    <row r="1883" spans="1:3" x14ac:dyDescent="0.3">
      <c r="A1883" t="str">
        <f>IF(AND(FORSIDE!$B$8&gt;=20,FORSIDE!$F$8&gt;=8,FORSIDE!$B$5&gt;=2),"S1882","")</f>
        <v/>
      </c>
      <c r="B1883" t="str">
        <f>IF(AND(FORSIDE!$B$8&gt;=20,FORSIDE!$F$8&gt;=8,FORSIDE!$B$5&gt;=2),"2070 -&gt; 2071","")</f>
        <v/>
      </c>
      <c r="C1883" t="str">
        <f>FORSIDE!$C$4</f>
        <v>S355, Stål / KFHUP 180x180x12.5</v>
      </c>
    </row>
    <row r="1884" spans="1:3" x14ac:dyDescent="0.3">
      <c r="A1884" t="str">
        <f>IF(AND(FORSIDE!$B$8&gt;=20,FORSIDE!$F$8&gt;=8,FORSIDE!$B$5&gt;=3),"S1883","")</f>
        <v/>
      </c>
      <c r="B1884" t="str">
        <f>IF(AND(FORSIDE!$B$8&gt;=20,FORSIDE!$F$8&gt;=8,FORSIDE!$B$5&gt;=3),"2071 -&gt; 2072","")</f>
        <v/>
      </c>
      <c r="C1884" t="str">
        <f>FORSIDE!$C$4</f>
        <v>S355, Stål / KFHUP 180x180x12.5</v>
      </c>
    </row>
    <row r="1885" spans="1:3" x14ac:dyDescent="0.3">
      <c r="A1885" t="str">
        <f>IF(AND(FORSIDE!$B$8&gt;=20,FORSIDE!$F$8&gt;=8,FORSIDE!$B$5&gt;=4),"S1884","")</f>
        <v/>
      </c>
      <c r="B1885" t="str">
        <f>IF(AND(FORSIDE!$B$8&gt;=20,FORSIDE!$F$8&gt;=8,FORSIDE!$B$5&gt;=4),"2072 -&gt; 2073","")</f>
        <v/>
      </c>
      <c r="C1885" t="str">
        <f>FORSIDE!$C$4</f>
        <v>S355, Stål / KFHUP 180x180x12.5</v>
      </c>
    </row>
    <row r="1886" spans="1:3" x14ac:dyDescent="0.3">
      <c r="A1886" t="str">
        <f>IF(AND(FORSIDE!$B$8&gt;=20,FORSIDE!$F$8&gt;=8,FORSIDE!$B$5&gt;=5),"S1885","")</f>
        <v/>
      </c>
      <c r="B1886" t="str">
        <f>IF(AND(FORSIDE!$B$8&gt;=20,FORSIDE!$F$8&gt;=8,FORSIDE!$B$5&gt;=5),"2073 -&gt; 2074","")</f>
        <v/>
      </c>
      <c r="C1886" t="str">
        <f>FORSIDE!$C$4</f>
        <v>S355, Stål / KFHUP 180x180x12.5</v>
      </c>
    </row>
    <row r="1887" spans="1:3" x14ac:dyDescent="0.3">
      <c r="A1887" t="str">
        <f>IF(AND(FORSIDE!$B$8&gt;=20,FORSIDE!$F$8&gt;=8,FORSIDE!$B$5&gt;=6),"S1886","")</f>
        <v/>
      </c>
      <c r="B1887" t="str">
        <f>IF(AND(FORSIDE!$B$8&gt;=20,FORSIDE!$F$8&gt;=8,FORSIDE!$B$5&gt;=6),"2074 -&gt; 2075","")</f>
        <v/>
      </c>
      <c r="C1887" t="str">
        <f>FORSIDE!$C$4</f>
        <v>S355, Stål / KFHUP 180x180x12.5</v>
      </c>
    </row>
    <row r="1888" spans="1:3" x14ac:dyDescent="0.3">
      <c r="A1888" t="str">
        <f>IF(AND(FORSIDE!$B$8&gt;=20,FORSIDE!$F$8&gt;=8,FORSIDE!$B$5&gt;=7),"S1887","")</f>
        <v/>
      </c>
      <c r="B1888" t="str">
        <f>IF(AND(FORSIDE!$B$8&gt;=20,FORSIDE!$F$8&gt;=8,FORSIDE!$B$5&gt;=7),"2075 -&gt; 2076","")</f>
        <v/>
      </c>
      <c r="C1888" t="str">
        <f>FORSIDE!$C$4</f>
        <v>S355, Stål / KFHUP 180x180x12.5</v>
      </c>
    </row>
    <row r="1889" spans="1:3" x14ac:dyDescent="0.3">
      <c r="A1889" t="str">
        <f>IF(AND(FORSIDE!$B$8&gt;=20,FORSIDE!$F$8&gt;=8,FORSIDE!$B$5&gt;=8),"S1888","")</f>
        <v/>
      </c>
      <c r="B1889" t="str">
        <f>IF(AND(FORSIDE!$B$8&gt;=20,FORSIDE!$F$8&gt;=8,FORSIDE!$B$5&gt;=8),"2076 -&gt; 2077","")</f>
        <v/>
      </c>
      <c r="C1889" t="str">
        <f>FORSIDE!$C$4</f>
        <v>S355, Stål / KFHUP 180x180x12.5</v>
      </c>
    </row>
    <row r="1890" spans="1:3" x14ac:dyDescent="0.3">
      <c r="A1890" t="str">
        <f>IF(AND(FORSIDE!$B$8&gt;=20,FORSIDE!$F$8&gt;=8,FORSIDE!$B$5&gt;=9),"S1889","")</f>
        <v/>
      </c>
      <c r="B1890" t="str">
        <f>IF(AND(FORSIDE!$B$8&gt;=20,FORSIDE!$F$8&gt;=8,FORSIDE!$B$5&gt;=9),"2077 -&gt; 2078","")</f>
        <v/>
      </c>
      <c r="C1890" t="str">
        <f>FORSIDE!$C$4</f>
        <v>S355, Stål / KFHUP 180x180x12.5</v>
      </c>
    </row>
    <row r="1891" spans="1:3" x14ac:dyDescent="0.3">
      <c r="A1891" t="str">
        <f>IF(AND(FORSIDE!$B$8&gt;=20,FORSIDE!$F$8&gt;=8,FORSIDE!$B$5&gt;=10),"S1890","")</f>
        <v/>
      </c>
      <c r="B1891" t="str">
        <f>IF(AND(FORSIDE!$B$8&gt;=20,FORSIDE!$F$8&gt;=8,FORSIDE!$B$5&gt;=10),"2078 -&gt; 2079","")</f>
        <v/>
      </c>
      <c r="C1891" t="str">
        <f>FORSIDE!$C$4</f>
        <v>S355, Stål / KFHUP 180x180x12.5</v>
      </c>
    </row>
    <row r="1892" spans="1:3" x14ac:dyDescent="0.3">
      <c r="A1892" t="str">
        <f>IF(AND(FORSIDE!$B$8&gt;=0,FORSIDE!$F$8&gt;=9,FORSIDE!$B$5&gt;=1),"S1891","")</f>
        <v/>
      </c>
      <c r="B1892" t="str">
        <f>IF(AND(FORSIDE!$B$8&gt;=0,FORSIDE!$F$8&gt;=9,FORSIDE!$B$5&gt;=1),"2080 -&gt; 2081","")</f>
        <v/>
      </c>
      <c r="C1892" t="str">
        <f>FORSIDE!$C$4</f>
        <v>S355, Stål / KFHUP 180x180x12.5</v>
      </c>
    </row>
    <row r="1893" spans="1:3" x14ac:dyDescent="0.3">
      <c r="A1893" t="str">
        <f>IF(AND(FORSIDE!$B$8&gt;=0,FORSIDE!$F$8&gt;=9,FORSIDE!$B$5&gt;=2),"S1892","")</f>
        <v/>
      </c>
      <c r="B1893" t="str">
        <f>IF(AND(FORSIDE!$B$8&gt;=0,FORSIDE!$F$8&gt;=9,FORSIDE!$B$5&gt;=2),"2081 -&gt; 2082","")</f>
        <v/>
      </c>
      <c r="C1893" t="str">
        <f>FORSIDE!$C$4</f>
        <v>S355, Stål / KFHUP 180x180x12.5</v>
      </c>
    </row>
    <row r="1894" spans="1:3" x14ac:dyDescent="0.3">
      <c r="A1894" t="str">
        <f>IF(AND(FORSIDE!$B$8&gt;=0,FORSIDE!$F$8&gt;=9,FORSIDE!$B$5&gt;=3),"S1893","")</f>
        <v/>
      </c>
      <c r="B1894" t="str">
        <f>IF(AND(FORSIDE!$B$8&gt;=0,FORSIDE!$F$8&gt;=9,FORSIDE!$B$5&gt;=3),"2082 -&gt; 2083","")</f>
        <v/>
      </c>
      <c r="C1894" t="str">
        <f>FORSIDE!$C$4</f>
        <v>S355, Stål / KFHUP 180x180x12.5</v>
      </c>
    </row>
    <row r="1895" spans="1:3" x14ac:dyDescent="0.3">
      <c r="A1895" t="str">
        <f>IF(AND(FORSIDE!$B$8&gt;=0,FORSIDE!$F$8&gt;=9,FORSIDE!$B$5&gt;=4),"S1894","")</f>
        <v/>
      </c>
      <c r="B1895" t="str">
        <f>IF(AND(FORSIDE!$B$8&gt;=0,FORSIDE!$F$8&gt;=9,FORSIDE!$B$5&gt;=4),"2083 -&gt; 2084","")</f>
        <v/>
      </c>
      <c r="C1895" t="str">
        <f>FORSIDE!$C$4</f>
        <v>S355, Stål / KFHUP 180x180x12.5</v>
      </c>
    </row>
    <row r="1896" spans="1:3" x14ac:dyDescent="0.3">
      <c r="A1896" t="str">
        <f>IF(AND(FORSIDE!$B$8&gt;=0,FORSIDE!$F$8&gt;=9,FORSIDE!$B$5&gt;=5),"S1895","")</f>
        <v/>
      </c>
      <c r="B1896" t="str">
        <f>IF(AND(FORSIDE!$B$8&gt;=0,FORSIDE!$F$8&gt;=9,FORSIDE!$B$5&gt;=5),"2084 -&gt; 2085","")</f>
        <v/>
      </c>
      <c r="C1896" t="str">
        <f>FORSIDE!$C$4</f>
        <v>S355, Stål / KFHUP 180x180x12.5</v>
      </c>
    </row>
    <row r="1897" spans="1:3" x14ac:dyDescent="0.3">
      <c r="A1897" t="str">
        <f>IF(AND(FORSIDE!$B$8&gt;=0,FORSIDE!$F$8&gt;=9,FORSIDE!$B$5&gt;=6),"S1896","")</f>
        <v/>
      </c>
      <c r="B1897" t="str">
        <f>IF(AND(FORSIDE!$B$8&gt;=0,FORSIDE!$F$8&gt;=9,FORSIDE!$B$5&gt;=6),"2085 -&gt; 2086","")</f>
        <v/>
      </c>
      <c r="C1897" t="str">
        <f>FORSIDE!$C$4</f>
        <v>S355, Stål / KFHUP 180x180x12.5</v>
      </c>
    </row>
    <row r="1898" spans="1:3" x14ac:dyDescent="0.3">
      <c r="A1898" t="str">
        <f>IF(AND(FORSIDE!$B$8&gt;=0,FORSIDE!$F$8&gt;=9,FORSIDE!$B$5&gt;=7),"S1897","")</f>
        <v/>
      </c>
      <c r="B1898" t="str">
        <f>IF(AND(FORSIDE!$B$8&gt;=0,FORSIDE!$F$8&gt;=9,FORSIDE!$B$5&gt;=7),"2086 -&gt; 2087","")</f>
        <v/>
      </c>
      <c r="C1898" t="str">
        <f>FORSIDE!$C$4</f>
        <v>S355, Stål / KFHUP 180x180x12.5</v>
      </c>
    </row>
    <row r="1899" spans="1:3" x14ac:dyDescent="0.3">
      <c r="A1899" t="str">
        <f>IF(AND(FORSIDE!$B$8&gt;=0,FORSIDE!$F$8&gt;=9,FORSIDE!$B$5&gt;=8),"S1898","")</f>
        <v/>
      </c>
      <c r="B1899" t="str">
        <f>IF(AND(FORSIDE!$B$8&gt;=0,FORSIDE!$F$8&gt;=9,FORSIDE!$B$5&gt;=8),"2087 -&gt; 2088","")</f>
        <v/>
      </c>
      <c r="C1899" t="str">
        <f>FORSIDE!$C$4</f>
        <v>S355, Stål / KFHUP 180x180x12.5</v>
      </c>
    </row>
    <row r="1900" spans="1:3" x14ac:dyDescent="0.3">
      <c r="A1900" t="str">
        <f>IF(AND(FORSIDE!$B$8&gt;=0,FORSIDE!$F$8&gt;=9,FORSIDE!$B$5&gt;=9),"S1899","")</f>
        <v/>
      </c>
      <c r="B1900" t="str">
        <f>IF(AND(FORSIDE!$B$8&gt;=0,FORSIDE!$F$8&gt;=9,FORSIDE!$B$5&gt;=9),"2088 -&gt; 2089","")</f>
        <v/>
      </c>
      <c r="C1900" t="str">
        <f>FORSIDE!$C$4</f>
        <v>S355, Stål / KFHUP 180x180x12.5</v>
      </c>
    </row>
    <row r="1901" spans="1:3" x14ac:dyDescent="0.3">
      <c r="A1901" t="str">
        <f>IF(AND(FORSIDE!$B$8&gt;=0,FORSIDE!$F$8&gt;=9,FORSIDE!$B$5&gt;=10),"S1900","")</f>
        <v/>
      </c>
      <c r="B1901" t="str">
        <f>IF(AND(FORSIDE!$B$8&gt;=0,FORSIDE!$F$8&gt;=9,FORSIDE!$B$5&gt;=10),"2089 -&gt; 2090","")</f>
        <v/>
      </c>
      <c r="C1901" t="str">
        <f>FORSIDE!$C$4</f>
        <v>S355, Stål / KFHUP 180x180x12.5</v>
      </c>
    </row>
    <row r="1902" spans="1:3" x14ac:dyDescent="0.3">
      <c r="A1902" t="str">
        <f>IF(AND(FORSIDE!$B$8&gt;=1,FORSIDE!$F$8&gt;=9,FORSIDE!$B$5&gt;=1),"S1901","")</f>
        <v/>
      </c>
      <c r="B1902" t="str">
        <f>IF(AND(FORSIDE!$B$8&gt;=1,FORSIDE!$F$8&gt;=9,FORSIDE!$B$5&gt;=1),"2091 -&gt; 2092","")</f>
        <v/>
      </c>
      <c r="C1902" t="str">
        <f>FORSIDE!$C$4</f>
        <v>S355, Stål / KFHUP 180x180x12.5</v>
      </c>
    </row>
    <row r="1903" spans="1:3" x14ac:dyDescent="0.3">
      <c r="A1903" t="str">
        <f>IF(AND(FORSIDE!$B$8&gt;=1,FORSIDE!$F$8&gt;=9,FORSIDE!$B$5&gt;=2),"S1902","")</f>
        <v/>
      </c>
      <c r="B1903" t="str">
        <f>IF(AND(FORSIDE!$B$8&gt;=1,FORSIDE!$F$8&gt;=9,FORSIDE!$B$5&gt;=2),"2092 -&gt; 2093","")</f>
        <v/>
      </c>
      <c r="C1903" t="str">
        <f>FORSIDE!$C$4</f>
        <v>S355, Stål / KFHUP 180x180x12.5</v>
      </c>
    </row>
    <row r="1904" spans="1:3" x14ac:dyDescent="0.3">
      <c r="A1904" t="str">
        <f>IF(AND(FORSIDE!$B$8&gt;=1,FORSIDE!$F$8&gt;=9,FORSIDE!$B$5&gt;=3),"S1903","")</f>
        <v/>
      </c>
      <c r="B1904" t="str">
        <f>IF(AND(FORSIDE!$B$8&gt;=1,FORSIDE!$F$8&gt;=9,FORSIDE!$B$5&gt;=3),"2093 -&gt; 2094","")</f>
        <v/>
      </c>
      <c r="C1904" t="str">
        <f>FORSIDE!$C$4</f>
        <v>S355, Stål / KFHUP 180x180x12.5</v>
      </c>
    </row>
    <row r="1905" spans="1:3" x14ac:dyDescent="0.3">
      <c r="A1905" t="str">
        <f>IF(AND(FORSIDE!$B$8&gt;=1,FORSIDE!$F$8&gt;=9,FORSIDE!$B$5&gt;=4),"S1904","")</f>
        <v/>
      </c>
      <c r="B1905" t="str">
        <f>IF(AND(FORSIDE!$B$8&gt;=1,FORSIDE!$F$8&gt;=9,FORSIDE!$B$5&gt;=4),"2094 -&gt; 2095","")</f>
        <v/>
      </c>
      <c r="C1905" t="str">
        <f>FORSIDE!$C$4</f>
        <v>S355, Stål / KFHUP 180x180x12.5</v>
      </c>
    </row>
    <row r="1906" spans="1:3" x14ac:dyDescent="0.3">
      <c r="A1906" t="str">
        <f>IF(AND(FORSIDE!$B$8&gt;=1,FORSIDE!$F$8&gt;=9,FORSIDE!$B$5&gt;=5),"S1905","")</f>
        <v/>
      </c>
      <c r="B1906" t="str">
        <f>IF(AND(FORSIDE!$B$8&gt;=1,FORSIDE!$F$8&gt;=9,FORSIDE!$B$5&gt;=5),"2095 -&gt; 2096","")</f>
        <v/>
      </c>
      <c r="C1906" t="str">
        <f>FORSIDE!$C$4</f>
        <v>S355, Stål / KFHUP 180x180x12.5</v>
      </c>
    </row>
    <row r="1907" spans="1:3" x14ac:dyDescent="0.3">
      <c r="A1907" t="str">
        <f>IF(AND(FORSIDE!$B$8&gt;=1,FORSIDE!$F$8&gt;=9,FORSIDE!$B$5&gt;=6),"S1906","")</f>
        <v/>
      </c>
      <c r="B1907" t="str">
        <f>IF(AND(FORSIDE!$B$8&gt;=1,FORSIDE!$F$8&gt;=9,FORSIDE!$B$5&gt;=6),"2096 -&gt; 2097","")</f>
        <v/>
      </c>
      <c r="C1907" t="str">
        <f>FORSIDE!$C$4</f>
        <v>S355, Stål / KFHUP 180x180x12.5</v>
      </c>
    </row>
    <row r="1908" spans="1:3" x14ac:dyDescent="0.3">
      <c r="A1908" t="str">
        <f>IF(AND(FORSIDE!$B$8&gt;=1,FORSIDE!$F$8&gt;=9,FORSIDE!$B$5&gt;=7),"S1907","")</f>
        <v/>
      </c>
      <c r="B1908" t="str">
        <f>IF(AND(FORSIDE!$B$8&gt;=1,FORSIDE!$F$8&gt;=9,FORSIDE!$B$5&gt;=7),"2097 -&gt; 2098","")</f>
        <v/>
      </c>
      <c r="C1908" t="str">
        <f>FORSIDE!$C$4</f>
        <v>S355, Stål / KFHUP 180x180x12.5</v>
      </c>
    </row>
    <row r="1909" spans="1:3" x14ac:dyDescent="0.3">
      <c r="A1909" t="str">
        <f>IF(AND(FORSIDE!$B$8&gt;=1,FORSIDE!$F$8&gt;=9,FORSIDE!$B$5&gt;=8),"S1908","")</f>
        <v/>
      </c>
      <c r="B1909" t="str">
        <f>IF(AND(FORSIDE!$B$8&gt;=1,FORSIDE!$F$8&gt;=9,FORSIDE!$B$5&gt;=8),"2098 -&gt; 2099","")</f>
        <v/>
      </c>
      <c r="C1909" t="str">
        <f>FORSIDE!$C$4</f>
        <v>S355, Stål / KFHUP 180x180x12.5</v>
      </c>
    </row>
    <row r="1910" spans="1:3" x14ac:dyDescent="0.3">
      <c r="A1910" t="str">
        <f>IF(AND(FORSIDE!$B$8&gt;=1,FORSIDE!$F$8&gt;=9,FORSIDE!$B$5&gt;=9),"S1909","")</f>
        <v/>
      </c>
      <c r="B1910" t="str">
        <f>IF(AND(FORSIDE!$B$8&gt;=1,FORSIDE!$F$8&gt;=9,FORSIDE!$B$5&gt;=9),"2099 -&gt; 2100","")</f>
        <v/>
      </c>
      <c r="C1910" t="str">
        <f>FORSIDE!$C$4</f>
        <v>S355, Stål / KFHUP 180x180x12.5</v>
      </c>
    </row>
    <row r="1911" spans="1:3" x14ac:dyDescent="0.3">
      <c r="A1911" t="str">
        <f>IF(AND(FORSIDE!$B$8&gt;=1,FORSIDE!$F$8&gt;=9,FORSIDE!$B$5&gt;=10),"S1910","")</f>
        <v/>
      </c>
      <c r="B1911" t="str">
        <f>IF(AND(FORSIDE!$B$8&gt;=1,FORSIDE!$F$8&gt;=9,FORSIDE!$B$5&gt;=10),"2100 -&gt; 2101","")</f>
        <v/>
      </c>
      <c r="C1911" t="str">
        <f>FORSIDE!$C$4</f>
        <v>S355, Stål / KFHUP 180x180x12.5</v>
      </c>
    </row>
    <row r="1912" spans="1:3" x14ac:dyDescent="0.3">
      <c r="A1912" t="str">
        <f>IF(AND(FORSIDE!$B$8&gt;=2,FORSIDE!$F$8&gt;=9,FORSIDE!$B$5&gt;=1),"S1911","")</f>
        <v/>
      </c>
      <c r="B1912" t="str">
        <f>IF(AND(FORSIDE!$B$8&gt;=2,FORSIDE!$F$8&gt;=9,FORSIDE!$B$5&gt;=1),"2102 -&gt; 2103","")</f>
        <v/>
      </c>
      <c r="C1912" t="str">
        <f>FORSIDE!$C$4</f>
        <v>S355, Stål / KFHUP 180x180x12.5</v>
      </c>
    </row>
    <row r="1913" spans="1:3" x14ac:dyDescent="0.3">
      <c r="A1913" t="str">
        <f>IF(AND(FORSIDE!$B$8&gt;=2,FORSIDE!$F$8&gt;=9,FORSIDE!$B$5&gt;=2),"S1912","")</f>
        <v/>
      </c>
      <c r="B1913" t="str">
        <f>IF(AND(FORSIDE!$B$8&gt;=2,FORSIDE!$F$8&gt;=9,FORSIDE!$B$5&gt;=2),"2103 -&gt; 2104","")</f>
        <v/>
      </c>
      <c r="C1913" t="str">
        <f>FORSIDE!$C$4</f>
        <v>S355, Stål / KFHUP 180x180x12.5</v>
      </c>
    </row>
    <row r="1914" spans="1:3" x14ac:dyDescent="0.3">
      <c r="A1914" t="str">
        <f>IF(AND(FORSIDE!$B$8&gt;=2,FORSIDE!$F$8&gt;=9,FORSIDE!$B$5&gt;=3),"S1913","")</f>
        <v/>
      </c>
      <c r="B1914" t="str">
        <f>IF(AND(FORSIDE!$B$8&gt;=2,FORSIDE!$F$8&gt;=9,FORSIDE!$B$5&gt;=3),"2104 -&gt; 2105","")</f>
        <v/>
      </c>
      <c r="C1914" t="str">
        <f>FORSIDE!$C$4</f>
        <v>S355, Stål / KFHUP 180x180x12.5</v>
      </c>
    </row>
    <row r="1915" spans="1:3" x14ac:dyDescent="0.3">
      <c r="A1915" t="str">
        <f>IF(AND(FORSIDE!$B$8&gt;=2,FORSIDE!$F$8&gt;=9,FORSIDE!$B$5&gt;=4),"S1914","")</f>
        <v/>
      </c>
      <c r="B1915" t="str">
        <f>IF(AND(FORSIDE!$B$8&gt;=2,FORSIDE!$F$8&gt;=9,FORSIDE!$B$5&gt;=4),"2105 -&gt; 2106","")</f>
        <v/>
      </c>
      <c r="C1915" t="str">
        <f>FORSIDE!$C$4</f>
        <v>S355, Stål / KFHUP 180x180x12.5</v>
      </c>
    </row>
    <row r="1916" spans="1:3" x14ac:dyDescent="0.3">
      <c r="A1916" t="str">
        <f>IF(AND(FORSIDE!$B$8&gt;=2,FORSIDE!$F$8&gt;=9,FORSIDE!$B$5&gt;=5),"S1915","")</f>
        <v/>
      </c>
      <c r="B1916" t="str">
        <f>IF(AND(FORSIDE!$B$8&gt;=2,FORSIDE!$F$8&gt;=9,FORSIDE!$B$5&gt;=5),"2106 -&gt; 2107","")</f>
        <v/>
      </c>
      <c r="C1916" t="str">
        <f>FORSIDE!$C$4</f>
        <v>S355, Stål / KFHUP 180x180x12.5</v>
      </c>
    </row>
    <row r="1917" spans="1:3" x14ac:dyDescent="0.3">
      <c r="A1917" t="str">
        <f>IF(AND(FORSIDE!$B$8&gt;=2,FORSIDE!$F$8&gt;=9,FORSIDE!$B$5&gt;=6),"S1916","")</f>
        <v/>
      </c>
      <c r="B1917" t="str">
        <f>IF(AND(FORSIDE!$B$8&gt;=2,FORSIDE!$F$8&gt;=9,FORSIDE!$B$5&gt;=6),"2107 -&gt; 2108","")</f>
        <v/>
      </c>
      <c r="C1917" t="str">
        <f>FORSIDE!$C$4</f>
        <v>S355, Stål / KFHUP 180x180x12.5</v>
      </c>
    </row>
    <row r="1918" spans="1:3" x14ac:dyDescent="0.3">
      <c r="A1918" t="str">
        <f>IF(AND(FORSIDE!$B$8&gt;=2,FORSIDE!$F$8&gt;=9,FORSIDE!$B$5&gt;=7),"S1917","")</f>
        <v/>
      </c>
      <c r="B1918" t="str">
        <f>IF(AND(FORSIDE!$B$8&gt;=2,FORSIDE!$F$8&gt;=9,FORSIDE!$B$5&gt;=7),"2108 -&gt; 2109","")</f>
        <v/>
      </c>
      <c r="C1918" t="str">
        <f>FORSIDE!$C$4</f>
        <v>S355, Stål / KFHUP 180x180x12.5</v>
      </c>
    </row>
    <row r="1919" spans="1:3" x14ac:dyDescent="0.3">
      <c r="A1919" t="str">
        <f>IF(AND(FORSIDE!$B$8&gt;=2,FORSIDE!$F$8&gt;=9,FORSIDE!$B$5&gt;=8),"S1918","")</f>
        <v/>
      </c>
      <c r="B1919" t="str">
        <f>IF(AND(FORSIDE!$B$8&gt;=2,FORSIDE!$F$8&gt;=9,FORSIDE!$B$5&gt;=8),"2109 -&gt; 2110","")</f>
        <v/>
      </c>
      <c r="C1919" t="str">
        <f>FORSIDE!$C$4</f>
        <v>S355, Stål / KFHUP 180x180x12.5</v>
      </c>
    </row>
    <row r="1920" spans="1:3" x14ac:dyDescent="0.3">
      <c r="A1920" t="str">
        <f>IF(AND(FORSIDE!$B$8&gt;=2,FORSIDE!$F$8&gt;=9,FORSIDE!$B$5&gt;=9),"S1919","")</f>
        <v/>
      </c>
      <c r="B1920" t="str">
        <f>IF(AND(FORSIDE!$B$8&gt;=2,FORSIDE!$F$8&gt;=9,FORSIDE!$B$5&gt;=9),"2110 -&gt; 2111","")</f>
        <v/>
      </c>
      <c r="C1920" t="str">
        <f>FORSIDE!$C$4</f>
        <v>S355, Stål / KFHUP 180x180x12.5</v>
      </c>
    </row>
    <row r="1921" spans="1:3" x14ac:dyDescent="0.3">
      <c r="A1921" t="str">
        <f>IF(AND(FORSIDE!$B$8&gt;=2,FORSIDE!$F$8&gt;=9,FORSIDE!$B$5&gt;=10),"S1920","")</f>
        <v/>
      </c>
      <c r="B1921" t="str">
        <f>IF(AND(FORSIDE!$B$8&gt;=2,FORSIDE!$F$8&gt;=9,FORSIDE!$B$5&gt;=10),"2111 -&gt; 2112","")</f>
        <v/>
      </c>
      <c r="C1921" t="str">
        <f>FORSIDE!$C$4</f>
        <v>S355, Stål / KFHUP 180x180x12.5</v>
      </c>
    </row>
    <row r="1922" spans="1:3" x14ac:dyDescent="0.3">
      <c r="A1922" t="str">
        <f>IF(AND(FORSIDE!$B$8&gt;=3,FORSIDE!$F$8&gt;=9,FORSIDE!$B$5&gt;=1),"S1921","")</f>
        <v/>
      </c>
      <c r="B1922" t="str">
        <f>IF(AND(FORSIDE!$B$8&gt;=3,FORSIDE!$F$8&gt;=9,FORSIDE!$B$5&gt;=1),"2113 -&gt; 2114","")</f>
        <v/>
      </c>
      <c r="C1922" t="str">
        <f>FORSIDE!$C$4</f>
        <v>S355, Stål / KFHUP 180x180x12.5</v>
      </c>
    </row>
    <row r="1923" spans="1:3" x14ac:dyDescent="0.3">
      <c r="A1923" t="str">
        <f>IF(AND(FORSIDE!$B$8&gt;=3,FORSIDE!$F$8&gt;=9,FORSIDE!$B$5&gt;=2),"S1922","")</f>
        <v/>
      </c>
      <c r="B1923" t="str">
        <f>IF(AND(FORSIDE!$B$8&gt;=3,FORSIDE!$F$8&gt;=9,FORSIDE!$B$5&gt;=2),"2114 -&gt; 2115","")</f>
        <v/>
      </c>
      <c r="C1923" t="str">
        <f>FORSIDE!$C$4</f>
        <v>S355, Stål / KFHUP 180x180x12.5</v>
      </c>
    </row>
    <row r="1924" spans="1:3" x14ac:dyDescent="0.3">
      <c r="A1924" t="str">
        <f>IF(AND(FORSIDE!$B$8&gt;=3,FORSIDE!$F$8&gt;=9,FORSIDE!$B$5&gt;=3),"S1923","")</f>
        <v/>
      </c>
      <c r="B1924" t="str">
        <f>IF(AND(FORSIDE!$B$8&gt;=3,FORSIDE!$F$8&gt;=9,FORSIDE!$B$5&gt;=3),"2115 -&gt; 2116","")</f>
        <v/>
      </c>
      <c r="C1924" t="str">
        <f>FORSIDE!$C$4</f>
        <v>S355, Stål / KFHUP 180x180x12.5</v>
      </c>
    </row>
    <row r="1925" spans="1:3" x14ac:dyDescent="0.3">
      <c r="A1925" t="str">
        <f>IF(AND(FORSIDE!$B$8&gt;=3,FORSIDE!$F$8&gt;=9,FORSIDE!$B$5&gt;=4),"S1924","")</f>
        <v/>
      </c>
      <c r="B1925" t="str">
        <f>IF(AND(FORSIDE!$B$8&gt;=3,FORSIDE!$F$8&gt;=9,FORSIDE!$B$5&gt;=4),"2116 -&gt; 2117","")</f>
        <v/>
      </c>
      <c r="C1925" t="str">
        <f>FORSIDE!$C$4</f>
        <v>S355, Stål / KFHUP 180x180x12.5</v>
      </c>
    </row>
    <row r="1926" spans="1:3" x14ac:dyDescent="0.3">
      <c r="A1926" t="str">
        <f>IF(AND(FORSIDE!$B$8&gt;=3,FORSIDE!$F$8&gt;=9,FORSIDE!$B$5&gt;=5),"S1925","")</f>
        <v/>
      </c>
      <c r="B1926" t="str">
        <f>IF(AND(FORSIDE!$B$8&gt;=3,FORSIDE!$F$8&gt;=9,FORSIDE!$B$5&gt;=5),"2117 -&gt; 2118","")</f>
        <v/>
      </c>
      <c r="C1926" t="str">
        <f>FORSIDE!$C$4</f>
        <v>S355, Stål / KFHUP 180x180x12.5</v>
      </c>
    </row>
    <row r="1927" spans="1:3" x14ac:dyDescent="0.3">
      <c r="A1927" t="str">
        <f>IF(AND(FORSIDE!$B$8&gt;=3,FORSIDE!$F$8&gt;=9,FORSIDE!$B$5&gt;=6),"S1926","")</f>
        <v/>
      </c>
      <c r="B1927" t="str">
        <f>IF(AND(FORSIDE!$B$8&gt;=3,FORSIDE!$F$8&gt;=9,FORSIDE!$B$5&gt;=6),"2118 -&gt; 2119","")</f>
        <v/>
      </c>
      <c r="C1927" t="str">
        <f>FORSIDE!$C$4</f>
        <v>S355, Stål / KFHUP 180x180x12.5</v>
      </c>
    </row>
    <row r="1928" spans="1:3" x14ac:dyDescent="0.3">
      <c r="A1928" t="str">
        <f>IF(AND(FORSIDE!$B$8&gt;=3,FORSIDE!$F$8&gt;=9,FORSIDE!$B$5&gt;=7),"S1927","")</f>
        <v/>
      </c>
      <c r="B1928" t="str">
        <f>IF(AND(FORSIDE!$B$8&gt;=3,FORSIDE!$F$8&gt;=9,FORSIDE!$B$5&gt;=7),"2119 -&gt; 2120","")</f>
        <v/>
      </c>
      <c r="C1928" t="str">
        <f>FORSIDE!$C$4</f>
        <v>S355, Stål / KFHUP 180x180x12.5</v>
      </c>
    </row>
    <row r="1929" spans="1:3" x14ac:dyDescent="0.3">
      <c r="A1929" t="str">
        <f>IF(AND(FORSIDE!$B$8&gt;=3,FORSIDE!$F$8&gt;=9,FORSIDE!$B$5&gt;=8),"S1928","")</f>
        <v/>
      </c>
      <c r="B1929" t="str">
        <f>IF(AND(FORSIDE!$B$8&gt;=3,FORSIDE!$F$8&gt;=9,FORSIDE!$B$5&gt;=8),"2120 -&gt; 2121","")</f>
        <v/>
      </c>
      <c r="C1929" t="str">
        <f>FORSIDE!$C$4</f>
        <v>S355, Stål / KFHUP 180x180x12.5</v>
      </c>
    </row>
    <row r="1930" spans="1:3" x14ac:dyDescent="0.3">
      <c r="A1930" t="str">
        <f>IF(AND(FORSIDE!$B$8&gt;=3,FORSIDE!$F$8&gt;=9,FORSIDE!$B$5&gt;=9),"S1929","")</f>
        <v/>
      </c>
      <c r="B1930" t="str">
        <f>IF(AND(FORSIDE!$B$8&gt;=3,FORSIDE!$F$8&gt;=9,FORSIDE!$B$5&gt;=9),"2121 -&gt; 2122","")</f>
        <v/>
      </c>
      <c r="C1930" t="str">
        <f>FORSIDE!$C$4</f>
        <v>S355, Stål / KFHUP 180x180x12.5</v>
      </c>
    </row>
    <row r="1931" spans="1:3" x14ac:dyDescent="0.3">
      <c r="A1931" t="str">
        <f>IF(AND(FORSIDE!$B$8&gt;=3,FORSIDE!$F$8&gt;=9,FORSIDE!$B$5&gt;=10),"S1930","")</f>
        <v/>
      </c>
      <c r="B1931" t="str">
        <f>IF(AND(FORSIDE!$B$8&gt;=3,FORSIDE!$F$8&gt;=9,FORSIDE!$B$5&gt;=10),"2122 -&gt; 2123","")</f>
        <v/>
      </c>
      <c r="C1931" t="str">
        <f>FORSIDE!$C$4</f>
        <v>S355, Stål / KFHUP 180x180x12.5</v>
      </c>
    </row>
    <row r="1932" spans="1:3" x14ac:dyDescent="0.3">
      <c r="A1932" t="str">
        <f>IF(AND(FORSIDE!$B$8&gt;=4,FORSIDE!$F$8&gt;=9,FORSIDE!$B$5&gt;=1),"S1931","")</f>
        <v/>
      </c>
      <c r="B1932" t="str">
        <f>IF(AND(FORSIDE!$B$8&gt;=4,FORSIDE!$F$8&gt;=9,FORSIDE!$B$5&gt;=1),"2124 -&gt; 2125","")</f>
        <v/>
      </c>
      <c r="C1932" t="str">
        <f>FORSIDE!$C$4</f>
        <v>S355, Stål / KFHUP 180x180x12.5</v>
      </c>
    </row>
    <row r="1933" spans="1:3" x14ac:dyDescent="0.3">
      <c r="A1933" t="str">
        <f>IF(AND(FORSIDE!$B$8&gt;=4,FORSIDE!$F$8&gt;=9,FORSIDE!$B$5&gt;=2),"S1932","")</f>
        <v/>
      </c>
      <c r="B1933" t="str">
        <f>IF(AND(FORSIDE!$B$8&gt;=4,FORSIDE!$F$8&gt;=9,FORSIDE!$B$5&gt;=2),"2125 -&gt; 2126","")</f>
        <v/>
      </c>
      <c r="C1933" t="str">
        <f>FORSIDE!$C$4</f>
        <v>S355, Stål / KFHUP 180x180x12.5</v>
      </c>
    </row>
    <row r="1934" spans="1:3" x14ac:dyDescent="0.3">
      <c r="A1934" t="str">
        <f>IF(AND(FORSIDE!$B$8&gt;=4,FORSIDE!$F$8&gt;=9,FORSIDE!$B$5&gt;=3),"S1933","")</f>
        <v/>
      </c>
      <c r="B1934" t="str">
        <f>IF(AND(FORSIDE!$B$8&gt;=4,FORSIDE!$F$8&gt;=9,FORSIDE!$B$5&gt;=3),"2126 -&gt; 2127","")</f>
        <v/>
      </c>
      <c r="C1934" t="str">
        <f>FORSIDE!$C$4</f>
        <v>S355, Stål / KFHUP 180x180x12.5</v>
      </c>
    </row>
    <row r="1935" spans="1:3" x14ac:dyDescent="0.3">
      <c r="A1935" t="str">
        <f>IF(AND(FORSIDE!$B$8&gt;=4,FORSIDE!$F$8&gt;=9,FORSIDE!$B$5&gt;=4),"S1934","")</f>
        <v/>
      </c>
      <c r="B1935" t="str">
        <f>IF(AND(FORSIDE!$B$8&gt;=4,FORSIDE!$F$8&gt;=9,FORSIDE!$B$5&gt;=4),"2127 -&gt; 2128","")</f>
        <v/>
      </c>
      <c r="C1935" t="str">
        <f>FORSIDE!$C$4</f>
        <v>S355, Stål / KFHUP 180x180x12.5</v>
      </c>
    </row>
    <row r="1936" spans="1:3" x14ac:dyDescent="0.3">
      <c r="A1936" t="str">
        <f>IF(AND(FORSIDE!$B$8&gt;=4,FORSIDE!$F$8&gt;=9,FORSIDE!$B$5&gt;=5),"S1935","")</f>
        <v/>
      </c>
      <c r="B1936" t="str">
        <f>IF(AND(FORSIDE!$B$8&gt;=4,FORSIDE!$F$8&gt;=9,FORSIDE!$B$5&gt;=5),"2128 -&gt; 2129","")</f>
        <v/>
      </c>
      <c r="C1936" t="str">
        <f>FORSIDE!$C$4</f>
        <v>S355, Stål / KFHUP 180x180x12.5</v>
      </c>
    </row>
    <row r="1937" spans="1:3" x14ac:dyDescent="0.3">
      <c r="A1937" t="str">
        <f>IF(AND(FORSIDE!$B$8&gt;=4,FORSIDE!$F$8&gt;=9,FORSIDE!$B$5&gt;=6),"S1936","")</f>
        <v/>
      </c>
      <c r="B1937" t="str">
        <f>IF(AND(FORSIDE!$B$8&gt;=4,FORSIDE!$F$8&gt;=9,FORSIDE!$B$5&gt;=6),"2129 -&gt; 2130","")</f>
        <v/>
      </c>
      <c r="C1937" t="str">
        <f>FORSIDE!$C$4</f>
        <v>S355, Stål / KFHUP 180x180x12.5</v>
      </c>
    </row>
    <row r="1938" spans="1:3" x14ac:dyDescent="0.3">
      <c r="A1938" t="str">
        <f>IF(AND(FORSIDE!$B$8&gt;=4,FORSIDE!$F$8&gt;=9,FORSIDE!$B$5&gt;=7),"S1937","")</f>
        <v/>
      </c>
      <c r="B1938" t="str">
        <f>IF(AND(FORSIDE!$B$8&gt;=4,FORSIDE!$F$8&gt;=9,FORSIDE!$B$5&gt;=7),"2130 -&gt; 2131","")</f>
        <v/>
      </c>
      <c r="C1938" t="str">
        <f>FORSIDE!$C$4</f>
        <v>S355, Stål / KFHUP 180x180x12.5</v>
      </c>
    </row>
    <row r="1939" spans="1:3" x14ac:dyDescent="0.3">
      <c r="A1939" t="str">
        <f>IF(AND(FORSIDE!$B$8&gt;=4,FORSIDE!$F$8&gt;=9,FORSIDE!$B$5&gt;=8),"S1938","")</f>
        <v/>
      </c>
      <c r="B1939" t="str">
        <f>IF(AND(FORSIDE!$B$8&gt;=4,FORSIDE!$F$8&gt;=9,FORSIDE!$B$5&gt;=8),"2131 -&gt; 2132","")</f>
        <v/>
      </c>
      <c r="C1939" t="str">
        <f>FORSIDE!$C$4</f>
        <v>S355, Stål / KFHUP 180x180x12.5</v>
      </c>
    </row>
    <row r="1940" spans="1:3" x14ac:dyDescent="0.3">
      <c r="A1940" t="str">
        <f>IF(AND(FORSIDE!$B$8&gt;=4,FORSIDE!$F$8&gt;=9,FORSIDE!$B$5&gt;=9),"S1939","")</f>
        <v/>
      </c>
      <c r="B1940" t="str">
        <f>IF(AND(FORSIDE!$B$8&gt;=4,FORSIDE!$F$8&gt;=9,FORSIDE!$B$5&gt;=9),"2132 -&gt; 2133","")</f>
        <v/>
      </c>
      <c r="C1940" t="str">
        <f>FORSIDE!$C$4</f>
        <v>S355, Stål / KFHUP 180x180x12.5</v>
      </c>
    </row>
    <row r="1941" spans="1:3" x14ac:dyDescent="0.3">
      <c r="A1941" t="str">
        <f>IF(AND(FORSIDE!$B$8&gt;=4,FORSIDE!$F$8&gt;=9,FORSIDE!$B$5&gt;=10),"S1940","")</f>
        <v/>
      </c>
      <c r="B1941" t="str">
        <f>IF(AND(FORSIDE!$B$8&gt;=4,FORSIDE!$F$8&gt;=9,FORSIDE!$B$5&gt;=10),"2133 -&gt; 2134","")</f>
        <v/>
      </c>
      <c r="C1941" t="str">
        <f>FORSIDE!$C$4</f>
        <v>S355, Stål / KFHUP 180x180x12.5</v>
      </c>
    </row>
    <row r="1942" spans="1:3" x14ac:dyDescent="0.3">
      <c r="A1942" t="str">
        <f>IF(AND(FORSIDE!$B$8&gt;=5,FORSIDE!$F$8&gt;=9,FORSIDE!$B$5&gt;=1),"S1941","")</f>
        <v/>
      </c>
      <c r="B1942" t="str">
        <f>IF(AND(FORSIDE!$B$8&gt;=5,FORSIDE!$F$8&gt;=9,FORSIDE!$B$5&gt;=1),"2135 -&gt; 2136","")</f>
        <v/>
      </c>
      <c r="C1942" t="str">
        <f>FORSIDE!$C$4</f>
        <v>S355, Stål / KFHUP 180x180x12.5</v>
      </c>
    </row>
    <row r="1943" spans="1:3" x14ac:dyDescent="0.3">
      <c r="A1943" t="str">
        <f>IF(AND(FORSIDE!$B$8&gt;=5,FORSIDE!$F$8&gt;=9,FORSIDE!$B$5&gt;=2),"S1942","")</f>
        <v/>
      </c>
      <c r="B1943" t="str">
        <f>IF(AND(FORSIDE!$B$8&gt;=5,FORSIDE!$F$8&gt;=9,FORSIDE!$B$5&gt;=2),"2136 -&gt; 2137","")</f>
        <v/>
      </c>
      <c r="C1943" t="str">
        <f>FORSIDE!$C$4</f>
        <v>S355, Stål / KFHUP 180x180x12.5</v>
      </c>
    </row>
    <row r="1944" spans="1:3" x14ac:dyDescent="0.3">
      <c r="A1944" t="str">
        <f>IF(AND(FORSIDE!$B$8&gt;=5,FORSIDE!$F$8&gt;=9,FORSIDE!$B$5&gt;=3),"S1943","")</f>
        <v/>
      </c>
      <c r="B1944" t="str">
        <f>IF(AND(FORSIDE!$B$8&gt;=5,FORSIDE!$F$8&gt;=9,FORSIDE!$B$5&gt;=3),"2137 -&gt; 2138","")</f>
        <v/>
      </c>
      <c r="C1944" t="str">
        <f>FORSIDE!$C$4</f>
        <v>S355, Stål / KFHUP 180x180x12.5</v>
      </c>
    </row>
    <row r="1945" spans="1:3" x14ac:dyDescent="0.3">
      <c r="A1945" t="str">
        <f>IF(AND(FORSIDE!$B$8&gt;=5,FORSIDE!$F$8&gt;=9,FORSIDE!$B$5&gt;=4),"S1944","")</f>
        <v/>
      </c>
      <c r="B1945" t="str">
        <f>IF(AND(FORSIDE!$B$8&gt;=5,FORSIDE!$F$8&gt;=9,FORSIDE!$B$5&gt;=4),"2138 -&gt; 2139","")</f>
        <v/>
      </c>
      <c r="C1945" t="str">
        <f>FORSIDE!$C$4</f>
        <v>S355, Stål / KFHUP 180x180x12.5</v>
      </c>
    </row>
    <row r="1946" spans="1:3" x14ac:dyDescent="0.3">
      <c r="A1946" t="str">
        <f>IF(AND(FORSIDE!$B$8&gt;=5,FORSIDE!$F$8&gt;=9,FORSIDE!$B$5&gt;=5),"S1945","")</f>
        <v/>
      </c>
      <c r="B1946" t="str">
        <f>IF(AND(FORSIDE!$B$8&gt;=5,FORSIDE!$F$8&gt;=9,FORSIDE!$B$5&gt;=5),"2139 -&gt; 2140","")</f>
        <v/>
      </c>
      <c r="C1946" t="str">
        <f>FORSIDE!$C$4</f>
        <v>S355, Stål / KFHUP 180x180x12.5</v>
      </c>
    </row>
    <row r="1947" spans="1:3" x14ac:dyDescent="0.3">
      <c r="A1947" t="str">
        <f>IF(AND(FORSIDE!$B$8&gt;=5,FORSIDE!$F$8&gt;=9,FORSIDE!$B$5&gt;=6),"S1946","")</f>
        <v/>
      </c>
      <c r="B1947" t="str">
        <f>IF(AND(FORSIDE!$B$8&gt;=5,FORSIDE!$F$8&gt;=9,FORSIDE!$B$5&gt;=6),"2140 -&gt; 2141","")</f>
        <v/>
      </c>
      <c r="C1947" t="str">
        <f>FORSIDE!$C$4</f>
        <v>S355, Stål / KFHUP 180x180x12.5</v>
      </c>
    </row>
    <row r="1948" spans="1:3" x14ac:dyDescent="0.3">
      <c r="A1948" t="str">
        <f>IF(AND(FORSIDE!$B$8&gt;=5,FORSIDE!$F$8&gt;=9,FORSIDE!$B$5&gt;=7),"S1947","")</f>
        <v/>
      </c>
      <c r="B1948" t="str">
        <f>IF(AND(FORSIDE!$B$8&gt;=5,FORSIDE!$F$8&gt;=9,FORSIDE!$B$5&gt;=7),"2141 -&gt; 2142","")</f>
        <v/>
      </c>
      <c r="C1948" t="str">
        <f>FORSIDE!$C$4</f>
        <v>S355, Stål / KFHUP 180x180x12.5</v>
      </c>
    </row>
    <row r="1949" spans="1:3" x14ac:dyDescent="0.3">
      <c r="A1949" t="str">
        <f>IF(AND(FORSIDE!$B$8&gt;=5,FORSIDE!$F$8&gt;=9,FORSIDE!$B$5&gt;=8),"S1948","")</f>
        <v/>
      </c>
      <c r="B1949" t="str">
        <f>IF(AND(FORSIDE!$B$8&gt;=5,FORSIDE!$F$8&gt;=9,FORSIDE!$B$5&gt;=8),"2142 -&gt; 2143","")</f>
        <v/>
      </c>
      <c r="C1949" t="str">
        <f>FORSIDE!$C$4</f>
        <v>S355, Stål / KFHUP 180x180x12.5</v>
      </c>
    </row>
    <row r="1950" spans="1:3" x14ac:dyDescent="0.3">
      <c r="A1950" t="str">
        <f>IF(AND(FORSIDE!$B$8&gt;=5,FORSIDE!$F$8&gt;=9,FORSIDE!$B$5&gt;=9),"S1949","")</f>
        <v/>
      </c>
      <c r="B1950" t="str">
        <f>IF(AND(FORSIDE!$B$8&gt;=5,FORSIDE!$F$8&gt;=9,FORSIDE!$B$5&gt;=9),"2143 -&gt; 2144","")</f>
        <v/>
      </c>
      <c r="C1950" t="str">
        <f>FORSIDE!$C$4</f>
        <v>S355, Stål / KFHUP 180x180x12.5</v>
      </c>
    </row>
    <row r="1951" spans="1:3" x14ac:dyDescent="0.3">
      <c r="A1951" t="str">
        <f>IF(AND(FORSIDE!$B$8&gt;=5,FORSIDE!$F$8&gt;=9,FORSIDE!$B$5&gt;=10),"S1950","")</f>
        <v/>
      </c>
      <c r="B1951" t="str">
        <f>IF(AND(FORSIDE!$B$8&gt;=5,FORSIDE!$F$8&gt;=9,FORSIDE!$B$5&gt;=10),"2144 -&gt; 2145","")</f>
        <v/>
      </c>
      <c r="C1951" t="str">
        <f>FORSIDE!$C$4</f>
        <v>S355, Stål / KFHUP 180x180x12.5</v>
      </c>
    </row>
    <row r="1952" spans="1:3" x14ac:dyDescent="0.3">
      <c r="A1952" t="str">
        <f>IF(AND(FORSIDE!$B$8&gt;=6,FORSIDE!$F$8&gt;=9,FORSIDE!$B$5&gt;=1),"S1951","")</f>
        <v/>
      </c>
      <c r="B1952" t="str">
        <f>IF(AND(FORSIDE!$B$8&gt;=6,FORSIDE!$F$8&gt;=9,FORSIDE!$B$5&gt;=1),"2146 -&gt; 2147","")</f>
        <v/>
      </c>
      <c r="C1952" t="str">
        <f>FORSIDE!$C$4</f>
        <v>S355, Stål / KFHUP 180x180x12.5</v>
      </c>
    </row>
    <row r="1953" spans="1:3" x14ac:dyDescent="0.3">
      <c r="A1953" t="str">
        <f>IF(AND(FORSIDE!$B$8&gt;=6,FORSIDE!$F$8&gt;=9,FORSIDE!$B$5&gt;=2),"S1952","")</f>
        <v/>
      </c>
      <c r="B1953" t="str">
        <f>IF(AND(FORSIDE!$B$8&gt;=6,FORSIDE!$F$8&gt;=9,FORSIDE!$B$5&gt;=2),"2147 -&gt; 2148","")</f>
        <v/>
      </c>
      <c r="C1953" t="str">
        <f>FORSIDE!$C$4</f>
        <v>S355, Stål / KFHUP 180x180x12.5</v>
      </c>
    </row>
    <row r="1954" spans="1:3" x14ac:dyDescent="0.3">
      <c r="A1954" t="str">
        <f>IF(AND(FORSIDE!$B$8&gt;=6,FORSIDE!$F$8&gt;=9,FORSIDE!$B$5&gt;=3),"S1953","")</f>
        <v/>
      </c>
      <c r="B1954" t="str">
        <f>IF(AND(FORSIDE!$B$8&gt;=6,FORSIDE!$F$8&gt;=9,FORSIDE!$B$5&gt;=3),"2148 -&gt; 2149","")</f>
        <v/>
      </c>
      <c r="C1954" t="str">
        <f>FORSIDE!$C$4</f>
        <v>S355, Stål / KFHUP 180x180x12.5</v>
      </c>
    </row>
    <row r="1955" spans="1:3" x14ac:dyDescent="0.3">
      <c r="A1955" t="str">
        <f>IF(AND(FORSIDE!$B$8&gt;=6,FORSIDE!$F$8&gt;=9,FORSIDE!$B$5&gt;=4),"S1954","")</f>
        <v/>
      </c>
      <c r="B1955" t="str">
        <f>IF(AND(FORSIDE!$B$8&gt;=6,FORSIDE!$F$8&gt;=9,FORSIDE!$B$5&gt;=4),"2149 -&gt; 2150","")</f>
        <v/>
      </c>
      <c r="C1955" t="str">
        <f>FORSIDE!$C$4</f>
        <v>S355, Stål / KFHUP 180x180x12.5</v>
      </c>
    </row>
    <row r="1956" spans="1:3" x14ac:dyDescent="0.3">
      <c r="A1956" t="str">
        <f>IF(AND(FORSIDE!$B$8&gt;=6,FORSIDE!$F$8&gt;=9,FORSIDE!$B$5&gt;=5),"S1955","")</f>
        <v/>
      </c>
      <c r="B1956" t="str">
        <f>IF(AND(FORSIDE!$B$8&gt;=6,FORSIDE!$F$8&gt;=9,FORSIDE!$B$5&gt;=5),"2150 -&gt; 2151","")</f>
        <v/>
      </c>
      <c r="C1956" t="str">
        <f>FORSIDE!$C$4</f>
        <v>S355, Stål / KFHUP 180x180x12.5</v>
      </c>
    </row>
    <row r="1957" spans="1:3" x14ac:dyDescent="0.3">
      <c r="A1957" t="str">
        <f>IF(AND(FORSIDE!$B$8&gt;=6,FORSIDE!$F$8&gt;=9,FORSIDE!$B$5&gt;=6),"S1956","")</f>
        <v/>
      </c>
      <c r="B1957" t="str">
        <f>IF(AND(FORSIDE!$B$8&gt;=6,FORSIDE!$F$8&gt;=9,FORSIDE!$B$5&gt;=6),"2151 -&gt; 2152","")</f>
        <v/>
      </c>
      <c r="C1957" t="str">
        <f>FORSIDE!$C$4</f>
        <v>S355, Stål / KFHUP 180x180x12.5</v>
      </c>
    </row>
    <row r="1958" spans="1:3" x14ac:dyDescent="0.3">
      <c r="A1958" t="str">
        <f>IF(AND(FORSIDE!$B$8&gt;=6,FORSIDE!$F$8&gt;=9,FORSIDE!$B$5&gt;=7),"S1957","")</f>
        <v/>
      </c>
      <c r="B1958" t="str">
        <f>IF(AND(FORSIDE!$B$8&gt;=6,FORSIDE!$F$8&gt;=9,FORSIDE!$B$5&gt;=7),"2152 -&gt; 2153","")</f>
        <v/>
      </c>
      <c r="C1958" t="str">
        <f>FORSIDE!$C$4</f>
        <v>S355, Stål / KFHUP 180x180x12.5</v>
      </c>
    </row>
    <row r="1959" spans="1:3" x14ac:dyDescent="0.3">
      <c r="A1959" t="str">
        <f>IF(AND(FORSIDE!$B$8&gt;=6,FORSIDE!$F$8&gt;=9,FORSIDE!$B$5&gt;=8),"S1958","")</f>
        <v/>
      </c>
      <c r="B1959" t="str">
        <f>IF(AND(FORSIDE!$B$8&gt;=6,FORSIDE!$F$8&gt;=9,FORSIDE!$B$5&gt;=8),"2153 -&gt; 2154","")</f>
        <v/>
      </c>
      <c r="C1959" t="str">
        <f>FORSIDE!$C$4</f>
        <v>S355, Stål / KFHUP 180x180x12.5</v>
      </c>
    </row>
    <row r="1960" spans="1:3" x14ac:dyDescent="0.3">
      <c r="A1960" t="str">
        <f>IF(AND(FORSIDE!$B$8&gt;=6,FORSIDE!$F$8&gt;=9,FORSIDE!$B$5&gt;=9),"S1959","")</f>
        <v/>
      </c>
      <c r="B1960" t="str">
        <f>IF(AND(FORSIDE!$B$8&gt;=6,FORSIDE!$F$8&gt;=9,FORSIDE!$B$5&gt;=9),"2154 -&gt; 2155","")</f>
        <v/>
      </c>
      <c r="C1960" t="str">
        <f>FORSIDE!$C$4</f>
        <v>S355, Stål / KFHUP 180x180x12.5</v>
      </c>
    </row>
    <row r="1961" spans="1:3" x14ac:dyDescent="0.3">
      <c r="A1961" t="str">
        <f>IF(AND(FORSIDE!$B$8&gt;=6,FORSIDE!$F$8&gt;=9,FORSIDE!$B$5&gt;=10),"S1960","")</f>
        <v/>
      </c>
      <c r="B1961" t="str">
        <f>IF(AND(FORSIDE!$B$8&gt;=6,FORSIDE!$F$8&gt;=9,FORSIDE!$B$5&gt;=10),"2155 -&gt; 2156","")</f>
        <v/>
      </c>
      <c r="C1961" t="str">
        <f>FORSIDE!$C$4</f>
        <v>S355, Stål / KFHUP 180x180x12.5</v>
      </c>
    </row>
    <row r="1962" spans="1:3" x14ac:dyDescent="0.3">
      <c r="A1962" t="str">
        <f>IF(AND(FORSIDE!$B$8&gt;=7,FORSIDE!$F$8&gt;=9,FORSIDE!$B$5&gt;=1),"S1961","")</f>
        <v/>
      </c>
      <c r="B1962" t="str">
        <f>IF(AND(FORSIDE!$B$8&gt;=7,FORSIDE!$F$8&gt;=9,FORSIDE!$B$5&gt;=1),"2157 -&gt; 2158","")</f>
        <v/>
      </c>
      <c r="C1962" t="str">
        <f>FORSIDE!$C$4</f>
        <v>S355, Stål / KFHUP 180x180x12.5</v>
      </c>
    </row>
    <row r="1963" spans="1:3" x14ac:dyDescent="0.3">
      <c r="A1963" t="str">
        <f>IF(AND(FORSIDE!$B$8&gt;=7,FORSIDE!$F$8&gt;=9,FORSIDE!$B$5&gt;=2),"S1962","")</f>
        <v/>
      </c>
      <c r="B1963" t="str">
        <f>IF(AND(FORSIDE!$B$8&gt;=7,FORSIDE!$F$8&gt;=9,FORSIDE!$B$5&gt;=2),"2158 -&gt; 2159","")</f>
        <v/>
      </c>
      <c r="C1963" t="str">
        <f>FORSIDE!$C$4</f>
        <v>S355, Stål / KFHUP 180x180x12.5</v>
      </c>
    </row>
    <row r="1964" spans="1:3" x14ac:dyDescent="0.3">
      <c r="A1964" t="str">
        <f>IF(AND(FORSIDE!$B$8&gt;=7,FORSIDE!$F$8&gt;=9,FORSIDE!$B$5&gt;=3),"S1963","")</f>
        <v/>
      </c>
      <c r="B1964" t="str">
        <f>IF(AND(FORSIDE!$B$8&gt;=7,FORSIDE!$F$8&gt;=9,FORSIDE!$B$5&gt;=3),"2159 -&gt; 2160","")</f>
        <v/>
      </c>
      <c r="C1964" t="str">
        <f>FORSIDE!$C$4</f>
        <v>S355, Stål / KFHUP 180x180x12.5</v>
      </c>
    </row>
    <row r="1965" spans="1:3" x14ac:dyDescent="0.3">
      <c r="A1965" t="str">
        <f>IF(AND(FORSIDE!$B$8&gt;=7,FORSIDE!$F$8&gt;=9,FORSIDE!$B$5&gt;=4),"S1964","")</f>
        <v/>
      </c>
      <c r="B1965" t="str">
        <f>IF(AND(FORSIDE!$B$8&gt;=7,FORSIDE!$F$8&gt;=9,FORSIDE!$B$5&gt;=4),"2160 -&gt; 2161","")</f>
        <v/>
      </c>
      <c r="C1965" t="str">
        <f>FORSIDE!$C$4</f>
        <v>S355, Stål / KFHUP 180x180x12.5</v>
      </c>
    </row>
    <row r="1966" spans="1:3" x14ac:dyDescent="0.3">
      <c r="A1966" t="str">
        <f>IF(AND(FORSIDE!$B$8&gt;=7,FORSIDE!$F$8&gt;=9,FORSIDE!$B$5&gt;=5),"S1965","")</f>
        <v/>
      </c>
      <c r="B1966" t="str">
        <f>IF(AND(FORSIDE!$B$8&gt;=7,FORSIDE!$F$8&gt;=9,FORSIDE!$B$5&gt;=5),"2161 -&gt; 2162","")</f>
        <v/>
      </c>
      <c r="C1966" t="str">
        <f>FORSIDE!$C$4</f>
        <v>S355, Stål / KFHUP 180x180x12.5</v>
      </c>
    </row>
    <row r="1967" spans="1:3" x14ac:dyDescent="0.3">
      <c r="A1967" t="str">
        <f>IF(AND(FORSIDE!$B$8&gt;=7,FORSIDE!$F$8&gt;=9,FORSIDE!$B$5&gt;=6),"S1966","")</f>
        <v/>
      </c>
      <c r="B1967" t="str">
        <f>IF(AND(FORSIDE!$B$8&gt;=7,FORSIDE!$F$8&gt;=9,FORSIDE!$B$5&gt;=6),"2162 -&gt; 2163","")</f>
        <v/>
      </c>
      <c r="C1967" t="str">
        <f>FORSIDE!$C$4</f>
        <v>S355, Stål / KFHUP 180x180x12.5</v>
      </c>
    </row>
    <row r="1968" spans="1:3" x14ac:dyDescent="0.3">
      <c r="A1968" t="str">
        <f>IF(AND(FORSIDE!$B$8&gt;=7,FORSIDE!$F$8&gt;=9,FORSIDE!$B$5&gt;=7),"S1967","")</f>
        <v/>
      </c>
      <c r="B1968" t="str">
        <f>IF(AND(FORSIDE!$B$8&gt;=7,FORSIDE!$F$8&gt;=9,FORSIDE!$B$5&gt;=7),"2163 -&gt; 2164","")</f>
        <v/>
      </c>
      <c r="C1968" t="str">
        <f>FORSIDE!$C$4</f>
        <v>S355, Stål / KFHUP 180x180x12.5</v>
      </c>
    </row>
    <row r="1969" spans="1:3" x14ac:dyDescent="0.3">
      <c r="A1969" t="str">
        <f>IF(AND(FORSIDE!$B$8&gt;=7,FORSIDE!$F$8&gt;=9,FORSIDE!$B$5&gt;=8),"S1968","")</f>
        <v/>
      </c>
      <c r="B1969" t="str">
        <f>IF(AND(FORSIDE!$B$8&gt;=7,FORSIDE!$F$8&gt;=9,FORSIDE!$B$5&gt;=8),"2164 -&gt; 2165","")</f>
        <v/>
      </c>
      <c r="C1969" t="str">
        <f>FORSIDE!$C$4</f>
        <v>S355, Stål / KFHUP 180x180x12.5</v>
      </c>
    </row>
    <row r="1970" spans="1:3" x14ac:dyDescent="0.3">
      <c r="A1970" t="str">
        <f>IF(AND(FORSIDE!$B$8&gt;=7,FORSIDE!$F$8&gt;=9,FORSIDE!$B$5&gt;=9),"S1969","")</f>
        <v/>
      </c>
      <c r="B1970" t="str">
        <f>IF(AND(FORSIDE!$B$8&gt;=7,FORSIDE!$F$8&gt;=9,FORSIDE!$B$5&gt;=9),"2165 -&gt; 2166","")</f>
        <v/>
      </c>
      <c r="C1970" t="str">
        <f>FORSIDE!$C$4</f>
        <v>S355, Stål / KFHUP 180x180x12.5</v>
      </c>
    </row>
    <row r="1971" spans="1:3" x14ac:dyDescent="0.3">
      <c r="A1971" t="str">
        <f>IF(AND(FORSIDE!$B$8&gt;=7,FORSIDE!$F$8&gt;=9,FORSIDE!$B$5&gt;=10),"S1970","")</f>
        <v/>
      </c>
      <c r="B1971" t="str">
        <f>IF(AND(FORSIDE!$B$8&gt;=7,FORSIDE!$F$8&gt;=9,FORSIDE!$B$5&gt;=10),"2166 -&gt; 2167","")</f>
        <v/>
      </c>
      <c r="C1971" t="str">
        <f>FORSIDE!$C$4</f>
        <v>S355, Stål / KFHUP 180x180x12.5</v>
      </c>
    </row>
    <row r="1972" spans="1:3" x14ac:dyDescent="0.3">
      <c r="A1972" t="str">
        <f>IF(AND(FORSIDE!$B$8&gt;=8,FORSIDE!$F$8&gt;=9,FORSIDE!$B$5&gt;=1),"S1971","")</f>
        <v/>
      </c>
      <c r="B1972" t="str">
        <f>IF(AND(FORSIDE!$B$8&gt;=8,FORSIDE!$F$8&gt;=9,FORSIDE!$B$5&gt;=1),"2168 -&gt; 2169","")</f>
        <v/>
      </c>
      <c r="C1972" t="str">
        <f>FORSIDE!$C$4</f>
        <v>S355, Stål / KFHUP 180x180x12.5</v>
      </c>
    </row>
    <row r="1973" spans="1:3" x14ac:dyDescent="0.3">
      <c r="A1973" t="str">
        <f>IF(AND(FORSIDE!$B$8&gt;=8,FORSIDE!$F$8&gt;=9,FORSIDE!$B$5&gt;=2),"S1972","")</f>
        <v/>
      </c>
      <c r="B1973" t="str">
        <f>IF(AND(FORSIDE!$B$8&gt;=8,FORSIDE!$F$8&gt;=9,FORSIDE!$B$5&gt;=2),"2169 -&gt; 2170","")</f>
        <v/>
      </c>
      <c r="C1973" t="str">
        <f>FORSIDE!$C$4</f>
        <v>S355, Stål / KFHUP 180x180x12.5</v>
      </c>
    </row>
    <row r="1974" spans="1:3" x14ac:dyDescent="0.3">
      <c r="A1974" t="str">
        <f>IF(AND(FORSIDE!$B$8&gt;=8,FORSIDE!$F$8&gt;=9,FORSIDE!$B$5&gt;=3),"S1973","")</f>
        <v/>
      </c>
      <c r="B1974" t="str">
        <f>IF(AND(FORSIDE!$B$8&gt;=8,FORSIDE!$F$8&gt;=9,FORSIDE!$B$5&gt;=3),"2170 -&gt; 2171","")</f>
        <v/>
      </c>
      <c r="C1974" t="str">
        <f>FORSIDE!$C$4</f>
        <v>S355, Stål / KFHUP 180x180x12.5</v>
      </c>
    </row>
    <row r="1975" spans="1:3" x14ac:dyDescent="0.3">
      <c r="A1975" t="str">
        <f>IF(AND(FORSIDE!$B$8&gt;=8,FORSIDE!$F$8&gt;=9,FORSIDE!$B$5&gt;=4),"S1974","")</f>
        <v/>
      </c>
      <c r="B1975" t="str">
        <f>IF(AND(FORSIDE!$B$8&gt;=8,FORSIDE!$F$8&gt;=9,FORSIDE!$B$5&gt;=4),"2171 -&gt; 2172","")</f>
        <v/>
      </c>
      <c r="C1975" t="str">
        <f>FORSIDE!$C$4</f>
        <v>S355, Stål / KFHUP 180x180x12.5</v>
      </c>
    </row>
    <row r="1976" spans="1:3" x14ac:dyDescent="0.3">
      <c r="A1976" t="str">
        <f>IF(AND(FORSIDE!$B$8&gt;=8,FORSIDE!$F$8&gt;=9,FORSIDE!$B$5&gt;=5),"S1975","")</f>
        <v/>
      </c>
      <c r="B1976" t="str">
        <f>IF(AND(FORSIDE!$B$8&gt;=8,FORSIDE!$F$8&gt;=9,FORSIDE!$B$5&gt;=5),"2172 -&gt; 2173","")</f>
        <v/>
      </c>
      <c r="C1976" t="str">
        <f>FORSIDE!$C$4</f>
        <v>S355, Stål / KFHUP 180x180x12.5</v>
      </c>
    </row>
    <row r="1977" spans="1:3" x14ac:dyDescent="0.3">
      <c r="A1977" t="str">
        <f>IF(AND(FORSIDE!$B$8&gt;=8,FORSIDE!$F$8&gt;=9,FORSIDE!$B$5&gt;=6),"S1976","")</f>
        <v/>
      </c>
      <c r="B1977" t="str">
        <f>IF(AND(FORSIDE!$B$8&gt;=8,FORSIDE!$F$8&gt;=9,FORSIDE!$B$5&gt;=6),"2173 -&gt; 2174","")</f>
        <v/>
      </c>
      <c r="C1977" t="str">
        <f>FORSIDE!$C$4</f>
        <v>S355, Stål / KFHUP 180x180x12.5</v>
      </c>
    </row>
    <row r="1978" spans="1:3" x14ac:dyDescent="0.3">
      <c r="A1978" t="str">
        <f>IF(AND(FORSIDE!$B$8&gt;=8,FORSIDE!$F$8&gt;=9,FORSIDE!$B$5&gt;=7),"S1977","")</f>
        <v/>
      </c>
      <c r="B1978" t="str">
        <f>IF(AND(FORSIDE!$B$8&gt;=8,FORSIDE!$F$8&gt;=9,FORSIDE!$B$5&gt;=7),"2174 -&gt; 2175","")</f>
        <v/>
      </c>
      <c r="C1978" t="str">
        <f>FORSIDE!$C$4</f>
        <v>S355, Stål / KFHUP 180x180x12.5</v>
      </c>
    </row>
    <row r="1979" spans="1:3" x14ac:dyDescent="0.3">
      <c r="A1979" t="str">
        <f>IF(AND(FORSIDE!$B$8&gt;=8,FORSIDE!$F$8&gt;=9,FORSIDE!$B$5&gt;=8),"S1978","")</f>
        <v/>
      </c>
      <c r="B1979" t="str">
        <f>IF(AND(FORSIDE!$B$8&gt;=8,FORSIDE!$F$8&gt;=9,FORSIDE!$B$5&gt;=8),"2175 -&gt; 2176","")</f>
        <v/>
      </c>
      <c r="C1979" t="str">
        <f>FORSIDE!$C$4</f>
        <v>S355, Stål / KFHUP 180x180x12.5</v>
      </c>
    </row>
    <row r="1980" spans="1:3" x14ac:dyDescent="0.3">
      <c r="A1980" t="str">
        <f>IF(AND(FORSIDE!$B$8&gt;=8,FORSIDE!$F$8&gt;=9,FORSIDE!$B$5&gt;=9),"S1979","")</f>
        <v/>
      </c>
      <c r="B1980" t="str">
        <f>IF(AND(FORSIDE!$B$8&gt;=8,FORSIDE!$F$8&gt;=9,FORSIDE!$B$5&gt;=9),"2176 -&gt; 2177","")</f>
        <v/>
      </c>
      <c r="C1980" t="str">
        <f>FORSIDE!$C$4</f>
        <v>S355, Stål / KFHUP 180x180x12.5</v>
      </c>
    </row>
    <row r="1981" spans="1:3" x14ac:dyDescent="0.3">
      <c r="A1981" t="str">
        <f>IF(AND(FORSIDE!$B$8&gt;=8,FORSIDE!$F$8&gt;=9,FORSIDE!$B$5&gt;=10),"S1980","")</f>
        <v/>
      </c>
      <c r="B1981" t="str">
        <f>IF(AND(FORSIDE!$B$8&gt;=8,FORSIDE!$F$8&gt;=9,FORSIDE!$B$5&gt;=10),"2177 -&gt; 2178","")</f>
        <v/>
      </c>
      <c r="C1981" t="str">
        <f>FORSIDE!$C$4</f>
        <v>S355, Stål / KFHUP 180x180x12.5</v>
      </c>
    </row>
    <row r="1982" spans="1:3" x14ac:dyDescent="0.3">
      <c r="A1982" t="str">
        <f>IF(AND(FORSIDE!$B$8&gt;=9,FORSIDE!$F$8&gt;=9,FORSIDE!$B$5&gt;=1),"S1981","")</f>
        <v/>
      </c>
      <c r="B1982" t="str">
        <f>IF(AND(FORSIDE!$B$8&gt;=9,FORSIDE!$F$8&gt;=9,FORSIDE!$B$5&gt;=1),"2179 -&gt; 2180","")</f>
        <v/>
      </c>
      <c r="C1982" t="str">
        <f>FORSIDE!$C$4</f>
        <v>S355, Stål / KFHUP 180x180x12.5</v>
      </c>
    </row>
    <row r="1983" spans="1:3" x14ac:dyDescent="0.3">
      <c r="A1983" t="str">
        <f>IF(AND(FORSIDE!$B$8&gt;=9,FORSIDE!$F$8&gt;=9,FORSIDE!$B$5&gt;=2),"S1982","")</f>
        <v/>
      </c>
      <c r="B1983" t="str">
        <f>IF(AND(FORSIDE!$B$8&gt;=9,FORSIDE!$F$8&gt;=9,FORSIDE!$B$5&gt;=2),"2180 -&gt; 2181","")</f>
        <v/>
      </c>
      <c r="C1983" t="str">
        <f>FORSIDE!$C$4</f>
        <v>S355, Stål / KFHUP 180x180x12.5</v>
      </c>
    </row>
    <row r="1984" spans="1:3" x14ac:dyDescent="0.3">
      <c r="A1984" t="str">
        <f>IF(AND(FORSIDE!$B$8&gt;=9,FORSIDE!$F$8&gt;=9,FORSIDE!$B$5&gt;=3),"S1983","")</f>
        <v/>
      </c>
      <c r="B1984" t="str">
        <f>IF(AND(FORSIDE!$B$8&gt;=9,FORSIDE!$F$8&gt;=9,FORSIDE!$B$5&gt;=3),"2181 -&gt; 2182","")</f>
        <v/>
      </c>
      <c r="C1984" t="str">
        <f>FORSIDE!$C$4</f>
        <v>S355, Stål / KFHUP 180x180x12.5</v>
      </c>
    </row>
    <row r="1985" spans="1:3" x14ac:dyDescent="0.3">
      <c r="A1985" t="str">
        <f>IF(AND(FORSIDE!$B$8&gt;=9,FORSIDE!$F$8&gt;=9,FORSIDE!$B$5&gt;=4),"S1984","")</f>
        <v/>
      </c>
      <c r="B1985" t="str">
        <f>IF(AND(FORSIDE!$B$8&gt;=9,FORSIDE!$F$8&gt;=9,FORSIDE!$B$5&gt;=4),"2182 -&gt; 2183","")</f>
        <v/>
      </c>
      <c r="C1985" t="str">
        <f>FORSIDE!$C$4</f>
        <v>S355, Stål / KFHUP 180x180x12.5</v>
      </c>
    </row>
    <row r="1986" spans="1:3" x14ac:dyDescent="0.3">
      <c r="A1986" t="str">
        <f>IF(AND(FORSIDE!$B$8&gt;=9,FORSIDE!$F$8&gt;=9,FORSIDE!$B$5&gt;=5),"S1985","")</f>
        <v/>
      </c>
      <c r="B1986" t="str">
        <f>IF(AND(FORSIDE!$B$8&gt;=9,FORSIDE!$F$8&gt;=9,FORSIDE!$B$5&gt;=5),"2183 -&gt; 2184","")</f>
        <v/>
      </c>
      <c r="C1986" t="str">
        <f>FORSIDE!$C$4</f>
        <v>S355, Stål / KFHUP 180x180x12.5</v>
      </c>
    </row>
    <row r="1987" spans="1:3" x14ac:dyDescent="0.3">
      <c r="A1987" t="str">
        <f>IF(AND(FORSIDE!$B$8&gt;=9,FORSIDE!$F$8&gt;=9,FORSIDE!$B$5&gt;=6),"S1986","")</f>
        <v/>
      </c>
      <c r="B1987" t="str">
        <f>IF(AND(FORSIDE!$B$8&gt;=9,FORSIDE!$F$8&gt;=9,FORSIDE!$B$5&gt;=6),"2184 -&gt; 2185","")</f>
        <v/>
      </c>
      <c r="C1987" t="str">
        <f>FORSIDE!$C$4</f>
        <v>S355, Stål / KFHUP 180x180x12.5</v>
      </c>
    </row>
    <row r="1988" spans="1:3" x14ac:dyDescent="0.3">
      <c r="A1988" t="str">
        <f>IF(AND(FORSIDE!$B$8&gt;=9,FORSIDE!$F$8&gt;=9,FORSIDE!$B$5&gt;=7),"S1987","")</f>
        <v/>
      </c>
      <c r="B1988" t="str">
        <f>IF(AND(FORSIDE!$B$8&gt;=9,FORSIDE!$F$8&gt;=9,FORSIDE!$B$5&gt;=7),"2185 -&gt; 2186","")</f>
        <v/>
      </c>
      <c r="C1988" t="str">
        <f>FORSIDE!$C$4</f>
        <v>S355, Stål / KFHUP 180x180x12.5</v>
      </c>
    </row>
    <row r="1989" spans="1:3" x14ac:dyDescent="0.3">
      <c r="A1989" t="str">
        <f>IF(AND(FORSIDE!$B$8&gt;=9,FORSIDE!$F$8&gt;=9,FORSIDE!$B$5&gt;=8),"S1988","")</f>
        <v/>
      </c>
      <c r="B1989" t="str">
        <f>IF(AND(FORSIDE!$B$8&gt;=9,FORSIDE!$F$8&gt;=9,FORSIDE!$B$5&gt;=8),"2186 -&gt; 2187","")</f>
        <v/>
      </c>
      <c r="C1989" t="str">
        <f>FORSIDE!$C$4</f>
        <v>S355, Stål / KFHUP 180x180x12.5</v>
      </c>
    </row>
    <row r="1990" spans="1:3" x14ac:dyDescent="0.3">
      <c r="A1990" t="str">
        <f>IF(AND(FORSIDE!$B$8&gt;=9,FORSIDE!$F$8&gt;=9,FORSIDE!$B$5&gt;=9),"S1989","")</f>
        <v/>
      </c>
      <c r="B1990" t="str">
        <f>IF(AND(FORSIDE!$B$8&gt;=9,FORSIDE!$F$8&gt;=9,FORSIDE!$B$5&gt;=9),"2187 -&gt; 2188","")</f>
        <v/>
      </c>
      <c r="C1990" t="str">
        <f>FORSIDE!$C$4</f>
        <v>S355, Stål / KFHUP 180x180x12.5</v>
      </c>
    </row>
    <row r="1991" spans="1:3" x14ac:dyDescent="0.3">
      <c r="A1991" t="str">
        <f>IF(AND(FORSIDE!$B$8&gt;=9,FORSIDE!$F$8&gt;=9,FORSIDE!$B$5&gt;=10),"S1990","")</f>
        <v/>
      </c>
      <c r="B1991" t="str">
        <f>IF(AND(FORSIDE!$B$8&gt;=9,FORSIDE!$F$8&gt;=9,FORSIDE!$B$5&gt;=10),"2188 -&gt; 2189","")</f>
        <v/>
      </c>
      <c r="C1991" t="str">
        <f>FORSIDE!$C$4</f>
        <v>S355, Stål / KFHUP 180x180x12.5</v>
      </c>
    </row>
    <row r="1992" spans="1:3" x14ac:dyDescent="0.3">
      <c r="A1992" t="str">
        <f>IF(AND(FORSIDE!$B$8&gt;=10,FORSIDE!$F$8&gt;=9,FORSIDE!$B$5&gt;=1),"S1991","")</f>
        <v/>
      </c>
      <c r="B1992" t="str">
        <f>IF(AND(FORSIDE!$B$8&gt;=10,FORSIDE!$F$8&gt;=9,FORSIDE!$B$5&gt;=1),"2190 -&gt; 2191","")</f>
        <v/>
      </c>
      <c r="C1992" t="str">
        <f>FORSIDE!$C$4</f>
        <v>S355, Stål / KFHUP 180x180x12.5</v>
      </c>
    </row>
    <row r="1993" spans="1:3" x14ac:dyDescent="0.3">
      <c r="A1993" t="str">
        <f>IF(AND(FORSIDE!$B$8&gt;=10,FORSIDE!$F$8&gt;=9,FORSIDE!$B$5&gt;=2),"S1992","")</f>
        <v/>
      </c>
      <c r="B1993" t="str">
        <f>IF(AND(FORSIDE!$B$8&gt;=10,FORSIDE!$F$8&gt;=9,FORSIDE!$B$5&gt;=2),"2191 -&gt; 2192","")</f>
        <v/>
      </c>
      <c r="C1993" t="str">
        <f>FORSIDE!$C$4</f>
        <v>S355, Stål / KFHUP 180x180x12.5</v>
      </c>
    </row>
    <row r="1994" spans="1:3" x14ac:dyDescent="0.3">
      <c r="A1994" t="str">
        <f>IF(AND(FORSIDE!$B$8&gt;=10,FORSIDE!$F$8&gt;=9,FORSIDE!$B$5&gt;=3),"S1993","")</f>
        <v/>
      </c>
      <c r="B1994" t="str">
        <f>IF(AND(FORSIDE!$B$8&gt;=10,FORSIDE!$F$8&gt;=9,FORSIDE!$B$5&gt;=3),"2192 -&gt; 2193","")</f>
        <v/>
      </c>
      <c r="C1994" t="str">
        <f>FORSIDE!$C$4</f>
        <v>S355, Stål / KFHUP 180x180x12.5</v>
      </c>
    </row>
    <row r="1995" spans="1:3" x14ac:dyDescent="0.3">
      <c r="A1995" t="str">
        <f>IF(AND(FORSIDE!$B$8&gt;=10,FORSIDE!$F$8&gt;=9,FORSIDE!$B$5&gt;=4),"S1994","")</f>
        <v/>
      </c>
      <c r="B1995" t="str">
        <f>IF(AND(FORSIDE!$B$8&gt;=10,FORSIDE!$F$8&gt;=9,FORSIDE!$B$5&gt;=4),"2193 -&gt; 2194","")</f>
        <v/>
      </c>
      <c r="C1995" t="str">
        <f>FORSIDE!$C$4</f>
        <v>S355, Stål / KFHUP 180x180x12.5</v>
      </c>
    </row>
    <row r="1996" spans="1:3" x14ac:dyDescent="0.3">
      <c r="A1996" t="str">
        <f>IF(AND(FORSIDE!$B$8&gt;=10,FORSIDE!$F$8&gt;=9,FORSIDE!$B$5&gt;=5),"S1995","")</f>
        <v/>
      </c>
      <c r="B1996" t="str">
        <f>IF(AND(FORSIDE!$B$8&gt;=10,FORSIDE!$F$8&gt;=9,FORSIDE!$B$5&gt;=5),"2194 -&gt; 2195","")</f>
        <v/>
      </c>
      <c r="C1996" t="str">
        <f>FORSIDE!$C$4</f>
        <v>S355, Stål / KFHUP 180x180x12.5</v>
      </c>
    </row>
    <row r="1997" spans="1:3" x14ac:dyDescent="0.3">
      <c r="A1997" t="str">
        <f>IF(AND(FORSIDE!$B$8&gt;=10,FORSIDE!$F$8&gt;=9,FORSIDE!$B$5&gt;=6),"S1996","")</f>
        <v/>
      </c>
      <c r="B1997" t="str">
        <f>IF(AND(FORSIDE!$B$8&gt;=10,FORSIDE!$F$8&gt;=9,FORSIDE!$B$5&gt;=6),"2195 -&gt; 2196","")</f>
        <v/>
      </c>
      <c r="C1997" t="str">
        <f>FORSIDE!$C$4</f>
        <v>S355, Stål / KFHUP 180x180x12.5</v>
      </c>
    </row>
    <row r="1998" spans="1:3" x14ac:dyDescent="0.3">
      <c r="A1998" t="str">
        <f>IF(AND(FORSIDE!$B$8&gt;=10,FORSIDE!$F$8&gt;=9,FORSIDE!$B$5&gt;=7),"S1997","")</f>
        <v/>
      </c>
      <c r="B1998" t="str">
        <f>IF(AND(FORSIDE!$B$8&gt;=10,FORSIDE!$F$8&gt;=9,FORSIDE!$B$5&gt;=7),"2196 -&gt; 2197","")</f>
        <v/>
      </c>
      <c r="C1998" t="str">
        <f>FORSIDE!$C$4</f>
        <v>S355, Stål / KFHUP 180x180x12.5</v>
      </c>
    </row>
    <row r="1999" spans="1:3" x14ac:dyDescent="0.3">
      <c r="A1999" t="str">
        <f>IF(AND(FORSIDE!$B$8&gt;=10,FORSIDE!$F$8&gt;=9,FORSIDE!$B$5&gt;=8),"S1998","")</f>
        <v/>
      </c>
      <c r="B1999" t="str">
        <f>IF(AND(FORSIDE!$B$8&gt;=10,FORSIDE!$F$8&gt;=9,FORSIDE!$B$5&gt;=8),"2197 -&gt; 2198","")</f>
        <v/>
      </c>
      <c r="C1999" t="str">
        <f>FORSIDE!$C$4</f>
        <v>S355, Stål / KFHUP 180x180x12.5</v>
      </c>
    </row>
    <row r="2000" spans="1:3" x14ac:dyDescent="0.3">
      <c r="A2000" t="str">
        <f>IF(AND(FORSIDE!$B$8&gt;=10,FORSIDE!$F$8&gt;=9,FORSIDE!$B$5&gt;=9),"S1999","")</f>
        <v/>
      </c>
      <c r="B2000" t="str">
        <f>IF(AND(FORSIDE!$B$8&gt;=10,FORSIDE!$F$8&gt;=9,FORSIDE!$B$5&gt;=9),"2198 -&gt; 2199","")</f>
        <v/>
      </c>
      <c r="C2000" t="str">
        <f>FORSIDE!$C$4</f>
        <v>S355, Stål / KFHUP 180x180x12.5</v>
      </c>
    </row>
    <row r="2001" spans="1:3" x14ac:dyDescent="0.3">
      <c r="A2001" t="str">
        <f>IF(AND(FORSIDE!$B$8&gt;=10,FORSIDE!$F$8&gt;=9,FORSIDE!$B$5&gt;=10),"S2000","")</f>
        <v/>
      </c>
      <c r="B2001" t="str">
        <f>IF(AND(FORSIDE!$B$8&gt;=10,FORSIDE!$F$8&gt;=9,FORSIDE!$B$5&gt;=10),"2199 -&gt; 2200","")</f>
        <v/>
      </c>
      <c r="C2001" t="str">
        <f>FORSIDE!$C$4</f>
        <v>S355, Stål / KFHUP 180x180x12.5</v>
      </c>
    </row>
    <row r="2002" spans="1:3" x14ac:dyDescent="0.3">
      <c r="A2002" t="str">
        <f>IF(AND(FORSIDE!$B$8&gt;=11,FORSIDE!$F$8&gt;=9,FORSIDE!$B$5&gt;=1),"S2001","")</f>
        <v/>
      </c>
      <c r="B2002" t="str">
        <f>IF(AND(FORSIDE!$B$8&gt;=11,FORSIDE!$F$8&gt;=9,FORSIDE!$B$5&gt;=1),"2201 -&gt; 2202","")</f>
        <v/>
      </c>
      <c r="C2002" t="str">
        <f>FORSIDE!$C$4</f>
        <v>S355, Stål / KFHUP 180x180x12.5</v>
      </c>
    </row>
    <row r="2003" spans="1:3" x14ac:dyDescent="0.3">
      <c r="A2003" t="str">
        <f>IF(AND(FORSIDE!$B$8&gt;=11,FORSIDE!$F$8&gt;=9,FORSIDE!$B$5&gt;=2),"S2002","")</f>
        <v/>
      </c>
      <c r="B2003" t="str">
        <f>IF(AND(FORSIDE!$B$8&gt;=11,FORSIDE!$F$8&gt;=9,FORSIDE!$B$5&gt;=2),"2202 -&gt; 2203","")</f>
        <v/>
      </c>
      <c r="C2003" t="str">
        <f>FORSIDE!$C$4</f>
        <v>S355, Stål / KFHUP 180x180x12.5</v>
      </c>
    </row>
    <row r="2004" spans="1:3" x14ac:dyDescent="0.3">
      <c r="A2004" t="str">
        <f>IF(AND(FORSIDE!$B$8&gt;=11,FORSIDE!$F$8&gt;=9,FORSIDE!$B$5&gt;=3),"S2003","")</f>
        <v/>
      </c>
      <c r="B2004" t="str">
        <f>IF(AND(FORSIDE!$B$8&gt;=11,FORSIDE!$F$8&gt;=9,FORSIDE!$B$5&gt;=3),"2203 -&gt; 2204","")</f>
        <v/>
      </c>
      <c r="C2004" t="str">
        <f>FORSIDE!$C$4</f>
        <v>S355, Stål / KFHUP 180x180x12.5</v>
      </c>
    </row>
    <row r="2005" spans="1:3" x14ac:dyDescent="0.3">
      <c r="A2005" t="str">
        <f>IF(AND(FORSIDE!$B$8&gt;=11,FORSIDE!$F$8&gt;=9,FORSIDE!$B$5&gt;=4),"S2004","")</f>
        <v/>
      </c>
      <c r="B2005" t="str">
        <f>IF(AND(FORSIDE!$B$8&gt;=11,FORSIDE!$F$8&gt;=9,FORSIDE!$B$5&gt;=4),"2204 -&gt; 2205","")</f>
        <v/>
      </c>
      <c r="C2005" t="str">
        <f>FORSIDE!$C$4</f>
        <v>S355, Stål / KFHUP 180x180x12.5</v>
      </c>
    </row>
    <row r="2006" spans="1:3" x14ac:dyDescent="0.3">
      <c r="A2006" t="str">
        <f>IF(AND(FORSIDE!$B$8&gt;=11,FORSIDE!$F$8&gt;=9,FORSIDE!$B$5&gt;=5),"S2005","")</f>
        <v/>
      </c>
      <c r="B2006" t="str">
        <f>IF(AND(FORSIDE!$B$8&gt;=11,FORSIDE!$F$8&gt;=9,FORSIDE!$B$5&gt;=5),"2205 -&gt; 2206","")</f>
        <v/>
      </c>
      <c r="C2006" t="str">
        <f>FORSIDE!$C$4</f>
        <v>S355, Stål / KFHUP 180x180x12.5</v>
      </c>
    </row>
    <row r="2007" spans="1:3" x14ac:dyDescent="0.3">
      <c r="A2007" t="str">
        <f>IF(AND(FORSIDE!$B$8&gt;=11,FORSIDE!$F$8&gt;=9,FORSIDE!$B$5&gt;=6),"S2006","")</f>
        <v/>
      </c>
      <c r="B2007" t="str">
        <f>IF(AND(FORSIDE!$B$8&gt;=11,FORSIDE!$F$8&gt;=9,FORSIDE!$B$5&gt;=6),"2206 -&gt; 2207","")</f>
        <v/>
      </c>
      <c r="C2007" t="str">
        <f>FORSIDE!$C$4</f>
        <v>S355, Stål / KFHUP 180x180x12.5</v>
      </c>
    </row>
    <row r="2008" spans="1:3" x14ac:dyDescent="0.3">
      <c r="A2008" t="str">
        <f>IF(AND(FORSIDE!$B$8&gt;=11,FORSIDE!$F$8&gt;=9,FORSIDE!$B$5&gt;=7),"S2007","")</f>
        <v/>
      </c>
      <c r="B2008" t="str">
        <f>IF(AND(FORSIDE!$B$8&gt;=11,FORSIDE!$F$8&gt;=9,FORSIDE!$B$5&gt;=7),"2207 -&gt; 2208","")</f>
        <v/>
      </c>
      <c r="C2008" t="str">
        <f>FORSIDE!$C$4</f>
        <v>S355, Stål / KFHUP 180x180x12.5</v>
      </c>
    </row>
    <row r="2009" spans="1:3" x14ac:dyDescent="0.3">
      <c r="A2009" t="str">
        <f>IF(AND(FORSIDE!$B$8&gt;=11,FORSIDE!$F$8&gt;=9,FORSIDE!$B$5&gt;=8),"S2008","")</f>
        <v/>
      </c>
      <c r="B2009" t="str">
        <f>IF(AND(FORSIDE!$B$8&gt;=11,FORSIDE!$F$8&gt;=9,FORSIDE!$B$5&gt;=8),"2208 -&gt; 2209","")</f>
        <v/>
      </c>
      <c r="C2009" t="str">
        <f>FORSIDE!$C$4</f>
        <v>S355, Stål / KFHUP 180x180x12.5</v>
      </c>
    </row>
    <row r="2010" spans="1:3" x14ac:dyDescent="0.3">
      <c r="A2010" t="str">
        <f>IF(AND(FORSIDE!$B$8&gt;=11,FORSIDE!$F$8&gt;=9,FORSIDE!$B$5&gt;=9),"S2009","")</f>
        <v/>
      </c>
      <c r="B2010" t="str">
        <f>IF(AND(FORSIDE!$B$8&gt;=11,FORSIDE!$F$8&gt;=9,FORSIDE!$B$5&gt;=9),"2209 -&gt; 2210","")</f>
        <v/>
      </c>
      <c r="C2010" t="str">
        <f>FORSIDE!$C$4</f>
        <v>S355, Stål / KFHUP 180x180x12.5</v>
      </c>
    </row>
    <row r="2011" spans="1:3" x14ac:dyDescent="0.3">
      <c r="A2011" t="str">
        <f>IF(AND(FORSIDE!$B$8&gt;=11,FORSIDE!$F$8&gt;=9,FORSIDE!$B$5&gt;=10),"S2010","")</f>
        <v/>
      </c>
      <c r="B2011" t="str">
        <f>IF(AND(FORSIDE!$B$8&gt;=11,FORSIDE!$F$8&gt;=9,FORSIDE!$B$5&gt;=10),"2210 -&gt; 2211","")</f>
        <v/>
      </c>
      <c r="C2011" t="str">
        <f>FORSIDE!$C$4</f>
        <v>S355, Stål / KFHUP 180x180x12.5</v>
      </c>
    </row>
    <row r="2012" spans="1:3" x14ac:dyDescent="0.3">
      <c r="A2012" t="str">
        <f>IF(AND(FORSIDE!$B$8&gt;=12,FORSIDE!$F$8&gt;=9,FORSIDE!$B$5&gt;=1),"S2011","")</f>
        <v/>
      </c>
      <c r="B2012" t="str">
        <f>IF(AND(FORSIDE!$B$8&gt;=12,FORSIDE!$F$8&gt;=9,FORSIDE!$B$5&gt;=1),"2212 -&gt; 2213","")</f>
        <v/>
      </c>
      <c r="C2012" t="str">
        <f>FORSIDE!$C$4</f>
        <v>S355, Stål / KFHUP 180x180x12.5</v>
      </c>
    </row>
    <row r="2013" spans="1:3" x14ac:dyDescent="0.3">
      <c r="A2013" t="str">
        <f>IF(AND(FORSIDE!$B$8&gt;=12,FORSIDE!$F$8&gt;=9,FORSIDE!$B$5&gt;=2),"S2012","")</f>
        <v/>
      </c>
      <c r="B2013" t="str">
        <f>IF(AND(FORSIDE!$B$8&gt;=12,FORSIDE!$F$8&gt;=9,FORSIDE!$B$5&gt;=2),"2213 -&gt; 2214","")</f>
        <v/>
      </c>
      <c r="C2013" t="str">
        <f>FORSIDE!$C$4</f>
        <v>S355, Stål / KFHUP 180x180x12.5</v>
      </c>
    </row>
    <row r="2014" spans="1:3" x14ac:dyDescent="0.3">
      <c r="A2014" t="str">
        <f>IF(AND(FORSIDE!$B$8&gt;=12,FORSIDE!$F$8&gt;=9,FORSIDE!$B$5&gt;=3),"S2013","")</f>
        <v/>
      </c>
      <c r="B2014" t="str">
        <f>IF(AND(FORSIDE!$B$8&gt;=12,FORSIDE!$F$8&gt;=9,FORSIDE!$B$5&gt;=3),"2214 -&gt; 2215","")</f>
        <v/>
      </c>
      <c r="C2014" t="str">
        <f>FORSIDE!$C$4</f>
        <v>S355, Stål / KFHUP 180x180x12.5</v>
      </c>
    </row>
    <row r="2015" spans="1:3" x14ac:dyDescent="0.3">
      <c r="A2015" t="str">
        <f>IF(AND(FORSIDE!$B$8&gt;=12,FORSIDE!$F$8&gt;=9,FORSIDE!$B$5&gt;=4),"S2014","")</f>
        <v/>
      </c>
      <c r="B2015" t="str">
        <f>IF(AND(FORSIDE!$B$8&gt;=12,FORSIDE!$F$8&gt;=9,FORSIDE!$B$5&gt;=4),"2215 -&gt; 2216","")</f>
        <v/>
      </c>
      <c r="C2015" t="str">
        <f>FORSIDE!$C$4</f>
        <v>S355, Stål / KFHUP 180x180x12.5</v>
      </c>
    </row>
    <row r="2016" spans="1:3" x14ac:dyDescent="0.3">
      <c r="A2016" t="str">
        <f>IF(AND(FORSIDE!$B$8&gt;=12,FORSIDE!$F$8&gt;=9,FORSIDE!$B$5&gt;=5),"S2015","")</f>
        <v/>
      </c>
      <c r="B2016" t="str">
        <f>IF(AND(FORSIDE!$B$8&gt;=12,FORSIDE!$F$8&gt;=9,FORSIDE!$B$5&gt;=5),"2216 -&gt; 2217","")</f>
        <v/>
      </c>
      <c r="C2016" t="str">
        <f>FORSIDE!$C$4</f>
        <v>S355, Stål / KFHUP 180x180x12.5</v>
      </c>
    </row>
    <row r="2017" spans="1:3" x14ac:dyDescent="0.3">
      <c r="A2017" t="str">
        <f>IF(AND(FORSIDE!$B$8&gt;=12,FORSIDE!$F$8&gt;=9,FORSIDE!$B$5&gt;=6),"S2016","")</f>
        <v/>
      </c>
      <c r="B2017" t="str">
        <f>IF(AND(FORSIDE!$B$8&gt;=12,FORSIDE!$F$8&gt;=9,FORSIDE!$B$5&gt;=6),"2217 -&gt; 2218","")</f>
        <v/>
      </c>
      <c r="C2017" t="str">
        <f>FORSIDE!$C$4</f>
        <v>S355, Stål / KFHUP 180x180x12.5</v>
      </c>
    </row>
    <row r="2018" spans="1:3" x14ac:dyDescent="0.3">
      <c r="A2018" t="str">
        <f>IF(AND(FORSIDE!$B$8&gt;=12,FORSIDE!$F$8&gt;=9,FORSIDE!$B$5&gt;=7),"S2017","")</f>
        <v/>
      </c>
      <c r="B2018" t="str">
        <f>IF(AND(FORSIDE!$B$8&gt;=12,FORSIDE!$F$8&gt;=9,FORSIDE!$B$5&gt;=7),"2218 -&gt; 2219","")</f>
        <v/>
      </c>
      <c r="C2018" t="str">
        <f>FORSIDE!$C$4</f>
        <v>S355, Stål / KFHUP 180x180x12.5</v>
      </c>
    </row>
    <row r="2019" spans="1:3" x14ac:dyDescent="0.3">
      <c r="A2019" t="str">
        <f>IF(AND(FORSIDE!$B$8&gt;=12,FORSIDE!$F$8&gt;=9,FORSIDE!$B$5&gt;=8),"S2018","")</f>
        <v/>
      </c>
      <c r="B2019" t="str">
        <f>IF(AND(FORSIDE!$B$8&gt;=12,FORSIDE!$F$8&gt;=9,FORSIDE!$B$5&gt;=8),"2219 -&gt; 2220","")</f>
        <v/>
      </c>
      <c r="C2019" t="str">
        <f>FORSIDE!$C$4</f>
        <v>S355, Stål / KFHUP 180x180x12.5</v>
      </c>
    </row>
    <row r="2020" spans="1:3" x14ac:dyDescent="0.3">
      <c r="A2020" t="str">
        <f>IF(AND(FORSIDE!$B$8&gt;=12,FORSIDE!$F$8&gt;=9,FORSIDE!$B$5&gt;=9),"S2019","")</f>
        <v/>
      </c>
      <c r="B2020" t="str">
        <f>IF(AND(FORSIDE!$B$8&gt;=12,FORSIDE!$F$8&gt;=9,FORSIDE!$B$5&gt;=9),"2220 -&gt; 2221","")</f>
        <v/>
      </c>
      <c r="C2020" t="str">
        <f>FORSIDE!$C$4</f>
        <v>S355, Stål / KFHUP 180x180x12.5</v>
      </c>
    </row>
    <row r="2021" spans="1:3" x14ac:dyDescent="0.3">
      <c r="A2021" t="str">
        <f>IF(AND(FORSIDE!$B$8&gt;=12,FORSIDE!$F$8&gt;=9,FORSIDE!$B$5&gt;=10),"S2020","")</f>
        <v/>
      </c>
      <c r="B2021" t="str">
        <f>IF(AND(FORSIDE!$B$8&gt;=12,FORSIDE!$F$8&gt;=9,FORSIDE!$B$5&gt;=10),"2221 -&gt; 2222","")</f>
        <v/>
      </c>
      <c r="C2021" t="str">
        <f>FORSIDE!$C$4</f>
        <v>S355, Stål / KFHUP 180x180x12.5</v>
      </c>
    </row>
    <row r="2022" spans="1:3" x14ac:dyDescent="0.3">
      <c r="A2022" t="str">
        <f>IF(AND(FORSIDE!$B$8&gt;=13,FORSIDE!$F$8&gt;=9,FORSIDE!$B$5&gt;=1),"S2021","")</f>
        <v/>
      </c>
      <c r="B2022" t="str">
        <f>IF(AND(FORSIDE!$B$8&gt;=13,FORSIDE!$F$8&gt;=9,FORSIDE!$B$5&gt;=1),"2223 -&gt; 2224","")</f>
        <v/>
      </c>
      <c r="C2022" t="str">
        <f>FORSIDE!$C$4</f>
        <v>S355, Stål / KFHUP 180x180x12.5</v>
      </c>
    </row>
    <row r="2023" spans="1:3" x14ac:dyDescent="0.3">
      <c r="A2023" t="str">
        <f>IF(AND(FORSIDE!$B$8&gt;=13,FORSIDE!$F$8&gt;=9,FORSIDE!$B$5&gt;=2),"S2022","")</f>
        <v/>
      </c>
      <c r="B2023" t="str">
        <f>IF(AND(FORSIDE!$B$8&gt;=13,FORSIDE!$F$8&gt;=9,FORSIDE!$B$5&gt;=2),"2224 -&gt; 2225","")</f>
        <v/>
      </c>
      <c r="C2023" t="str">
        <f>FORSIDE!$C$4</f>
        <v>S355, Stål / KFHUP 180x180x12.5</v>
      </c>
    </row>
    <row r="2024" spans="1:3" x14ac:dyDescent="0.3">
      <c r="A2024" t="str">
        <f>IF(AND(FORSIDE!$B$8&gt;=13,FORSIDE!$F$8&gt;=9,FORSIDE!$B$5&gt;=3),"S2023","")</f>
        <v/>
      </c>
      <c r="B2024" t="str">
        <f>IF(AND(FORSIDE!$B$8&gt;=13,FORSIDE!$F$8&gt;=9,FORSIDE!$B$5&gt;=3),"2225 -&gt; 2226","")</f>
        <v/>
      </c>
      <c r="C2024" t="str">
        <f>FORSIDE!$C$4</f>
        <v>S355, Stål / KFHUP 180x180x12.5</v>
      </c>
    </row>
    <row r="2025" spans="1:3" x14ac:dyDescent="0.3">
      <c r="A2025" t="str">
        <f>IF(AND(FORSIDE!$B$8&gt;=13,FORSIDE!$F$8&gt;=9,FORSIDE!$B$5&gt;=4),"S2024","")</f>
        <v/>
      </c>
      <c r="B2025" t="str">
        <f>IF(AND(FORSIDE!$B$8&gt;=13,FORSIDE!$F$8&gt;=9,FORSIDE!$B$5&gt;=4),"2226 -&gt; 2227","")</f>
        <v/>
      </c>
      <c r="C2025" t="str">
        <f>FORSIDE!$C$4</f>
        <v>S355, Stål / KFHUP 180x180x12.5</v>
      </c>
    </row>
    <row r="2026" spans="1:3" x14ac:dyDescent="0.3">
      <c r="A2026" t="str">
        <f>IF(AND(FORSIDE!$B$8&gt;=13,FORSIDE!$F$8&gt;=9,FORSIDE!$B$5&gt;=5),"S2025","")</f>
        <v/>
      </c>
      <c r="B2026" t="str">
        <f>IF(AND(FORSIDE!$B$8&gt;=13,FORSIDE!$F$8&gt;=9,FORSIDE!$B$5&gt;=5),"2227 -&gt; 2228","")</f>
        <v/>
      </c>
      <c r="C2026" t="str">
        <f>FORSIDE!$C$4</f>
        <v>S355, Stål / KFHUP 180x180x12.5</v>
      </c>
    </row>
    <row r="2027" spans="1:3" x14ac:dyDescent="0.3">
      <c r="A2027" t="str">
        <f>IF(AND(FORSIDE!$B$8&gt;=13,FORSIDE!$F$8&gt;=9,FORSIDE!$B$5&gt;=6),"S2026","")</f>
        <v/>
      </c>
      <c r="B2027" t="str">
        <f>IF(AND(FORSIDE!$B$8&gt;=13,FORSIDE!$F$8&gt;=9,FORSIDE!$B$5&gt;=6),"2228 -&gt; 2229","")</f>
        <v/>
      </c>
      <c r="C2027" t="str">
        <f>FORSIDE!$C$4</f>
        <v>S355, Stål / KFHUP 180x180x12.5</v>
      </c>
    </row>
    <row r="2028" spans="1:3" x14ac:dyDescent="0.3">
      <c r="A2028" t="str">
        <f>IF(AND(FORSIDE!$B$8&gt;=13,FORSIDE!$F$8&gt;=9,FORSIDE!$B$5&gt;=7),"S2027","")</f>
        <v/>
      </c>
      <c r="B2028" t="str">
        <f>IF(AND(FORSIDE!$B$8&gt;=13,FORSIDE!$F$8&gt;=9,FORSIDE!$B$5&gt;=7),"2229 -&gt; 2230","")</f>
        <v/>
      </c>
      <c r="C2028" t="str">
        <f>FORSIDE!$C$4</f>
        <v>S355, Stål / KFHUP 180x180x12.5</v>
      </c>
    </row>
    <row r="2029" spans="1:3" x14ac:dyDescent="0.3">
      <c r="A2029" t="str">
        <f>IF(AND(FORSIDE!$B$8&gt;=13,FORSIDE!$F$8&gt;=9,FORSIDE!$B$5&gt;=8),"S2028","")</f>
        <v/>
      </c>
      <c r="B2029" t="str">
        <f>IF(AND(FORSIDE!$B$8&gt;=13,FORSIDE!$F$8&gt;=9,FORSIDE!$B$5&gt;=8),"2230 -&gt; 2231","")</f>
        <v/>
      </c>
      <c r="C2029" t="str">
        <f>FORSIDE!$C$4</f>
        <v>S355, Stål / KFHUP 180x180x12.5</v>
      </c>
    </row>
    <row r="2030" spans="1:3" x14ac:dyDescent="0.3">
      <c r="A2030" t="str">
        <f>IF(AND(FORSIDE!$B$8&gt;=13,FORSIDE!$F$8&gt;=9,FORSIDE!$B$5&gt;=9),"S2029","")</f>
        <v/>
      </c>
      <c r="B2030" t="str">
        <f>IF(AND(FORSIDE!$B$8&gt;=13,FORSIDE!$F$8&gt;=9,FORSIDE!$B$5&gt;=9),"2231 -&gt; 2232","")</f>
        <v/>
      </c>
      <c r="C2030" t="str">
        <f>FORSIDE!$C$4</f>
        <v>S355, Stål / KFHUP 180x180x12.5</v>
      </c>
    </row>
    <row r="2031" spans="1:3" x14ac:dyDescent="0.3">
      <c r="A2031" t="str">
        <f>IF(AND(FORSIDE!$B$8&gt;=13,FORSIDE!$F$8&gt;=9,FORSIDE!$B$5&gt;=10),"S2030","")</f>
        <v/>
      </c>
      <c r="B2031" t="str">
        <f>IF(AND(FORSIDE!$B$8&gt;=13,FORSIDE!$F$8&gt;=9,FORSIDE!$B$5&gt;=10),"2232 -&gt; 2233","")</f>
        <v/>
      </c>
      <c r="C2031" t="str">
        <f>FORSIDE!$C$4</f>
        <v>S355, Stål / KFHUP 180x180x12.5</v>
      </c>
    </row>
    <row r="2032" spans="1:3" x14ac:dyDescent="0.3">
      <c r="A2032" t="str">
        <f>IF(AND(FORSIDE!$B$8&gt;=14,FORSIDE!$F$8&gt;=9,FORSIDE!$B$5&gt;=1),"S2031","")</f>
        <v/>
      </c>
      <c r="B2032" t="str">
        <f>IF(AND(FORSIDE!$B$8&gt;=14,FORSIDE!$F$8&gt;=9,FORSIDE!$B$5&gt;=1),"2234 -&gt; 2235","")</f>
        <v/>
      </c>
      <c r="C2032" t="str">
        <f>FORSIDE!$C$4</f>
        <v>S355, Stål / KFHUP 180x180x12.5</v>
      </c>
    </row>
    <row r="2033" spans="1:3" x14ac:dyDescent="0.3">
      <c r="A2033" t="str">
        <f>IF(AND(FORSIDE!$B$8&gt;=14,FORSIDE!$F$8&gt;=9,FORSIDE!$B$5&gt;=2),"S2032","")</f>
        <v/>
      </c>
      <c r="B2033" t="str">
        <f>IF(AND(FORSIDE!$B$8&gt;=14,FORSIDE!$F$8&gt;=9,FORSIDE!$B$5&gt;=2),"2235 -&gt; 2236","")</f>
        <v/>
      </c>
      <c r="C2033" t="str">
        <f>FORSIDE!$C$4</f>
        <v>S355, Stål / KFHUP 180x180x12.5</v>
      </c>
    </row>
    <row r="2034" spans="1:3" x14ac:dyDescent="0.3">
      <c r="A2034" t="str">
        <f>IF(AND(FORSIDE!$B$8&gt;=14,FORSIDE!$F$8&gt;=9,FORSIDE!$B$5&gt;=3),"S2033","")</f>
        <v/>
      </c>
      <c r="B2034" t="str">
        <f>IF(AND(FORSIDE!$B$8&gt;=14,FORSIDE!$F$8&gt;=9,FORSIDE!$B$5&gt;=3),"2236 -&gt; 2237","")</f>
        <v/>
      </c>
      <c r="C2034" t="str">
        <f>FORSIDE!$C$4</f>
        <v>S355, Stål / KFHUP 180x180x12.5</v>
      </c>
    </row>
    <row r="2035" spans="1:3" x14ac:dyDescent="0.3">
      <c r="A2035" t="str">
        <f>IF(AND(FORSIDE!$B$8&gt;=14,FORSIDE!$F$8&gt;=9,FORSIDE!$B$5&gt;=4),"S2034","")</f>
        <v/>
      </c>
      <c r="B2035" t="str">
        <f>IF(AND(FORSIDE!$B$8&gt;=14,FORSIDE!$F$8&gt;=9,FORSIDE!$B$5&gt;=4),"2237 -&gt; 2238","")</f>
        <v/>
      </c>
      <c r="C2035" t="str">
        <f>FORSIDE!$C$4</f>
        <v>S355, Stål / KFHUP 180x180x12.5</v>
      </c>
    </row>
    <row r="2036" spans="1:3" x14ac:dyDescent="0.3">
      <c r="A2036" t="str">
        <f>IF(AND(FORSIDE!$B$8&gt;=14,FORSIDE!$F$8&gt;=9,FORSIDE!$B$5&gt;=5),"S2035","")</f>
        <v/>
      </c>
      <c r="B2036" t="str">
        <f>IF(AND(FORSIDE!$B$8&gt;=14,FORSIDE!$F$8&gt;=9,FORSIDE!$B$5&gt;=5),"2238 -&gt; 2239","")</f>
        <v/>
      </c>
      <c r="C2036" t="str">
        <f>FORSIDE!$C$4</f>
        <v>S355, Stål / KFHUP 180x180x12.5</v>
      </c>
    </row>
    <row r="2037" spans="1:3" x14ac:dyDescent="0.3">
      <c r="A2037" t="str">
        <f>IF(AND(FORSIDE!$B$8&gt;=14,FORSIDE!$F$8&gt;=9,FORSIDE!$B$5&gt;=6),"S2036","")</f>
        <v/>
      </c>
      <c r="B2037" t="str">
        <f>IF(AND(FORSIDE!$B$8&gt;=14,FORSIDE!$F$8&gt;=9,FORSIDE!$B$5&gt;=6),"2239 -&gt; 2240","")</f>
        <v/>
      </c>
      <c r="C2037" t="str">
        <f>FORSIDE!$C$4</f>
        <v>S355, Stål / KFHUP 180x180x12.5</v>
      </c>
    </row>
    <row r="2038" spans="1:3" x14ac:dyDescent="0.3">
      <c r="A2038" t="str">
        <f>IF(AND(FORSIDE!$B$8&gt;=14,FORSIDE!$F$8&gt;=9,FORSIDE!$B$5&gt;=7),"S2037","")</f>
        <v/>
      </c>
      <c r="B2038" t="str">
        <f>IF(AND(FORSIDE!$B$8&gt;=14,FORSIDE!$F$8&gt;=9,FORSIDE!$B$5&gt;=7),"2240 -&gt; 2241","")</f>
        <v/>
      </c>
      <c r="C2038" t="str">
        <f>FORSIDE!$C$4</f>
        <v>S355, Stål / KFHUP 180x180x12.5</v>
      </c>
    </row>
    <row r="2039" spans="1:3" x14ac:dyDescent="0.3">
      <c r="A2039" t="str">
        <f>IF(AND(FORSIDE!$B$8&gt;=14,FORSIDE!$F$8&gt;=9,FORSIDE!$B$5&gt;=8),"S2038","")</f>
        <v/>
      </c>
      <c r="B2039" t="str">
        <f>IF(AND(FORSIDE!$B$8&gt;=14,FORSIDE!$F$8&gt;=9,FORSIDE!$B$5&gt;=8),"2241 -&gt; 2242","")</f>
        <v/>
      </c>
      <c r="C2039" t="str">
        <f>FORSIDE!$C$4</f>
        <v>S355, Stål / KFHUP 180x180x12.5</v>
      </c>
    </row>
    <row r="2040" spans="1:3" x14ac:dyDescent="0.3">
      <c r="A2040" t="str">
        <f>IF(AND(FORSIDE!$B$8&gt;=14,FORSIDE!$F$8&gt;=9,FORSIDE!$B$5&gt;=9),"S2039","")</f>
        <v/>
      </c>
      <c r="B2040" t="str">
        <f>IF(AND(FORSIDE!$B$8&gt;=14,FORSIDE!$F$8&gt;=9,FORSIDE!$B$5&gt;=9),"2242 -&gt; 2243","")</f>
        <v/>
      </c>
      <c r="C2040" t="str">
        <f>FORSIDE!$C$4</f>
        <v>S355, Stål / KFHUP 180x180x12.5</v>
      </c>
    </row>
    <row r="2041" spans="1:3" x14ac:dyDescent="0.3">
      <c r="A2041" t="str">
        <f>IF(AND(FORSIDE!$B$8&gt;=14,FORSIDE!$F$8&gt;=9,FORSIDE!$B$5&gt;=10),"S2040","")</f>
        <v/>
      </c>
      <c r="B2041" t="str">
        <f>IF(AND(FORSIDE!$B$8&gt;=14,FORSIDE!$F$8&gt;=9,FORSIDE!$B$5&gt;=10),"2243 -&gt; 2244","")</f>
        <v/>
      </c>
      <c r="C2041" t="str">
        <f>FORSIDE!$C$4</f>
        <v>S355, Stål / KFHUP 180x180x12.5</v>
      </c>
    </row>
    <row r="2042" spans="1:3" x14ac:dyDescent="0.3">
      <c r="A2042" t="str">
        <f>IF(AND(FORSIDE!$B$8&gt;=15,FORSIDE!$F$8&gt;=9,FORSIDE!$B$5&gt;=1),"S2041","")</f>
        <v/>
      </c>
      <c r="B2042" t="str">
        <f>IF(AND(FORSIDE!$B$8&gt;=15,FORSIDE!$F$8&gt;=9,FORSIDE!$B$5&gt;=1),"2245 -&gt; 2246","")</f>
        <v/>
      </c>
      <c r="C2042" t="str">
        <f>FORSIDE!$C$4</f>
        <v>S355, Stål / KFHUP 180x180x12.5</v>
      </c>
    </row>
    <row r="2043" spans="1:3" x14ac:dyDescent="0.3">
      <c r="A2043" t="str">
        <f>IF(AND(FORSIDE!$B$8&gt;=15,FORSIDE!$F$8&gt;=9,FORSIDE!$B$5&gt;=2),"S2042","")</f>
        <v/>
      </c>
      <c r="B2043" t="str">
        <f>IF(AND(FORSIDE!$B$8&gt;=15,FORSIDE!$F$8&gt;=9,FORSIDE!$B$5&gt;=2),"2246 -&gt; 2247","")</f>
        <v/>
      </c>
      <c r="C2043" t="str">
        <f>FORSIDE!$C$4</f>
        <v>S355, Stål / KFHUP 180x180x12.5</v>
      </c>
    </row>
    <row r="2044" spans="1:3" x14ac:dyDescent="0.3">
      <c r="A2044" t="str">
        <f>IF(AND(FORSIDE!$B$8&gt;=15,FORSIDE!$F$8&gt;=9,FORSIDE!$B$5&gt;=3),"S2043","")</f>
        <v/>
      </c>
      <c r="B2044" t="str">
        <f>IF(AND(FORSIDE!$B$8&gt;=15,FORSIDE!$F$8&gt;=9,FORSIDE!$B$5&gt;=3),"2247 -&gt; 2248","")</f>
        <v/>
      </c>
      <c r="C2044" t="str">
        <f>FORSIDE!$C$4</f>
        <v>S355, Stål / KFHUP 180x180x12.5</v>
      </c>
    </row>
    <row r="2045" spans="1:3" x14ac:dyDescent="0.3">
      <c r="A2045" t="str">
        <f>IF(AND(FORSIDE!$B$8&gt;=15,FORSIDE!$F$8&gt;=9,FORSIDE!$B$5&gt;=4),"S2044","")</f>
        <v/>
      </c>
      <c r="B2045" t="str">
        <f>IF(AND(FORSIDE!$B$8&gt;=15,FORSIDE!$F$8&gt;=9,FORSIDE!$B$5&gt;=4),"2248 -&gt; 2249","")</f>
        <v/>
      </c>
      <c r="C2045" t="str">
        <f>FORSIDE!$C$4</f>
        <v>S355, Stål / KFHUP 180x180x12.5</v>
      </c>
    </row>
    <row r="2046" spans="1:3" x14ac:dyDescent="0.3">
      <c r="A2046" t="str">
        <f>IF(AND(FORSIDE!$B$8&gt;=15,FORSIDE!$F$8&gt;=9,FORSIDE!$B$5&gt;=5),"S2045","")</f>
        <v/>
      </c>
      <c r="B2046" t="str">
        <f>IF(AND(FORSIDE!$B$8&gt;=15,FORSIDE!$F$8&gt;=9,FORSIDE!$B$5&gt;=5),"2249 -&gt; 2250","")</f>
        <v/>
      </c>
      <c r="C2046" t="str">
        <f>FORSIDE!$C$4</f>
        <v>S355, Stål / KFHUP 180x180x12.5</v>
      </c>
    </row>
    <row r="2047" spans="1:3" x14ac:dyDescent="0.3">
      <c r="A2047" t="str">
        <f>IF(AND(FORSIDE!$B$8&gt;=15,FORSIDE!$F$8&gt;=9,FORSIDE!$B$5&gt;=6),"S2046","")</f>
        <v/>
      </c>
      <c r="B2047" t="str">
        <f>IF(AND(FORSIDE!$B$8&gt;=15,FORSIDE!$F$8&gt;=9,FORSIDE!$B$5&gt;=6),"2250 -&gt; 2251","")</f>
        <v/>
      </c>
      <c r="C2047" t="str">
        <f>FORSIDE!$C$4</f>
        <v>S355, Stål / KFHUP 180x180x12.5</v>
      </c>
    </row>
    <row r="2048" spans="1:3" x14ac:dyDescent="0.3">
      <c r="A2048" t="str">
        <f>IF(AND(FORSIDE!$B$8&gt;=15,FORSIDE!$F$8&gt;=9,FORSIDE!$B$5&gt;=7),"S2047","")</f>
        <v/>
      </c>
      <c r="B2048" t="str">
        <f>IF(AND(FORSIDE!$B$8&gt;=15,FORSIDE!$F$8&gt;=9,FORSIDE!$B$5&gt;=7),"2251 -&gt; 2252","")</f>
        <v/>
      </c>
      <c r="C2048" t="str">
        <f>FORSIDE!$C$4</f>
        <v>S355, Stål / KFHUP 180x180x12.5</v>
      </c>
    </row>
    <row r="2049" spans="1:3" x14ac:dyDescent="0.3">
      <c r="A2049" t="str">
        <f>IF(AND(FORSIDE!$B$8&gt;=15,FORSIDE!$F$8&gt;=9,FORSIDE!$B$5&gt;=8),"S2048","")</f>
        <v/>
      </c>
      <c r="B2049" t="str">
        <f>IF(AND(FORSIDE!$B$8&gt;=15,FORSIDE!$F$8&gt;=9,FORSIDE!$B$5&gt;=8),"2252 -&gt; 2253","")</f>
        <v/>
      </c>
      <c r="C2049" t="str">
        <f>FORSIDE!$C$4</f>
        <v>S355, Stål / KFHUP 180x180x12.5</v>
      </c>
    </row>
    <row r="2050" spans="1:3" x14ac:dyDescent="0.3">
      <c r="A2050" t="str">
        <f>IF(AND(FORSIDE!$B$8&gt;=15,FORSIDE!$F$8&gt;=9,FORSIDE!$B$5&gt;=9),"S2049","")</f>
        <v/>
      </c>
      <c r="B2050" t="str">
        <f>IF(AND(FORSIDE!$B$8&gt;=15,FORSIDE!$F$8&gt;=9,FORSIDE!$B$5&gt;=9),"2253 -&gt; 2254","")</f>
        <v/>
      </c>
      <c r="C2050" t="str">
        <f>FORSIDE!$C$4</f>
        <v>S355, Stål / KFHUP 180x180x12.5</v>
      </c>
    </row>
    <row r="2051" spans="1:3" x14ac:dyDescent="0.3">
      <c r="A2051" t="str">
        <f>IF(AND(FORSIDE!$B$8&gt;=15,FORSIDE!$F$8&gt;=9,FORSIDE!$B$5&gt;=10),"S2050","")</f>
        <v/>
      </c>
      <c r="B2051" t="str">
        <f>IF(AND(FORSIDE!$B$8&gt;=15,FORSIDE!$F$8&gt;=9,FORSIDE!$B$5&gt;=10),"2254 -&gt; 2255","")</f>
        <v/>
      </c>
      <c r="C2051" t="str">
        <f>FORSIDE!$C$4</f>
        <v>S355, Stål / KFHUP 180x180x12.5</v>
      </c>
    </row>
    <row r="2052" spans="1:3" x14ac:dyDescent="0.3">
      <c r="A2052" t="str">
        <f>IF(AND(FORSIDE!$B$8&gt;=16,FORSIDE!$F$8&gt;=9,FORSIDE!$B$5&gt;=1),"S2051","")</f>
        <v/>
      </c>
      <c r="B2052" t="str">
        <f>IF(AND(FORSIDE!$B$8&gt;=16,FORSIDE!$F$8&gt;=9,FORSIDE!$B$5&gt;=1),"2256 -&gt; 2257","")</f>
        <v/>
      </c>
      <c r="C2052" t="str">
        <f>FORSIDE!$C$4</f>
        <v>S355, Stål / KFHUP 180x180x12.5</v>
      </c>
    </row>
    <row r="2053" spans="1:3" x14ac:dyDescent="0.3">
      <c r="A2053" t="str">
        <f>IF(AND(FORSIDE!$B$8&gt;=16,FORSIDE!$F$8&gt;=9,FORSIDE!$B$5&gt;=2),"S2052","")</f>
        <v/>
      </c>
      <c r="B2053" t="str">
        <f>IF(AND(FORSIDE!$B$8&gt;=16,FORSIDE!$F$8&gt;=9,FORSIDE!$B$5&gt;=2),"2257 -&gt; 2258","")</f>
        <v/>
      </c>
      <c r="C2053" t="str">
        <f>FORSIDE!$C$4</f>
        <v>S355, Stål / KFHUP 180x180x12.5</v>
      </c>
    </row>
    <row r="2054" spans="1:3" x14ac:dyDescent="0.3">
      <c r="A2054" t="str">
        <f>IF(AND(FORSIDE!$B$8&gt;=16,FORSIDE!$F$8&gt;=9,FORSIDE!$B$5&gt;=3),"S2053","")</f>
        <v/>
      </c>
      <c r="B2054" t="str">
        <f>IF(AND(FORSIDE!$B$8&gt;=16,FORSIDE!$F$8&gt;=9,FORSIDE!$B$5&gt;=3),"2258 -&gt; 2259","")</f>
        <v/>
      </c>
      <c r="C2054" t="str">
        <f>FORSIDE!$C$4</f>
        <v>S355, Stål / KFHUP 180x180x12.5</v>
      </c>
    </row>
    <row r="2055" spans="1:3" x14ac:dyDescent="0.3">
      <c r="A2055" t="str">
        <f>IF(AND(FORSIDE!$B$8&gt;=16,FORSIDE!$F$8&gt;=9,FORSIDE!$B$5&gt;=4),"S2054","")</f>
        <v/>
      </c>
      <c r="B2055" t="str">
        <f>IF(AND(FORSIDE!$B$8&gt;=16,FORSIDE!$F$8&gt;=9,FORSIDE!$B$5&gt;=4),"2259 -&gt; 2260","")</f>
        <v/>
      </c>
      <c r="C2055" t="str">
        <f>FORSIDE!$C$4</f>
        <v>S355, Stål / KFHUP 180x180x12.5</v>
      </c>
    </row>
    <row r="2056" spans="1:3" x14ac:dyDescent="0.3">
      <c r="A2056" t="str">
        <f>IF(AND(FORSIDE!$B$8&gt;=16,FORSIDE!$F$8&gt;=9,FORSIDE!$B$5&gt;=5),"S2055","")</f>
        <v/>
      </c>
      <c r="B2056" t="str">
        <f>IF(AND(FORSIDE!$B$8&gt;=16,FORSIDE!$F$8&gt;=9,FORSIDE!$B$5&gt;=5),"2260 -&gt; 2261","")</f>
        <v/>
      </c>
      <c r="C2056" t="str">
        <f>FORSIDE!$C$4</f>
        <v>S355, Stål / KFHUP 180x180x12.5</v>
      </c>
    </row>
    <row r="2057" spans="1:3" x14ac:dyDescent="0.3">
      <c r="A2057" t="str">
        <f>IF(AND(FORSIDE!$B$8&gt;=16,FORSIDE!$F$8&gt;=9,FORSIDE!$B$5&gt;=6),"S2056","")</f>
        <v/>
      </c>
      <c r="B2057" t="str">
        <f>IF(AND(FORSIDE!$B$8&gt;=16,FORSIDE!$F$8&gt;=9,FORSIDE!$B$5&gt;=6),"2261 -&gt; 2262","")</f>
        <v/>
      </c>
      <c r="C2057" t="str">
        <f>FORSIDE!$C$4</f>
        <v>S355, Stål / KFHUP 180x180x12.5</v>
      </c>
    </row>
    <row r="2058" spans="1:3" x14ac:dyDescent="0.3">
      <c r="A2058" t="str">
        <f>IF(AND(FORSIDE!$B$8&gt;=16,FORSIDE!$F$8&gt;=9,FORSIDE!$B$5&gt;=7),"S2057","")</f>
        <v/>
      </c>
      <c r="B2058" t="str">
        <f>IF(AND(FORSIDE!$B$8&gt;=16,FORSIDE!$F$8&gt;=9,FORSIDE!$B$5&gt;=7),"2262 -&gt; 2263","")</f>
        <v/>
      </c>
      <c r="C2058" t="str">
        <f>FORSIDE!$C$4</f>
        <v>S355, Stål / KFHUP 180x180x12.5</v>
      </c>
    </row>
    <row r="2059" spans="1:3" x14ac:dyDescent="0.3">
      <c r="A2059" t="str">
        <f>IF(AND(FORSIDE!$B$8&gt;=16,FORSIDE!$F$8&gt;=9,FORSIDE!$B$5&gt;=8),"S2058","")</f>
        <v/>
      </c>
      <c r="B2059" t="str">
        <f>IF(AND(FORSIDE!$B$8&gt;=16,FORSIDE!$F$8&gt;=9,FORSIDE!$B$5&gt;=8),"2263 -&gt; 2264","")</f>
        <v/>
      </c>
      <c r="C2059" t="str">
        <f>FORSIDE!$C$4</f>
        <v>S355, Stål / KFHUP 180x180x12.5</v>
      </c>
    </row>
    <row r="2060" spans="1:3" x14ac:dyDescent="0.3">
      <c r="A2060" t="str">
        <f>IF(AND(FORSIDE!$B$8&gt;=16,FORSIDE!$F$8&gt;=9,FORSIDE!$B$5&gt;=9),"S2059","")</f>
        <v/>
      </c>
      <c r="B2060" t="str">
        <f>IF(AND(FORSIDE!$B$8&gt;=16,FORSIDE!$F$8&gt;=9,FORSIDE!$B$5&gt;=9),"2264 -&gt; 2265","")</f>
        <v/>
      </c>
      <c r="C2060" t="str">
        <f>FORSIDE!$C$4</f>
        <v>S355, Stål / KFHUP 180x180x12.5</v>
      </c>
    </row>
    <row r="2061" spans="1:3" x14ac:dyDescent="0.3">
      <c r="A2061" t="str">
        <f>IF(AND(FORSIDE!$B$8&gt;=16,FORSIDE!$F$8&gt;=9,FORSIDE!$B$5&gt;=10),"S2060","")</f>
        <v/>
      </c>
      <c r="B2061" t="str">
        <f>IF(AND(FORSIDE!$B$8&gt;=16,FORSIDE!$F$8&gt;=9,FORSIDE!$B$5&gt;=10),"2265 -&gt; 2266","")</f>
        <v/>
      </c>
      <c r="C2061" t="str">
        <f>FORSIDE!$C$4</f>
        <v>S355, Stål / KFHUP 180x180x12.5</v>
      </c>
    </row>
    <row r="2062" spans="1:3" x14ac:dyDescent="0.3">
      <c r="A2062" t="str">
        <f>IF(AND(FORSIDE!$B$8&gt;=17,FORSIDE!$F$8&gt;=9,FORSIDE!$B$5&gt;=1),"S2061","")</f>
        <v/>
      </c>
      <c r="B2062" t="str">
        <f>IF(AND(FORSIDE!$B$8&gt;=17,FORSIDE!$F$8&gt;=9,FORSIDE!$B$5&gt;=1),"2267 -&gt; 2268","")</f>
        <v/>
      </c>
      <c r="C2062" t="str">
        <f>FORSIDE!$C$4</f>
        <v>S355, Stål / KFHUP 180x180x12.5</v>
      </c>
    </row>
    <row r="2063" spans="1:3" x14ac:dyDescent="0.3">
      <c r="A2063" t="str">
        <f>IF(AND(FORSIDE!$B$8&gt;=17,FORSIDE!$F$8&gt;=9,FORSIDE!$B$5&gt;=2),"S2062","")</f>
        <v/>
      </c>
      <c r="B2063" t="str">
        <f>IF(AND(FORSIDE!$B$8&gt;=17,FORSIDE!$F$8&gt;=9,FORSIDE!$B$5&gt;=2),"2268 -&gt; 2269","")</f>
        <v/>
      </c>
      <c r="C2063" t="str">
        <f>FORSIDE!$C$4</f>
        <v>S355, Stål / KFHUP 180x180x12.5</v>
      </c>
    </row>
    <row r="2064" spans="1:3" x14ac:dyDescent="0.3">
      <c r="A2064" t="str">
        <f>IF(AND(FORSIDE!$B$8&gt;=17,FORSIDE!$F$8&gt;=9,FORSIDE!$B$5&gt;=3),"S2063","")</f>
        <v/>
      </c>
      <c r="B2064" t="str">
        <f>IF(AND(FORSIDE!$B$8&gt;=17,FORSIDE!$F$8&gt;=9,FORSIDE!$B$5&gt;=3),"2269 -&gt; 2270","")</f>
        <v/>
      </c>
      <c r="C2064" t="str">
        <f>FORSIDE!$C$4</f>
        <v>S355, Stål / KFHUP 180x180x12.5</v>
      </c>
    </row>
    <row r="2065" spans="1:3" x14ac:dyDescent="0.3">
      <c r="A2065" t="str">
        <f>IF(AND(FORSIDE!$B$8&gt;=17,FORSIDE!$F$8&gt;=9,FORSIDE!$B$5&gt;=4),"S2064","")</f>
        <v/>
      </c>
      <c r="B2065" t="str">
        <f>IF(AND(FORSIDE!$B$8&gt;=17,FORSIDE!$F$8&gt;=9,FORSIDE!$B$5&gt;=4),"2270 -&gt; 2271","")</f>
        <v/>
      </c>
      <c r="C2065" t="str">
        <f>FORSIDE!$C$4</f>
        <v>S355, Stål / KFHUP 180x180x12.5</v>
      </c>
    </row>
    <row r="2066" spans="1:3" x14ac:dyDescent="0.3">
      <c r="A2066" t="str">
        <f>IF(AND(FORSIDE!$B$8&gt;=17,FORSIDE!$F$8&gt;=9,FORSIDE!$B$5&gt;=5),"S2065","")</f>
        <v/>
      </c>
      <c r="B2066" t="str">
        <f>IF(AND(FORSIDE!$B$8&gt;=17,FORSIDE!$F$8&gt;=9,FORSIDE!$B$5&gt;=5),"2271 -&gt; 2272","")</f>
        <v/>
      </c>
      <c r="C2066" t="str">
        <f>FORSIDE!$C$4</f>
        <v>S355, Stål / KFHUP 180x180x12.5</v>
      </c>
    </row>
    <row r="2067" spans="1:3" x14ac:dyDescent="0.3">
      <c r="A2067" t="str">
        <f>IF(AND(FORSIDE!$B$8&gt;=17,FORSIDE!$F$8&gt;=9,FORSIDE!$B$5&gt;=6),"S2066","")</f>
        <v/>
      </c>
      <c r="B2067" t="str">
        <f>IF(AND(FORSIDE!$B$8&gt;=17,FORSIDE!$F$8&gt;=9,FORSIDE!$B$5&gt;=6),"2272 -&gt; 2273","")</f>
        <v/>
      </c>
      <c r="C2067" t="str">
        <f>FORSIDE!$C$4</f>
        <v>S355, Stål / KFHUP 180x180x12.5</v>
      </c>
    </row>
    <row r="2068" spans="1:3" x14ac:dyDescent="0.3">
      <c r="A2068" t="str">
        <f>IF(AND(FORSIDE!$B$8&gt;=17,FORSIDE!$F$8&gt;=9,FORSIDE!$B$5&gt;=7),"S2067","")</f>
        <v/>
      </c>
      <c r="B2068" t="str">
        <f>IF(AND(FORSIDE!$B$8&gt;=17,FORSIDE!$F$8&gt;=9,FORSIDE!$B$5&gt;=7),"2273 -&gt; 2274","")</f>
        <v/>
      </c>
      <c r="C2068" t="str">
        <f>FORSIDE!$C$4</f>
        <v>S355, Stål / KFHUP 180x180x12.5</v>
      </c>
    </row>
    <row r="2069" spans="1:3" x14ac:dyDescent="0.3">
      <c r="A2069" t="str">
        <f>IF(AND(FORSIDE!$B$8&gt;=17,FORSIDE!$F$8&gt;=9,FORSIDE!$B$5&gt;=8),"S2068","")</f>
        <v/>
      </c>
      <c r="B2069" t="str">
        <f>IF(AND(FORSIDE!$B$8&gt;=17,FORSIDE!$F$8&gt;=9,FORSIDE!$B$5&gt;=8),"2274 -&gt; 2275","")</f>
        <v/>
      </c>
      <c r="C2069" t="str">
        <f>FORSIDE!$C$4</f>
        <v>S355, Stål / KFHUP 180x180x12.5</v>
      </c>
    </row>
    <row r="2070" spans="1:3" x14ac:dyDescent="0.3">
      <c r="A2070" t="str">
        <f>IF(AND(FORSIDE!$B$8&gt;=17,FORSIDE!$F$8&gt;=9,FORSIDE!$B$5&gt;=9),"S2069","")</f>
        <v/>
      </c>
      <c r="B2070" t="str">
        <f>IF(AND(FORSIDE!$B$8&gt;=17,FORSIDE!$F$8&gt;=9,FORSIDE!$B$5&gt;=9),"2275 -&gt; 2276","")</f>
        <v/>
      </c>
      <c r="C2070" t="str">
        <f>FORSIDE!$C$4</f>
        <v>S355, Stål / KFHUP 180x180x12.5</v>
      </c>
    </row>
    <row r="2071" spans="1:3" x14ac:dyDescent="0.3">
      <c r="A2071" t="str">
        <f>IF(AND(FORSIDE!$B$8&gt;=17,FORSIDE!$F$8&gt;=9,FORSIDE!$B$5&gt;=10),"S2070","")</f>
        <v/>
      </c>
      <c r="B2071" t="str">
        <f>IF(AND(FORSIDE!$B$8&gt;=17,FORSIDE!$F$8&gt;=9,FORSIDE!$B$5&gt;=10),"2276 -&gt; 2277","")</f>
        <v/>
      </c>
      <c r="C2071" t="str">
        <f>FORSIDE!$C$4</f>
        <v>S355, Stål / KFHUP 180x180x12.5</v>
      </c>
    </row>
    <row r="2072" spans="1:3" x14ac:dyDescent="0.3">
      <c r="A2072" t="str">
        <f>IF(AND(FORSIDE!$B$8&gt;=18,FORSIDE!$F$8&gt;=9,FORSIDE!$B$5&gt;=1),"S2071","")</f>
        <v/>
      </c>
      <c r="B2072" t="str">
        <f>IF(AND(FORSIDE!$B$8&gt;=18,FORSIDE!$F$8&gt;=9,FORSIDE!$B$5&gt;=1),"2278 -&gt; 2279","")</f>
        <v/>
      </c>
      <c r="C2072" t="str">
        <f>FORSIDE!$C$4</f>
        <v>S355, Stål / KFHUP 180x180x12.5</v>
      </c>
    </row>
    <row r="2073" spans="1:3" x14ac:dyDescent="0.3">
      <c r="A2073" t="str">
        <f>IF(AND(FORSIDE!$B$8&gt;=18,FORSIDE!$F$8&gt;=9,FORSIDE!$B$5&gt;=2),"S2072","")</f>
        <v/>
      </c>
      <c r="B2073" t="str">
        <f>IF(AND(FORSIDE!$B$8&gt;=18,FORSIDE!$F$8&gt;=9,FORSIDE!$B$5&gt;=2),"2279 -&gt; 2280","")</f>
        <v/>
      </c>
      <c r="C2073" t="str">
        <f>FORSIDE!$C$4</f>
        <v>S355, Stål / KFHUP 180x180x12.5</v>
      </c>
    </row>
    <row r="2074" spans="1:3" x14ac:dyDescent="0.3">
      <c r="A2074" t="str">
        <f>IF(AND(FORSIDE!$B$8&gt;=18,FORSIDE!$F$8&gt;=9,FORSIDE!$B$5&gt;=3),"S2073","")</f>
        <v/>
      </c>
      <c r="B2074" t="str">
        <f>IF(AND(FORSIDE!$B$8&gt;=18,FORSIDE!$F$8&gt;=9,FORSIDE!$B$5&gt;=3),"2280 -&gt; 2281","")</f>
        <v/>
      </c>
      <c r="C2074" t="str">
        <f>FORSIDE!$C$4</f>
        <v>S355, Stål / KFHUP 180x180x12.5</v>
      </c>
    </row>
    <row r="2075" spans="1:3" x14ac:dyDescent="0.3">
      <c r="A2075" t="str">
        <f>IF(AND(FORSIDE!$B$8&gt;=18,FORSIDE!$F$8&gt;=9,FORSIDE!$B$5&gt;=4),"S2074","")</f>
        <v/>
      </c>
      <c r="B2075" t="str">
        <f>IF(AND(FORSIDE!$B$8&gt;=18,FORSIDE!$F$8&gt;=9,FORSIDE!$B$5&gt;=4),"2281 -&gt; 2282","")</f>
        <v/>
      </c>
      <c r="C2075" t="str">
        <f>FORSIDE!$C$4</f>
        <v>S355, Stål / KFHUP 180x180x12.5</v>
      </c>
    </row>
    <row r="2076" spans="1:3" x14ac:dyDescent="0.3">
      <c r="A2076" t="str">
        <f>IF(AND(FORSIDE!$B$8&gt;=18,FORSIDE!$F$8&gt;=9,FORSIDE!$B$5&gt;=5),"S2075","")</f>
        <v/>
      </c>
      <c r="B2076" t="str">
        <f>IF(AND(FORSIDE!$B$8&gt;=18,FORSIDE!$F$8&gt;=9,FORSIDE!$B$5&gt;=5),"2282 -&gt; 2283","")</f>
        <v/>
      </c>
      <c r="C2076" t="str">
        <f>FORSIDE!$C$4</f>
        <v>S355, Stål / KFHUP 180x180x12.5</v>
      </c>
    </row>
    <row r="2077" spans="1:3" x14ac:dyDescent="0.3">
      <c r="A2077" t="str">
        <f>IF(AND(FORSIDE!$B$8&gt;=18,FORSIDE!$F$8&gt;=9,FORSIDE!$B$5&gt;=6),"S2076","")</f>
        <v/>
      </c>
      <c r="B2077" t="str">
        <f>IF(AND(FORSIDE!$B$8&gt;=18,FORSIDE!$F$8&gt;=9,FORSIDE!$B$5&gt;=6),"2283 -&gt; 2284","")</f>
        <v/>
      </c>
      <c r="C2077" t="str">
        <f>FORSIDE!$C$4</f>
        <v>S355, Stål / KFHUP 180x180x12.5</v>
      </c>
    </row>
    <row r="2078" spans="1:3" x14ac:dyDescent="0.3">
      <c r="A2078" t="str">
        <f>IF(AND(FORSIDE!$B$8&gt;=18,FORSIDE!$F$8&gt;=9,FORSIDE!$B$5&gt;=7),"S2077","")</f>
        <v/>
      </c>
      <c r="B2078" t="str">
        <f>IF(AND(FORSIDE!$B$8&gt;=18,FORSIDE!$F$8&gt;=9,FORSIDE!$B$5&gt;=7),"2284 -&gt; 2285","")</f>
        <v/>
      </c>
      <c r="C2078" t="str">
        <f>FORSIDE!$C$4</f>
        <v>S355, Stål / KFHUP 180x180x12.5</v>
      </c>
    </row>
    <row r="2079" spans="1:3" x14ac:dyDescent="0.3">
      <c r="A2079" t="str">
        <f>IF(AND(FORSIDE!$B$8&gt;=18,FORSIDE!$F$8&gt;=9,FORSIDE!$B$5&gt;=8),"S2078","")</f>
        <v/>
      </c>
      <c r="B2079" t="str">
        <f>IF(AND(FORSIDE!$B$8&gt;=18,FORSIDE!$F$8&gt;=9,FORSIDE!$B$5&gt;=8),"2285 -&gt; 2286","")</f>
        <v/>
      </c>
      <c r="C2079" t="str">
        <f>FORSIDE!$C$4</f>
        <v>S355, Stål / KFHUP 180x180x12.5</v>
      </c>
    </row>
    <row r="2080" spans="1:3" x14ac:dyDescent="0.3">
      <c r="A2080" t="str">
        <f>IF(AND(FORSIDE!$B$8&gt;=18,FORSIDE!$F$8&gt;=9,FORSIDE!$B$5&gt;=9),"S2079","")</f>
        <v/>
      </c>
      <c r="B2080" t="str">
        <f>IF(AND(FORSIDE!$B$8&gt;=18,FORSIDE!$F$8&gt;=9,FORSIDE!$B$5&gt;=9),"2286 -&gt; 2287","")</f>
        <v/>
      </c>
      <c r="C2080" t="str">
        <f>FORSIDE!$C$4</f>
        <v>S355, Stål / KFHUP 180x180x12.5</v>
      </c>
    </row>
    <row r="2081" spans="1:3" x14ac:dyDescent="0.3">
      <c r="A2081" t="str">
        <f>IF(AND(FORSIDE!$B$8&gt;=18,FORSIDE!$F$8&gt;=9,FORSIDE!$B$5&gt;=10),"S2080","")</f>
        <v/>
      </c>
      <c r="B2081" t="str">
        <f>IF(AND(FORSIDE!$B$8&gt;=18,FORSIDE!$F$8&gt;=9,FORSIDE!$B$5&gt;=10),"2287 -&gt; 2288","")</f>
        <v/>
      </c>
      <c r="C2081" t="str">
        <f>FORSIDE!$C$4</f>
        <v>S355, Stål / KFHUP 180x180x12.5</v>
      </c>
    </row>
    <row r="2082" spans="1:3" x14ac:dyDescent="0.3">
      <c r="A2082" t="str">
        <f>IF(AND(FORSIDE!$B$8&gt;=19,FORSIDE!$F$8&gt;=9,FORSIDE!$B$5&gt;=1),"S2081","")</f>
        <v/>
      </c>
      <c r="B2082" t="str">
        <f>IF(AND(FORSIDE!$B$8&gt;=19,FORSIDE!$F$8&gt;=9,FORSIDE!$B$5&gt;=1),"2289 -&gt; 2290","")</f>
        <v/>
      </c>
      <c r="C2082" t="str">
        <f>FORSIDE!$C$4</f>
        <v>S355, Stål / KFHUP 180x180x12.5</v>
      </c>
    </row>
    <row r="2083" spans="1:3" x14ac:dyDescent="0.3">
      <c r="A2083" t="str">
        <f>IF(AND(FORSIDE!$B$8&gt;=19,FORSIDE!$F$8&gt;=9,FORSIDE!$B$5&gt;=2),"S2082","")</f>
        <v/>
      </c>
      <c r="B2083" t="str">
        <f>IF(AND(FORSIDE!$B$8&gt;=19,FORSIDE!$F$8&gt;=9,FORSIDE!$B$5&gt;=2),"2290 -&gt; 2291","")</f>
        <v/>
      </c>
      <c r="C2083" t="str">
        <f>FORSIDE!$C$4</f>
        <v>S355, Stål / KFHUP 180x180x12.5</v>
      </c>
    </row>
    <row r="2084" spans="1:3" x14ac:dyDescent="0.3">
      <c r="A2084" t="str">
        <f>IF(AND(FORSIDE!$B$8&gt;=19,FORSIDE!$F$8&gt;=9,FORSIDE!$B$5&gt;=3),"S2083","")</f>
        <v/>
      </c>
      <c r="B2084" t="str">
        <f>IF(AND(FORSIDE!$B$8&gt;=19,FORSIDE!$F$8&gt;=9,FORSIDE!$B$5&gt;=3),"2291 -&gt; 2292","")</f>
        <v/>
      </c>
      <c r="C2084" t="str">
        <f>FORSIDE!$C$4</f>
        <v>S355, Stål / KFHUP 180x180x12.5</v>
      </c>
    </row>
    <row r="2085" spans="1:3" x14ac:dyDescent="0.3">
      <c r="A2085" t="str">
        <f>IF(AND(FORSIDE!$B$8&gt;=19,FORSIDE!$F$8&gt;=9,FORSIDE!$B$5&gt;=4),"S2084","")</f>
        <v/>
      </c>
      <c r="B2085" t="str">
        <f>IF(AND(FORSIDE!$B$8&gt;=19,FORSIDE!$F$8&gt;=9,FORSIDE!$B$5&gt;=4),"2292 -&gt; 2293","")</f>
        <v/>
      </c>
      <c r="C2085" t="str">
        <f>FORSIDE!$C$4</f>
        <v>S355, Stål / KFHUP 180x180x12.5</v>
      </c>
    </row>
    <row r="2086" spans="1:3" x14ac:dyDescent="0.3">
      <c r="A2086" t="str">
        <f>IF(AND(FORSIDE!$B$8&gt;=19,FORSIDE!$F$8&gt;=9,FORSIDE!$B$5&gt;=5),"S2085","")</f>
        <v/>
      </c>
      <c r="B2086" t="str">
        <f>IF(AND(FORSIDE!$B$8&gt;=19,FORSIDE!$F$8&gt;=9,FORSIDE!$B$5&gt;=5),"2293 -&gt; 2294","")</f>
        <v/>
      </c>
      <c r="C2086" t="str">
        <f>FORSIDE!$C$4</f>
        <v>S355, Stål / KFHUP 180x180x12.5</v>
      </c>
    </row>
    <row r="2087" spans="1:3" x14ac:dyDescent="0.3">
      <c r="A2087" t="str">
        <f>IF(AND(FORSIDE!$B$8&gt;=19,FORSIDE!$F$8&gt;=9,FORSIDE!$B$5&gt;=6),"S2086","")</f>
        <v/>
      </c>
      <c r="B2087" t="str">
        <f>IF(AND(FORSIDE!$B$8&gt;=19,FORSIDE!$F$8&gt;=9,FORSIDE!$B$5&gt;=6),"2294 -&gt; 2295","")</f>
        <v/>
      </c>
      <c r="C2087" t="str">
        <f>FORSIDE!$C$4</f>
        <v>S355, Stål / KFHUP 180x180x12.5</v>
      </c>
    </row>
    <row r="2088" spans="1:3" x14ac:dyDescent="0.3">
      <c r="A2088" t="str">
        <f>IF(AND(FORSIDE!$B$8&gt;=19,FORSIDE!$F$8&gt;=9,FORSIDE!$B$5&gt;=7),"S2087","")</f>
        <v/>
      </c>
      <c r="B2088" t="str">
        <f>IF(AND(FORSIDE!$B$8&gt;=19,FORSIDE!$F$8&gt;=9,FORSIDE!$B$5&gt;=7),"2295 -&gt; 2296","")</f>
        <v/>
      </c>
      <c r="C2088" t="str">
        <f>FORSIDE!$C$4</f>
        <v>S355, Stål / KFHUP 180x180x12.5</v>
      </c>
    </row>
    <row r="2089" spans="1:3" x14ac:dyDescent="0.3">
      <c r="A2089" t="str">
        <f>IF(AND(FORSIDE!$B$8&gt;=19,FORSIDE!$F$8&gt;=9,FORSIDE!$B$5&gt;=8),"S2088","")</f>
        <v/>
      </c>
      <c r="B2089" t="str">
        <f>IF(AND(FORSIDE!$B$8&gt;=19,FORSIDE!$F$8&gt;=9,FORSIDE!$B$5&gt;=8),"2296 -&gt; 2297","")</f>
        <v/>
      </c>
      <c r="C2089" t="str">
        <f>FORSIDE!$C$4</f>
        <v>S355, Stål / KFHUP 180x180x12.5</v>
      </c>
    </row>
    <row r="2090" spans="1:3" x14ac:dyDescent="0.3">
      <c r="A2090" t="str">
        <f>IF(AND(FORSIDE!$B$8&gt;=19,FORSIDE!$F$8&gt;=9,FORSIDE!$B$5&gt;=9),"S2089","")</f>
        <v/>
      </c>
      <c r="B2090" t="str">
        <f>IF(AND(FORSIDE!$B$8&gt;=19,FORSIDE!$F$8&gt;=9,FORSIDE!$B$5&gt;=9),"2297 -&gt; 2298","")</f>
        <v/>
      </c>
      <c r="C2090" t="str">
        <f>FORSIDE!$C$4</f>
        <v>S355, Stål / KFHUP 180x180x12.5</v>
      </c>
    </row>
    <row r="2091" spans="1:3" x14ac:dyDescent="0.3">
      <c r="A2091" t="str">
        <f>IF(AND(FORSIDE!$B$8&gt;=19,FORSIDE!$F$8&gt;=9,FORSIDE!$B$5&gt;=10),"S2090","")</f>
        <v/>
      </c>
      <c r="B2091" t="str">
        <f>IF(AND(FORSIDE!$B$8&gt;=19,FORSIDE!$F$8&gt;=9,FORSIDE!$B$5&gt;=10),"2298 -&gt; 2299","")</f>
        <v/>
      </c>
      <c r="C2091" t="str">
        <f>FORSIDE!$C$4</f>
        <v>S355, Stål / KFHUP 180x180x12.5</v>
      </c>
    </row>
    <row r="2092" spans="1:3" x14ac:dyDescent="0.3">
      <c r="A2092" t="str">
        <f>IF(AND(FORSIDE!$B$8&gt;=20,FORSIDE!$F$8&gt;=9,FORSIDE!$B$5&gt;=1),"S2091","")</f>
        <v/>
      </c>
      <c r="B2092" t="str">
        <f>IF(AND(FORSIDE!$B$8&gt;=20,FORSIDE!$F$8&gt;=9,FORSIDE!$B$5&gt;=1),"2300 -&gt; 2301","")</f>
        <v/>
      </c>
      <c r="C2092" t="str">
        <f>FORSIDE!$C$4</f>
        <v>S355, Stål / KFHUP 180x180x12.5</v>
      </c>
    </row>
    <row r="2093" spans="1:3" x14ac:dyDescent="0.3">
      <c r="A2093" t="str">
        <f>IF(AND(FORSIDE!$B$8&gt;=20,FORSIDE!$F$8&gt;=9,FORSIDE!$B$5&gt;=2),"S2092","")</f>
        <v/>
      </c>
      <c r="B2093" t="str">
        <f>IF(AND(FORSIDE!$B$8&gt;=20,FORSIDE!$F$8&gt;=9,FORSIDE!$B$5&gt;=2),"2301 -&gt; 2302","")</f>
        <v/>
      </c>
      <c r="C2093" t="str">
        <f>FORSIDE!$C$4</f>
        <v>S355, Stål / KFHUP 180x180x12.5</v>
      </c>
    </row>
    <row r="2094" spans="1:3" x14ac:dyDescent="0.3">
      <c r="A2094" t="str">
        <f>IF(AND(FORSIDE!$B$8&gt;=20,FORSIDE!$F$8&gt;=9,FORSIDE!$B$5&gt;=3),"S2093","")</f>
        <v/>
      </c>
      <c r="B2094" t="str">
        <f>IF(AND(FORSIDE!$B$8&gt;=20,FORSIDE!$F$8&gt;=9,FORSIDE!$B$5&gt;=3),"2302 -&gt; 2303","")</f>
        <v/>
      </c>
      <c r="C2094" t="str">
        <f>FORSIDE!$C$4</f>
        <v>S355, Stål / KFHUP 180x180x12.5</v>
      </c>
    </row>
    <row r="2095" spans="1:3" x14ac:dyDescent="0.3">
      <c r="A2095" t="str">
        <f>IF(AND(FORSIDE!$B$8&gt;=20,FORSIDE!$F$8&gt;=9,FORSIDE!$B$5&gt;=4),"S2094","")</f>
        <v/>
      </c>
      <c r="B2095" t="str">
        <f>IF(AND(FORSIDE!$B$8&gt;=20,FORSIDE!$F$8&gt;=9,FORSIDE!$B$5&gt;=4),"2303 -&gt; 2304","")</f>
        <v/>
      </c>
      <c r="C2095" t="str">
        <f>FORSIDE!$C$4</f>
        <v>S355, Stål / KFHUP 180x180x12.5</v>
      </c>
    </row>
    <row r="2096" spans="1:3" x14ac:dyDescent="0.3">
      <c r="A2096" t="str">
        <f>IF(AND(FORSIDE!$B$8&gt;=20,FORSIDE!$F$8&gt;=9,FORSIDE!$B$5&gt;=5),"S2095","")</f>
        <v/>
      </c>
      <c r="B2096" t="str">
        <f>IF(AND(FORSIDE!$B$8&gt;=20,FORSIDE!$F$8&gt;=9,FORSIDE!$B$5&gt;=5),"2304 -&gt; 2305","")</f>
        <v/>
      </c>
      <c r="C2096" t="str">
        <f>FORSIDE!$C$4</f>
        <v>S355, Stål / KFHUP 180x180x12.5</v>
      </c>
    </row>
    <row r="2097" spans="1:3" x14ac:dyDescent="0.3">
      <c r="A2097" t="str">
        <f>IF(AND(FORSIDE!$B$8&gt;=20,FORSIDE!$F$8&gt;=9,FORSIDE!$B$5&gt;=6),"S2096","")</f>
        <v/>
      </c>
      <c r="B2097" t="str">
        <f>IF(AND(FORSIDE!$B$8&gt;=20,FORSIDE!$F$8&gt;=9,FORSIDE!$B$5&gt;=6),"2305 -&gt; 2306","")</f>
        <v/>
      </c>
      <c r="C2097" t="str">
        <f>FORSIDE!$C$4</f>
        <v>S355, Stål / KFHUP 180x180x12.5</v>
      </c>
    </row>
    <row r="2098" spans="1:3" x14ac:dyDescent="0.3">
      <c r="A2098" t="str">
        <f>IF(AND(FORSIDE!$B$8&gt;=20,FORSIDE!$F$8&gt;=9,FORSIDE!$B$5&gt;=7),"S2097","")</f>
        <v/>
      </c>
      <c r="B2098" t="str">
        <f>IF(AND(FORSIDE!$B$8&gt;=20,FORSIDE!$F$8&gt;=9,FORSIDE!$B$5&gt;=7),"2306 -&gt; 2307","")</f>
        <v/>
      </c>
      <c r="C2098" t="str">
        <f>FORSIDE!$C$4</f>
        <v>S355, Stål / KFHUP 180x180x12.5</v>
      </c>
    </row>
    <row r="2099" spans="1:3" x14ac:dyDescent="0.3">
      <c r="A2099" t="str">
        <f>IF(AND(FORSIDE!$B$8&gt;=20,FORSIDE!$F$8&gt;=9,FORSIDE!$B$5&gt;=8),"S2098","")</f>
        <v/>
      </c>
      <c r="B2099" t="str">
        <f>IF(AND(FORSIDE!$B$8&gt;=20,FORSIDE!$F$8&gt;=9,FORSIDE!$B$5&gt;=8),"2307 -&gt; 2308","")</f>
        <v/>
      </c>
      <c r="C2099" t="str">
        <f>FORSIDE!$C$4</f>
        <v>S355, Stål / KFHUP 180x180x12.5</v>
      </c>
    </row>
    <row r="2100" spans="1:3" x14ac:dyDescent="0.3">
      <c r="A2100" t="str">
        <f>IF(AND(FORSIDE!$B$8&gt;=20,FORSIDE!$F$8&gt;=9,FORSIDE!$B$5&gt;=9),"S2099","")</f>
        <v/>
      </c>
      <c r="B2100" t="str">
        <f>IF(AND(FORSIDE!$B$8&gt;=20,FORSIDE!$F$8&gt;=9,FORSIDE!$B$5&gt;=9),"2308 -&gt; 2309","")</f>
        <v/>
      </c>
      <c r="C2100" t="str">
        <f>FORSIDE!$C$4</f>
        <v>S355, Stål / KFHUP 180x180x12.5</v>
      </c>
    </row>
    <row r="2101" spans="1:3" x14ac:dyDescent="0.3">
      <c r="A2101" t="str">
        <f>IF(AND(FORSIDE!$B$8&gt;=20,FORSIDE!$F$8&gt;=9,FORSIDE!$B$5&gt;=10),"S2100","")</f>
        <v/>
      </c>
      <c r="B2101" t="str">
        <f>IF(AND(FORSIDE!$B$8&gt;=20,FORSIDE!$F$8&gt;=9,FORSIDE!$B$5&gt;=10),"2309 -&gt; 2310","")</f>
        <v/>
      </c>
      <c r="C2101" t="str">
        <f>FORSIDE!$C$4</f>
        <v>S355, Stål / KFHUP 180x180x12.5</v>
      </c>
    </row>
    <row r="2102" spans="1:3" x14ac:dyDescent="0.3">
      <c r="A2102" t="str">
        <f>IF(AND(FORSIDE!$B$8&gt;=0,FORSIDE!$F$8&gt;=10,FORSIDE!$B$5&gt;=1),"S2101","")</f>
        <v/>
      </c>
      <c r="B2102" t="str">
        <f>IF(AND(FORSIDE!$B$8&gt;=0,FORSIDE!$F$8&gt;=10,FORSIDE!$B$5&gt;=1),"2311 -&gt; 2312","")</f>
        <v/>
      </c>
      <c r="C2102" t="str">
        <f>FORSIDE!$C$4</f>
        <v>S355, Stål / KFHUP 180x180x12.5</v>
      </c>
    </row>
    <row r="2103" spans="1:3" x14ac:dyDescent="0.3">
      <c r="A2103" t="str">
        <f>IF(AND(FORSIDE!$B$8&gt;=0,FORSIDE!$F$8&gt;=10,FORSIDE!$B$5&gt;=2),"S2102","")</f>
        <v/>
      </c>
      <c r="B2103" t="str">
        <f>IF(AND(FORSIDE!$B$8&gt;=0,FORSIDE!$F$8&gt;=10,FORSIDE!$B$5&gt;=2),"2312 -&gt; 2313","")</f>
        <v/>
      </c>
      <c r="C2103" t="str">
        <f>FORSIDE!$C$4</f>
        <v>S355, Stål / KFHUP 180x180x12.5</v>
      </c>
    </row>
    <row r="2104" spans="1:3" x14ac:dyDescent="0.3">
      <c r="A2104" t="str">
        <f>IF(AND(FORSIDE!$B$8&gt;=0,FORSIDE!$F$8&gt;=10,FORSIDE!$B$5&gt;=3),"S2103","")</f>
        <v/>
      </c>
      <c r="B2104" t="str">
        <f>IF(AND(FORSIDE!$B$8&gt;=0,FORSIDE!$F$8&gt;=10,FORSIDE!$B$5&gt;=3),"2313 -&gt; 2314","")</f>
        <v/>
      </c>
      <c r="C2104" t="str">
        <f>FORSIDE!$C$4</f>
        <v>S355, Stål / KFHUP 180x180x12.5</v>
      </c>
    </row>
    <row r="2105" spans="1:3" x14ac:dyDescent="0.3">
      <c r="A2105" t="str">
        <f>IF(AND(FORSIDE!$B$8&gt;=0,FORSIDE!$F$8&gt;=10,FORSIDE!$B$5&gt;=4),"S2104","")</f>
        <v/>
      </c>
      <c r="B2105" t="str">
        <f>IF(AND(FORSIDE!$B$8&gt;=0,FORSIDE!$F$8&gt;=10,FORSIDE!$B$5&gt;=4),"2314 -&gt; 2315","")</f>
        <v/>
      </c>
      <c r="C2105" t="str">
        <f>FORSIDE!$C$4</f>
        <v>S355, Stål / KFHUP 180x180x12.5</v>
      </c>
    </row>
    <row r="2106" spans="1:3" x14ac:dyDescent="0.3">
      <c r="A2106" t="str">
        <f>IF(AND(FORSIDE!$B$8&gt;=0,FORSIDE!$F$8&gt;=10,FORSIDE!$B$5&gt;=5),"S2105","")</f>
        <v/>
      </c>
      <c r="B2106" t="str">
        <f>IF(AND(FORSIDE!$B$8&gt;=0,FORSIDE!$F$8&gt;=10,FORSIDE!$B$5&gt;=5),"2315 -&gt; 2316","")</f>
        <v/>
      </c>
      <c r="C2106" t="str">
        <f>FORSIDE!$C$4</f>
        <v>S355, Stål / KFHUP 180x180x12.5</v>
      </c>
    </row>
    <row r="2107" spans="1:3" x14ac:dyDescent="0.3">
      <c r="A2107" t="str">
        <f>IF(AND(FORSIDE!$B$8&gt;=0,FORSIDE!$F$8&gt;=10,FORSIDE!$B$5&gt;=6),"S2106","")</f>
        <v/>
      </c>
      <c r="B2107" t="str">
        <f>IF(AND(FORSIDE!$B$8&gt;=0,FORSIDE!$F$8&gt;=10,FORSIDE!$B$5&gt;=6),"2316 -&gt; 2317","")</f>
        <v/>
      </c>
      <c r="C2107" t="str">
        <f>FORSIDE!$C$4</f>
        <v>S355, Stål / KFHUP 180x180x12.5</v>
      </c>
    </row>
    <row r="2108" spans="1:3" x14ac:dyDescent="0.3">
      <c r="A2108" t="str">
        <f>IF(AND(FORSIDE!$B$8&gt;=0,FORSIDE!$F$8&gt;=10,FORSIDE!$B$5&gt;=7),"S2107","")</f>
        <v/>
      </c>
      <c r="B2108" t="str">
        <f>IF(AND(FORSIDE!$B$8&gt;=0,FORSIDE!$F$8&gt;=10,FORSIDE!$B$5&gt;=7),"2317 -&gt; 2318","")</f>
        <v/>
      </c>
      <c r="C2108" t="str">
        <f>FORSIDE!$C$4</f>
        <v>S355, Stål / KFHUP 180x180x12.5</v>
      </c>
    </row>
    <row r="2109" spans="1:3" x14ac:dyDescent="0.3">
      <c r="A2109" t="str">
        <f>IF(AND(FORSIDE!$B$8&gt;=0,FORSIDE!$F$8&gt;=10,FORSIDE!$B$5&gt;=8),"S2108","")</f>
        <v/>
      </c>
      <c r="B2109" t="str">
        <f>IF(AND(FORSIDE!$B$8&gt;=0,FORSIDE!$F$8&gt;=10,FORSIDE!$B$5&gt;=8),"2318 -&gt; 2319","")</f>
        <v/>
      </c>
      <c r="C2109" t="str">
        <f>FORSIDE!$C$4</f>
        <v>S355, Stål / KFHUP 180x180x12.5</v>
      </c>
    </row>
    <row r="2110" spans="1:3" x14ac:dyDescent="0.3">
      <c r="A2110" t="str">
        <f>IF(AND(FORSIDE!$B$8&gt;=0,FORSIDE!$F$8&gt;=10,FORSIDE!$B$5&gt;=9),"S2109","")</f>
        <v/>
      </c>
      <c r="B2110" t="str">
        <f>IF(AND(FORSIDE!$B$8&gt;=0,FORSIDE!$F$8&gt;=10,FORSIDE!$B$5&gt;=9),"2319 -&gt; 2320","")</f>
        <v/>
      </c>
      <c r="C2110" t="str">
        <f>FORSIDE!$C$4</f>
        <v>S355, Stål / KFHUP 180x180x12.5</v>
      </c>
    </row>
    <row r="2111" spans="1:3" x14ac:dyDescent="0.3">
      <c r="A2111" t="str">
        <f>IF(AND(FORSIDE!$B$8&gt;=0,FORSIDE!$F$8&gt;=10,FORSIDE!$B$5&gt;=10),"S2110","")</f>
        <v/>
      </c>
      <c r="B2111" t="str">
        <f>IF(AND(FORSIDE!$B$8&gt;=0,FORSIDE!$F$8&gt;=10,FORSIDE!$B$5&gt;=10),"2320 -&gt; 2321","")</f>
        <v/>
      </c>
      <c r="C2111" t="str">
        <f>FORSIDE!$C$4</f>
        <v>S355, Stål / KFHUP 180x180x12.5</v>
      </c>
    </row>
    <row r="2112" spans="1:3" x14ac:dyDescent="0.3">
      <c r="A2112" t="str">
        <f>IF(AND(FORSIDE!$B$8&gt;=1,FORSIDE!$F$8&gt;=10,FORSIDE!$B$5&gt;=1),"S2111","")</f>
        <v/>
      </c>
      <c r="B2112" t="str">
        <f>IF(AND(FORSIDE!$B$8&gt;=1,FORSIDE!$F$8&gt;=10,FORSIDE!$B$5&gt;=1),"2322 -&gt; 2323","")</f>
        <v/>
      </c>
      <c r="C2112" t="str">
        <f>FORSIDE!$C$4</f>
        <v>S355, Stål / KFHUP 180x180x12.5</v>
      </c>
    </row>
    <row r="2113" spans="1:3" x14ac:dyDescent="0.3">
      <c r="A2113" t="str">
        <f>IF(AND(FORSIDE!$B$8&gt;=1,FORSIDE!$F$8&gt;=10,FORSIDE!$B$5&gt;=2),"S2112","")</f>
        <v/>
      </c>
      <c r="B2113" t="str">
        <f>IF(AND(FORSIDE!$B$8&gt;=1,FORSIDE!$F$8&gt;=10,FORSIDE!$B$5&gt;=2),"2323 -&gt; 2324","")</f>
        <v/>
      </c>
      <c r="C2113" t="str">
        <f>FORSIDE!$C$4</f>
        <v>S355, Stål / KFHUP 180x180x12.5</v>
      </c>
    </row>
    <row r="2114" spans="1:3" x14ac:dyDescent="0.3">
      <c r="A2114" t="str">
        <f>IF(AND(FORSIDE!$B$8&gt;=1,FORSIDE!$F$8&gt;=10,FORSIDE!$B$5&gt;=3),"S2113","")</f>
        <v/>
      </c>
      <c r="B2114" t="str">
        <f>IF(AND(FORSIDE!$B$8&gt;=1,FORSIDE!$F$8&gt;=10,FORSIDE!$B$5&gt;=3),"2324 -&gt; 2325","")</f>
        <v/>
      </c>
      <c r="C2114" t="str">
        <f>FORSIDE!$C$4</f>
        <v>S355, Stål / KFHUP 180x180x12.5</v>
      </c>
    </row>
    <row r="2115" spans="1:3" x14ac:dyDescent="0.3">
      <c r="A2115" t="str">
        <f>IF(AND(FORSIDE!$B$8&gt;=1,FORSIDE!$F$8&gt;=10,FORSIDE!$B$5&gt;=4),"S2114","")</f>
        <v/>
      </c>
      <c r="B2115" t="str">
        <f>IF(AND(FORSIDE!$B$8&gt;=1,FORSIDE!$F$8&gt;=10,FORSIDE!$B$5&gt;=4),"2325 -&gt; 2326","")</f>
        <v/>
      </c>
      <c r="C2115" t="str">
        <f>FORSIDE!$C$4</f>
        <v>S355, Stål / KFHUP 180x180x12.5</v>
      </c>
    </row>
    <row r="2116" spans="1:3" x14ac:dyDescent="0.3">
      <c r="A2116" t="str">
        <f>IF(AND(FORSIDE!$B$8&gt;=1,FORSIDE!$F$8&gt;=10,FORSIDE!$B$5&gt;=5),"S2115","")</f>
        <v/>
      </c>
      <c r="B2116" t="str">
        <f>IF(AND(FORSIDE!$B$8&gt;=1,FORSIDE!$F$8&gt;=10,FORSIDE!$B$5&gt;=5),"2326 -&gt; 2327","")</f>
        <v/>
      </c>
      <c r="C2116" t="str">
        <f>FORSIDE!$C$4</f>
        <v>S355, Stål / KFHUP 180x180x12.5</v>
      </c>
    </row>
    <row r="2117" spans="1:3" x14ac:dyDescent="0.3">
      <c r="A2117" t="str">
        <f>IF(AND(FORSIDE!$B$8&gt;=1,FORSIDE!$F$8&gt;=10,FORSIDE!$B$5&gt;=6),"S2116","")</f>
        <v/>
      </c>
      <c r="B2117" t="str">
        <f>IF(AND(FORSIDE!$B$8&gt;=1,FORSIDE!$F$8&gt;=10,FORSIDE!$B$5&gt;=6),"2327 -&gt; 2328","")</f>
        <v/>
      </c>
      <c r="C2117" t="str">
        <f>FORSIDE!$C$4</f>
        <v>S355, Stål / KFHUP 180x180x12.5</v>
      </c>
    </row>
    <row r="2118" spans="1:3" x14ac:dyDescent="0.3">
      <c r="A2118" t="str">
        <f>IF(AND(FORSIDE!$B$8&gt;=1,FORSIDE!$F$8&gt;=10,FORSIDE!$B$5&gt;=7),"S2117","")</f>
        <v/>
      </c>
      <c r="B2118" t="str">
        <f>IF(AND(FORSIDE!$B$8&gt;=1,FORSIDE!$F$8&gt;=10,FORSIDE!$B$5&gt;=7),"2328 -&gt; 2329","")</f>
        <v/>
      </c>
      <c r="C2118" t="str">
        <f>FORSIDE!$C$4</f>
        <v>S355, Stål / KFHUP 180x180x12.5</v>
      </c>
    </row>
    <row r="2119" spans="1:3" x14ac:dyDescent="0.3">
      <c r="A2119" t="str">
        <f>IF(AND(FORSIDE!$B$8&gt;=1,FORSIDE!$F$8&gt;=10,FORSIDE!$B$5&gt;=8),"S2118","")</f>
        <v/>
      </c>
      <c r="B2119" t="str">
        <f>IF(AND(FORSIDE!$B$8&gt;=1,FORSIDE!$F$8&gt;=10,FORSIDE!$B$5&gt;=8),"2329 -&gt; 2330","")</f>
        <v/>
      </c>
      <c r="C2119" t="str">
        <f>FORSIDE!$C$4</f>
        <v>S355, Stål / KFHUP 180x180x12.5</v>
      </c>
    </row>
    <row r="2120" spans="1:3" x14ac:dyDescent="0.3">
      <c r="A2120" t="str">
        <f>IF(AND(FORSIDE!$B$8&gt;=1,FORSIDE!$F$8&gt;=10,FORSIDE!$B$5&gt;=9),"S2119","")</f>
        <v/>
      </c>
      <c r="B2120" t="str">
        <f>IF(AND(FORSIDE!$B$8&gt;=1,FORSIDE!$F$8&gt;=10,FORSIDE!$B$5&gt;=9),"2330 -&gt; 2331","")</f>
        <v/>
      </c>
      <c r="C2120" t="str">
        <f>FORSIDE!$C$4</f>
        <v>S355, Stål / KFHUP 180x180x12.5</v>
      </c>
    </row>
    <row r="2121" spans="1:3" x14ac:dyDescent="0.3">
      <c r="A2121" t="str">
        <f>IF(AND(FORSIDE!$B$8&gt;=1,FORSIDE!$F$8&gt;=10,FORSIDE!$B$5&gt;=10),"S2120","")</f>
        <v/>
      </c>
      <c r="B2121" t="str">
        <f>IF(AND(FORSIDE!$B$8&gt;=1,FORSIDE!$F$8&gt;=10,FORSIDE!$B$5&gt;=10),"2331 -&gt; 2332","")</f>
        <v/>
      </c>
      <c r="C2121" t="str">
        <f>FORSIDE!$C$4</f>
        <v>S355, Stål / KFHUP 180x180x12.5</v>
      </c>
    </row>
    <row r="2122" spans="1:3" x14ac:dyDescent="0.3">
      <c r="A2122" t="str">
        <f>IF(AND(FORSIDE!$B$8&gt;=2,FORSIDE!$F$8&gt;=10,FORSIDE!$B$5&gt;=1),"S2121","")</f>
        <v/>
      </c>
      <c r="B2122" t="str">
        <f>IF(AND(FORSIDE!$B$8&gt;=2,FORSIDE!$F$8&gt;=10,FORSIDE!$B$5&gt;=1),"2333 -&gt; 2334","")</f>
        <v/>
      </c>
      <c r="C2122" t="str">
        <f>FORSIDE!$C$4</f>
        <v>S355, Stål / KFHUP 180x180x12.5</v>
      </c>
    </row>
    <row r="2123" spans="1:3" x14ac:dyDescent="0.3">
      <c r="A2123" t="str">
        <f>IF(AND(FORSIDE!$B$8&gt;=2,FORSIDE!$F$8&gt;=10,FORSIDE!$B$5&gt;=2),"S2122","")</f>
        <v/>
      </c>
      <c r="B2123" t="str">
        <f>IF(AND(FORSIDE!$B$8&gt;=2,FORSIDE!$F$8&gt;=10,FORSIDE!$B$5&gt;=2),"2334 -&gt; 2335","")</f>
        <v/>
      </c>
      <c r="C2123" t="str">
        <f>FORSIDE!$C$4</f>
        <v>S355, Stål / KFHUP 180x180x12.5</v>
      </c>
    </row>
    <row r="2124" spans="1:3" x14ac:dyDescent="0.3">
      <c r="A2124" t="str">
        <f>IF(AND(FORSIDE!$B$8&gt;=2,FORSIDE!$F$8&gt;=10,FORSIDE!$B$5&gt;=3),"S2123","")</f>
        <v/>
      </c>
      <c r="B2124" t="str">
        <f>IF(AND(FORSIDE!$B$8&gt;=2,FORSIDE!$F$8&gt;=10,FORSIDE!$B$5&gt;=3),"2335 -&gt; 2336","")</f>
        <v/>
      </c>
      <c r="C2124" t="str">
        <f>FORSIDE!$C$4</f>
        <v>S355, Stål / KFHUP 180x180x12.5</v>
      </c>
    </row>
    <row r="2125" spans="1:3" x14ac:dyDescent="0.3">
      <c r="A2125" t="str">
        <f>IF(AND(FORSIDE!$B$8&gt;=2,FORSIDE!$F$8&gt;=10,FORSIDE!$B$5&gt;=4),"S2124","")</f>
        <v/>
      </c>
      <c r="B2125" t="str">
        <f>IF(AND(FORSIDE!$B$8&gt;=2,FORSIDE!$F$8&gt;=10,FORSIDE!$B$5&gt;=4),"2336 -&gt; 2337","")</f>
        <v/>
      </c>
      <c r="C2125" t="str">
        <f>FORSIDE!$C$4</f>
        <v>S355, Stål / KFHUP 180x180x12.5</v>
      </c>
    </row>
    <row r="2126" spans="1:3" x14ac:dyDescent="0.3">
      <c r="A2126" t="str">
        <f>IF(AND(FORSIDE!$B$8&gt;=2,FORSIDE!$F$8&gt;=10,FORSIDE!$B$5&gt;=5),"S2125","")</f>
        <v/>
      </c>
      <c r="B2126" t="str">
        <f>IF(AND(FORSIDE!$B$8&gt;=2,FORSIDE!$F$8&gt;=10,FORSIDE!$B$5&gt;=5),"2337 -&gt; 2338","")</f>
        <v/>
      </c>
      <c r="C2126" t="str">
        <f>FORSIDE!$C$4</f>
        <v>S355, Stål / KFHUP 180x180x12.5</v>
      </c>
    </row>
    <row r="2127" spans="1:3" x14ac:dyDescent="0.3">
      <c r="A2127" t="str">
        <f>IF(AND(FORSIDE!$B$8&gt;=2,FORSIDE!$F$8&gt;=10,FORSIDE!$B$5&gt;=6),"S2126","")</f>
        <v/>
      </c>
      <c r="B2127" t="str">
        <f>IF(AND(FORSIDE!$B$8&gt;=2,FORSIDE!$F$8&gt;=10,FORSIDE!$B$5&gt;=6),"2338 -&gt; 2339","")</f>
        <v/>
      </c>
      <c r="C2127" t="str">
        <f>FORSIDE!$C$4</f>
        <v>S355, Stål / KFHUP 180x180x12.5</v>
      </c>
    </row>
    <row r="2128" spans="1:3" x14ac:dyDescent="0.3">
      <c r="A2128" t="str">
        <f>IF(AND(FORSIDE!$B$8&gt;=2,FORSIDE!$F$8&gt;=10,FORSIDE!$B$5&gt;=7),"S2127","")</f>
        <v/>
      </c>
      <c r="B2128" t="str">
        <f>IF(AND(FORSIDE!$B$8&gt;=2,FORSIDE!$F$8&gt;=10,FORSIDE!$B$5&gt;=7),"2339 -&gt; 2340","")</f>
        <v/>
      </c>
      <c r="C2128" t="str">
        <f>FORSIDE!$C$4</f>
        <v>S355, Stål / KFHUP 180x180x12.5</v>
      </c>
    </row>
    <row r="2129" spans="1:3" x14ac:dyDescent="0.3">
      <c r="A2129" t="str">
        <f>IF(AND(FORSIDE!$B$8&gt;=2,FORSIDE!$F$8&gt;=10,FORSIDE!$B$5&gt;=8),"S2128","")</f>
        <v/>
      </c>
      <c r="B2129" t="str">
        <f>IF(AND(FORSIDE!$B$8&gt;=2,FORSIDE!$F$8&gt;=10,FORSIDE!$B$5&gt;=8),"2340 -&gt; 2341","")</f>
        <v/>
      </c>
      <c r="C2129" t="str">
        <f>FORSIDE!$C$4</f>
        <v>S355, Stål / KFHUP 180x180x12.5</v>
      </c>
    </row>
    <row r="2130" spans="1:3" x14ac:dyDescent="0.3">
      <c r="A2130" t="str">
        <f>IF(AND(FORSIDE!$B$8&gt;=2,FORSIDE!$F$8&gt;=10,FORSIDE!$B$5&gt;=9),"S2129","")</f>
        <v/>
      </c>
      <c r="B2130" t="str">
        <f>IF(AND(FORSIDE!$B$8&gt;=2,FORSIDE!$F$8&gt;=10,FORSIDE!$B$5&gt;=9),"2341 -&gt; 2342","")</f>
        <v/>
      </c>
      <c r="C2130" t="str">
        <f>FORSIDE!$C$4</f>
        <v>S355, Stål / KFHUP 180x180x12.5</v>
      </c>
    </row>
    <row r="2131" spans="1:3" x14ac:dyDescent="0.3">
      <c r="A2131" t="str">
        <f>IF(AND(FORSIDE!$B$8&gt;=2,FORSIDE!$F$8&gt;=10,FORSIDE!$B$5&gt;=10),"S2130","")</f>
        <v/>
      </c>
      <c r="B2131" t="str">
        <f>IF(AND(FORSIDE!$B$8&gt;=2,FORSIDE!$F$8&gt;=10,FORSIDE!$B$5&gt;=10),"2342 -&gt; 2343","")</f>
        <v/>
      </c>
      <c r="C2131" t="str">
        <f>FORSIDE!$C$4</f>
        <v>S355, Stål / KFHUP 180x180x12.5</v>
      </c>
    </row>
    <row r="2132" spans="1:3" x14ac:dyDescent="0.3">
      <c r="A2132" t="str">
        <f>IF(AND(FORSIDE!$B$8&gt;=3,FORSIDE!$F$8&gt;=10,FORSIDE!$B$5&gt;=1),"S2131","")</f>
        <v/>
      </c>
      <c r="B2132" t="str">
        <f>IF(AND(FORSIDE!$B$8&gt;=3,FORSIDE!$F$8&gt;=10,FORSIDE!$B$5&gt;=1),"2344 -&gt; 2345","")</f>
        <v/>
      </c>
      <c r="C2132" t="str">
        <f>FORSIDE!$C$4</f>
        <v>S355, Stål / KFHUP 180x180x12.5</v>
      </c>
    </row>
    <row r="2133" spans="1:3" x14ac:dyDescent="0.3">
      <c r="A2133" t="str">
        <f>IF(AND(FORSIDE!$B$8&gt;=3,FORSIDE!$F$8&gt;=10,FORSIDE!$B$5&gt;=2),"S2132","")</f>
        <v/>
      </c>
      <c r="B2133" t="str">
        <f>IF(AND(FORSIDE!$B$8&gt;=3,FORSIDE!$F$8&gt;=10,FORSIDE!$B$5&gt;=2),"2345 -&gt; 2346","")</f>
        <v/>
      </c>
      <c r="C2133" t="str">
        <f>FORSIDE!$C$4</f>
        <v>S355, Stål / KFHUP 180x180x12.5</v>
      </c>
    </row>
    <row r="2134" spans="1:3" x14ac:dyDescent="0.3">
      <c r="A2134" t="str">
        <f>IF(AND(FORSIDE!$B$8&gt;=3,FORSIDE!$F$8&gt;=10,FORSIDE!$B$5&gt;=3),"S2133","")</f>
        <v/>
      </c>
      <c r="B2134" t="str">
        <f>IF(AND(FORSIDE!$B$8&gt;=3,FORSIDE!$F$8&gt;=10,FORSIDE!$B$5&gt;=3),"2346 -&gt; 2347","")</f>
        <v/>
      </c>
      <c r="C2134" t="str">
        <f>FORSIDE!$C$4</f>
        <v>S355, Stål / KFHUP 180x180x12.5</v>
      </c>
    </row>
    <row r="2135" spans="1:3" x14ac:dyDescent="0.3">
      <c r="A2135" t="str">
        <f>IF(AND(FORSIDE!$B$8&gt;=3,FORSIDE!$F$8&gt;=10,FORSIDE!$B$5&gt;=4),"S2134","")</f>
        <v/>
      </c>
      <c r="B2135" t="str">
        <f>IF(AND(FORSIDE!$B$8&gt;=3,FORSIDE!$F$8&gt;=10,FORSIDE!$B$5&gt;=4),"2347 -&gt; 2348","")</f>
        <v/>
      </c>
      <c r="C2135" t="str">
        <f>FORSIDE!$C$4</f>
        <v>S355, Stål / KFHUP 180x180x12.5</v>
      </c>
    </row>
    <row r="2136" spans="1:3" x14ac:dyDescent="0.3">
      <c r="A2136" t="str">
        <f>IF(AND(FORSIDE!$B$8&gt;=3,FORSIDE!$F$8&gt;=10,FORSIDE!$B$5&gt;=5),"S2135","")</f>
        <v/>
      </c>
      <c r="B2136" t="str">
        <f>IF(AND(FORSIDE!$B$8&gt;=3,FORSIDE!$F$8&gt;=10,FORSIDE!$B$5&gt;=5),"2348 -&gt; 2349","")</f>
        <v/>
      </c>
      <c r="C2136" t="str">
        <f>FORSIDE!$C$4</f>
        <v>S355, Stål / KFHUP 180x180x12.5</v>
      </c>
    </row>
    <row r="2137" spans="1:3" x14ac:dyDescent="0.3">
      <c r="A2137" t="str">
        <f>IF(AND(FORSIDE!$B$8&gt;=3,FORSIDE!$F$8&gt;=10,FORSIDE!$B$5&gt;=6),"S2136","")</f>
        <v/>
      </c>
      <c r="B2137" t="str">
        <f>IF(AND(FORSIDE!$B$8&gt;=3,FORSIDE!$F$8&gt;=10,FORSIDE!$B$5&gt;=6),"2349 -&gt; 2350","")</f>
        <v/>
      </c>
      <c r="C2137" t="str">
        <f>FORSIDE!$C$4</f>
        <v>S355, Stål / KFHUP 180x180x12.5</v>
      </c>
    </row>
    <row r="2138" spans="1:3" x14ac:dyDescent="0.3">
      <c r="A2138" t="str">
        <f>IF(AND(FORSIDE!$B$8&gt;=3,FORSIDE!$F$8&gt;=10,FORSIDE!$B$5&gt;=7),"S2137","")</f>
        <v/>
      </c>
      <c r="B2138" t="str">
        <f>IF(AND(FORSIDE!$B$8&gt;=3,FORSIDE!$F$8&gt;=10,FORSIDE!$B$5&gt;=7),"2350 -&gt; 2351","")</f>
        <v/>
      </c>
      <c r="C2138" t="str">
        <f>FORSIDE!$C$4</f>
        <v>S355, Stål / KFHUP 180x180x12.5</v>
      </c>
    </row>
    <row r="2139" spans="1:3" x14ac:dyDescent="0.3">
      <c r="A2139" t="str">
        <f>IF(AND(FORSIDE!$B$8&gt;=3,FORSIDE!$F$8&gt;=10,FORSIDE!$B$5&gt;=8),"S2138","")</f>
        <v/>
      </c>
      <c r="B2139" t="str">
        <f>IF(AND(FORSIDE!$B$8&gt;=3,FORSIDE!$F$8&gt;=10,FORSIDE!$B$5&gt;=8),"2351 -&gt; 2352","")</f>
        <v/>
      </c>
      <c r="C2139" t="str">
        <f>FORSIDE!$C$4</f>
        <v>S355, Stål / KFHUP 180x180x12.5</v>
      </c>
    </row>
    <row r="2140" spans="1:3" x14ac:dyDescent="0.3">
      <c r="A2140" t="str">
        <f>IF(AND(FORSIDE!$B$8&gt;=3,FORSIDE!$F$8&gt;=10,FORSIDE!$B$5&gt;=9),"S2139","")</f>
        <v/>
      </c>
      <c r="B2140" t="str">
        <f>IF(AND(FORSIDE!$B$8&gt;=3,FORSIDE!$F$8&gt;=10,FORSIDE!$B$5&gt;=9),"2352 -&gt; 2353","")</f>
        <v/>
      </c>
      <c r="C2140" t="str">
        <f>FORSIDE!$C$4</f>
        <v>S355, Stål / KFHUP 180x180x12.5</v>
      </c>
    </row>
    <row r="2141" spans="1:3" x14ac:dyDescent="0.3">
      <c r="A2141" t="str">
        <f>IF(AND(FORSIDE!$B$8&gt;=3,FORSIDE!$F$8&gt;=10,FORSIDE!$B$5&gt;=10),"S2140","")</f>
        <v/>
      </c>
      <c r="B2141" t="str">
        <f>IF(AND(FORSIDE!$B$8&gt;=3,FORSIDE!$F$8&gt;=10,FORSIDE!$B$5&gt;=10),"2353 -&gt; 2354","")</f>
        <v/>
      </c>
      <c r="C2141" t="str">
        <f>FORSIDE!$C$4</f>
        <v>S355, Stål / KFHUP 180x180x12.5</v>
      </c>
    </row>
    <row r="2142" spans="1:3" x14ac:dyDescent="0.3">
      <c r="A2142" t="str">
        <f>IF(AND(FORSIDE!$B$8&gt;=4,FORSIDE!$F$8&gt;=10,FORSIDE!$B$5&gt;=1),"S2141","")</f>
        <v/>
      </c>
      <c r="B2142" t="str">
        <f>IF(AND(FORSIDE!$B$8&gt;=4,FORSIDE!$F$8&gt;=10,FORSIDE!$B$5&gt;=1),"2355 -&gt; 2356","")</f>
        <v/>
      </c>
      <c r="C2142" t="str">
        <f>FORSIDE!$C$4</f>
        <v>S355, Stål / KFHUP 180x180x12.5</v>
      </c>
    </row>
    <row r="2143" spans="1:3" x14ac:dyDescent="0.3">
      <c r="A2143" t="str">
        <f>IF(AND(FORSIDE!$B$8&gt;=4,FORSIDE!$F$8&gt;=10,FORSIDE!$B$5&gt;=2),"S2142","")</f>
        <v/>
      </c>
      <c r="B2143" t="str">
        <f>IF(AND(FORSIDE!$B$8&gt;=4,FORSIDE!$F$8&gt;=10,FORSIDE!$B$5&gt;=2),"2356 -&gt; 2357","")</f>
        <v/>
      </c>
      <c r="C2143" t="str">
        <f>FORSIDE!$C$4</f>
        <v>S355, Stål / KFHUP 180x180x12.5</v>
      </c>
    </row>
    <row r="2144" spans="1:3" x14ac:dyDescent="0.3">
      <c r="A2144" t="str">
        <f>IF(AND(FORSIDE!$B$8&gt;=4,FORSIDE!$F$8&gt;=10,FORSIDE!$B$5&gt;=3),"S2143","")</f>
        <v/>
      </c>
      <c r="B2144" t="str">
        <f>IF(AND(FORSIDE!$B$8&gt;=4,FORSIDE!$F$8&gt;=10,FORSIDE!$B$5&gt;=3),"2357 -&gt; 2358","")</f>
        <v/>
      </c>
      <c r="C2144" t="str">
        <f>FORSIDE!$C$4</f>
        <v>S355, Stål / KFHUP 180x180x12.5</v>
      </c>
    </row>
    <row r="2145" spans="1:3" x14ac:dyDescent="0.3">
      <c r="A2145" t="str">
        <f>IF(AND(FORSIDE!$B$8&gt;=4,FORSIDE!$F$8&gt;=10,FORSIDE!$B$5&gt;=4),"S2144","")</f>
        <v/>
      </c>
      <c r="B2145" t="str">
        <f>IF(AND(FORSIDE!$B$8&gt;=4,FORSIDE!$F$8&gt;=10,FORSIDE!$B$5&gt;=4),"2358 -&gt; 2359","")</f>
        <v/>
      </c>
      <c r="C2145" t="str">
        <f>FORSIDE!$C$4</f>
        <v>S355, Stål / KFHUP 180x180x12.5</v>
      </c>
    </row>
    <row r="2146" spans="1:3" x14ac:dyDescent="0.3">
      <c r="A2146" t="str">
        <f>IF(AND(FORSIDE!$B$8&gt;=4,FORSIDE!$F$8&gt;=10,FORSIDE!$B$5&gt;=5),"S2145","")</f>
        <v/>
      </c>
      <c r="B2146" t="str">
        <f>IF(AND(FORSIDE!$B$8&gt;=4,FORSIDE!$F$8&gt;=10,FORSIDE!$B$5&gt;=5),"2359 -&gt; 2360","")</f>
        <v/>
      </c>
      <c r="C2146" t="str">
        <f>FORSIDE!$C$4</f>
        <v>S355, Stål / KFHUP 180x180x12.5</v>
      </c>
    </row>
    <row r="2147" spans="1:3" x14ac:dyDescent="0.3">
      <c r="A2147" t="str">
        <f>IF(AND(FORSIDE!$B$8&gt;=4,FORSIDE!$F$8&gt;=10,FORSIDE!$B$5&gt;=6),"S2146","")</f>
        <v/>
      </c>
      <c r="B2147" t="str">
        <f>IF(AND(FORSIDE!$B$8&gt;=4,FORSIDE!$F$8&gt;=10,FORSIDE!$B$5&gt;=6),"2360 -&gt; 2361","")</f>
        <v/>
      </c>
      <c r="C2147" t="str">
        <f>FORSIDE!$C$4</f>
        <v>S355, Stål / KFHUP 180x180x12.5</v>
      </c>
    </row>
    <row r="2148" spans="1:3" x14ac:dyDescent="0.3">
      <c r="A2148" t="str">
        <f>IF(AND(FORSIDE!$B$8&gt;=4,FORSIDE!$F$8&gt;=10,FORSIDE!$B$5&gt;=7),"S2147","")</f>
        <v/>
      </c>
      <c r="B2148" t="str">
        <f>IF(AND(FORSIDE!$B$8&gt;=4,FORSIDE!$F$8&gt;=10,FORSIDE!$B$5&gt;=7),"2361 -&gt; 2362","")</f>
        <v/>
      </c>
      <c r="C2148" t="str">
        <f>FORSIDE!$C$4</f>
        <v>S355, Stål / KFHUP 180x180x12.5</v>
      </c>
    </row>
    <row r="2149" spans="1:3" x14ac:dyDescent="0.3">
      <c r="A2149" t="str">
        <f>IF(AND(FORSIDE!$B$8&gt;=4,FORSIDE!$F$8&gt;=10,FORSIDE!$B$5&gt;=8),"S2148","")</f>
        <v/>
      </c>
      <c r="B2149" t="str">
        <f>IF(AND(FORSIDE!$B$8&gt;=4,FORSIDE!$F$8&gt;=10,FORSIDE!$B$5&gt;=8),"2362 -&gt; 2363","")</f>
        <v/>
      </c>
      <c r="C2149" t="str">
        <f>FORSIDE!$C$4</f>
        <v>S355, Stål / KFHUP 180x180x12.5</v>
      </c>
    </row>
    <row r="2150" spans="1:3" x14ac:dyDescent="0.3">
      <c r="A2150" t="str">
        <f>IF(AND(FORSIDE!$B$8&gt;=4,FORSIDE!$F$8&gt;=10,FORSIDE!$B$5&gt;=9),"S2149","")</f>
        <v/>
      </c>
      <c r="B2150" t="str">
        <f>IF(AND(FORSIDE!$B$8&gt;=4,FORSIDE!$F$8&gt;=10,FORSIDE!$B$5&gt;=9),"2363 -&gt; 2364","")</f>
        <v/>
      </c>
      <c r="C2150" t="str">
        <f>FORSIDE!$C$4</f>
        <v>S355, Stål / KFHUP 180x180x12.5</v>
      </c>
    </row>
    <row r="2151" spans="1:3" x14ac:dyDescent="0.3">
      <c r="A2151" t="str">
        <f>IF(AND(FORSIDE!$B$8&gt;=4,FORSIDE!$F$8&gt;=10,FORSIDE!$B$5&gt;=10),"S2150","")</f>
        <v/>
      </c>
      <c r="B2151" t="str">
        <f>IF(AND(FORSIDE!$B$8&gt;=4,FORSIDE!$F$8&gt;=10,FORSIDE!$B$5&gt;=10),"2364 -&gt; 2365","")</f>
        <v/>
      </c>
      <c r="C2151" t="str">
        <f>FORSIDE!$C$4</f>
        <v>S355, Stål / KFHUP 180x180x12.5</v>
      </c>
    </row>
    <row r="2152" spans="1:3" x14ac:dyDescent="0.3">
      <c r="A2152" t="str">
        <f>IF(AND(FORSIDE!$B$8&gt;=5,FORSIDE!$F$8&gt;=10,FORSIDE!$B$5&gt;=1),"S2151","")</f>
        <v/>
      </c>
      <c r="B2152" t="str">
        <f>IF(AND(FORSIDE!$B$8&gt;=5,FORSIDE!$F$8&gt;=10,FORSIDE!$B$5&gt;=1),"2366 -&gt; 2367","")</f>
        <v/>
      </c>
      <c r="C2152" t="str">
        <f>FORSIDE!$C$4</f>
        <v>S355, Stål / KFHUP 180x180x12.5</v>
      </c>
    </row>
    <row r="2153" spans="1:3" x14ac:dyDescent="0.3">
      <c r="A2153" t="str">
        <f>IF(AND(FORSIDE!$B$8&gt;=5,FORSIDE!$F$8&gt;=10,FORSIDE!$B$5&gt;=2),"S2152","")</f>
        <v/>
      </c>
      <c r="B2153" t="str">
        <f>IF(AND(FORSIDE!$B$8&gt;=5,FORSIDE!$F$8&gt;=10,FORSIDE!$B$5&gt;=2),"2367 -&gt; 2368","")</f>
        <v/>
      </c>
      <c r="C2153" t="str">
        <f>FORSIDE!$C$4</f>
        <v>S355, Stål / KFHUP 180x180x12.5</v>
      </c>
    </row>
    <row r="2154" spans="1:3" x14ac:dyDescent="0.3">
      <c r="A2154" t="str">
        <f>IF(AND(FORSIDE!$B$8&gt;=5,FORSIDE!$F$8&gt;=10,FORSIDE!$B$5&gt;=3),"S2153","")</f>
        <v/>
      </c>
      <c r="B2154" t="str">
        <f>IF(AND(FORSIDE!$B$8&gt;=5,FORSIDE!$F$8&gt;=10,FORSIDE!$B$5&gt;=3),"2368 -&gt; 2369","")</f>
        <v/>
      </c>
      <c r="C2154" t="str">
        <f>FORSIDE!$C$4</f>
        <v>S355, Stål / KFHUP 180x180x12.5</v>
      </c>
    </row>
    <row r="2155" spans="1:3" x14ac:dyDescent="0.3">
      <c r="A2155" t="str">
        <f>IF(AND(FORSIDE!$B$8&gt;=5,FORSIDE!$F$8&gt;=10,FORSIDE!$B$5&gt;=4),"S2154","")</f>
        <v/>
      </c>
      <c r="B2155" t="str">
        <f>IF(AND(FORSIDE!$B$8&gt;=5,FORSIDE!$F$8&gt;=10,FORSIDE!$B$5&gt;=4),"2369 -&gt; 2370","")</f>
        <v/>
      </c>
      <c r="C2155" t="str">
        <f>FORSIDE!$C$4</f>
        <v>S355, Stål / KFHUP 180x180x12.5</v>
      </c>
    </row>
    <row r="2156" spans="1:3" x14ac:dyDescent="0.3">
      <c r="A2156" t="str">
        <f>IF(AND(FORSIDE!$B$8&gt;=5,FORSIDE!$F$8&gt;=10,FORSIDE!$B$5&gt;=5),"S2155","")</f>
        <v/>
      </c>
      <c r="B2156" t="str">
        <f>IF(AND(FORSIDE!$B$8&gt;=5,FORSIDE!$F$8&gt;=10,FORSIDE!$B$5&gt;=5),"2370 -&gt; 2371","")</f>
        <v/>
      </c>
      <c r="C2156" t="str">
        <f>FORSIDE!$C$4</f>
        <v>S355, Stål / KFHUP 180x180x12.5</v>
      </c>
    </row>
    <row r="2157" spans="1:3" x14ac:dyDescent="0.3">
      <c r="A2157" t="str">
        <f>IF(AND(FORSIDE!$B$8&gt;=5,FORSIDE!$F$8&gt;=10,FORSIDE!$B$5&gt;=6),"S2156","")</f>
        <v/>
      </c>
      <c r="B2157" t="str">
        <f>IF(AND(FORSIDE!$B$8&gt;=5,FORSIDE!$F$8&gt;=10,FORSIDE!$B$5&gt;=6),"2371 -&gt; 2372","")</f>
        <v/>
      </c>
      <c r="C2157" t="str">
        <f>FORSIDE!$C$4</f>
        <v>S355, Stål / KFHUP 180x180x12.5</v>
      </c>
    </row>
    <row r="2158" spans="1:3" x14ac:dyDescent="0.3">
      <c r="A2158" t="str">
        <f>IF(AND(FORSIDE!$B$8&gt;=5,FORSIDE!$F$8&gt;=10,FORSIDE!$B$5&gt;=7),"S2157","")</f>
        <v/>
      </c>
      <c r="B2158" t="str">
        <f>IF(AND(FORSIDE!$B$8&gt;=5,FORSIDE!$F$8&gt;=10,FORSIDE!$B$5&gt;=7),"2372 -&gt; 2373","")</f>
        <v/>
      </c>
      <c r="C2158" t="str">
        <f>FORSIDE!$C$4</f>
        <v>S355, Stål / KFHUP 180x180x12.5</v>
      </c>
    </row>
    <row r="2159" spans="1:3" x14ac:dyDescent="0.3">
      <c r="A2159" t="str">
        <f>IF(AND(FORSIDE!$B$8&gt;=5,FORSIDE!$F$8&gt;=10,FORSIDE!$B$5&gt;=8),"S2158","")</f>
        <v/>
      </c>
      <c r="B2159" t="str">
        <f>IF(AND(FORSIDE!$B$8&gt;=5,FORSIDE!$F$8&gt;=10,FORSIDE!$B$5&gt;=8),"2373 -&gt; 2374","")</f>
        <v/>
      </c>
      <c r="C2159" t="str">
        <f>FORSIDE!$C$4</f>
        <v>S355, Stål / KFHUP 180x180x12.5</v>
      </c>
    </row>
    <row r="2160" spans="1:3" x14ac:dyDescent="0.3">
      <c r="A2160" t="str">
        <f>IF(AND(FORSIDE!$B$8&gt;=5,FORSIDE!$F$8&gt;=10,FORSIDE!$B$5&gt;=9),"S2159","")</f>
        <v/>
      </c>
      <c r="B2160" t="str">
        <f>IF(AND(FORSIDE!$B$8&gt;=5,FORSIDE!$F$8&gt;=10,FORSIDE!$B$5&gt;=9),"2374 -&gt; 2375","")</f>
        <v/>
      </c>
      <c r="C2160" t="str">
        <f>FORSIDE!$C$4</f>
        <v>S355, Stål / KFHUP 180x180x12.5</v>
      </c>
    </row>
    <row r="2161" spans="1:3" x14ac:dyDescent="0.3">
      <c r="A2161" t="str">
        <f>IF(AND(FORSIDE!$B$8&gt;=5,FORSIDE!$F$8&gt;=10,FORSIDE!$B$5&gt;=10),"S2160","")</f>
        <v/>
      </c>
      <c r="B2161" t="str">
        <f>IF(AND(FORSIDE!$B$8&gt;=5,FORSIDE!$F$8&gt;=10,FORSIDE!$B$5&gt;=10),"2375 -&gt; 2376","")</f>
        <v/>
      </c>
      <c r="C2161" t="str">
        <f>FORSIDE!$C$4</f>
        <v>S355, Stål / KFHUP 180x180x12.5</v>
      </c>
    </row>
    <row r="2162" spans="1:3" x14ac:dyDescent="0.3">
      <c r="A2162" t="str">
        <f>IF(AND(FORSIDE!$B$8&gt;=6,FORSIDE!$F$8&gt;=10,FORSIDE!$B$5&gt;=1),"S2161","")</f>
        <v/>
      </c>
      <c r="B2162" t="str">
        <f>IF(AND(FORSIDE!$B$8&gt;=6,FORSIDE!$F$8&gt;=10,FORSIDE!$B$5&gt;=1),"2377 -&gt; 2378","")</f>
        <v/>
      </c>
      <c r="C2162" t="str">
        <f>FORSIDE!$C$4</f>
        <v>S355, Stål / KFHUP 180x180x12.5</v>
      </c>
    </row>
    <row r="2163" spans="1:3" x14ac:dyDescent="0.3">
      <c r="A2163" t="str">
        <f>IF(AND(FORSIDE!$B$8&gt;=6,FORSIDE!$F$8&gt;=10,FORSIDE!$B$5&gt;=2),"S2162","")</f>
        <v/>
      </c>
      <c r="B2163" t="str">
        <f>IF(AND(FORSIDE!$B$8&gt;=6,FORSIDE!$F$8&gt;=10,FORSIDE!$B$5&gt;=2),"2378 -&gt; 2379","")</f>
        <v/>
      </c>
      <c r="C2163" t="str">
        <f>FORSIDE!$C$4</f>
        <v>S355, Stål / KFHUP 180x180x12.5</v>
      </c>
    </row>
    <row r="2164" spans="1:3" x14ac:dyDescent="0.3">
      <c r="A2164" t="str">
        <f>IF(AND(FORSIDE!$B$8&gt;=6,FORSIDE!$F$8&gt;=10,FORSIDE!$B$5&gt;=3),"S2163","")</f>
        <v/>
      </c>
      <c r="B2164" t="str">
        <f>IF(AND(FORSIDE!$B$8&gt;=6,FORSIDE!$F$8&gt;=10,FORSIDE!$B$5&gt;=3),"2379 -&gt; 2380","")</f>
        <v/>
      </c>
      <c r="C2164" t="str">
        <f>FORSIDE!$C$4</f>
        <v>S355, Stål / KFHUP 180x180x12.5</v>
      </c>
    </row>
    <row r="2165" spans="1:3" x14ac:dyDescent="0.3">
      <c r="A2165" t="str">
        <f>IF(AND(FORSIDE!$B$8&gt;=6,FORSIDE!$F$8&gt;=10,FORSIDE!$B$5&gt;=4),"S2164","")</f>
        <v/>
      </c>
      <c r="B2165" t="str">
        <f>IF(AND(FORSIDE!$B$8&gt;=6,FORSIDE!$F$8&gt;=10,FORSIDE!$B$5&gt;=4),"2380 -&gt; 2381","")</f>
        <v/>
      </c>
      <c r="C2165" t="str">
        <f>FORSIDE!$C$4</f>
        <v>S355, Stål / KFHUP 180x180x12.5</v>
      </c>
    </row>
    <row r="2166" spans="1:3" x14ac:dyDescent="0.3">
      <c r="A2166" t="str">
        <f>IF(AND(FORSIDE!$B$8&gt;=6,FORSIDE!$F$8&gt;=10,FORSIDE!$B$5&gt;=5),"S2165","")</f>
        <v/>
      </c>
      <c r="B2166" t="str">
        <f>IF(AND(FORSIDE!$B$8&gt;=6,FORSIDE!$F$8&gt;=10,FORSIDE!$B$5&gt;=5),"2381 -&gt; 2382","")</f>
        <v/>
      </c>
      <c r="C2166" t="str">
        <f>FORSIDE!$C$4</f>
        <v>S355, Stål / KFHUP 180x180x12.5</v>
      </c>
    </row>
    <row r="2167" spans="1:3" x14ac:dyDescent="0.3">
      <c r="A2167" t="str">
        <f>IF(AND(FORSIDE!$B$8&gt;=6,FORSIDE!$F$8&gt;=10,FORSIDE!$B$5&gt;=6),"S2166","")</f>
        <v/>
      </c>
      <c r="B2167" t="str">
        <f>IF(AND(FORSIDE!$B$8&gt;=6,FORSIDE!$F$8&gt;=10,FORSIDE!$B$5&gt;=6),"2382 -&gt; 2383","")</f>
        <v/>
      </c>
      <c r="C2167" t="str">
        <f>FORSIDE!$C$4</f>
        <v>S355, Stål / KFHUP 180x180x12.5</v>
      </c>
    </row>
    <row r="2168" spans="1:3" x14ac:dyDescent="0.3">
      <c r="A2168" t="str">
        <f>IF(AND(FORSIDE!$B$8&gt;=6,FORSIDE!$F$8&gt;=10,FORSIDE!$B$5&gt;=7),"S2167","")</f>
        <v/>
      </c>
      <c r="B2168" t="str">
        <f>IF(AND(FORSIDE!$B$8&gt;=6,FORSIDE!$F$8&gt;=10,FORSIDE!$B$5&gt;=7),"2383 -&gt; 2384","")</f>
        <v/>
      </c>
      <c r="C2168" t="str">
        <f>FORSIDE!$C$4</f>
        <v>S355, Stål / KFHUP 180x180x12.5</v>
      </c>
    </row>
    <row r="2169" spans="1:3" x14ac:dyDescent="0.3">
      <c r="A2169" t="str">
        <f>IF(AND(FORSIDE!$B$8&gt;=6,FORSIDE!$F$8&gt;=10,FORSIDE!$B$5&gt;=8),"S2168","")</f>
        <v/>
      </c>
      <c r="B2169" t="str">
        <f>IF(AND(FORSIDE!$B$8&gt;=6,FORSIDE!$F$8&gt;=10,FORSIDE!$B$5&gt;=8),"2384 -&gt; 2385","")</f>
        <v/>
      </c>
      <c r="C2169" t="str">
        <f>FORSIDE!$C$4</f>
        <v>S355, Stål / KFHUP 180x180x12.5</v>
      </c>
    </row>
    <row r="2170" spans="1:3" x14ac:dyDescent="0.3">
      <c r="A2170" t="str">
        <f>IF(AND(FORSIDE!$B$8&gt;=6,FORSIDE!$F$8&gt;=10,FORSIDE!$B$5&gt;=9),"S2169","")</f>
        <v/>
      </c>
      <c r="B2170" t="str">
        <f>IF(AND(FORSIDE!$B$8&gt;=6,FORSIDE!$F$8&gt;=10,FORSIDE!$B$5&gt;=9),"2385 -&gt; 2386","")</f>
        <v/>
      </c>
      <c r="C2170" t="str">
        <f>FORSIDE!$C$4</f>
        <v>S355, Stål / KFHUP 180x180x12.5</v>
      </c>
    </row>
    <row r="2171" spans="1:3" x14ac:dyDescent="0.3">
      <c r="A2171" t="str">
        <f>IF(AND(FORSIDE!$B$8&gt;=6,FORSIDE!$F$8&gt;=10,FORSIDE!$B$5&gt;=10),"S2170","")</f>
        <v/>
      </c>
      <c r="B2171" t="str">
        <f>IF(AND(FORSIDE!$B$8&gt;=6,FORSIDE!$F$8&gt;=10,FORSIDE!$B$5&gt;=10),"2386 -&gt; 2387","")</f>
        <v/>
      </c>
      <c r="C2171" t="str">
        <f>FORSIDE!$C$4</f>
        <v>S355, Stål / KFHUP 180x180x12.5</v>
      </c>
    </row>
    <row r="2172" spans="1:3" x14ac:dyDescent="0.3">
      <c r="A2172" t="str">
        <f>IF(AND(FORSIDE!$B$8&gt;=7,FORSIDE!$F$8&gt;=10,FORSIDE!$B$5&gt;=1),"S2171","")</f>
        <v/>
      </c>
      <c r="B2172" t="str">
        <f>IF(AND(FORSIDE!$B$8&gt;=7,FORSIDE!$F$8&gt;=10,FORSIDE!$B$5&gt;=1),"2388 -&gt; 2389","")</f>
        <v/>
      </c>
      <c r="C2172" t="str">
        <f>FORSIDE!$C$4</f>
        <v>S355, Stål / KFHUP 180x180x12.5</v>
      </c>
    </row>
    <row r="2173" spans="1:3" x14ac:dyDescent="0.3">
      <c r="A2173" t="str">
        <f>IF(AND(FORSIDE!$B$8&gt;=7,FORSIDE!$F$8&gt;=10,FORSIDE!$B$5&gt;=2),"S2172","")</f>
        <v/>
      </c>
      <c r="B2173" t="str">
        <f>IF(AND(FORSIDE!$B$8&gt;=7,FORSIDE!$F$8&gt;=10,FORSIDE!$B$5&gt;=2),"2389 -&gt; 2390","")</f>
        <v/>
      </c>
      <c r="C2173" t="str">
        <f>FORSIDE!$C$4</f>
        <v>S355, Stål / KFHUP 180x180x12.5</v>
      </c>
    </row>
    <row r="2174" spans="1:3" x14ac:dyDescent="0.3">
      <c r="A2174" t="str">
        <f>IF(AND(FORSIDE!$B$8&gt;=7,FORSIDE!$F$8&gt;=10,FORSIDE!$B$5&gt;=3),"S2173","")</f>
        <v/>
      </c>
      <c r="B2174" t="str">
        <f>IF(AND(FORSIDE!$B$8&gt;=7,FORSIDE!$F$8&gt;=10,FORSIDE!$B$5&gt;=3),"2390 -&gt; 2391","")</f>
        <v/>
      </c>
      <c r="C2174" t="str">
        <f>FORSIDE!$C$4</f>
        <v>S355, Stål / KFHUP 180x180x12.5</v>
      </c>
    </row>
    <row r="2175" spans="1:3" x14ac:dyDescent="0.3">
      <c r="A2175" t="str">
        <f>IF(AND(FORSIDE!$B$8&gt;=7,FORSIDE!$F$8&gt;=10,FORSIDE!$B$5&gt;=4),"S2174","")</f>
        <v/>
      </c>
      <c r="B2175" t="str">
        <f>IF(AND(FORSIDE!$B$8&gt;=7,FORSIDE!$F$8&gt;=10,FORSIDE!$B$5&gt;=4),"2391 -&gt; 2392","")</f>
        <v/>
      </c>
      <c r="C2175" t="str">
        <f>FORSIDE!$C$4</f>
        <v>S355, Stål / KFHUP 180x180x12.5</v>
      </c>
    </row>
    <row r="2176" spans="1:3" x14ac:dyDescent="0.3">
      <c r="A2176" t="str">
        <f>IF(AND(FORSIDE!$B$8&gt;=7,FORSIDE!$F$8&gt;=10,FORSIDE!$B$5&gt;=5),"S2175","")</f>
        <v/>
      </c>
      <c r="B2176" t="str">
        <f>IF(AND(FORSIDE!$B$8&gt;=7,FORSIDE!$F$8&gt;=10,FORSIDE!$B$5&gt;=5),"2392 -&gt; 2393","")</f>
        <v/>
      </c>
      <c r="C2176" t="str">
        <f>FORSIDE!$C$4</f>
        <v>S355, Stål / KFHUP 180x180x12.5</v>
      </c>
    </row>
    <row r="2177" spans="1:3" x14ac:dyDescent="0.3">
      <c r="A2177" t="str">
        <f>IF(AND(FORSIDE!$B$8&gt;=7,FORSIDE!$F$8&gt;=10,FORSIDE!$B$5&gt;=6),"S2176","")</f>
        <v/>
      </c>
      <c r="B2177" t="str">
        <f>IF(AND(FORSIDE!$B$8&gt;=7,FORSIDE!$F$8&gt;=10,FORSIDE!$B$5&gt;=6),"2393 -&gt; 2394","")</f>
        <v/>
      </c>
      <c r="C2177" t="str">
        <f>FORSIDE!$C$4</f>
        <v>S355, Stål / KFHUP 180x180x12.5</v>
      </c>
    </row>
    <row r="2178" spans="1:3" x14ac:dyDescent="0.3">
      <c r="A2178" t="str">
        <f>IF(AND(FORSIDE!$B$8&gt;=7,FORSIDE!$F$8&gt;=10,FORSIDE!$B$5&gt;=7),"S2177","")</f>
        <v/>
      </c>
      <c r="B2178" t="str">
        <f>IF(AND(FORSIDE!$B$8&gt;=7,FORSIDE!$F$8&gt;=10,FORSIDE!$B$5&gt;=7),"2394 -&gt; 2395","")</f>
        <v/>
      </c>
      <c r="C2178" t="str">
        <f>FORSIDE!$C$4</f>
        <v>S355, Stål / KFHUP 180x180x12.5</v>
      </c>
    </row>
    <row r="2179" spans="1:3" x14ac:dyDescent="0.3">
      <c r="A2179" t="str">
        <f>IF(AND(FORSIDE!$B$8&gt;=7,FORSIDE!$F$8&gt;=10,FORSIDE!$B$5&gt;=8),"S2178","")</f>
        <v/>
      </c>
      <c r="B2179" t="str">
        <f>IF(AND(FORSIDE!$B$8&gt;=7,FORSIDE!$F$8&gt;=10,FORSIDE!$B$5&gt;=8),"2395 -&gt; 2396","")</f>
        <v/>
      </c>
      <c r="C2179" t="str">
        <f>FORSIDE!$C$4</f>
        <v>S355, Stål / KFHUP 180x180x12.5</v>
      </c>
    </row>
    <row r="2180" spans="1:3" x14ac:dyDescent="0.3">
      <c r="A2180" t="str">
        <f>IF(AND(FORSIDE!$B$8&gt;=7,FORSIDE!$F$8&gt;=10,FORSIDE!$B$5&gt;=9),"S2179","")</f>
        <v/>
      </c>
      <c r="B2180" t="str">
        <f>IF(AND(FORSIDE!$B$8&gt;=7,FORSIDE!$F$8&gt;=10,FORSIDE!$B$5&gt;=9),"2396 -&gt; 2397","")</f>
        <v/>
      </c>
      <c r="C2180" t="str">
        <f>FORSIDE!$C$4</f>
        <v>S355, Stål / KFHUP 180x180x12.5</v>
      </c>
    </row>
    <row r="2181" spans="1:3" x14ac:dyDescent="0.3">
      <c r="A2181" t="str">
        <f>IF(AND(FORSIDE!$B$8&gt;=7,FORSIDE!$F$8&gt;=10,FORSIDE!$B$5&gt;=10),"S2180","")</f>
        <v/>
      </c>
      <c r="B2181" t="str">
        <f>IF(AND(FORSIDE!$B$8&gt;=7,FORSIDE!$F$8&gt;=10,FORSIDE!$B$5&gt;=10),"2397 -&gt; 2398","")</f>
        <v/>
      </c>
      <c r="C2181" t="str">
        <f>FORSIDE!$C$4</f>
        <v>S355, Stål / KFHUP 180x180x12.5</v>
      </c>
    </row>
    <row r="2182" spans="1:3" x14ac:dyDescent="0.3">
      <c r="A2182" t="str">
        <f>IF(AND(FORSIDE!$B$8&gt;=8,FORSIDE!$F$8&gt;=10,FORSIDE!$B$5&gt;=1),"S2181","")</f>
        <v/>
      </c>
      <c r="B2182" t="str">
        <f>IF(AND(FORSIDE!$B$8&gt;=8,FORSIDE!$F$8&gt;=10,FORSIDE!$B$5&gt;=1),"2399 -&gt; 2400","")</f>
        <v/>
      </c>
      <c r="C2182" t="str">
        <f>FORSIDE!$C$4</f>
        <v>S355, Stål / KFHUP 180x180x12.5</v>
      </c>
    </row>
    <row r="2183" spans="1:3" x14ac:dyDescent="0.3">
      <c r="A2183" t="str">
        <f>IF(AND(FORSIDE!$B$8&gt;=8,FORSIDE!$F$8&gt;=10,FORSIDE!$B$5&gt;=2),"S2182","")</f>
        <v/>
      </c>
      <c r="B2183" t="str">
        <f>IF(AND(FORSIDE!$B$8&gt;=8,FORSIDE!$F$8&gt;=10,FORSIDE!$B$5&gt;=2),"2400 -&gt; 2401","")</f>
        <v/>
      </c>
      <c r="C2183" t="str">
        <f>FORSIDE!$C$4</f>
        <v>S355, Stål / KFHUP 180x180x12.5</v>
      </c>
    </row>
    <row r="2184" spans="1:3" x14ac:dyDescent="0.3">
      <c r="A2184" t="str">
        <f>IF(AND(FORSIDE!$B$8&gt;=8,FORSIDE!$F$8&gt;=10,FORSIDE!$B$5&gt;=3),"S2183","")</f>
        <v/>
      </c>
      <c r="B2184" t="str">
        <f>IF(AND(FORSIDE!$B$8&gt;=8,FORSIDE!$F$8&gt;=10,FORSIDE!$B$5&gt;=3),"2401 -&gt; 2402","")</f>
        <v/>
      </c>
      <c r="C2184" t="str">
        <f>FORSIDE!$C$4</f>
        <v>S355, Stål / KFHUP 180x180x12.5</v>
      </c>
    </row>
    <row r="2185" spans="1:3" x14ac:dyDescent="0.3">
      <c r="A2185" t="str">
        <f>IF(AND(FORSIDE!$B$8&gt;=8,FORSIDE!$F$8&gt;=10,FORSIDE!$B$5&gt;=4),"S2184","")</f>
        <v/>
      </c>
      <c r="B2185" t="str">
        <f>IF(AND(FORSIDE!$B$8&gt;=8,FORSIDE!$F$8&gt;=10,FORSIDE!$B$5&gt;=4),"2402 -&gt; 2403","")</f>
        <v/>
      </c>
      <c r="C2185" t="str">
        <f>FORSIDE!$C$4</f>
        <v>S355, Stål / KFHUP 180x180x12.5</v>
      </c>
    </row>
    <row r="2186" spans="1:3" x14ac:dyDescent="0.3">
      <c r="A2186" t="str">
        <f>IF(AND(FORSIDE!$B$8&gt;=8,FORSIDE!$F$8&gt;=10,FORSIDE!$B$5&gt;=5),"S2185","")</f>
        <v/>
      </c>
      <c r="B2186" t="str">
        <f>IF(AND(FORSIDE!$B$8&gt;=8,FORSIDE!$F$8&gt;=10,FORSIDE!$B$5&gt;=5),"2403 -&gt; 2404","")</f>
        <v/>
      </c>
      <c r="C2186" t="str">
        <f>FORSIDE!$C$4</f>
        <v>S355, Stål / KFHUP 180x180x12.5</v>
      </c>
    </row>
    <row r="2187" spans="1:3" x14ac:dyDescent="0.3">
      <c r="A2187" t="str">
        <f>IF(AND(FORSIDE!$B$8&gt;=8,FORSIDE!$F$8&gt;=10,FORSIDE!$B$5&gt;=6),"S2186","")</f>
        <v/>
      </c>
      <c r="B2187" t="str">
        <f>IF(AND(FORSIDE!$B$8&gt;=8,FORSIDE!$F$8&gt;=10,FORSIDE!$B$5&gt;=6),"2404 -&gt; 2405","")</f>
        <v/>
      </c>
      <c r="C2187" t="str">
        <f>FORSIDE!$C$4</f>
        <v>S355, Stål / KFHUP 180x180x12.5</v>
      </c>
    </row>
    <row r="2188" spans="1:3" x14ac:dyDescent="0.3">
      <c r="A2188" t="str">
        <f>IF(AND(FORSIDE!$B$8&gt;=8,FORSIDE!$F$8&gt;=10,FORSIDE!$B$5&gt;=7),"S2187","")</f>
        <v/>
      </c>
      <c r="B2188" t="str">
        <f>IF(AND(FORSIDE!$B$8&gt;=8,FORSIDE!$F$8&gt;=10,FORSIDE!$B$5&gt;=7),"2405 -&gt; 2406","")</f>
        <v/>
      </c>
      <c r="C2188" t="str">
        <f>FORSIDE!$C$4</f>
        <v>S355, Stål / KFHUP 180x180x12.5</v>
      </c>
    </row>
    <row r="2189" spans="1:3" x14ac:dyDescent="0.3">
      <c r="A2189" t="str">
        <f>IF(AND(FORSIDE!$B$8&gt;=8,FORSIDE!$F$8&gt;=10,FORSIDE!$B$5&gt;=8),"S2188","")</f>
        <v/>
      </c>
      <c r="B2189" t="str">
        <f>IF(AND(FORSIDE!$B$8&gt;=8,FORSIDE!$F$8&gt;=10,FORSIDE!$B$5&gt;=8),"2406 -&gt; 2407","")</f>
        <v/>
      </c>
      <c r="C2189" t="str">
        <f>FORSIDE!$C$4</f>
        <v>S355, Stål / KFHUP 180x180x12.5</v>
      </c>
    </row>
    <row r="2190" spans="1:3" x14ac:dyDescent="0.3">
      <c r="A2190" t="str">
        <f>IF(AND(FORSIDE!$B$8&gt;=8,FORSIDE!$F$8&gt;=10,FORSIDE!$B$5&gt;=9),"S2189","")</f>
        <v/>
      </c>
      <c r="B2190" t="str">
        <f>IF(AND(FORSIDE!$B$8&gt;=8,FORSIDE!$F$8&gt;=10,FORSIDE!$B$5&gt;=9),"2407 -&gt; 2408","")</f>
        <v/>
      </c>
      <c r="C2190" t="str">
        <f>FORSIDE!$C$4</f>
        <v>S355, Stål / KFHUP 180x180x12.5</v>
      </c>
    </row>
    <row r="2191" spans="1:3" x14ac:dyDescent="0.3">
      <c r="A2191" t="str">
        <f>IF(AND(FORSIDE!$B$8&gt;=8,FORSIDE!$F$8&gt;=10,FORSIDE!$B$5&gt;=10),"S2190","")</f>
        <v/>
      </c>
      <c r="B2191" t="str">
        <f>IF(AND(FORSIDE!$B$8&gt;=8,FORSIDE!$F$8&gt;=10,FORSIDE!$B$5&gt;=10),"2408 -&gt; 2409","")</f>
        <v/>
      </c>
      <c r="C2191" t="str">
        <f>FORSIDE!$C$4</f>
        <v>S355, Stål / KFHUP 180x180x12.5</v>
      </c>
    </row>
    <row r="2192" spans="1:3" x14ac:dyDescent="0.3">
      <c r="A2192" t="str">
        <f>IF(AND(FORSIDE!$B$8&gt;=9,FORSIDE!$F$8&gt;=10,FORSIDE!$B$5&gt;=1),"S2191","")</f>
        <v/>
      </c>
      <c r="B2192" t="str">
        <f>IF(AND(FORSIDE!$B$8&gt;=9,FORSIDE!$F$8&gt;=10,FORSIDE!$B$5&gt;=1),"2410 -&gt; 2411","")</f>
        <v/>
      </c>
      <c r="C2192" t="str">
        <f>FORSIDE!$C$4</f>
        <v>S355, Stål / KFHUP 180x180x12.5</v>
      </c>
    </row>
    <row r="2193" spans="1:3" x14ac:dyDescent="0.3">
      <c r="A2193" t="str">
        <f>IF(AND(FORSIDE!$B$8&gt;=9,FORSIDE!$F$8&gt;=10,FORSIDE!$B$5&gt;=2),"S2192","")</f>
        <v/>
      </c>
      <c r="B2193" t="str">
        <f>IF(AND(FORSIDE!$B$8&gt;=9,FORSIDE!$F$8&gt;=10,FORSIDE!$B$5&gt;=2),"2411 -&gt; 2412","")</f>
        <v/>
      </c>
      <c r="C2193" t="str">
        <f>FORSIDE!$C$4</f>
        <v>S355, Stål / KFHUP 180x180x12.5</v>
      </c>
    </row>
    <row r="2194" spans="1:3" x14ac:dyDescent="0.3">
      <c r="A2194" t="str">
        <f>IF(AND(FORSIDE!$B$8&gt;=9,FORSIDE!$F$8&gt;=10,FORSIDE!$B$5&gt;=3),"S2193","")</f>
        <v/>
      </c>
      <c r="B2194" t="str">
        <f>IF(AND(FORSIDE!$B$8&gt;=9,FORSIDE!$F$8&gt;=10,FORSIDE!$B$5&gt;=3),"2412 -&gt; 2413","")</f>
        <v/>
      </c>
      <c r="C2194" t="str">
        <f>FORSIDE!$C$4</f>
        <v>S355, Stål / KFHUP 180x180x12.5</v>
      </c>
    </row>
    <row r="2195" spans="1:3" x14ac:dyDescent="0.3">
      <c r="A2195" t="str">
        <f>IF(AND(FORSIDE!$B$8&gt;=9,FORSIDE!$F$8&gt;=10,FORSIDE!$B$5&gt;=4),"S2194","")</f>
        <v/>
      </c>
      <c r="B2195" t="str">
        <f>IF(AND(FORSIDE!$B$8&gt;=9,FORSIDE!$F$8&gt;=10,FORSIDE!$B$5&gt;=4),"2413 -&gt; 2414","")</f>
        <v/>
      </c>
      <c r="C2195" t="str">
        <f>FORSIDE!$C$4</f>
        <v>S355, Stål / KFHUP 180x180x12.5</v>
      </c>
    </row>
    <row r="2196" spans="1:3" x14ac:dyDescent="0.3">
      <c r="A2196" t="str">
        <f>IF(AND(FORSIDE!$B$8&gt;=9,FORSIDE!$F$8&gt;=10,FORSIDE!$B$5&gt;=5),"S2195","")</f>
        <v/>
      </c>
      <c r="B2196" t="str">
        <f>IF(AND(FORSIDE!$B$8&gt;=9,FORSIDE!$F$8&gt;=10,FORSIDE!$B$5&gt;=5),"2414 -&gt; 2415","")</f>
        <v/>
      </c>
      <c r="C2196" t="str">
        <f>FORSIDE!$C$4</f>
        <v>S355, Stål / KFHUP 180x180x12.5</v>
      </c>
    </row>
    <row r="2197" spans="1:3" x14ac:dyDescent="0.3">
      <c r="A2197" t="str">
        <f>IF(AND(FORSIDE!$B$8&gt;=9,FORSIDE!$F$8&gt;=10,FORSIDE!$B$5&gt;=6),"S2196","")</f>
        <v/>
      </c>
      <c r="B2197" t="str">
        <f>IF(AND(FORSIDE!$B$8&gt;=9,FORSIDE!$F$8&gt;=10,FORSIDE!$B$5&gt;=6),"2415 -&gt; 2416","")</f>
        <v/>
      </c>
      <c r="C2197" t="str">
        <f>FORSIDE!$C$4</f>
        <v>S355, Stål / KFHUP 180x180x12.5</v>
      </c>
    </row>
    <row r="2198" spans="1:3" x14ac:dyDescent="0.3">
      <c r="A2198" t="str">
        <f>IF(AND(FORSIDE!$B$8&gt;=9,FORSIDE!$F$8&gt;=10,FORSIDE!$B$5&gt;=7),"S2197","")</f>
        <v/>
      </c>
      <c r="B2198" t="str">
        <f>IF(AND(FORSIDE!$B$8&gt;=9,FORSIDE!$F$8&gt;=10,FORSIDE!$B$5&gt;=7),"2416 -&gt; 2417","")</f>
        <v/>
      </c>
      <c r="C2198" t="str">
        <f>FORSIDE!$C$4</f>
        <v>S355, Stål / KFHUP 180x180x12.5</v>
      </c>
    </row>
    <row r="2199" spans="1:3" x14ac:dyDescent="0.3">
      <c r="A2199" t="str">
        <f>IF(AND(FORSIDE!$B$8&gt;=9,FORSIDE!$F$8&gt;=10,FORSIDE!$B$5&gt;=8),"S2198","")</f>
        <v/>
      </c>
      <c r="B2199" t="str">
        <f>IF(AND(FORSIDE!$B$8&gt;=9,FORSIDE!$F$8&gt;=10,FORSIDE!$B$5&gt;=8),"2417 -&gt; 2418","")</f>
        <v/>
      </c>
      <c r="C2199" t="str">
        <f>FORSIDE!$C$4</f>
        <v>S355, Stål / KFHUP 180x180x12.5</v>
      </c>
    </row>
    <row r="2200" spans="1:3" x14ac:dyDescent="0.3">
      <c r="A2200" t="str">
        <f>IF(AND(FORSIDE!$B$8&gt;=9,FORSIDE!$F$8&gt;=10,FORSIDE!$B$5&gt;=9),"S2199","")</f>
        <v/>
      </c>
      <c r="B2200" t="str">
        <f>IF(AND(FORSIDE!$B$8&gt;=9,FORSIDE!$F$8&gt;=10,FORSIDE!$B$5&gt;=9),"2418 -&gt; 2419","")</f>
        <v/>
      </c>
      <c r="C2200" t="str">
        <f>FORSIDE!$C$4</f>
        <v>S355, Stål / KFHUP 180x180x12.5</v>
      </c>
    </row>
    <row r="2201" spans="1:3" x14ac:dyDescent="0.3">
      <c r="A2201" t="str">
        <f>IF(AND(FORSIDE!$B$8&gt;=9,FORSIDE!$F$8&gt;=10,FORSIDE!$B$5&gt;=10),"S2200","")</f>
        <v/>
      </c>
      <c r="B2201" t="str">
        <f>IF(AND(FORSIDE!$B$8&gt;=9,FORSIDE!$F$8&gt;=10,FORSIDE!$B$5&gt;=10),"2419 -&gt; 2420","")</f>
        <v/>
      </c>
      <c r="C2201" t="str">
        <f>FORSIDE!$C$4</f>
        <v>S355, Stål / KFHUP 180x180x12.5</v>
      </c>
    </row>
    <row r="2202" spans="1:3" x14ac:dyDescent="0.3">
      <c r="A2202" t="str">
        <f>IF(AND(FORSIDE!$B$8&gt;=10,FORSIDE!$F$8&gt;=10,FORSIDE!$B$5&gt;=1),"S2201","")</f>
        <v/>
      </c>
      <c r="B2202" t="str">
        <f>IF(AND(FORSIDE!$B$8&gt;=10,FORSIDE!$F$8&gt;=10,FORSIDE!$B$5&gt;=1),"2421 -&gt; 2422","")</f>
        <v/>
      </c>
      <c r="C2202" t="str">
        <f>FORSIDE!$C$4</f>
        <v>S355, Stål / KFHUP 180x180x12.5</v>
      </c>
    </row>
    <row r="2203" spans="1:3" x14ac:dyDescent="0.3">
      <c r="A2203" t="str">
        <f>IF(AND(FORSIDE!$B$8&gt;=10,FORSIDE!$F$8&gt;=10,FORSIDE!$B$5&gt;=2),"S2202","")</f>
        <v/>
      </c>
      <c r="B2203" t="str">
        <f>IF(AND(FORSIDE!$B$8&gt;=10,FORSIDE!$F$8&gt;=10,FORSIDE!$B$5&gt;=2),"2422 -&gt; 2423","")</f>
        <v/>
      </c>
      <c r="C2203" t="str">
        <f>FORSIDE!$C$4</f>
        <v>S355, Stål / KFHUP 180x180x12.5</v>
      </c>
    </row>
    <row r="2204" spans="1:3" x14ac:dyDescent="0.3">
      <c r="A2204" t="str">
        <f>IF(AND(FORSIDE!$B$8&gt;=10,FORSIDE!$F$8&gt;=10,FORSIDE!$B$5&gt;=3),"S2203","")</f>
        <v/>
      </c>
      <c r="B2204" t="str">
        <f>IF(AND(FORSIDE!$B$8&gt;=10,FORSIDE!$F$8&gt;=10,FORSIDE!$B$5&gt;=3),"2423 -&gt; 2424","")</f>
        <v/>
      </c>
      <c r="C2204" t="str">
        <f>FORSIDE!$C$4</f>
        <v>S355, Stål / KFHUP 180x180x12.5</v>
      </c>
    </row>
    <row r="2205" spans="1:3" x14ac:dyDescent="0.3">
      <c r="A2205" t="str">
        <f>IF(AND(FORSIDE!$B$8&gt;=10,FORSIDE!$F$8&gt;=10,FORSIDE!$B$5&gt;=4),"S2204","")</f>
        <v/>
      </c>
      <c r="B2205" t="str">
        <f>IF(AND(FORSIDE!$B$8&gt;=10,FORSIDE!$F$8&gt;=10,FORSIDE!$B$5&gt;=4),"2424 -&gt; 2425","")</f>
        <v/>
      </c>
      <c r="C2205" t="str">
        <f>FORSIDE!$C$4</f>
        <v>S355, Stål / KFHUP 180x180x12.5</v>
      </c>
    </row>
    <row r="2206" spans="1:3" x14ac:dyDescent="0.3">
      <c r="A2206" t="str">
        <f>IF(AND(FORSIDE!$B$8&gt;=10,FORSIDE!$F$8&gt;=10,FORSIDE!$B$5&gt;=5),"S2205","")</f>
        <v/>
      </c>
      <c r="B2206" t="str">
        <f>IF(AND(FORSIDE!$B$8&gt;=10,FORSIDE!$F$8&gt;=10,FORSIDE!$B$5&gt;=5),"2425 -&gt; 2426","")</f>
        <v/>
      </c>
      <c r="C2206" t="str">
        <f>FORSIDE!$C$4</f>
        <v>S355, Stål / KFHUP 180x180x12.5</v>
      </c>
    </row>
    <row r="2207" spans="1:3" x14ac:dyDescent="0.3">
      <c r="A2207" t="str">
        <f>IF(AND(FORSIDE!$B$8&gt;=10,FORSIDE!$F$8&gt;=10,FORSIDE!$B$5&gt;=6),"S2206","")</f>
        <v/>
      </c>
      <c r="B2207" t="str">
        <f>IF(AND(FORSIDE!$B$8&gt;=10,FORSIDE!$F$8&gt;=10,FORSIDE!$B$5&gt;=6),"2426 -&gt; 2427","")</f>
        <v/>
      </c>
      <c r="C2207" t="str">
        <f>FORSIDE!$C$4</f>
        <v>S355, Stål / KFHUP 180x180x12.5</v>
      </c>
    </row>
    <row r="2208" spans="1:3" x14ac:dyDescent="0.3">
      <c r="A2208" t="str">
        <f>IF(AND(FORSIDE!$B$8&gt;=10,FORSIDE!$F$8&gt;=10,FORSIDE!$B$5&gt;=7),"S2207","")</f>
        <v/>
      </c>
      <c r="B2208" t="str">
        <f>IF(AND(FORSIDE!$B$8&gt;=10,FORSIDE!$F$8&gt;=10,FORSIDE!$B$5&gt;=7),"2427 -&gt; 2428","")</f>
        <v/>
      </c>
      <c r="C2208" t="str">
        <f>FORSIDE!$C$4</f>
        <v>S355, Stål / KFHUP 180x180x12.5</v>
      </c>
    </row>
    <row r="2209" spans="1:3" x14ac:dyDescent="0.3">
      <c r="A2209" t="str">
        <f>IF(AND(FORSIDE!$B$8&gt;=10,FORSIDE!$F$8&gt;=10,FORSIDE!$B$5&gt;=8),"S2208","")</f>
        <v/>
      </c>
      <c r="B2209" t="str">
        <f>IF(AND(FORSIDE!$B$8&gt;=10,FORSIDE!$F$8&gt;=10,FORSIDE!$B$5&gt;=8),"2428 -&gt; 2429","")</f>
        <v/>
      </c>
      <c r="C2209" t="str">
        <f>FORSIDE!$C$4</f>
        <v>S355, Stål / KFHUP 180x180x12.5</v>
      </c>
    </row>
    <row r="2210" spans="1:3" x14ac:dyDescent="0.3">
      <c r="A2210" t="str">
        <f>IF(AND(FORSIDE!$B$8&gt;=10,FORSIDE!$F$8&gt;=10,FORSIDE!$B$5&gt;=9),"S2209","")</f>
        <v/>
      </c>
      <c r="B2210" t="str">
        <f>IF(AND(FORSIDE!$B$8&gt;=10,FORSIDE!$F$8&gt;=10,FORSIDE!$B$5&gt;=9),"2429 -&gt; 2430","")</f>
        <v/>
      </c>
      <c r="C2210" t="str">
        <f>FORSIDE!$C$4</f>
        <v>S355, Stål / KFHUP 180x180x12.5</v>
      </c>
    </row>
    <row r="2211" spans="1:3" x14ac:dyDescent="0.3">
      <c r="A2211" t="str">
        <f>IF(AND(FORSIDE!$B$8&gt;=10,FORSIDE!$F$8&gt;=10,FORSIDE!$B$5&gt;=10),"S2210","")</f>
        <v/>
      </c>
      <c r="B2211" t="str">
        <f>IF(AND(FORSIDE!$B$8&gt;=10,FORSIDE!$F$8&gt;=10,FORSIDE!$B$5&gt;=10),"2430 -&gt; 2431","")</f>
        <v/>
      </c>
      <c r="C2211" t="str">
        <f>FORSIDE!$C$4</f>
        <v>S355, Stål / KFHUP 180x180x12.5</v>
      </c>
    </row>
    <row r="2212" spans="1:3" x14ac:dyDescent="0.3">
      <c r="A2212" t="str">
        <f>IF(AND(FORSIDE!$B$8&gt;=11,FORSIDE!$F$8&gt;=10,FORSIDE!$B$5&gt;=1),"S2211","")</f>
        <v/>
      </c>
      <c r="B2212" t="str">
        <f>IF(AND(FORSIDE!$B$8&gt;=11,FORSIDE!$F$8&gt;=10,FORSIDE!$B$5&gt;=1),"2432 -&gt; 2433","")</f>
        <v/>
      </c>
      <c r="C2212" t="str">
        <f>FORSIDE!$C$4</f>
        <v>S355, Stål / KFHUP 180x180x12.5</v>
      </c>
    </row>
    <row r="2213" spans="1:3" x14ac:dyDescent="0.3">
      <c r="A2213" t="str">
        <f>IF(AND(FORSIDE!$B$8&gt;=11,FORSIDE!$F$8&gt;=10,FORSIDE!$B$5&gt;=2),"S2212","")</f>
        <v/>
      </c>
      <c r="B2213" t="str">
        <f>IF(AND(FORSIDE!$B$8&gt;=11,FORSIDE!$F$8&gt;=10,FORSIDE!$B$5&gt;=2),"2433 -&gt; 2434","")</f>
        <v/>
      </c>
      <c r="C2213" t="str">
        <f>FORSIDE!$C$4</f>
        <v>S355, Stål / KFHUP 180x180x12.5</v>
      </c>
    </row>
    <row r="2214" spans="1:3" x14ac:dyDescent="0.3">
      <c r="A2214" t="str">
        <f>IF(AND(FORSIDE!$B$8&gt;=11,FORSIDE!$F$8&gt;=10,FORSIDE!$B$5&gt;=3),"S2213","")</f>
        <v/>
      </c>
      <c r="B2214" t="str">
        <f>IF(AND(FORSIDE!$B$8&gt;=11,FORSIDE!$F$8&gt;=10,FORSIDE!$B$5&gt;=3),"2434 -&gt; 2435","")</f>
        <v/>
      </c>
      <c r="C2214" t="str">
        <f>FORSIDE!$C$4</f>
        <v>S355, Stål / KFHUP 180x180x12.5</v>
      </c>
    </row>
    <row r="2215" spans="1:3" x14ac:dyDescent="0.3">
      <c r="A2215" t="str">
        <f>IF(AND(FORSIDE!$B$8&gt;=11,FORSIDE!$F$8&gt;=10,FORSIDE!$B$5&gt;=4),"S2214","")</f>
        <v/>
      </c>
      <c r="B2215" t="str">
        <f>IF(AND(FORSIDE!$B$8&gt;=11,FORSIDE!$F$8&gt;=10,FORSIDE!$B$5&gt;=4),"2435 -&gt; 2436","")</f>
        <v/>
      </c>
      <c r="C2215" t="str">
        <f>FORSIDE!$C$4</f>
        <v>S355, Stål / KFHUP 180x180x12.5</v>
      </c>
    </row>
    <row r="2216" spans="1:3" x14ac:dyDescent="0.3">
      <c r="A2216" t="str">
        <f>IF(AND(FORSIDE!$B$8&gt;=11,FORSIDE!$F$8&gt;=10,FORSIDE!$B$5&gt;=5),"S2215","")</f>
        <v/>
      </c>
      <c r="B2216" t="str">
        <f>IF(AND(FORSIDE!$B$8&gt;=11,FORSIDE!$F$8&gt;=10,FORSIDE!$B$5&gt;=5),"2436 -&gt; 2437","")</f>
        <v/>
      </c>
      <c r="C2216" t="str">
        <f>FORSIDE!$C$4</f>
        <v>S355, Stål / KFHUP 180x180x12.5</v>
      </c>
    </row>
    <row r="2217" spans="1:3" x14ac:dyDescent="0.3">
      <c r="A2217" t="str">
        <f>IF(AND(FORSIDE!$B$8&gt;=11,FORSIDE!$F$8&gt;=10,FORSIDE!$B$5&gt;=6),"S2216","")</f>
        <v/>
      </c>
      <c r="B2217" t="str">
        <f>IF(AND(FORSIDE!$B$8&gt;=11,FORSIDE!$F$8&gt;=10,FORSIDE!$B$5&gt;=6),"2437 -&gt; 2438","")</f>
        <v/>
      </c>
      <c r="C2217" t="str">
        <f>FORSIDE!$C$4</f>
        <v>S355, Stål / KFHUP 180x180x12.5</v>
      </c>
    </row>
    <row r="2218" spans="1:3" x14ac:dyDescent="0.3">
      <c r="A2218" t="str">
        <f>IF(AND(FORSIDE!$B$8&gt;=11,FORSIDE!$F$8&gt;=10,FORSIDE!$B$5&gt;=7),"S2217","")</f>
        <v/>
      </c>
      <c r="B2218" t="str">
        <f>IF(AND(FORSIDE!$B$8&gt;=11,FORSIDE!$F$8&gt;=10,FORSIDE!$B$5&gt;=7),"2438 -&gt; 2439","")</f>
        <v/>
      </c>
      <c r="C2218" t="str">
        <f>FORSIDE!$C$4</f>
        <v>S355, Stål / KFHUP 180x180x12.5</v>
      </c>
    </row>
    <row r="2219" spans="1:3" x14ac:dyDescent="0.3">
      <c r="A2219" t="str">
        <f>IF(AND(FORSIDE!$B$8&gt;=11,FORSIDE!$F$8&gt;=10,FORSIDE!$B$5&gt;=8),"S2218","")</f>
        <v/>
      </c>
      <c r="B2219" t="str">
        <f>IF(AND(FORSIDE!$B$8&gt;=11,FORSIDE!$F$8&gt;=10,FORSIDE!$B$5&gt;=8),"2439 -&gt; 2440","")</f>
        <v/>
      </c>
      <c r="C2219" t="str">
        <f>FORSIDE!$C$4</f>
        <v>S355, Stål / KFHUP 180x180x12.5</v>
      </c>
    </row>
    <row r="2220" spans="1:3" x14ac:dyDescent="0.3">
      <c r="A2220" t="str">
        <f>IF(AND(FORSIDE!$B$8&gt;=11,FORSIDE!$F$8&gt;=10,FORSIDE!$B$5&gt;=9),"S2219","")</f>
        <v/>
      </c>
      <c r="B2220" t="str">
        <f>IF(AND(FORSIDE!$B$8&gt;=11,FORSIDE!$F$8&gt;=10,FORSIDE!$B$5&gt;=9),"2440 -&gt; 2441","")</f>
        <v/>
      </c>
      <c r="C2220" t="str">
        <f>FORSIDE!$C$4</f>
        <v>S355, Stål / KFHUP 180x180x12.5</v>
      </c>
    </row>
    <row r="2221" spans="1:3" x14ac:dyDescent="0.3">
      <c r="A2221" t="str">
        <f>IF(AND(FORSIDE!$B$8&gt;=11,FORSIDE!$F$8&gt;=10,FORSIDE!$B$5&gt;=10),"S2220","")</f>
        <v/>
      </c>
      <c r="B2221" t="str">
        <f>IF(AND(FORSIDE!$B$8&gt;=11,FORSIDE!$F$8&gt;=10,FORSIDE!$B$5&gt;=10),"2441 -&gt; 2442","")</f>
        <v/>
      </c>
      <c r="C2221" t="str">
        <f>FORSIDE!$C$4</f>
        <v>S355, Stål / KFHUP 180x180x12.5</v>
      </c>
    </row>
    <row r="2222" spans="1:3" x14ac:dyDescent="0.3">
      <c r="A2222" t="str">
        <f>IF(AND(FORSIDE!$B$8&gt;=12,FORSIDE!$F$8&gt;=10,FORSIDE!$B$5&gt;=1),"S2221","")</f>
        <v/>
      </c>
      <c r="B2222" t="str">
        <f>IF(AND(FORSIDE!$B$8&gt;=12,FORSIDE!$F$8&gt;=10,FORSIDE!$B$5&gt;=1),"2443 -&gt; 2444","")</f>
        <v/>
      </c>
      <c r="C2222" t="str">
        <f>FORSIDE!$C$4</f>
        <v>S355, Stål / KFHUP 180x180x12.5</v>
      </c>
    </row>
    <row r="2223" spans="1:3" x14ac:dyDescent="0.3">
      <c r="A2223" t="str">
        <f>IF(AND(FORSIDE!$B$8&gt;=12,FORSIDE!$F$8&gt;=10,FORSIDE!$B$5&gt;=2),"S2222","")</f>
        <v/>
      </c>
      <c r="B2223" t="str">
        <f>IF(AND(FORSIDE!$B$8&gt;=12,FORSIDE!$F$8&gt;=10,FORSIDE!$B$5&gt;=2),"2444 -&gt; 2445","")</f>
        <v/>
      </c>
      <c r="C2223" t="str">
        <f>FORSIDE!$C$4</f>
        <v>S355, Stål / KFHUP 180x180x12.5</v>
      </c>
    </row>
    <row r="2224" spans="1:3" x14ac:dyDescent="0.3">
      <c r="A2224" t="str">
        <f>IF(AND(FORSIDE!$B$8&gt;=12,FORSIDE!$F$8&gt;=10,FORSIDE!$B$5&gt;=3),"S2223","")</f>
        <v/>
      </c>
      <c r="B2224" t="str">
        <f>IF(AND(FORSIDE!$B$8&gt;=12,FORSIDE!$F$8&gt;=10,FORSIDE!$B$5&gt;=3),"2445 -&gt; 2446","")</f>
        <v/>
      </c>
      <c r="C2224" t="str">
        <f>FORSIDE!$C$4</f>
        <v>S355, Stål / KFHUP 180x180x12.5</v>
      </c>
    </row>
    <row r="2225" spans="1:3" x14ac:dyDescent="0.3">
      <c r="A2225" t="str">
        <f>IF(AND(FORSIDE!$B$8&gt;=12,FORSIDE!$F$8&gt;=10,FORSIDE!$B$5&gt;=4),"S2224","")</f>
        <v/>
      </c>
      <c r="B2225" t="str">
        <f>IF(AND(FORSIDE!$B$8&gt;=12,FORSIDE!$F$8&gt;=10,FORSIDE!$B$5&gt;=4),"2446 -&gt; 2447","")</f>
        <v/>
      </c>
      <c r="C2225" t="str">
        <f>FORSIDE!$C$4</f>
        <v>S355, Stål / KFHUP 180x180x12.5</v>
      </c>
    </row>
    <row r="2226" spans="1:3" x14ac:dyDescent="0.3">
      <c r="A2226" t="str">
        <f>IF(AND(FORSIDE!$B$8&gt;=12,FORSIDE!$F$8&gt;=10,FORSIDE!$B$5&gt;=5),"S2225","")</f>
        <v/>
      </c>
      <c r="B2226" t="str">
        <f>IF(AND(FORSIDE!$B$8&gt;=12,FORSIDE!$F$8&gt;=10,FORSIDE!$B$5&gt;=5),"2447 -&gt; 2448","")</f>
        <v/>
      </c>
      <c r="C2226" t="str">
        <f>FORSIDE!$C$4</f>
        <v>S355, Stål / KFHUP 180x180x12.5</v>
      </c>
    </row>
    <row r="2227" spans="1:3" x14ac:dyDescent="0.3">
      <c r="A2227" t="str">
        <f>IF(AND(FORSIDE!$B$8&gt;=12,FORSIDE!$F$8&gt;=10,FORSIDE!$B$5&gt;=6),"S2226","")</f>
        <v/>
      </c>
      <c r="B2227" t="str">
        <f>IF(AND(FORSIDE!$B$8&gt;=12,FORSIDE!$F$8&gt;=10,FORSIDE!$B$5&gt;=6),"2448 -&gt; 2449","")</f>
        <v/>
      </c>
      <c r="C2227" t="str">
        <f>FORSIDE!$C$4</f>
        <v>S355, Stål / KFHUP 180x180x12.5</v>
      </c>
    </row>
    <row r="2228" spans="1:3" x14ac:dyDescent="0.3">
      <c r="A2228" t="str">
        <f>IF(AND(FORSIDE!$B$8&gt;=12,FORSIDE!$F$8&gt;=10,FORSIDE!$B$5&gt;=7),"S2227","")</f>
        <v/>
      </c>
      <c r="B2228" t="str">
        <f>IF(AND(FORSIDE!$B$8&gt;=12,FORSIDE!$F$8&gt;=10,FORSIDE!$B$5&gt;=7),"2449 -&gt; 2450","")</f>
        <v/>
      </c>
      <c r="C2228" t="str">
        <f>FORSIDE!$C$4</f>
        <v>S355, Stål / KFHUP 180x180x12.5</v>
      </c>
    </row>
    <row r="2229" spans="1:3" x14ac:dyDescent="0.3">
      <c r="A2229" t="str">
        <f>IF(AND(FORSIDE!$B$8&gt;=12,FORSIDE!$F$8&gt;=10,FORSIDE!$B$5&gt;=8),"S2228","")</f>
        <v/>
      </c>
      <c r="B2229" t="str">
        <f>IF(AND(FORSIDE!$B$8&gt;=12,FORSIDE!$F$8&gt;=10,FORSIDE!$B$5&gt;=8),"2450 -&gt; 2451","")</f>
        <v/>
      </c>
      <c r="C2229" t="str">
        <f>FORSIDE!$C$4</f>
        <v>S355, Stål / KFHUP 180x180x12.5</v>
      </c>
    </row>
    <row r="2230" spans="1:3" x14ac:dyDescent="0.3">
      <c r="A2230" t="str">
        <f>IF(AND(FORSIDE!$B$8&gt;=12,FORSIDE!$F$8&gt;=10,FORSIDE!$B$5&gt;=9),"S2229","")</f>
        <v/>
      </c>
      <c r="B2230" t="str">
        <f>IF(AND(FORSIDE!$B$8&gt;=12,FORSIDE!$F$8&gt;=10,FORSIDE!$B$5&gt;=9),"2451 -&gt; 2452","")</f>
        <v/>
      </c>
      <c r="C2230" t="str">
        <f>FORSIDE!$C$4</f>
        <v>S355, Stål / KFHUP 180x180x12.5</v>
      </c>
    </row>
    <row r="2231" spans="1:3" x14ac:dyDescent="0.3">
      <c r="A2231" t="str">
        <f>IF(AND(FORSIDE!$B$8&gt;=12,FORSIDE!$F$8&gt;=10,FORSIDE!$B$5&gt;=10),"S2230","")</f>
        <v/>
      </c>
      <c r="B2231" t="str">
        <f>IF(AND(FORSIDE!$B$8&gt;=12,FORSIDE!$F$8&gt;=10,FORSIDE!$B$5&gt;=10),"2452 -&gt; 2453","")</f>
        <v/>
      </c>
      <c r="C2231" t="str">
        <f>FORSIDE!$C$4</f>
        <v>S355, Stål / KFHUP 180x180x12.5</v>
      </c>
    </row>
    <row r="2232" spans="1:3" x14ac:dyDescent="0.3">
      <c r="A2232" t="str">
        <f>IF(AND(FORSIDE!$B$8&gt;=13,FORSIDE!$F$8&gt;=10,FORSIDE!$B$5&gt;=1),"S2231","")</f>
        <v/>
      </c>
      <c r="B2232" t="str">
        <f>IF(AND(FORSIDE!$B$8&gt;=13,FORSIDE!$F$8&gt;=10,FORSIDE!$B$5&gt;=1),"2454 -&gt; 2455","")</f>
        <v/>
      </c>
      <c r="C2232" t="str">
        <f>FORSIDE!$C$4</f>
        <v>S355, Stål / KFHUP 180x180x12.5</v>
      </c>
    </row>
    <row r="2233" spans="1:3" x14ac:dyDescent="0.3">
      <c r="A2233" t="str">
        <f>IF(AND(FORSIDE!$B$8&gt;=13,FORSIDE!$F$8&gt;=10,FORSIDE!$B$5&gt;=2),"S2232","")</f>
        <v/>
      </c>
      <c r="B2233" t="str">
        <f>IF(AND(FORSIDE!$B$8&gt;=13,FORSIDE!$F$8&gt;=10,FORSIDE!$B$5&gt;=2),"2455 -&gt; 2456","")</f>
        <v/>
      </c>
      <c r="C2233" t="str">
        <f>FORSIDE!$C$4</f>
        <v>S355, Stål / KFHUP 180x180x12.5</v>
      </c>
    </row>
    <row r="2234" spans="1:3" x14ac:dyDescent="0.3">
      <c r="A2234" t="str">
        <f>IF(AND(FORSIDE!$B$8&gt;=13,FORSIDE!$F$8&gt;=10,FORSIDE!$B$5&gt;=3),"S2233","")</f>
        <v/>
      </c>
      <c r="B2234" t="str">
        <f>IF(AND(FORSIDE!$B$8&gt;=13,FORSIDE!$F$8&gt;=10,FORSIDE!$B$5&gt;=3),"2456 -&gt; 2457","")</f>
        <v/>
      </c>
      <c r="C2234" t="str">
        <f>FORSIDE!$C$4</f>
        <v>S355, Stål / KFHUP 180x180x12.5</v>
      </c>
    </row>
    <row r="2235" spans="1:3" x14ac:dyDescent="0.3">
      <c r="A2235" t="str">
        <f>IF(AND(FORSIDE!$B$8&gt;=13,FORSIDE!$F$8&gt;=10,FORSIDE!$B$5&gt;=4),"S2234","")</f>
        <v/>
      </c>
      <c r="B2235" t="str">
        <f>IF(AND(FORSIDE!$B$8&gt;=13,FORSIDE!$F$8&gt;=10,FORSIDE!$B$5&gt;=4),"2457 -&gt; 2458","")</f>
        <v/>
      </c>
      <c r="C2235" t="str">
        <f>FORSIDE!$C$4</f>
        <v>S355, Stål / KFHUP 180x180x12.5</v>
      </c>
    </row>
    <row r="2236" spans="1:3" x14ac:dyDescent="0.3">
      <c r="A2236" t="str">
        <f>IF(AND(FORSIDE!$B$8&gt;=13,FORSIDE!$F$8&gt;=10,FORSIDE!$B$5&gt;=5),"S2235","")</f>
        <v/>
      </c>
      <c r="B2236" t="str">
        <f>IF(AND(FORSIDE!$B$8&gt;=13,FORSIDE!$F$8&gt;=10,FORSIDE!$B$5&gt;=5),"2458 -&gt; 2459","")</f>
        <v/>
      </c>
      <c r="C2236" t="str">
        <f>FORSIDE!$C$4</f>
        <v>S355, Stål / KFHUP 180x180x12.5</v>
      </c>
    </row>
    <row r="2237" spans="1:3" x14ac:dyDescent="0.3">
      <c r="A2237" t="str">
        <f>IF(AND(FORSIDE!$B$8&gt;=13,FORSIDE!$F$8&gt;=10,FORSIDE!$B$5&gt;=6),"S2236","")</f>
        <v/>
      </c>
      <c r="B2237" t="str">
        <f>IF(AND(FORSIDE!$B$8&gt;=13,FORSIDE!$F$8&gt;=10,FORSIDE!$B$5&gt;=6),"2459 -&gt; 2460","")</f>
        <v/>
      </c>
      <c r="C2237" t="str">
        <f>FORSIDE!$C$4</f>
        <v>S355, Stål / KFHUP 180x180x12.5</v>
      </c>
    </row>
    <row r="2238" spans="1:3" x14ac:dyDescent="0.3">
      <c r="A2238" t="str">
        <f>IF(AND(FORSIDE!$B$8&gt;=13,FORSIDE!$F$8&gt;=10,FORSIDE!$B$5&gt;=7),"S2237","")</f>
        <v/>
      </c>
      <c r="B2238" t="str">
        <f>IF(AND(FORSIDE!$B$8&gt;=13,FORSIDE!$F$8&gt;=10,FORSIDE!$B$5&gt;=7),"2460 -&gt; 2461","")</f>
        <v/>
      </c>
      <c r="C2238" t="str">
        <f>FORSIDE!$C$4</f>
        <v>S355, Stål / KFHUP 180x180x12.5</v>
      </c>
    </row>
    <row r="2239" spans="1:3" x14ac:dyDescent="0.3">
      <c r="A2239" t="str">
        <f>IF(AND(FORSIDE!$B$8&gt;=13,FORSIDE!$F$8&gt;=10,FORSIDE!$B$5&gt;=8),"S2238","")</f>
        <v/>
      </c>
      <c r="B2239" t="str">
        <f>IF(AND(FORSIDE!$B$8&gt;=13,FORSIDE!$F$8&gt;=10,FORSIDE!$B$5&gt;=8),"2461 -&gt; 2462","")</f>
        <v/>
      </c>
      <c r="C2239" t="str">
        <f>FORSIDE!$C$4</f>
        <v>S355, Stål / KFHUP 180x180x12.5</v>
      </c>
    </row>
    <row r="2240" spans="1:3" x14ac:dyDescent="0.3">
      <c r="A2240" t="str">
        <f>IF(AND(FORSIDE!$B$8&gt;=13,FORSIDE!$F$8&gt;=10,FORSIDE!$B$5&gt;=9),"S2239","")</f>
        <v/>
      </c>
      <c r="B2240" t="str">
        <f>IF(AND(FORSIDE!$B$8&gt;=13,FORSIDE!$F$8&gt;=10,FORSIDE!$B$5&gt;=9),"2462 -&gt; 2463","")</f>
        <v/>
      </c>
      <c r="C2240" t="str">
        <f>FORSIDE!$C$4</f>
        <v>S355, Stål / KFHUP 180x180x12.5</v>
      </c>
    </row>
    <row r="2241" spans="1:3" x14ac:dyDescent="0.3">
      <c r="A2241" t="str">
        <f>IF(AND(FORSIDE!$B$8&gt;=13,FORSIDE!$F$8&gt;=10,FORSIDE!$B$5&gt;=10),"S2240","")</f>
        <v/>
      </c>
      <c r="B2241" t="str">
        <f>IF(AND(FORSIDE!$B$8&gt;=13,FORSIDE!$F$8&gt;=10,FORSIDE!$B$5&gt;=10),"2463 -&gt; 2464","")</f>
        <v/>
      </c>
      <c r="C2241" t="str">
        <f>FORSIDE!$C$4</f>
        <v>S355, Stål / KFHUP 180x180x12.5</v>
      </c>
    </row>
    <row r="2242" spans="1:3" x14ac:dyDescent="0.3">
      <c r="A2242" t="str">
        <f>IF(AND(FORSIDE!$B$8&gt;=14,FORSIDE!$F$8&gt;=10,FORSIDE!$B$5&gt;=1),"S2241","")</f>
        <v/>
      </c>
      <c r="B2242" t="str">
        <f>IF(AND(FORSIDE!$B$8&gt;=14,FORSIDE!$F$8&gt;=10,FORSIDE!$B$5&gt;=1),"2465 -&gt; 2466","")</f>
        <v/>
      </c>
      <c r="C2242" t="str">
        <f>FORSIDE!$C$4</f>
        <v>S355, Stål / KFHUP 180x180x12.5</v>
      </c>
    </row>
    <row r="2243" spans="1:3" x14ac:dyDescent="0.3">
      <c r="A2243" t="str">
        <f>IF(AND(FORSIDE!$B$8&gt;=14,FORSIDE!$F$8&gt;=10,FORSIDE!$B$5&gt;=2),"S2242","")</f>
        <v/>
      </c>
      <c r="B2243" t="str">
        <f>IF(AND(FORSIDE!$B$8&gt;=14,FORSIDE!$F$8&gt;=10,FORSIDE!$B$5&gt;=2),"2466 -&gt; 2467","")</f>
        <v/>
      </c>
      <c r="C2243" t="str">
        <f>FORSIDE!$C$4</f>
        <v>S355, Stål / KFHUP 180x180x12.5</v>
      </c>
    </row>
    <row r="2244" spans="1:3" x14ac:dyDescent="0.3">
      <c r="A2244" t="str">
        <f>IF(AND(FORSIDE!$B$8&gt;=14,FORSIDE!$F$8&gt;=10,FORSIDE!$B$5&gt;=3),"S2243","")</f>
        <v/>
      </c>
      <c r="B2244" t="str">
        <f>IF(AND(FORSIDE!$B$8&gt;=14,FORSIDE!$F$8&gt;=10,FORSIDE!$B$5&gt;=3),"2467 -&gt; 2468","")</f>
        <v/>
      </c>
      <c r="C2244" t="str">
        <f>FORSIDE!$C$4</f>
        <v>S355, Stål / KFHUP 180x180x12.5</v>
      </c>
    </row>
    <row r="2245" spans="1:3" x14ac:dyDescent="0.3">
      <c r="A2245" t="str">
        <f>IF(AND(FORSIDE!$B$8&gt;=14,FORSIDE!$F$8&gt;=10,FORSIDE!$B$5&gt;=4),"S2244","")</f>
        <v/>
      </c>
      <c r="B2245" t="str">
        <f>IF(AND(FORSIDE!$B$8&gt;=14,FORSIDE!$F$8&gt;=10,FORSIDE!$B$5&gt;=4),"2468 -&gt; 2469","")</f>
        <v/>
      </c>
      <c r="C2245" t="str">
        <f>FORSIDE!$C$4</f>
        <v>S355, Stål / KFHUP 180x180x12.5</v>
      </c>
    </row>
    <row r="2246" spans="1:3" x14ac:dyDescent="0.3">
      <c r="A2246" t="str">
        <f>IF(AND(FORSIDE!$B$8&gt;=14,FORSIDE!$F$8&gt;=10,FORSIDE!$B$5&gt;=5),"S2245","")</f>
        <v/>
      </c>
      <c r="B2246" t="str">
        <f>IF(AND(FORSIDE!$B$8&gt;=14,FORSIDE!$F$8&gt;=10,FORSIDE!$B$5&gt;=5),"2469 -&gt; 2470","")</f>
        <v/>
      </c>
      <c r="C2246" t="str">
        <f>FORSIDE!$C$4</f>
        <v>S355, Stål / KFHUP 180x180x12.5</v>
      </c>
    </row>
    <row r="2247" spans="1:3" x14ac:dyDescent="0.3">
      <c r="A2247" t="str">
        <f>IF(AND(FORSIDE!$B$8&gt;=14,FORSIDE!$F$8&gt;=10,FORSIDE!$B$5&gt;=6),"S2246","")</f>
        <v/>
      </c>
      <c r="B2247" t="str">
        <f>IF(AND(FORSIDE!$B$8&gt;=14,FORSIDE!$F$8&gt;=10,FORSIDE!$B$5&gt;=6),"2470 -&gt; 2471","")</f>
        <v/>
      </c>
      <c r="C2247" t="str">
        <f>FORSIDE!$C$4</f>
        <v>S355, Stål / KFHUP 180x180x12.5</v>
      </c>
    </row>
    <row r="2248" spans="1:3" x14ac:dyDescent="0.3">
      <c r="A2248" t="str">
        <f>IF(AND(FORSIDE!$B$8&gt;=14,FORSIDE!$F$8&gt;=10,FORSIDE!$B$5&gt;=7),"S2247","")</f>
        <v/>
      </c>
      <c r="B2248" t="str">
        <f>IF(AND(FORSIDE!$B$8&gt;=14,FORSIDE!$F$8&gt;=10,FORSIDE!$B$5&gt;=7),"2471 -&gt; 2472","")</f>
        <v/>
      </c>
      <c r="C2248" t="str">
        <f>FORSIDE!$C$4</f>
        <v>S355, Stål / KFHUP 180x180x12.5</v>
      </c>
    </row>
    <row r="2249" spans="1:3" x14ac:dyDescent="0.3">
      <c r="A2249" t="str">
        <f>IF(AND(FORSIDE!$B$8&gt;=14,FORSIDE!$F$8&gt;=10,FORSIDE!$B$5&gt;=8),"S2248","")</f>
        <v/>
      </c>
      <c r="B2249" t="str">
        <f>IF(AND(FORSIDE!$B$8&gt;=14,FORSIDE!$F$8&gt;=10,FORSIDE!$B$5&gt;=8),"2472 -&gt; 2473","")</f>
        <v/>
      </c>
      <c r="C2249" t="str">
        <f>FORSIDE!$C$4</f>
        <v>S355, Stål / KFHUP 180x180x12.5</v>
      </c>
    </row>
    <row r="2250" spans="1:3" x14ac:dyDescent="0.3">
      <c r="A2250" t="str">
        <f>IF(AND(FORSIDE!$B$8&gt;=14,FORSIDE!$F$8&gt;=10,FORSIDE!$B$5&gt;=9),"S2249","")</f>
        <v/>
      </c>
      <c r="B2250" t="str">
        <f>IF(AND(FORSIDE!$B$8&gt;=14,FORSIDE!$F$8&gt;=10,FORSIDE!$B$5&gt;=9),"2473 -&gt; 2474","")</f>
        <v/>
      </c>
      <c r="C2250" t="str">
        <f>FORSIDE!$C$4</f>
        <v>S355, Stål / KFHUP 180x180x12.5</v>
      </c>
    </row>
    <row r="2251" spans="1:3" x14ac:dyDescent="0.3">
      <c r="A2251" t="str">
        <f>IF(AND(FORSIDE!$B$8&gt;=14,FORSIDE!$F$8&gt;=10,FORSIDE!$B$5&gt;=10),"S2250","")</f>
        <v/>
      </c>
      <c r="B2251" t="str">
        <f>IF(AND(FORSIDE!$B$8&gt;=14,FORSIDE!$F$8&gt;=10,FORSIDE!$B$5&gt;=10),"2474 -&gt; 2475","")</f>
        <v/>
      </c>
      <c r="C2251" t="str">
        <f>FORSIDE!$C$4</f>
        <v>S355, Stål / KFHUP 180x180x12.5</v>
      </c>
    </row>
    <row r="2252" spans="1:3" x14ac:dyDescent="0.3">
      <c r="A2252" t="str">
        <f>IF(AND(FORSIDE!$B$8&gt;=15,FORSIDE!$F$8&gt;=10,FORSIDE!$B$5&gt;=1),"S2251","")</f>
        <v/>
      </c>
      <c r="B2252" t="str">
        <f>IF(AND(FORSIDE!$B$8&gt;=15,FORSIDE!$F$8&gt;=10,FORSIDE!$B$5&gt;=1),"2476 -&gt; 2477","")</f>
        <v/>
      </c>
      <c r="C2252" t="str">
        <f>FORSIDE!$C$4</f>
        <v>S355, Stål / KFHUP 180x180x12.5</v>
      </c>
    </row>
    <row r="2253" spans="1:3" x14ac:dyDescent="0.3">
      <c r="A2253" t="str">
        <f>IF(AND(FORSIDE!$B$8&gt;=15,FORSIDE!$F$8&gt;=10,FORSIDE!$B$5&gt;=2),"S2252","")</f>
        <v/>
      </c>
      <c r="B2253" t="str">
        <f>IF(AND(FORSIDE!$B$8&gt;=15,FORSIDE!$F$8&gt;=10,FORSIDE!$B$5&gt;=2),"2477 -&gt; 2478","")</f>
        <v/>
      </c>
      <c r="C2253" t="str">
        <f>FORSIDE!$C$4</f>
        <v>S355, Stål / KFHUP 180x180x12.5</v>
      </c>
    </row>
    <row r="2254" spans="1:3" x14ac:dyDescent="0.3">
      <c r="A2254" t="str">
        <f>IF(AND(FORSIDE!$B$8&gt;=15,FORSIDE!$F$8&gt;=10,FORSIDE!$B$5&gt;=3),"S2253","")</f>
        <v/>
      </c>
      <c r="B2254" t="str">
        <f>IF(AND(FORSIDE!$B$8&gt;=15,FORSIDE!$F$8&gt;=10,FORSIDE!$B$5&gt;=3),"2478 -&gt; 2479","")</f>
        <v/>
      </c>
      <c r="C2254" t="str">
        <f>FORSIDE!$C$4</f>
        <v>S355, Stål / KFHUP 180x180x12.5</v>
      </c>
    </row>
    <row r="2255" spans="1:3" x14ac:dyDescent="0.3">
      <c r="A2255" t="str">
        <f>IF(AND(FORSIDE!$B$8&gt;=15,FORSIDE!$F$8&gt;=10,FORSIDE!$B$5&gt;=4),"S2254","")</f>
        <v/>
      </c>
      <c r="B2255" t="str">
        <f>IF(AND(FORSIDE!$B$8&gt;=15,FORSIDE!$F$8&gt;=10,FORSIDE!$B$5&gt;=4),"2479 -&gt; 2480","")</f>
        <v/>
      </c>
      <c r="C2255" t="str">
        <f>FORSIDE!$C$4</f>
        <v>S355, Stål / KFHUP 180x180x12.5</v>
      </c>
    </row>
    <row r="2256" spans="1:3" x14ac:dyDescent="0.3">
      <c r="A2256" t="str">
        <f>IF(AND(FORSIDE!$B$8&gt;=15,FORSIDE!$F$8&gt;=10,FORSIDE!$B$5&gt;=5),"S2255","")</f>
        <v/>
      </c>
      <c r="B2256" t="str">
        <f>IF(AND(FORSIDE!$B$8&gt;=15,FORSIDE!$F$8&gt;=10,FORSIDE!$B$5&gt;=5),"2480 -&gt; 2481","")</f>
        <v/>
      </c>
      <c r="C2256" t="str">
        <f>FORSIDE!$C$4</f>
        <v>S355, Stål / KFHUP 180x180x12.5</v>
      </c>
    </row>
    <row r="2257" spans="1:3" x14ac:dyDescent="0.3">
      <c r="A2257" t="str">
        <f>IF(AND(FORSIDE!$B$8&gt;=15,FORSIDE!$F$8&gt;=10,FORSIDE!$B$5&gt;=6),"S2256","")</f>
        <v/>
      </c>
      <c r="B2257" t="str">
        <f>IF(AND(FORSIDE!$B$8&gt;=15,FORSIDE!$F$8&gt;=10,FORSIDE!$B$5&gt;=6),"2481 -&gt; 2482","")</f>
        <v/>
      </c>
      <c r="C2257" t="str">
        <f>FORSIDE!$C$4</f>
        <v>S355, Stål / KFHUP 180x180x12.5</v>
      </c>
    </row>
    <row r="2258" spans="1:3" x14ac:dyDescent="0.3">
      <c r="A2258" t="str">
        <f>IF(AND(FORSIDE!$B$8&gt;=15,FORSIDE!$F$8&gt;=10,FORSIDE!$B$5&gt;=7),"S2257","")</f>
        <v/>
      </c>
      <c r="B2258" t="str">
        <f>IF(AND(FORSIDE!$B$8&gt;=15,FORSIDE!$F$8&gt;=10,FORSIDE!$B$5&gt;=7),"2482 -&gt; 2483","")</f>
        <v/>
      </c>
      <c r="C2258" t="str">
        <f>FORSIDE!$C$4</f>
        <v>S355, Stål / KFHUP 180x180x12.5</v>
      </c>
    </row>
    <row r="2259" spans="1:3" x14ac:dyDescent="0.3">
      <c r="A2259" t="str">
        <f>IF(AND(FORSIDE!$B$8&gt;=15,FORSIDE!$F$8&gt;=10,FORSIDE!$B$5&gt;=8),"S2258","")</f>
        <v/>
      </c>
      <c r="B2259" t="str">
        <f>IF(AND(FORSIDE!$B$8&gt;=15,FORSIDE!$F$8&gt;=10,FORSIDE!$B$5&gt;=8),"2483 -&gt; 2484","")</f>
        <v/>
      </c>
      <c r="C2259" t="str">
        <f>FORSIDE!$C$4</f>
        <v>S355, Stål / KFHUP 180x180x12.5</v>
      </c>
    </row>
    <row r="2260" spans="1:3" x14ac:dyDescent="0.3">
      <c r="A2260" t="str">
        <f>IF(AND(FORSIDE!$B$8&gt;=15,FORSIDE!$F$8&gt;=10,FORSIDE!$B$5&gt;=9),"S2259","")</f>
        <v/>
      </c>
      <c r="B2260" t="str">
        <f>IF(AND(FORSIDE!$B$8&gt;=15,FORSIDE!$F$8&gt;=10,FORSIDE!$B$5&gt;=9),"2484 -&gt; 2485","")</f>
        <v/>
      </c>
      <c r="C2260" t="str">
        <f>FORSIDE!$C$4</f>
        <v>S355, Stål / KFHUP 180x180x12.5</v>
      </c>
    </row>
    <row r="2261" spans="1:3" x14ac:dyDescent="0.3">
      <c r="A2261" t="str">
        <f>IF(AND(FORSIDE!$B$8&gt;=15,FORSIDE!$F$8&gt;=10,FORSIDE!$B$5&gt;=10),"S2260","")</f>
        <v/>
      </c>
      <c r="B2261" t="str">
        <f>IF(AND(FORSIDE!$B$8&gt;=15,FORSIDE!$F$8&gt;=10,FORSIDE!$B$5&gt;=10),"2485 -&gt; 2486","")</f>
        <v/>
      </c>
      <c r="C2261" t="str">
        <f>FORSIDE!$C$4</f>
        <v>S355, Stål / KFHUP 180x180x12.5</v>
      </c>
    </row>
    <row r="2262" spans="1:3" x14ac:dyDescent="0.3">
      <c r="A2262" t="str">
        <f>IF(AND(FORSIDE!$B$8&gt;=16,FORSIDE!$F$8&gt;=10,FORSIDE!$B$5&gt;=1),"S2261","")</f>
        <v/>
      </c>
      <c r="B2262" t="str">
        <f>IF(AND(FORSIDE!$B$8&gt;=16,FORSIDE!$F$8&gt;=10,FORSIDE!$B$5&gt;=1),"2487 -&gt; 2488","")</f>
        <v/>
      </c>
      <c r="C2262" t="str">
        <f>FORSIDE!$C$4</f>
        <v>S355, Stål / KFHUP 180x180x12.5</v>
      </c>
    </row>
    <row r="2263" spans="1:3" x14ac:dyDescent="0.3">
      <c r="A2263" t="str">
        <f>IF(AND(FORSIDE!$B$8&gt;=16,FORSIDE!$F$8&gt;=10,FORSIDE!$B$5&gt;=2),"S2262","")</f>
        <v/>
      </c>
      <c r="B2263" t="str">
        <f>IF(AND(FORSIDE!$B$8&gt;=16,FORSIDE!$F$8&gt;=10,FORSIDE!$B$5&gt;=2),"2488 -&gt; 2489","")</f>
        <v/>
      </c>
      <c r="C2263" t="str">
        <f>FORSIDE!$C$4</f>
        <v>S355, Stål / KFHUP 180x180x12.5</v>
      </c>
    </row>
    <row r="2264" spans="1:3" x14ac:dyDescent="0.3">
      <c r="A2264" t="str">
        <f>IF(AND(FORSIDE!$B$8&gt;=16,FORSIDE!$F$8&gt;=10,FORSIDE!$B$5&gt;=3),"S2263","")</f>
        <v/>
      </c>
      <c r="B2264" t="str">
        <f>IF(AND(FORSIDE!$B$8&gt;=16,FORSIDE!$F$8&gt;=10,FORSIDE!$B$5&gt;=3),"2489 -&gt; 2490","")</f>
        <v/>
      </c>
      <c r="C2264" t="str">
        <f>FORSIDE!$C$4</f>
        <v>S355, Stål / KFHUP 180x180x12.5</v>
      </c>
    </row>
    <row r="2265" spans="1:3" x14ac:dyDescent="0.3">
      <c r="A2265" t="str">
        <f>IF(AND(FORSIDE!$B$8&gt;=16,FORSIDE!$F$8&gt;=10,FORSIDE!$B$5&gt;=4),"S2264","")</f>
        <v/>
      </c>
      <c r="B2265" t="str">
        <f>IF(AND(FORSIDE!$B$8&gt;=16,FORSIDE!$F$8&gt;=10,FORSIDE!$B$5&gt;=4),"2490 -&gt; 2491","")</f>
        <v/>
      </c>
      <c r="C2265" t="str">
        <f>FORSIDE!$C$4</f>
        <v>S355, Stål / KFHUP 180x180x12.5</v>
      </c>
    </row>
    <row r="2266" spans="1:3" x14ac:dyDescent="0.3">
      <c r="A2266" t="str">
        <f>IF(AND(FORSIDE!$B$8&gt;=16,FORSIDE!$F$8&gt;=10,FORSIDE!$B$5&gt;=5),"S2265","")</f>
        <v/>
      </c>
      <c r="B2266" t="str">
        <f>IF(AND(FORSIDE!$B$8&gt;=16,FORSIDE!$F$8&gt;=10,FORSIDE!$B$5&gt;=5),"2491 -&gt; 2492","")</f>
        <v/>
      </c>
      <c r="C2266" t="str">
        <f>FORSIDE!$C$4</f>
        <v>S355, Stål / KFHUP 180x180x12.5</v>
      </c>
    </row>
    <row r="2267" spans="1:3" x14ac:dyDescent="0.3">
      <c r="A2267" t="str">
        <f>IF(AND(FORSIDE!$B$8&gt;=16,FORSIDE!$F$8&gt;=10,FORSIDE!$B$5&gt;=6),"S2266","")</f>
        <v/>
      </c>
      <c r="B2267" t="str">
        <f>IF(AND(FORSIDE!$B$8&gt;=16,FORSIDE!$F$8&gt;=10,FORSIDE!$B$5&gt;=6),"2492 -&gt; 2493","")</f>
        <v/>
      </c>
      <c r="C2267" t="str">
        <f>FORSIDE!$C$4</f>
        <v>S355, Stål / KFHUP 180x180x12.5</v>
      </c>
    </row>
    <row r="2268" spans="1:3" x14ac:dyDescent="0.3">
      <c r="A2268" t="str">
        <f>IF(AND(FORSIDE!$B$8&gt;=16,FORSIDE!$F$8&gt;=10,FORSIDE!$B$5&gt;=7),"S2267","")</f>
        <v/>
      </c>
      <c r="B2268" t="str">
        <f>IF(AND(FORSIDE!$B$8&gt;=16,FORSIDE!$F$8&gt;=10,FORSIDE!$B$5&gt;=7),"2493 -&gt; 2494","")</f>
        <v/>
      </c>
      <c r="C2268" t="str">
        <f>FORSIDE!$C$4</f>
        <v>S355, Stål / KFHUP 180x180x12.5</v>
      </c>
    </row>
    <row r="2269" spans="1:3" x14ac:dyDescent="0.3">
      <c r="A2269" t="str">
        <f>IF(AND(FORSIDE!$B$8&gt;=16,FORSIDE!$F$8&gt;=10,FORSIDE!$B$5&gt;=8),"S2268","")</f>
        <v/>
      </c>
      <c r="B2269" t="str">
        <f>IF(AND(FORSIDE!$B$8&gt;=16,FORSIDE!$F$8&gt;=10,FORSIDE!$B$5&gt;=8),"2494 -&gt; 2495","")</f>
        <v/>
      </c>
      <c r="C2269" t="str">
        <f>FORSIDE!$C$4</f>
        <v>S355, Stål / KFHUP 180x180x12.5</v>
      </c>
    </row>
    <row r="2270" spans="1:3" x14ac:dyDescent="0.3">
      <c r="A2270" t="str">
        <f>IF(AND(FORSIDE!$B$8&gt;=16,FORSIDE!$F$8&gt;=10,FORSIDE!$B$5&gt;=9),"S2269","")</f>
        <v/>
      </c>
      <c r="B2270" t="str">
        <f>IF(AND(FORSIDE!$B$8&gt;=16,FORSIDE!$F$8&gt;=10,FORSIDE!$B$5&gt;=9),"2495 -&gt; 2496","")</f>
        <v/>
      </c>
      <c r="C2270" t="str">
        <f>FORSIDE!$C$4</f>
        <v>S355, Stål / KFHUP 180x180x12.5</v>
      </c>
    </row>
    <row r="2271" spans="1:3" x14ac:dyDescent="0.3">
      <c r="A2271" t="str">
        <f>IF(AND(FORSIDE!$B$8&gt;=16,FORSIDE!$F$8&gt;=10,FORSIDE!$B$5&gt;=10),"S2270","")</f>
        <v/>
      </c>
      <c r="B2271" t="str">
        <f>IF(AND(FORSIDE!$B$8&gt;=16,FORSIDE!$F$8&gt;=10,FORSIDE!$B$5&gt;=10),"2496 -&gt; 2497","")</f>
        <v/>
      </c>
      <c r="C2271" t="str">
        <f>FORSIDE!$C$4</f>
        <v>S355, Stål / KFHUP 180x180x12.5</v>
      </c>
    </row>
    <row r="2272" spans="1:3" x14ac:dyDescent="0.3">
      <c r="A2272" t="str">
        <f>IF(AND(FORSIDE!$B$8&gt;=17,FORSIDE!$F$8&gt;=10,FORSIDE!$B$5&gt;=1),"S2271","")</f>
        <v/>
      </c>
      <c r="B2272" t="str">
        <f>IF(AND(FORSIDE!$B$8&gt;=17,FORSIDE!$F$8&gt;=10,FORSIDE!$B$5&gt;=1),"2498 -&gt; 2499","")</f>
        <v/>
      </c>
      <c r="C2272" t="str">
        <f>FORSIDE!$C$4</f>
        <v>S355, Stål / KFHUP 180x180x12.5</v>
      </c>
    </row>
    <row r="2273" spans="1:3" x14ac:dyDescent="0.3">
      <c r="A2273" t="str">
        <f>IF(AND(FORSIDE!$B$8&gt;=17,FORSIDE!$F$8&gt;=10,FORSIDE!$B$5&gt;=2),"S2272","")</f>
        <v/>
      </c>
      <c r="B2273" t="str">
        <f>IF(AND(FORSIDE!$B$8&gt;=17,FORSIDE!$F$8&gt;=10,FORSIDE!$B$5&gt;=2),"2499 -&gt; 2500","")</f>
        <v/>
      </c>
      <c r="C2273" t="str">
        <f>FORSIDE!$C$4</f>
        <v>S355, Stål / KFHUP 180x180x12.5</v>
      </c>
    </row>
    <row r="2274" spans="1:3" x14ac:dyDescent="0.3">
      <c r="A2274" t="str">
        <f>IF(AND(FORSIDE!$B$8&gt;=17,FORSIDE!$F$8&gt;=10,FORSIDE!$B$5&gt;=3),"S2273","")</f>
        <v/>
      </c>
      <c r="B2274" t="str">
        <f>IF(AND(FORSIDE!$B$8&gt;=17,FORSIDE!$F$8&gt;=10,FORSIDE!$B$5&gt;=3),"2500 -&gt; 2501","")</f>
        <v/>
      </c>
      <c r="C2274" t="str">
        <f>FORSIDE!$C$4</f>
        <v>S355, Stål / KFHUP 180x180x12.5</v>
      </c>
    </row>
    <row r="2275" spans="1:3" x14ac:dyDescent="0.3">
      <c r="A2275" t="str">
        <f>IF(AND(FORSIDE!$B$8&gt;=17,FORSIDE!$F$8&gt;=10,FORSIDE!$B$5&gt;=4),"S2274","")</f>
        <v/>
      </c>
      <c r="B2275" t="str">
        <f>IF(AND(FORSIDE!$B$8&gt;=17,FORSIDE!$F$8&gt;=10,FORSIDE!$B$5&gt;=4),"2501 -&gt; 2502","")</f>
        <v/>
      </c>
      <c r="C2275" t="str">
        <f>FORSIDE!$C$4</f>
        <v>S355, Stål / KFHUP 180x180x12.5</v>
      </c>
    </row>
    <row r="2276" spans="1:3" x14ac:dyDescent="0.3">
      <c r="A2276" t="str">
        <f>IF(AND(FORSIDE!$B$8&gt;=17,FORSIDE!$F$8&gt;=10,FORSIDE!$B$5&gt;=5),"S2275","")</f>
        <v/>
      </c>
      <c r="B2276" t="str">
        <f>IF(AND(FORSIDE!$B$8&gt;=17,FORSIDE!$F$8&gt;=10,FORSIDE!$B$5&gt;=5),"2502 -&gt; 2503","")</f>
        <v/>
      </c>
      <c r="C2276" t="str">
        <f>FORSIDE!$C$4</f>
        <v>S355, Stål / KFHUP 180x180x12.5</v>
      </c>
    </row>
    <row r="2277" spans="1:3" x14ac:dyDescent="0.3">
      <c r="A2277" t="str">
        <f>IF(AND(FORSIDE!$B$8&gt;=17,FORSIDE!$F$8&gt;=10,FORSIDE!$B$5&gt;=6),"S2276","")</f>
        <v/>
      </c>
      <c r="B2277" t="str">
        <f>IF(AND(FORSIDE!$B$8&gt;=17,FORSIDE!$F$8&gt;=10,FORSIDE!$B$5&gt;=6),"2503 -&gt; 2504","")</f>
        <v/>
      </c>
      <c r="C2277" t="str">
        <f>FORSIDE!$C$4</f>
        <v>S355, Stål / KFHUP 180x180x12.5</v>
      </c>
    </row>
    <row r="2278" spans="1:3" x14ac:dyDescent="0.3">
      <c r="A2278" t="str">
        <f>IF(AND(FORSIDE!$B$8&gt;=17,FORSIDE!$F$8&gt;=10,FORSIDE!$B$5&gt;=7),"S2277","")</f>
        <v/>
      </c>
      <c r="B2278" t="str">
        <f>IF(AND(FORSIDE!$B$8&gt;=17,FORSIDE!$F$8&gt;=10,FORSIDE!$B$5&gt;=7),"2504 -&gt; 2505","")</f>
        <v/>
      </c>
      <c r="C2278" t="str">
        <f>FORSIDE!$C$4</f>
        <v>S355, Stål / KFHUP 180x180x12.5</v>
      </c>
    </row>
    <row r="2279" spans="1:3" x14ac:dyDescent="0.3">
      <c r="A2279" t="str">
        <f>IF(AND(FORSIDE!$B$8&gt;=17,FORSIDE!$F$8&gt;=10,FORSIDE!$B$5&gt;=8),"S2278","")</f>
        <v/>
      </c>
      <c r="B2279" t="str">
        <f>IF(AND(FORSIDE!$B$8&gt;=17,FORSIDE!$F$8&gt;=10,FORSIDE!$B$5&gt;=8),"2505 -&gt; 2506","")</f>
        <v/>
      </c>
      <c r="C2279" t="str">
        <f>FORSIDE!$C$4</f>
        <v>S355, Stål / KFHUP 180x180x12.5</v>
      </c>
    </row>
    <row r="2280" spans="1:3" x14ac:dyDescent="0.3">
      <c r="A2280" t="str">
        <f>IF(AND(FORSIDE!$B$8&gt;=17,FORSIDE!$F$8&gt;=10,FORSIDE!$B$5&gt;=9),"S2279","")</f>
        <v/>
      </c>
      <c r="B2280" t="str">
        <f>IF(AND(FORSIDE!$B$8&gt;=17,FORSIDE!$F$8&gt;=10,FORSIDE!$B$5&gt;=9),"2506 -&gt; 2507","")</f>
        <v/>
      </c>
      <c r="C2280" t="str">
        <f>FORSIDE!$C$4</f>
        <v>S355, Stål / KFHUP 180x180x12.5</v>
      </c>
    </row>
    <row r="2281" spans="1:3" x14ac:dyDescent="0.3">
      <c r="A2281" t="str">
        <f>IF(AND(FORSIDE!$B$8&gt;=17,FORSIDE!$F$8&gt;=10,FORSIDE!$B$5&gt;=10),"S2280","")</f>
        <v/>
      </c>
      <c r="B2281" t="str">
        <f>IF(AND(FORSIDE!$B$8&gt;=17,FORSIDE!$F$8&gt;=10,FORSIDE!$B$5&gt;=10),"2507 -&gt; 2508","")</f>
        <v/>
      </c>
      <c r="C2281" t="str">
        <f>FORSIDE!$C$4</f>
        <v>S355, Stål / KFHUP 180x180x12.5</v>
      </c>
    </row>
    <row r="2282" spans="1:3" x14ac:dyDescent="0.3">
      <c r="A2282" t="str">
        <f>IF(AND(FORSIDE!$B$8&gt;=18,FORSIDE!$F$8&gt;=10,FORSIDE!$B$5&gt;=1),"S2281","")</f>
        <v/>
      </c>
      <c r="B2282" t="str">
        <f>IF(AND(FORSIDE!$B$8&gt;=18,FORSIDE!$F$8&gt;=10,FORSIDE!$B$5&gt;=1),"2509 -&gt; 2510","")</f>
        <v/>
      </c>
      <c r="C2282" t="str">
        <f>FORSIDE!$C$4</f>
        <v>S355, Stål / KFHUP 180x180x12.5</v>
      </c>
    </row>
    <row r="2283" spans="1:3" x14ac:dyDescent="0.3">
      <c r="A2283" t="str">
        <f>IF(AND(FORSIDE!$B$8&gt;=18,FORSIDE!$F$8&gt;=10,FORSIDE!$B$5&gt;=2),"S2282","")</f>
        <v/>
      </c>
      <c r="B2283" t="str">
        <f>IF(AND(FORSIDE!$B$8&gt;=18,FORSIDE!$F$8&gt;=10,FORSIDE!$B$5&gt;=2),"2510 -&gt; 2511","")</f>
        <v/>
      </c>
      <c r="C2283" t="str">
        <f>FORSIDE!$C$4</f>
        <v>S355, Stål / KFHUP 180x180x12.5</v>
      </c>
    </row>
    <row r="2284" spans="1:3" x14ac:dyDescent="0.3">
      <c r="A2284" t="str">
        <f>IF(AND(FORSIDE!$B$8&gt;=18,FORSIDE!$F$8&gt;=10,FORSIDE!$B$5&gt;=3),"S2283","")</f>
        <v/>
      </c>
      <c r="B2284" t="str">
        <f>IF(AND(FORSIDE!$B$8&gt;=18,FORSIDE!$F$8&gt;=10,FORSIDE!$B$5&gt;=3),"2511 -&gt; 2512","")</f>
        <v/>
      </c>
      <c r="C2284" t="str">
        <f>FORSIDE!$C$4</f>
        <v>S355, Stål / KFHUP 180x180x12.5</v>
      </c>
    </row>
    <row r="2285" spans="1:3" x14ac:dyDescent="0.3">
      <c r="A2285" t="str">
        <f>IF(AND(FORSIDE!$B$8&gt;=18,FORSIDE!$F$8&gt;=10,FORSIDE!$B$5&gt;=4),"S2284","")</f>
        <v/>
      </c>
      <c r="B2285" t="str">
        <f>IF(AND(FORSIDE!$B$8&gt;=18,FORSIDE!$F$8&gt;=10,FORSIDE!$B$5&gt;=4),"2512 -&gt; 2513","")</f>
        <v/>
      </c>
      <c r="C2285" t="str">
        <f>FORSIDE!$C$4</f>
        <v>S355, Stål / KFHUP 180x180x12.5</v>
      </c>
    </row>
    <row r="2286" spans="1:3" x14ac:dyDescent="0.3">
      <c r="A2286" t="str">
        <f>IF(AND(FORSIDE!$B$8&gt;=18,FORSIDE!$F$8&gt;=10,FORSIDE!$B$5&gt;=5),"S2285","")</f>
        <v/>
      </c>
      <c r="B2286" t="str">
        <f>IF(AND(FORSIDE!$B$8&gt;=18,FORSIDE!$F$8&gt;=10,FORSIDE!$B$5&gt;=5),"2513 -&gt; 2514","")</f>
        <v/>
      </c>
      <c r="C2286" t="str">
        <f>FORSIDE!$C$4</f>
        <v>S355, Stål / KFHUP 180x180x12.5</v>
      </c>
    </row>
    <row r="2287" spans="1:3" x14ac:dyDescent="0.3">
      <c r="A2287" t="str">
        <f>IF(AND(FORSIDE!$B$8&gt;=18,FORSIDE!$F$8&gt;=10,FORSIDE!$B$5&gt;=6),"S2286","")</f>
        <v/>
      </c>
      <c r="B2287" t="str">
        <f>IF(AND(FORSIDE!$B$8&gt;=18,FORSIDE!$F$8&gt;=10,FORSIDE!$B$5&gt;=6),"2514 -&gt; 2515","")</f>
        <v/>
      </c>
      <c r="C2287" t="str">
        <f>FORSIDE!$C$4</f>
        <v>S355, Stål / KFHUP 180x180x12.5</v>
      </c>
    </row>
    <row r="2288" spans="1:3" x14ac:dyDescent="0.3">
      <c r="A2288" t="str">
        <f>IF(AND(FORSIDE!$B$8&gt;=18,FORSIDE!$F$8&gt;=10,FORSIDE!$B$5&gt;=7),"S2287","")</f>
        <v/>
      </c>
      <c r="B2288" t="str">
        <f>IF(AND(FORSIDE!$B$8&gt;=18,FORSIDE!$F$8&gt;=10,FORSIDE!$B$5&gt;=7),"2515 -&gt; 2516","")</f>
        <v/>
      </c>
      <c r="C2288" t="str">
        <f>FORSIDE!$C$4</f>
        <v>S355, Stål / KFHUP 180x180x12.5</v>
      </c>
    </row>
    <row r="2289" spans="1:3" x14ac:dyDescent="0.3">
      <c r="A2289" t="str">
        <f>IF(AND(FORSIDE!$B$8&gt;=18,FORSIDE!$F$8&gt;=10,FORSIDE!$B$5&gt;=8),"S2288","")</f>
        <v/>
      </c>
      <c r="B2289" t="str">
        <f>IF(AND(FORSIDE!$B$8&gt;=18,FORSIDE!$F$8&gt;=10,FORSIDE!$B$5&gt;=8),"2516 -&gt; 2517","")</f>
        <v/>
      </c>
      <c r="C2289" t="str">
        <f>FORSIDE!$C$4</f>
        <v>S355, Stål / KFHUP 180x180x12.5</v>
      </c>
    </row>
    <row r="2290" spans="1:3" x14ac:dyDescent="0.3">
      <c r="A2290" t="str">
        <f>IF(AND(FORSIDE!$B$8&gt;=18,FORSIDE!$F$8&gt;=10,FORSIDE!$B$5&gt;=9),"S2289","")</f>
        <v/>
      </c>
      <c r="B2290" t="str">
        <f>IF(AND(FORSIDE!$B$8&gt;=18,FORSIDE!$F$8&gt;=10,FORSIDE!$B$5&gt;=9),"2517 -&gt; 2518","")</f>
        <v/>
      </c>
      <c r="C2290" t="str">
        <f>FORSIDE!$C$4</f>
        <v>S355, Stål / KFHUP 180x180x12.5</v>
      </c>
    </row>
    <row r="2291" spans="1:3" x14ac:dyDescent="0.3">
      <c r="A2291" t="str">
        <f>IF(AND(FORSIDE!$B$8&gt;=18,FORSIDE!$F$8&gt;=10,FORSIDE!$B$5&gt;=10),"S2290","")</f>
        <v/>
      </c>
      <c r="B2291" t="str">
        <f>IF(AND(FORSIDE!$B$8&gt;=18,FORSIDE!$F$8&gt;=10,FORSIDE!$B$5&gt;=10),"2518 -&gt; 2519","")</f>
        <v/>
      </c>
      <c r="C2291" t="str">
        <f>FORSIDE!$C$4</f>
        <v>S355, Stål / KFHUP 180x180x12.5</v>
      </c>
    </row>
    <row r="2292" spans="1:3" x14ac:dyDescent="0.3">
      <c r="A2292" t="str">
        <f>IF(AND(FORSIDE!$B$8&gt;=19,FORSIDE!$F$8&gt;=10,FORSIDE!$B$5&gt;=1),"S2291","")</f>
        <v/>
      </c>
      <c r="B2292" t="str">
        <f>IF(AND(FORSIDE!$B$8&gt;=19,FORSIDE!$F$8&gt;=10,FORSIDE!$B$5&gt;=1),"2520 -&gt; 2521","")</f>
        <v/>
      </c>
      <c r="C2292" t="str">
        <f>FORSIDE!$C$4</f>
        <v>S355, Stål / KFHUP 180x180x12.5</v>
      </c>
    </row>
    <row r="2293" spans="1:3" x14ac:dyDescent="0.3">
      <c r="A2293" t="str">
        <f>IF(AND(FORSIDE!$B$8&gt;=19,FORSIDE!$F$8&gt;=10,FORSIDE!$B$5&gt;=2),"S2292","")</f>
        <v/>
      </c>
      <c r="B2293" t="str">
        <f>IF(AND(FORSIDE!$B$8&gt;=19,FORSIDE!$F$8&gt;=10,FORSIDE!$B$5&gt;=2),"2521 -&gt; 2522","")</f>
        <v/>
      </c>
      <c r="C2293" t="str">
        <f>FORSIDE!$C$4</f>
        <v>S355, Stål / KFHUP 180x180x12.5</v>
      </c>
    </row>
    <row r="2294" spans="1:3" x14ac:dyDescent="0.3">
      <c r="A2294" t="str">
        <f>IF(AND(FORSIDE!$B$8&gt;=19,FORSIDE!$F$8&gt;=10,FORSIDE!$B$5&gt;=3),"S2293","")</f>
        <v/>
      </c>
      <c r="B2294" t="str">
        <f>IF(AND(FORSIDE!$B$8&gt;=19,FORSIDE!$F$8&gt;=10,FORSIDE!$B$5&gt;=3),"2522 -&gt; 2523","")</f>
        <v/>
      </c>
      <c r="C2294" t="str">
        <f>FORSIDE!$C$4</f>
        <v>S355, Stål / KFHUP 180x180x12.5</v>
      </c>
    </row>
    <row r="2295" spans="1:3" x14ac:dyDescent="0.3">
      <c r="A2295" t="str">
        <f>IF(AND(FORSIDE!$B$8&gt;=19,FORSIDE!$F$8&gt;=10,FORSIDE!$B$5&gt;=4),"S2294","")</f>
        <v/>
      </c>
      <c r="B2295" t="str">
        <f>IF(AND(FORSIDE!$B$8&gt;=19,FORSIDE!$F$8&gt;=10,FORSIDE!$B$5&gt;=4),"2523 -&gt; 2524","")</f>
        <v/>
      </c>
      <c r="C2295" t="str">
        <f>FORSIDE!$C$4</f>
        <v>S355, Stål / KFHUP 180x180x12.5</v>
      </c>
    </row>
    <row r="2296" spans="1:3" x14ac:dyDescent="0.3">
      <c r="A2296" t="str">
        <f>IF(AND(FORSIDE!$B$8&gt;=19,FORSIDE!$F$8&gt;=10,FORSIDE!$B$5&gt;=5),"S2295","")</f>
        <v/>
      </c>
      <c r="B2296" t="str">
        <f>IF(AND(FORSIDE!$B$8&gt;=19,FORSIDE!$F$8&gt;=10,FORSIDE!$B$5&gt;=5),"2524 -&gt; 2525","")</f>
        <v/>
      </c>
      <c r="C2296" t="str">
        <f>FORSIDE!$C$4</f>
        <v>S355, Stål / KFHUP 180x180x12.5</v>
      </c>
    </row>
    <row r="2297" spans="1:3" x14ac:dyDescent="0.3">
      <c r="A2297" t="str">
        <f>IF(AND(FORSIDE!$B$8&gt;=19,FORSIDE!$F$8&gt;=10,FORSIDE!$B$5&gt;=6),"S2296","")</f>
        <v/>
      </c>
      <c r="B2297" t="str">
        <f>IF(AND(FORSIDE!$B$8&gt;=19,FORSIDE!$F$8&gt;=10,FORSIDE!$B$5&gt;=6),"2525 -&gt; 2526","")</f>
        <v/>
      </c>
      <c r="C2297" t="str">
        <f>FORSIDE!$C$4</f>
        <v>S355, Stål / KFHUP 180x180x12.5</v>
      </c>
    </row>
    <row r="2298" spans="1:3" x14ac:dyDescent="0.3">
      <c r="A2298" t="str">
        <f>IF(AND(FORSIDE!$B$8&gt;=19,FORSIDE!$F$8&gt;=10,FORSIDE!$B$5&gt;=7),"S2297","")</f>
        <v/>
      </c>
      <c r="B2298" t="str">
        <f>IF(AND(FORSIDE!$B$8&gt;=19,FORSIDE!$F$8&gt;=10,FORSIDE!$B$5&gt;=7),"2526 -&gt; 2527","")</f>
        <v/>
      </c>
      <c r="C2298" t="str">
        <f>FORSIDE!$C$4</f>
        <v>S355, Stål / KFHUP 180x180x12.5</v>
      </c>
    </row>
    <row r="2299" spans="1:3" x14ac:dyDescent="0.3">
      <c r="A2299" t="str">
        <f>IF(AND(FORSIDE!$B$8&gt;=19,FORSIDE!$F$8&gt;=10,FORSIDE!$B$5&gt;=8),"S2298","")</f>
        <v/>
      </c>
      <c r="B2299" t="str">
        <f>IF(AND(FORSIDE!$B$8&gt;=19,FORSIDE!$F$8&gt;=10,FORSIDE!$B$5&gt;=8),"2527 -&gt; 2528","")</f>
        <v/>
      </c>
      <c r="C2299" t="str">
        <f>FORSIDE!$C$4</f>
        <v>S355, Stål / KFHUP 180x180x12.5</v>
      </c>
    </row>
    <row r="2300" spans="1:3" x14ac:dyDescent="0.3">
      <c r="A2300" t="str">
        <f>IF(AND(FORSIDE!$B$8&gt;=19,FORSIDE!$F$8&gt;=10,FORSIDE!$B$5&gt;=9),"S2299","")</f>
        <v/>
      </c>
      <c r="B2300" t="str">
        <f>IF(AND(FORSIDE!$B$8&gt;=19,FORSIDE!$F$8&gt;=10,FORSIDE!$B$5&gt;=9),"2528 -&gt; 2529","")</f>
        <v/>
      </c>
      <c r="C2300" t="str">
        <f>FORSIDE!$C$4</f>
        <v>S355, Stål / KFHUP 180x180x12.5</v>
      </c>
    </row>
    <row r="2301" spans="1:3" x14ac:dyDescent="0.3">
      <c r="A2301" t="str">
        <f>IF(AND(FORSIDE!$B$8&gt;=19,FORSIDE!$F$8&gt;=10,FORSIDE!$B$5&gt;=10),"S2300","")</f>
        <v/>
      </c>
      <c r="B2301" t="str">
        <f>IF(AND(FORSIDE!$B$8&gt;=19,FORSIDE!$F$8&gt;=10,FORSIDE!$B$5&gt;=10),"2529 -&gt; 2530","")</f>
        <v/>
      </c>
      <c r="C2301" t="str">
        <f>FORSIDE!$C$4</f>
        <v>S355, Stål / KFHUP 180x180x12.5</v>
      </c>
    </row>
    <row r="2302" spans="1:3" x14ac:dyDescent="0.3">
      <c r="A2302" t="str">
        <f>IF(AND(FORSIDE!$B$8&gt;=20,FORSIDE!$F$8&gt;=10,FORSIDE!$B$5&gt;=1),"S2301","")</f>
        <v/>
      </c>
      <c r="B2302" t="str">
        <f>IF(AND(FORSIDE!$B$8&gt;=20,FORSIDE!$F$8&gt;=10,FORSIDE!$B$5&gt;=1),"2531 -&gt; 2532","")</f>
        <v/>
      </c>
      <c r="C2302" t="str">
        <f>FORSIDE!$C$4</f>
        <v>S355, Stål / KFHUP 180x180x12.5</v>
      </c>
    </row>
    <row r="2303" spans="1:3" x14ac:dyDescent="0.3">
      <c r="A2303" t="str">
        <f>IF(AND(FORSIDE!$B$8&gt;=20,FORSIDE!$F$8&gt;=10,FORSIDE!$B$5&gt;=2),"S2302","")</f>
        <v/>
      </c>
      <c r="B2303" t="str">
        <f>IF(AND(FORSIDE!$B$8&gt;=20,FORSIDE!$F$8&gt;=10,FORSIDE!$B$5&gt;=2),"2532 -&gt; 2533","")</f>
        <v/>
      </c>
      <c r="C2303" t="str">
        <f>FORSIDE!$C$4</f>
        <v>S355, Stål / KFHUP 180x180x12.5</v>
      </c>
    </row>
    <row r="2304" spans="1:3" x14ac:dyDescent="0.3">
      <c r="A2304" t="str">
        <f>IF(AND(FORSIDE!$B$8&gt;=20,FORSIDE!$F$8&gt;=10,FORSIDE!$B$5&gt;=3),"S2303","")</f>
        <v/>
      </c>
      <c r="B2304" t="str">
        <f>IF(AND(FORSIDE!$B$8&gt;=20,FORSIDE!$F$8&gt;=10,FORSIDE!$B$5&gt;=3),"2533 -&gt; 2534","")</f>
        <v/>
      </c>
      <c r="C2304" t="str">
        <f>FORSIDE!$C$4</f>
        <v>S355, Stål / KFHUP 180x180x12.5</v>
      </c>
    </row>
    <row r="2305" spans="1:3" x14ac:dyDescent="0.3">
      <c r="A2305" t="str">
        <f>IF(AND(FORSIDE!$B$8&gt;=20,FORSIDE!$F$8&gt;=10,FORSIDE!$B$5&gt;=4),"S2304","")</f>
        <v/>
      </c>
      <c r="B2305" t="str">
        <f>IF(AND(FORSIDE!$B$8&gt;=20,FORSIDE!$F$8&gt;=10,FORSIDE!$B$5&gt;=4),"2534 -&gt; 2535","")</f>
        <v/>
      </c>
      <c r="C2305" t="str">
        <f>FORSIDE!$C$4</f>
        <v>S355, Stål / KFHUP 180x180x12.5</v>
      </c>
    </row>
    <row r="2306" spans="1:3" x14ac:dyDescent="0.3">
      <c r="A2306" t="str">
        <f>IF(AND(FORSIDE!$B$8&gt;=20,FORSIDE!$F$8&gt;=10,FORSIDE!$B$5&gt;=5),"S2305","")</f>
        <v/>
      </c>
      <c r="B2306" t="str">
        <f>IF(AND(FORSIDE!$B$8&gt;=20,FORSIDE!$F$8&gt;=10,FORSIDE!$B$5&gt;=5),"2535 -&gt; 2536","")</f>
        <v/>
      </c>
      <c r="C2306" t="str">
        <f>FORSIDE!$C$4</f>
        <v>S355, Stål / KFHUP 180x180x12.5</v>
      </c>
    </row>
    <row r="2307" spans="1:3" x14ac:dyDescent="0.3">
      <c r="A2307" t="str">
        <f>IF(AND(FORSIDE!$B$8&gt;=20,FORSIDE!$F$8&gt;=10,FORSIDE!$B$5&gt;=6),"S2306","")</f>
        <v/>
      </c>
      <c r="B2307" t="str">
        <f>IF(AND(FORSIDE!$B$8&gt;=20,FORSIDE!$F$8&gt;=10,FORSIDE!$B$5&gt;=6),"2536 -&gt; 2537","")</f>
        <v/>
      </c>
      <c r="C2307" t="str">
        <f>FORSIDE!$C$4</f>
        <v>S355, Stål / KFHUP 180x180x12.5</v>
      </c>
    </row>
    <row r="2308" spans="1:3" x14ac:dyDescent="0.3">
      <c r="A2308" t="str">
        <f>IF(AND(FORSIDE!$B$8&gt;=20,FORSIDE!$F$8&gt;=10,FORSIDE!$B$5&gt;=7),"S2307","")</f>
        <v/>
      </c>
      <c r="B2308" t="str">
        <f>IF(AND(FORSIDE!$B$8&gt;=20,FORSIDE!$F$8&gt;=10,FORSIDE!$B$5&gt;=7),"2537 -&gt; 2538","")</f>
        <v/>
      </c>
      <c r="C2308" t="str">
        <f>FORSIDE!$C$4</f>
        <v>S355, Stål / KFHUP 180x180x12.5</v>
      </c>
    </row>
    <row r="2309" spans="1:3" x14ac:dyDescent="0.3">
      <c r="A2309" t="str">
        <f>IF(AND(FORSIDE!$B$8&gt;=20,FORSIDE!$F$8&gt;=10,FORSIDE!$B$5&gt;=8),"S2308","")</f>
        <v/>
      </c>
      <c r="B2309" t="str">
        <f>IF(AND(FORSIDE!$B$8&gt;=20,FORSIDE!$F$8&gt;=10,FORSIDE!$B$5&gt;=8),"2538 -&gt; 2539","")</f>
        <v/>
      </c>
      <c r="C2309" t="str">
        <f>FORSIDE!$C$4</f>
        <v>S355, Stål / KFHUP 180x180x12.5</v>
      </c>
    </row>
    <row r="2310" spans="1:3" x14ac:dyDescent="0.3">
      <c r="A2310" t="str">
        <f>IF(AND(FORSIDE!$B$8&gt;=20,FORSIDE!$F$8&gt;=10,FORSIDE!$B$5&gt;=9),"S2309","")</f>
        <v/>
      </c>
      <c r="B2310" t="str">
        <f>IF(AND(FORSIDE!$B$8&gt;=20,FORSIDE!$F$8&gt;=10,FORSIDE!$B$5&gt;=9),"2539 -&gt; 2540","")</f>
        <v/>
      </c>
      <c r="C2310" t="str">
        <f>FORSIDE!$C$4</f>
        <v>S355, Stål / KFHUP 180x180x12.5</v>
      </c>
    </row>
    <row r="2311" spans="1:3" x14ac:dyDescent="0.3">
      <c r="A2311" t="str">
        <f>IF(AND(FORSIDE!$B$8&gt;=20,FORSIDE!$F$8&gt;=10,FORSIDE!$B$5&gt;=10),"S2310","")</f>
        <v/>
      </c>
      <c r="B2311" t="str">
        <f>IF(AND(FORSIDE!$B$8&gt;=20,FORSIDE!$F$8&gt;=10,FORSIDE!$B$5&gt;=10),"2540 -&gt; 2541","")</f>
        <v/>
      </c>
      <c r="C2311" t="str">
        <f>FORSIDE!$C$4</f>
        <v>S355, Stål / KFHUP 180x180x12.5</v>
      </c>
    </row>
    <row r="2312" spans="1:3" x14ac:dyDescent="0.3">
      <c r="A2312" t="str">
        <f>IF(AND(FORSIDE!$B$8&gt;=1,FORSIDE!$F$8&gt;=0,FORSIDE!$B$5&gt;=1),"S2311","")</f>
        <v>S2311</v>
      </c>
      <c r="B2312" t="str">
        <f>IF(AND(FORSIDE!$B$8&gt;=1,FORSIDE!$F$8&gt;=0,FORSIDE!$B$5&gt;=1),"2 -&gt; 13","")</f>
        <v>2 -&gt; 13</v>
      </c>
      <c r="C2312" t="str">
        <f>FORSIDE!$C$3</f>
        <v>S355, Stål / VFHUP 140x140x8.0</v>
      </c>
    </row>
    <row r="2313" spans="1:3" x14ac:dyDescent="0.3">
      <c r="A2313" t="str">
        <f>IF(AND(FORSIDE!$B$8&gt;=1,FORSIDE!$F$8&gt;=0,FORSIDE!$B$5&gt;=2),"S2312","")</f>
        <v>S2312</v>
      </c>
      <c r="B2313" t="str">
        <f>IF(AND(FORSIDE!$B$8&gt;=1,FORSIDE!$F$8&gt;=0,FORSIDE!$B$5&gt;=2),"3 -&gt; 14","")</f>
        <v>3 -&gt; 14</v>
      </c>
      <c r="C2313" t="str">
        <f>FORSIDE!$C$3</f>
        <v>S355, Stål / VFHUP 140x140x8.0</v>
      </c>
    </row>
    <row r="2314" spans="1:3" x14ac:dyDescent="0.3">
      <c r="A2314" t="str">
        <f>IF(AND(FORSIDE!$B$8&gt;=1,FORSIDE!$F$8&gt;=0,FORSIDE!$B$5&gt;=3),"S2313","")</f>
        <v>S2313</v>
      </c>
      <c r="B2314" t="str">
        <f>IF(AND(FORSIDE!$B$8&gt;=1,FORSIDE!$F$8&gt;=0,FORSIDE!$B$5&gt;=3),"4 -&gt; 15","")</f>
        <v>4 -&gt; 15</v>
      </c>
      <c r="C2314" t="str">
        <f>FORSIDE!$C$3</f>
        <v>S355, Stål / VFHUP 140x140x8.0</v>
      </c>
    </row>
    <row r="2315" spans="1:3" x14ac:dyDescent="0.3">
      <c r="A2315" t="str">
        <f>IF(AND(FORSIDE!$B$8&gt;=1,FORSIDE!$F$8&gt;=0,FORSIDE!$B$5&gt;=4),"S2314","")</f>
        <v>S2314</v>
      </c>
      <c r="B2315" t="str">
        <f>IF(AND(FORSIDE!$B$8&gt;=1,FORSIDE!$F$8&gt;=0,FORSIDE!$B$5&gt;=4),"5 -&gt; 16","")</f>
        <v>5 -&gt; 16</v>
      </c>
      <c r="C2315" t="str">
        <f>FORSIDE!$C$3</f>
        <v>S355, Stål / VFHUP 140x140x8.0</v>
      </c>
    </row>
    <row r="2316" spans="1:3" x14ac:dyDescent="0.3">
      <c r="A2316" t="str">
        <f>IF(AND(FORSIDE!$B$8&gt;=1,FORSIDE!$F$8&gt;=0,FORSIDE!$B$5&gt;=5),"S2315","")</f>
        <v>S2315</v>
      </c>
      <c r="B2316" t="str">
        <f>IF(AND(FORSIDE!$B$8&gt;=1,FORSIDE!$F$8&gt;=0,FORSIDE!$B$5&gt;=5),"6 -&gt; 17","")</f>
        <v>6 -&gt; 17</v>
      </c>
      <c r="C2316" t="str">
        <f>FORSIDE!$C$3</f>
        <v>S355, Stål / VFHUP 140x140x8.0</v>
      </c>
    </row>
    <row r="2317" spans="1:3" x14ac:dyDescent="0.3">
      <c r="A2317" t="str">
        <f>IF(AND(FORSIDE!$B$8&gt;=1,FORSIDE!$F$8&gt;=0,FORSIDE!$B$5&gt;=6),"S2316","")</f>
        <v>S2316</v>
      </c>
      <c r="B2317" t="str">
        <f>IF(AND(FORSIDE!$B$8&gt;=1,FORSIDE!$F$8&gt;=0,FORSIDE!$B$5&gt;=6),"7 -&gt; 18","")</f>
        <v>7 -&gt; 18</v>
      </c>
      <c r="C2317" t="str">
        <f>FORSIDE!$C$3</f>
        <v>S355, Stål / VFHUP 140x140x8.0</v>
      </c>
    </row>
    <row r="2318" spans="1:3" x14ac:dyDescent="0.3">
      <c r="A2318" t="str">
        <f>IF(AND(FORSIDE!$B$8&gt;=1,FORSIDE!$F$8&gt;=0,FORSIDE!$B$5&gt;=7),"S2317","")</f>
        <v/>
      </c>
      <c r="B2318" t="str">
        <f>IF(AND(FORSIDE!$B$8&gt;=1,FORSIDE!$F$8&gt;=0,FORSIDE!$B$5&gt;=7),"8 -&gt; 19","")</f>
        <v/>
      </c>
      <c r="C2318" t="str">
        <f>FORSIDE!$C$3</f>
        <v>S355, Stål / VFHUP 140x140x8.0</v>
      </c>
    </row>
    <row r="2319" spans="1:3" x14ac:dyDescent="0.3">
      <c r="A2319" t="str">
        <f>IF(AND(FORSIDE!$B$8&gt;=1,FORSIDE!$F$8&gt;=0,FORSIDE!$B$5&gt;=8),"S2318","")</f>
        <v/>
      </c>
      <c r="B2319" t="str">
        <f>IF(AND(FORSIDE!$B$8&gt;=1,FORSIDE!$F$8&gt;=0,FORSIDE!$B$5&gt;=8),"9 -&gt; 20","")</f>
        <v/>
      </c>
      <c r="C2319" t="str">
        <f>FORSIDE!$C$3</f>
        <v>S355, Stål / VFHUP 140x140x8.0</v>
      </c>
    </row>
    <row r="2320" spans="1:3" x14ac:dyDescent="0.3">
      <c r="A2320" t="str">
        <f>IF(AND(FORSIDE!$B$8&gt;=1,FORSIDE!$F$8&gt;=0,FORSIDE!$B$5&gt;=9),"S2319","")</f>
        <v/>
      </c>
      <c r="B2320" t="str">
        <f>IF(AND(FORSIDE!$B$8&gt;=1,FORSIDE!$F$8&gt;=0,FORSIDE!$B$5&gt;=9),"10 -&gt; 21","")</f>
        <v/>
      </c>
      <c r="C2320" t="str">
        <f>FORSIDE!$C$3</f>
        <v>S355, Stål / VFHUP 140x140x8.0</v>
      </c>
    </row>
    <row r="2321" spans="1:3" x14ac:dyDescent="0.3">
      <c r="A2321" t="str">
        <f>IF(AND(FORSIDE!$B$8&gt;=1,FORSIDE!$F$8&gt;=0,FORSIDE!$B$5&gt;=10),"S2320","")</f>
        <v/>
      </c>
      <c r="B2321" t="str">
        <f>IF(AND(FORSIDE!$B$8&gt;=1,FORSIDE!$F$8&gt;=0,FORSIDE!$B$5&gt;=10),"11 -&gt; 22","")</f>
        <v/>
      </c>
      <c r="C2321" t="str">
        <f>FORSIDE!$C$3</f>
        <v>S355, Stål / VFHUP 140x140x8.0</v>
      </c>
    </row>
    <row r="2322" spans="1:3" x14ac:dyDescent="0.3">
      <c r="A2322" t="str">
        <f>IF(AND(FORSIDE!$B$8&gt;=2,FORSIDE!$F$8&gt;=0,FORSIDE!$B$5&gt;=1),"S2321","")</f>
        <v>S2321</v>
      </c>
      <c r="B2322" t="str">
        <f>IF(AND(FORSIDE!$B$8&gt;=2,FORSIDE!$F$8&gt;=0,FORSIDE!$B$5&gt;=1),"13 -&gt; 24","")</f>
        <v>13 -&gt; 24</v>
      </c>
      <c r="C2322" t="str">
        <f>FORSIDE!$C$3</f>
        <v>S355, Stål / VFHUP 140x140x8.0</v>
      </c>
    </row>
    <row r="2323" spans="1:3" x14ac:dyDescent="0.3">
      <c r="A2323" t="str">
        <f>IF(AND(FORSIDE!$B$8&gt;=2,FORSIDE!$F$8&gt;=0,FORSIDE!$B$5&gt;=2),"S2322","")</f>
        <v>S2322</v>
      </c>
      <c r="B2323" t="str">
        <f>IF(AND(FORSIDE!$B$8&gt;=2,FORSIDE!$F$8&gt;=0,FORSIDE!$B$5&gt;=2),"14 -&gt; 25","")</f>
        <v>14 -&gt; 25</v>
      </c>
      <c r="C2323" t="str">
        <f>FORSIDE!$C$3</f>
        <v>S355, Stål / VFHUP 140x140x8.0</v>
      </c>
    </row>
    <row r="2324" spans="1:3" x14ac:dyDescent="0.3">
      <c r="A2324" t="str">
        <f>IF(AND(FORSIDE!$B$8&gt;=2,FORSIDE!$F$8&gt;=0,FORSIDE!$B$5&gt;=3),"S2323","")</f>
        <v>S2323</v>
      </c>
      <c r="B2324" t="str">
        <f>IF(AND(FORSIDE!$B$8&gt;=2,FORSIDE!$F$8&gt;=0,FORSIDE!$B$5&gt;=3),"15 -&gt; 26","")</f>
        <v>15 -&gt; 26</v>
      </c>
      <c r="C2324" t="str">
        <f>FORSIDE!$C$3</f>
        <v>S355, Stål / VFHUP 140x140x8.0</v>
      </c>
    </row>
    <row r="2325" spans="1:3" x14ac:dyDescent="0.3">
      <c r="A2325" t="str">
        <f>IF(AND(FORSIDE!$B$8&gt;=2,FORSIDE!$F$8&gt;=0,FORSIDE!$B$5&gt;=4),"S2324","")</f>
        <v>S2324</v>
      </c>
      <c r="B2325" t="str">
        <f>IF(AND(FORSIDE!$B$8&gt;=2,FORSIDE!$F$8&gt;=0,FORSIDE!$B$5&gt;=4),"16 -&gt; 27","")</f>
        <v>16 -&gt; 27</v>
      </c>
      <c r="C2325" t="str">
        <f>FORSIDE!$C$3</f>
        <v>S355, Stål / VFHUP 140x140x8.0</v>
      </c>
    </row>
    <row r="2326" spans="1:3" x14ac:dyDescent="0.3">
      <c r="A2326" t="str">
        <f>IF(AND(FORSIDE!$B$8&gt;=2,FORSIDE!$F$8&gt;=0,FORSIDE!$B$5&gt;=5),"S2325","")</f>
        <v>S2325</v>
      </c>
      <c r="B2326" t="str">
        <f>IF(AND(FORSIDE!$B$8&gt;=2,FORSIDE!$F$8&gt;=0,FORSIDE!$B$5&gt;=5),"17 -&gt; 28","")</f>
        <v>17 -&gt; 28</v>
      </c>
      <c r="C2326" t="str">
        <f>FORSIDE!$C$3</f>
        <v>S355, Stål / VFHUP 140x140x8.0</v>
      </c>
    </row>
    <row r="2327" spans="1:3" x14ac:dyDescent="0.3">
      <c r="A2327" t="str">
        <f>IF(AND(FORSIDE!$B$8&gt;=2,FORSIDE!$F$8&gt;=0,FORSIDE!$B$5&gt;=6),"S2326","")</f>
        <v>S2326</v>
      </c>
      <c r="B2327" t="str">
        <f>IF(AND(FORSIDE!$B$8&gt;=2,FORSIDE!$F$8&gt;=0,FORSIDE!$B$5&gt;=6),"18 -&gt; 29","")</f>
        <v>18 -&gt; 29</v>
      </c>
      <c r="C2327" t="str">
        <f>FORSIDE!$C$3</f>
        <v>S355, Stål / VFHUP 140x140x8.0</v>
      </c>
    </row>
    <row r="2328" spans="1:3" x14ac:dyDescent="0.3">
      <c r="A2328" t="str">
        <f>IF(AND(FORSIDE!$B$8&gt;=2,FORSIDE!$F$8&gt;=0,FORSIDE!$B$5&gt;=7),"S2327","")</f>
        <v/>
      </c>
      <c r="B2328" t="str">
        <f>IF(AND(FORSIDE!$B$8&gt;=2,FORSIDE!$F$8&gt;=0,FORSIDE!$B$5&gt;=7),"19 -&gt; 30","")</f>
        <v/>
      </c>
      <c r="C2328" t="str">
        <f>FORSIDE!$C$3</f>
        <v>S355, Stål / VFHUP 140x140x8.0</v>
      </c>
    </row>
    <row r="2329" spans="1:3" x14ac:dyDescent="0.3">
      <c r="A2329" t="str">
        <f>IF(AND(FORSIDE!$B$8&gt;=2,FORSIDE!$F$8&gt;=0,FORSIDE!$B$5&gt;=8),"S2328","")</f>
        <v/>
      </c>
      <c r="B2329" t="str">
        <f>IF(AND(FORSIDE!$B$8&gt;=2,FORSIDE!$F$8&gt;=0,FORSIDE!$B$5&gt;=8),"20 -&gt; 31","")</f>
        <v/>
      </c>
      <c r="C2329" t="str">
        <f>FORSIDE!$C$3</f>
        <v>S355, Stål / VFHUP 140x140x8.0</v>
      </c>
    </row>
    <row r="2330" spans="1:3" x14ac:dyDescent="0.3">
      <c r="A2330" t="str">
        <f>IF(AND(FORSIDE!$B$8&gt;=2,FORSIDE!$F$8&gt;=0,FORSIDE!$B$5&gt;=9),"S2329","")</f>
        <v/>
      </c>
      <c r="B2330" t="str">
        <f>IF(AND(FORSIDE!$B$8&gt;=2,FORSIDE!$F$8&gt;=0,FORSIDE!$B$5&gt;=9),"21 -&gt; 32","")</f>
        <v/>
      </c>
      <c r="C2330" t="str">
        <f>FORSIDE!$C$3</f>
        <v>S355, Stål / VFHUP 140x140x8.0</v>
      </c>
    </row>
    <row r="2331" spans="1:3" x14ac:dyDescent="0.3">
      <c r="A2331" t="str">
        <f>IF(AND(FORSIDE!$B$8&gt;=2,FORSIDE!$F$8&gt;=0,FORSIDE!$B$5&gt;=10),"S2330","")</f>
        <v/>
      </c>
      <c r="B2331" t="str">
        <f>IF(AND(FORSIDE!$B$8&gt;=2,FORSIDE!$F$8&gt;=0,FORSIDE!$B$5&gt;=10),"22 -&gt; 33","")</f>
        <v/>
      </c>
      <c r="C2331" t="str">
        <f>FORSIDE!$C$3</f>
        <v>S355, Stål / VFHUP 140x140x8.0</v>
      </c>
    </row>
    <row r="2332" spans="1:3" x14ac:dyDescent="0.3">
      <c r="A2332" t="str">
        <f>IF(AND(FORSIDE!$B$8&gt;=3,FORSIDE!$F$8&gt;=0,FORSIDE!$B$5&gt;=1),"S2331","")</f>
        <v>S2331</v>
      </c>
      <c r="B2332" t="str">
        <f>IF(AND(FORSIDE!$B$8&gt;=3,FORSIDE!$F$8&gt;=0,FORSIDE!$B$5&gt;=1),"24 -&gt; 35","")</f>
        <v>24 -&gt; 35</v>
      </c>
      <c r="C2332" t="str">
        <f>FORSIDE!$C$3</f>
        <v>S355, Stål / VFHUP 140x140x8.0</v>
      </c>
    </row>
    <row r="2333" spans="1:3" x14ac:dyDescent="0.3">
      <c r="A2333" t="str">
        <f>IF(AND(FORSIDE!$B$8&gt;=3,FORSIDE!$F$8&gt;=0,FORSIDE!$B$5&gt;=2),"S2332","")</f>
        <v>S2332</v>
      </c>
      <c r="B2333" t="str">
        <f>IF(AND(FORSIDE!$B$8&gt;=3,FORSIDE!$F$8&gt;=0,FORSIDE!$B$5&gt;=2),"25 -&gt; 36","")</f>
        <v>25 -&gt; 36</v>
      </c>
      <c r="C2333" t="str">
        <f>FORSIDE!$C$3</f>
        <v>S355, Stål / VFHUP 140x140x8.0</v>
      </c>
    </row>
    <row r="2334" spans="1:3" x14ac:dyDescent="0.3">
      <c r="A2334" t="str">
        <f>IF(AND(FORSIDE!$B$8&gt;=3,FORSIDE!$F$8&gt;=0,FORSIDE!$B$5&gt;=3),"S2333","")</f>
        <v>S2333</v>
      </c>
      <c r="B2334" t="str">
        <f>IF(AND(FORSIDE!$B$8&gt;=3,FORSIDE!$F$8&gt;=0,FORSIDE!$B$5&gt;=3),"26 -&gt; 37","")</f>
        <v>26 -&gt; 37</v>
      </c>
      <c r="C2334" t="str">
        <f>FORSIDE!$C$3</f>
        <v>S355, Stål / VFHUP 140x140x8.0</v>
      </c>
    </row>
    <row r="2335" spans="1:3" x14ac:dyDescent="0.3">
      <c r="A2335" t="str">
        <f>IF(AND(FORSIDE!$B$8&gt;=3,FORSIDE!$F$8&gt;=0,FORSIDE!$B$5&gt;=4),"S2334","")</f>
        <v>S2334</v>
      </c>
      <c r="B2335" t="str">
        <f>IF(AND(FORSIDE!$B$8&gt;=3,FORSIDE!$F$8&gt;=0,FORSIDE!$B$5&gt;=4),"27 -&gt; 38","")</f>
        <v>27 -&gt; 38</v>
      </c>
      <c r="C2335" t="str">
        <f>FORSIDE!$C$3</f>
        <v>S355, Stål / VFHUP 140x140x8.0</v>
      </c>
    </row>
    <row r="2336" spans="1:3" x14ac:dyDescent="0.3">
      <c r="A2336" t="str">
        <f>IF(AND(FORSIDE!$B$8&gt;=3,FORSIDE!$F$8&gt;=0,FORSIDE!$B$5&gt;=5),"S2335","")</f>
        <v>S2335</v>
      </c>
      <c r="B2336" t="str">
        <f>IF(AND(FORSIDE!$B$8&gt;=3,FORSIDE!$F$8&gt;=0,FORSIDE!$B$5&gt;=5),"28 -&gt; 39","")</f>
        <v>28 -&gt; 39</v>
      </c>
      <c r="C2336" t="str">
        <f>FORSIDE!$C$3</f>
        <v>S355, Stål / VFHUP 140x140x8.0</v>
      </c>
    </row>
    <row r="2337" spans="1:3" x14ac:dyDescent="0.3">
      <c r="A2337" t="str">
        <f>IF(AND(FORSIDE!$B$8&gt;=3,FORSIDE!$F$8&gt;=0,FORSIDE!$B$5&gt;=6),"S2336","")</f>
        <v>S2336</v>
      </c>
      <c r="B2337" t="str">
        <f>IF(AND(FORSIDE!$B$8&gt;=3,FORSIDE!$F$8&gt;=0,FORSIDE!$B$5&gt;=6),"29 -&gt; 40","")</f>
        <v>29 -&gt; 40</v>
      </c>
      <c r="C2337" t="str">
        <f>FORSIDE!$C$3</f>
        <v>S355, Stål / VFHUP 140x140x8.0</v>
      </c>
    </row>
    <row r="2338" spans="1:3" x14ac:dyDescent="0.3">
      <c r="A2338" t="str">
        <f>IF(AND(FORSIDE!$B$8&gt;=3,FORSIDE!$F$8&gt;=0,FORSIDE!$B$5&gt;=7),"S2337","")</f>
        <v/>
      </c>
      <c r="B2338" t="str">
        <f>IF(AND(FORSIDE!$B$8&gt;=3,FORSIDE!$F$8&gt;=0,FORSIDE!$B$5&gt;=7),"30 -&gt; 41","")</f>
        <v/>
      </c>
      <c r="C2338" t="str">
        <f>FORSIDE!$C$3</f>
        <v>S355, Stål / VFHUP 140x140x8.0</v>
      </c>
    </row>
    <row r="2339" spans="1:3" x14ac:dyDescent="0.3">
      <c r="A2339" t="str">
        <f>IF(AND(FORSIDE!$B$8&gt;=3,FORSIDE!$F$8&gt;=0,FORSIDE!$B$5&gt;=8),"S2338","")</f>
        <v/>
      </c>
      <c r="B2339" t="str">
        <f>IF(AND(FORSIDE!$B$8&gt;=3,FORSIDE!$F$8&gt;=0,FORSIDE!$B$5&gt;=8),"31 -&gt; 42","")</f>
        <v/>
      </c>
      <c r="C2339" t="str">
        <f>FORSIDE!$C$3</f>
        <v>S355, Stål / VFHUP 140x140x8.0</v>
      </c>
    </row>
    <row r="2340" spans="1:3" x14ac:dyDescent="0.3">
      <c r="A2340" t="str">
        <f>IF(AND(FORSIDE!$B$8&gt;=3,FORSIDE!$F$8&gt;=0,FORSIDE!$B$5&gt;=9),"S2339","")</f>
        <v/>
      </c>
      <c r="B2340" t="str">
        <f>IF(AND(FORSIDE!$B$8&gt;=3,FORSIDE!$F$8&gt;=0,FORSIDE!$B$5&gt;=9),"32 -&gt; 43","")</f>
        <v/>
      </c>
      <c r="C2340" t="str">
        <f>FORSIDE!$C$3</f>
        <v>S355, Stål / VFHUP 140x140x8.0</v>
      </c>
    </row>
    <row r="2341" spans="1:3" x14ac:dyDescent="0.3">
      <c r="A2341" t="str">
        <f>IF(AND(FORSIDE!$B$8&gt;=3,FORSIDE!$F$8&gt;=0,FORSIDE!$B$5&gt;=10),"S2340","")</f>
        <v/>
      </c>
      <c r="B2341" t="str">
        <f>IF(AND(FORSIDE!$B$8&gt;=3,FORSIDE!$F$8&gt;=0,FORSIDE!$B$5&gt;=10),"33 -&gt; 44","")</f>
        <v/>
      </c>
      <c r="C2341" t="str">
        <f>FORSIDE!$C$3</f>
        <v>S355, Stål / VFHUP 140x140x8.0</v>
      </c>
    </row>
    <row r="2342" spans="1:3" x14ac:dyDescent="0.3">
      <c r="A2342" t="str">
        <f>IF(AND(FORSIDE!$B$8&gt;=4,FORSIDE!$F$8&gt;=0,FORSIDE!$B$5&gt;=1),"S2341","")</f>
        <v>S2341</v>
      </c>
      <c r="B2342" t="str">
        <f>IF(AND(FORSIDE!$B$8&gt;=4,FORSIDE!$F$8&gt;=0,FORSIDE!$B$5&gt;=1),"35 -&gt; 46","")</f>
        <v>35 -&gt; 46</v>
      </c>
      <c r="C2342" t="str">
        <f>FORSIDE!$C$3</f>
        <v>S355, Stål / VFHUP 140x140x8.0</v>
      </c>
    </row>
    <row r="2343" spans="1:3" x14ac:dyDescent="0.3">
      <c r="A2343" t="str">
        <f>IF(AND(FORSIDE!$B$8&gt;=4,FORSIDE!$F$8&gt;=0,FORSIDE!$B$5&gt;=2),"S2342","")</f>
        <v>S2342</v>
      </c>
      <c r="B2343" t="str">
        <f>IF(AND(FORSIDE!$B$8&gt;=4,FORSIDE!$F$8&gt;=0,FORSIDE!$B$5&gt;=2),"36 -&gt; 47","")</f>
        <v>36 -&gt; 47</v>
      </c>
      <c r="C2343" t="str">
        <f>FORSIDE!$C$3</f>
        <v>S355, Stål / VFHUP 140x140x8.0</v>
      </c>
    </row>
    <row r="2344" spans="1:3" x14ac:dyDescent="0.3">
      <c r="A2344" t="str">
        <f>IF(AND(FORSIDE!$B$8&gt;=4,FORSIDE!$F$8&gt;=0,FORSIDE!$B$5&gt;=3),"S2343","")</f>
        <v>S2343</v>
      </c>
      <c r="B2344" t="str">
        <f>IF(AND(FORSIDE!$B$8&gt;=4,FORSIDE!$F$8&gt;=0,FORSIDE!$B$5&gt;=3),"37 -&gt; 48","")</f>
        <v>37 -&gt; 48</v>
      </c>
      <c r="C2344" t="str">
        <f>FORSIDE!$C$3</f>
        <v>S355, Stål / VFHUP 140x140x8.0</v>
      </c>
    </row>
    <row r="2345" spans="1:3" x14ac:dyDescent="0.3">
      <c r="A2345" t="str">
        <f>IF(AND(FORSIDE!$B$8&gt;=4,FORSIDE!$F$8&gt;=0,FORSIDE!$B$5&gt;=4),"S2344","")</f>
        <v>S2344</v>
      </c>
      <c r="B2345" t="str">
        <f>IF(AND(FORSIDE!$B$8&gt;=4,FORSIDE!$F$8&gt;=0,FORSIDE!$B$5&gt;=4),"38 -&gt; 49","")</f>
        <v>38 -&gt; 49</v>
      </c>
      <c r="C2345" t="str">
        <f>FORSIDE!$C$3</f>
        <v>S355, Stål / VFHUP 140x140x8.0</v>
      </c>
    </row>
    <row r="2346" spans="1:3" x14ac:dyDescent="0.3">
      <c r="A2346" t="str">
        <f>IF(AND(FORSIDE!$B$8&gt;=4,FORSIDE!$F$8&gt;=0,FORSIDE!$B$5&gt;=5),"S2345","")</f>
        <v>S2345</v>
      </c>
      <c r="B2346" t="str">
        <f>IF(AND(FORSIDE!$B$8&gt;=4,FORSIDE!$F$8&gt;=0,FORSIDE!$B$5&gt;=5),"39 -&gt; 50","")</f>
        <v>39 -&gt; 50</v>
      </c>
      <c r="C2346" t="str">
        <f>FORSIDE!$C$3</f>
        <v>S355, Stål / VFHUP 140x140x8.0</v>
      </c>
    </row>
    <row r="2347" spans="1:3" x14ac:dyDescent="0.3">
      <c r="A2347" t="str">
        <f>IF(AND(FORSIDE!$B$8&gt;=4,FORSIDE!$F$8&gt;=0,FORSIDE!$B$5&gt;=6),"S2346","")</f>
        <v>S2346</v>
      </c>
      <c r="B2347" t="str">
        <f>IF(AND(FORSIDE!$B$8&gt;=4,FORSIDE!$F$8&gt;=0,FORSIDE!$B$5&gt;=6),"40 -&gt; 51","")</f>
        <v>40 -&gt; 51</v>
      </c>
      <c r="C2347" t="str">
        <f>FORSIDE!$C$3</f>
        <v>S355, Stål / VFHUP 140x140x8.0</v>
      </c>
    </row>
    <row r="2348" spans="1:3" x14ac:dyDescent="0.3">
      <c r="A2348" t="str">
        <f>IF(AND(FORSIDE!$B$8&gt;=4,FORSIDE!$F$8&gt;=0,FORSIDE!$B$5&gt;=7),"S2347","")</f>
        <v/>
      </c>
      <c r="B2348" t="str">
        <f>IF(AND(FORSIDE!$B$8&gt;=4,FORSIDE!$F$8&gt;=0,FORSIDE!$B$5&gt;=7),"41 -&gt; 52","")</f>
        <v/>
      </c>
      <c r="C2348" t="str">
        <f>FORSIDE!$C$3</f>
        <v>S355, Stål / VFHUP 140x140x8.0</v>
      </c>
    </row>
    <row r="2349" spans="1:3" x14ac:dyDescent="0.3">
      <c r="A2349" t="str">
        <f>IF(AND(FORSIDE!$B$8&gt;=4,FORSIDE!$F$8&gt;=0,FORSIDE!$B$5&gt;=8),"S2348","")</f>
        <v/>
      </c>
      <c r="B2349" t="str">
        <f>IF(AND(FORSIDE!$B$8&gt;=4,FORSIDE!$F$8&gt;=0,FORSIDE!$B$5&gt;=8),"42 -&gt; 53","")</f>
        <v/>
      </c>
      <c r="C2349" t="str">
        <f>FORSIDE!$C$3</f>
        <v>S355, Stål / VFHUP 140x140x8.0</v>
      </c>
    </row>
    <row r="2350" spans="1:3" x14ac:dyDescent="0.3">
      <c r="A2350" t="str">
        <f>IF(AND(FORSIDE!$B$8&gt;=4,FORSIDE!$F$8&gt;=0,FORSIDE!$B$5&gt;=9),"S2349","")</f>
        <v/>
      </c>
      <c r="B2350" t="str">
        <f>IF(AND(FORSIDE!$B$8&gt;=4,FORSIDE!$F$8&gt;=0,FORSIDE!$B$5&gt;=9),"43 -&gt; 54","")</f>
        <v/>
      </c>
      <c r="C2350" t="str">
        <f>FORSIDE!$C$3</f>
        <v>S355, Stål / VFHUP 140x140x8.0</v>
      </c>
    </row>
    <row r="2351" spans="1:3" x14ac:dyDescent="0.3">
      <c r="A2351" t="str">
        <f>IF(AND(FORSIDE!$B$8&gt;=4,FORSIDE!$F$8&gt;=0,FORSIDE!$B$5&gt;=10),"S2350","")</f>
        <v/>
      </c>
      <c r="B2351" t="str">
        <f>IF(AND(FORSIDE!$B$8&gt;=4,FORSIDE!$F$8&gt;=0,FORSIDE!$B$5&gt;=10),"44 -&gt; 55","")</f>
        <v/>
      </c>
      <c r="C2351" t="str">
        <f>FORSIDE!$C$3</f>
        <v>S355, Stål / VFHUP 140x140x8.0</v>
      </c>
    </row>
    <row r="2352" spans="1:3" x14ac:dyDescent="0.3">
      <c r="A2352" t="str">
        <f>IF(AND(FORSIDE!$B$8&gt;=5,FORSIDE!$F$8&gt;=0,FORSIDE!$B$5&gt;=1),"S2351","")</f>
        <v/>
      </c>
      <c r="B2352" t="str">
        <f>IF(AND(FORSIDE!$B$8&gt;=5,FORSIDE!$F$8&gt;=0,FORSIDE!$B$5&gt;=1),"46 -&gt; 57","")</f>
        <v/>
      </c>
      <c r="C2352" t="str">
        <f>FORSIDE!$C$3</f>
        <v>S355, Stål / VFHUP 140x140x8.0</v>
      </c>
    </row>
    <row r="2353" spans="1:3" x14ac:dyDescent="0.3">
      <c r="A2353" t="str">
        <f>IF(AND(FORSIDE!$B$8&gt;=5,FORSIDE!$F$8&gt;=0,FORSIDE!$B$5&gt;=2),"S2352","")</f>
        <v/>
      </c>
      <c r="B2353" t="str">
        <f>IF(AND(FORSIDE!$B$8&gt;=5,FORSIDE!$F$8&gt;=0,FORSIDE!$B$5&gt;=2),"47 -&gt; 58","")</f>
        <v/>
      </c>
      <c r="C2353" t="str">
        <f>FORSIDE!$C$3</f>
        <v>S355, Stål / VFHUP 140x140x8.0</v>
      </c>
    </row>
    <row r="2354" spans="1:3" x14ac:dyDescent="0.3">
      <c r="A2354" t="str">
        <f>IF(AND(FORSIDE!$B$8&gt;=5,FORSIDE!$F$8&gt;=0,FORSIDE!$B$5&gt;=3),"S2353","")</f>
        <v/>
      </c>
      <c r="B2354" t="str">
        <f>IF(AND(FORSIDE!$B$8&gt;=5,FORSIDE!$F$8&gt;=0,FORSIDE!$B$5&gt;=3),"48 -&gt; 59","")</f>
        <v/>
      </c>
      <c r="C2354" t="str">
        <f>FORSIDE!$C$3</f>
        <v>S355, Stål / VFHUP 140x140x8.0</v>
      </c>
    </row>
    <row r="2355" spans="1:3" x14ac:dyDescent="0.3">
      <c r="A2355" t="str">
        <f>IF(AND(FORSIDE!$B$8&gt;=5,FORSIDE!$F$8&gt;=0,FORSIDE!$B$5&gt;=4),"S2354","")</f>
        <v/>
      </c>
      <c r="B2355" t="str">
        <f>IF(AND(FORSIDE!$B$8&gt;=5,FORSIDE!$F$8&gt;=0,FORSIDE!$B$5&gt;=4),"49 -&gt; 60","")</f>
        <v/>
      </c>
      <c r="C2355" t="str">
        <f>FORSIDE!$C$3</f>
        <v>S355, Stål / VFHUP 140x140x8.0</v>
      </c>
    </row>
    <row r="2356" spans="1:3" x14ac:dyDescent="0.3">
      <c r="A2356" t="str">
        <f>IF(AND(FORSIDE!$B$8&gt;=5,FORSIDE!$F$8&gt;=0,FORSIDE!$B$5&gt;=5),"S2355","")</f>
        <v/>
      </c>
      <c r="B2356" t="str">
        <f>IF(AND(FORSIDE!$B$8&gt;=5,FORSIDE!$F$8&gt;=0,FORSIDE!$B$5&gt;=5),"50 -&gt; 61","")</f>
        <v/>
      </c>
      <c r="C2356" t="str">
        <f>FORSIDE!$C$3</f>
        <v>S355, Stål / VFHUP 140x140x8.0</v>
      </c>
    </row>
    <row r="2357" spans="1:3" x14ac:dyDescent="0.3">
      <c r="A2357" t="str">
        <f>IF(AND(FORSIDE!$B$8&gt;=5,FORSIDE!$F$8&gt;=0,FORSIDE!$B$5&gt;=6),"S2356","")</f>
        <v/>
      </c>
      <c r="B2357" t="str">
        <f>IF(AND(FORSIDE!$B$8&gt;=5,FORSIDE!$F$8&gt;=0,FORSIDE!$B$5&gt;=6),"51 -&gt; 62","")</f>
        <v/>
      </c>
      <c r="C2357" t="str">
        <f>FORSIDE!$C$3</f>
        <v>S355, Stål / VFHUP 140x140x8.0</v>
      </c>
    </row>
    <row r="2358" spans="1:3" x14ac:dyDescent="0.3">
      <c r="A2358" t="str">
        <f>IF(AND(FORSIDE!$B$8&gt;=5,FORSIDE!$F$8&gt;=0,FORSIDE!$B$5&gt;=7),"S2357","")</f>
        <v/>
      </c>
      <c r="B2358" t="str">
        <f>IF(AND(FORSIDE!$B$8&gt;=5,FORSIDE!$F$8&gt;=0,FORSIDE!$B$5&gt;=7),"52 -&gt; 63","")</f>
        <v/>
      </c>
      <c r="C2358" t="str">
        <f>FORSIDE!$C$3</f>
        <v>S355, Stål / VFHUP 140x140x8.0</v>
      </c>
    </row>
    <row r="2359" spans="1:3" x14ac:dyDescent="0.3">
      <c r="A2359" t="str">
        <f>IF(AND(FORSIDE!$B$8&gt;=5,FORSIDE!$F$8&gt;=0,FORSIDE!$B$5&gt;=8),"S2358","")</f>
        <v/>
      </c>
      <c r="B2359" t="str">
        <f>IF(AND(FORSIDE!$B$8&gt;=5,FORSIDE!$F$8&gt;=0,FORSIDE!$B$5&gt;=8),"53 -&gt; 64","")</f>
        <v/>
      </c>
      <c r="C2359" t="str">
        <f>FORSIDE!$C$3</f>
        <v>S355, Stål / VFHUP 140x140x8.0</v>
      </c>
    </row>
    <row r="2360" spans="1:3" x14ac:dyDescent="0.3">
      <c r="A2360" t="str">
        <f>IF(AND(FORSIDE!$B$8&gt;=5,FORSIDE!$F$8&gt;=0,FORSIDE!$B$5&gt;=9),"S2359","")</f>
        <v/>
      </c>
      <c r="B2360" t="str">
        <f>IF(AND(FORSIDE!$B$8&gt;=5,FORSIDE!$F$8&gt;=0,FORSIDE!$B$5&gt;=9),"54 -&gt; 65","")</f>
        <v/>
      </c>
      <c r="C2360" t="str">
        <f>FORSIDE!$C$3</f>
        <v>S355, Stål / VFHUP 140x140x8.0</v>
      </c>
    </row>
    <row r="2361" spans="1:3" x14ac:dyDescent="0.3">
      <c r="A2361" t="str">
        <f>IF(AND(FORSIDE!$B$8&gt;=5,FORSIDE!$F$8&gt;=0,FORSIDE!$B$5&gt;=10),"S2360","")</f>
        <v/>
      </c>
      <c r="B2361" t="str">
        <f>IF(AND(FORSIDE!$B$8&gt;=5,FORSIDE!$F$8&gt;=0,FORSIDE!$B$5&gt;=10),"55 -&gt; 66","")</f>
        <v/>
      </c>
      <c r="C2361" t="str">
        <f>FORSIDE!$C$3</f>
        <v>S355, Stål / VFHUP 140x140x8.0</v>
      </c>
    </row>
    <row r="2362" spans="1:3" x14ac:dyDescent="0.3">
      <c r="A2362" t="str">
        <f>IF(AND(FORSIDE!$B$8&gt;=6,FORSIDE!$F$8&gt;=0,FORSIDE!$B$5&gt;=1),"S2361","")</f>
        <v/>
      </c>
      <c r="B2362" t="str">
        <f>IF(AND(FORSIDE!$B$8&gt;=6,FORSIDE!$F$8&gt;=0,FORSIDE!$B$5&gt;=1),"57 -&gt; 68","")</f>
        <v/>
      </c>
      <c r="C2362" t="str">
        <f>FORSIDE!$C$3</f>
        <v>S355, Stål / VFHUP 140x140x8.0</v>
      </c>
    </row>
    <row r="2363" spans="1:3" x14ac:dyDescent="0.3">
      <c r="A2363" t="str">
        <f>IF(AND(FORSIDE!$B$8&gt;=6,FORSIDE!$F$8&gt;=0,FORSIDE!$B$5&gt;=2),"S2362","")</f>
        <v/>
      </c>
      <c r="B2363" t="str">
        <f>IF(AND(FORSIDE!$B$8&gt;=6,FORSIDE!$F$8&gt;=0,FORSIDE!$B$5&gt;=2),"58 -&gt; 69","")</f>
        <v/>
      </c>
      <c r="C2363" t="str">
        <f>FORSIDE!$C$3</f>
        <v>S355, Stål / VFHUP 140x140x8.0</v>
      </c>
    </row>
    <row r="2364" spans="1:3" x14ac:dyDescent="0.3">
      <c r="A2364" t="str">
        <f>IF(AND(FORSIDE!$B$8&gt;=6,FORSIDE!$F$8&gt;=0,FORSIDE!$B$5&gt;=3),"S2363","")</f>
        <v/>
      </c>
      <c r="B2364" t="str">
        <f>IF(AND(FORSIDE!$B$8&gt;=6,FORSIDE!$F$8&gt;=0,FORSIDE!$B$5&gt;=3),"59 -&gt; 70","")</f>
        <v/>
      </c>
      <c r="C2364" t="str">
        <f>FORSIDE!$C$3</f>
        <v>S355, Stål / VFHUP 140x140x8.0</v>
      </c>
    </row>
    <row r="2365" spans="1:3" x14ac:dyDescent="0.3">
      <c r="A2365" t="str">
        <f>IF(AND(FORSIDE!$B$8&gt;=6,FORSIDE!$F$8&gt;=0,FORSIDE!$B$5&gt;=4),"S2364","")</f>
        <v/>
      </c>
      <c r="B2365" t="str">
        <f>IF(AND(FORSIDE!$B$8&gt;=6,FORSIDE!$F$8&gt;=0,FORSIDE!$B$5&gt;=4),"60 -&gt; 71","")</f>
        <v/>
      </c>
      <c r="C2365" t="str">
        <f>FORSIDE!$C$3</f>
        <v>S355, Stål / VFHUP 140x140x8.0</v>
      </c>
    </row>
    <row r="2366" spans="1:3" x14ac:dyDescent="0.3">
      <c r="A2366" t="str">
        <f>IF(AND(FORSIDE!$B$8&gt;=6,FORSIDE!$F$8&gt;=0,FORSIDE!$B$5&gt;=5),"S2365","")</f>
        <v/>
      </c>
      <c r="B2366" t="str">
        <f>IF(AND(FORSIDE!$B$8&gt;=6,FORSIDE!$F$8&gt;=0,FORSIDE!$B$5&gt;=5),"61 -&gt; 72","")</f>
        <v/>
      </c>
      <c r="C2366" t="str">
        <f>FORSIDE!$C$3</f>
        <v>S355, Stål / VFHUP 140x140x8.0</v>
      </c>
    </row>
    <row r="2367" spans="1:3" x14ac:dyDescent="0.3">
      <c r="A2367" t="str">
        <f>IF(AND(FORSIDE!$B$8&gt;=6,FORSIDE!$F$8&gt;=0,FORSIDE!$B$5&gt;=6),"S2366","")</f>
        <v/>
      </c>
      <c r="B2367" t="str">
        <f>IF(AND(FORSIDE!$B$8&gt;=6,FORSIDE!$F$8&gt;=0,FORSIDE!$B$5&gt;=6),"62 -&gt; 73","")</f>
        <v/>
      </c>
      <c r="C2367" t="str">
        <f>FORSIDE!$C$3</f>
        <v>S355, Stål / VFHUP 140x140x8.0</v>
      </c>
    </row>
    <row r="2368" spans="1:3" x14ac:dyDescent="0.3">
      <c r="A2368" t="str">
        <f>IF(AND(FORSIDE!$B$8&gt;=6,FORSIDE!$F$8&gt;=0,FORSIDE!$B$5&gt;=7),"S2367","")</f>
        <v/>
      </c>
      <c r="B2368" t="str">
        <f>IF(AND(FORSIDE!$B$8&gt;=6,FORSIDE!$F$8&gt;=0,FORSIDE!$B$5&gt;=7),"63 -&gt; 74","")</f>
        <v/>
      </c>
      <c r="C2368" t="str">
        <f>FORSIDE!$C$3</f>
        <v>S355, Stål / VFHUP 140x140x8.0</v>
      </c>
    </row>
    <row r="2369" spans="1:3" x14ac:dyDescent="0.3">
      <c r="A2369" t="str">
        <f>IF(AND(FORSIDE!$B$8&gt;=6,FORSIDE!$F$8&gt;=0,FORSIDE!$B$5&gt;=8),"S2368","")</f>
        <v/>
      </c>
      <c r="B2369" t="str">
        <f>IF(AND(FORSIDE!$B$8&gt;=6,FORSIDE!$F$8&gt;=0,FORSIDE!$B$5&gt;=8),"64 -&gt; 75","")</f>
        <v/>
      </c>
      <c r="C2369" t="str">
        <f>FORSIDE!$C$3</f>
        <v>S355, Stål / VFHUP 140x140x8.0</v>
      </c>
    </row>
    <row r="2370" spans="1:3" x14ac:dyDescent="0.3">
      <c r="A2370" t="str">
        <f>IF(AND(FORSIDE!$B$8&gt;=6,FORSIDE!$F$8&gt;=0,FORSIDE!$B$5&gt;=9),"S2369","")</f>
        <v/>
      </c>
      <c r="B2370" t="str">
        <f>IF(AND(FORSIDE!$B$8&gt;=6,FORSIDE!$F$8&gt;=0,FORSIDE!$B$5&gt;=9),"65 -&gt; 76","")</f>
        <v/>
      </c>
      <c r="C2370" t="str">
        <f>FORSIDE!$C$3</f>
        <v>S355, Stål / VFHUP 140x140x8.0</v>
      </c>
    </row>
    <row r="2371" spans="1:3" x14ac:dyDescent="0.3">
      <c r="A2371" t="str">
        <f>IF(AND(FORSIDE!$B$8&gt;=6,FORSIDE!$F$8&gt;=0,FORSIDE!$B$5&gt;=10),"S2370","")</f>
        <v/>
      </c>
      <c r="B2371" t="str">
        <f>IF(AND(FORSIDE!$B$8&gt;=6,FORSIDE!$F$8&gt;=0,FORSIDE!$B$5&gt;=10),"66 -&gt; 77","")</f>
        <v/>
      </c>
      <c r="C2371" t="str">
        <f>FORSIDE!$C$3</f>
        <v>S355, Stål / VFHUP 140x140x8.0</v>
      </c>
    </row>
    <row r="2372" spans="1:3" x14ac:dyDescent="0.3">
      <c r="A2372" t="str">
        <f>IF(AND(FORSIDE!$B$8&gt;=7,FORSIDE!$F$8&gt;=0,FORSIDE!$B$5&gt;=1),"S2371","")</f>
        <v/>
      </c>
      <c r="B2372" t="str">
        <f>IF(AND(FORSIDE!$B$8&gt;=7,FORSIDE!$F$8&gt;=0,FORSIDE!$B$5&gt;=1),"68 -&gt; 79","")</f>
        <v/>
      </c>
      <c r="C2372" t="str">
        <f>FORSIDE!$C$3</f>
        <v>S355, Stål / VFHUP 140x140x8.0</v>
      </c>
    </row>
    <row r="2373" spans="1:3" x14ac:dyDescent="0.3">
      <c r="A2373" t="str">
        <f>IF(AND(FORSIDE!$B$8&gt;=7,FORSIDE!$F$8&gt;=0,FORSIDE!$B$5&gt;=2),"S2372","")</f>
        <v/>
      </c>
      <c r="B2373" t="str">
        <f>IF(AND(FORSIDE!$B$8&gt;=7,FORSIDE!$F$8&gt;=0,FORSIDE!$B$5&gt;=2),"69 -&gt; 80","")</f>
        <v/>
      </c>
      <c r="C2373" t="str">
        <f>FORSIDE!$C$3</f>
        <v>S355, Stål / VFHUP 140x140x8.0</v>
      </c>
    </row>
    <row r="2374" spans="1:3" x14ac:dyDescent="0.3">
      <c r="A2374" t="str">
        <f>IF(AND(FORSIDE!$B$8&gt;=7,FORSIDE!$F$8&gt;=0,FORSIDE!$B$5&gt;=3),"S2373","")</f>
        <v/>
      </c>
      <c r="B2374" t="str">
        <f>IF(AND(FORSIDE!$B$8&gt;=7,FORSIDE!$F$8&gt;=0,FORSIDE!$B$5&gt;=3),"70 -&gt; 81","")</f>
        <v/>
      </c>
      <c r="C2374" t="str">
        <f>FORSIDE!$C$3</f>
        <v>S355, Stål / VFHUP 140x140x8.0</v>
      </c>
    </row>
    <row r="2375" spans="1:3" x14ac:dyDescent="0.3">
      <c r="A2375" t="str">
        <f>IF(AND(FORSIDE!$B$8&gt;=7,FORSIDE!$F$8&gt;=0,FORSIDE!$B$5&gt;=4),"S2374","")</f>
        <v/>
      </c>
      <c r="B2375" t="str">
        <f>IF(AND(FORSIDE!$B$8&gt;=7,FORSIDE!$F$8&gt;=0,FORSIDE!$B$5&gt;=4),"71 -&gt; 82","")</f>
        <v/>
      </c>
      <c r="C2375" t="str">
        <f>FORSIDE!$C$3</f>
        <v>S355, Stål / VFHUP 140x140x8.0</v>
      </c>
    </row>
    <row r="2376" spans="1:3" x14ac:dyDescent="0.3">
      <c r="A2376" t="str">
        <f>IF(AND(FORSIDE!$B$8&gt;=7,FORSIDE!$F$8&gt;=0,FORSIDE!$B$5&gt;=5),"S2375","")</f>
        <v/>
      </c>
      <c r="B2376" t="str">
        <f>IF(AND(FORSIDE!$B$8&gt;=7,FORSIDE!$F$8&gt;=0,FORSIDE!$B$5&gt;=5),"72 -&gt; 83","")</f>
        <v/>
      </c>
      <c r="C2376" t="str">
        <f>FORSIDE!$C$3</f>
        <v>S355, Stål / VFHUP 140x140x8.0</v>
      </c>
    </row>
    <row r="2377" spans="1:3" x14ac:dyDescent="0.3">
      <c r="A2377" t="str">
        <f>IF(AND(FORSIDE!$B$8&gt;=7,FORSIDE!$F$8&gt;=0,FORSIDE!$B$5&gt;=6),"S2376","")</f>
        <v/>
      </c>
      <c r="B2377" t="str">
        <f>IF(AND(FORSIDE!$B$8&gt;=7,FORSIDE!$F$8&gt;=0,FORSIDE!$B$5&gt;=6),"73 -&gt; 84","")</f>
        <v/>
      </c>
      <c r="C2377" t="str">
        <f>FORSIDE!$C$3</f>
        <v>S355, Stål / VFHUP 140x140x8.0</v>
      </c>
    </row>
    <row r="2378" spans="1:3" x14ac:dyDescent="0.3">
      <c r="A2378" t="str">
        <f>IF(AND(FORSIDE!$B$8&gt;=7,FORSIDE!$F$8&gt;=0,FORSIDE!$B$5&gt;=7),"S2377","")</f>
        <v/>
      </c>
      <c r="B2378" t="str">
        <f>IF(AND(FORSIDE!$B$8&gt;=7,FORSIDE!$F$8&gt;=0,FORSIDE!$B$5&gt;=7),"74 -&gt; 85","")</f>
        <v/>
      </c>
      <c r="C2378" t="str">
        <f>FORSIDE!$C$3</f>
        <v>S355, Stål / VFHUP 140x140x8.0</v>
      </c>
    </row>
    <row r="2379" spans="1:3" x14ac:dyDescent="0.3">
      <c r="A2379" t="str">
        <f>IF(AND(FORSIDE!$B$8&gt;=7,FORSIDE!$F$8&gt;=0,FORSIDE!$B$5&gt;=8),"S2378","")</f>
        <v/>
      </c>
      <c r="B2379" t="str">
        <f>IF(AND(FORSIDE!$B$8&gt;=7,FORSIDE!$F$8&gt;=0,FORSIDE!$B$5&gt;=8),"75 -&gt; 86","")</f>
        <v/>
      </c>
      <c r="C2379" t="str">
        <f>FORSIDE!$C$3</f>
        <v>S355, Stål / VFHUP 140x140x8.0</v>
      </c>
    </row>
    <row r="2380" spans="1:3" x14ac:dyDescent="0.3">
      <c r="A2380" t="str">
        <f>IF(AND(FORSIDE!$B$8&gt;=7,FORSIDE!$F$8&gt;=0,FORSIDE!$B$5&gt;=9),"S2379","")</f>
        <v/>
      </c>
      <c r="B2380" t="str">
        <f>IF(AND(FORSIDE!$B$8&gt;=7,FORSIDE!$F$8&gt;=0,FORSIDE!$B$5&gt;=9),"76 -&gt; 87","")</f>
        <v/>
      </c>
      <c r="C2380" t="str">
        <f>FORSIDE!$C$3</f>
        <v>S355, Stål / VFHUP 140x140x8.0</v>
      </c>
    </row>
    <row r="2381" spans="1:3" x14ac:dyDescent="0.3">
      <c r="A2381" t="str">
        <f>IF(AND(FORSIDE!$B$8&gt;=7,FORSIDE!$F$8&gt;=0,FORSIDE!$B$5&gt;=10),"S2380","")</f>
        <v/>
      </c>
      <c r="B2381" t="str">
        <f>IF(AND(FORSIDE!$B$8&gt;=7,FORSIDE!$F$8&gt;=0,FORSIDE!$B$5&gt;=10),"77 -&gt; 88","")</f>
        <v/>
      </c>
      <c r="C2381" t="str">
        <f>FORSIDE!$C$3</f>
        <v>S355, Stål / VFHUP 140x140x8.0</v>
      </c>
    </row>
    <row r="2382" spans="1:3" x14ac:dyDescent="0.3">
      <c r="A2382" t="str">
        <f>IF(AND(FORSIDE!$B$8&gt;=8,FORSIDE!$F$8&gt;=0,FORSIDE!$B$5&gt;=1),"S2381","")</f>
        <v/>
      </c>
      <c r="B2382" t="str">
        <f>IF(AND(FORSIDE!$B$8&gt;=8,FORSIDE!$F$8&gt;=0,FORSIDE!$B$5&gt;=1),"79 -&gt; 90","")</f>
        <v/>
      </c>
      <c r="C2382" t="str">
        <f>FORSIDE!$C$3</f>
        <v>S355, Stål / VFHUP 140x140x8.0</v>
      </c>
    </row>
    <row r="2383" spans="1:3" x14ac:dyDescent="0.3">
      <c r="A2383" t="str">
        <f>IF(AND(FORSIDE!$B$8&gt;=8,FORSIDE!$F$8&gt;=0,FORSIDE!$B$5&gt;=2),"S2382","")</f>
        <v/>
      </c>
      <c r="B2383" t="str">
        <f>IF(AND(FORSIDE!$B$8&gt;=8,FORSIDE!$F$8&gt;=0,FORSIDE!$B$5&gt;=2),"80 -&gt; 91","")</f>
        <v/>
      </c>
      <c r="C2383" t="str">
        <f>FORSIDE!$C$3</f>
        <v>S355, Stål / VFHUP 140x140x8.0</v>
      </c>
    </row>
    <row r="2384" spans="1:3" x14ac:dyDescent="0.3">
      <c r="A2384" t="str">
        <f>IF(AND(FORSIDE!$B$8&gt;=8,FORSIDE!$F$8&gt;=0,FORSIDE!$B$5&gt;=3),"S2383","")</f>
        <v/>
      </c>
      <c r="B2384" t="str">
        <f>IF(AND(FORSIDE!$B$8&gt;=8,FORSIDE!$F$8&gt;=0,FORSIDE!$B$5&gt;=3),"81 -&gt; 92","")</f>
        <v/>
      </c>
      <c r="C2384" t="str">
        <f>FORSIDE!$C$3</f>
        <v>S355, Stål / VFHUP 140x140x8.0</v>
      </c>
    </row>
    <row r="2385" spans="1:3" x14ac:dyDescent="0.3">
      <c r="A2385" t="str">
        <f>IF(AND(FORSIDE!$B$8&gt;=8,FORSIDE!$F$8&gt;=0,FORSIDE!$B$5&gt;=4),"S2384","")</f>
        <v/>
      </c>
      <c r="B2385" t="str">
        <f>IF(AND(FORSIDE!$B$8&gt;=8,FORSIDE!$F$8&gt;=0,FORSIDE!$B$5&gt;=4),"82 -&gt; 93","")</f>
        <v/>
      </c>
      <c r="C2385" t="str">
        <f>FORSIDE!$C$3</f>
        <v>S355, Stål / VFHUP 140x140x8.0</v>
      </c>
    </row>
    <row r="2386" spans="1:3" x14ac:dyDescent="0.3">
      <c r="A2386" t="str">
        <f>IF(AND(FORSIDE!$B$8&gt;=8,FORSIDE!$F$8&gt;=0,FORSIDE!$B$5&gt;=5),"S2385","")</f>
        <v/>
      </c>
      <c r="B2386" t="str">
        <f>IF(AND(FORSIDE!$B$8&gt;=8,FORSIDE!$F$8&gt;=0,FORSIDE!$B$5&gt;=5),"83 -&gt; 94","")</f>
        <v/>
      </c>
      <c r="C2386" t="str">
        <f>FORSIDE!$C$3</f>
        <v>S355, Stål / VFHUP 140x140x8.0</v>
      </c>
    </row>
    <row r="2387" spans="1:3" x14ac:dyDescent="0.3">
      <c r="A2387" t="str">
        <f>IF(AND(FORSIDE!$B$8&gt;=8,FORSIDE!$F$8&gt;=0,FORSIDE!$B$5&gt;=6),"S2386","")</f>
        <v/>
      </c>
      <c r="B2387" t="str">
        <f>IF(AND(FORSIDE!$B$8&gt;=8,FORSIDE!$F$8&gt;=0,FORSIDE!$B$5&gt;=6),"84 -&gt; 95","")</f>
        <v/>
      </c>
      <c r="C2387" t="str">
        <f>FORSIDE!$C$3</f>
        <v>S355, Stål / VFHUP 140x140x8.0</v>
      </c>
    </row>
    <row r="2388" spans="1:3" x14ac:dyDescent="0.3">
      <c r="A2388" t="str">
        <f>IF(AND(FORSIDE!$B$8&gt;=8,FORSIDE!$F$8&gt;=0,FORSIDE!$B$5&gt;=7),"S2387","")</f>
        <v/>
      </c>
      <c r="B2388" t="str">
        <f>IF(AND(FORSIDE!$B$8&gt;=8,FORSIDE!$F$8&gt;=0,FORSIDE!$B$5&gt;=7),"85 -&gt; 96","")</f>
        <v/>
      </c>
      <c r="C2388" t="str">
        <f>FORSIDE!$C$3</f>
        <v>S355, Stål / VFHUP 140x140x8.0</v>
      </c>
    </row>
    <row r="2389" spans="1:3" x14ac:dyDescent="0.3">
      <c r="A2389" t="str">
        <f>IF(AND(FORSIDE!$B$8&gt;=8,FORSIDE!$F$8&gt;=0,FORSIDE!$B$5&gt;=8),"S2388","")</f>
        <v/>
      </c>
      <c r="B2389" t="str">
        <f>IF(AND(FORSIDE!$B$8&gt;=8,FORSIDE!$F$8&gt;=0,FORSIDE!$B$5&gt;=8),"86 -&gt; 97","")</f>
        <v/>
      </c>
      <c r="C2389" t="str">
        <f>FORSIDE!$C$3</f>
        <v>S355, Stål / VFHUP 140x140x8.0</v>
      </c>
    </row>
    <row r="2390" spans="1:3" x14ac:dyDescent="0.3">
      <c r="A2390" t="str">
        <f>IF(AND(FORSIDE!$B$8&gt;=8,FORSIDE!$F$8&gt;=0,FORSIDE!$B$5&gt;=9),"S2389","")</f>
        <v/>
      </c>
      <c r="B2390" t="str">
        <f>IF(AND(FORSIDE!$B$8&gt;=8,FORSIDE!$F$8&gt;=0,FORSIDE!$B$5&gt;=9),"87 -&gt; 98","")</f>
        <v/>
      </c>
      <c r="C2390" t="str">
        <f>FORSIDE!$C$3</f>
        <v>S355, Stål / VFHUP 140x140x8.0</v>
      </c>
    </row>
    <row r="2391" spans="1:3" x14ac:dyDescent="0.3">
      <c r="A2391" t="str">
        <f>IF(AND(FORSIDE!$B$8&gt;=8,FORSIDE!$F$8&gt;=0,FORSIDE!$B$5&gt;=10),"S2390","")</f>
        <v/>
      </c>
      <c r="B2391" t="str">
        <f>IF(AND(FORSIDE!$B$8&gt;=8,FORSIDE!$F$8&gt;=0,FORSIDE!$B$5&gt;=10),"88 -&gt; 99","")</f>
        <v/>
      </c>
      <c r="C2391" t="str">
        <f>FORSIDE!$C$3</f>
        <v>S355, Stål / VFHUP 140x140x8.0</v>
      </c>
    </row>
    <row r="2392" spans="1:3" x14ac:dyDescent="0.3">
      <c r="A2392" t="str">
        <f>IF(AND(FORSIDE!$B$8&gt;=9,FORSIDE!$F$8&gt;=0,FORSIDE!$B$5&gt;=1),"S2391","")</f>
        <v/>
      </c>
      <c r="B2392" t="str">
        <f>IF(AND(FORSIDE!$B$8&gt;=9,FORSIDE!$F$8&gt;=0,FORSIDE!$B$5&gt;=1),"90 -&gt; 101","")</f>
        <v/>
      </c>
      <c r="C2392" t="str">
        <f>FORSIDE!$C$3</f>
        <v>S355, Stål / VFHUP 140x140x8.0</v>
      </c>
    </row>
    <row r="2393" spans="1:3" x14ac:dyDescent="0.3">
      <c r="A2393" t="str">
        <f>IF(AND(FORSIDE!$B$8&gt;=9,FORSIDE!$F$8&gt;=0,FORSIDE!$B$5&gt;=2),"S2392","")</f>
        <v/>
      </c>
      <c r="B2393" t="str">
        <f>IF(AND(FORSIDE!$B$8&gt;=9,FORSIDE!$F$8&gt;=0,FORSIDE!$B$5&gt;=2),"91 -&gt; 102","")</f>
        <v/>
      </c>
      <c r="C2393" t="str">
        <f>FORSIDE!$C$3</f>
        <v>S355, Stål / VFHUP 140x140x8.0</v>
      </c>
    </row>
    <row r="2394" spans="1:3" x14ac:dyDescent="0.3">
      <c r="A2394" t="str">
        <f>IF(AND(FORSIDE!$B$8&gt;=9,FORSIDE!$F$8&gt;=0,FORSIDE!$B$5&gt;=3),"S2393","")</f>
        <v/>
      </c>
      <c r="B2394" t="str">
        <f>IF(AND(FORSIDE!$B$8&gt;=9,FORSIDE!$F$8&gt;=0,FORSIDE!$B$5&gt;=3),"92 -&gt; 103","")</f>
        <v/>
      </c>
      <c r="C2394" t="str">
        <f>FORSIDE!$C$3</f>
        <v>S355, Stål / VFHUP 140x140x8.0</v>
      </c>
    </row>
    <row r="2395" spans="1:3" x14ac:dyDescent="0.3">
      <c r="A2395" t="str">
        <f>IF(AND(FORSIDE!$B$8&gt;=9,FORSIDE!$F$8&gt;=0,FORSIDE!$B$5&gt;=4),"S2394","")</f>
        <v/>
      </c>
      <c r="B2395" t="str">
        <f>IF(AND(FORSIDE!$B$8&gt;=9,FORSIDE!$F$8&gt;=0,FORSIDE!$B$5&gt;=4),"93 -&gt; 104","")</f>
        <v/>
      </c>
      <c r="C2395" t="str">
        <f>FORSIDE!$C$3</f>
        <v>S355, Stål / VFHUP 140x140x8.0</v>
      </c>
    </row>
    <row r="2396" spans="1:3" x14ac:dyDescent="0.3">
      <c r="A2396" t="str">
        <f>IF(AND(FORSIDE!$B$8&gt;=9,FORSIDE!$F$8&gt;=0,FORSIDE!$B$5&gt;=5),"S2395","")</f>
        <v/>
      </c>
      <c r="B2396" t="str">
        <f>IF(AND(FORSIDE!$B$8&gt;=9,FORSIDE!$F$8&gt;=0,FORSIDE!$B$5&gt;=5),"94 -&gt; 105","")</f>
        <v/>
      </c>
      <c r="C2396" t="str">
        <f>FORSIDE!$C$3</f>
        <v>S355, Stål / VFHUP 140x140x8.0</v>
      </c>
    </row>
    <row r="2397" spans="1:3" x14ac:dyDescent="0.3">
      <c r="A2397" t="str">
        <f>IF(AND(FORSIDE!$B$8&gt;=9,FORSIDE!$F$8&gt;=0,FORSIDE!$B$5&gt;=6),"S2396","")</f>
        <v/>
      </c>
      <c r="B2397" t="str">
        <f>IF(AND(FORSIDE!$B$8&gt;=9,FORSIDE!$F$8&gt;=0,FORSIDE!$B$5&gt;=6),"95 -&gt; 106","")</f>
        <v/>
      </c>
      <c r="C2397" t="str">
        <f>FORSIDE!$C$3</f>
        <v>S355, Stål / VFHUP 140x140x8.0</v>
      </c>
    </row>
    <row r="2398" spans="1:3" x14ac:dyDescent="0.3">
      <c r="A2398" t="str">
        <f>IF(AND(FORSIDE!$B$8&gt;=9,FORSIDE!$F$8&gt;=0,FORSIDE!$B$5&gt;=7),"S2397","")</f>
        <v/>
      </c>
      <c r="B2398" t="str">
        <f>IF(AND(FORSIDE!$B$8&gt;=9,FORSIDE!$F$8&gt;=0,FORSIDE!$B$5&gt;=7),"96 -&gt; 107","")</f>
        <v/>
      </c>
      <c r="C2398" t="str">
        <f>FORSIDE!$C$3</f>
        <v>S355, Stål / VFHUP 140x140x8.0</v>
      </c>
    </row>
    <row r="2399" spans="1:3" x14ac:dyDescent="0.3">
      <c r="A2399" t="str">
        <f>IF(AND(FORSIDE!$B$8&gt;=9,FORSIDE!$F$8&gt;=0,FORSIDE!$B$5&gt;=8),"S2398","")</f>
        <v/>
      </c>
      <c r="B2399" t="str">
        <f>IF(AND(FORSIDE!$B$8&gt;=9,FORSIDE!$F$8&gt;=0,FORSIDE!$B$5&gt;=8),"97 -&gt; 108","")</f>
        <v/>
      </c>
      <c r="C2399" t="str">
        <f>FORSIDE!$C$3</f>
        <v>S355, Stål / VFHUP 140x140x8.0</v>
      </c>
    </row>
    <row r="2400" spans="1:3" x14ac:dyDescent="0.3">
      <c r="A2400" t="str">
        <f>IF(AND(FORSIDE!$B$8&gt;=9,FORSIDE!$F$8&gt;=0,FORSIDE!$B$5&gt;=9),"S2399","")</f>
        <v/>
      </c>
      <c r="B2400" t="str">
        <f>IF(AND(FORSIDE!$B$8&gt;=9,FORSIDE!$F$8&gt;=0,FORSIDE!$B$5&gt;=9),"98 -&gt; 109","")</f>
        <v/>
      </c>
      <c r="C2400" t="str">
        <f>FORSIDE!$C$3</f>
        <v>S355, Stål / VFHUP 140x140x8.0</v>
      </c>
    </row>
    <row r="2401" spans="1:3" x14ac:dyDescent="0.3">
      <c r="A2401" t="str">
        <f>IF(AND(FORSIDE!$B$8&gt;=9,FORSIDE!$F$8&gt;=0,FORSIDE!$B$5&gt;=10),"S2400","")</f>
        <v/>
      </c>
      <c r="B2401" t="str">
        <f>IF(AND(FORSIDE!$B$8&gt;=9,FORSIDE!$F$8&gt;=0,FORSIDE!$B$5&gt;=10),"99 -&gt; 110","")</f>
        <v/>
      </c>
      <c r="C2401" t="str">
        <f>FORSIDE!$C$3</f>
        <v>S355, Stål / VFHUP 140x140x8.0</v>
      </c>
    </row>
    <row r="2402" spans="1:3" x14ac:dyDescent="0.3">
      <c r="A2402" t="str">
        <f>IF(AND(FORSIDE!$B$8&gt;=10,FORSIDE!$F$8&gt;=0,FORSIDE!$B$5&gt;=1),"S2401","")</f>
        <v/>
      </c>
      <c r="B2402" t="str">
        <f>IF(AND(FORSIDE!$B$8&gt;=10,FORSIDE!$F$8&gt;=0,FORSIDE!$B$5&gt;=1),"101 -&gt; 112","")</f>
        <v/>
      </c>
      <c r="C2402" t="str">
        <f>FORSIDE!$C$3</f>
        <v>S355, Stål / VFHUP 140x140x8.0</v>
      </c>
    </row>
    <row r="2403" spans="1:3" x14ac:dyDescent="0.3">
      <c r="A2403" t="str">
        <f>IF(AND(FORSIDE!$B$8&gt;=10,FORSIDE!$F$8&gt;=0,FORSIDE!$B$5&gt;=2),"S2402","")</f>
        <v/>
      </c>
      <c r="B2403" t="str">
        <f>IF(AND(FORSIDE!$B$8&gt;=10,FORSIDE!$F$8&gt;=0,FORSIDE!$B$5&gt;=2),"102 -&gt; 113","")</f>
        <v/>
      </c>
      <c r="C2403" t="str">
        <f>FORSIDE!$C$3</f>
        <v>S355, Stål / VFHUP 140x140x8.0</v>
      </c>
    </row>
    <row r="2404" spans="1:3" x14ac:dyDescent="0.3">
      <c r="A2404" t="str">
        <f>IF(AND(FORSIDE!$B$8&gt;=10,FORSIDE!$F$8&gt;=0,FORSIDE!$B$5&gt;=3),"S2403","")</f>
        <v/>
      </c>
      <c r="B2404" t="str">
        <f>IF(AND(FORSIDE!$B$8&gt;=10,FORSIDE!$F$8&gt;=0,FORSIDE!$B$5&gt;=3),"103 -&gt; 114","")</f>
        <v/>
      </c>
      <c r="C2404" t="str">
        <f>FORSIDE!$C$3</f>
        <v>S355, Stål / VFHUP 140x140x8.0</v>
      </c>
    </row>
    <row r="2405" spans="1:3" x14ac:dyDescent="0.3">
      <c r="A2405" t="str">
        <f>IF(AND(FORSIDE!$B$8&gt;=10,FORSIDE!$F$8&gt;=0,FORSIDE!$B$5&gt;=4),"S2404","")</f>
        <v/>
      </c>
      <c r="B2405" t="str">
        <f>IF(AND(FORSIDE!$B$8&gt;=10,FORSIDE!$F$8&gt;=0,FORSIDE!$B$5&gt;=4),"104 -&gt; 115","")</f>
        <v/>
      </c>
      <c r="C2405" t="str">
        <f>FORSIDE!$C$3</f>
        <v>S355, Stål / VFHUP 140x140x8.0</v>
      </c>
    </row>
    <row r="2406" spans="1:3" x14ac:dyDescent="0.3">
      <c r="A2406" t="str">
        <f>IF(AND(FORSIDE!$B$8&gt;=10,FORSIDE!$F$8&gt;=0,FORSIDE!$B$5&gt;=5),"S2405","")</f>
        <v/>
      </c>
      <c r="B2406" t="str">
        <f>IF(AND(FORSIDE!$B$8&gt;=10,FORSIDE!$F$8&gt;=0,FORSIDE!$B$5&gt;=5),"105 -&gt; 116","")</f>
        <v/>
      </c>
      <c r="C2406" t="str">
        <f>FORSIDE!$C$3</f>
        <v>S355, Stål / VFHUP 140x140x8.0</v>
      </c>
    </row>
    <row r="2407" spans="1:3" x14ac:dyDescent="0.3">
      <c r="A2407" t="str">
        <f>IF(AND(FORSIDE!$B$8&gt;=10,FORSIDE!$F$8&gt;=0,FORSIDE!$B$5&gt;=6),"S2406","")</f>
        <v/>
      </c>
      <c r="B2407" t="str">
        <f>IF(AND(FORSIDE!$B$8&gt;=10,FORSIDE!$F$8&gt;=0,FORSIDE!$B$5&gt;=6),"106 -&gt; 117","")</f>
        <v/>
      </c>
      <c r="C2407" t="str">
        <f>FORSIDE!$C$3</f>
        <v>S355, Stål / VFHUP 140x140x8.0</v>
      </c>
    </row>
    <row r="2408" spans="1:3" x14ac:dyDescent="0.3">
      <c r="A2408" t="str">
        <f>IF(AND(FORSIDE!$B$8&gt;=10,FORSIDE!$F$8&gt;=0,FORSIDE!$B$5&gt;=7),"S2407","")</f>
        <v/>
      </c>
      <c r="B2408" t="str">
        <f>IF(AND(FORSIDE!$B$8&gt;=10,FORSIDE!$F$8&gt;=0,FORSIDE!$B$5&gt;=7),"107 -&gt; 118","")</f>
        <v/>
      </c>
      <c r="C2408" t="str">
        <f>FORSIDE!$C$3</f>
        <v>S355, Stål / VFHUP 140x140x8.0</v>
      </c>
    </row>
    <row r="2409" spans="1:3" x14ac:dyDescent="0.3">
      <c r="A2409" t="str">
        <f>IF(AND(FORSIDE!$B$8&gt;=10,FORSIDE!$F$8&gt;=0,FORSIDE!$B$5&gt;=8),"S2408","")</f>
        <v/>
      </c>
      <c r="B2409" t="str">
        <f>IF(AND(FORSIDE!$B$8&gt;=10,FORSIDE!$F$8&gt;=0,FORSIDE!$B$5&gt;=8),"108 -&gt; 119","")</f>
        <v/>
      </c>
      <c r="C2409" t="str">
        <f>FORSIDE!$C$3</f>
        <v>S355, Stål / VFHUP 140x140x8.0</v>
      </c>
    </row>
    <row r="2410" spans="1:3" x14ac:dyDescent="0.3">
      <c r="A2410" t="str">
        <f>IF(AND(FORSIDE!$B$8&gt;=10,FORSIDE!$F$8&gt;=0,FORSIDE!$B$5&gt;=9),"S2409","")</f>
        <v/>
      </c>
      <c r="B2410" t="str">
        <f>IF(AND(FORSIDE!$B$8&gt;=10,FORSIDE!$F$8&gt;=0,FORSIDE!$B$5&gt;=9),"109 -&gt; 120","")</f>
        <v/>
      </c>
      <c r="C2410" t="str">
        <f>FORSIDE!$C$3</f>
        <v>S355, Stål / VFHUP 140x140x8.0</v>
      </c>
    </row>
    <row r="2411" spans="1:3" x14ac:dyDescent="0.3">
      <c r="A2411" t="str">
        <f>IF(AND(FORSIDE!$B$8&gt;=10,FORSIDE!$F$8&gt;=0,FORSIDE!$B$5&gt;=10),"S2410","")</f>
        <v/>
      </c>
      <c r="B2411" t="str">
        <f>IF(AND(FORSIDE!$B$8&gt;=10,FORSIDE!$F$8&gt;=0,FORSIDE!$B$5&gt;=10),"110 -&gt; 121","")</f>
        <v/>
      </c>
      <c r="C2411" t="str">
        <f>FORSIDE!$C$3</f>
        <v>S355, Stål / VFHUP 140x140x8.0</v>
      </c>
    </row>
    <row r="2412" spans="1:3" x14ac:dyDescent="0.3">
      <c r="A2412" t="str">
        <f>IF(AND(FORSIDE!$B$8&gt;=11,FORSIDE!$F$8&gt;=0,FORSIDE!$B$5&gt;=1),"S2411","")</f>
        <v/>
      </c>
      <c r="B2412" t="str">
        <f>IF(AND(FORSIDE!$B$8&gt;=11,FORSIDE!$F$8&gt;=0,FORSIDE!$B$5&gt;=1),"112 -&gt; 123","")</f>
        <v/>
      </c>
      <c r="C2412" t="str">
        <f>FORSIDE!$C$3</f>
        <v>S355, Stål / VFHUP 140x140x8.0</v>
      </c>
    </row>
    <row r="2413" spans="1:3" x14ac:dyDescent="0.3">
      <c r="A2413" t="str">
        <f>IF(AND(FORSIDE!$B$8&gt;=11,FORSIDE!$F$8&gt;=0,FORSIDE!$B$5&gt;=2),"S2412","")</f>
        <v/>
      </c>
      <c r="B2413" t="str">
        <f>IF(AND(FORSIDE!$B$8&gt;=11,FORSIDE!$F$8&gt;=0,FORSIDE!$B$5&gt;=2),"113 -&gt; 124","")</f>
        <v/>
      </c>
      <c r="C2413" t="str">
        <f>FORSIDE!$C$3</f>
        <v>S355, Stål / VFHUP 140x140x8.0</v>
      </c>
    </row>
    <row r="2414" spans="1:3" x14ac:dyDescent="0.3">
      <c r="A2414" t="str">
        <f>IF(AND(FORSIDE!$B$8&gt;=11,FORSIDE!$F$8&gt;=0,FORSIDE!$B$5&gt;=3),"S2413","")</f>
        <v/>
      </c>
      <c r="B2414" t="str">
        <f>IF(AND(FORSIDE!$B$8&gt;=11,FORSIDE!$F$8&gt;=0,FORSIDE!$B$5&gt;=3),"114 -&gt; 125","")</f>
        <v/>
      </c>
      <c r="C2414" t="str">
        <f>FORSIDE!$C$3</f>
        <v>S355, Stål / VFHUP 140x140x8.0</v>
      </c>
    </row>
    <row r="2415" spans="1:3" x14ac:dyDescent="0.3">
      <c r="A2415" t="str">
        <f>IF(AND(FORSIDE!$B$8&gt;=11,FORSIDE!$F$8&gt;=0,FORSIDE!$B$5&gt;=4),"S2414","")</f>
        <v/>
      </c>
      <c r="B2415" t="str">
        <f>IF(AND(FORSIDE!$B$8&gt;=11,FORSIDE!$F$8&gt;=0,FORSIDE!$B$5&gt;=4),"115 -&gt; 126","")</f>
        <v/>
      </c>
      <c r="C2415" t="str">
        <f>FORSIDE!$C$3</f>
        <v>S355, Stål / VFHUP 140x140x8.0</v>
      </c>
    </row>
    <row r="2416" spans="1:3" x14ac:dyDescent="0.3">
      <c r="A2416" t="str">
        <f>IF(AND(FORSIDE!$B$8&gt;=11,FORSIDE!$F$8&gt;=0,FORSIDE!$B$5&gt;=5),"S2415","")</f>
        <v/>
      </c>
      <c r="B2416" t="str">
        <f>IF(AND(FORSIDE!$B$8&gt;=11,FORSIDE!$F$8&gt;=0,FORSIDE!$B$5&gt;=5),"116 -&gt; 127","")</f>
        <v/>
      </c>
      <c r="C2416" t="str">
        <f>FORSIDE!$C$3</f>
        <v>S355, Stål / VFHUP 140x140x8.0</v>
      </c>
    </row>
    <row r="2417" spans="1:3" x14ac:dyDescent="0.3">
      <c r="A2417" t="str">
        <f>IF(AND(FORSIDE!$B$8&gt;=11,FORSIDE!$F$8&gt;=0,FORSIDE!$B$5&gt;=6),"S2416","")</f>
        <v/>
      </c>
      <c r="B2417" t="str">
        <f>IF(AND(FORSIDE!$B$8&gt;=11,FORSIDE!$F$8&gt;=0,FORSIDE!$B$5&gt;=6),"117 -&gt; 128","")</f>
        <v/>
      </c>
      <c r="C2417" t="str">
        <f>FORSIDE!$C$3</f>
        <v>S355, Stål / VFHUP 140x140x8.0</v>
      </c>
    </row>
    <row r="2418" spans="1:3" x14ac:dyDescent="0.3">
      <c r="A2418" t="str">
        <f>IF(AND(FORSIDE!$B$8&gt;=11,FORSIDE!$F$8&gt;=0,FORSIDE!$B$5&gt;=7),"S2417","")</f>
        <v/>
      </c>
      <c r="B2418" t="str">
        <f>IF(AND(FORSIDE!$B$8&gt;=11,FORSIDE!$F$8&gt;=0,FORSIDE!$B$5&gt;=7),"118 -&gt; 129","")</f>
        <v/>
      </c>
      <c r="C2418" t="str">
        <f>FORSIDE!$C$3</f>
        <v>S355, Stål / VFHUP 140x140x8.0</v>
      </c>
    </row>
    <row r="2419" spans="1:3" x14ac:dyDescent="0.3">
      <c r="A2419" t="str">
        <f>IF(AND(FORSIDE!$B$8&gt;=11,FORSIDE!$F$8&gt;=0,FORSIDE!$B$5&gt;=8),"S2418","")</f>
        <v/>
      </c>
      <c r="B2419" t="str">
        <f>IF(AND(FORSIDE!$B$8&gt;=11,FORSIDE!$F$8&gt;=0,FORSIDE!$B$5&gt;=8),"119 -&gt; 130","")</f>
        <v/>
      </c>
      <c r="C2419" t="str">
        <f>FORSIDE!$C$3</f>
        <v>S355, Stål / VFHUP 140x140x8.0</v>
      </c>
    </row>
    <row r="2420" spans="1:3" x14ac:dyDescent="0.3">
      <c r="A2420" t="str">
        <f>IF(AND(FORSIDE!$B$8&gt;=11,FORSIDE!$F$8&gt;=0,FORSIDE!$B$5&gt;=9),"S2419","")</f>
        <v/>
      </c>
      <c r="B2420" t="str">
        <f>IF(AND(FORSIDE!$B$8&gt;=11,FORSIDE!$F$8&gt;=0,FORSIDE!$B$5&gt;=9),"120 -&gt; 131","")</f>
        <v/>
      </c>
      <c r="C2420" t="str">
        <f>FORSIDE!$C$3</f>
        <v>S355, Stål / VFHUP 140x140x8.0</v>
      </c>
    </row>
    <row r="2421" spans="1:3" x14ac:dyDescent="0.3">
      <c r="A2421" t="str">
        <f>IF(AND(FORSIDE!$B$8&gt;=11,FORSIDE!$F$8&gt;=0,FORSIDE!$B$5&gt;=10),"S2420","")</f>
        <v/>
      </c>
      <c r="B2421" t="str">
        <f>IF(AND(FORSIDE!$B$8&gt;=11,FORSIDE!$F$8&gt;=0,FORSIDE!$B$5&gt;=10),"121 -&gt; 132","")</f>
        <v/>
      </c>
      <c r="C2421" t="str">
        <f>FORSIDE!$C$3</f>
        <v>S355, Stål / VFHUP 140x140x8.0</v>
      </c>
    </row>
    <row r="2422" spans="1:3" x14ac:dyDescent="0.3">
      <c r="A2422" t="str">
        <f>IF(AND(FORSIDE!$B$8&gt;=12,FORSIDE!$F$8&gt;=0,FORSIDE!$B$5&gt;=1),"S2421","")</f>
        <v/>
      </c>
      <c r="B2422" t="str">
        <f>IF(AND(FORSIDE!$B$8&gt;=12,FORSIDE!$F$8&gt;=0,FORSIDE!$B$5&gt;=1),"123 -&gt; 134","")</f>
        <v/>
      </c>
      <c r="C2422" t="str">
        <f>FORSIDE!$C$3</f>
        <v>S355, Stål / VFHUP 140x140x8.0</v>
      </c>
    </row>
    <row r="2423" spans="1:3" x14ac:dyDescent="0.3">
      <c r="A2423" t="str">
        <f>IF(AND(FORSIDE!$B$8&gt;=12,FORSIDE!$F$8&gt;=0,FORSIDE!$B$5&gt;=2),"S2422","")</f>
        <v/>
      </c>
      <c r="B2423" t="str">
        <f>IF(AND(FORSIDE!$B$8&gt;=12,FORSIDE!$F$8&gt;=0,FORSIDE!$B$5&gt;=2),"124 -&gt; 135","")</f>
        <v/>
      </c>
      <c r="C2423" t="str">
        <f>FORSIDE!$C$3</f>
        <v>S355, Stål / VFHUP 140x140x8.0</v>
      </c>
    </row>
    <row r="2424" spans="1:3" x14ac:dyDescent="0.3">
      <c r="A2424" t="str">
        <f>IF(AND(FORSIDE!$B$8&gt;=12,FORSIDE!$F$8&gt;=0,FORSIDE!$B$5&gt;=3),"S2423","")</f>
        <v/>
      </c>
      <c r="B2424" t="str">
        <f>IF(AND(FORSIDE!$B$8&gt;=12,FORSIDE!$F$8&gt;=0,FORSIDE!$B$5&gt;=3),"125 -&gt; 136","")</f>
        <v/>
      </c>
      <c r="C2424" t="str">
        <f>FORSIDE!$C$3</f>
        <v>S355, Stål / VFHUP 140x140x8.0</v>
      </c>
    </row>
    <row r="2425" spans="1:3" x14ac:dyDescent="0.3">
      <c r="A2425" t="str">
        <f>IF(AND(FORSIDE!$B$8&gt;=12,FORSIDE!$F$8&gt;=0,FORSIDE!$B$5&gt;=4),"S2424","")</f>
        <v/>
      </c>
      <c r="B2425" t="str">
        <f>IF(AND(FORSIDE!$B$8&gt;=12,FORSIDE!$F$8&gt;=0,FORSIDE!$B$5&gt;=4),"126 -&gt; 137","")</f>
        <v/>
      </c>
      <c r="C2425" t="str">
        <f>FORSIDE!$C$3</f>
        <v>S355, Stål / VFHUP 140x140x8.0</v>
      </c>
    </row>
    <row r="2426" spans="1:3" x14ac:dyDescent="0.3">
      <c r="A2426" t="str">
        <f>IF(AND(FORSIDE!$B$8&gt;=12,FORSIDE!$F$8&gt;=0,FORSIDE!$B$5&gt;=5),"S2425","")</f>
        <v/>
      </c>
      <c r="B2426" t="str">
        <f>IF(AND(FORSIDE!$B$8&gt;=12,FORSIDE!$F$8&gt;=0,FORSIDE!$B$5&gt;=5),"127 -&gt; 138","")</f>
        <v/>
      </c>
      <c r="C2426" t="str">
        <f>FORSIDE!$C$3</f>
        <v>S355, Stål / VFHUP 140x140x8.0</v>
      </c>
    </row>
    <row r="2427" spans="1:3" x14ac:dyDescent="0.3">
      <c r="A2427" t="str">
        <f>IF(AND(FORSIDE!$B$8&gt;=12,FORSIDE!$F$8&gt;=0,FORSIDE!$B$5&gt;=6),"S2426","")</f>
        <v/>
      </c>
      <c r="B2427" t="str">
        <f>IF(AND(FORSIDE!$B$8&gt;=12,FORSIDE!$F$8&gt;=0,FORSIDE!$B$5&gt;=6),"128 -&gt; 139","")</f>
        <v/>
      </c>
      <c r="C2427" t="str">
        <f>FORSIDE!$C$3</f>
        <v>S355, Stål / VFHUP 140x140x8.0</v>
      </c>
    </row>
    <row r="2428" spans="1:3" x14ac:dyDescent="0.3">
      <c r="A2428" t="str">
        <f>IF(AND(FORSIDE!$B$8&gt;=12,FORSIDE!$F$8&gt;=0,FORSIDE!$B$5&gt;=7),"S2427","")</f>
        <v/>
      </c>
      <c r="B2428" t="str">
        <f>IF(AND(FORSIDE!$B$8&gt;=12,FORSIDE!$F$8&gt;=0,FORSIDE!$B$5&gt;=7),"129 -&gt; 140","")</f>
        <v/>
      </c>
      <c r="C2428" t="str">
        <f>FORSIDE!$C$3</f>
        <v>S355, Stål / VFHUP 140x140x8.0</v>
      </c>
    </row>
    <row r="2429" spans="1:3" x14ac:dyDescent="0.3">
      <c r="A2429" t="str">
        <f>IF(AND(FORSIDE!$B$8&gt;=12,FORSIDE!$F$8&gt;=0,FORSIDE!$B$5&gt;=8),"S2428","")</f>
        <v/>
      </c>
      <c r="B2429" t="str">
        <f>IF(AND(FORSIDE!$B$8&gt;=12,FORSIDE!$F$8&gt;=0,FORSIDE!$B$5&gt;=8),"130 -&gt; 141","")</f>
        <v/>
      </c>
      <c r="C2429" t="str">
        <f>FORSIDE!$C$3</f>
        <v>S355, Stål / VFHUP 140x140x8.0</v>
      </c>
    </row>
    <row r="2430" spans="1:3" x14ac:dyDescent="0.3">
      <c r="A2430" t="str">
        <f>IF(AND(FORSIDE!$B$8&gt;=12,FORSIDE!$F$8&gt;=0,FORSIDE!$B$5&gt;=9),"S2429","")</f>
        <v/>
      </c>
      <c r="B2430" t="str">
        <f>IF(AND(FORSIDE!$B$8&gt;=12,FORSIDE!$F$8&gt;=0,FORSIDE!$B$5&gt;=9),"131 -&gt; 142","")</f>
        <v/>
      </c>
      <c r="C2430" t="str">
        <f>FORSIDE!$C$3</f>
        <v>S355, Stål / VFHUP 140x140x8.0</v>
      </c>
    </row>
    <row r="2431" spans="1:3" x14ac:dyDescent="0.3">
      <c r="A2431" t="str">
        <f>IF(AND(FORSIDE!$B$8&gt;=12,FORSIDE!$F$8&gt;=0,FORSIDE!$B$5&gt;=10),"S2430","")</f>
        <v/>
      </c>
      <c r="B2431" t="str">
        <f>IF(AND(FORSIDE!$B$8&gt;=12,FORSIDE!$F$8&gt;=0,FORSIDE!$B$5&gt;=10),"132 -&gt; 143","")</f>
        <v/>
      </c>
      <c r="C2431" t="str">
        <f>FORSIDE!$C$3</f>
        <v>S355, Stål / VFHUP 140x140x8.0</v>
      </c>
    </row>
    <row r="2432" spans="1:3" x14ac:dyDescent="0.3">
      <c r="A2432" t="str">
        <f>IF(AND(FORSIDE!$B$8&gt;=13,FORSIDE!$F$8&gt;=0,FORSIDE!$B$5&gt;=1),"S2431","")</f>
        <v/>
      </c>
      <c r="B2432" t="str">
        <f>IF(AND(FORSIDE!$B$8&gt;=13,FORSIDE!$F$8&gt;=0,FORSIDE!$B$5&gt;=1),"134 -&gt; 145","")</f>
        <v/>
      </c>
      <c r="C2432" t="str">
        <f>FORSIDE!$C$3</f>
        <v>S355, Stål / VFHUP 140x140x8.0</v>
      </c>
    </row>
    <row r="2433" spans="1:3" x14ac:dyDescent="0.3">
      <c r="A2433" t="str">
        <f>IF(AND(FORSIDE!$B$8&gt;=13,FORSIDE!$F$8&gt;=0,FORSIDE!$B$5&gt;=2),"S2432","")</f>
        <v/>
      </c>
      <c r="B2433" t="str">
        <f>IF(AND(FORSIDE!$B$8&gt;=13,FORSIDE!$F$8&gt;=0,FORSIDE!$B$5&gt;=2),"135 -&gt; 146","")</f>
        <v/>
      </c>
      <c r="C2433" t="str">
        <f>FORSIDE!$C$3</f>
        <v>S355, Stål / VFHUP 140x140x8.0</v>
      </c>
    </row>
    <row r="2434" spans="1:3" x14ac:dyDescent="0.3">
      <c r="A2434" t="str">
        <f>IF(AND(FORSIDE!$B$8&gt;=13,FORSIDE!$F$8&gt;=0,FORSIDE!$B$5&gt;=3),"S2433","")</f>
        <v/>
      </c>
      <c r="B2434" t="str">
        <f>IF(AND(FORSIDE!$B$8&gt;=13,FORSIDE!$F$8&gt;=0,FORSIDE!$B$5&gt;=3),"136 -&gt; 147","")</f>
        <v/>
      </c>
      <c r="C2434" t="str">
        <f>FORSIDE!$C$3</f>
        <v>S355, Stål / VFHUP 140x140x8.0</v>
      </c>
    </row>
    <row r="2435" spans="1:3" x14ac:dyDescent="0.3">
      <c r="A2435" t="str">
        <f>IF(AND(FORSIDE!$B$8&gt;=13,FORSIDE!$F$8&gt;=0,FORSIDE!$B$5&gt;=4),"S2434","")</f>
        <v/>
      </c>
      <c r="B2435" t="str">
        <f>IF(AND(FORSIDE!$B$8&gt;=13,FORSIDE!$F$8&gt;=0,FORSIDE!$B$5&gt;=4),"137 -&gt; 148","")</f>
        <v/>
      </c>
      <c r="C2435" t="str">
        <f>FORSIDE!$C$3</f>
        <v>S355, Stål / VFHUP 140x140x8.0</v>
      </c>
    </row>
    <row r="2436" spans="1:3" x14ac:dyDescent="0.3">
      <c r="A2436" t="str">
        <f>IF(AND(FORSIDE!$B$8&gt;=13,FORSIDE!$F$8&gt;=0,FORSIDE!$B$5&gt;=5),"S2435","")</f>
        <v/>
      </c>
      <c r="B2436" t="str">
        <f>IF(AND(FORSIDE!$B$8&gt;=13,FORSIDE!$F$8&gt;=0,FORSIDE!$B$5&gt;=5),"138 -&gt; 149","")</f>
        <v/>
      </c>
      <c r="C2436" t="str">
        <f>FORSIDE!$C$3</f>
        <v>S355, Stål / VFHUP 140x140x8.0</v>
      </c>
    </row>
    <row r="2437" spans="1:3" x14ac:dyDescent="0.3">
      <c r="A2437" t="str">
        <f>IF(AND(FORSIDE!$B$8&gt;=13,FORSIDE!$F$8&gt;=0,FORSIDE!$B$5&gt;=6),"S2436","")</f>
        <v/>
      </c>
      <c r="B2437" t="str">
        <f>IF(AND(FORSIDE!$B$8&gt;=13,FORSIDE!$F$8&gt;=0,FORSIDE!$B$5&gt;=6),"139 -&gt; 150","")</f>
        <v/>
      </c>
      <c r="C2437" t="str">
        <f>FORSIDE!$C$3</f>
        <v>S355, Stål / VFHUP 140x140x8.0</v>
      </c>
    </row>
    <row r="2438" spans="1:3" x14ac:dyDescent="0.3">
      <c r="A2438" t="str">
        <f>IF(AND(FORSIDE!$B$8&gt;=13,FORSIDE!$F$8&gt;=0,FORSIDE!$B$5&gt;=7),"S2437","")</f>
        <v/>
      </c>
      <c r="B2438" t="str">
        <f>IF(AND(FORSIDE!$B$8&gt;=13,FORSIDE!$F$8&gt;=0,FORSIDE!$B$5&gt;=7),"140 -&gt; 151","")</f>
        <v/>
      </c>
      <c r="C2438" t="str">
        <f>FORSIDE!$C$3</f>
        <v>S355, Stål / VFHUP 140x140x8.0</v>
      </c>
    </row>
    <row r="2439" spans="1:3" x14ac:dyDescent="0.3">
      <c r="A2439" t="str">
        <f>IF(AND(FORSIDE!$B$8&gt;=13,FORSIDE!$F$8&gt;=0,FORSIDE!$B$5&gt;=8),"S2438","")</f>
        <v/>
      </c>
      <c r="B2439" t="str">
        <f>IF(AND(FORSIDE!$B$8&gt;=13,FORSIDE!$F$8&gt;=0,FORSIDE!$B$5&gt;=8),"141 -&gt; 152","")</f>
        <v/>
      </c>
      <c r="C2439" t="str">
        <f>FORSIDE!$C$3</f>
        <v>S355, Stål / VFHUP 140x140x8.0</v>
      </c>
    </row>
    <row r="2440" spans="1:3" x14ac:dyDescent="0.3">
      <c r="A2440" t="str">
        <f>IF(AND(FORSIDE!$B$8&gt;=13,FORSIDE!$F$8&gt;=0,FORSIDE!$B$5&gt;=9),"S2439","")</f>
        <v/>
      </c>
      <c r="B2440" t="str">
        <f>IF(AND(FORSIDE!$B$8&gt;=13,FORSIDE!$F$8&gt;=0,FORSIDE!$B$5&gt;=9),"142 -&gt; 153","")</f>
        <v/>
      </c>
      <c r="C2440" t="str">
        <f>FORSIDE!$C$3</f>
        <v>S355, Stål / VFHUP 140x140x8.0</v>
      </c>
    </row>
    <row r="2441" spans="1:3" x14ac:dyDescent="0.3">
      <c r="A2441" t="str">
        <f>IF(AND(FORSIDE!$B$8&gt;=13,FORSIDE!$F$8&gt;=0,FORSIDE!$B$5&gt;=10),"S2440","")</f>
        <v/>
      </c>
      <c r="B2441" t="str">
        <f>IF(AND(FORSIDE!$B$8&gt;=13,FORSIDE!$F$8&gt;=0,FORSIDE!$B$5&gt;=10),"143 -&gt; 154","")</f>
        <v/>
      </c>
      <c r="C2441" t="str">
        <f>FORSIDE!$C$3</f>
        <v>S355, Stål / VFHUP 140x140x8.0</v>
      </c>
    </row>
    <row r="2442" spans="1:3" x14ac:dyDescent="0.3">
      <c r="A2442" t="str">
        <f>IF(AND(FORSIDE!$B$8&gt;=14,FORSIDE!$F$8&gt;=0,FORSIDE!$B$5&gt;=1),"S2441","")</f>
        <v/>
      </c>
      <c r="B2442" t="str">
        <f>IF(AND(FORSIDE!$B$8&gt;=14,FORSIDE!$F$8&gt;=0,FORSIDE!$B$5&gt;=1),"145 -&gt; 156","")</f>
        <v/>
      </c>
      <c r="C2442" t="str">
        <f>FORSIDE!$C$3</f>
        <v>S355, Stål / VFHUP 140x140x8.0</v>
      </c>
    </row>
    <row r="2443" spans="1:3" x14ac:dyDescent="0.3">
      <c r="A2443" t="str">
        <f>IF(AND(FORSIDE!$B$8&gt;=14,FORSIDE!$F$8&gt;=0,FORSIDE!$B$5&gt;=2),"S2442","")</f>
        <v/>
      </c>
      <c r="B2443" t="str">
        <f>IF(AND(FORSIDE!$B$8&gt;=14,FORSIDE!$F$8&gt;=0,FORSIDE!$B$5&gt;=2),"146 -&gt; 157","")</f>
        <v/>
      </c>
      <c r="C2443" t="str">
        <f>FORSIDE!$C$3</f>
        <v>S355, Stål / VFHUP 140x140x8.0</v>
      </c>
    </row>
    <row r="2444" spans="1:3" x14ac:dyDescent="0.3">
      <c r="A2444" t="str">
        <f>IF(AND(FORSIDE!$B$8&gt;=14,FORSIDE!$F$8&gt;=0,FORSIDE!$B$5&gt;=3),"S2443","")</f>
        <v/>
      </c>
      <c r="B2444" t="str">
        <f>IF(AND(FORSIDE!$B$8&gt;=14,FORSIDE!$F$8&gt;=0,FORSIDE!$B$5&gt;=3),"147 -&gt; 158","")</f>
        <v/>
      </c>
      <c r="C2444" t="str">
        <f>FORSIDE!$C$3</f>
        <v>S355, Stål / VFHUP 140x140x8.0</v>
      </c>
    </row>
    <row r="2445" spans="1:3" x14ac:dyDescent="0.3">
      <c r="A2445" t="str">
        <f>IF(AND(FORSIDE!$B$8&gt;=14,FORSIDE!$F$8&gt;=0,FORSIDE!$B$5&gt;=4),"S2444","")</f>
        <v/>
      </c>
      <c r="B2445" t="str">
        <f>IF(AND(FORSIDE!$B$8&gt;=14,FORSIDE!$F$8&gt;=0,FORSIDE!$B$5&gt;=4),"148 -&gt; 159","")</f>
        <v/>
      </c>
      <c r="C2445" t="str">
        <f>FORSIDE!$C$3</f>
        <v>S355, Stål / VFHUP 140x140x8.0</v>
      </c>
    </row>
    <row r="2446" spans="1:3" x14ac:dyDescent="0.3">
      <c r="A2446" t="str">
        <f>IF(AND(FORSIDE!$B$8&gt;=14,FORSIDE!$F$8&gt;=0,FORSIDE!$B$5&gt;=5),"S2445","")</f>
        <v/>
      </c>
      <c r="B2446" t="str">
        <f>IF(AND(FORSIDE!$B$8&gt;=14,FORSIDE!$F$8&gt;=0,FORSIDE!$B$5&gt;=5),"149 -&gt; 160","")</f>
        <v/>
      </c>
      <c r="C2446" t="str">
        <f>FORSIDE!$C$3</f>
        <v>S355, Stål / VFHUP 140x140x8.0</v>
      </c>
    </row>
    <row r="2447" spans="1:3" x14ac:dyDescent="0.3">
      <c r="A2447" t="str">
        <f>IF(AND(FORSIDE!$B$8&gt;=14,FORSIDE!$F$8&gt;=0,FORSIDE!$B$5&gt;=6),"S2446","")</f>
        <v/>
      </c>
      <c r="B2447" t="str">
        <f>IF(AND(FORSIDE!$B$8&gt;=14,FORSIDE!$F$8&gt;=0,FORSIDE!$B$5&gt;=6),"150 -&gt; 161","")</f>
        <v/>
      </c>
      <c r="C2447" t="str">
        <f>FORSIDE!$C$3</f>
        <v>S355, Stål / VFHUP 140x140x8.0</v>
      </c>
    </row>
    <row r="2448" spans="1:3" x14ac:dyDescent="0.3">
      <c r="A2448" t="str">
        <f>IF(AND(FORSIDE!$B$8&gt;=14,FORSIDE!$F$8&gt;=0,FORSIDE!$B$5&gt;=7),"S2447","")</f>
        <v/>
      </c>
      <c r="B2448" t="str">
        <f>IF(AND(FORSIDE!$B$8&gt;=14,FORSIDE!$F$8&gt;=0,FORSIDE!$B$5&gt;=7),"151 -&gt; 162","")</f>
        <v/>
      </c>
      <c r="C2448" t="str">
        <f>FORSIDE!$C$3</f>
        <v>S355, Stål / VFHUP 140x140x8.0</v>
      </c>
    </row>
    <row r="2449" spans="1:3" x14ac:dyDescent="0.3">
      <c r="A2449" t="str">
        <f>IF(AND(FORSIDE!$B$8&gt;=14,FORSIDE!$F$8&gt;=0,FORSIDE!$B$5&gt;=8),"S2448","")</f>
        <v/>
      </c>
      <c r="B2449" t="str">
        <f>IF(AND(FORSIDE!$B$8&gt;=14,FORSIDE!$F$8&gt;=0,FORSIDE!$B$5&gt;=8),"152 -&gt; 163","")</f>
        <v/>
      </c>
      <c r="C2449" t="str">
        <f>FORSIDE!$C$3</f>
        <v>S355, Stål / VFHUP 140x140x8.0</v>
      </c>
    </row>
    <row r="2450" spans="1:3" x14ac:dyDescent="0.3">
      <c r="A2450" t="str">
        <f>IF(AND(FORSIDE!$B$8&gt;=14,FORSIDE!$F$8&gt;=0,FORSIDE!$B$5&gt;=9),"S2449","")</f>
        <v/>
      </c>
      <c r="B2450" t="str">
        <f>IF(AND(FORSIDE!$B$8&gt;=14,FORSIDE!$F$8&gt;=0,FORSIDE!$B$5&gt;=9),"153 -&gt; 164","")</f>
        <v/>
      </c>
      <c r="C2450" t="str">
        <f>FORSIDE!$C$3</f>
        <v>S355, Stål / VFHUP 140x140x8.0</v>
      </c>
    </row>
    <row r="2451" spans="1:3" x14ac:dyDescent="0.3">
      <c r="A2451" t="str">
        <f>IF(AND(FORSIDE!$B$8&gt;=14,FORSIDE!$F$8&gt;=0,FORSIDE!$B$5&gt;=10),"S2450","")</f>
        <v/>
      </c>
      <c r="B2451" t="str">
        <f>IF(AND(FORSIDE!$B$8&gt;=14,FORSIDE!$F$8&gt;=0,FORSIDE!$B$5&gt;=10),"154 -&gt; 165","")</f>
        <v/>
      </c>
      <c r="C2451" t="str">
        <f>FORSIDE!$C$3</f>
        <v>S355, Stål / VFHUP 140x140x8.0</v>
      </c>
    </row>
    <row r="2452" spans="1:3" x14ac:dyDescent="0.3">
      <c r="A2452" t="str">
        <f>IF(AND(FORSIDE!$B$8&gt;=15,FORSIDE!$F$8&gt;=0,FORSIDE!$B$5&gt;=1),"S2451","")</f>
        <v/>
      </c>
      <c r="B2452" t="str">
        <f>IF(AND(FORSIDE!$B$8&gt;=15,FORSIDE!$F$8&gt;=0,FORSIDE!$B$5&gt;=1),"156 -&gt; 167","")</f>
        <v/>
      </c>
      <c r="C2452" t="str">
        <f>FORSIDE!$C$3</f>
        <v>S355, Stål / VFHUP 140x140x8.0</v>
      </c>
    </row>
    <row r="2453" spans="1:3" x14ac:dyDescent="0.3">
      <c r="A2453" t="str">
        <f>IF(AND(FORSIDE!$B$8&gt;=15,FORSIDE!$F$8&gt;=0,FORSIDE!$B$5&gt;=2),"S2452","")</f>
        <v/>
      </c>
      <c r="B2453" t="str">
        <f>IF(AND(FORSIDE!$B$8&gt;=15,FORSIDE!$F$8&gt;=0,FORSIDE!$B$5&gt;=2),"157 -&gt; 168","")</f>
        <v/>
      </c>
      <c r="C2453" t="str">
        <f>FORSIDE!$C$3</f>
        <v>S355, Stål / VFHUP 140x140x8.0</v>
      </c>
    </row>
    <row r="2454" spans="1:3" x14ac:dyDescent="0.3">
      <c r="A2454" t="str">
        <f>IF(AND(FORSIDE!$B$8&gt;=15,FORSIDE!$F$8&gt;=0,FORSIDE!$B$5&gt;=3),"S2453","")</f>
        <v/>
      </c>
      <c r="B2454" t="str">
        <f>IF(AND(FORSIDE!$B$8&gt;=15,FORSIDE!$F$8&gt;=0,FORSIDE!$B$5&gt;=3),"158 -&gt; 169","")</f>
        <v/>
      </c>
      <c r="C2454" t="str">
        <f>FORSIDE!$C$3</f>
        <v>S355, Stål / VFHUP 140x140x8.0</v>
      </c>
    </row>
    <row r="2455" spans="1:3" x14ac:dyDescent="0.3">
      <c r="A2455" t="str">
        <f>IF(AND(FORSIDE!$B$8&gt;=15,FORSIDE!$F$8&gt;=0,FORSIDE!$B$5&gt;=4),"S2454","")</f>
        <v/>
      </c>
      <c r="B2455" t="str">
        <f>IF(AND(FORSIDE!$B$8&gt;=15,FORSIDE!$F$8&gt;=0,FORSIDE!$B$5&gt;=4),"159 -&gt; 170","")</f>
        <v/>
      </c>
      <c r="C2455" t="str">
        <f>FORSIDE!$C$3</f>
        <v>S355, Stål / VFHUP 140x140x8.0</v>
      </c>
    </row>
    <row r="2456" spans="1:3" x14ac:dyDescent="0.3">
      <c r="A2456" t="str">
        <f>IF(AND(FORSIDE!$B$8&gt;=15,FORSIDE!$F$8&gt;=0,FORSIDE!$B$5&gt;=5),"S2455","")</f>
        <v/>
      </c>
      <c r="B2456" t="str">
        <f>IF(AND(FORSIDE!$B$8&gt;=15,FORSIDE!$F$8&gt;=0,FORSIDE!$B$5&gt;=5),"160 -&gt; 171","")</f>
        <v/>
      </c>
      <c r="C2456" t="str">
        <f>FORSIDE!$C$3</f>
        <v>S355, Stål / VFHUP 140x140x8.0</v>
      </c>
    </row>
    <row r="2457" spans="1:3" x14ac:dyDescent="0.3">
      <c r="A2457" t="str">
        <f>IF(AND(FORSIDE!$B$8&gt;=15,FORSIDE!$F$8&gt;=0,FORSIDE!$B$5&gt;=6),"S2456","")</f>
        <v/>
      </c>
      <c r="B2457" t="str">
        <f>IF(AND(FORSIDE!$B$8&gt;=15,FORSIDE!$F$8&gt;=0,FORSIDE!$B$5&gt;=6),"161 -&gt; 172","")</f>
        <v/>
      </c>
      <c r="C2457" t="str">
        <f>FORSIDE!$C$3</f>
        <v>S355, Stål / VFHUP 140x140x8.0</v>
      </c>
    </row>
    <row r="2458" spans="1:3" x14ac:dyDescent="0.3">
      <c r="A2458" t="str">
        <f>IF(AND(FORSIDE!$B$8&gt;=15,FORSIDE!$F$8&gt;=0,FORSIDE!$B$5&gt;=7),"S2457","")</f>
        <v/>
      </c>
      <c r="B2458" t="str">
        <f>IF(AND(FORSIDE!$B$8&gt;=15,FORSIDE!$F$8&gt;=0,FORSIDE!$B$5&gt;=7),"162 -&gt; 173","")</f>
        <v/>
      </c>
      <c r="C2458" t="str">
        <f>FORSIDE!$C$3</f>
        <v>S355, Stål / VFHUP 140x140x8.0</v>
      </c>
    </row>
    <row r="2459" spans="1:3" x14ac:dyDescent="0.3">
      <c r="A2459" t="str">
        <f>IF(AND(FORSIDE!$B$8&gt;=15,FORSIDE!$F$8&gt;=0,FORSIDE!$B$5&gt;=8),"S2458","")</f>
        <v/>
      </c>
      <c r="B2459" t="str">
        <f>IF(AND(FORSIDE!$B$8&gt;=15,FORSIDE!$F$8&gt;=0,FORSIDE!$B$5&gt;=8),"163 -&gt; 174","")</f>
        <v/>
      </c>
      <c r="C2459" t="str">
        <f>FORSIDE!$C$3</f>
        <v>S355, Stål / VFHUP 140x140x8.0</v>
      </c>
    </row>
    <row r="2460" spans="1:3" x14ac:dyDescent="0.3">
      <c r="A2460" t="str">
        <f>IF(AND(FORSIDE!$B$8&gt;=15,FORSIDE!$F$8&gt;=0,FORSIDE!$B$5&gt;=9),"S2459","")</f>
        <v/>
      </c>
      <c r="B2460" t="str">
        <f>IF(AND(FORSIDE!$B$8&gt;=15,FORSIDE!$F$8&gt;=0,FORSIDE!$B$5&gt;=9),"164 -&gt; 175","")</f>
        <v/>
      </c>
      <c r="C2460" t="str">
        <f>FORSIDE!$C$3</f>
        <v>S355, Stål / VFHUP 140x140x8.0</v>
      </c>
    </row>
    <row r="2461" spans="1:3" x14ac:dyDescent="0.3">
      <c r="A2461" t="str">
        <f>IF(AND(FORSIDE!$B$8&gt;=15,FORSIDE!$F$8&gt;=0,FORSIDE!$B$5&gt;=10),"S2460","")</f>
        <v/>
      </c>
      <c r="B2461" t="str">
        <f>IF(AND(FORSIDE!$B$8&gt;=15,FORSIDE!$F$8&gt;=0,FORSIDE!$B$5&gt;=10),"165 -&gt; 176","")</f>
        <v/>
      </c>
      <c r="C2461" t="str">
        <f>FORSIDE!$C$3</f>
        <v>S355, Stål / VFHUP 140x140x8.0</v>
      </c>
    </row>
    <row r="2462" spans="1:3" x14ac:dyDescent="0.3">
      <c r="A2462" t="str">
        <f>IF(AND(FORSIDE!$B$8&gt;=16,FORSIDE!$F$8&gt;=0,FORSIDE!$B$5&gt;=1),"S2461","")</f>
        <v/>
      </c>
      <c r="B2462" t="str">
        <f>IF(AND(FORSIDE!$B$8&gt;=16,FORSIDE!$F$8&gt;=0,FORSIDE!$B$5&gt;=1),"167 -&gt; 178","")</f>
        <v/>
      </c>
      <c r="C2462" t="str">
        <f>FORSIDE!$C$3</f>
        <v>S355, Stål / VFHUP 140x140x8.0</v>
      </c>
    </row>
    <row r="2463" spans="1:3" x14ac:dyDescent="0.3">
      <c r="A2463" t="str">
        <f>IF(AND(FORSIDE!$B$8&gt;=16,FORSIDE!$F$8&gt;=0,FORSIDE!$B$5&gt;=2),"S2462","")</f>
        <v/>
      </c>
      <c r="B2463" t="str">
        <f>IF(AND(FORSIDE!$B$8&gt;=16,FORSIDE!$F$8&gt;=0,FORSIDE!$B$5&gt;=2),"168 -&gt; 179","")</f>
        <v/>
      </c>
      <c r="C2463" t="str">
        <f>FORSIDE!$C$3</f>
        <v>S355, Stål / VFHUP 140x140x8.0</v>
      </c>
    </row>
    <row r="2464" spans="1:3" x14ac:dyDescent="0.3">
      <c r="A2464" t="str">
        <f>IF(AND(FORSIDE!$B$8&gt;=16,FORSIDE!$F$8&gt;=0,FORSIDE!$B$5&gt;=3),"S2463","")</f>
        <v/>
      </c>
      <c r="B2464" t="str">
        <f>IF(AND(FORSIDE!$B$8&gt;=16,FORSIDE!$F$8&gt;=0,FORSIDE!$B$5&gt;=3),"169 -&gt; 180","")</f>
        <v/>
      </c>
      <c r="C2464" t="str">
        <f>FORSIDE!$C$3</f>
        <v>S355, Stål / VFHUP 140x140x8.0</v>
      </c>
    </row>
    <row r="2465" spans="1:3" x14ac:dyDescent="0.3">
      <c r="A2465" t="str">
        <f>IF(AND(FORSIDE!$B$8&gt;=16,FORSIDE!$F$8&gt;=0,FORSIDE!$B$5&gt;=4),"S2464","")</f>
        <v/>
      </c>
      <c r="B2465" t="str">
        <f>IF(AND(FORSIDE!$B$8&gt;=16,FORSIDE!$F$8&gt;=0,FORSIDE!$B$5&gt;=4),"170 -&gt; 181","")</f>
        <v/>
      </c>
      <c r="C2465" t="str">
        <f>FORSIDE!$C$3</f>
        <v>S355, Stål / VFHUP 140x140x8.0</v>
      </c>
    </row>
    <row r="2466" spans="1:3" x14ac:dyDescent="0.3">
      <c r="A2466" t="str">
        <f>IF(AND(FORSIDE!$B$8&gt;=16,FORSIDE!$F$8&gt;=0,FORSIDE!$B$5&gt;=5),"S2465","")</f>
        <v/>
      </c>
      <c r="B2466" t="str">
        <f>IF(AND(FORSIDE!$B$8&gt;=16,FORSIDE!$F$8&gt;=0,FORSIDE!$B$5&gt;=5),"171 -&gt; 182","")</f>
        <v/>
      </c>
      <c r="C2466" t="str">
        <f>FORSIDE!$C$3</f>
        <v>S355, Stål / VFHUP 140x140x8.0</v>
      </c>
    </row>
    <row r="2467" spans="1:3" x14ac:dyDescent="0.3">
      <c r="A2467" t="str">
        <f>IF(AND(FORSIDE!$B$8&gt;=16,FORSIDE!$F$8&gt;=0,FORSIDE!$B$5&gt;=6),"S2466","")</f>
        <v/>
      </c>
      <c r="B2467" t="str">
        <f>IF(AND(FORSIDE!$B$8&gt;=16,FORSIDE!$F$8&gt;=0,FORSIDE!$B$5&gt;=6),"172 -&gt; 183","")</f>
        <v/>
      </c>
      <c r="C2467" t="str">
        <f>FORSIDE!$C$3</f>
        <v>S355, Stål / VFHUP 140x140x8.0</v>
      </c>
    </row>
    <row r="2468" spans="1:3" x14ac:dyDescent="0.3">
      <c r="A2468" t="str">
        <f>IF(AND(FORSIDE!$B$8&gt;=16,FORSIDE!$F$8&gt;=0,FORSIDE!$B$5&gt;=7),"S2467","")</f>
        <v/>
      </c>
      <c r="B2468" t="str">
        <f>IF(AND(FORSIDE!$B$8&gt;=16,FORSIDE!$F$8&gt;=0,FORSIDE!$B$5&gt;=7),"173 -&gt; 184","")</f>
        <v/>
      </c>
      <c r="C2468" t="str">
        <f>FORSIDE!$C$3</f>
        <v>S355, Stål / VFHUP 140x140x8.0</v>
      </c>
    </row>
    <row r="2469" spans="1:3" x14ac:dyDescent="0.3">
      <c r="A2469" t="str">
        <f>IF(AND(FORSIDE!$B$8&gt;=16,FORSIDE!$F$8&gt;=0,FORSIDE!$B$5&gt;=8),"S2468","")</f>
        <v/>
      </c>
      <c r="B2469" t="str">
        <f>IF(AND(FORSIDE!$B$8&gt;=16,FORSIDE!$F$8&gt;=0,FORSIDE!$B$5&gt;=8),"174 -&gt; 185","")</f>
        <v/>
      </c>
      <c r="C2469" t="str">
        <f>FORSIDE!$C$3</f>
        <v>S355, Stål / VFHUP 140x140x8.0</v>
      </c>
    </row>
    <row r="2470" spans="1:3" x14ac:dyDescent="0.3">
      <c r="A2470" t="str">
        <f>IF(AND(FORSIDE!$B$8&gt;=16,FORSIDE!$F$8&gt;=0,FORSIDE!$B$5&gt;=9),"S2469","")</f>
        <v/>
      </c>
      <c r="B2470" t="str">
        <f>IF(AND(FORSIDE!$B$8&gt;=16,FORSIDE!$F$8&gt;=0,FORSIDE!$B$5&gt;=9),"175 -&gt; 186","")</f>
        <v/>
      </c>
      <c r="C2470" t="str">
        <f>FORSIDE!$C$3</f>
        <v>S355, Stål / VFHUP 140x140x8.0</v>
      </c>
    </row>
    <row r="2471" spans="1:3" x14ac:dyDescent="0.3">
      <c r="A2471" t="str">
        <f>IF(AND(FORSIDE!$B$8&gt;=16,FORSIDE!$F$8&gt;=0,FORSIDE!$B$5&gt;=10),"S2470","")</f>
        <v/>
      </c>
      <c r="B2471" t="str">
        <f>IF(AND(FORSIDE!$B$8&gt;=16,FORSIDE!$F$8&gt;=0,FORSIDE!$B$5&gt;=10),"176 -&gt; 187","")</f>
        <v/>
      </c>
      <c r="C2471" t="str">
        <f>FORSIDE!$C$3</f>
        <v>S355, Stål / VFHUP 140x140x8.0</v>
      </c>
    </row>
    <row r="2472" spans="1:3" x14ac:dyDescent="0.3">
      <c r="A2472" t="str">
        <f>IF(AND(FORSIDE!$B$8&gt;=17,FORSIDE!$F$8&gt;=0,FORSIDE!$B$5&gt;=1),"S2471","")</f>
        <v/>
      </c>
      <c r="B2472" t="str">
        <f>IF(AND(FORSIDE!$B$8&gt;=17,FORSIDE!$F$8&gt;=0,FORSIDE!$B$5&gt;=1),"178 -&gt; 189","")</f>
        <v/>
      </c>
      <c r="C2472" t="str">
        <f>FORSIDE!$C$3</f>
        <v>S355, Stål / VFHUP 140x140x8.0</v>
      </c>
    </row>
    <row r="2473" spans="1:3" x14ac:dyDescent="0.3">
      <c r="A2473" t="str">
        <f>IF(AND(FORSIDE!$B$8&gt;=17,FORSIDE!$F$8&gt;=0,FORSIDE!$B$5&gt;=2),"S2472","")</f>
        <v/>
      </c>
      <c r="B2473" t="str">
        <f>IF(AND(FORSIDE!$B$8&gt;=17,FORSIDE!$F$8&gt;=0,FORSIDE!$B$5&gt;=2),"179 -&gt; 190","")</f>
        <v/>
      </c>
      <c r="C2473" t="str">
        <f>FORSIDE!$C$3</f>
        <v>S355, Stål / VFHUP 140x140x8.0</v>
      </c>
    </row>
    <row r="2474" spans="1:3" x14ac:dyDescent="0.3">
      <c r="A2474" t="str">
        <f>IF(AND(FORSIDE!$B$8&gt;=17,FORSIDE!$F$8&gt;=0,FORSIDE!$B$5&gt;=3),"S2473","")</f>
        <v/>
      </c>
      <c r="B2474" t="str">
        <f>IF(AND(FORSIDE!$B$8&gt;=17,FORSIDE!$F$8&gt;=0,FORSIDE!$B$5&gt;=3),"180 -&gt; 191","")</f>
        <v/>
      </c>
      <c r="C2474" t="str">
        <f>FORSIDE!$C$3</f>
        <v>S355, Stål / VFHUP 140x140x8.0</v>
      </c>
    </row>
    <row r="2475" spans="1:3" x14ac:dyDescent="0.3">
      <c r="A2475" t="str">
        <f>IF(AND(FORSIDE!$B$8&gt;=17,FORSIDE!$F$8&gt;=0,FORSIDE!$B$5&gt;=4),"S2474","")</f>
        <v/>
      </c>
      <c r="B2475" t="str">
        <f>IF(AND(FORSIDE!$B$8&gt;=17,FORSIDE!$F$8&gt;=0,FORSIDE!$B$5&gt;=4),"181 -&gt; 192","")</f>
        <v/>
      </c>
      <c r="C2475" t="str">
        <f>FORSIDE!$C$3</f>
        <v>S355, Stål / VFHUP 140x140x8.0</v>
      </c>
    </row>
    <row r="2476" spans="1:3" x14ac:dyDescent="0.3">
      <c r="A2476" t="str">
        <f>IF(AND(FORSIDE!$B$8&gt;=17,FORSIDE!$F$8&gt;=0,FORSIDE!$B$5&gt;=5),"S2475","")</f>
        <v/>
      </c>
      <c r="B2476" t="str">
        <f>IF(AND(FORSIDE!$B$8&gt;=17,FORSIDE!$F$8&gt;=0,FORSIDE!$B$5&gt;=5),"182 -&gt; 193","")</f>
        <v/>
      </c>
      <c r="C2476" t="str">
        <f>FORSIDE!$C$3</f>
        <v>S355, Stål / VFHUP 140x140x8.0</v>
      </c>
    </row>
    <row r="2477" spans="1:3" x14ac:dyDescent="0.3">
      <c r="A2477" t="str">
        <f>IF(AND(FORSIDE!$B$8&gt;=17,FORSIDE!$F$8&gt;=0,FORSIDE!$B$5&gt;=6),"S2476","")</f>
        <v/>
      </c>
      <c r="B2477" t="str">
        <f>IF(AND(FORSIDE!$B$8&gt;=17,FORSIDE!$F$8&gt;=0,FORSIDE!$B$5&gt;=6),"183 -&gt; 194","")</f>
        <v/>
      </c>
      <c r="C2477" t="str">
        <f>FORSIDE!$C$3</f>
        <v>S355, Stål / VFHUP 140x140x8.0</v>
      </c>
    </row>
    <row r="2478" spans="1:3" x14ac:dyDescent="0.3">
      <c r="A2478" t="str">
        <f>IF(AND(FORSIDE!$B$8&gt;=17,FORSIDE!$F$8&gt;=0,FORSIDE!$B$5&gt;=7),"S2477","")</f>
        <v/>
      </c>
      <c r="B2478" t="str">
        <f>IF(AND(FORSIDE!$B$8&gt;=17,FORSIDE!$F$8&gt;=0,FORSIDE!$B$5&gt;=7),"184 -&gt; 195","")</f>
        <v/>
      </c>
      <c r="C2478" t="str">
        <f>FORSIDE!$C$3</f>
        <v>S355, Stål / VFHUP 140x140x8.0</v>
      </c>
    </row>
    <row r="2479" spans="1:3" x14ac:dyDescent="0.3">
      <c r="A2479" t="str">
        <f>IF(AND(FORSIDE!$B$8&gt;=17,FORSIDE!$F$8&gt;=0,FORSIDE!$B$5&gt;=8),"S2478","")</f>
        <v/>
      </c>
      <c r="B2479" t="str">
        <f>IF(AND(FORSIDE!$B$8&gt;=17,FORSIDE!$F$8&gt;=0,FORSIDE!$B$5&gt;=8),"185 -&gt; 196","")</f>
        <v/>
      </c>
      <c r="C2479" t="str">
        <f>FORSIDE!$C$3</f>
        <v>S355, Stål / VFHUP 140x140x8.0</v>
      </c>
    </row>
    <row r="2480" spans="1:3" x14ac:dyDescent="0.3">
      <c r="A2480" t="str">
        <f>IF(AND(FORSIDE!$B$8&gt;=17,FORSIDE!$F$8&gt;=0,FORSIDE!$B$5&gt;=9),"S2479","")</f>
        <v/>
      </c>
      <c r="B2480" t="str">
        <f>IF(AND(FORSIDE!$B$8&gt;=17,FORSIDE!$F$8&gt;=0,FORSIDE!$B$5&gt;=9),"186 -&gt; 197","")</f>
        <v/>
      </c>
      <c r="C2480" t="str">
        <f>FORSIDE!$C$3</f>
        <v>S355, Stål / VFHUP 140x140x8.0</v>
      </c>
    </row>
    <row r="2481" spans="1:3" x14ac:dyDescent="0.3">
      <c r="A2481" t="str">
        <f>IF(AND(FORSIDE!$B$8&gt;=17,FORSIDE!$F$8&gt;=0,FORSIDE!$B$5&gt;=10),"S2480","")</f>
        <v/>
      </c>
      <c r="B2481" t="str">
        <f>IF(AND(FORSIDE!$B$8&gt;=17,FORSIDE!$F$8&gt;=0,FORSIDE!$B$5&gt;=10),"187 -&gt; 198","")</f>
        <v/>
      </c>
      <c r="C2481" t="str">
        <f>FORSIDE!$C$3</f>
        <v>S355, Stål / VFHUP 140x140x8.0</v>
      </c>
    </row>
    <row r="2482" spans="1:3" x14ac:dyDescent="0.3">
      <c r="A2482" t="str">
        <f>IF(AND(FORSIDE!$B$8&gt;=18,FORSIDE!$F$8&gt;=0,FORSIDE!$B$5&gt;=1),"S2481","")</f>
        <v/>
      </c>
      <c r="B2482" t="str">
        <f>IF(AND(FORSIDE!$B$8&gt;=18,FORSIDE!$F$8&gt;=0,FORSIDE!$B$5&gt;=1),"189 -&gt; 200","")</f>
        <v/>
      </c>
      <c r="C2482" t="str">
        <f>FORSIDE!$C$3</f>
        <v>S355, Stål / VFHUP 140x140x8.0</v>
      </c>
    </row>
    <row r="2483" spans="1:3" x14ac:dyDescent="0.3">
      <c r="A2483" t="str">
        <f>IF(AND(FORSIDE!$B$8&gt;=18,FORSIDE!$F$8&gt;=0,FORSIDE!$B$5&gt;=2),"S2482","")</f>
        <v/>
      </c>
      <c r="B2483" t="str">
        <f>IF(AND(FORSIDE!$B$8&gt;=18,FORSIDE!$F$8&gt;=0,FORSIDE!$B$5&gt;=2),"190 -&gt; 201","")</f>
        <v/>
      </c>
      <c r="C2483" t="str">
        <f>FORSIDE!$C$3</f>
        <v>S355, Stål / VFHUP 140x140x8.0</v>
      </c>
    </row>
    <row r="2484" spans="1:3" x14ac:dyDescent="0.3">
      <c r="A2484" t="str">
        <f>IF(AND(FORSIDE!$B$8&gt;=18,FORSIDE!$F$8&gt;=0,FORSIDE!$B$5&gt;=3),"S2483","")</f>
        <v/>
      </c>
      <c r="B2484" t="str">
        <f>IF(AND(FORSIDE!$B$8&gt;=18,FORSIDE!$F$8&gt;=0,FORSIDE!$B$5&gt;=3),"191 -&gt; 202","")</f>
        <v/>
      </c>
      <c r="C2484" t="str">
        <f>FORSIDE!$C$3</f>
        <v>S355, Stål / VFHUP 140x140x8.0</v>
      </c>
    </row>
    <row r="2485" spans="1:3" x14ac:dyDescent="0.3">
      <c r="A2485" t="str">
        <f>IF(AND(FORSIDE!$B$8&gt;=18,FORSIDE!$F$8&gt;=0,FORSIDE!$B$5&gt;=4),"S2484","")</f>
        <v/>
      </c>
      <c r="B2485" t="str">
        <f>IF(AND(FORSIDE!$B$8&gt;=18,FORSIDE!$F$8&gt;=0,FORSIDE!$B$5&gt;=4),"192 -&gt; 203","")</f>
        <v/>
      </c>
      <c r="C2485" t="str">
        <f>FORSIDE!$C$3</f>
        <v>S355, Stål / VFHUP 140x140x8.0</v>
      </c>
    </row>
    <row r="2486" spans="1:3" x14ac:dyDescent="0.3">
      <c r="A2486" t="str">
        <f>IF(AND(FORSIDE!$B$8&gt;=18,FORSIDE!$F$8&gt;=0,FORSIDE!$B$5&gt;=5),"S2485","")</f>
        <v/>
      </c>
      <c r="B2486" t="str">
        <f>IF(AND(FORSIDE!$B$8&gt;=18,FORSIDE!$F$8&gt;=0,FORSIDE!$B$5&gt;=5),"193 -&gt; 204","")</f>
        <v/>
      </c>
      <c r="C2486" t="str">
        <f>FORSIDE!$C$3</f>
        <v>S355, Stål / VFHUP 140x140x8.0</v>
      </c>
    </row>
    <row r="2487" spans="1:3" x14ac:dyDescent="0.3">
      <c r="A2487" t="str">
        <f>IF(AND(FORSIDE!$B$8&gt;=18,FORSIDE!$F$8&gt;=0,FORSIDE!$B$5&gt;=6),"S2486","")</f>
        <v/>
      </c>
      <c r="B2487" t="str">
        <f>IF(AND(FORSIDE!$B$8&gt;=18,FORSIDE!$F$8&gt;=0,FORSIDE!$B$5&gt;=6),"194 -&gt; 205","")</f>
        <v/>
      </c>
      <c r="C2487" t="str">
        <f>FORSIDE!$C$3</f>
        <v>S355, Stål / VFHUP 140x140x8.0</v>
      </c>
    </row>
    <row r="2488" spans="1:3" x14ac:dyDescent="0.3">
      <c r="A2488" t="str">
        <f>IF(AND(FORSIDE!$B$8&gt;=18,FORSIDE!$F$8&gt;=0,FORSIDE!$B$5&gt;=7),"S2487","")</f>
        <v/>
      </c>
      <c r="B2488" t="str">
        <f>IF(AND(FORSIDE!$B$8&gt;=18,FORSIDE!$F$8&gt;=0,FORSIDE!$B$5&gt;=7),"195 -&gt; 206","")</f>
        <v/>
      </c>
      <c r="C2488" t="str">
        <f>FORSIDE!$C$3</f>
        <v>S355, Stål / VFHUP 140x140x8.0</v>
      </c>
    </row>
    <row r="2489" spans="1:3" x14ac:dyDescent="0.3">
      <c r="A2489" t="str">
        <f>IF(AND(FORSIDE!$B$8&gt;=18,FORSIDE!$F$8&gt;=0,FORSIDE!$B$5&gt;=8),"S2488","")</f>
        <v/>
      </c>
      <c r="B2489" t="str">
        <f>IF(AND(FORSIDE!$B$8&gt;=18,FORSIDE!$F$8&gt;=0,FORSIDE!$B$5&gt;=8),"196 -&gt; 207","")</f>
        <v/>
      </c>
      <c r="C2489" t="str">
        <f>FORSIDE!$C$3</f>
        <v>S355, Stål / VFHUP 140x140x8.0</v>
      </c>
    </row>
    <row r="2490" spans="1:3" x14ac:dyDescent="0.3">
      <c r="A2490" t="str">
        <f>IF(AND(FORSIDE!$B$8&gt;=18,FORSIDE!$F$8&gt;=0,FORSIDE!$B$5&gt;=9),"S2489","")</f>
        <v/>
      </c>
      <c r="B2490" t="str">
        <f>IF(AND(FORSIDE!$B$8&gt;=18,FORSIDE!$F$8&gt;=0,FORSIDE!$B$5&gt;=9),"197 -&gt; 208","")</f>
        <v/>
      </c>
      <c r="C2490" t="str">
        <f>FORSIDE!$C$3</f>
        <v>S355, Stål / VFHUP 140x140x8.0</v>
      </c>
    </row>
    <row r="2491" spans="1:3" x14ac:dyDescent="0.3">
      <c r="A2491" t="str">
        <f>IF(AND(FORSIDE!$B$8&gt;=18,FORSIDE!$F$8&gt;=0,FORSIDE!$B$5&gt;=10),"S2490","")</f>
        <v/>
      </c>
      <c r="B2491" t="str">
        <f>IF(AND(FORSIDE!$B$8&gt;=18,FORSIDE!$F$8&gt;=0,FORSIDE!$B$5&gt;=10),"198 -&gt; 209","")</f>
        <v/>
      </c>
      <c r="C2491" t="str">
        <f>FORSIDE!$C$3</f>
        <v>S355, Stål / VFHUP 140x140x8.0</v>
      </c>
    </row>
    <row r="2492" spans="1:3" x14ac:dyDescent="0.3">
      <c r="A2492" t="str">
        <f>IF(AND(FORSIDE!$B$8&gt;=19,FORSIDE!$F$8&gt;=0,FORSIDE!$B$5&gt;=1),"S2491","")</f>
        <v/>
      </c>
      <c r="B2492" t="str">
        <f>IF(AND(FORSIDE!$B$8&gt;=19,FORSIDE!$F$8&gt;=0,FORSIDE!$B$5&gt;=1),"200 -&gt; 211","")</f>
        <v/>
      </c>
      <c r="C2492" t="str">
        <f>FORSIDE!$C$3</f>
        <v>S355, Stål / VFHUP 140x140x8.0</v>
      </c>
    </row>
    <row r="2493" spans="1:3" x14ac:dyDescent="0.3">
      <c r="A2493" t="str">
        <f>IF(AND(FORSIDE!$B$8&gt;=19,FORSIDE!$F$8&gt;=0,FORSIDE!$B$5&gt;=2),"S2492","")</f>
        <v/>
      </c>
      <c r="B2493" t="str">
        <f>IF(AND(FORSIDE!$B$8&gt;=19,FORSIDE!$F$8&gt;=0,FORSIDE!$B$5&gt;=2),"201 -&gt; 212","")</f>
        <v/>
      </c>
      <c r="C2493" t="str">
        <f>FORSIDE!$C$3</f>
        <v>S355, Stål / VFHUP 140x140x8.0</v>
      </c>
    </row>
    <row r="2494" spans="1:3" x14ac:dyDescent="0.3">
      <c r="A2494" t="str">
        <f>IF(AND(FORSIDE!$B$8&gt;=19,FORSIDE!$F$8&gt;=0,FORSIDE!$B$5&gt;=3),"S2493","")</f>
        <v/>
      </c>
      <c r="B2494" t="str">
        <f>IF(AND(FORSIDE!$B$8&gt;=19,FORSIDE!$F$8&gt;=0,FORSIDE!$B$5&gt;=3),"202 -&gt; 213","")</f>
        <v/>
      </c>
      <c r="C2494" t="str">
        <f>FORSIDE!$C$3</f>
        <v>S355, Stål / VFHUP 140x140x8.0</v>
      </c>
    </row>
    <row r="2495" spans="1:3" x14ac:dyDescent="0.3">
      <c r="A2495" t="str">
        <f>IF(AND(FORSIDE!$B$8&gt;=19,FORSIDE!$F$8&gt;=0,FORSIDE!$B$5&gt;=4),"S2494","")</f>
        <v/>
      </c>
      <c r="B2495" t="str">
        <f>IF(AND(FORSIDE!$B$8&gt;=19,FORSIDE!$F$8&gt;=0,FORSIDE!$B$5&gt;=4),"203 -&gt; 214","")</f>
        <v/>
      </c>
      <c r="C2495" t="str">
        <f>FORSIDE!$C$3</f>
        <v>S355, Stål / VFHUP 140x140x8.0</v>
      </c>
    </row>
    <row r="2496" spans="1:3" x14ac:dyDescent="0.3">
      <c r="A2496" t="str">
        <f>IF(AND(FORSIDE!$B$8&gt;=19,FORSIDE!$F$8&gt;=0,FORSIDE!$B$5&gt;=5),"S2495","")</f>
        <v/>
      </c>
      <c r="B2496" t="str">
        <f>IF(AND(FORSIDE!$B$8&gt;=19,FORSIDE!$F$8&gt;=0,FORSIDE!$B$5&gt;=5),"204 -&gt; 215","")</f>
        <v/>
      </c>
      <c r="C2496" t="str">
        <f>FORSIDE!$C$3</f>
        <v>S355, Stål / VFHUP 140x140x8.0</v>
      </c>
    </row>
    <row r="2497" spans="1:3" x14ac:dyDescent="0.3">
      <c r="A2497" t="str">
        <f>IF(AND(FORSIDE!$B$8&gt;=19,FORSIDE!$F$8&gt;=0,FORSIDE!$B$5&gt;=6),"S2496","")</f>
        <v/>
      </c>
      <c r="B2497" t="str">
        <f>IF(AND(FORSIDE!$B$8&gt;=19,FORSIDE!$F$8&gt;=0,FORSIDE!$B$5&gt;=6),"205 -&gt; 216","")</f>
        <v/>
      </c>
      <c r="C2497" t="str">
        <f>FORSIDE!$C$3</f>
        <v>S355, Stål / VFHUP 140x140x8.0</v>
      </c>
    </row>
    <row r="2498" spans="1:3" x14ac:dyDescent="0.3">
      <c r="A2498" t="str">
        <f>IF(AND(FORSIDE!$B$8&gt;=19,FORSIDE!$F$8&gt;=0,FORSIDE!$B$5&gt;=7),"S2497","")</f>
        <v/>
      </c>
      <c r="B2498" t="str">
        <f>IF(AND(FORSIDE!$B$8&gt;=19,FORSIDE!$F$8&gt;=0,FORSIDE!$B$5&gt;=7),"206 -&gt; 217","")</f>
        <v/>
      </c>
      <c r="C2498" t="str">
        <f>FORSIDE!$C$3</f>
        <v>S355, Stål / VFHUP 140x140x8.0</v>
      </c>
    </row>
    <row r="2499" spans="1:3" x14ac:dyDescent="0.3">
      <c r="A2499" t="str">
        <f>IF(AND(FORSIDE!$B$8&gt;=19,FORSIDE!$F$8&gt;=0,FORSIDE!$B$5&gt;=8),"S2498","")</f>
        <v/>
      </c>
      <c r="B2499" t="str">
        <f>IF(AND(FORSIDE!$B$8&gt;=19,FORSIDE!$F$8&gt;=0,FORSIDE!$B$5&gt;=8),"207 -&gt; 218","")</f>
        <v/>
      </c>
      <c r="C2499" t="str">
        <f>FORSIDE!$C$3</f>
        <v>S355, Stål / VFHUP 140x140x8.0</v>
      </c>
    </row>
    <row r="2500" spans="1:3" x14ac:dyDescent="0.3">
      <c r="A2500" t="str">
        <f>IF(AND(FORSIDE!$B$8&gt;=19,FORSIDE!$F$8&gt;=0,FORSIDE!$B$5&gt;=9),"S2499","")</f>
        <v/>
      </c>
      <c r="B2500" t="str">
        <f>IF(AND(FORSIDE!$B$8&gt;=19,FORSIDE!$F$8&gt;=0,FORSIDE!$B$5&gt;=9),"208 -&gt; 219","")</f>
        <v/>
      </c>
      <c r="C2500" t="str">
        <f>FORSIDE!$C$3</f>
        <v>S355, Stål / VFHUP 140x140x8.0</v>
      </c>
    </row>
    <row r="2501" spans="1:3" x14ac:dyDescent="0.3">
      <c r="A2501" t="str">
        <f>IF(AND(FORSIDE!$B$8&gt;=19,FORSIDE!$F$8&gt;=0,FORSIDE!$B$5&gt;=10),"S2500","")</f>
        <v/>
      </c>
      <c r="B2501" t="str">
        <f>IF(AND(FORSIDE!$B$8&gt;=19,FORSIDE!$F$8&gt;=0,FORSIDE!$B$5&gt;=10),"209 -&gt; 220","")</f>
        <v/>
      </c>
      <c r="C2501" t="str">
        <f>FORSIDE!$C$3</f>
        <v>S355, Stål / VFHUP 140x140x8.0</v>
      </c>
    </row>
    <row r="2502" spans="1:3" x14ac:dyDescent="0.3">
      <c r="A2502" t="str">
        <f>IF(AND(FORSIDE!$B$8&gt;=20,FORSIDE!$F$8&gt;=0,FORSIDE!$B$5&gt;=1),"S2501","")</f>
        <v/>
      </c>
      <c r="B2502" t="str">
        <f>IF(AND(FORSIDE!$B$8&gt;=20,FORSIDE!$F$8&gt;=0,FORSIDE!$B$5&gt;=1),"211 -&gt; 222","")</f>
        <v/>
      </c>
      <c r="C2502" t="str">
        <f>FORSIDE!$C$3</f>
        <v>S355, Stål / VFHUP 140x140x8.0</v>
      </c>
    </row>
    <row r="2503" spans="1:3" x14ac:dyDescent="0.3">
      <c r="A2503" t="str">
        <f>IF(AND(FORSIDE!$B$8&gt;=20,FORSIDE!$F$8&gt;=0,FORSIDE!$B$5&gt;=2),"S2502","")</f>
        <v/>
      </c>
      <c r="B2503" t="str">
        <f>IF(AND(FORSIDE!$B$8&gt;=20,FORSIDE!$F$8&gt;=0,FORSIDE!$B$5&gt;=2),"212 -&gt; 223","")</f>
        <v/>
      </c>
      <c r="C2503" t="str">
        <f>FORSIDE!$C$3</f>
        <v>S355, Stål / VFHUP 140x140x8.0</v>
      </c>
    </row>
    <row r="2504" spans="1:3" x14ac:dyDescent="0.3">
      <c r="A2504" t="str">
        <f>IF(AND(FORSIDE!$B$8&gt;=20,FORSIDE!$F$8&gt;=0,FORSIDE!$B$5&gt;=3),"S2503","")</f>
        <v/>
      </c>
      <c r="B2504" t="str">
        <f>IF(AND(FORSIDE!$B$8&gt;=20,FORSIDE!$F$8&gt;=0,FORSIDE!$B$5&gt;=3),"213 -&gt; 224","")</f>
        <v/>
      </c>
      <c r="C2504" t="str">
        <f>FORSIDE!$C$3</f>
        <v>S355, Stål / VFHUP 140x140x8.0</v>
      </c>
    </row>
    <row r="2505" spans="1:3" x14ac:dyDescent="0.3">
      <c r="A2505" t="str">
        <f>IF(AND(FORSIDE!$B$8&gt;=20,FORSIDE!$F$8&gt;=0,FORSIDE!$B$5&gt;=4),"S2504","")</f>
        <v/>
      </c>
      <c r="B2505" t="str">
        <f>IF(AND(FORSIDE!$B$8&gt;=20,FORSIDE!$F$8&gt;=0,FORSIDE!$B$5&gt;=4),"214 -&gt; 225","")</f>
        <v/>
      </c>
      <c r="C2505" t="str">
        <f>FORSIDE!$C$3</f>
        <v>S355, Stål / VFHUP 140x140x8.0</v>
      </c>
    </row>
    <row r="2506" spans="1:3" x14ac:dyDescent="0.3">
      <c r="A2506" t="str">
        <f>IF(AND(FORSIDE!$B$8&gt;=20,FORSIDE!$F$8&gt;=0,FORSIDE!$B$5&gt;=5),"S2505","")</f>
        <v/>
      </c>
      <c r="B2506" t="str">
        <f>IF(AND(FORSIDE!$B$8&gt;=20,FORSIDE!$F$8&gt;=0,FORSIDE!$B$5&gt;=5),"215 -&gt; 226","")</f>
        <v/>
      </c>
      <c r="C2506" t="str">
        <f>FORSIDE!$C$3</f>
        <v>S355, Stål / VFHUP 140x140x8.0</v>
      </c>
    </row>
    <row r="2507" spans="1:3" x14ac:dyDescent="0.3">
      <c r="A2507" t="str">
        <f>IF(AND(FORSIDE!$B$8&gt;=20,FORSIDE!$F$8&gt;=0,FORSIDE!$B$5&gt;=6),"S2506","")</f>
        <v/>
      </c>
      <c r="B2507" t="str">
        <f>IF(AND(FORSIDE!$B$8&gt;=20,FORSIDE!$F$8&gt;=0,FORSIDE!$B$5&gt;=6),"216 -&gt; 227","")</f>
        <v/>
      </c>
      <c r="C2507" t="str">
        <f>FORSIDE!$C$3</f>
        <v>S355, Stål / VFHUP 140x140x8.0</v>
      </c>
    </row>
    <row r="2508" spans="1:3" x14ac:dyDescent="0.3">
      <c r="A2508" t="str">
        <f>IF(AND(FORSIDE!$B$8&gt;=20,FORSIDE!$F$8&gt;=0,FORSIDE!$B$5&gt;=7),"S2507","")</f>
        <v/>
      </c>
      <c r="B2508" t="str">
        <f>IF(AND(FORSIDE!$B$8&gt;=20,FORSIDE!$F$8&gt;=0,FORSIDE!$B$5&gt;=7),"217 -&gt; 228","")</f>
        <v/>
      </c>
      <c r="C2508" t="str">
        <f>FORSIDE!$C$3</f>
        <v>S355, Stål / VFHUP 140x140x8.0</v>
      </c>
    </row>
    <row r="2509" spans="1:3" x14ac:dyDescent="0.3">
      <c r="A2509" t="str">
        <f>IF(AND(FORSIDE!$B$8&gt;=20,FORSIDE!$F$8&gt;=0,FORSIDE!$B$5&gt;=8),"S2508","")</f>
        <v/>
      </c>
      <c r="B2509" t="str">
        <f>IF(AND(FORSIDE!$B$8&gt;=20,FORSIDE!$F$8&gt;=0,FORSIDE!$B$5&gt;=8),"218 -&gt; 229","")</f>
        <v/>
      </c>
      <c r="C2509" t="str">
        <f>FORSIDE!$C$3</f>
        <v>S355, Stål / VFHUP 140x140x8.0</v>
      </c>
    </row>
    <row r="2510" spans="1:3" x14ac:dyDescent="0.3">
      <c r="A2510" t="str">
        <f>IF(AND(FORSIDE!$B$8&gt;=20,FORSIDE!$F$8&gt;=0,FORSIDE!$B$5&gt;=9),"S2509","")</f>
        <v/>
      </c>
      <c r="B2510" t="str">
        <f>IF(AND(FORSIDE!$B$8&gt;=20,FORSIDE!$F$8&gt;=0,FORSIDE!$B$5&gt;=9),"219 -&gt; 230","")</f>
        <v/>
      </c>
      <c r="C2510" t="str">
        <f>FORSIDE!$C$3</f>
        <v>S355, Stål / VFHUP 140x140x8.0</v>
      </c>
    </row>
    <row r="2511" spans="1:3" x14ac:dyDescent="0.3">
      <c r="A2511" t="str">
        <f>IF(AND(FORSIDE!$B$8&gt;=20,FORSIDE!$F$8&gt;=0,FORSIDE!$B$5&gt;=10),"S2510","")</f>
        <v/>
      </c>
      <c r="B2511" t="str">
        <f>IF(AND(FORSIDE!$B$8&gt;=20,FORSIDE!$F$8&gt;=0,FORSIDE!$B$5&gt;=10),"220 -&gt; 231","")</f>
        <v/>
      </c>
      <c r="C2511" t="str">
        <f>FORSIDE!$C$3</f>
        <v>S355, Stål / VFHUP 140x140x8.0</v>
      </c>
    </row>
    <row r="2512" spans="1:3" x14ac:dyDescent="0.3">
      <c r="A2512" t="str">
        <f>IF(AND(FORSIDE!$B$8&gt;=1,FORSIDE!$F$8&gt;=1,FORSIDE!$B$5&gt;=1),"S2511","")</f>
        <v>S2511</v>
      </c>
      <c r="B2512" t="str">
        <f>IF(AND(FORSIDE!$B$8&gt;=1,FORSIDE!$F$8&gt;=1,FORSIDE!$B$5&gt;=1),"233 -&gt; 244","")</f>
        <v>233 -&gt; 244</v>
      </c>
      <c r="C2512" t="str">
        <f>FORSIDE!$C$3</f>
        <v>S355, Stål / VFHUP 140x140x8.0</v>
      </c>
    </row>
    <row r="2513" spans="1:3" x14ac:dyDescent="0.3">
      <c r="A2513" t="str">
        <f>IF(AND(FORSIDE!$B$8&gt;=1,FORSIDE!$F$8&gt;=1,FORSIDE!$B$5&gt;=2),"S2512","")</f>
        <v>S2512</v>
      </c>
      <c r="B2513" t="str">
        <f>IF(AND(FORSIDE!$B$8&gt;=1,FORSIDE!$F$8&gt;=1,FORSIDE!$B$5&gt;=2),"234 -&gt; 245","")</f>
        <v>234 -&gt; 245</v>
      </c>
      <c r="C2513" t="str">
        <f>FORSIDE!$C$3</f>
        <v>S355, Stål / VFHUP 140x140x8.0</v>
      </c>
    </row>
    <row r="2514" spans="1:3" x14ac:dyDescent="0.3">
      <c r="A2514" t="str">
        <f>IF(AND(FORSIDE!$B$8&gt;=1,FORSIDE!$F$8&gt;=1,FORSIDE!$B$5&gt;=3),"S2513","")</f>
        <v>S2513</v>
      </c>
      <c r="B2514" t="str">
        <f>IF(AND(FORSIDE!$B$8&gt;=1,FORSIDE!$F$8&gt;=1,FORSIDE!$B$5&gt;=3),"235 -&gt; 246","")</f>
        <v>235 -&gt; 246</v>
      </c>
      <c r="C2514" t="str">
        <f>FORSIDE!$C$3</f>
        <v>S355, Stål / VFHUP 140x140x8.0</v>
      </c>
    </row>
    <row r="2515" spans="1:3" x14ac:dyDescent="0.3">
      <c r="A2515" t="str">
        <f>IF(AND(FORSIDE!$B$8&gt;=1,FORSIDE!$F$8&gt;=1,FORSIDE!$B$5&gt;=4),"S2514","")</f>
        <v>S2514</v>
      </c>
      <c r="B2515" t="str">
        <f>IF(AND(FORSIDE!$B$8&gt;=1,FORSIDE!$F$8&gt;=1,FORSIDE!$B$5&gt;=4),"236 -&gt; 247","")</f>
        <v>236 -&gt; 247</v>
      </c>
      <c r="C2515" t="str">
        <f>FORSIDE!$C$3</f>
        <v>S355, Stål / VFHUP 140x140x8.0</v>
      </c>
    </row>
    <row r="2516" spans="1:3" x14ac:dyDescent="0.3">
      <c r="A2516" t="str">
        <f>IF(AND(FORSIDE!$B$8&gt;=1,FORSIDE!$F$8&gt;=1,FORSIDE!$B$5&gt;=5),"S2515","")</f>
        <v>S2515</v>
      </c>
      <c r="B2516" t="str">
        <f>IF(AND(FORSIDE!$B$8&gt;=1,FORSIDE!$F$8&gt;=1,FORSIDE!$B$5&gt;=5),"237 -&gt; 248","")</f>
        <v>237 -&gt; 248</v>
      </c>
      <c r="C2516" t="str">
        <f>FORSIDE!$C$3</f>
        <v>S355, Stål / VFHUP 140x140x8.0</v>
      </c>
    </row>
    <row r="2517" spans="1:3" x14ac:dyDescent="0.3">
      <c r="A2517" t="str">
        <f>IF(AND(FORSIDE!$B$8&gt;=1,FORSIDE!$F$8&gt;=1,FORSIDE!$B$5&gt;=6),"S2516","")</f>
        <v>S2516</v>
      </c>
      <c r="B2517" t="str">
        <f>IF(AND(FORSIDE!$B$8&gt;=1,FORSIDE!$F$8&gt;=1,FORSIDE!$B$5&gt;=6),"238 -&gt; 249","")</f>
        <v>238 -&gt; 249</v>
      </c>
      <c r="C2517" t="str">
        <f>FORSIDE!$C$3</f>
        <v>S355, Stål / VFHUP 140x140x8.0</v>
      </c>
    </row>
    <row r="2518" spans="1:3" x14ac:dyDescent="0.3">
      <c r="A2518" t="str">
        <f>IF(AND(FORSIDE!$B$8&gt;=1,FORSIDE!$F$8&gt;=1,FORSIDE!$B$5&gt;=7),"S2517","")</f>
        <v/>
      </c>
      <c r="B2518" t="str">
        <f>IF(AND(FORSIDE!$B$8&gt;=1,FORSIDE!$F$8&gt;=1,FORSIDE!$B$5&gt;=7),"239 -&gt; 250","")</f>
        <v/>
      </c>
      <c r="C2518" t="str">
        <f>FORSIDE!$C$3</f>
        <v>S355, Stål / VFHUP 140x140x8.0</v>
      </c>
    </row>
    <row r="2519" spans="1:3" x14ac:dyDescent="0.3">
      <c r="A2519" t="str">
        <f>IF(AND(FORSIDE!$B$8&gt;=1,FORSIDE!$F$8&gt;=1,FORSIDE!$B$5&gt;=8),"S2518","")</f>
        <v/>
      </c>
      <c r="B2519" t="str">
        <f>IF(AND(FORSIDE!$B$8&gt;=1,FORSIDE!$F$8&gt;=1,FORSIDE!$B$5&gt;=8),"240 -&gt; 251","")</f>
        <v/>
      </c>
      <c r="C2519" t="str">
        <f>FORSIDE!$C$3</f>
        <v>S355, Stål / VFHUP 140x140x8.0</v>
      </c>
    </row>
    <row r="2520" spans="1:3" x14ac:dyDescent="0.3">
      <c r="A2520" t="str">
        <f>IF(AND(FORSIDE!$B$8&gt;=1,FORSIDE!$F$8&gt;=1,FORSIDE!$B$5&gt;=9),"S2519","")</f>
        <v/>
      </c>
      <c r="B2520" t="str">
        <f>IF(AND(FORSIDE!$B$8&gt;=1,FORSIDE!$F$8&gt;=1,FORSIDE!$B$5&gt;=9),"241 -&gt; 252","")</f>
        <v/>
      </c>
      <c r="C2520" t="str">
        <f>FORSIDE!$C$3</f>
        <v>S355, Stål / VFHUP 140x140x8.0</v>
      </c>
    </row>
    <row r="2521" spans="1:3" x14ac:dyDescent="0.3">
      <c r="A2521" t="str">
        <f>IF(AND(FORSIDE!$B$8&gt;=1,FORSIDE!$F$8&gt;=1,FORSIDE!$B$5&gt;=10),"S2520","")</f>
        <v/>
      </c>
      <c r="B2521" t="str">
        <f>IF(AND(FORSIDE!$B$8&gt;=1,FORSIDE!$F$8&gt;=1,FORSIDE!$B$5&gt;=10),"242 -&gt; 253","")</f>
        <v/>
      </c>
      <c r="C2521" t="str">
        <f>FORSIDE!$C$3</f>
        <v>S355, Stål / VFHUP 140x140x8.0</v>
      </c>
    </row>
    <row r="2522" spans="1:3" x14ac:dyDescent="0.3">
      <c r="A2522" t="str">
        <f>IF(AND(FORSIDE!$B$8&gt;=2,FORSIDE!$F$8&gt;=1,FORSIDE!$B$5&gt;=1),"S2521","")</f>
        <v>S2521</v>
      </c>
      <c r="B2522" t="str">
        <f>IF(AND(FORSIDE!$B$8&gt;=2,FORSIDE!$F$8&gt;=1,FORSIDE!$B$5&gt;=1),"244 -&gt; 255","")</f>
        <v>244 -&gt; 255</v>
      </c>
      <c r="C2522" t="str">
        <f>FORSIDE!$C$3</f>
        <v>S355, Stål / VFHUP 140x140x8.0</v>
      </c>
    </row>
    <row r="2523" spans="1:3" x14ac:dyDescent="0.3">
      <c r="A2523" t="str">
        <f>IF(AND(FORSIDE!$B$8&gt;=2,FORSIDE!$F$8&gt;=1,FORSIDE!$B$5&gt;=2),"S2522","")</f>
        <v>S2522</v>
      </c>
      <c r="B2523" t="str">
        <f>IF(AND(FORSIDE!$B$8&gt;=2,FORSIDE!$F$8&gt;=1,FORSIDE!$B$5&gt;=2),"245 -&gt; 256","")</f>
        <v>245 -&gt; 256</v>
      </c>
      <c r="C2523" t="str">
        <f>FORSIDE!$C$3</f>
        <v>S355, Stål / VFHUP 140x140x8.0</v>
      </c>
    </row>
    <row r="2524" spans="1:3" x14ac:dyDescent="0.3">
      <c r="A2524" t="str">
        <f>IF(AND(FORSIDE!$B$8&gt;=2,FORSIDE!$F$8&gt;=1,FORSIDE!$B$5&gt;=3),"S2523","")</f>
        <v>S2523</v>
      </c>
      <c r="B2524" t="str">
        <f>IF(AND(FORSIDE!$B$8&gt;=2,FORSIDE!$F$8&gt;=1,FORSIDE!$B$5&gt;=3),"246 -&gt; 257","")</f>
        <v>246 -&gt; 257</v>
      </c>
      <c r="C2524" t="str">
        <f>FORSIDE!$C$3</f>
        <v>S355, Stål / VFHUP 140x140x8.0</v>
      </c>
    </row>
    <row r="2525" spans="1:3" x14ac:dyDescent="0.3">
      <c r="A2525" t="str">
        <f>IF(AND(FORSIDE!$B$8&gt;=2,FORSIDE!$F$8&gt;=1,FORSIDE!$B$5&gt;=4),"S2524","")</f>
        <v>S2524</v>
      </c>
      <c r="B2525" t="str">
        <f>IF(AND(FORSIDE!$B$8&gt;=2,FORSIDE!$F$8&gt;=1,FORSIDE!$B$5&gt;=4),"247 -&gt; 258","")</f>
        <v>247 -&gt; 258</v>
      </c>
      <c r="C2525" t="str">
        <f>FORSIDE!$C$3</f>
        <v>S355, Stål / VFHUP 140x140x8.0</v>
      </c>
    </row>
    <row r="2526" spans="1:3" x14ac:dyDescent="0.3">
      <c r="A2526" t="str">
        <f>IF(AND(FORSIDE!$B$8&gt;=2,FORSIDE!$F$8&gt;=1,FORSIDE!$B$5&gt;=5),"S2525","")</f>
        <v>S2525</v>
      </c>
      <c r="B2526" t="str">
        <f>IF(AND(FORSIDE!$B$8&gt;=2,FORSIDE!$F$8&gt;=1,FORSIDE!$B$5&gt;=5),"248 -&gt; 259","")</f>
        <v>248 -&gt; 259</v>
      </c>
      <c r="C2526" t="str">
        <f>FORSIDE!$C$3</f>
        <v>S355, Stål / VFHUP 140x140x8.0</v>
      </c>
    </row>
    <row r="2527" spans="1:3" x14ac:dyDescent="0.3">
      <c r="A2527" t="str">
        <f>IF(AND(FORSIDE!$B$8&gt;=2,FORSIDE!$F$8&gt;=1,FORSIDE!$B$5&gt;=6),"S2526","")</f>
        <v>S2526</v>
      </c>
      <c r="B2527" t="str">
        <f>IF(AND(FORSIDE!$B$8&gt;=2,FORSIDE!$F$8&gt;=1,FORSIDE!$B$5&gt;=6),"249 -&gt; 260","")</f>
        <v>249 -&gt; 260</v>
      </c>
      <c r="C2527" t="str">
        <f>FORSIDE!$C$3</f>
        <v>S355, Stål / VFHUP 140x140x8.0</v>
      </c>
    </row>
    <row r="2528" spans="1:3" x14ac:dyDescent="0.3">
      <c r="A2528" t="str">
        <f>IF(AND(FORSIDE!$B$8&gt;=2,FORSIDE!$F$8&gt;=1,FORSIDE!$B$5&gt;=7),"S2527","")</f>
        <v/>
      </c>
      <c r="B2528" t="str">
        <f>IF(AND(FORSIDE!$B$8&gt;=2,FORSIDE!$F$8&gt;=1,FORSIDE!$B$5&gt;=7),"250 -&gt; 261","")</f>
        <v/>
      </c>
      <c r="C2528" t="str">
        <f>FORSIDE!$C$3</f>
        <v>S355, Stål / VFHUP 140x140x8.0</v>
      </c>
    </row>
    <row r="2529" spans="1:3" x14ac:dyDescent="0.3">
      <c r="A2529" t="str">
        <f>IF(AND(FORSIDE!$B$8&gt;=2,FORSIDE!$F$8&gt;=1,FORSIDE!$B$5&gt;=8),"S2528","")</f>
        <v/>
      </c>
      <c r="B2529" t="str">
        <f>IF(AND(FORSIDE!$B$8&gt;=2,FORSIDE!$F$8&gt;=1,FORSIDE!$B$5&gt;=8),"251 -&gt; 262","")</f>
        <v/>
      </c>
      <c r="C2529" t="str">
        <f>FORSIDE!$C$3</f>
        <v>S355, Stål / VFHUP 140x140x8.0</v>
      </c>
    </row>
    <row r="2530" spans="1:3" x14ac:dyDescent="0.3">
      <c r="A2530" t="str">
        <f>IF(AND(FORSIDE!$B$8&gt;=2,FORSIDE!$F$8&gt;=1,FORSIDE!$B$5&gt;=9),"S2529","")</f>
        <v/>
      </c>
      <c r="B2530" t="str">
        <f>IF(AND(FORSIDE!$B$8&gt;=2,FORSIDE!$F$8&gt;=1,FORSIDE!$B$5&gt;=9),"252 -&gt; 263","")</f>
        <v/>
      </c>
      <c r="C2530" t="str">
        <f>FORSIDE!$C$3</f>
        <v>S355, Stål / VFHUP 140x140x8.0</v>
      </c>
    </row>
    <row r="2531" spans="1:3" x14ac:dyDescent="0.3">
      <c r="A2531" t="str">
        <f>IF(AND(FORSIDE!$B$8&gt;=2,FORSIDE!$F$8&gt;=1,FORSIDE!$B$5&gt;=10),"S2530","")</f>
        <v/>
      </c>
      <c r="B2531" t="str">
        <f>IF(AND(FORSIDE!$B$8&gt;=2,FORSIDE!$F$8&gt;=1,FORSIDE!$B$5&gt;=10),"253 -&gt; 264","")</f>
        <v/>
      </c>
      <c r="C2531" t="str">
        <f>FORSIDE!$C$3</f>
        <v>S355, Stål / VFHUP 140x140x8.0</v>
      </c>
    </row>
    <row r="2532" spans="1:3" x14ac:dyDescent="0.3">
      <c r="A2532" t="str">
        <f>IF(AND(FORSIDE!$B$8&gt;=3,FORSIDE!$F$8&gt;=1,FORSIDE!$B$5&gt;=1),"S2531","")</f>
        <v>S2531</v>
      </c>
      <c r="B2532" t="str">
        <f>IF(AND(FORSIDE!$B$8&gt;=3,FORSIDE!$F$8&gt;=1,FORSIDE!$B$5&gt;=1),"255 -&gt; 266","")</f>
        <v>255 -&gt; 266</v>
      </c>
      <c r="C2532" t="str">
        <f>FORSIDE!$C$3</f>
        <v>S355, Stål / VFHUP 140x140x8.0</v>
      </c>
    </row>
    <row r="2533" spans="1:3" x14ac:dyDescent="0.3">
      <c r="A2533" t="str">
        <f>IF(AND(FORSIDE!$B$8&gt;=3,FORSIDE!$F$8&gt;=1,FORSIDE!$B$5&gt;=2),"S2532","")</f>
        <v>S2532</v>
      </c>
      <c r="B2533" t="str">
        <f>IF(AND(FORSIDE!$B$8&gt;=3,FORSIDE!$F$8&gt;=1,FORSIDE!$B$5&gt;=2),"256 -&gt; 267","")</f>
        <v>256 -&gt; 267</v>
      </c>
      <c r="C2533" t="str">
        <f>FORSIDE!$C$3</f>
        <v>S355, Stål / VFHUP 140x140x8.0</v>
      </c>
    </row>
    <row r="2534" spans="1:3" x14ac:dyDescent="0.3">
      <c r="A2534" t="str">
        <f>IF(AND(FORSIDE!$B$8&gt;=3,FORSIDE!$F$8&gt;=1,FORSIDE!$B$5&gt;=3),"S2533","")</f>
        <v>S2533</v>
      </c>
      <c r="B2534" t="str">
        <f>IF(AND(FORSIDE!$B$8&gt;=3,FORSIDE!$F$8&gt;=1,FORSIDE!$B$5&gt;=3),"257 -&gt; 268","")</f>
        <v>257 -&gt; 268</v>
      </c>
      <c r="C2534" t="str">
        <f>FORSIDE!$C$3</f>
        <v>S355, Stål / VFHUP 140x140x8.0</v>
      </c>
    </row>
    <row r="2535" spans="1:3" x14ac:dyDescent="0.3">
      <c r="A2535" t="str">
        <f>IF(AND(FORSIDE!$B$8&gt;=3,FORSIDE!$F$8&gt;=1,FORSIDE!$B$5&gt;=4),"S2534","")</f>
        <v>S2534</v>
      </c>
      <c r="B2535" t="str">
        <f>IF(AND(FORSIDE!$B$8&gt;=3,FORSIDE!$F$8&gt;=1,FORSIDE!$B$5&gt;=4),"258 -&gt; 269","")</f>
        <v>258 -&gt; 269</v>
      </c>
      <c r="C2535" t="str">
        <f>FORSIDE!$C$3</f>
        <v>S355, Stål / VFHUP 140x140x8.0</v>
      </c>
    </row>
    <row r="2536" spans="1:3" x14ac:dyDescent="0.3">
      <c r="A2536" t="str">
        <f>IF(AND(FORSIDE!$B$8&gt;=3,FORSIDE!$F$8&gt;=1,FORSIDE!$B$5&gt;=5),"S2535","")</f>
        <v>S2535</v>
      </c>
      <c r="B2536" t="str">
        <f>IF(AND(FORSIDE!$B$8&gt;=3,FORSIDE!$F$8&gt;=1,FORSIDE!$B$5&gt;=5),"259 -&gt; 270","")</f>
        <v>259 -&gt; 270</v>
      </c>
      <c r="C2536" t="str">
        <f>FORSIDE!$C$3</f>
        <v>S355, Stål / VFHUP 140x140x8.0</v>
      </c>
    </row>
    <row r="2537" spans="1:3" x14ac:dyDescent="0.3">
      <c r="A2537" t="str">
        <f>IF(AND(FORSIDE!$B$8&gt;=3,FORSIDE!$F$8&gt;=1,FORSIDE!$B$5&gt;=6),"S2536","")</f>
        <v>S2536</v>
      </c>
      <c r="B2537" t="str">
        <f>IF(AND(FORSIDE!$B$8&gt;=3,FORSIDE!$F$8&gt;=1,FORSIDE!$B$5&gt;=6),"260 -&gt; 271","")</f>
        <v>260 -&gt; 271</v>
      </c>
      <c r="C2537" t="str">
        <f>FORSIDE!$C$3</f>
        <v>S355, Stål / VFHUP 140x140x8.0</v>
      </c>
    </row>
    <row r="2538" spans="1:3" x14ac:dyDescent="0.3">
      <c r="A2538" t="str">
        <f>IF(AND(FORSIDE!$B$8&gt;=3,FORSIDE!$F$8&gt;=1,FORSIDE!$B$5&gt;=7),"S2537","")</f>
        <v/>
      </c>
      <c r="B2538" t="str">
        <f>IF(AND(FORSIDE!$B$8&gt;=3,FORSIDE!$F$8&gt;=1,FORSIDE!$B$5&gt;=7),"261 -&gt; 272","")</f>
        <v/>
      </c>
      <c r="C2538" t="str">
        <f>FORSIDE!$C$3</f>
        <v>S355, Stål / VFHUP 140x140x8.0</v>
      </c>
    </row>
    <row r="2539" spans="1:3" x14ac:dyDescent="0.3">
      <c r="A2539" t="str">
        <f>IF(AND(FORSIDE!$B$8&gt;=3,FORSIDE!$F$8&gt;=1,FORSIDE!$B$5&gt;=8),"S2538","")</f>
        <v/>
      </c>
      <c r="B2539" t="str">
        <f>IF(AND(FORSIDE!$B$8&gt;=3,FORSIDE!$F$8&gt;=1,FORSIDE!$B$5&gt;=8),"262 -&gt; 273","")</f>
        <v/>
      </c>
      <c r="C2539" t="str">
        <f>FORSIDE!$C$3</f>
        <v>S355, Stål / VFHUP 140x140x8.0</v>
      </c>
    </row>
    <row r="2540" spans="1:3" x14ac:dyDescent="0.3">
      <c r="A2540" t="str">
        <f>IF(AND(FORSIDE!$B$8&gt;=3,FORSIDE!$F$8&gt;=1,FORSIDE!$B$5&gt;=9),"S2539","")</f>
        <v/>
      </c>
      <c r="B2540" t="str">
        <f>IF(AND(FORSIDE!$B$8&gt;=3,FORSIDE!$F$8&gt;=1,FORSIDE!$B$5&gt;=9),"263 -&gt; 274","")</f>
        <v/>
      </c>
      <c r="C2540" t="str">
        <f>FORSIDE!$C$3</f>
        <v>S355, Stål / VFHUP 140x140x8.0</v>
      </c>
    </row>
    <row r="2541" spans="1:3" x14ac:dyDescent="0.3">
      <c r="A2541" t="str">
        <f>IF(AND(FORSIDE!$B$8&gt;=3,FORSIDE!$F$8&gt;=1,FORSIDE!$B$5&gt;=10),"S2540","")</f>
        <v/>
      </c>
      <c r="B2541" t="str">
        <f>IF(AND(FORSIDE!$B$8&gt;=3,FORSIDE!$F$8&gt;=1,FORSIDE!$B$5&gt;=10),"264 -&gt; 275","")</f>
        <v/>
      </c>
      <c r="C2541" t="str">
        <f>FORSIDE!$C$3</f>
        <v>S355, Stål / VFHUP 140x140x8.0</v>
      </c>
    </row>
    <row r="2542" spans="1:3" x14ac:dyDescent="0.3">
      <c r="A2542" t="str">
        <f>IF(AND(FORSIDE!$B$8&gt;=4,FORSIDE!$F$8&gt;=1,FORSIDE!$B$5&gt;=1),"S2541","")</f>
        <v>S2541</v>
      </c>
      <c r="B2542" t="str">
        <f>IF(AND(FORSIDE!$B$8&gt;=4,FORSIDE!$F$8&gt;=1,FORSIDE!$B$5&gt;=1),"266 -&gt; 277","")</f>
        <v>266 -&gt; 277</v>
      </c>
      <c r="C2542" t="str">
        <f>FORSIDE!$C$3</f>
        <v>S355, Stål / VFHUP 140x140x8.0</v>
      </c>
    </row>
    <row r="2543" spans="1:3" x14ac:dyDescent="0.3">
      <c r="A2543" t="str">
        <f>IF(AND(FORSIDE!$B$8&gt;=4,FORSIDE!$F$8&gt;=1,FORSIDE!$B$5&gt;=2),"S2542","")</f>
        <v>S2542</v>
      </c>
      <c r="B2543" t="str">
        <f>IF(AND(FORSIDE!$B$8&gt;=4,FORSIDE!$F$8&gt;=1,FORSIDE!$B$5&gt;=2),"267 -&gt; 278","")</f>
        <v>267 -&gt; 278</v>
      </c>
      <c r="C2543" t="str">
        <f>FORSIDE!$C$3</f>
        <v>S355, Stål / VFHUP 140x140x8.0</v>
      </c>
    </row>
    <row r="2544" spans="1:3" x14ac:dyDescent="0.3">
      <c r="A2544" t="str">
        <f>IF(AND(FORSIDE!$B$8&gt;=4,FORSIDE!$F$8&gt;=1,FORSIDE!$B$5&gt;=3),"S2543","")</f>
        <v>S2543</v>
      </c>
      <c r="B2544" t="str">
        <f>IF(AND(FORSIDE!$B$8&gt;=4,FORSIDE!$F$8&gt;=1,FORSIDE!$B$5&gt;=3),"268 -&gt; 279","")</f>
        <v>268 -&gt; 279</v>
      </c>
      <c r="C2544" t="str">
        <f>FORSIDE!$C$3</f>
        <v>S355, Stål / VFHUP 140x140x8.0</v>
      </c>
    </row>
    <row r="2545" spans="1:3" x14ac:dyDescent="0.3">
      <c r="A2545" t="str">
        <f>IF(AND(FORSIDE!$B$8&gt;=4,FORSIDE!$F$8&gt;=1,FORSIDE!$B$5&gt;=4),"S2544","")</f>
        <v>S2544</v>
      </c>
      <c r="B2545" t="str">
        <f>IF(AND(FORSIDE!$B$8&gt;=4,FORSIDE!$F$8&gt;=1,FORSIDE!$B$5&gt;=4),"269 -&gt; 280","")</f>
        <v>269 -&gt; 280</v>
      </c>
      <c r="C2545" t="str">
        <f>FORSIDE!$C$3</f>
        <v>S355, Stål / VFHUP 140x140x8.0</v>
      </c>
    </row>
    <row r="2546" spans="1:3" x14ac:dyDescent="0.3">
      <c r="A2546" t="str">
        <f>IF(AND(FORSIDE!$B$8&gt;=4,FORSIDE!$F$8&gt;=1,FORSIDE!$B$5&gt;=5),"S2545","")</f>
        <v>S2545</v>
      </c>
      <c r="B2546" t="str">
        <f>IF(AND(FORSIDE!$B$8&gt;=4,FORSIDE!$F$8&gt;=1,FORSIDE!$B$5&gt;=5),"270 -&gt; 281","")</f>
        <v>270 -&gt; 281</v>
      </c>
      <c r="C2546" t="str">
        <f>FORSIDE!$C$3</f>
        <v>S355, Stål / VFHUP 140x140x8.0</v>
      </c>
    </row>
    <row r="2547" spans="1:3" x14ac:dyDescent="0.3">
      <c r="A2547" t="str">
        <f>IF(AND(FORSIDE!$B$8&gt;=4,FORSIDE!$F$8&gt;=1,FORSIDE!$B$5&gt;=6),"S2546","")</f>
        <v>S2546</v>
      </c>
      <c r="B2547" t="str">
        <f>IF(AND(FORSIDE!$B$8&gt;=4,FORSIDE!$F$8&gt;=1,FORSIDE!$B$5&gt;=6),"271 -&gt; 282","")</f>
        <v>271 -&gt; 282</v>
      </c>
      <c r="C2547" t="str">
        <f>FORSIDE!$C$3</f>
        <v>S355, Stål / VFHUP 140x140x8.0</v>
      </c>
    </row>
    <row r="2548" spans="1:3" x14ac:dyDescent="0.3">
      <c r="A2548" t="str">
        <f>IF(AND(FORSIDE!$B$8&gt;=4,FORSIDE!$F$8&gt;=1,FORSIDE!$B$5&gt;=7),"S2547","")</f>
        <v/>
      </c>
      <c r="B2548" t="str">
        <f>IF(AND(FORSIDE!$B$8&gt;=4,FORSIDE!$F$8&gt;=1,FORSIDE!$B$5&gt;=7),"272 -&gt; 283","")</f>
        <v/>
      </c>
      <c r="C2548" t="str">
        <f>FORSIDE!$C$3</f>
        <v>S355, Stål / VFHUP 140x140x8.0</v>
      </c>
    </row>
    <row r="2549" spans="1:3" x14ac:dyDescent="0.3">
      <c r="A2549" t="str">
        <f>IF(AND(FORSIDE!$B$8&gt;=4,FORSIDE!$F$8&gt;=1,FORSIDE!$B$5&gt;=8),"S2548","")</f>
        <v/>
      </c>
      <c r="B2549" t="str">
        <f>IF(AND(FORSIDE!$B$8&gt;=4,FORSIDE!$F$8&gt;=1,FORSIDE!$B$5&gt;=8),"273 -&gt; 284","")</f>
        <v/>
      </c>
      <c r="C2549" t="str">
        <f>FORSIDE!$C$3</f>
        <v>S355, Stål / VFHUP 140x140x8.0</v>
      </c>
    </row>
    <row r="2550" spans="1:3" x14ac:dyDescent="0.3">
      <c r="A2550" t="str">
        <f>IF(AND(FORSIDE!$B$8&gt;=4,FORSIDE!$F$8&gt;=1,FORSIDE!$B$5&gt;=9),"S2549","")</f>
        <v/>
      </c>
      <c r="B2550" t="str">
        <f>IF(AND(FORSIDE!$B$8&gt;=4,FORSIDE!$F$8&gt;=1,FORSIDE!$B$5&gt;=9),"274 -&gt; 285","")</f>
        <v/>
      </c>
      <c r="C2550" t="str">
        <f>FORSIDE!$C$3</f>
        <v>S355, Stål / VFHUP 140x140x8.0</v>
      </c>
    </row>
    <row r="2551" spans="1:3" x14ac:dyDescent="0.3">
      <c r="A2551" t="str">
        <f>IF(AND(FORSIDE!$B$8&gt;=4,FORSIDE!$F$8&gt;=1,FORSIDE!$B$5&gt;=10),"S2550","")</f>
        <v/>
      </c>
      <c r="B2551" t="str">
        <f>IF(AND(FORSIDE!$B$8&gt;=4,FORSIDE!$F$8&gt;=1,FORSIDE!$B$5&gt;=10),"275 -&gt; 286","")</f>
        <v/>
      </c>
      <c r="C2551" t="str">
        <f>FORSIDE!$C$3</f>
        <v>S355, Stål / VFHUP 140x140x8.0</v>
      </c>
    </row>
    <row r="2552" spans="1:3" x14ac:dyDescent="0.3">
      <c r="A2552" t="str">
        <f>IF(AND(FORSIDE!$B$8&gt;=5,FORSIDE!$F$8&gt;=1,FORSIDE!$B$5&gt;=1),"S2551","")</f>
        <v/>
      </c>
      <c r="B2552" t="str">
        <f>IF(AND(FORSIDE!$B$8&gt;=5,FORSIDE!$F$8&gt;=1,FORSIDE!$B$5&gt;=1),"277 -&gt; 288","")</f>
        <v/>
      </c>
      <c r="C2552" t="str">
        <f>FORSIDE!$C$3</f>
        <v>S355, Stål / VFHUP 140x140x8.0</v>
      </c>
    </row>
    <row r="2553" spans="1:3" x14ac:dyDescent="0.3">
      <c r="A2553" t="str">
        <f>IF(AND(FORSIDE!$B$8&gt;=5,FORSIDE!$F$8&gt;=1,FORSIDE!$B$5&gt;=2),"S2552","")</f>
        <v/>
      </c>
      <c r="B2553" t="str">
        <f>IF(AND(FORSIDE!$B$8&gt;=5,FORSIDE!$F$8&gt;=1,FORSIDE!$B$5&gt;=2),"278 -&gt; 289","")</f>
        <v/>
      </c>
      <c r="C2553" t="str">
        <f>FORSIDE!$C$3</f>
        <v>S355, Stål / VFHUP 140x140x8.0</v>
      </c>
    </row>
    <row r="2554" spans="1:3" x14ac:dyDescent="0.3">
      <c r="A2554" t="str">
        <f>IF(AND(FORSIDE!$B$8&gt;=5,FORSIDE!$F$8&gt;=1,FORSIDE!$B$5&gt;=3),"S2553","")</f>
        <v/>
      </c>
      <c r="B2554" t="str">
        <f>IF(AND(FORSIDE!$B$8&gt;=5,FORSIDE!$F$8&gt;=1,FORSIDE!$B$5&gt;=3),"279 -&gt; 290","")</f>
        <v/>
      </c>
      <c r="C2554" t="str">
        <f>FORSIDE!$C$3</f>
        <v>S355, Stål / VFHUP 140x140x8.0</v>
      </c>
    </row>
    <row r="2555" spans="1:3" x14ac:dyDescent="0.3">
      <c r="A2555" t="str">
        <f>IF(AND(FORSIDE!$B$8&gt;=5,FORSIDE!$F$8&gt;=1,FORSIDE!$B$5&gt;=4),"S2554","")</f>
        <v/>
      </c>
      <c r="B2555" t="str">
        <f>IF(AND(FORSIDE!$B$8&gt;=5,FORSIDE!$F$8&gt;=1,FORSIDE!$B$5&gt;=4),"280 -&gt; 291","")</f>
        <v/>
      </c>
      <c r="C2555" t="str">
        <f>FORSIDE!$C$3</f>
        <v>S355, Stål / VFHUP 140x140x8.0</v>
      </c>
    </row>
    <row r="2556" spans="1:3" x14ac:dyDescent="0.3">
      <c r="A2556" t="str">
        <f>IF(AND(FORSIDE!$B$8&gt;=5,FORSIDE!$F$8&gt;=1,FORSIDE!$B$5&gt;=5),"S2555","")</f>
        <v/>
      </c>
      <c r="B2556" t="str">
        <f>IF(AND(FORSIDE!$B$8&gt;=5,FORSIDE!$F$8&gt;=1,FORSIDE!$B$5&gt;=5),"281 -&gt; 292","")</f>
        <v/>
      </c>
      <c r="C2556" t="str">
        <f>FORSIDE!$C$3</f>
        <v>S355, Stål / VFHUP 140x140x8.0</v>
      </c>
    </row>
    <row r="2557" spans="1:3" x14ac:dyDescent="0.3">
      <c r="A2557" t="str">
        <f>IF(AND(FORSIDE!$B$8&gt;=5,FORSIDE!$F$8&gt;=1,FORSIDE!$B$5&gt;=6),"S2556","")</f>
        <v/>
      </c>
      <c r="B2557" t="str">
        <f>IF(AND(FORSIDE!$B$8&gt;=5,FORSIDE!$F$8&gt;=1,FORSIDE!$B$5&gt;=6),"282 -&gt; 293","")</f>
        <v/>
      </c>
      <c r="C2557" t="str">
        <f>FORSIDE!$C$3</f>
        <v>S355, Stål / VFHUP 140x140x8.0</v>
      </c>
    </row>
    <row r="2558" spans="1:3" x14ac:dyDescent="0.3">
      <c r="A2558" t="str">
        <f>IF(AND(FORSIDE!$B$8&gt;=5,FORSIDE!$F$8&gt;=1,FORSIDE!$B$5&gt;=7),"S2557","")</f>
        <v/>
      </c>
      <c r="B2558" t="str">
        <f>IF(AND(FORSIDE!$B$8&gt;=5,FORSIDE!$F$8&gt;=1,FORSIDE!$B$5&gt;=7),"283 -&gt; 294","")</f>
        <v/>
      </c>
      <c r="C2558" t="str">
        <f>FORSIDE!$C$3</f>
        <v>S355, Stål / VFHUP 140x140x8.0</v>
      </c>
    </row>
    <row r="2559" spans="1:3" x14ac:dyDescent="0.3">
      <c r="A2559" t="str">
        <f>IF(AND(FORSIDE!$B$8&gt;=5,FORSIDE!$F$8&gt;=1,FORSIDE!$B$5&gt;=8),"S2558","")</f>
        <v/>
      </c>
      <c r="B2559" t="str">
        <f>IF(AND(FORSIDE!$B$8&gt;=5,FORSIDE!$F$8&gt;=1,FORSIDE!$B$5&gt;=8),"284 -&gt; 295","")</f>
        <v/>
      </c>
      <c r="C2559" t="str">
        <f>FORSIDE!$C$3</f>
        <v>S355, Stål / VFHUP 140x140x8.0</v>
      </c>
    </row>
    <row r="2560" spans="1:3" x14ac:dyDescent="0.3">
      <c r="A2560" t="str">
        <f>IF(AND(FORSIDE!$B$8&gt;=5,FORSIDE!$F$8&gt;=1,FORSIDE!$B$5&gt;=9),"S2559","")</f>
        <v/>
      </c>
      <c r="B2560" t="str">
        <f>IF(AND(FORSIDE!$B$8&gt;=5,FORSIDE!$F$8&gt;=1,FORSIDE!$B$5&gt;=9),"285 -&gt; 296","")</f>
        <v/>
      </c>
      <c r="C2560" t="str">
        <f>FORSIDE!$C$3</f>
        <v>S355, Stål / VFHUP 140x140x8.0</v>
      </c>
    </row>
    <row r="2561" spans="1:3" x14ac:dyDescent="0.3">
      <c r="A2561" t="str">
        <f>IF(AND(FORSIDE!$B$8&gt;=5,FORSIDE!$F$8&gt;=1,FORSIDE!$B$5&gt;=10),"S2560","")</f>
        <v/>
      </c>
      <c r="B2561" t="str">
        <f>IF(AND(FORSIDE!$B$8&gt;=5,FORSIDE!$F$8&gt;=1,FORSIDE!$B$5&gt;=10),"286 -&gt; 297","")</f>
        <v/>
      </c>
      <c r="C2561" t="str">
        <f>FORSIDE!$C$3</f>
        <v>S355, Stål / VFHUP 140x140x8.0</v>
      </c>
    </row>
    <row r="2562" spans="1:3" x14ac:dyDescent="0.3">
      <c r="A2562" t="str">
        <f>IF(AND(FORSIDE!$B$8&gt;=6,FORSIDE!$F$8&gt;=1,FORSIDE!$B$5&gt;=1),"S2561","")</f>
        <v/>
      </c>
      <c r="B2562" t="str">
        <f>IF(AND(FORSIDE!$B$8&gt;=6,FORSIDE!$F$8&gt;=1,FORSIDE!$B$5&gt;=1),"288 -&gt; 299","")</f>
        <v/>
      </c>
      <c r="C2562" t="str">
        <f>FORSIDE!$C$3</f>
        <v>S355, Stål / VFHUP 140x140x8.0</v>
      </c>
    </row>
    <row r="2563" spans="1:3" x14ac:dyDescent="0.3">
      <c r="A2563" t="str">
        <f>IF(AND(FORSIDE!$B$8&gt;=6,FORSIDE!$F$8&gt;=1,FORSIDE!$B$5&gt;=2),"S2562","")</f>
        <v/>
      </c>
      <c r="B2563" t="str">
        <f>IF(AND(FORSIDE!$B$8&gt;=6,FORSIDE!$F$8&gt;=1,FORSIDE!$B$5&gt;=2),"289 -&gt; 300","")</f>
        <v/>
      </c>
      <c r="C2563" t="str">
        <f>FORSIDE!$C$3</f>
        <v>S355, Stål / VFHUP 140x140x8.0</v>
      </c>
    </row>
    <row r="2564" spans="1:3" x14ac:dyDescent="0.3">
      <c r="A2564" t="str">
        <f>IF(AND(FORSIDE!$B$8&gt;=6,FORSIDE!$F$8&gt;=1,FORSIDE!$B$5&gt;=3),"S2563","")</f>
        <v/>
      </c>
      <c r="B2564" t="str">
        <f>IF(AND(FORSIDE!$B$8&gt;=6,FORSIDE!$F$8&gt;=1,FORSIDE!$B$5&gt;=3),"290 -&gt; 301","")</f>
        <v/>
      </c>
      <c r="C2564" t="str">
        <f>FORSIDE!$C$3</f>
        <v>S355, Stål / VFHUP 140x140x8.0</v>
      </c>
    </row>
    <row r="2565" spans="1:3" x14ac:dyDescent="0.3">
      <c r="A2565" t="str">
        <f>IF(AND(FORSIDE!$B$8&gt;=6,FORSIDE!$F$8&gt;=1,FORSIDE!$B$5&gt;=4),"S2564","")</f>
        <v/>
      </c>
      <c r="B2565" t="str">
        <f>IF(AND(FORSIDE!$B$8&gt;=6,FORSIDE!$F$8&gt;=1,FORSIDE!$B$5&gt;=4),"291 -&gt; 302","")</f>
        <v/>
      </c>
      <c r="C2565" t="str">
        <f>FORSIDE!$C$3</f>
        <v>S355, Stål / VFHUP 140x140x8.0</v>
      </c>
    </row>
    <row r="2566" spans="1:3" x14ac:dyDescent="0.3">
      <c r="A2566" t="str">
        <f>IF(AND(FORSIDE!$B$8&gt;=6,FORSIDE!$F$8&gt;=1,FORSIDE!$B$5&gt;=5),"S2565","")</f>
        <v/>
      </c>
      <c r="B2566" t="str">
        <f>IF(AND(FORSIDE!$B$8&gt;=6,FORSIDE!$F$8&gt;=1,FORSIDE!$B$5&gt;=5),"292 -&gt; 303","")</f>
        <v/>
      </c>
      <c r="C2566" t="str">
        <f>FORSIDE!$C$3</f>
        <v>S355, Stål / VFHUP 140x140x8.0</v>
      </c>
    </row>
    <row r="2567" spans="1:3" x14ac:dyDescent="0.3">
      <c r="A2567" t="str">
        <f>IF(AND(FORSIDE!$B$8&gt;=6,FORSIDE!$F$8&gt;=1,FORSIDE!$B$5&gt;=6),"S2566","")</f>
        <v/>
      </c>
      <c r="B2567" t="str">
        <f>IF(AND(FORSIDE!$B$8&gt;=6,FORSIDE!$F$8&gt;=1,FORSIDE!$B$5&gt;=6),"293 -&gt; 304","")</f>
        <v/>
      </c>
      <c r="C2567" t="str">
        <f>FORSIDE!$C$3</f>
        <v>S355, Stål / VFHUP 140x140x8.0</v>
      </c>
    </row>
    <row r="2568" spans="1:3" x14ac:dyDescent="0.3">
      <c r="A2568" t="str">
        <f>IF(AND(FORSIDE!$B$8&gt;=6,FORSIDE!$F$8&gt;=1,FORSIDE!$B$5&gt;=7),"S2567","")</f>
        <v/>
      </c>
      <c r="B2568" t="str">
        <f>IF(AND(FORSIDE!$B$8&gt;=6,FORSIDE!$F$8&gt;=1,FORSIDE!$B$5&gt;=7),"294 -&gt; 305","")</f>
        <v/>
      </c>
      <c r="C2568" t="str">
        <f>FORSIDE!$C$3</f>
        <v>S355, Stål / VFHUP 140x140x8.0</v>
      </c>
    </row>
    <row r="2569" spans="1:3" x14ac:dyDescent="0.3">
      <c r="A2569" t="str">
        <f>IF(AND(FORSIDE!$B$8&gt;=6,FORSIDE!$F$8&gt;=1,FORSIDE!$B$5&gt;=8),"S2568","")</f>
        <v/>
      </c>
      <c r="B2569" t="str">
        <f>IF(AND(FORSIDE!$B$8&gt;=6,FORSIDE!$F$8&gt;=1,FORSIDE!$B$5&gt;=8),"295 -&gt; 306","")</f>
        <v/>
      </c>
      <c r="C2569" t="str">
        <f>FORSIDE!$C$3</f>
        <v>S355, Stål / VFHUP 140x140x8.0</v>
      </c>
    </row>
    <row r="2570" spans="1:3" x14ac:dyDescent="0.3">
      <c r="A2570" t="str">
        <f>IF(AND(FORSIDE!$B$8&gt;=6,FORSIDE!$F$8&gt;=1,FORSIDE!$B$5&gt;=9),"S2569","")</f>
        <v/>
      </c>
      <c r="B2570" t="str">
        <f>IF(AND(FORSIDE!$B$8&gt;=6,FORSIDE!$F$8&gt;=1,FORSIDE!$B$5&gt;=9),"296 -&gt; 307","")</f>
        <v/>
      </c>
      <c r="C2570" t="str">
        <f>FORSIDE!$C$3</f>
        <v>S355, Stål / VFHUP 140x140x8.0</v>
      </c>
    </row>
    <row r="2571" spans="1:3" x14ac:dyDescent="0.3">
      <c r="A2571" t="str">
        <f>IF(AND(FORSIDE!$B$8&gt;=6,FORSIDE!$F$8&gt;=1,FORSIDE!$B$5&gt;=10),"S2570","")</f>
        <v/>
      </c>
      <c r="B2571" t="str">
        <f>IF(AND(FORSIDE!$B$8&gt;=6,FORSIDE!$F$8&gt;=1,FORSIDE!$B$5&gt;=10),"297 -&gt; 308","")</f>
        <v/>
      </c>
      <c r="C2571" t="str">
        <f>FORSIDE!$C$3</f>
        <v>S355, Stål / VFHUP 140x140x8.0</v>
      </c>
    </row>
    <row r="2572" spans="1:3" x14ac:dyDescent="0.3">
      <c r="A2572" t="str">
        <f>IF(AND(FORSIDE!$B$8&gt;=7,FORSIDE!$F$8&gt;=1,FORSIDE!$B$5&gt;=1),"S2571","")</f>
        <v/>
      </c>
      <c r="B2572" t="str">
        <f>IF(AND(FORSIDE!$B$8&gt;=7,FORSIDE!$F$8&gt;=1,FORSIDE!$B$5&gt;=1),"299 -&gt; 310","")</f>
        <v/>
      </c>
      <c r="C2572" t="str">
        <f>FORSIDE!$C$3</f>
        <v>S355, Stål / VFHUP 140x140x8.0</v>
      </c>
    </row>
    <row r="2573" spans="1:3" x14ac:dyDescent="0.3">
      <c r="A2573" t="str">
        <f>IF(AND(FORSIDE!$B$8&gt;=7,FORSIDE!$F$8&gt;=1,FORSIDE!$B$5&gt;=2),"S2572","")</f>
        <v/>
      </c>
      <c r="B2573" t="str">
        <f>IF(AND(FORSIDE!$B$8&gt;=7,FORSIDE!$F$8&gt;=1,FORSIDE!$B$5&gt;=2),"300 -&gt; 311","")</f>
        <v/>
      </c>
      <c r="C2573" t="str">
        <f>FORSIDE!$C$3</f>
        <v>S355, Stål / VFHUP 140x140x8.0</v>
      </c>
    </row>
    <row r="2574" spans="1:3" x14ac:dyDescent="0.3">
      <c r="A2574" t="str">
        <f>IF(AND(FORSIDE!$B$8&gt;=7,FORSIDE!$F$8&gt;=1,FORSIDE!$B$5&gt;=3),"S2573","")</f>
        <v/>
      </c>
      <c r="B2574" t="str">
        <f>IF(AND(FORSIDE!$B$8&gt;=7,FORSIDE!$F$8&gt;=1,FORSIDE!$B$5&gt;=3),"301 -&gt; 312","")</f>
        <v/>
      </c>
      <c r="C2574" t="str">
        <f>FORSIDE!$C$3</f>
        <v>S355, Stål / VFHUP 140x140x8.0</v>
      </c>
    </row>
    <row r="2575" spans="1:3" x14ac:dyDescent="0.3">
      <c r="A2575" t="str">
        <f>IF(AND(FORSIDE!$B$8&gt;=7,FORSIDE!$F$8&gt;=1,FORSIDE!$B$5&gt;=4),"S2574","")</f>
        <v/>
      </c>
      <c r="B2575" t="str">
        <f>IF(AND(FORSIDE!$B$8&gt;=7,FORSIDE!$F$8&gt;=1,FORSIDE!$B$5&gt;=4),"302 -&gt; 313","")</f>
        <v/>
      </c>
      <c r="C2575" t="str">
        <f>FORSIDE!$C$3</f>
        <v>S355, Stål / VFHUP 140x140x8.0</v>
      </c>
    </row>
    <row r="2576" spans="1:3" x14ac:dyDescent="0.3">
      <c r="A2576" t="str">
        <f>IF(AND(FORSIDE!$B$8&gt;=7,FORSIDE!$F$8&gt;=1,FORSIDE!$B$5&gt;=5),"S2575","")</f>
        <v/>
      </c>
      <c r="B2576" t="str">
        <f>IF(AND(FORSIDE!$B$8&gt;=7,FORSIDE!$F$8&gt;=1,FORSIDE!$B$5&gt;=5),"303 -&gt; 314","")</f>
        <v/>
      </c>
      <c r="C2576" t="str">
        <f>FORSIDE!$C$3</f>
        <v>S355, Stål / VFHUP 140x140x8.0</v>
      </c>
    </row>
    <row r="2577" spans="1:3" x14ac:dyDescent="0.3">
      <c r="A2577" t="str">
        <f>IF(AND(FORSIDE!$B$8&gt;=7,FORSIDE!$F$8&gt;=1,FORSIDE!$B$5&gt;=6),"S2576","")</f>
        <v/>
      </c>
      <c r="B2577" t="str">
        <f>IF(AND(FORSIDE!$B$8&gt;=7,FORSIDE!$F$8&gt;=1,FORSIDE!$B$5&gt;=6),"304 -&gt; 315","")</f>
        <v/>
      </c>
      <c r="C2577" t="str">
        <f>FORSIDE!$C$3</f>
        <v>S355, Stål / VFHUP 140x140x8.0</v>
      </c>
    </row>
    <row r="2578" spans="1:3" x14ac:dyDescent="0.3">
      <c r="A2578" t="str">
        <f>IF(AND(FORSIDE!$B$8&gt;=7,FORSIDE!$F$8&gt;=1,FORSIDE!$B$5&gt;=7),"S2577","")</f>
        <v/>
      </c>
      <c r="B2578" t="str">
        <f>IF(AND(FORSIDE!$B$8&gt;=7,FORSIDE!$F$8&gt;=1,FORSIDE!$B$5&gt;=7),"305 -&gt; 316","")</f>
        <v/>
      </c>
      <c r="C2578" t="str">
        <f>FORSIDE!$C$3</f>
        <v>S355, Stål / VFHUP 140x140x8.0</v>
      </c>
    </row>
    <row r="2579" spans="1:3" x14ac:dyDescent="0.3">
      <c r="A2579" t="str">
        <f>IF(AND(FORSIDE!$B$8&gt;=7,FORSIDE!$F$8&gt;=1,FORSIDE!$B$5&gt;=8),"S2578","")</f>
        <v/>
      </c>
      <c r="B2579" t="str">
        <f>IF(AND(FORSIDE!$B$8&gt;=7,FORSIDE!$F$8&gt;=1,FORSIDE!$B$5&gt;=8),"306 -&gt; 317","")</f>
        <v/>
      </c>
      <c r="C2579" t="str">
        <f>FORSIDE!$C$3</f>
        <v>S355, Stål / VFHUP 140x140x8.0</v>
      </c>
    </row>
    <row r="2580" spans="1:3" x14ac:dyDescent="0.3">
      <c r="A2580" t="str">
        <f>IF(AND(FORSIDE!$B$8&gt;=7,FORSIDE!$F$8&gt;=1,FORSIDE!$B$5&gt;=9),"S2579","")</f>
        <v/>
      </c>
      <c r="B2580" t="str">
        <f>IF(AND(FORSIDE!$B$8&gt;=7,FORSIDE!$F$8&gt;=1,FORSIDE!$B$5&gt;=9),"307 -&gt; 318","")</f>
        <v/>
      </c>
      <c r="C2580" t="str">
        <f>FORSIDE!$C$3</f>
        <v>S355, Stål / VFHUP 140x140x8.0</v>
      </c>
    </row>
    <row r="2581" spans="1:3" x14ac:dyDescent="0.3">
      <c r="A2581" t="str">
        <f>IF(AND(FORSIDE!$B$8&gt;=7,FORSIDE!$F$8&gt;=1,FORSIDE!$B$5&gt;=10),"S2580","")</f>
        <v/>
      </c>
      <c r="B2581" t="str">
        <f>IF(AND(FORSIDE!$B$8&gt;=7,FORSIDE!$F$8&gt;=1,FORSIDE!$B$5&gt;=10),"308 -&gt; 319","")</f>
        <v/>
      </c>
      <c r="C2581" t="str">
        <f>FORSIDE!$C$3</f>
        <v>S355, Stål / VFHUP 140x140x8.0</v>
      </c>
    </row>
    <row r="2582" spans="1:3" x14ac:dyDescent="0.3">
      <c r="A2582" t="str">
        <f>IF(AND(FORSIDE!$B$8&gt;=8,FORSIDE!$F$8&gt;=1,FORSIDE!$B$5&gt;=1),"S2581","")</f>
        <v/>
      </c>
      <c r="B2582" t="str">
        <f>IF(AND(FORSIDE!$B$8&gt;=8,FORSIDE!$F$8&gt;=1,FORSIDE!$B$5&gt;=1),"310 -&gt; 321","")</f>
        <v/>
      </c>
      <c r="C2582" t="str">
        <f>FORSIDE!$C$3</f>
        <v>S355, Stål / VFHUP 140x140x8.0</v>
      </c>
    </row>
    <row r="2583" spans="1:3" x14ac:dyDescent="0.3">
      <c r="A2583" t="str">
        <f>IF(AND(FORSIDE!$B$8&gt;=8,FORSIDE!$F$8&gt;=1,FORSIDE!$B$5&gt;=2),"S2582","")</f>
        <v/>
      </c>
      <c r="B2583" t="str">
        <f>IF(AND(FORSIDE!$B$8&gt;=8,FORSIDE!$F$8&gt;=1,FORSIDE!$B$5&gt;=2),"311 -&gt; 322","")</f>
        <v/>
      </c>
      <c r="C2583" t="str">
        <f>FORSIDE!$C$3</f>
        <v>S355, Stål / VFHUP 140x140x8.0</v>
      </c>
    </row>
    <row r="2584" spans="1:3" x14ac:dyDescent="0.3">
      <c r="A2584" t="str">
        <f>IF(AND(FORSIDE!$B$8&gt;=8,FORSIDE!$F$8&gt;=1,FORSIDE!$B$5&gt;=3),"S2583","")</f>
        <v/>
      </c>
      <c r="B2584" t="str">
        <f>IF(AND(FORSIDE!$B$8&gt;=8,FORSIDE!$F$8&gt;=1,FORSIDE!$B$5&gt;=3),"312 -&gt; 323","")</f>
        <v/>
      </c>
      <c r="C2584" t="str">
        <f>FORSIDE!$C$3</f>
        <v>S355, Stål / VFHUP 140x140x8.0</v>
      </c>
    </row>
    <row r="2585" spans="1:3" x14ac:dyDescent="0.3">
      <c r="A2585" t="str">
        <f>IF(AND(FORSIDE!$B$8&gt;=8,FORSIDE!$F$8&gt;=1,FORSIDE!$B$5&gt;=4),"S2584","")</f>
        <v/>
      </c>
      <c r="B2585" t="str">
        <f>IF(AND(FORSIDE!$B$8&gt;=8,FORSIDE!$F$8&gt;=1,FORSIDE!$B$5&gt;=4),"313 -&gt; 324","")</f>
        <v/>
      </c>
      <c r="C2585" t="str">
        <f>FORSIDE!$C$3</f>
        <v>S355, Stål / VFHUP 140x140x8.0</v>
      </c>
    </row>
    <row r="2586" spans="1:3" x14ac:dyDescent="0.3">
      <c r="A2586" t="str">
        <f>IF(AND(FORSIDE!$B$8&gt;=8,FORSIDE!$F$8&gt;=1,FORSIDE!$B$5&gt;=5),"S2585","")</f>
        <v/>
      </c>
      <c r="B2586" t="str">
        <f>IF(AND(FORSIDE!$B$8&gt;=8,FORSIDE!$F$8&gt;=1,FORSIDE!$B$5&gt;=5),"314 -&gt; 325","")</f>
        <v/>
      </c>
      <c r="C2586" t="str">
        <f>FORSIDE!$C$3</f>
        <v>S355, Stål / VFHUP 140x140x8.0</v>
      </c>
    </row>
    <row r="2587" spans="1:3" x14ac:dyDescent="0.3">
      <c r="A2587" t="str">
        <f>IF(AND(FORSIDE!$B$8&gt;=8,FORSIDE!$F$8&gt;=1,FORSIDE!$B$5&gt;=6),"S2586","")</f>
        <v/>
      </c>
      <c r="B2587" t="str">
        <f>IF(AND(FORSIDE!$B$8&gt;=8,FORSIDE!$F$8&gt;=1,FORSIDE!$B$5&gt;=6),"315 -&gt; 326","")</f>
        <v/>
      </c>
      <c r="C2587" t="str">
        <f>FORSIDE!$C$3</f>
        <v>S355, Stål / VFHUP 140x140x8.0</v>
      </c>
    </row>
    <row r="2588" spans="1:3" x14ac:dyDescent="0.3">
      <c r="A2588" t="str">
        <f>IF(AND(FORSIDE!$B$8&gt;=8,FORSIDE!$F$8&gt;=1,FORSIDE!$B$5&gt;=7),"S2587","")</f>
        <v/>
      </c>
      <c r="B2588" t="str">
        <f>IF(AND(FORSIDE!$B$8&gt;=8,FORSIDE!$F$8&gt;=1,FORSIDE!$B$5&gt;=7),"316 -&gt; 327","")</f>
        <v/>
      </c>
      <c r="C2588" t="str">
        <f>FORSIDE!$C$3</f>
        <v>S355, Stål / VFHUP 140x140x8.0</v>
      </c>
    </row>
    <row r="2589" spans="1:3" x14ac:dyDescent="0.3">
      <c r="A2589" t="str">
        <f>IF(AND(FORSIDE!$B$8&gt;=8,FORSIDE!$F$8&gt;=1,FORSIDE!$B$5&gt;=8),"S2588","")</f>
        <v/>
      </c>
      <c r="B2589" t="str">
        <f>IF(AND(FORSIDE!$B$8&gt;=8,FORSIDE!$F$8&gt;=1,FORSIDE!$B$5&gt;=8),"317 -&gt; 328","")</f>
        <v/>
      </c>
      <c r="C2589" t="str">
        <f>FORSIDE!$C$3</f>
        <v>S355, Stål / VFHUP 140x140x8.0</v>
      </c>
    </row>
    <row r="2590" spans="1:3" x14ac:dyDescent="0.3">
      <c r="A2590" t="str">
        <f>IF(AND(FORSIDE!$B$8&gt;=8,FORSIDE!$F$8&gt;=1,FORSIDE!$B$5&gt;=9),"S2589","")</f>
        <v/>
      </c>
      <c r="B2590" t="str">
        <f>IF(AND(FORSIDE!$B$8&gt;=8,FORSIDE!$F$8&gt;=1,FORSIDE!$B$5&gt;=9),"318 -&gt; 329","")</f>
        <v/>
      </c>
      <c r="C2590" t="str">
        <f>FORSIDE!$C$3</f>
        <v>S355, Stål / VFHUP 140x140x8.0</v>
      </c>
    </row>
    <row r="2591" spans="1:3" x14ac:dyDescent="0.3">
      <c r="A2591" t="str">
        <f>IF(AND(FORSIDE!$B$8&gt;=8,FORSIDE!$F$8&gt;=1,FORSIDE!$B$5&gt;=10),"S2590","")</f>
        <v/>
      </c>
      <c r="B2591" t="str">
        <f>IF(AND(FORSIDE!$B$8&gt;=8,FORSIDE!$F$8&gt;=1,FORSIDE!$B$5&gt;=10),"319 -&gt; 330","")</f>
        <v/>
      </c>
      <c r="C2591" t="str">
        <f>FORSIDE!$C$3</f>
        <v>S355, Stål / VFHUP 140x140x8.0</v>
      </c>
    </row>
    <row r="2592" spans="1:3" x14ac:dyDescent="0.3">
      <c r="A2592" t="str">
        <f>IF(AND(FORSIDE!$B$8&gt;=9,FORSIDE!$F$8&gt;=1,FORSIDE!$B$5&gt;=1),"S2591","")</f>
        <v/>
      </c>
      <c r="B2592" t="str">
        <f>IF(AND(FORSIDE!$B$8&gt;=9,FORSIDE!$F$8&gt;=1,FORSIDE!$B$5&gt;=1),"321 -&gt; 332","")</f>
        <v/>
      </c>
      <c r="C2592" t="str">
        <f>FORSIDE!$C$3</f>
        <v>S355, Stål / VFHUP 140x140x8.0</v>
      </c>
    </row>
    <row r="2593" spans="1:3" x14ac:dyDescent="0.3">
      <c r="A2593" t="str">
        <f>IF(AND(FORSIDE!$B$8&gt;=9,FORSIDE!$F$8&gt;=1,FORSIDE!$B$5&gt;=2),"S2592","")</f>
        <v/>
      </c>
      <c r="B2593" t="str">
        <f>IF(AND(FORSIDE!$B$8&gt;=9,FORSIDE!$F$8&gt;=1,FORSIDE!$B$5&gt;=2),"322 -&gt; 333","")</f>
        <v/>
      </c>
      <c r="C2593" t="str">
        <f>FORSIDE!$C$3</f>
        <v>S355, Stål / VFHUP 140x140x8.0</v>
      </c>
    </row>
    <row r="2594" spans="1:3" x14ac:dyDescent="0.3">
      <c r="A2594" t="str">
        <f>IF(AND(FORSIDE!$B$8&gt;=9,FORSIDE!$F$8&gt;=1,FORSIDE!$B$5&gt;=3),"S2593","")</f>
        <v/>
      </c>
      <c r="B2594" t="str">
        <f>IF(AND(FORSIDE!$B$8&gt;=9,FORSIDE!$F$8&gt;=1,FORSIDE!$B$5&gt;=3),"323 -&gt; 334","")</f>
        <v/>
      </c>
      <c r="C2594" t="str">
        <f>FORSIDE!$C$3</f>
        <v>S355, Stål / VFHUP 140x140x8.0</v>
      </c>
    </row>
    <row r="2595" spans="1:3" x14ac:dyDescent="0.3">
      <c r="A2595" t="str">
        <f>IF(AND(FORSIDE!$B$8&gt;=9,FORSIDE!$F$8&gt;=1,FORSIDE!$B$5&gt;=4),"S2594","")</f>
        <v/>
      </c>
      <c r="B2595" t="str">
        <f>IF(AND(FORSIDE!$B$8&gt;=9,FORSIDE!$F$8&gt;=1,FORSIDE!$B$5&gt;=4),"324 -&gt; 335","")</f>
        <v/>
      </c>
      <c r="C2595" t="str">
        <f>FORSIDE!$C$3</f>
        <v>S355, Stål / VFHUP 140x140x8.0</v>
      </c>
    </row>
    <row r="2596" spans="1:3" x14ac:dyDescent="0.3">
      <c r="A2596" t="str">
        <f>IF(AND(FORSIDE!$B$8&gt;=9,FORSIDE!$F$8&gt;=1,FORSIDE!$B$5&gt;=5),"S2595","")</f>
        <v/>
      </c>
      <c r="B2596" t="str">
        <f>IF(AND(FORSIDE!$B$8&gt;=9,FORSIDE!$F$8&gt;=1,FORSIDE!$B$5&gt;=5),"325 -&gt; 336","")</f>
        <v/>
      </c>
      <c r="C2596" t="str">
        <f>FORSIDE!$C$3</f>
        <v>S355, Stål / VFHUP 140x140x8.0</v>
      </c>
    </row>
    <row r="2597" spans="1:3" x14ac:dyDescent="0.3">
      <c r="A2597" t="str">
        <f>IF(AND(FORSIDE!$B$8&gt;=9,FORSIDE!$F$8&gt;=1,FORSIDE!$B$5&gt;=6),"S2596","")</f>
        <v/>
      </c>
      <c r="B2597" t="str">
        <f>IF(AND(FORSIDE!$B$8&gt;=9,FORSIDE!$F$8&gt;=1,FORSIDE!$B$5&gt;=6),"326 -&gt; 337","")</f>
        <v/>
      </c>
      <c r="C2597" t="str">
        <f>FORSIDE!$C$3</f>
        <v>S355, Stål / VFHUP 140x140x8.0</v>
      </c>
    </row>
    <row r="2598" spans="1:3" x14ac:dyDescent="0.3">
      <c r="A2598" t="str">
        <f>IF(AND(FORSIDE!$B$8&gt;=9,FORSIDE!$F$8&gt;=1,FORSIDE!$B$5&gt;=7),"S2597","")</f>
        <v/>
      </c>
      <c r="B2598" t="str">
        <f>IF(AND(FORSIDE!$B$8&gt;=9,FORSIDE!$F$8&gt;=1,FORSIDE!$B$5&gt;=7),"327 -&gt; 338","")</f>
        <v/>
      </c>
      <c r="C2598" t="str">
        <f>FORSIDE!$C$3</f>
        <v>S355, Stål / VFHUP 140x140x8.0</v>
      </c>
    </row>
    <row r="2599" spans="1:3" x14ac:dyDescent="0.3">
      <c r="A2599" t="str">
        <f>IF(AND(FORSIDE!$B$8&gt;=9,FORSIDE!$F$8&gt;=1,FORSIDE!$B$5&gt;=8),"S2598","")</f>
        <v/>
      </c>
      <c r="B2599" t="str">
        <f>IF(AND(FORSIDE!$B$8&gt;=9,FORSIDE!$F$8&gt;=1,FORSIDE!$B$5&gt;=8),"328 -&gt; 339","")</f>
        <v/>
      </c>
      <c r="C2599" t="str">
        <f>FORSIDE!$C$3</f>
        <v>S355, Stål / VFHUP 140x140x8.0</v>
      </c>
    </row>
    <row r="2600" spans="1:3" x14ac:dyDescent="0.3">
      <c r="A2600" t="str">
        <f>IF(AND(FORSIDE!$B$8&gt;=9,FORSIDE!$F$8&gt;=1,FORSIDE!$B$5&gt;=9),"S2599","")</f>
        <v/>
      </c>
      <c r="B2600" t="str">
        <f>IF(AND(FORSIDE!$B$8&gt;=9,FORSIDE!$F$8&gt;=1,FORSIDE!$B$5&gt;=9),"329 -&gt; 340","")</f>
        <v/>
      </c>
      <c r="C2600" t="str">
        <f>FORSIDE!$C$3</f>
        <v>S355, Stål / VFHUP 140x140x8.0</v>
      </c>
    </row>
    <row r="2601" spans="1:3" x14ac:dyDescent="0.3">
      <c r="A2601" t="str">
        <f>IF(AND(FORSIDE!$B$8&gt;=9,FORSIDE!$F$8&gt;=1,FORSIDE!$B$5&gt;=10),"S2600","")</f>
        <v/>
      </c>
      <c r="B2601" t="str">
        <f>IF(AND(FORSIDE!$B$8&gt;=9,FORSIDE!$F$8&gt;=1,FORSIDE!$B$5&gt;=10),"330 -&gt; 341","")</f>
        <v/>
      </c>
      <c r="C2601" t="str">
        <f>FORSIDE!$C$3</f>
        <v>S355, Stål / VFHUP 140x140x8.0</v>
      </c>
    </row>
    <row r="2602" spans="1:3" x14ac:dyDescent="0.3">
      <c r="A2602" t="str">
        <f>IF(AND(FORSIDE!$B$8&gt;=10,FORSIDE!$F$8&gt;=1,FORSIDE!$B$5&gt;=1),"S2601","")</f>
        <v/>
      </c>
      <c r="B2602" t="str">
        <f>IF(AND(FORSIDE!$B$8&gt;=10,FORSIDE!$F$8&gt;=1,FORSIDE!$B$5&gt;=1),"332 -&gt; 343","")</f>
        <v/>
      </c>
      <c r="C2602" t="str">
        <f>FORSIDE!$C$3</f>
        <v>S355, Stål / VFHUP 140x140x8.0</v>
      </c>
    </row>
    <row r="2603" spans="1:3" x14ac:dyDescent="0.3">
      <c r="A2603" t="str">
        <f>IF(AND(FORSIDE!$B$8&gt;=10,FORSIDE!$F$8&gt;=1,FORSIDE!$B$5&gt;=2),"S2602","")</f>
        <v/>
      </c>
      <c r="B2603" t="str">
        <f>IF(AND(FORSIDE!$B$8&gt;=10,FORSIDE!$F$8&gt;=1,FORSIDE!$B$5&gt;=2),"333 -&gt; 344","")</f>
        <v/>
      </c>
      <c r="C2603" t="str">
        <f>FORSIDE!$C$3</f>
        <v>S355, Stål / VFHUP 140x140x8.0</v>
      </c>
    </row>
    <row r="2604" spans="1:3" x14ac:dyDescent="0.3">
      <c r="A2604" t="str">
        <f>IF(AND(FORSIDE!$B$8&gt;=10,FORSIDE!$F$8&gt;=1,FORSIDE!$B$5&gt;=3),"S2603","")</f>
        <v/>
      </c>
      <c r="B2604" t="str">
        <f>IF(AND(FORSIDE!$B$8&gt;=10,FORSIDE!$F$8&gt;=1,FORSIDE!$B$5&gt;=3),"334 -&gt; 345","")</f>
        <v/>
      </c>
      <c r="C2604" t="str">
        <f>FORSIDE!$C$3</f>
        <v>S355, Stål / VFHUP 140x140x8.0</v>
      </c>
    </row>
    <row r="2605" spans="1:3" x14ac:dyDescent="0.3">
      <c r="A2605" t="str">
        <f>IF(AND(FORSIDE!$B$8&gt;=10,FORSIDE!$F$8&gt;=1,FORSIDE!$B$5&gt;=4),"S2604","")</f>
        <v/>
      </c>
      <c r="B2605" t="str">
        <f>IF(AND(FORSIDE!$B$8&gt;=10,FORSIDE!$F$8&gt;=1,FORSIDE!$B$5&gt;=4),"335 -&gt; 346","")</f>
        <v/>
      </c>
      <c r="C2605" t="str">
        <f>FORSIDE!$C$3</f>
        <v>S355, Stål / VFHUP 140x140x8.0</v>
      </c>
    </row>
    <row r="2606" spans="1:3" x14ac:dyDescent="0.3">
      <c r="A2606" t="str">
        <f>IF(AND(FORSIDE!$B$8&gt;=10,FORSIDE!$F$8&gt;=1,FORSIDE!$B$5&gt;=5),"S2605","")</f>
        <v/>
      </c>
      <c r="B2606" t="str">
        <f>IF(AND(FORSIDE!$B$8&gt;=10,FORSIDE!$F$8&gt;=1,FORSIDE!$B$5&gt;=5),"336 -&gt; 347","")</f>
        <v/>
      </c>
      <c r="C2606" t="str">
        <f>FORSIDE!$C$3</f>
        <v>S355, Stål / VFHUP 140x140x8.0</v>
      </c>
    </row>
    <row r="2607" spans="1:3" x14ac:dyDescent="0.3">
      <c r="A2607" t="str">
        <f>IF(AND(FORSIDE!$B$8&gt;=10,FORSIDE!$F$8&gt;=1,FORSIDE!$B$5&gt;=6),"S2606","")</f>
        <v/>
      </c>
      <c r="B2607" t="str">
        <f>IF(AND(FORSIDE!$B$8&gt;=10,FORSIDE!$F$8&gt;=1,FORSIDE!$B$5&gt;=6),"337 -&gt; 348","")</f>
        <v/>
      </c>
      <c r="C2607" t="str">
        <f>FORSIDE!$C$3</f>
        <v>S355, Stål / VFHUP 140x140x8.0</v>
      </c>
    </row>
    <row r="2608" spans="1:3" x14ac:dyDescent="0.3">
      <c r="A2608" t="str">
        <f>IF(AND(FORSIDE!$B$8&gt;=10,FORSIDE!$F$8&gt;=1,FORSIDE!$B$5&gt;=7),"S2607","")</f>
        <v/>
      </c>
      <c r="B2608" t="str">
        <f>IF(AND(FORSIDE!$B$8&gt;=10,FORSIDE!$F$8&gt;=1,FORSIDE!$B$5&gt;=7),"338 -&gt; 349","")</f>
        <v/>
      </c>
      <c r="C2608" t="str">
        <f>FORSIDE!$C$3</f>
        <v>S355, Stål / VFHUP 140x140x8.0</v>
      </c>
    </row>
    <row r="2609" spans="1:3" x14ac:dyDescent="0.3">
      <c r="A2609" t="str">
        <f>IF(AND(FORSIDE!$B$8&gt;=10,FORSIDE!$F$8&gt;=1,FORSIDE!$B$5&gt;=8),"S2608","")</f>
        <v/>
      </c>
      <c r="B2609" t="str">
        <f>IF(AND(FORSIDE!$B$8&gt;=10,FORSIDE!$F$8&gt;=1,FORSIDE!$B$5&gt;=8),"339 -&gt; 350","")</f>
        <v/>
      </c>
      <c r="C2609" t="str">
        <f>FORSIDE!$C$3</f>
        <v>S355, Stål / VFHUP 140x140x8.0</v>
      </c>
    </row>
    <row r="2610" spans="1:3" x14ac:dyDescent="0.3">
      <c r="A2610" t="str">
        <f>IF(AND(FORSIDE!$B$8&gt;=10,FORSIDE!$F$8&gt;=1,FORSIDE!$B$5&gt;=9),"S2609","")</f>
        <v/>
      </c>
      <c r="B2610" t="str">
        <f>IF(AND(FORSIDE!$B$8&gt;=10,FORSIDE!$F$8&gt;=1,FORSIDE!$B$5&gt;=9),"340 -&gt; 351","")</f>
        <v/>
      </c>
      <c r="C2610" t="str">
        <f>FORSIDE!$C$3</f>
        <v>S355, Stål / VFHUP 140x140x8.0</v>
      </c>
    </row>
    <row r="2611" spans="1:3" x14ac:dyDescent="0.3">
      <c r="A2611" t="str">
        <f>IF(AND(FORSIDE!$B$8&gt;=10,FORSIDE!$F$8&gt;=1,FORSIDE!$B$5&gt;=10),"S2610","")</f>
        <v/>
      </c>
      <c r="B2611" t="str">
        <f>IF(AND(FORSIDE!$B$8&gt;=10,FORSIDE!$F$8&gt;=1,FORSIDE!$B$5&gt;=10),"341 -&gt; 352","")</f>
        <v/>
      </c>
      <c r="C2611" t="str">
        <f>FORSIDE!$C$3</f>
        <v>S355, Stål / VFHUP 140x140x8.0</v>
      </c>
    </row>
    <row r="2612" spans="1:3" x14ac:dyDescent="0.3">
      <c r="A2612" t="str">
        <f>IF(AND(FORSIDE!$B$8&gt;=11,FORSIDE!$F$8&gt;=1,FORSIDE!$B$5&gt;=1),"S2611","")</f>
        <v/>
      </c>
      <c r="B2612" t="str">
        <f>IF(AND(FORSIDE!$B$8&gt;=11,FORSIDE!$F$8&gt;=1,FORSIDE!$B$5&gt;=1),"343 -&gt; 354","")</f>
        <v/>
      </c>
      <c r="C2612" t="str">
        <f>FORSIDE!$C$3</f>
        <v>S355, Stål / VFHUP 140x140x8.0</v>
      </c>
    </row>
    <row r="2613" spans="1:3" x14ac:dyDescent="0.3">
      <c r="A2613" t="str">
        <f>IF(AND(FORSIDE!$B$8&gt;=11,FORSIDE!$F$8&gt;=1,FORSIDE!$B$5&gt;=2),"S2612","")</f>
        <v/>
      </c>
      <c r="B2613" t="str">
        <f>IF(AND(FORSIDE!$B$8&gt;=11,FORSIDE!$F$8&gt;=1,FORSIDE!$B$5&gt;=2),"344 -&gt; 355","")</f>
        <v/>
      </c>
      <c r="C2613" t="str">
        <f>FORSIDE!$C$3</f>
        <v>S355, Stål / VFHUP 140x140x8.0</v>
      </c>
    </row>
    <row r="2614" spans="1:3" x14ac:dyDescent="0.3">
      <c r="A2614" t="str">
        <f>IF(AND(FORSIDE!$B$8&gt;=11,FORSIDE!$F$8&gt;=1,FORSIDE!$B$5&gt;=3),"S2613","")</f>
        <v/>
      </c>
      <c r="B2614" t="str">
        <f>IF(AND(FORSIDE!$B$8&gt;=11,FORSIDE!$F$8&gt;=1,FORSIDE!$B$5&gt;=3),"345 -&gt; 356","")</f>
        <v/>
      </c>
      <c r="C2614" t="str">
        <f>FORSIDE!$C$3</f>
        <v>S355, Stål / VFHUP 140x140x8.0</v>
      </c>
    </row>
    <row r="2615" spans="1:3" x14ac:dyDescent="0.3">
      <c r="A2615" t="str">
        <f>IF(AND(FORSIDE!$B$8&gt;=11,FORSIDE!$F$8&gt;=1,FORSIDE!$B$5&gt;=4),"S2614","")</f>
        <v/>
      </c>
      <c r="B2615" t="str">
        <f>IF(AND(FORSIDE!$B$8&gt;=11,FORSIDE!$F$8&gt;=1,FORSIDE!$B$5&gt;=4),"346 -&gt; 357","")</f>
        <v/>
      </c>
      <c r="C2615" t="str">
        <f>FORSIDE!$C$3</f>
        <v>S355, Stål / VFHUP 140x140x8.0</v>
      </c>
    </row>
    <row r="2616" spans="1:3" x14ac:dyDescent="0.3">
      <c r="A2616" t="str">
        <f>IF(AND(FORSIDE!$B$8&gt;=11,FORSIDE!$F$8&gt;=1,FORSIDE!$B$5&gt;=5),"S2615","")</f>
        <v/>
      </c>
      <c r="B2616" t="str">
        <f>IF(AND(FORSIDE!$B$8&gt;=11,FORSIDE!$F$8&gt;=1,FORSIDE!$B$5&gt;=5),"347 -&gt; 358","")</f>
        <v/>
      </c>
      <c r="C2616" t="str">
        <f>FORSIDE!$C$3</f>
        <v>S355, Stål / VFHUP 140x140x8.0</v>
      </c>
    </row>
    <row r="2617" spans="1:3" x14ac:dyDescent="0.3">
      <c r="A2617" t="str">
        <f>IF(AND(FORSIDE!$B$8&gt;=11,FORSIDE!$F$8&gt;=1,FORSIDE!$B$5&gt;=6),"S2616","")</f>
        <v/>
      </c>
      <c r="B2617" t="str">
        <f>IF(AND(FORSIDE!$B$8&gt;=11,FORSIDE!$F$8&gt;=1,FORSIDE!$B$5&gt;=6),"348 -&gt; 359","")</f>
        <v/>
      </c>
      <c r="C2617" t="str">
        <f>FORSIDE!$C$3</f>
        <v>S355, Stål / VFHUP 140x140x8.0</v>
      </c>
    </row>
    <row r="2618" spans="1:3" x14ac:dyDescent="0.3">
      <c r="A2618" t="str">
        <f>IF(AND(FORSIDE!$B$8&gt;=11,FORSIDE!$F$8&gt;=1,FORSIDE!$B$5&gt;=7),"S2617","")</f>
        <v/>
      </c>
      <c r="B2618" t="str">
        <f>IF(AND(FORSIDE!$B$8&gt;=11,FORSIDE!$F$8&gt;=1,FORSIDE!$B$5&gt;=7),"349 -&gt; 360","")</f>
        <v/>
      </c>
      <c r="C2618" t="str">
        <f>FORSIDE!$C$3</f>
        <v>S355, Stål / VFHUP 140x140x8.0</v>
      </c>
    </row>
    <row r="2619" spans="1:3" x14ac:dyDescent="0.3">
      <c r="A2619" t="str">
        <f>IF(AND(FORSIDE!$B$8&gt;=11,FORSIDE!$F$8&gt;=1,FORSIDE!$B$5&gt;=8),"S2618","")</f>
        <v/>
      </c>
      <c r="B2619" t="str">
        <f>IF(AND(FORSIDE!$B$8&gt;=11,FORSIDE!$F$8&gt;=1,FORSIDE!$B$5&gt;=8),"350 -&gt; 361","")</f>
        <v/>
      </c>
      <c r="C2619" t="str">
        <f>FORSIDE!$C$3</f>
        <v>S355, Stål / VFHUP 140x140x8.0</v>
      </c>
    </row>
    <row r="2620" spans="1:3" x14ac:dyDescent="0.3">
      <c r="A2620" t="str">
        <f>IF(AND(FORSIDE!$B$8&gt;=11,FORSIDE!$F$8&gt;=1,FORSIDE!$B$5&gt;=9),"S2619","")</f>
        <v/>
      </c>
      <c r="B2620" t="str">
        <f>IF(AND(FORSIDE!$B$8&gt;=11,FORSIDE!$F$8&gt;=1,FORSIDE!$B$5&gt;=9),"351 -&gt; 362","")</f>
        <v/>
      </c>
      <c r="C2620" t="str">
        <f>FORSIDE!$C$3</f>
        <v>S355, Stål / VFHUP 140x140x8.0</v>
      </c>
    </row>
    <row r="2621" spans="1:3" x14ac:dyDescent="0.3">
      <c r="A2621" t="str">
        <f>IF(AND(FORSIDE!$B$8&gt;=11,FORSIDE!$F$8&gt;=1,FORSIDE!$B$5&gt;=10),"S2620","")</f>
        <v/>
      </c>
      <c r="B2621" t="str">
        <f>IF(AND(FORSIDE!$B$8&gt;=11,FORSIDE!$F$8&gt;=1,FORSIDE!$B$5&gt;=10),"352 -&gt; 363","")</f>
        <v/>
      </c>
      <c r="C2621" t="str">
        <f>FORSIDE!$C$3</f>
        <v>S355, Stål / VFHUP 140x140x8.0</v>
      </c>
    </row>
    <row r="2622" spans="1:3" x14ac:dyDescent="0.3">
      <c r="A2622" t="str">
        <f>IF(AND(FORSIDE!$B$8&gt;=12,FORSIDE!$F$8&gt;=1,FORSIDE!$B$5&gt;=1),"S2621","")</f>
        <v/>
      </c>
      <c r="B2622" t="str">
        <f>IF(AND(FORSIDE!$B$8&gt;=12,FORSIDE!$F$8&gt;=1,FORSIDE!$B$5&gt;=1),"354 -&gt; 365","")</f>
        <v/>
      </c>
      <c r="C2622" t="str">
        <f>FORSIDE!$C$3</f>
        <v>S355, Stål / VFHUP 140x140x8.0</v>
      </c>
    </row>
    <row r="2623" spans="1:3" x14ac:dyDescent="0.3">
      <c r="A2623" t="str">
        <f>IF(AND(FORSIDE!$B$8&gt;=12,FORSIDE!$F$8&gt;=1,FORSIDE!$B$5&gt;=2),"S2622","")</f>
        <v/>
      </c>
      <c r="B2623" t="str">
        <f>IF(AND(FORSIDE!$B$8&gt;=12,FORSIDE!$F$8&gt;=1,FORSIDE!$B$5&gt;=2),"355 -&gt; 366","")</f>
        <v/>
      </c>
      <c r="C2623" t="str">
        <f>FORSIDE!$C$3</f>
        <v>S355, Stål / VFHUP 140x140x8.0</v>
      </c>
    </row>
    <row r="2624" spans="1:3" x14ac:dyDescent="0.3">
      <c r="A2624" t="str">
        <f>IF(AND(FORSIDE!$B$8&gt;=12,FORSIDE!$F$8&gt;=1,FORSIDE!$B$5&gt;=3),"S2623","")</f>
        <v/>
      </c>
      <c r="B2624" t="str">
        <f>IF(AND(FORSIDE!$B$8&gt;=12,FORSIDE!$F$8&gt;=1,FORSIDE!$B$5&gt;=3),"356 -&gt; 367","")</f>
        <v/>
      </c>
      <c r="C2624" t="str">
        <f>FORSIDE!$C$3</f>
        <v>S355, Stål / VFHUP 140x140x8.0</v>
      </c>
    </row>
    <row r="2625" spans="1:3" x14ac:dyDescent="0.3">
      <c r="A2625" t="str">
        <f>IF(AND(FORSIDE!$B$8&gt;=12,FORSIDE!$F$8&gt;=1,FORSIDE!$B$5&gt;=4),"S2624","")</f>
        <v/>
      </c>
      <c r="B2625" t="str">
        <f>IF(AND(FORSIDE!$B$8&gt;=12,FORSIDE!$F$8&gt;=1,FORSIDE!$B$5&gt;=4),"357 -&gt; 368","")</f>
        <v/>
      </c>
      <c r="C2625" t="str">
        <f>FORSIDE!$C$3</f>
        <v>S355, Stål / VFHUP 140x140x8.0</v>
      </c>
    </row>
    <row r="2626" spans="1:3" x14ac:dyDescent="0.3">
      <c r="A2626" t="str">
        <f>IF(AND(FORSIDE!$B$8&gt;=12,FORSIDE!$F$8&gt;=1,FORSIDE!$B$5&gt;=5),"S2625","")</f>
        <v/>
      </c>
      <c r="B2626" t="str">
        <f>IF(AND(FORSIDE!$B$8&gt;=12,FORSIDE!$F$8&gt;=1,FORSIDE!$B$5&gt;=5),"358 -&gt; 369","")</f>
        <v/>
      </c>
      <c r="C2626" t="str">
        <f>FORSIDE!$C$3</f>
        <v>S355, Stål / VFHUP 140x140x8.0</v>
      </c>
    </row>
    <row r="2627" spans="1:3" x14ac:dyDescent="0.3">
      <c r="A2627" t="str">
        <f>IF(AND(FORSIDE!$B$8&gt;=12,FORSIDE!$F$8&gt;=1,FORSIDE!$B$5&gt;=6),"S2626","")</f>
        <v/>
      </c>
      <c r="B2627" t="str">
        <f>IF(AND(FORSIDE!$B$8&gt;=12,FORSIDE!$F$8&gt;=1,FORSIDE!$B$5&gt;=6),"359 -&gt; 370","")</f>
        <v/>
      </c>
      <c r="C2627" t="str">
        <f>FORSIDE!$C$3</f>
        <v>S355, Stål / VFHUP 140x140x8.0</v>
      </c>
    </row>
    <row r="2628" spans="1:3" x14ac:dyDescent="0.3">
      <c r="A2628" t="str">
        <f>IF(AND(FORSIDE!$B$8&gt;=12,FORSIDE!$F$8&gt;=1,FORSIDE!$B$5&gt;=7),"S2627","")</f>
        <v/>
      </c>
      <c r="B2628" t="str">
        <f>IF(AND(FORSIDE!$B$8&gt;=12,FORSIDE!$F$8&gt;=1,FORSIDE!$B$5&gt;=7),"360 -&gt; 371","")</f>
        <v/>
      </c>
      <c r="C2628" t="str">
        <f>FORSIDE!$C$3</f>
        <v>S355, Stål / VFHUP 140x140x8.0</v>
      </c>
    </row>
    <row r="2629" spans="1:3" x14ac:dyDescent="0.3">
      <c r="A2629" t="str">
        <f>IF(AND(FORSIDE!$B$8&gt;=12,FORSIDE!$F$8&gt;=1,FORSIDE!$B$5&gt;=8),"S2628","")</f>
        <v/>
      </c>
      <c r="B2629" t="str">
        <f>IF(AND(FORSIDE!$B$8&gt;=12,FORSIDE!$F$8&gt;=1,FORSIDE!$B$5&gt;=8),"361 -&gt; 372","")</f>
        <v/>
      </c>
      <c r="C2629" t="str">
        <f>FORSIDE!$C$3</f>
        <v>S355, Stål / VFHUP 140x140x8.0</v>
      </c>
    </row>
    <row r="2630" spans="1:3" x14ac:dyDescent="0.3">
      <c r="A2630" t="str">
        <f>IF(AND(FORSIDE!$B$8&gt;=12,FORSIDE!$F$8&gt;=1,FORSIDE!$B$5&gt;=9),"S2629","")</f>
        <v/>
      </c>
      <c r="B2630" t="str">
        <f>IF(AND(FORSIDE!$B$8&gt;=12,FORSIDE!$F$8&gt;=1,FORSIDE!$B$5&gt;=9),"362 -&gt; 373","")</f>
        <v/>
      </c>
      <c r="C2630" t="str">
        <f>FORSIDE!$C$3</f>
        <v>S355, Stål / VFHUP 140x140x8.0</v>
      </c>
    </row>
    <row r="2631" spans="1:3" x14ac:dyDescent="0.3">
      <c r="A2631" t="str">
        <f>IF(AND(FORSIDE!$B$8&gt;=12,FORSIDE!$F$8&gt;=1,FORSIDE!$B$5&gt;=10),"S2630","")</f>
        <v/>
      </c>
      <c r="B2631" t="str">
        <f>IF(AND(FORSIDE!$B$8&gt;=12,FORSIDE!$F$8&gt;=1,FORSIDE!$B$5&gt;=10),"363 -&gt; 374","")</f>
        <v/>
      </c>
      <c r="C2631" t="str">
        <f>FORSIDE!$C$3</f>
        <v>S355, Stål / VFHUP 140x140x8.0</v>
      </c>
    </row>
    <row r="2632" spans="1:3" x14ac:dyDescent="0.3">
      <c r="A2632" t="str">
        <f>IF(AND(FORSIDE!$B$8&gt;=13,FORSIDE!$F$8&gt;=1,FORSIDE!$B$5&gt;=1),"S2631","")</f>
        <v/>
      </c>
      <c r="B2632" t="str">
        <f>IF(AND(FORSIDE!$B$8&gt;=13,FORSIDE!$F$8&gt;=1,FORSIDE!$B$5&gt;=1),"365 -&gt; 376","")</f>
        <v/>
      </c>
      <c r="C2632" t="str">
        <f>FORSIDE!$C$3</f>
        <v>S355, Stål / VFHUP 140x140x8.0</v>
      </c>
    </row>
    <row r="2633" spans="1:3" x14ac:dyDescent="0.3">
      <c r="A2633" t="str">
        <f>IF(AND(FORSIDE!$B$8&gt;=13,FORSIDE!$F$8&gt;=1,FORSIDE!$B$5&gt;=2),"S2632","")</f>
        <v/>
      </c>
      <c r="B2633" t="str">
        <f>IF(AND(FORSIDE!$B$8&gt;=13,FORSIDE!$F$8&gt;=1,FORSIDE!$B$5&gt;=2),"366 -&gt; 377","")</f>
        <v/>
      </c>
      <c r="C2633" t="str">
        <f>FORSIDE!$C$3</f>
        <v>S355, Stål / VFHUP 140x140x8.0</v>
      </c>
    </row>
    <row r="2634" spans="1:3" x14ac:dyDescent="0.3">
      <c r="A2634" t="str">
        <f>IF(AND(FORSIDE!$B$8&gt;=13,FORSIDE!$F$8&gt;=1,FORSIDE!$B$5&gt;=3),"S2633","")</f>
        <v/>
      </c>
      <c r="B2634" t="str">
        <f>IF(AND(FORSIDE!$B$8&gt;=13,FORSIDE!$F$8&gt;=1,FORSIDE!$B$5&gt;=3),"367 -&gt; 378","")</f>
        <v/>
      </c>
      <c r="C2634" t="str">
        <f>FORSIDE!$C$3</f>
        <v>S355, Stål / VFHUP 140x140x8.0</v>
      </c>
    </row>
    <row r="2635" spans="1:3" x14ac:dyDescent="0.3">
      <c r="A2635" t="str">
        <f>IF(AND(FORSIDE!$B$8&gt;=13,FORSIDE!$F$8&gt;=1,FORSIDE!$B$5&gt;=4),"S2634","")</f>
        <v/>
      </c>
      <c r="B2635" t="str">
        <f>IF(AND(FORSIDE!$B$8&gt;=13,FORSIDE!$F$8&gt;=1,FORSIDE!$B$5&gt;=4),"368 -&gt; 379","")</f>
        <v/>
      </c>
      <c r="C2635" t="str">
        <f>FORSIDE!$C$3</f>
        <v>S355, Stål / VFHUP 140x140x8.0</v>
      </c>
    </row>
    <row r="2636" spans="1:3" x14ac:dyDescent="0.3">
      <c r="A2636" t="str">
        <f>IF(AND(FORSIDE!$B$8&gt;=13,FORSIDE!$F$8&gt;=1,FORSIDE!$B$5&gt;=5),"S2635","")</f>
        <v/>
      </c>
      <c r="B2636" t="str">
        <f>IF(AND(FORSIDE!$B$8&gt;=13,FORSIDE!$F$8&gt;=1,FORSIDE!$B$5&gt;=5),"369 -&gt; 380","")</f>
        <v/>
      </c>
      <c r="C2636" t="str">
        <f>FORSIDE!$C$3</f>
        <v>S355, Stål / VFHUP 140x140x8.0</v>
      </c>
    </row>
    <row r="2637" spans="1:3" x14ac:dyDescent="0.3">
      <c r="A2637" t="str">
        <f>IF(AND(FORSIDE!$B$8&gt;=13,FORSIDE!$F$8&gt;=1,FORSIDE!$B$5&gt;=6),"S2636","")</f>
        <v/>
      </c>
      <c r="B2637" t="str">
        <f>IF(AND(FORSIDE!$B$8&gt;=13,FORSIDE!$F$8&gt;=1,FORSIDE!$B$5&gt;=6),"370 -&gt; 381","")</f>
        <v/>
      </c>
      <c r="C2637" t="str">
        <f>FORSIDE!$C$3</f>
        <v>S355, Stål / VFHUP 140x140x8.0</v>
      </c>
    </row>
    <row r="2638" spans="1:3" x14ac:dyDescent="0.3">
      <c r="A2638" t="str">
        <f>IF(AND(FORSIDE!$B$8&gt;=13,FORSIDE!$F$8&gt;=1,FORSIDE!$B$5&gt;=7),"S2637","")</f>
        <v/>
      </c>
      <c r="B2638" t="str">
        <f>IF(AND(FORSIDE!$B$8&gt;=13,FORSIDE!$F$8&gt;=1,FORSIDE!$B$5&gt;=7),"371 -&gt; 382","")</f>
        <v/>
      </c>
      <c r="C2638" t="str">
        <f>FORSIDE!$C$3</f>
        <v>S355, Stål / VFHUP 140x140x8.0</v>
      </c>
    </row>
    <row r="2639" spans="1:3" x14ac:dyDescent="0.3">
      <c r="A2639" t="str">
        <f>IF(AND(FORSIDE!$B$8&gt;=13,FORSIDE!$F$8&gt;=1,FORSIDE!$B$5&gt;=8),"S2638","")</f>
        <v/>
      </c>
      <c r="B2639" t="str">
        <f>IF(AND(FORSIDE!$B$8&gt;=13,FORSIDE!$F$8&gt;=1,FORSIDE!$B$5&gt;=8),"372 -&gt; 383","")</f>
        <v/>
      </c>
      <c r="C2639" t="str">
        <f>FORSIDE!$C$3</f>
        <v>S355, Stål / VFHUP 140x140x8.0</v>
      </c>
    </row>
    <row r="2640" spans="1:3" x14ac:dyDescent="0.3">
      <c r="A2640" t="str">
        <f>IF(AND(FORSIDE!$B$8&gt;=13,FORSIDE!$F$8&gt;=1,FORSIDE!$B$5&gt;=9),"S2639","")</f>
        <v/>
      </c>
      <c r="B2640" t="str">
        <f>IF(AND(FORSIDE!$B$8&gt;=13,FORSIDE!$F$8&gt;=1,FORSIDE!$B$5&gt;=9),"373 -&gt; 384","")</f>
        <v/>
      </c>
      <c r="C2640" t="str">
        <f>FORSIDE!$C$3</f>
        <v>S355, Stål / VFHUP 140x140x8.0</v>
      </c>
    </row>
    <row r="2641" spans="1:3" x14ac:dyDescent="0.3">
      <c r="A2641" t="str">
        <f>IF(AND(FORSIDE!$B$8&gt;=13,FORSIDE!$F$8&gt;=1,FORSIDE!$B$5&gt;=10),"S2640","")</f>
        <v/>
      </c>
      <c r="B2641" t="str">
        <f>IF(AND(FORSIDE!$B$8&gt;=13,FORSIDE!$F$8&gt;=1,FORSIDE!$B$5&gt;=10),"374 -&gt; 385","")</f>
        <v/>
      </c>
      <c r="C2641" t="str">
        <f>FORSIDE!$C$3</f>
        <v>S355, Stål / VFHUP 140x140x8.0</v>
      </c>
    </row>
    <row r="2642" spans="1:3" x14ac:dyDescent="0.3">
      <c r="A2642" t="str">
        <f>IF(AND(FORSIDE!$B$8&gt;=14,FORSIDE!$F$8&gt;=1,FORSIDE!$B$5&gt;=1),"S2641","")</f>
        <v/>
      </c>
      <c r="B2642" t="str">
        <f>IF(AND(FORSIDE!$B$8&gt;=14,FORSIDE!$F$8&gt;=1,FORSIDE!$B$5&gt;=1),"376 -&gt; 387","")</f>
        <v/>
      </c>
      <c r="C2642" t="str">
        <f>FORSIDE!$C$3</f>
        <v>S355, Stål / VFHUP 140x140x8.0</v>
      </c>
    </row>
    <row r="2643" spans="1:3" x14ac:dyDescent="0.3">
      <c r="A2643" t="str">
        <f>IF(AND(FORSIDE!$B$8&gt;=14,FORSIDE!$F$8&gt;=1,FORSIDE!$B$5&gt;=2),"S2642","")</f>
        <v/>
      </c>
      <c r="B2643" t="str">
        <f>IF(AND(FORSIDE!$B$8&gt;=14,FORSIDE!$F$8&gt;=1,FORSIDE!$B$5&gt;=2),"377 -&gt; 388","")</f>
        <v/>
      </c>
      <c r="C2643" t="str">
        <f>FORSIDE!$C$3</f>
        <v>S355, Stål / VFHUP 140x140x8.0</v>
      </c>
    </row>
    <row r="2644" spans="1:3" x14ac:dyDescent="0.3">
      <c r="A2644" t="str">
        <f>IF(AND(FORSIDE!$B$8&gt;=14,FORSIDE!$F$8&gt;=1,FORSIDE!$B$5&gt;=3),"S2643","")</f>
        <v/>
      </c>
      <c r="B2644" t="str">
        <f>IF(AND(FORSIDE!$B$8&gt;=14,FORSIDE!$F$8&gt;=1,FORSIDE!$B$5&gt;=3),"378 -&gt; 389","")</f>
        <v/>
      </c>
      <c r="C2644" t="str">
        <f>FORSIDE!$C$3</f>
        <v>S355, Stål / VFHUP 140x140x8.0</v>
      </c>
    </row>
    <row r="2645" spans="1:3" x14ac:dyDescent="0.3">
      <c r="A2645" t="str">
        <f>IF(AND(FORSIDE!$B$8&gt;=14,FORSIDE!$F$8&gt;=1,FORSIDE!$B$5&gt;=4),"S2644","")</f>
        <v/>
      </c>
      <c r="B2645" t="str">
        <f>IF(AND(FORSIDE!$B$8&gt;=14,FORSIDE!$F$8&gt;=1,FORSIDE!$B$5&gt;=4),"379 -&gt; 390","")</f>
        <v/>
      </c>
      <c r="C2645" t="str">
        <f>FORSIDE!$C$3</f>
        <v>S355, Stål / VFHUP 140x140x8.0</v>
      </c>
    </row>
    <row r="2646" spans="1:3" x14ac:dyDescent="0.3">
      <c r="A2646" t="str">
        <f>IF(AND(FORSIDE!$B$8&gt;=14,FORSIDE!$F$8&gt;=1,FORSIDE!$B$5&gt;=5),"S2645","")</f>
        <v/>
      </c>
      <c r="B2646" t="str">
        <f>IF(AND(FORSIDE!$B$8&gt;=14,FORSIDE!$F$8&gt;=1,FORSIDE!$B$5&gt;=5),"380 -&gt; 391","")</f>
        <v/>
      </c>
      <c r="C2646" t="str">
        <f>FORSIDE!$C$3</f>
        <v>S355, Stål / VFHUP 140x140x8.0</v>
      </c>
    </row>
    <row r="2647" spans="1:3" x14ac:dyDescent="0.3">
      <c r="A2647" t="str">
        <f>IF(AND(FORSIDE!$B$8&gt;=14,FORSIDE!$F$8&gt;=1,FORSIDE!$B$5&gt;=6),"S2646","")</f>
        <v/>
      </c>
      <c r="B2647" t="str">
        <f>IF(AND(FORSIDE!$B$8&gt;=14,FORSIDE!$F$8&gt;=1,FORSIDE!$B$5&gt;=6),"381 -&gt; 392","")</f>
        <v/>
      </c>
      <c r="C2647" t="str">
        <f>FORSIDE!$C$3</f>
        <v>S355, Stål / VFHUP 140x140x8.0</v>
      </c>
    </row>
    <row r="2648" spans="1:3" x14ac:dyDescent="0.3">
      <c r="A2648" t="str">
        <f>IF(AND(FORSIDE!$B$8&gt;=14,FORSIDE!$F$8&gt;=1,FORSIDE!$B$5&gt;=7),"S2647","")</f>
        <v/>
      </c>
      <c r="B2648" t="str">
        <f>IF(AND(FORSIDE!$B$8&gt;=14,FORSIDE!$F$8&gt;=1,FORSIDE!$B$5&gt;=7),"382 -&gt; 393","")</f>
        <v/>
      </c>
      <c r="C2648" t="str">
        <f>FORSIDE!$C$3</f>
        <v>S355, Stål / VFHUP 140x140x8.0</v>
      </c>
    </row>
    <row r="2649" spans="1:3" x14ac:dyDescent="0.3">
      <c r="A2649" t="str">
        <f>IF(AND(FORSIDE!$B$8&gt;=14,FORSIDE!$F$8&gt;=1,FORSIDE!$B$5&gt;=8),"S2648","")</f>
        <v/>
      </c>
      <c r="B2649" t="str">
        <f>IF(AND(FORSIDE!$B$8&gt;=14,FORSIDE!$F$8&gt;=1,FORSIDE!$B$5&gt;=8),"383 -&gt; 394","")</f>
        <v/>
      </c>
      <c r="C2649" t="str">
        <f>FORSIDE!$C$3</f>
        <v>S355, Stål / VFHUP 140x140x8.0</v>
      </c>
    </row>
    <row r="2650" spans="1:3" x14ac:dyDescent="0.3">
      <c r="A2650" t="str">
        <f>IF(AND(FORSIDE!$B$8&gt;=14,FORSIDE!$F$8&gt;=1,FORSIDE!$B$5&gt;=9),"S2649","")</f>
        <v/>
      </c>
      <c r="B2650" t="str">
        <f>IF(AND(FORSIDE!$B$8&gt;=14,FORSIDE!$F$8&gt;=1,FORSIDE!$B$5&gt;=9),"384 -&gt; 395","")</f>
        <v/>
      </c>
      <c r="C2650" t="str">
        <f>FORSIDE!$C$3</f>
        <v>S355, Stål / VFHUP 140x140x8.0</v>
      </c>
    </row>
    <row r="2651" spans="1:3" x14ac:dyDescent="0.3">
      <c r="A2651" t="str">
        <f>IF(AND(FORSIDE!$B$8&gt;=14,FORSIDE!$F$8&gt;=1,FORSIDE!$B$5&gt;=10),"S2650","")</f>
        <v/>
      </c>
      <c r="B2651" t="str">
        <f>IF(AND(FORSIDE!$B$8&gt;=14,FORSIDE!$F$8&gt;=1,FORSIDE!$B$5&gt;=10),"385 -&gt; 396","")</f>
        <v/>
      </c>
      <c r="C2651" t="str">
        <f>FORSIDE!$C$3</f>
        <v>S355, Stål / VFHUP 140x140x8.0</v>
      </c>
    </row>
    <row r="2652" spans="1:3" x14ac:dyDescent="0.3">
      <c r="A2652" t="str">
        <f>IF(AND(FORSIDE!$B$8&gt;=15,FORSIDE!$F$8&gt;=1,FORSIDE!$B$5&gt;=1),"S2651","")</f>
        <v/>
      </c>
      <c r="B2652" t="str">
        <f>IF(AND(FORSIDE!$B$8&gt;=15,FORSIDE!$F$8&gt;=1,FORSIDE!$B$5&gt;=1),"387 -&gt; 398","")</f>
        <v/>
      </c>
      <c r="C2652" t="str">
        <f>FORSIDE!$C$3</f>
        <v>S355, Stål / VFHUP 140x140x8.0</v>
      </c>
    </row>
    <row r="2653" spans="1:3" x14ac:dyDescent="0.3">
      <c r="A2653" t="str">
        <f>IF(AND(FORSIDE!$B$8&gt;=15,FORSIDE!$F$8&gt;=1,FORSIDE!$B$5&gt;=2),"S2652","")</f>
        <v/>
      </c>
      <c r="B2653" t="str">
        <f>IF(AND(FORSIDE!$B$8&gt;=15,FORSIDE!$F$8&gt;=1,FORSIDE!$B$5&gt;=2),"388 -&gt; 399","")</f>
        <v/>
      </c>
      <c r="C2653" t="str">
        <f>FORSIDE!$C$3</f>
        <v>S355, Stål / VFHUP 140x140x8.0</v>
      </c>
    </row>
    <row r="2654" spans="1:3" x14ac:dyDescent="0.3">
      <c r="A2654" t="str">
        <f>IF(AND(FORSIDE!$B$8&gt;=15,FORSIDE!$F$8&gt;=1,FORSIDE!$B$5&gt;=3),"S2653","")</f>
        <v/>
      </c>
      <c r="B2654" t="str">
        <f>IF(AND(FORSIDE!$B$8&gt;=15,FORSIDE!$F$8&gt;=1,FORSIDE!$B$5&gt;=3),"389 -&gt; 400","")</f>
        <v/>
      </c>
      <c r="C2654" t="str">
        <f>FORSIDE!$C$3</f>
        <v>S355, Stål / VFHUP 140x140x8.0</v>
      </c>
    </row>
    <row r="2655" spans="1:3" x14ac:dyDescent="0.3">
      <c r="A2655" t="str">
        <f>IF(AND(FORSIDE!$B$8&gt;=15,FORSIDE!$F$8&gt;=1,FORSIDE!$B$5&gt;=4),"S2654","")</f>
        <v/>
      </c>
      <c r="B2655" t="str">
        <f>IF(AND(FORSIDE!$B$8&gt;=15,FORSIDE!$F$8&gt;=1,FORSIDE!$B$5&gt;=4),"390 -&gt; 401","")</f>
        <v/>
      </c>
      <c r="C2655" t="str">
        <f>FORSIDE!$C$3</f>
        <v>S355, Stål / VFHUP 140x140x8.0</v>
      </c>
    </row>
    <row r="2656" spans="1:3" x14ac:dyDescent="0.3">
      <c r="A2656" t="str">
        <f>IF(AND(FORSIDE!$B$8&gt;=15,FORSIDE!$F$8&gt;=1,FORSIDE!$B$5&gt;=5),"S2655","")</f>
        <v/>
      </c>
      <c r="B2656" t="str">
        <f>IF(AND(FORSIDE!$B$8&gt;=15,FORSIDE!$F$8&gt;=1,FORSIDE!$B$5&gt;=5),"391 -&gt; 402","")</f>
        <v/>
      </c>
      <c r="C2656" t="str">
        <f>FORSIDE!$C$3</f>
        <v>S355, Stål / VFHUP 140x140x8.0</v>
      </c>
    </row>
    <row r="2657" spans="1:3" x14ac:dyDescent="0.3">
      <c r="A2657" t="str">
        <f>IF(AND(FORSIDE!$B$8&gt;=15,FORSIDE!$F$8&gt;=1,FORSIDE!$B$5&gt;=6),"S2656","")</f>
        <v/>
      </c>
      <c r="B2657" t="str">
        <f>IF(AND(FORSIDE!$B$8&gt;=15,FORSIDE!$F$8&gt;=1,FORSIDE!$B$5&gt;=6),"392 -&gt; 403","")</f>
        <v/>
      </c>
      <c r="C2657" t="str">
        <f>FORSIDE!$C$3</f>
        <v>S355, Stål / VFHUP 140x140x8.0</v>
      </c>
    </row>
    <row r="2658" spans="1:3" x14ac:dyDescent="0.3">
      <c r="A2658" t="str">
        <f>IF(AND(FORSIDE!$B$8&gt;=15,FORSIDE!$F$8&gt;=1,FORSIDE!$B$5&gt;=7),"S2657","")</f>
        <v/>
      </c>
      <c r="B2658" t="str">
        <f>IF(AND(FORSIDE!$B$8&gt;=15,FORSIDE!$F$8&gt;=1,FORSIDE!$B$5&gt;=7),"393 -&gt; 404","")</f>
        <v/>
      </c>
      <c r="C2658" t="str">
        <f>FORSIDE!$C$3</f>
        <v>S355, Stål / VFHUP 140x140x8.0</v>
      </c>
    </row>
    <row r="2659" spans="1:3" x14ac:dyDescent="0.3">
      <c r="A2659" t="str">
        <f>IF(AND(FORSIDE!$B$8&gt;=15,FORSIDE!$F$8&gt;=1,FORSIDE!$B$5&gt;=8),"S2658","")</f>
        <v/>
      </c>
      <c r="B2659" t="str">
        <f>IF(AND(FORSIDE!$B$8&gt;=15,FORSIDE!$F$8&gt;=1,FORSIDE!$B$5&gt;=8),"394 -&gt; 405","")</f>
        <v/>
      </c>
      <c r="C2659" t="str">
        <f>FORSIDE!$C$3</f>
        <v>S355, Stål / VFHUP 140x140x8.0</v>
      </c>
    </row>
    <row r="2660" spans="1:3" x14ac:dyDescent="0.3">
      <c r="A2660" t="str">
        <f>IF(AND(FORSIDE!$B$8&gt;=15,FORSIDE!$F$8&gt;=1,FORSIDE!$B$5&gt;=9),"S2659","")</f>
        <v/>
      </c>
      <c r="B2660" t="str">
        <f>IF(AND(FORSIDE!$B$8&gt;=15,FORSIDE!$F$8&gt;=1,FORSIDE!$B$5&gt;=9),"395 -&gt; 406","")</f>
        <v/>
      </c>
      <c r="C2660" t="str">
        <f>FORSIDE!$C$3</f>
        <v>S355, Stål / VFHUP 140x140x8.0</v>
      </c>
    </row>
    <row r="2661" spans="1:3" x14ac:dyDescent="0.3">
      <c r="A2661" t="str">
        <f>IF(AND(FORSIDE!$B$8&gt;=15,FORSIDE!$F$8&gt;=1,FORSIDE!$B$5&gt;=10),"S2660","")</f>
        <v/>
      </c>
      <c r="B2661" t="str">
        <f>IF(AND(FORSIDE!$B$8&gt;=15,FORSIDE!$F$8&gt;=1,FORSIDE!$B$5&gt;=10),"396 -&gt; 407","")</f>
        <v/>
      </c>
      <c r="C2661" t="str">
        <f>FORSIDE!$C$3</f>
        <v>S355, Stål / VFHUP 140x140x8.0</v>
      </c>
    </row>
    <row r="2662" spans="1:3" x14ac:dyDescent="0.3">
      <c r="A2662" t="str">
        <f>IF(AND(FORSIDE!$B$8&gt;=16,FORSIDE!$F$8&gt;=1,FORSIDE!$B$5&gt;=1),"S2661","")</f>
        <v/>
      </c>
      <c r="B2662" t="str">
        <f>IF(AND(FORSIDE!$B$8&gt;=16,FORSIDE!$F$8&gt;=1,FORSIDE!$B$5&gt;=1),"398 -&gt; 409","")</f>
        <v/>
      </c>
      <c r="C2662" t="str">
        <f>FORSIDE!$C$3</f>
        <v>S355, Stål / VFHUP 140x140x8.0</v>
      </c>
    </row>
    <row r="2663" spans="1:3" x14ac:dyDescent="0.3">
      <c r="A2663" t="str">
        <f>IF(AND(FORSIDE!$B$8&gt;=16,FORSIDE!$F$8&gt;=1,FORSIDE!$B$5&gt;=2),"S2662","")</f>
        <v/>
      </c>
      <c r="B2663" t="str">
        <f>IF(AND(FORSIDE!$B$8&gt;=16,FORSIDE!$F$8&gt;=1,FORSIDE!$B$5&gt;=2),"399 -&gt; 410","")</f>
        <v/>
      </c>
      <c r="C2663" t="str">
        <f>FORSIDE!$C$3</f>
        <v>S355, Stål / VFHUP 140x140x8.0</v>
      </c>
    </row>
    <row r="2664" spans="1:3" x14ac:dyDescent="0.3">
      <c r="A2664" t="str">
        <f>IF(AND(FORSIDE!$B$8&gt;=16,FORSIDE!$F$8&gt;=1,FORSIDE!$B$5&gt;=3),"S2663","")</f>
        <v/>
      </c>
      <c r="B2664" t="str">
        <f>IF(AND(FORSIDE!$B$8&gt;=16,FORSIDE!$F$8&gt;=1,FORSIDE!$B$5&gt;=3),"400 -&gt; 411","")</f>
        <v/>
      </c>
      <c r="C2664" t="str">
        <f>FORSIDE!$C$3</f>
        <v>S355, Stål / VFHUP 140x140x8.0</v>
      </c>
    </row>
    <row r="2665" spans="1:3" x14ac:dyDescent="0.3">
      <c r="A2665" t="str">
        <f>IF(AND(FORSIDE!$B$8&gt;=16,FORSIDE!$F$8&gt;=1,FORSIDE!$B$5&gt;=4),"S2664","")</f>
        <v/>
      </c>
      <c r="B2665" t="str">
        <f>IF(AND(FORSIDE!$B$8&gt;=16,FORSIDE!$F$8&gt;=1,FORSIDE!$B$5&gt;=4),"401 -&gt; 412","")</f>
        <v/>
      </c>
      <c r="C2665" t="str">
        <f>FORSIDE!$C$3</f>
        <v>S355, Stål / VFHUP 140x140x8.0</v>
      </c>
    </row>
    <row r="2666" spans="1:3" x14ac:dyDescent="0.3">
      <c r="A2666" t="str">
        <f>IF(AND(FORSIDE!$B$8&gt;=16,FORSIDE!$F$8&gt;=1,FORSIDE!$B$5&gt;=5),"S2665","")</f>
        <v/>
      </c>
      <c r="B2666" t="str">
        <f>IF(AND(FORSIDE!$B$8&gt;=16,FORSIDE!$F$8&gt;=1,FORSIDE!$B$5&gt;=5),"402 -&gt; 413","")</f>
        <v/>
      </c>
      <c r="C2666" t="str">
        <f>FORSIDE!$C$3</f>
        <v>S355, Stål / VFHUP 140x140x8.0</v>
      </c>
    </row>
    <row r="2667" spans="1:3" x14ac:dyDescent="0.3">
      <c r="A2667" t="str">
        <f>IF(AND(FORSIDE!$B$8&gt;=16,FORSIDE!$F$8&gt;=1,FORSIDE!$B$5&gt;=6),"S2666","")</f>
        <v/>
      </c>
      <c r="B2667" t="str">
        <f>IF(AND(FORSIDE!$B$8&gt;=16,FORSIDE!$F$8&gt;=1,FORSIDE!$B$5&gt;=6),"403 -&gt; 414","")</f>
        <v/>
      </c>
      <c r="C2667" t="str">
        <f>FORSIDE!$C$3</f>
        <v>S355, Stål / VFHUP 140x140x8.0</v>
      </c>
    </row>
    <row r="2668" spans="1:3" x14ac:dyDescent="0.3">
      <c r="A2668" t="str">
        <f>IF(AND(FORSIDE!$B$8&gt;=16,FORSIDE!$F$8&gt;=1,FORSIDE!$B$5&gt;=7),"S2667","")</f>
        <v/>
      </c>
      <c r="B2668" t="str">
        <f>IF(AND(FORSIDE!$B$8&gt;=16,FORSIDE!$F$8&gt;=1,FORSIDE!$B$5&gt;=7),"404 -&gt; 415","")</f>
        <v/>
      </c>
      <c r="C2668" t="str">
        <f>FORSIDE!$C$3</f>
        <v>S355, Stål / VFHUP 140x140x8.0</v>
      </c>
    </row>
    <row r="2669" spans="1:3" x14ac:dyDescent="0.3">
      <c r="A2669" t="str">
        <f>IF(AND(FORSIDE!$B$8&gt;=16,FORSIDE!$F$8&gt;=1,FORSIDE!$B$5&gt;=8),"S2668","")</f>
        <v/>
      </c>
      <c r="B2669" t="str">
        <f>IF(AND(FORSIDE!$B$8&gt;=16,FORSIDE!$F$8&gt;=1,FORSIDE!$B$5&gt;=8),"405 -&gt; 416","")</f>
        <v/>
      </c>
      <c r="C2669" t="str">
        <f>FORSIDE!$C$3</f>
        <v>S355, Stål / VFHUP 140x140x8.0</v>
      </c>
    </row>
    <row r="2670" spans="1:3" x14ac:dyDescent="0.3">
      <c r="A2670" t="str">
        <f>IF(AND(FORSIDE!$B$8&gt;=16,FORSIDE!$F$8&gt;=1,FORSIDE!$B$5&gt;=9),"S2669","")</f>
        <v/>
      </c>
      <c r="B2670" t="str">
        <f>IF(AND(FORSIDE!$B$8&gt;=16,FORSIDE!$F$8&gt;=1,FORSIDE!$B$5&gt;=9),"406 -&gt; 417","")</f>
        <v/>
      </c>
      <c r="C2670" t="str">
        <f>FORSIDE!$C$3</f>
        <v>S355, Stål / VFHUP 140x140x8.0</v>
      </c>
    </row>
    <row r="2671" spans="1:3" x14ac:dyDescent="0.3">
      <c r="A2671" t="str">
        <f>IF(AND(FORSIDE!$B$8&gt;=16,FORSIDE!$F$8&gt;=1,FORSIDE!$B$5&gt;=10),"S2670","")</f>
        <v/>
      </c>
      <c r="B2671" t="str">
        <f>IF(AND(FORSIDE!$B$8&gt;=16,FORSIDE!$F$8&gt;=1,FORSIDE!$B$5&gt;=10),"407 -&gt; 418","")</f>
        <v/>
      </c>
      <c r="C2671" t="str">
        <f>FORSIDE!$C$3</f>
        <v>S355, Stål / VFHUP 140x140x8.0</v>
      </c>
    </row>
    <row r="2672" spans="1:3" x14ac:dyDescent="0.3">
      <c r="A2672" t="str">
        <f>IF(AND(FORSIDE!$B$8&gt;=17,FORSIDE!$F$8&gt;=1,FORSIDE!$B$5&gt;=1),"S2671","")</f>
        <v/>
      </c>
      <c r="B2672" t="str">
        <f>IF(AND(FORSIDE!$B$8&gt;=17,FORSIDE!$F$8&gt;=1,FORSIDE!$B$5&gt;=1),"409 -&gt; 420","")</f>
        <v/>
      </c>
      <c r="C2672" t="str">
        <f>FORSIDE!$C$3</f>
        <v>S355, Stål / VFHUP 140x140x8.0</v>
      </c>
    </row>
    <row r="2673" spans="1:3" x14ac:dyDescent="0.3">
      <c r="A2673" t="str">
        <f>IF(AND(FORSIDE!$B$8&gt;=17,FORSIDE!$F$8&gt;=1,FORSIDE!$B$5&gt;=2),"S2672","")</f>
        <v/>
      </c>
      <c r="B2673" t="str">
        <f>IF(AND(FORSIDE!$B$8&gt;=17,FORSIDE!$F$8&gt;=1,FORSIDE!$B$5&gt;=2),"410 -&gt; 421","")</f>
        <v/>
      </c>
      <c r="C2673" t="str">
        <f>FORSIDE!$C$3</f>
        <v>S355, Stål / VFHUP 140x140x8.0</v>
      </c>
    </row>
    <row r="2674" spans="1:3" x14ac:dyDescent="0.3">
      <c r="A2674" t="str">
        <f>IF(AND(FORSIDE!$B$8&gt;=17,FORSIDE!$F$8&gt;=1,FORSIDE!$B$5&gt;=3),"S2673","")</f>
        <v/>
      </c>
      <c r="B2674" t="str">
        <f>IF(AND(FORSIDE!$B$8&gt;=17,FORSIDE!$F$8&gt;=1,FORSIDE!$B$5&gt;=3),"411 -&gt; 422","")</f>
        <v/>
      </c>
      <c r="C2674" t="str">
        <f>FORSIDE!$C$3</f>
        <v>S355, Stål / VFHUP 140x140x8.0</v>
      </c>
    </row>
    <row r="2675" spans="1:3" x14ac:dyDescent="0.3">
      <c r="A2675" t="str">
        <f>IF(AND(FORSIDE!$B$8&gt;=17,FORSIDE!$F$8&gt;=1,FORSIDE!$B$5&gt;=4),"S2674","")</f>
        <v/>
      </c>
      <c r="B2675" t="str">
        <f>IF(AND(FORSIDE!$B$8&gt;=17,FORSIDE!$F$8&gt;=1,FORSIDE!$B$5&gt;=4),"412 -&gt; 423","")</f>
        <v/>
      </c>
      <c r="C2675" t="str">
        <f>FORSIDE!$C$3</f>
        <v>S355, Stål / VFHUP 140x140x8.0</v>
      </c>
    </row>
    <row r="2676" spans="1:3" x14ac:dyDescent="0.3">
      <c r="A2676" t="str">
        <f>IF(AND(FORSIDE!$B$8&gt;=17,FORSIDE!$F$8&gt;=1,FORSIDE!$B$5&gt;=5),"S2675","")</f>
        <v/>
      </c>
      <c r="B2676" t="str">
        <f>IF(AND(FORSIDE!$B$8&gt;=17,FORSIDE!$F$8&gt;=1,FORSIDE!$B$5&gt;=5),"413 -&gt; 424","")</f>
        <v/>
      </c>
      <c r="C2676" t="str">
        <f>FORSIDE!$C$3</f>
        <v>S355, Stål / VFHUP 140x140x8.0</v>
      </c>
    </row>
    <row r="2677" spans="1:3" x14ac:dyDescent="0.3">
      <c r="A2677" t="str">
        <f>IF(AND(FORSIDE!$B$8&gt;=17,FORSIDE!$F$8&gt;=1,FORSIDE!$B$5&gt;=6),"S2676","")</f>
        <v/>
      </c>
      <c r="B2677" t="str">
        <f>IF(AND(FORSIDE!$B$8&gt;=17,FORSIDE!$F$8&gt;=1,FORSIDE!$B$5&gt;=6),"414 -&gt; 425","")</f>
        <v/>
      </c>
      <c r="C2677" t="str">
        <f>FORSIDE!$C$3</f>
        <v>S355, Stål / VFHUP 140x140x8.0</v>
      </c>
    </row>
    <row r="2678" spans="1:3" x14ac:dyDescent="0.3">
      <c r="A2678" t="str">
        <f>IF(AND(FORSIDE!$B$8&gt;=17,FORSIDE!$F$8&gt;=1,FORSIDE!$B$5&gt;=7),"S2677","")</f>
        <v/>
      </c>
      <c r="B2678" t="str">
        <f>IF(AND(FORSIDE!$B$8&gt;=17,FORSIDE!$F$8&gt;=1,FORSIDE!$B$5&gt;=7),"415 -&gt; 426","")</f>
        <v/>
      </c>
      <c r="C2678" t="str">
        <f>FORSIDE!$C$3</f>
        <v>S355, Stål / VFHUP 140x140x8.0</v>
      </c>
    </row>
    <row r="2679" spans="1:3" x14ac:dyDescent="0.3">
      <c r="A2679" t="str">
        <f>IF(AND(FORSIDE!$B$8&gt;=17,FORSIDE!$F$8&gt;=1,FORSIDE!$B$5&gt;=8),"S2678","")</f>
        <v/>
      </c>
      <c r="B2679" t="str">
        <f>IF(AND(FORSIDE!$B$8&gt;=17,FORSIDE!$F$8&gt;=1,FORSIDE!$B$5&gt;=8),"416 -&gt; 427","")</f>
        <v/>
      </c>
      <c r="C2679" t="str">
        <f>FORSIDE!$C$3</f>
        <v>S355, Stål / VFHUP 140x140x8.0</v>
      </c>
    </row>
    <row r="2680" spans="1:3" x14ac:dyDescent="0.3">
      <c r="A2680" t="str">
        <f>IF(AND(FORSIDE!$B$8&gt;=17,FORSIDE!$F$8&gt;=1,FORSIDE!$B$5&gt;=9),"S2679","")</f>
        <v/>
      </c>
      <c r="B2680" t="str">
        <f>IF(AND(FORSIDE!$B$8&gt;=17,FORSIDE!$F$8&gt;=1,FORSIDE!$B$5&gt;=9),"417 -&gt; 428","")</f>
        <v/>
      </c>
      <c r="C2680" t="str">
        <f>FORSIDE!$C$3</f>
        <v>S355, Stål / VFHUP 140x140x8.0</v>
      </c>
    </row>
    <row r="2681" spans="1:3" x14ac:dyDescent="0.3">
      <c r="A2681" t="str">
        <f>IF(AND(FORSIDE!$B$8&gt;=17,FORSIDE!$F$8&gt;=1,FORSIDE!$B$5&gt;=10),"S2680","")</f>
        <v/>
      </c>
      <c r="B2681" t="str">
        <f>IF(AND(FORSIDE!$B$8&gt;=17,FORSIDE!$F$8&gt;=1,FORSIDE!$B$5&gt;=10),"418 -&gt; 429","")</f>
        <v/>
      </c>
      <c r="C2681" t="str">
        <f>FORSIDE!$C$3</f>
        <v>S355, Stål / VFHUP 140x140x8.0</v>
      </c>
    </row>
    <row r="2682" spans="1:3" x14ac:dyDescent="0.3">
      <c r="A2682" t="str">
        <f>IF(AND(FORSIDE!$B$8&gt;=18,FORSIDE!$F$8&gt;=1,FORSIDE!$B$5&gt;=1),"S2681","")</f>
        <v/>
      </c>
      <c r="B2682" t="str">
        <f>IF(AND(FORSIDE!$B$8&gt;=18,FORSIDE!$F$8&gt;=1,FORSIDE!$B$5&gt;=1),"420 -&gt; 431","")</f>
        <v/>
      </c>
      <c r="C2682" t="str">
        <f>FORSIDE!$C$3</f>
        <v>S355, Stål / VFHUP 140x140x8.0</v>
      </c>
    </row>
    <row r="2683" spans="1:3" x14ac:dyDescent="0.3">
      <c r="A2683" t="str">
        <f>IF(AND(FORSIDE!$B$8&gt;=18,FORSIDE!$F$8&gt;=1,FORSIDE!$B$5&gt;=2),"S2682","")</f>
        <v/>
      </c>
      <c r="B2683" t="str">
        <f>IF(AND(FORSIDE!$B$8&gt;=18,FORSIDE!$F$8&gt;=1,FORSIDE!$B$5&gt;=2),"421 -&gt; 432","")</f>
        <v/>
      </c>
      <c r="C2683" t="str">
        <f>FORSIDE!$C$3</f>
        <v>S355, Stål / VFHUP 140x140x8.0</v>
      </c>
    </row>
    <row r="2684" spans="1:3" x14ac:dyDescent="0.3">
      <c r="A2684" t="str">
        <f>IF(AND(FORSIDE!$B$8&gt;=18,FORSIDE!$F$8&gt;=1,FORSIDE!$B$5&gt;=3),"S2683","")</f>
        <v/>
      </c>
      <c r="B2684" t="str">
        <f>IF(AND(FORSIDE!$B$8&gt;=18,FORSIDE!$F$8&gt;=1,FORSIDE!$B$5&gt;=3),"422 -&gt; 433","")</f>
        <v/>
      </c>
      <c r="C2684" t="str">
        <f>FORSIDE!$C$3</f>
        <v>S355, Stål / VFHUP 140x140x8.0</v>
      </c>
    </row>
    <row r="2685" spans="1:3" x14ac:dyDescent="0.3">
      <c r="A2685" t="str">
        <f>IF(AND(FORSIDE!$B$8&gt;=18,FORSIDE!$F$8&gt;=1,FORSIDE!$B$5&gt;=4),"S2684","")</f>
        <v/>
      </c>
      <c r="B2685" t="str">
        <f>IF(AND(FORSIDE!$B$8&gt;=18,FORSIDE!$F$8&gt;=1,FORSIDE!$B$5&gt;=4),"423 -&gt; 434","")</f>
        <v/>
      </c>
      <c r="C2685" t="str">
        <f>FORSIDE!$C$3</f>
        <v>S355, Stål / VFHUP 140x140x8.0</v>
      </c>
    </row>
    <row r="2686" spans="1:3" x14ac:dyDescent="0.3">
      <c r="A2686" t="str">
        <f>IF(AND(FORSIDE!$B$8&gt;=18,FORSIDE!$F$8&gt;=1,FORSIDE!$B$5&gt;=5),"S2685","")</f>
        <v/>
      </c>
      <c r="B2686" t="str">
        <f>IF(AND(FORSIDE!$B$8&gt;=18,FORSIDE!$F$8&gt;=1,FORSIDE!$B$5&gt;=5),"424 -&gt; 435","")</f>
        <v/>
      </c>
      <c r="C2686" t="str">
        <f>FORSIDE!$C$3</f>
        <v>S355, Stål / VFHUP 140x140x8.0</v>
      </c>
    </row>
    <row r="2687" spans="1:3" x14ac:dyDescent="0.3">
      <c r="A2687" t="str">
        <f>IF(AND(FORSIDE!$B$8&gt;=18,FORSIDE!$F$8&gt;=1,FORSIDE!$B$5&gt;=6),"S2686","")</f>
        <v/>
      </c>
      <c r="B2687" t="str">
        <f>IF(AND(FORSIDE!$B$8&gt;=18,FORSIDE!$F$8&gt;=1,FORSIDE!$B$5&gt;=6),"425 -&gt; 436","")</f>
        <v/>
      </c>
      <c r="C2687" t="str">
        <f>FORSIDE!$C$3</f>
        <v>S355, Stål / VFHUP 140x140x8.0</v>
      </c>
    </row>
    <row r="2688" spans="1:3" x14ac:dyDescent="0.3">
      <c r="A2688" t="str">
        <f>IF(AND(FORSIDE!$B$8&gt;=18,FORSIDE!$F$8&gt;=1,FORSIDE!$B$5&gt;=7),"S2687","")</f>
        <v/>
      </c>
      <c r="B2688" t="str">
        <f>IF(AND(FORSIDE!$B$8&gt;=18,FORSIDE!$F$8&gt;=1,FORSIDE!$B$5&gt;=7),"426 -&gt; 437","")</f>
        <v/>
      </c>
      <c r="C2688" t="str">
        <f>FORSIDE!$C$3</f>
        <v>S355, Stål / VFHUP 140x140x8.0</v>
      </c>
    </row>
    <row r="2689" spans="1:3" x14ac:dyDescent="0.3">
      <c r="A2689" t="str">
        <f>IF(AND(FORSIDE!$B$8&gt;=18,FORSIDE!$F$8&gt;=1,FORSIDE!$B$5&gt;=8),"S2688","")</f>
        <v/>
      </c>
      <c r="B2689" t="str">
        <f>IF(AND(FORSIDE!$B$8&gt;=18,FORSIDE!$F$8&gt;=1,FORSIDE!$B$5&gt;=8),"427 -&gt; 438","")</f>
        <v/>
      </c>
      <c r="C2689" t="str">
        <f>FORSIDE!$C$3</f>
        <v>S355, Stål / VFHUP 140x140x8.0</v>
      </c>
    </row>
    <row r="2690" spans="1:3" x14ac:dyDescent="0.3">
      <c r="A2690" t="str">
        <f>IF(AND(FORSIDE!$B$8&gt;=18,FORSIDE!$F$8&gt;=1,FORSIDE!$B$5&gt;=9),"S2689","")</f>
        <v/>
      </c>
      <c r="B2690" t="str">
        <f>IF(AND(FORSIDE!$B$8&gt;=18,FORSIDE!$F$8&gt;=1,FORSIDE!$B$5&gt;=9),"428 -&gt; 439","")</f>
        <v/>
      </c>
      <c r="C2690" t="str">
        <f>FORSIDE!$C$3</f>
        <v>S355, Stål / VFHUP 140x140x8.0</v>
      </c>
    </row>
    <row r="2691" spans="1:3" x14ac:dyDescent="0.3">
      <c r="A2691" t="str">
        <f>IF(AND(FORSIDE!$B$8&gt;=18,FORSIDE!$F$8&gt;=1,FORSIDE!$B$5&gt;=10),"S2690","")</f>
        <v/>
      </c>
      <c r="B2691" t="str">
        <f>IF(AND(FORSIDE!$B$8&gt;=18,FORSIDE!$F$8&gt;=1,FORSIDE!$B$5&gt;=10),"429 -&gt; 440","")</f>
        <v/>
      </c>
      <c r="C2691" t="str">
        <f>FORSIDE!$C$3</f>
        <v>S355, Stål / VFHUP 140x140x8.0</v>
      </c>
    </row>
    <row r="2692" spans="1:3" x14ac:dyDescent="0.3">
      <c r="A2692" t="str">
        <f>IF(AND(FORSIDE!$B$8&gt;=19,FORSIDE!$F$8&gt;=1,FORSIDE!$B$5&gt;=1),"S2691","")</f>
        <v/>
      </c>
      <c r="B2692" t="str">
        <f>IF(AND(FORSIDE!$B$8&gt;=19,FORSIDE!$F$8&gt;=1,FORSIDE!$B$5&gt;=1),"431 -&gt; 442","")</f>
        <v/>
      </c>
      <c r="C2692" t="str">
        <f>FORSIDE!$C$3</f>
        <v>S355, Stål / VFHUP 140x140x8.0</v>
      </c>
    </row>
    <row r="2693" spans="1:3" x14ac:dyDescent="0.3">
      <c r="A2693" t="str">
        <f>IF(AND(FORSIDE!$B$8&gt;=19,FORSIDE!$F$8&gt;=1,FORSIDE!$B$5&gt;=2),"S2692","")</f>
        <v/>
      </c>
      <c r="B2693" t="str">
        <f>IF(AND(FORSIDE!$B$8&gt;=19,FORSIDE!$F$8&gt;=1,FORSIDE!$B$5&gt;=2),"432 -&gt; 443","")</f>
        <v/>
      </c>
      <c r="C2693" t="str">
        <f>FORSIDE!$C$3</f>
        <v>S355, Stål / VFHUP 140x140x8.0</v>
      </c>
    </row>
    <row r="2694" spans="1:3" x14ac:dyDescent="0.3">
      <c r="A2694" t="str">
        <f>IF(AND(FORSIDE!$B$8&gt;=19,FORSIDE!$F$8&gt;=1,FORSIDE!$B$5&gt;=3),"S2693","")</f>
        <v/>
      </c>
      <c r="B2694" t="str">
        <f>IF(AND(FORSIDE!$B$8&gt;=19,FORSIDE!$F$8&gt;=1,FORSIDE!$B$5&gt;=3),"433 -&gt; 444","")</f>
        <v/>
      </c>
      <c r="C2694" t="str">
        <f>FORSIDE!$C$3</f>
        <v>S355, Stål / VFHUP 140x140x8.0</v>
      </c>
    </row>
    <row r="2695" spans="1:3" x14ac:dyDescent="0.3">
      <c r="A2695" t="str">
        <f>IF(AND(FORSIDE!$B$8&gt;=19,FORSIDE!$F$8&gt;=1,FORSIDE!$B$5&gt;=4),"S2694","")</f>
        <v/>
      </c>
      <c r="B2695" t="str">
        <f>IF(AND(FORSIDE!$B$8&gt;=19,FORSIDE!$F$8&gt;=1,FORSIDE!$B$5&gt;=4),"434 -&gt; 445","")</f>
        <v/>
      </c>
      <c r="C2695" t="str">
        <f>FORSIDE!$C$3</f>
        <v>S355, Stål / VFHUP 140x140x8.0</v>
      </c>
    </row>
    <row r="2696" spans="1:3" x14ac:dyDescent="0.3">
      <c r="A2696" t="str">
        <f>IF(AND(FORSIDE!$B$8&gt;=19,FORSIDE!$F$8&gt;=1,FORSIDE!$B$5&gt;=5),"S2695","")</f>
        <v/>
      </c>
      <c r="B2696" t="str">
        <f>IF(AND(FORSIDE!$B$8&gt;=19,FORSIDE!$F$8&gt;=1,FORSIDE!$B$5&gt;=5),"435 -&gt; 446","")</f>
        <v/>
      </c>
      <c r="C2696" t="str">
        <f>FORSIDE!$C$3</f>
        <v>S355, Stål / VFHUP 140x140x8.0</v>
      </c>
    </row>
    <row r="2697" spans="1:3" x14ac:dyDescent="0.3">
      <c r="A2697" t="str">
        <f>IF(AND(FORSIDE!$B$8&gt;=19,FORSIDE!$F$8&gt;=1,FORSIDE!$B$5&gt;=6),"S2696","")</f>
        <v/>
      </c>
      <c r="B2697" t="str">
        <f>IF(AND(FORSIDE!$B$8&gt;=19,FORSIDE!$F$8&gt;=1,FORSIDE!$B$5&gt;=6),"436 -&gt; 447","")</f>
        <v/>
      </c>
      <c r="C2697" t="str">
        <f>FORSIDE!$C$3</f>
        <v>S355, Stål / VFHUP 140x140x8.0</v>
      </c>
    </row>
    <row r="2698" spans="1:3" x14ac:dyDescent="0.3">
      <c r="A2698" t="str">
        <f>IF(AND(FORSIDE!$B$8&gt;=19,FORSIDE!$F$8&gt;=1,FORSIDE!$B$5&gt;=7),"S2697","")</f>
        <v/>
      </c>
      <c r="B2698" t="str">
        <f>IF(AND(FORSIDE!$B$8&gt;=19,FORSIDE!$F$8&gt;=1,FORSIDE!$B$5&gt;=7),"437 -&gt; 448","")</f>
        <v/>
      </c>
      <c r="C2698" t="str">
        <f>FORSIDE!$C$3</f>
        <v>S355, Stål / VFHUP 140x140x8.0</v>
      </c>
    </row>
    <row r="2699" spans="1:3" x14ac:dyDescent="0.3">
      <c r="A2699" t="str">
        <f>IF(AND(FORSIDE!$B$8&gt;=19,FORSIDE!$F$8&gt;=1,FORSIDE!$B$5&gt;=8),"S2698","")</f>
        <v/>
      </c>
      <c r="B2699" t="str">
        <f>IF(AND(FORSIDE!$B$8&gt;=19,FORSIDE!$F$8&gt;=1,FORSIDE!$B$5&gt;=8),"438 -&gt; 449","")</f>
        <v/>
      </c>
      <c r="C2699" t="str">
        <f>FORSIDE!$C$3</f>
        <v>S355, Stål / VFHUP 140x140x8.0</v>
      </c>
    </row>
    <row r="2700" spans="1:3" x14ac:dyDescent="0.3">
      <c r="A2700" t="str">
        <f>IF(AND(FORSIDE!$B$8&gt;=19,FORSIDE!$F$8&gt;=1,FORSIDE!$B$5&gt;=9),"S2699","")</f>
        <v/>
      </c>
      <c r="B2700" t="str">
        <f>IF(AND(FORSIDE!$B$8&gt;=19,FORSIDE!$F$8&gt;=1,FORSIDE!$B$5&gt;=9),"439 -&gt; 450","")</f>
        <v/>
      </c>
      <c r="C2700" t="str">
        <f>FORSIDE!$C$3</f>
        <v>S355, Stål / VFHUP 140x140x8.0</v>
      </c>
    </row>
    <row r="2701" spans="1:3" x14ac:dyDescent="0.3">
      <c r="A2701" t="str">
        <f>IF(AND(FORSIDE!$B$8&gt;=19,FORSIDE!$F$8&gt;=1,FORSIDE!$B$5&gt;=10),"S2700","")</f>
        <v/>
      </c>
      <c r="B2701" t="str">
        <f>IF(AND(FORSIDE!$B$8&gt;=19,FORSIDE!$F$8&gt;=1,FORSIDE!$B$5&gt;=10),"440 -&gt; 451","")</f>
        <v/>
      </c>
      <c r="C2701" t="str">
        <f>FORSIDE!$C$3</f>
        <v>S355, Stål / VFHUP 140x140x8.0</v>
      </c>
    </row>
    <row r="2702" spans="1:3" x14ac:dyDescent="0.3">
      <c r="A2702" t="str">
        <f>IF(AND(FORSIDE!$B$8&gt;=20,FORSIDE!$F$8&gt;=1,FORSIDE!$B$5&gt;=1),"S2701","")</f>
        <v/>
      </c>
      <c r="B2702" t="str">
        <f>IF(AND(FORSIDE!$B$8&gt;=20,FORSIDE!$F$8&gt;=1,FORSIDE!$B$5&gt;=1),"442 -&gt; 453","")</f>
        <v/>
      </c>
      <c r="C2702" t="str">
        <f>FORSIDE!$C$3</f>
        <v>S355, Stål / VFHUP 140x140x8.0</v>
      </c>
    </row>
    <row r="2703" spans="1:3" x14ac:dyDescent="0.3">
      <c r="A2703" t="str">
        <f>IF(AND(FORSIDE!$B$8&gt;=20,FORSIDE!$F$8&gt;=1,FORSIDE!$B$5&gt;=2),"S2702","")</f>
        <v/>
      </c>
      <c r="B2703" t="str">
        <f>IF(AND(FORSIDE!$B$8&gt;=20,FORSIDE!$F$8&gt;=1,FORSIDE!$B$5&gt;=2),"443 -&gt; 454","")</f>
        <v/>
      </c>
      <c r="C2703" t="str">
        <f>FORSIDE!$C$3</f>
        <v>S355, Stål / VFHUP 140x140x8.0</v>
      </c>
    </row>
    <row r="2704" spans="1:3" x14ac:dyDescent="0.3">
      <c r="A2704" t="str">
        <f>IF(AND(FORSIDE!$B$8&gt;=20,FORSIDE!$F$8&gt;=1,FORSIDE!$B$5&gt;=3),"S2703","")</f>
        <v/>
      </c>
      <c r="B2704" t="str">
        <f>IF(AND(FORSIDE!$B$8&gt;=20,FORSIDE!$F$8&gt;=1,FORSIDE!$B$5&gt;=3),"444 -&gt; 455","")</f>
        <v/>
      </c>
      <c r="C2704" t="str">
        <f>FORSIDE!$C$3</f>
        <v>S355, Stål / VFHUP 140x140x8.0</v>
      </c>
    </row>
    <row r="2705" spans="1:3" x14ac:dyDescent="0.3">
      <c r="A2705" t="str">
        <f>IF(AND(FORSIDE!$B$8&gt;=20,FORSIDE!$F$8&gt;=1,FORSIDE!$B$5&gt;=4),"S2704","")</f>
        <v/>
      </c>
      <c r="B2705" t="str">
        <f>IF(AND(FORSIDE!$B$8&gt;=20,FORSIDE!$F$8&gt;=1,FORSIDE!$B$5&gt;=4),"445 -&gt; 456","")</f>
        <v/>
      </c>
      <c r="C2705" t="str">
        <f>FORSIDE!$C$3</f>
        <v>S355, Stål / VFHUP 140x140x8.0</v>
      </c>
    </row>
    <row r="2706" spans="1:3" x14ac:dyDescent="0.3">
      <c r="A2706" t="str">
        <f>IF(AND(FORSIDE!$B$8&gt;=20,FORSIDE!$F$8&gt;=1,FORSIDE!$B$5&gt;=5),"S2705","")</f>
        <v/>
      </c>
      <c r="B2706" t="str">
        <f>IF(AND(FORSIDE!$B$8&gt;=20,FORSIDE!$F$8&gt;=1,FORSIDE!$B$5&gt;=5),"446 -&gt; 457","")</f>
        <v/>
      </c>
      <c r="C2706" t="str">
        <f>FORSIDE!$C$3</f>
        <v>S355, Stål / VFHUP 140x140x8.0</v>
      </c>
    </row>
    <row r="2707" spans="1:3" x14ac:dyDescent="0.3">
      <c r="A2707" t="str">
        <f>IF(AND(FORSIDE!$B$8&gt;=20,FORSIDE!$F$8&gt;=1,FORSIDE!$B$5&gt;=6),"S2706","")</f>
        <v/>
      </c>
      <c r="B2707" t="str">
        <f>IF(AND(FORSIDE!$B$8&gt;=20,FORSIDE!$F$8&gt;=1,FORSIDE!$B$5&gt;=6),"447 -&gt; 458","")</f>
        <v/>
      </c>
      <c r="C2707" t="str">
        <f>FORSIDE!$C$3</f>
        <v>S355, Stål / VFHUP 140x140x8.0</v>
      </c>
    </row>
    <row r="2708" spans="1:3" x14ac:dyDescent="0.3">
      <c r="A2708" t="str">
        <f>IF(AND(FORSIDE!$B$8&gt;=20,FORSIDE!$F$8&gt;=1,FORSIDE!$B$5&gt;=7),"S2707","")</f>
        <v/>
      </c>
      <c r="B2708" t="str">
        <f>IF(AND(FORSIDE!$B$8&gt;=20,FORSIDE!$F$8&gt;=1,FORSIDE!$B$5&gt;=7),"448 -&gt; 459","")</f>
        <v/>
      </c>
      <c r="C2708" t="str">
        <f>FORSIDE!$C$3</f>
        <v>S355, Stål / VFHUP 140x140x8.0</v>
      </c>
    </row>
    <row r="2709" spans="1:3" x14ac:dyDescent="0.3">
      <c r="A2709" t="str">
        <f>IF(AND(FORSIDE!$B$8&gt;=20,FORSIDE!$F$8&gt;=1,FORSIDE!$B$5&gt;=8),"S2708","")</f>
        <v/>
      </c>
      <c r="B2709" t="str">
        <f>IF(AND(FORSIDE!$B$8&gt;=20,FORSIDE!$F$8&gt;=1,FORSIDE!$B$5&gt;=8),"449 -&gt; 460","")</f>
        <v/>
      </c>
      <c r="C2709" t="str">
        <f>FORSIDE!$C$3</f>
        <v>S355, Stål / VFHUP 140x140x8.0</v>
      </c>
    </row>
    <row r="2710" spans="1:3" x14ac:dyDescent="0.3">
      <c r="A2710" t="str">
        <f>IF(AND(FORSIDE!$B$8&gt;=20,FORSIDE!$F$8&gt;=1,FORSIDE!$B$5&gt;=9),"S2709","")</f>
        <v/>
      </c>
      <c r="B2710" t="str">
        <f>IF(AND(FORSIDE!$B$8&gt;=20,FORSIDE!$F$8&gt;=1,FORSIDE!$B$5&gt;=9),"450 -&gt; 461","")</f>
        <v/>
      </c>
      <c r="C2710" t="str">
        <f>FORSIDE!$C$3</f>
        <v>S355, Stål / VFHUP 140x140x8.0</v>
      </c>
    </row>
    <row r="2711" spans="1:3" x14ac:dyDescent="0.3">
      <c r="A2711" t="str">
        <f>IF(AND(FORSIDE!$B$8&gt;=20,FORSIDE!$F$8&gt;=1,FORSIDE!$B$5&gt;=10),"S2710","")</f>
        <v/>
      </c>
      <c r="B2711" t="str">
        <f>IF(AND(FORSIDE!$B$8&gt;=20,FORSIDE!$F$8&gt;=1,FORSIDE!$B$5&gt;=10),"451 -&gt; 462","")</f>
        <v/>
      </c>
      <c r="C2711" t="str">
        <f>FORSIDE!$C$3</f>
        <v>S355, Stål / VFHUP 140x140x8.0</v>
      </c>
    </row>
    <row r="2712" spans="1:3" x14ac:dyDescent="0.3">
      <c r="A2712" t="str">
        <f>IF(AND(FORSIDE!$B$8&gt;=1,FORSIDE!$F$8&gt;=2,FORSIDE!$B$5&gt;=1),"S2711","")</f>
        <v>S2711</v>
      </c>
      <c r="B2712" t="str">
        <f>IF(AND(FORSIDE!$B$8&gt;=1,FORSIDE!$F$8&gt;=2,FORSIDE!$B$5&gt;=1),"464 -&gt; 475","")</f>
        <v>464 -&gt; 475</v>
      </c>
      <c r="C2712" t="str">
        <f>FORSIDE!$C$3</f>
        <v>S355, Stål / VFHUP 140x140x8.0</v>
      </c>
    </row>
    <row r="2713" spans="1:3" x14ac:dyDescent="0.3">
      <c r="A2713" t="str">
        <f>IF(AND(FORSIDE!$B$8&gt;=1,FORSIDE!$F$8&gt;=2,FORSIDE!$B$5&gt;=2),"S2712","")</f>
        <v>S2712</v>
      </c>
      <c r="B2713" t="str">
        <f>IF(AND(FORSIDE!$B$8&gt;=1,FORSIDE!$F$8&gt;=2,FORSIDE!$B$5&gt;=2),"465 -&gt; 476","")</f>
        <v>465 -&gt; 476</v>
      </c>
      <c r="C2713" t="str">
        <f>FORSIDE!$C$3</f>
        <v>S355, Stål / VFHUP 140x140x8.0</v>
      </c>
    </row>
    <row r="2714" spans="1:3" x14ac:dyDescent="0.3">
      <c r="A2714" t="str">
        <f>IF(AND(FORSIDE!$B$8&gt;=1,FORSIDE!$F$8&gt;=2,FORSIDE!$B$5&gt;=3),"S2713","")</f>
        <v>S2713</v>
      </c>
      <c r="B2714" t="str">
        <f>IF(AND(FORSIDE!$B$8&gt;=1,FORSIDE!$F$8&gt;=2,FORSIDE!$B$5&gt;=3),"466 -&gt; 477","")</f>
        <v>466 -&gt; 477</v>
      </c>
      <c r="C2714" t="str">
        <f>FORSIDE!$C$3</f>
        <v>S355, Stål / VFHUP 140x140x8.0</v>
      </c>
    </row>
    <row r="2715" spans="1:3" x14ac:dyDescent="0.3">
      <c r="A2715" t="str">
        <f>IF(AND(FORSIDE!$B$8&gt;=1,FORSIDE!$F$8&gt;=2,FORSIDE!$B$5&gt;=4),"S2714","")</f>
        <v>S2714</v>
      </c>
      <c r="B2715" t="str">
        <f>IF(AND(FORSIDE!$B$8&gt;=1,FORSIDE!$F$8&gt;=2,FORSIDE!$B$5&gt;=4),"467 -&gt; 478","")</f>
        <v>467 -&gt; 478</v>
      </c>
      <c r="C2715" t="str">
        <f>FORSIDE!$C$3</f>
        <v>S355, Stål / VFHUP 140x140x8.0</v>
      </c>
    </row>
    <row r="2716" spans="1:3" x14ac:dyDescent="0.3">
      <c r="A2716" t="str">
        <f>IF(AND(FORSIDE!$B$8&gt;=1,FORSIDE!$F$8&gt;=2,FORSIDE!$B$5&gt;=5),"S2715","")</f>
        <v>S2715</v>
      </c>
      <c r="B2716" t="str">
        <f>IF(AND(FORSIDE!$B$8&gt;=1,FORSIDE!$F$8&gt;=2,FORSIDE!$B$5&gt;=5),"468 -&gt; 479","")</f>
        <v>468 -&gt; 479</v>
      </c>
      <c r="C2716" t="str">
        <f>FORSIDE!$C$3</f>
        <v>S355, Stål / VFHUP 140x140x8.0</v>
      </c>
    </row>
    <row r="2717" spans="1:3" x14ac:dyDescent="0.3">
      <c r="A2717" t="str">
        <f>IF(AND(FORSIDE!$B$8&gt;=1,FORSIDE!$F$8&gt;=2,FORSIDE!$B$5&gt;=6),"S2716","")</f>
        <v>S2716</v>
      </c>
      <c r="B2717" t="str">
        <f>IF(AND(FORSIDE!$B$8&gt;=1,FORSIDE!$F$8&gt;=2,FORSIDE!$B$5&gt;=6),"469 -&gt; 480","")</f>
        <v>469 -&gt; 480</v>
      </c>
      <c r="C2717" t="str">
        <f>FORSIDE!$C$3</f>
        <v>S355, Stål / VFHUP 140x140x8.0</v>
      </c>
    </row>
    <row r="2718" spans="1:3" x14ac:dyDescent="0.3">
      <c r="A2718" t="str">
        <f>IF(AND(FORSIDE!$B$8&gt;=1,FORSIDE!$F$8&gt;=2,FORSIDE!$B$5&gt;=7),"S2717","")</f>
        <v/>
      </c>
      <c r="B2718" t="str">
        <f>IF(AND(FORSIDE!$B$8&gt;=1,FORSIDE!$F$8&gt;=2,FORSIDE!$B$5&gt;=7),"470 -&gt; 481","")</f>
        <v/>
      </c>
      <c r="C2718" t="str">
        <f>FORSIDE!$C$3</f>
        <v>S355, Stål / VFHUP 140x140x8.0</v>
      </c>
    </row>
    <row r="2719" spans="1:3" x14ac:dyDescent="0.3">
      <c r="A2719" t="str">
        <f>IF(AND(FORSIDE!$B$8&gt;=1,FORSIDE!$F$8&gt;=2,FORSIDE!$B$5&gt;=8),"S2718","")</f>
        <v/>
      </c>
      <c r="B2719" t="str">
        <f>IF(AND(FORSIDE!$B$8&gt;=1,FORSIDE!$F$8&gt;=2,FORSIDE!$B$5&gt;=8),"471 -&gt; 482","")</f>
        <v/>
      </c>
      <c r="C2719" t="str">
        <f>FORSIDE!$C$3</f>
        <v>S355, Stål / VFHUP 140x140x8.0</v>
      </c>
    </row>
    <row r="2720" spans="1:3" x14ac:dyDescent="0.3">
      <c r="A2720" t="str">
        <f>IF(AND(FORSIDE!$B$8&gt;=1,FORSIDE!$F$8&gt;=2,FORSIDE!$B$5&gt;=9),"S2719","")</f>
        <v/>
      </c>
      <c r="B2720" t="str">
        <f>IF(AND(FORSIDE!$B$8&gt;=1,FORSIDE!$F$8&gt;=2,FORSIDE!$B$5&gt;=9),"472 -&gt; 483","")</f>
        <v/>
      </c>
      <c r="C2720" t="str">
        <f>FORSIDE!$C$3</f>
        <v>S355, Stål / VFHUP 140x140x8.0</v>
      </c>
    </row>
    <row r="2721" spans="1:3" x14ac:dyDescent="0.3">
      <c r="A2721" t="str">
        <f>IF(AND(FORSIDE!$B$8&gt;=1,FORSIDE!$F$8&gt;=2,FORSIDE!$B$5&gt;=10),"S2720","")</f>
        <v/>
      </c>
      <c r="B2721" t="str">
        <f>IF(AND(FORSIDE!$B$8&gt;=1,FORSIDE!$F$8&gt;=2,FORSIDE!$B$5&gt;=10),"473 -&gt; 484","")</f>
        <v/>
      </c>
      <c r="C2721" t="str">
        <f>FORSIDE!$C$3</f>
        <v>S355, Stål / VFHUP 140x140x8.0</v>
      </c>
    </row>
    <row r="2722" spans="1:3" x14ac:dyDescent="0.3">
      <c r="A2722" t="str">
        <f>IF(AND(FORSIDE!$B$8&gt;=2,FORSIDE!$F$8&gt;=2,FORSIDE!$B$5&gt;=1),"S2721","")</f>
        <v>S2721</v>
      </c>
      <c r="B2722" t="str">
        <f>IF(AND(FORSIDE!$B$8&gt;=2,FORSIDE!$F$8&gt;=2,FORSIDE!$B$5&gt;=1),"475 -&gt; 486","")</f>
        <v>475 -&gt; 486</v>
      </c>
      <c r="C2722" t="str">
        <f>FORSIDE!$C$3</f>
        <v>S355, Stål / VFHUP 140x140x8.0</v>
      </c>
    </row>
    <row r="2723" spans="1:3" x14ac:dyDescent="0.3">
      <c r="A2723" t="str">
        <f>IF(AND(FORSIDE!$B$8&gt;=2,FORSIDE!$F$8&gt;=2,FORSIDE!$B$5&gt;=2),"S2722","")</f>
        <v>S2722</v>
      </c>
      <c r="B2723" t="str">
        <f>IF(AND(FORSIDE!$B$8&gt;=2,FORSIDE!$F$8&gt;=2,FORSIDE!$B$5&gt;=2),"476 -&gt; 487","")</f>
        <v>476 -&gt; 487</v>
      </c>
      <c r="C2723" t="str">
        <f>FORSIDE!$C$3</f>
        <v>S355, Stål / VFHUP 140x140x8.0</v>
      </c>
    </row>
    <row r="2724" spans="1:3" x14ac:dyDescent="0.3">
      <c r="A2724" t="str">
        <f>IF(AND(FORSIDE!$B$8&gt;=2,FORSIDE!$F$8&gt;=2,FORSIDE!$B$5&gt;=3),"S2723","")</f>
        <v>S2723</v>
      </c>
      <c r="B2724" t="str">
        <f>IF(AND(FORSIDE!$B$8&gt;=2,FORSIDE!$F$8&gt;=2,FORSIDE!$B$5&gt;=3),"477 -&gt; 488","")</f>
        <v>477 -&gt; 488</v>
      </c>
      <c r="C2724" t="str">
        <f>FORSIDE!$C$3</f>
        <v>S355, Stål / VFHUP 140x140x8.0</v>
      </c>
    </row>
    <row r="2725" spans="1:3" x14ac:dyDescent="0.3">
      <c r="A2725" t="str">
        <f>IF(AND(FORSIDE!$B$8&gt;=2,FORSIDE!$F$8&gt;=2,FORSIDE!$B$5&gt;=4),"S2724","")</f>
        <v>S2724</v>
      </c>
      <c r="B2725" t="str">
        <f>IF(AND(FORSIDE!$B$8&gt;=2,FORSIDE!$F$8&gt;=2,FORSIDE!$B$5&gt;=4),"478 -&gt; 489","")</f>
        <v>478 -&gt; 489</v>
      </c>
      <c r="C2725" t="str">
        <f>FORSIDE!$C$3</f>
        <v>S355, Stål / VFHUP 140x140x8.0</v>
      </c>
    </row>
    <row r="2726" spans="1:3" x14ac:dyDescent="0.3">
      <c r="A2726" t="str">
        <f>IF(AND(FORSIDE!$B$8&gt;=2,FORSIDE!$F$8&gt;=2,FORSIDE!$B$5&gt;=5),"S2725","")</f>
        <v>S2725</v>
      </c>
      <c r="B2726" t="str">
        <f>IF(AND(FORSIDE!$B$8&gt;=2,FORSIDE!$F$8&gt;=2,FORSIDE!$B$5&gt;=5),"479 -&gt; 490","")</f>
        <v>479 -&gt; 490</v>
      </c>
      <c r="C2726" t="str">
        <f>FORSIDE!$C$3</f>
        <v>S355, Stål / VFHUP 140x140x8.0</v>
      </c>
    </row>
    <row r="2727" spans="1:3" x14ac:dyDescent="0.3">
      <c r="A2727" t="str">
        <f>IF(AND(FORSIDE!$B$8&gt;=2,FORSIDE!$F$8&gt;=2,FORSIDE!$B$5&gt;=6),"S2726","")</f>
        <v>S2726</v>
      </c>
      <c r="B2727" t="str">
        <f>IF(AND(FORSIDE!$B$8&gt;=2,FORSIDE!$F$8&gt;=2,FORSIDE!$B$5&gt;=6),"480 -&gt; 491","")</f>
        <v>480 -&gt; 491</v>
      </c>
      <c r="C2727" t="str">
        <f>FORSIDE!$C$3</f>
        <v>S355, Stål / VFHUP 140x140x8.0</v>
      </c>
    </row>
    <row r="2728" spans="1:3" x14ac:dyDescent="0.3">
      <c r="A2728" t="str">
        <f>IF(AND(FORSIDE!$B$8&gt;=2,FORSIDE!$F$8&gt;=2,FORSIDE!$B$5&gt;=7),"S2727","")</f>
        <v/>
      </c>
      <c r="B2728" t="str">
        <f>IF(AND(FORSIDE!$B$8&gt;=2,FORSIDE!$F$8&gt;=2,FORSIDE!$B$5&gt;=7),"481 -&gt; 492","")</f>
        <v/>
      </c>
      <c r="C2728" t="str">
        <f>FORSIDE!$C$3</f>
        <v>S355, Stål / VFHUP 140x140x8.0</v>
      </c>
    </row>
    <row r="2729" spans="1:3" x14ac:dyDescent="0.3">
      <c r="A2729" t="str">
        <f>IF(AND(FORSIDE!$B$8&gt;=2,FORSIDE!$F$8&gt;=2,FORSIDE!$B$5&gt;=8),"S2728","")</f>
        <v/>
      </c>
      <c r="B2729" t="str">
        <f>IF(AND(FORSIDE!$B$8&gt;=2,FORSIDE!$F$8&gt;=2,FORSIDE!$B$5&gt;=8),"482 -&gt; 493","")</f>
        <v/>
      </c>
      <c r="C2729" t="str">
        <f>FORSIDE!$C$3</f>
        <v>S355, Stål / VFHUP 140x140x8.0</v>
      </c>
    </row>
    <row r="2730" spans="1:3" x14ac:dyDescent="0.3">
      <c r="A2730" t="str">
        <f>IF(AND(FORSIDE!$B$8&gt;=2,FORSIDE!$F$8&gt;=2,FORSIDE!$B$5&gt;=9),"S2729","")</f>
        <v/>
      </c>
      <c r="B2730" t="str">
        <f>IF(AND(FORSIDE!$B$8&gt;=2,FORSIDE!$F$8&gt;=2,FORSIDE!$B$5&gt;=9),"483 -&gt; 494","")</f>
        <v/>
      </c>
      <c r="C2730" t="str">
        <f>FORSIDE!$C$3</f>
        <v>S355, Stål / VFHUP 140x140x8.0</v>
      </c>
    </row>
    <row r="2731" spans="1:3" x14ac:dyDescent="0.3">
      <c r="A2731" t="str">
        <f>IF(AND(FORSIDE!$B$8&gt;=2,FORSIDE!$F$8&gt;=2,FORSIDE!$B$5&gt;=10),"S2730","")</f>
        <v/>
      </c>
      <c r="B2731" t="str">
        <f>IF(AND(FORSIDE!$B$8&gt;=2,FORSIDE!$F$8&gt;=2,FORSIDE!$B$5&gt;=10),"484 -&gt; 495","")</f>
        <v/>
      </c>
      <c r="C2731" t="str">
        <f>FORSIDE!$C$3</f>
        <v>S355, Stål / VFHUP 140x140x8.0</v>
      </c>
    </row>
    <row r="2732" spans="1:3" x14ac:dyDescent="0.3">
      <c r="A2732" t="str">
        <f>IF(AND(FORSIDE!$B$8&gt;=3,FORSIDE!$F$8&gt;=2,FORSIDE!$B$5&gt;=1),"S2731","")</f>
        <v>S2731</v>
      </c>
      <c r="B2732" t="str">
        <f>IF(AND(FORSIDE!$B$8&gt;=3,FORSIDE!$F$8&gt;=2,FORSIDE!$B$5&gt;=1),"486 -&gt; 497","")</f>
        <v>486 -&gt; 497</v>
      </c>
      <c r="C2732" t="str">
        <f>FORSIDE!$C$3</f>
        <v>S355, Stål / VFHUP 140x140x8.0</v>
      </c>
    </row>
    <row r="2733" spans="1:3" x14ac:dyDescent="0.3">
      <c r="A2733" t="str">
        <f>IF(AND(FORSIDE!$B$8&gt;=3,FORSIDE!$F$8&gt;=2,FORSIDE!$B$5&gt;=2),"S2732","")</f>
        <v>S2732</v>
      </c>
      <c r="B2733" t="str">
        <f>IF(AND(FORSIDE!$B$8&gt;=3,FORSIDE!$F$8&gt;=2,FORSIDE!$B$5&gt;=2),"487 -&gt; 498","")</f>
        <v>487 -&gt; 498</v>
      </c>
      <c r="C2733" t="str">
        <f>FORSIDE!$C$3</f>
        <v>S355, Stål / VFHUP 140x140x8.0</v>
      </c>
    </row>
    <row r="2734" spans="1:3" x14ac:dyDescent="0.3">
      <c r="A2734" t="str">
        <f>IF(AND(FORSIDE!$B$8&gt;=3,FORSIDE!$F$8&gt;=2,FORSIDE!$B$5&gt;=3),"S2733","")</f>
        <v>S2733</v>
      </c>
      <c r="B2734" t="str">
        <f>IF(AND(FORSIDE!$B$8&gt;=3,FORSIDE!$F$8&gt;=2,FORSIDE!$B$5&gt;=3),"488 -&gt; 499","")</f>
        <v>488 -&gt; 499</v>
      </c>
      <c r="C2734" t="str">
        <f>FORSIDE!$C$3</f>
        <v>S355, Stål / VFHUP 140x140x8.0</v>
      </c>
    </row>
    <row r="2735" spans="1:3" x14ac:dyDescent="0.3">
      <c r="A2735" t="str">
        <f>IF(AND(FORSIDE!$B$8&gt;=3,FORSIDE!$F$8&gt;=2,FORSIDE!$B$5&gt;=4),"S2734","")</f>
        <v>S2734</v>
      </c>
      <c r="B2735" t="str">
        <f>IF(AND(FORSIDE!$B$8&gt;=3,FORSIDE!$F$8&gt;=2,FORSIDE!$B$5&gt;=4),"489 -&gt; 500","")</f>
        <v>489 -&gt; 500</v>
      </c>
      <c r="C2735" t="str">
        <f>FORSIDE!$C$3</f>
        <v>S355, Stål / VFHUP 140x140x8.0</v>
      </c>
    </row>
    <row r="2736" spans="1:3" x14ac:dyDescent="0.3">
      <c r="A2736" t="str">
        <f>IF(AND(FORSIDE!$B$8&gt;=3,FORSIDE!$F$8&gt;=2,FORSIDE!$B$5&gt;=5),"S2735","")</f>
        <v>S2735</v>
      </c>
      <c r="B2736" t="str">
        <f>IF(AND(FORSIDE!$B$8&gt;=3,FORSIDE!$F$8&gt;=2,FORSIDE!$B$5&gt;=5),"490 -&gt; 501","")</f>
        <v>490 -&gt; 501</v>
      </c>
      <c r="C2736" t="str">
        <f>FORSIDE!$C$3</f>
        <v>S355, Stål / VFHUP 140x140x8.0</v>
      </c>
    </row>
    <row r="2737" spans="1:3" x14ac:dyDescent="0.3">
      <c r="A2737" t="str">
        <f>IF(AND(FORSIDE!$B$8&gt;=3,FORSIDE!$F$8&gt;=2,FORSIDE!$B$5&gt;=6),"S2736","")</f>
        <v>S2736</v>
      </c>
      <c r="B2737" t="str">
        <f>IF(AND(FORSIDE!$B$8&gt;=3,FORSIDE!$F$8&gt;=2,FORSIDE!$B$5&gt;=6),"491 -&gt; 502","")</f>
        <v>491 -&gt; 502</v>
      </c>
      <c r="C2737" t="str">
        <f>FORSIDE!$C$3</f>
        <v>S355, Stål / VFHUP 140x140x8.0</v>
      </c>
    </row>
    <row r="2738" spans="1:3" x14ac:dyDescent="0.3">
      <c r="A2738" t="str">
        <f>IF(AND(FORSIDE!$B$8&gt;=3,FORSIDE!$F$8&gt;=2,FORSIDE!$B$5&gt;=7),"S2737","")</f>
        <v/>
      </c>
      <c r="B2738" t="str">
        <f>IF(AND(FORSIDE!$B$8&gt;=3,FORSIDE!$F$8&gt;=2,FORSIDE!$B$5&gt;=7),"492 -&gt; 503","")</f>
        <v/>
      </c>
      <c r="C2738" t="str">
        <f>FORSIDE!$C$3</f>
        <v>S355, Stål / VFHUP 140x140x8.0</v>
      </c>
    </row>
    <row r="2739" spans="1:3" x14ac:dyDescent="0.3">
      <c r="A2739" t="str">
        <f>IF(AND(FORSIDE!$B$8&gt;=3,FORSIDE!$F$8&gt;=2,FORSIDE!$B$5&gt;=8),"S2738","")</f>
        <v/>
      </c>
      <c r="B2739" t="str">
        <f>IF(AND(FORSIDE!$B$8&gt;=3,FORSIDE!$F$8&gt;=2,FORSIDE!$B$5&gt;=8),"493 -&gt; 504","")</f>
        <v/>
      </c>
      <c r="C2739" t="str">
        <f>FORSIDE!$C$3</f>
        <v>S355, Stål / VFHUP 140x140x8.0</v>
      </c>
    </row>
    <row r="2740" spans="1:3" x14ac:dyDescent="0.3">
      <c r="A2740" t="str">
        <f>IF(AND(FORSIDE!$B$8&gt;=3,FORSIDE!$F$8&gt;=2,FORSIDE!$B$5&gt;=9),"S2739","")</f>
        <v/>
      </c>
      <c r="B2740" t="str">
        <f>IF(AND(FORSIDE!$B$8&gt;=3,FORSIDE!$F$8&gt;=2,FORSIDE!$B$5&gt;=9),"494 -&gt; 505","")</f>
        <v/>
      </c>
      <c r="C2740" t="str">
        <f>FORSIDE!$C$3</f>
        <v>S355, Stål / VFHUP 140x140x8.0</v>
      </c>
    </row>
    <row r="2741" spans="1:3" x14ac:dyDescent="0.3">
      <c r="A2741" t="str">
        <f>IF(AND(FORSIDE!$B$8&gt;=3,FORSIDE!$F$8&gt;=2,FORSIDE!$B$5&gt;=10),"S2740","")</f>
        <v/>
      </c>
      <c r="B2741" t="str">
        <f>IF(AND(FORSIDE!$B$8&gt;=3,FORSIDE!$F$8&gt;=2,FORSIDE!$B$5&gt;=10),"495 -&gt; 506","")</f>
        <v/>
      </c>
      <c r="C2741" t="str">
        <f>FORSIDE!$C$3</f>
        <v>S355, Stål / VFHUP 140x140x8.0</v>
      </c>
    </row>
    <row r="2742" spans="1:3" x14ac:dyDescent="0.3">
      <c r="A2742" t="str">
        <f>IF(AND(FORSIDE!$B$8&gt;=4,FORSIDE!$F$8&gt;=2,FORSIDE!$B$5&gt;=1),"S2741","")</f>
        <v>S2741</v>
      </c>
      <c r="B2742" t="str">
        <f>IF(AND(FORSIDE!$B$8&gt;=4,FORSIDE!$F$8&gt;=2,FORSIDE!$B$5&gt;=1),"497 -&gt; 508","")</f>
        <v>497 -&gt; 508</v>
      </c>
      <c r="C2742" t="str">
        <f>FORSIDE!$C$3</f>
        <v>S355, Stål / VFHUP 140x140x8.0</v>
      </c>
    </row>
    <row r="2743" spans="1:3" x14ac:dyDescent="0.3">
      <c r="A2743" t="str">
        <f>IF(AND(FORSIDE!$B$8&gt;=4,FORSIDE!$F$8&gt;=2,FORSIDE!$B$5&gt;=2),"S2742","")</f>
        <v>S2742</v>
      </c>
      <c r="B2743" t="str">
        <f>IF(AND(FORSIDE!$B$8&gt;=4,FORSIDE!$F$8&gt;=2,FORSIDE!$B$5&gt;=2),"498 -&gt; 509","")</f>
        <v>498 -&gt; 509</v>
      </c>
      <c r="C2743" t="str">
        <f>FORSIDE!$C$3</f>
        <v>S355, Stål / VFHUP 140x140x8.0</v>
      </c>
    </row>
    <row r="2744" spans="1:3" x14ac:dyDescent="0.3">
      <c r="A2744" t="str">
        <f>IF(AND(FORSIDE!$B$8&gt;=4,FORSIDE!$F$8&gt;=2,FORSIDE!$B$5&gt;=3),"S2743","")</f>
        <v>S2743</v>
      </c>
      <c r="B2744" t="str">
        <f>IF(AND(FORSIDE!$B$8&gt;=4,FORSIDE!$F$8&gt;=2,FORSIDE!$B$5&gt;=3),"499 -&gt; 510","")</f>
        <v>499 -&gt; 510</v>
      </c>
      <c r="C2744" t="str">
        <f>FORSIDE!$C$3</f>
        <v>S355, Stål / VFHUP 140x140x8.0</v>
      </c>
    </row>
    <row r="2745" spans="1:3" x14ac:dyDescent="0.3">
      <c r="A2745" t="str">
        <f>IF(AND(FORSIDE!$B$8&gt;=4,FORSIDE!$F$8&gt;=2,FORSIDE!$B$5&gt;=4),"S2744","")</f>
        <v>S2744</v>
      </c>
      <c r="B2745" t="str">
        <f>IF(AND(FORSIDE!$B$8&gt;=4,FORSIDE!$F$8&gt;=2,FORSIDE!$B$5&gt;=4),"500 -&gt; 511","")</f>
        <v>500 -&gt; 511</v>
      </c>
      <c r="C2745" t="str">
        <f>FORSIDE!$C$3</f>
        <v>S355, Stål / VFHUP 140x140x8.0</v>
      </c>
    </row>
    <row r="2746" spans="1:3" x14ac:dyDescent="0.3">
      <c r="A2746" t="str">
        <f>IF(AND(FORSIDE!$B$8&gt;=4,FORSIDE!$F$8&gt;=2,FORSIDE!$B$5&gt;=5),"S2745","")</f>
        <v>S2745</v>
      </c>
      <c r="B2746" t="str">
        <f>IF(AND(FORSIDE!$B$8&gt;=4,FORSIDE!$F$8&gt;=2,FORSIDE!$B$5&gt;=5),"501 -&gt; 512","")</f>
        <v>501 -&gt; 512</v>
      </c>
      <c r="C2746" t="str">
        <f>FORSIDE!$C$3</f>
        <v>S355, Stål / VFHUP 140x140x8.0</v>
      </c>
    </row>
    <row r="2747" spans="1:3" x14ac:dyDescent="0.3">
      <c r="A2747" t="str">
        <f>IF(AND(FORSIDE!$B$8&gt;=4,FORSIDE!$F$8&gt;=2,FORSIDE!$B$5&gt;=6),"S2746","")</f>
        <v>S2746</v>
      </c>
      <c r="B2747" t="str">
        <f>IF(AND(FORSIDE!$B$8&gt;=4,FORSIDE!$F$8&gt;=2,FORSIDE!$B$5&gt;=6),"502 -&gt; 513","")</f>
        <v>502 -&gt; 513</v>
      </c>
      <c r="C2747" t="str">
        <f>FORSIDE!$C$3</f>
        <v>S355, Stål / VFHUP 140x140x8.0</v>
      </c>
    </row>
    <row r="2748" spans="1:3" x14ac:dyDescent="0.3">
      <c r="A2748" t="str">
        <f>IF(AND(FORSIDE!$B$8&gt;=4,FORSIDE!$F$8&gt;=2,FORSIDE!$B$5&gt;=7),"S2747","")</f>
        <v/>
      </c>
      <c r="B2748" t="str">
        <f>IF(AND(FORSIDE!$B$8&gt;=4,FORSIDE!$F$8&gt;=2,FORSIDE!$B$5&gt;=7),"503 -&gt; 514","")</f>
        <v/>
      </c>
      <c r="C2748" t="str">
        <f>FORSIDE!$C$3</f>
        <v>S355, Stål / VFHUP 140x140x8.0</v>
      </c>
    </row>
    <row r="2749" spans="1:3" x14ac:dyDescent="0.3">
      <c r="A2749" t="str">
        <f>IF(AND(FORSIDE!$B$8&gt;=4,FORSIDE!$F$8&gt;=2,FORSIDE!$B$5&gt;=8),"S2748","")</f>
        <v/>
      </c>
      <c r="B2749" t="str">
        <f>IF(AND(FORSIDE!$B$8&gt;=4,FORSIDE!$F$8&gt;=2,FORSIDE!$B$5&gt;=8),"504 -&gt; 515","")</f>
        <v/>
      </c>
      <c r="C2749" t="str">
        <f>FORSIDE!$C$3</f>
        <v>S355, Stål / VFHUP 140x140x8.0</v>
      </c>
    </row>
    <row r="2750" spans="1:3" x14ac:dyDescent="0.3">
      <c r="A2750" t="str">
        <f>IF(AND(FORSIDE!$B$8&gt;=4,FORSIDE!$F$8&gt;=2,FORSIDE!$B$5&gt;=9),"S2749","")</f>
        <v/>
      </c>
      <c r="B2750" t="str">
        <f>IF(AND(FORSIDE!$B$8&gt;=4,FORSIDE!$F$8&gt;=2,FORSIDE!$B$5&gt;=9),"505 -&gt; 516","")</f>
        <v/>
      </c>
      <c r="C2750" t="str">
        <f>FORSIDE!$C$3</f>
        <v>S355, Stål / VFHUP 140x140x8.0</v>
      </c>
    </row>
    <row r="2751" spans="1:3" x14ac:dyDescent="0.3">
      <c r="A2751" t="str">
        <f>IF(AND(FORSIDE!$B$8&gt;=4,FORSIDE!$F$8&gt;=2,FORSIDE!$B$5&gt;=10),"S2750","")</f>
        <v/>
      </c>
      <c r="B2751" t="str">
        <f>IF(AND(FORSIDE!$B$8&gt;=4,FORSIDE!$F$8&gt;=2,FORSIDE!$B$5&gt;=10),"506 -&gt; 517","")</f>
        <v/>
      </c>
      <c r="C2751" t="str">
        <f>FORSIDE!$C$3</f>
        <v>S355, Stål / VFHUP 140x140x8.0</v>
      </c>
    </row>
    <row r="2752" spans="1:3" x14ac:dyDescent="0.3">
      <c r="A2752" t="str">
        <f>IF(AND(FORSIDE!$B$8&gt;=5,FORSIDE!$F$8&gt;=2,FORSIDE!$B$5&gt;=1),"S2751","")</f>
        <v/>
      </c>
      <c r="B2752" t="str">
        <f>IF(AND(FORSIDE!$B$8&gt;=5,FORSIDE!$F$8&gt;=2,FORSIDE!$B$5&gt;=1),"508 -&gt; 519","")</f>
        <v/>
      </c>
      <c r="C2752" t="str">
        <f>FORSIDE!$C$3</f>
        <v>S355, Stål / VFHUP 140x140x8.0</v>
      </c>
    </row>
    <row r="2753" spans="1:3" x14ac:dyDescent="0.3">
      <c r="A2753" t="str">
        <f>IF(AND(FORSIDE!$B$8&gt;=5,FORSIDE!$F$8&gt;=2,FORSIDE!$B$5&gt;=2),"S2752","")</f>
        <v/>
      </c>
      <c r="B2753" t="str">
        <f>IF(AND(FORSIDE!$B$8&gt;=5,FORSIDE!$F$8&gt;=2,FORSIDE!$B$5&gt;=2),"509 -&gt; 520","")</f>
        <v/>
      </c>
      <c r="C2753" t="str">
        <f>FORSIDE!$C$3</f>
        <v>S355, Stål / VFHUP 140x140x8.0</v>
      </c>
    </row>
    <row r="2754" spans="1:3" x14ac:dyDescent="0.3">
      <c r="A2754" t="str">
        <f>IF(AND(FORSIDE!$B$8&gt;=5,FORSIDE!$F$8&gt;=2,FORSIDE!$B$5&gt;=3),"S2753","")</f>
        <v/>
      </c>
      <c r="B2754" t="str">
        <f>IF(AND(FORSIDE!$B$8&gt;=5,FORSIDE!$F$8&gt;=2,FORSIDE!$B$5&gt;=3),"510 -&gt; 521","")</f>
        <v/>
      </c>
      <c r="C2754" t="str">
        <f>FORSIDE!$C$3</f>
        <v>S355, Stål / VFHUP 140x140x8.0</v>
      </c>
    </row>
    <row r="2755" spans="1:3" x14ac:dyDescent="0.3">
      <c r="A2755" t="str">
        <f>IF(AND(FORSIDE!$B$8&gt;=5,FORSIDE!$F$8&gt;=2,FORSIDE!$B$5&gt;=4),"S2754","")</f>
        <v/>
      </c>
      <c r="B2755" t="str">
        <f>IF(AND(FORSIDE!$B$8&gt;=5,FORSIDE!$F$8&gt;=2,FORSIDE!$B$5&gt;=4),"511 -&gt; 522","")</f>
        <v/>
      </c>
      <c r="C2755" t="str">
        <f>FORSIDE!$C$3</f>
        <v>S355, Stål / VFHUP 140x140x8.0</v>
      </c>
    </row>
    <row r="2756" spans="1:3" x14ac:dyDescent="0.3">
      <c r="A2756" t="str">
        <f>IF(AND(FORSIDE!$B$8&gt;=5,FORSIDE!$F$8&gt;=2,FORSIDE!$B$5&gt;=5),"S2755","")</f>
        <v/>
      </c>
      <c r="B2756" t="str">
        <f>IF(AND(FORSIDE!$B$8&gt;=5,FORSIDE!$F$8&gt;=2,FORSIDE!$B$5&gt;=5),"512 -&gt; 523","")</f>
        <v/>
      </c>
      <c r="C2756" t="str">
        <f>FORSIDE!$C$3</f>
        <v>S355, Stål / VFHUP 140x140x8.0</v>
      </c>
    </row>
    <row r="2757" spans="1:3" x14ac:dyDescent="0.3">
      <c r="A2757" t="str">
        <f>IF(AND(FORSIDE!$B$8&gt;=5,FORSIDE!$F$8&gt;=2,FORSIDE!$B$5&gt;=6),"S2756","")</f>
        <v/>
      </c>
      <c r="B2757" t="str">
        <f>IF(AND(FORSIDE!$B$8&gt;=5,FORSIDE!$F$8&gt;=2,FORSIDE!$B$5&gt;=6),"513 -&gt; 524","")</f>
        <v/>
      </c>
      <c r="C2757" t="str">
        <f>FORSIDE!$C$3</f>
        <v>S355, Stål / VFHUP 140x140x8.0</v>
      </c>
    </row>
    <row r="2758" spans="1:3" x14ac:dyDescent="0.3">
      <c r="A2758" t="str">
        <f>IF(AND(FORSIDE!$B$8&gt;=5,FORSIDE!$F$8&gt;=2,FORSIDE!$B$5&gt;=7),"S2757","")</f>
        <v/>
      </c>
      <c r="B2758" t="str">
        <f>IF(AND(FORSIDE!$B$8&gt;=5,FORSIDE!$F$8&gt;=2,FORSIDE!$B$5&gt;=7),"514 -&gt; 525","")</f>
        <v/>
      </c>
      <c r="C2758" t="str">
        <f>FORSIDE!$C$3</f>
        <v>S355, Stål / VFHUP 140x140x8.0</v>
      </c>
    </row>
    <row r="2759" spans="1:3" x14ac:dyDescent="0.3">
      <c r="A2759" t="str">
        <f>IF(AND(FORSIDE!$B$8&gt;=5,FORSIDE!$F$8&gt;=2,FORSIDE!$B$5&gt;=8),"S2758","")</f>
        <v/>
      </c>
      <c r="B2759" t="str">
        <f>IF(AND(FORSIDE!$B$8&gt;=5,FORSIDE!$F$8&gt;=2,FORSIDE!$B$5&gt;=8),"515 -&gt; 526","")</f>
        <v/>
      </c>
      <c r="C2759" t="str">
        <f>FORSIDE!$C$3</f>
        <v>S355, Stål / VFHUP 140x140x8.0</v>
      </c>
    </row>
    <row r="2760" spans="1:3" x14ac:dyDescent="0.3">
      <c r="A2760" t="str">
        <f>IF(AND(FORSIDE!$B$8&gt;=5,FORSIDE!$F$8&gt;=2,FORSIDE!$B$5&gt;=9),"S2759","")</f>
        <v/>
      </c>
      <c r="B2760" t="str">
        <f>IF(AND(FORSIDE!$B$8&gt;=5,FORSIDE!$F$8&gt;=2,FORSIDE!$B$5&gt;=9),"516 -&gt; 527","")</f>
        <v/>
      </c>
      <c r="C2760" t="str">
        <f>FORSIDE!$C$3</f>
        <v>S355, Stål / VFHUP 140x140x8.0</v>
      </c>
    </row>
    <row r="2761" spans="1:3" x14ac:dyDescent="0.3">
      <c r="A2761" t="str">
        <f>IF(AND(FORSIDE!$B$8&gt;=5,FORSIDE!$F$8&gt;=2,FORSIDE!$B$5&gt;=10),"S2760","")</f>
        <v/>
      </c>
      <c r="B2761" t="str">
        <f>IF(AND(FORSIDE!$B$8&gt;=5,FORSIDE!$F$8&gt;=2,FORSIDE!$B$5&gt;=10),"517 -&gt; 528","")</f>
        <v/>
      </c>
      <c r="C2761" t="str">
        <f>FORSIDE!$C$3</f>
        <v>S355, Stål / VFHUP 140x140x8.0</v>
      </c>
    </row>
    <row r="2762" spans="1:3" x14ac:dyDescent="0.3">
      <c r="A2762" t="str">
        <f>IF(AND(FORSIDE!$B$8&gt;=6,FORSIDE!$F$8&gt;=2,FORSIDE!$B$5&gt;=1),"S2761","")</f>
        <v/>
      </c>
      <c r="B2762" t="str">
        <f>IF(AND(FORSIDE!$B$8&gt;=6,FORSIDE!$F$8&gt;=2,FORSIDE!$B$5&gt;=1),"519 -&gt; 530","")</f>
        <v/>
      </c>
      <c r="C2762" t="str">
        <f>FORSIDE!$C$3</f>
        <v>S355, Stål / VFHUP 140x140x8.0</v>
      </c>
    </row>
    <row r="2763" spans="1:3" x14ac:dyDescent="0.3">
      <c r="A2763" t="str">
        <f>IF(AND(FORSIDE!$B$8&gt;=6,FORSIDE!$F$8&gt;=2,FORSIDE!$B$5&gt;=2),"S2762","")</f>
        <v/>
      </c>
      <c r="B2763" t="str">
        <f>IF(AND(FORSIDE!$B$8&gt;=6,FORSIDE!$F$8&gt;=2,FORSIDE!$B$5&gt;=2),"520 -&gt; 531","")</f>
        <v/>
      </c>
      <c r="C2763" t="str">
        <f>FORSIDE!$C$3</f>
        <v>S355, Stål / VFHUP 140x140x8.0</v>
      </c>
    </row>
    <row r="2764" spans="1:3" x14ac:dyDescent="0.3">
      <c r="A2764" t="str">
        <f>IF(AND(FORSIDE!$B$8&gt;=6,FORSIDE!$F$8&gt;=2,FORSIDE!$B$5&gt;=3),"S2763","")</f>
        <v/>
      </c>
      <c r="B2764" t="str">
        <f>IF(AND(FORSIDE!$B$8&gt;=6,FORSIDE!$F$8&gt;=2,FORSIDE!$B$5&gt;=3),"521 -&gt; 532","")</f>
        <v/>
      </c>
      <c r="C2764" t="str">
        <f>FORSIDE!$C$3</f>
        <v>S355, Stål / VFHUP 140x140x8.0</v>
      </c>
    </row>
    <row r="2765" spans="1:3" x14ac:dyDescent="0.3">
      <c r="A2765" t="str">
        <f>IF(AND(FORSIDE!$B$8&gt;=6,FORSIDE!$F$8&gt;=2,FORSIDE!$B$5&gt;=4),"S2764","")</f>
        <v/>
      </c>
      <c r="B2765" t="str">
        <f>IF(AND(FORSIDE!$B$8&gt;=6,FORSIDE!$F$8&gt;=2,FORSIDE!$B$5&gt;=4),"522 -&gt; 533","")</f>
        <v/>
      </c>
      <c r="C2765" t="str">
        <f>FORSIDE!$C$3</f>
        <v>S355, Stål / VFHUP 140x140x8.0</v>
      </c>
    </row>
    <row r="2766" spans="1:3" x14ac:dyDescent="0.3">
      <c r="A2766" t="str">
        <f>IF(AND(FORSIDE!$B$8&gt;=6,FORSIDE!$F$8&gt;=2,FORSIDE!$B$5&gt;=5),"S2765","")</f>
        <v/>
      </c>
      <c r="B2766" t="str">
        <f>IF(AND(FORSIDE!$B$8&gt;=6,FORSIDE!$F$8&gt;=2,FORSIDE!$B$5&gt;=5),"523 -&gt; 534","")</f>
        <v/>
      </c>
      <c r="C2766" t="str">
        <f>FORSIDE!$C$3</f>
        <v>S355, Stål / VFHUP 140x140x8.0</v>
      </c>
    </row>
    <row r="2767" spans="1:3" x14ac:dyDescent="0.3">
      <c r="A2767" t="str">
        <f>IF(AND(FORSIDE!$B$8&gt;=6,FORSIDE!$F$8&gt;=2,FORSIDE!$B$5&gt;=6),"S2766","")</f>
        <v/>
      </c>
      <c r="B2767" t="str">
        <f>IF(AND(FORSIDE!$B$8&gt;=6,FORSIDE!$F$8&gt;=2,FORSIDE!$B$5&gt;=6),"524 -&gt; 535","")</f>
        <v/>
      </c>
      <c r="C2767" t="str">
        <f>FORSIDE!$C$3</f>
        <v>S355, Stål / VFHUP 140x140x8.0</v>
      </c>
    </row>
    <row r="2768" spans="1:3" x14ac:dyDescent="0.3">
      <c r="A2768" t="str">
        <f>IF(AND(FORSIDE!$B$8&gt;=6,FORSIDE!$F$8&gt;=2,FORSIDE!$B$5&gt;=7),"S2767","")</f>
        <v/>
      </c>
      <c r="B2768" t="str">
        <f>IF(AND(FORSIDE!$B$8&gt;=6,FORSIDE!$F$8&gt;=2,FORSIDE!$B$5&gt;=7),"525 -&gt; 536","")</f>
        <v/>
      </c>
      <c r="C2768" t="str">
        <f>FORSIDE!$C$3</f>
        <v>S355, Stål / VFHUP 140x140x8.0</v>
      </c>
    </row>
    <row r="2769" spans="1:3" x14ac:dyDescent="0.3">
      <c r="A2769" t="str">
        <f>IF(AND(FORSIDE!$B$8&gt;=6,FORSIDE!$F$8&gt;=2,FORSIDE!$B$5&gt;=8),"S2768","")</f>
        <v/>
      </c>
      <c r="B2769" t="str">
        <f>IF(AND(FORSIDE!$B$8&gt;=6,FORSIDE!$F$8&gt;=2,FORSIDE!$B$5&gt;=8),"526 -&gt; 537","")</f>
        <v/>
      </c>
      <c r="C2769" t="str">
        <f>FORSIDE!$C$3</f>
        <v>S355, Stål / VFHUP 140x140x8.0</v>
      </c>
    </row>
    <row r="2770" spans="1:3" x14ac:dyDescent="0.3">
      <c r="A2770" t="str">
        <f>IF(AND(FORSIDE!$B$8&gt;=6,FORSIDE!$F$8&gt;=2,FORSIDE!$B$5&gt;=9),"S2769","")</f>
        <v/>
      </c>
      <c r="B2770" t="str">
        <f>IF(AND(FORSIDE!$B$8&gt;=6,FORSIDE!$F$8&gt;=2,FORSIDE!$B$5&gt;=9),"527 -&gt; 538","")</f>
        <v/>
      </c>
      <c r="C2770" t="str">
        <f>FORSIDE!$C$3</f>
        <v>S355, Stål / VFHUP 140x140x8.0</v>
      </c>
    </row>
    <row r="2771" spans="1:3" x14ac:dyDescent="0.3">
      <c r="A2771" t="str">
        <f>IF(AND(FORSIDE!$B$8&gt;=6,FORSIDE!$F$8&gt;=2,FORSIDE!$B$5&gt;=10),"S2770","")</f>
        <v/>
      </c>
      <c r="B2771" t="str">
        <f>IF(AND(FORSIDE!$B$8&gt;=6,FORSIDE!$F$8&gt;=2,FORSIDE!$B$5&gt;=10),"528 -&gt; 539","")</f>
        <v/>
      </c>
      <c r="C2771" t="str">
        <f>FORSIDE!$C$3</f>
        <v>S355, Stål / VFHUP 140x140x8.0</v>
      </c>
    </row>
    <row r="2772" spans="1:3" x14ac:dyDescent="0.3">
      <c r="A2772" t="str">
        <f>IF(AND(FORSIDE!$B$8&gt;=7,FORSIDE!$F$8&gt;=2,FORSIDE!$B$5&gt;=1),"S2771","")</f>
        <v/>
      </c>
      <c r="B2772" t="str">
        <f>IF(AND(FORSIDE!$B$8&gt;=7,FORSIDE!$F$8&gt;=2,FORSIDE!$B$5&gt;=1),"530 -&gt; 541","")</f>
        <v/>
      </c>
      <c r="C2772" t="str">
        <f>FORSIDE!$C$3</f>
        <v>S355, Stål / VFHUP 140x140x8.0</v>
      </c>
    </row>
    <row r="2773" spans="1:3" x14ac:dyDescent="0.3">
      <c r="A2773" t="str">
        <f>IF(AND(FORSIDE!$B$8&gt;=7,FORSIDE!$F$8&gt;=2,FORSIDE!$B$5&gt;=2),"S2772","")</f>
        <v/>
      </c>
      <c r="B2773" t="str">
        <f>IF(AND(FORSIDE!$B$8&gt;=7,FORSIDE!$F$8&gt;=2,FORSIDE!$B$5&gt;=2),"531 -&gt; 542","")</f>
        <v/>
      </c>
      <c r="C2773" t="str">
        <f>FORSIDE!$C$3</f>
        <v>S355, Stål / VFHUP 140x140x8.0</v>
      </c>
    </row>
    <row r="2774" spans="1:3" x14ac:dyDescent="0.3">
      <c r="A2774" t="str">
        <f>IF(AND(FORSIDE!$B$8&gt;=7,FORSIDE!$F$8&gt;=2,FORSIDE!$B$5&gt;=3),"S2773","")</f>
        <v/>
      </c>
      <c r="B2774" t="str">
        <f>IF(AND(FORSIDE!$B$8&gt;=7,FORSIDE!$F$8&gt;=2,FORSIDE!$B$5&gt;=3),"532 -&gt; 543","")</f>
        <v/>
      </c>
      <c r="C2774" t="str">
        <f>FORSIDE!$C$3</f>
        <v>S355, Stål / VFHUP 140x140x8.0</v>
      </c>
    </row>
    <row r="2775" spans="1:3" x14ac:dyDescent="0.3">
      <c r="A2775" t="str">
        <f>IF(AND(FORSIDE!$B$8&gt;=7,FORSIDE!$F$8&gt;=2,FORSIDE!$B$5&gt;=4),"S2774","")</f>
        <v/>
      </c>
      <c r="B2775" t="str">
        <f>IF(AND(FORSIDE!$B$8&gt;=7,FORSIDE!$F$8&gt;=2,FORSIDE!$B$5&gt;=4),"533 -&gt; 544","")</f>
        <v/>
      </c>
      <c r="C2775" t="str">
        <f>FORSIDE!$C$3</f>
        <v>S355, Stål / VFHUP 140x140x8.0</v>
      </c>
    </row>
    <row r="2776" spans="1:3" x14ac:dyDescent="0.3">
      <c r="A2776" t="str">
        <f>IF(AND(FORSIDE!$B$8&gt;=7,FORSIDE!$F$8&gt;=2,FORSIDE!$B$5&gt;=5),"S2775","")</f>
        <v/>
      </c>
      <c r="B2776" t="str">
        <f>IF(AND(FORSIDE!$B$8&gt;=7,FORSIDE!$F$8&gt;=2,FORSIDE!$B$5&gt;=5),"534 -&gt; 545","")</f>
        <v/>
      </c>
      <c r="C2776" t="str">
        <f>FORSIDE!$C$3</f>
        <v>S355, Stål / VFHUP 140x140x8.0</v>
      </c>
    </row>
    <row r="2777" spans="1:3" x14ac:dyDescent="0.3">
      <c r="A2777" t="str">
        <f>IF(AND(FORSIDE!$B$8&gt;=7,FORSIDE!$F$8&gt;=2,FORSIDE!$B$5&gt;=6),"S2776","")</f>
        <v/>
      </c>
      <c r="B2777" t="str">
        <f>IF(AND(FORSIDE!$B$8&gt;=7,FORSIDE!$F$8&gt;=2,FORSIDE!$B$5&gt;=6),"535 -&gt; 546","")</f>
        <v/>
      </c>
      <c r="C2777" t="str">
        <f>FORSIDE!$C$3</f>
        <v>S355, Stål / VFHUP 140x140x8.0</v>
      </c>
    </row>
    <row r="2778" spans="1:3" x14ac:dyDescent="0.3">
      <c r="A2778" t="str">
        <f>IF(AND(FORSIDE!$B$8&gt;=7,FORSIDE!$F$8&gt;=2,FORSIDE!$B$5&gt;=7),"S2777","")</f>
        <v/>
      </c>
      <c r="B2778" t="str">
        <f>IF(AND(FORSIDE!$B$8&gt;=7,FORSIDE!$F$8&gt;=2,FORSIDE!$B$5&gt;=7),"536 -&gt; 547","")</f>
        <v/>
      </c>
      <c r="C2778" t="str">
        <f>FORSIDE!$C$3</f>
        <v>S355, Stål / VFHUP 140x140x8.0</v>
      </c>
    </row>
    <row r="2779" spans="1:3" x14ac:dyDescent="0.3">
      <c r="A2779" t="str">
        <f>IF(AND(FORSIDE!$B$8&gt;=7,FORSIDE!$F$8&gt;=2,FORSIDE!$B$5&gt;=8),"S2778","")</f>
        <v/>
      </c>
      <c r="B2779" t="str">
        <f>IF(AND(FORSIDE!$B$8&gt;=7,FORSIDE!$F$8&gt;=2,FORSIDE!$B$5&gt;=8),"537 -&gt; 548","")</f>
        <v/>
      </c>
      <c r="C2779" t="str">
        <f>FORSIDE!$C$3</f>
        <v>S355, Stål / VFHUP 140x140x8.0</v>
      </c>
    </row>
    <row r="2780" spans="1:3" x14ac:dyDescent="0.3">
      <c r="A2780" t="str">
        <f>IF(AND(FORSIDE!$B$8&gt;=7,FORSIDE!$F$8&gt;=2,FORSIDE!$B$5&gt;=9),"S2779","")</f>
        <v/>
      </c>
      <c r="B2780" t="str">
        <f>IF(AND(FORSIDE!$B$8&gt;=7,FORSIDE!$F$8&gt;=2,FORSIDE!$B$5&gt;=9),"538 -&gt; 549","")</f>
        <v/>
      </c>
      <c r="C2780" t="str">
        <f>FORSIDE!$C$3</f>
        <v>S355, Stål / VFHUP 140x140x8.0</v>
      </c>
    </row>
    <row r="2781" spans="1:3" x14ac:dyDescent="0.3">
      <c r="A2781" t="str">
        <f>IF(AND(FORSIDE!$B$8&gt;=7,FORSIDE!$F$8&gt;=2,FORSIDE!$B$5&gt;=10),"S2780","")</f>
        <v/>
      </c>
      <c r="B2781" t="str">
        <f>IF(AND(FORSIDE!$B$8&gt;=7,FORSIDE!$F$8&gt;=2,FORSIDE!$B$5&gt;=10),"539 -&gt; 550","")</f>
        <v/>
      </c>
      <c r="C2781" t="str">
        <f>FORSIDE!$C$3</f>
        <v>S355, Stål / VFHUP 140x140x8.0</v>
      </c>
    </row>
    <row r="2782" spans="1:3" x14ac:dyDescent="0.3">
      <c r="A2782" t="str">
        <f>IF(AND(FORSIDE!$B$8&gt;=8,FORSIDE!$F$8&gt;=2,FORSIDE!$B$5&gt;=1),"S2781","")</f>
        <v/>
      </c>
      <c r="B2782" t="str">
        <f>IF(AND(FORSIDE!$B$8&gt;=8,FORSIDE!$F$8&gt;=2,FORSIDE!$B$5&gt;=1),"541 -&gt; 552","")</f>
        <v/>
      </c>
      <c r="C2782" t="str">
        <f>FORSIDE!$C$3</f>
        <v>S355, Stål / VFHUP 140x140x8.0</v>
      </c>
    </row>
    <row r="2783" spans="1:3" x14ac:dyDescent="0.3">
      <c r="A2783" t="str">
        <f>IF(AND(FORSIDE!$B$8&gt;=8,FORSIDE!$F$8&gt;=2,FORSIDE!$B$5&gt;=2),"S2782","")</f>
        <v/>
      </c>
      <c r="B2783" t="str">
        <f>IF(AND(FORSIDE!$B$8&gt;=8,FORSIDE!$F$8&gt;=2,FORSIDE!$B$5&gt;=2),"542 -&gt; 553","")</f>
        <v/>
      </c>
      <c r="C2783" t="str">
        <f>FORSIDE!$C$3</f>
        <v>S355, Stål / VFHUP 140x140x8.0</v>
      </c>
    </row>
    <row r="2784" spans="1:3" x14ac:dyDescent="0.3">
      <c r="A2784" t="str">
        <f>IF(AND(FORSIDE!$B$8&gt;=8,FORSIDE!$F$8&gt;=2,FORSIDE!$B$5&gt;=3),"S2783","")</f>
        <v/>
      </c>
      <c r="B2784" t="str">
        <f>IF(AND(FORSIDE!$B$8&gt;=8,FORSIDE!$F$8&gt;=2,FORSIDE!$B$5&gt;=3),"543 -&gt; 554","")</f>
        <v/>
      </c>
      <c r="C2784" t="str">
        <f>FORSIDE!$C$3</f>
        <v>S355, Stål / VFHUP 140x140x8.0</v>
      </c>
    </row>
    <row r="2785" spans="1:3" x14ac:dyDescent="0.3">
      <c r="A2785" t="str">
        <f>IF(AND(FORSIDE!$B$8&gt;=8,FORSIDE!$F$8&gt;=2,FORSIDE!$B$5&gt;=4),"S2784","")</f>
        <v/>
      </c>
      <c r="B2785" t="str">
        <f>IF(AND(FORSIDE!$B$8&gt;=8,FORSIDE!$F$8&gt;=2,FORSIDE!$B$5&gt;=4),"544 -&gt; 555","")</f>
        <v/>
      </c>
      <c r="C2785" t="str">
        <f>FORSIDE!$C$3</f>
        <v>S355, Stål / VFHUP 140x140x8.0</v>
      </c>
    </row>
    <row r="2786" spans="1:3" x14ac:dyDescent="0.3">
      <c r="A2786" t="str">
        <f>IF(AND(FORSIDE!$B$8&gt;=8,FORSIDE!$F$8&gt;=2,FORSIDE!$B$5&gt;=5),"S2785","")</f>
        <v/>
      </c>
      <c r="B2786" t="str">
        <f>IF(AND(FORSIDE!$B$8&gt;=8,FORSIDE!$F$8&gt;=2,FORSIDE!$B$5&gt;=5),"545 -&gt; 556","")</f>
        <v/>
      </c>
      <c r="C2786" t="str">
        <f>FORSIDE!$C$3</f>
        <v>S355, Stål / VFHUP 140x140x8.0</v>
      </c>
    </row>
    <row r="2787" spans="1:3" x14ac:dyDescent="0.3">
      <c r="A2787" t="str">
        <f>IF(AND(FORSIDE!$B$8&gt;=8,FORSIDE!$F$8&gt;=2,FORSIDE!$B$5&gt;=6),"S2786","")</f>
        <v/>
      </c>
      <c r="B2787" t="str">
        <f>IF(AND(FORSIDE!$B$8&gt;=8,FORSIDE!$F$8&gt;=2,FORSIDE!$B$5&gt;=6),"546 -&gt; 557","")</f>
        <v/>
      </c>
      <c r="C2787" t="str">
        <f>FORSIDE!$C$3</f>
        <v>S355, Stål / VFHUP 140x140x8.0</v>
      </c>
    </row>
    <row r="2788" spans="1:3" x14ac:dyDescent="0.3">
      <c r="A2788" t="str">
        <f>IF(AND(FORSIDE!$B$8&gt;=8,FORSIDE!$F$8&gt;=2,FORSIDE!$B$5&gt;=7),"S2787","")</f>
        <v/>
      </c>
      <c r="B2788" t="str">
        <f>IF(AND(FORSIDE!$B$8&gt;=8,FORSIDE!$F$8&gt;=2,FORSIDE!$B$5&gt;=7),"547 -&gt; 558","")</f>
        <v/>
      </c>
      <c r="C2788" t="str">
        <f>FORSIDE!$C$3</f>
        <v>S355, Stål / VFHUP 140x140x8.0</v>
      </c>
    </row>
    <row r="2789" spans="1:3" x14ac:dyDescent="0.3">
      <c r="A2789" t="str">
        <f>IF(AND(FORSIDE!$B$8&gt;=8,FORSIDE!$F$8&gt;=2,FORSIDE!$B$5&gt;=8),"S2788","")</f>
        <v/>
      </c>
      <c r="B2789" t="str">
        <f>IF(AND(FORSIDE!$B$8&gt;=8,FORSIDE!$F$8&gt;=2,FORSIDE!$B$5&gt;=8),"548 -&gt; 559","")</f>
        <v/>
      </c>
      <c r="C2789" t="str">
        <f>FORSIDE!$C$3</f>
        <v>S355, Stål / VFHUP 140x140x8.0</v>
      </c>
    </row>
    <row r="2790" spans="1:3" x14ac:dyDescent="0.3">
      <c r="A2790" t="str">
        <f>IF(AND(FORSIDE!$B$8&gt;=8,FORSIDE!$F$8&gt;=2,FORSIDE!$B$5&gt;=9),"S2789","")</f>
        <v/>
      </c>
      <c r="B2790" t="str">
        <f>IF(AND(FORSIDE!$B$8&gt;=8,FORSIDE!$F$8&gt;=2,FORSIDE!$B$5&gt;=9),"549 -&gt; 560","")</f>
        <v/>
      </c>
      <c r="C2790" t="str">
        <f>FORSIDE!$C$3</f>
        <v>S355, Stål / VFHUP 140x140x8.0</v>
      </c>
    </row>
    <row r="2791" spans="1:3" x14ac:dyDescent="0.3">
      <c r="A2791" t="str">
        <f>IF(AND(FORSIDE!$B$8&gt;=8,FORSIDE!$F$8&gt;=2,FORSIDE!$B$5&gt;=10),"S2790","")</f>
        <v/>
      </c>
      <c r="B2791" t="str">
        <f>IF(AND(FORSIDE!$B$8&gt;=8,FORSIDE!$F$8&gt;=2,FORSIDE!$B$5&gt;=10),"550 -&gt; 561","")</f>
        <v/>
      </c>
      <c r="C2791" t="str">
        <f>FORSIDE!$C$3</f>
        <v>S355, Stål / VFHUP 140x140x8.0</v>
      </c>
    </row>
    <row r="2792" spans="1:3" x14ac:dyDescent="0.3">
      <c r="A2792" t="str">
        <f>IF(AND(FORSIDE!$B$8&gt;=9,FORSIDE!$F$8&gt;=2,FORSIDE!$B$5&gt;=1),"S2791","")</f>
        <v/>
      </c>
      <c r="B2792" t="str">
        <f>IF(AND(FORSIDE!$B$8&gt;=9,FORSIDE!$F$8&gt;=2,FORSIDE!$B$5&gt;=1),"552 -&gt; 563","")</f>
        <v/>
      </c>
      <c r="C2792" t="str">
        <f>FORSIDE!$C$3</f>
        <v>S355, Stål / VFHUP 140x140x8.0</v>
      </c>
    </row>
    <row r="2793" spans="1:3" x14ac:dyDescent="0.3">
      <c r="A2793" t="str">
        <f>IF(AND(FORSIDE!$B$8&gt;=9,FORSIDE!$F$8&gt;=2,FORSIDE!$B$5&gt;=2),"S2792","")</f>
        <v/>
      </c>
      <c r="B2793" t="str">
        <f>IF(AND(FORSIDE!$B$8&gt;=9,FORSIDE!$F$8&gt;=2,FORSIDE!$B$5&gt;=2),"553 -&gt; 564","")</f>
        <v/>
      </c>
      <c r="C2793" t="str">
        <f>FORSIDE!$C$3</f>
        <v>S355, Stål / VFHUP 140x140x8.0</v>
      </c>
    </row>
    <row r="2794" spans="1:3" x14ac:dyDescent="0.3">
      <c r="A2794" t="str">
        <f>IF(AND(FORSIDE!$B$8&gt;=9,FORSIDE!$F$8&gt;=2,FORSIDE!$B$5&gt;=3),"S2793","")</f>
        <v/>
      </c>
      <c r="B2794" t="str">
        <f>IF(AND(FORSIDE!$B$8&gt;=9,FORSIDE!$F$8&gt;=2,FORSIDE!$B$5&gt;=3),"554 -&gt; 565","")</f>
        <v/>
      </c>
      <c r="C2794" t="str">
        <f>FORSIDE!$C$3</f>
        <v>S355, Stål / VFHUP 140x140x8.0</v>
      </c>
    </row>
    <row r="2795" spans="1:3" x14ac:dyDescent="0.3">
      <c r="A2795" t="str">
        <f>IF(AND(FORSIDE!$B$8&gt;=9,FORSIDE!$F$8&gt;=2,FORSIDE!$B$5&gt;=4),"S2794","")</f>
        <v/>
      </c>
      <c r="B2795" t="str">
        <f>IF(AND(FORSIDE!$B$8&gt;=9,FORSIDE!$F$8&gt;=2,FORSIDE!$B$5&gt;=4),"555 -&gt; 566","")</f>
        <v/>
      </c>
      <c r="C2795" t="str">
        <f>FORSIDE!$C$3</f>
        <v>S355, Stål / VFHUP 140x140x8.0</v>
      </c>
    </row>
    <row r="2796" spans="1:3" x14ac:dyDescent="0.3">
      <c r="A2796" t="str">
        <f>IF(AND(FORSIDE!$B$8&gt;=9,FORSIDE!$F$8&gt;=2,FORSIDE!$B$5&gt;=5),"S2795","")</f>
        <v/>
      </c>
      <c r="B2796" t="str">
        <f>IF(AND(FORSIDE!$B$8&gt;=9,FORSIDE!$F$8&gt;=2,FORSIDE!$B$5&gt;=5),"556 -&gt; 567","")</f>
        <v/>
      </c>
      <c r="C2796" t="str">
        <f>FORSIDE!$C$3</f>
        <v>S355, Stål / VFHUP 140x140x8.0</v>
      </c>
    </row>
    <row r="2797" spans="1:3" x14ac:dyDescent="0.3">
      <c r="A2797" t="str">
        <f>IF(AND(FORSIDE!$B$8&gt;=9,FORSIDE!$F$8&gt;=2,FORSIDE!$B$5&gt;=6),"S2796","")</f>
        <v/>
      </c>
      <c r="B2797" t="str">
        <f>IF(AND(FORSIDE!$B$8&gt;=9,FORSIDE!$F$8&gt;=2,FORSIDE!$B$5&gt;=6),"557 -&gt; 568","")</f>
        <v/>
      </c>
      <c r="C2797" t="str">
        <f>FORSIDE!$C$3</f>
        <v>S355, Stål / VFHUP 140x140x8.0</v>
      </c>
    </row>
    <row r="2798" spans="1:3" x14ac:dyDescent="0.3">
      <c r="A2798" t="str">
        <f>IF(AND(FORSIDE!$B$8&gt;=9,FORSIDE!$F$8&gt;=2,FORSIDE!$B$5&gt;=7),"S2797","")</f>
        <v/>
      </c>
      <c r="B2798" t="str">
        <f>IF(AND(FORSIDE!$B$8&gt;=9,FORSIDE!$F$8&gt;=2,FORSIDE!$B$5&gt;=7),"558 -&gt; 569","")</f>
        <v/>
      </c>
      <c r="C2798" t="str">
        <f>FORSIDE!$C$3</f>
        <v>S355, Stål / VFHUP 140x140x8.0</v>
      </c>
    </row>
    <row r="2799" spans="1:3" x14ac:dyDescent="0.3">
      <c r="A2799" t="str">
        <f>IF(AND(FORSIDE!$B$8&gt;=9,FORSIDE!$F$8&gt;=2,FORSIDE!$B$5&gt;=8),"S2798","")</f>
        <v/>
      </c>
      <c r="B2799" t="str">
        <f>IF(AND(FORSIDE!$B$8&gt;=9,FORSIDE!$F$8&gt;=2,FORSIDE!$B$5&gt;=8),"559 -&gt; 570","")</f>
        <v/>
      </c>
      <c r="C2799" t="str">
        <f>FORSIDE!$C$3</f>
        <v>S355, Stål / VFHUP 140x140x8.0</v>
      </c>
    </row>
    <row r="2800" spans="1:3" x14ac:dyDescent="0.3">
      <c r="A2800" t="str">
        <f>IF(AND(FORSIDE!$B$8&gt;=9,FORSIDE!$F$8&gt;=2,FORSIDE!$B$5&gt;=9),"S2799","")</f>
        <v/>
      </c>
      <c r="B2800" t="str">
        <f>IF(AND(FORSIDE!$B$8&gt;=9,FORSIDE!$F$8&gt;=2,FORSIDE!$B$5&gt;=9),"560 -&gt; 571","")</f>
        <v/>
      </c>
      <c r="C2800" t="str">
        <f>FORSIDE!$C$3</f>
        <v>S355, Stål / VFHUP 140x140x8.0</v>
      </c>
    </row>
    <row r="2801" spans="1:3" x14ac:dyDescent="0.3">
      <c r="A2801" t="str">
        <f>IF(AND(FORSIDE!$B$8&gt;=9,FORSIDE!$F$8&gt;=2,FORSIDE!$B$5&gt;=10),"S2800","")</f>
        <v/>
      </c>
      <c r="B2801" t="str">
        <f>IF(AND(FORSIDE!$B$8&gt;=9,FORSIDE!$F$8&gt;=2,FORSIDE!$B$5&gt;=10),"561 -&gt; 572","")</f>
        <v/>
      </c>
      <c r="C2801" t="str">
        <f>FORSIDE!$C$3</f>
        <v>S355, Stål / VFHUP 140x140x8.0</v>
      </c>
    </row>
    <row r="2802" spans="1:3" x14ac:dyDescent="0.3">
      <c r="A2802" t="str">
        <f>IF(AND(FORSIDE!$B$8&gt;=10,FORSIDE!$F$8&gt;=2,FORSIDE!$B$5&gt;=1),"S2801","")</f>
        <v/>
      </c>
      <c r="B2802" t="str">
        <f>IF(AND(FORSIDE!$B$8&gt;=10,FORSIDE!$F$8&gt;=2,FORSIDE!$B$5&gt;=1),"563 -&gt; 574","")</f>
        <v/>
      </c>
      <c r="C2802" t="str">
        <f>FORSIDE!$C$3</f>
        <v>S355, Stål / VFHUP 140x140x8.0</v>
      </c>
    </row>
    <row r="2803" spans="1:3" x14ac:dyDescent="0.3">
      <c r="A2803" t="str">
        <f>IF(AND(FORSIDE!$B$8&gt;=10,FORSIDE!$F$8&gt;=2,FORSIDE!$B$5&gt;=2),"S2802","")</f>
        <v/>
      </c>
      <c r="B2803" t="str">
        <f>IF(AND(FORSIDE!$B$8&gt;=10,FORSIDE!$F$8&gt;=2,FORSIDE!$B$5&gt;=2),"564 -&gt; 575","")</f>
        <v/>
      </c>
      <c r="C2803" t="str">
        <f>FORSIDE!$C$3</f>
        <v>S355, Stål / VFHUP 140x140x8.0</v>
      </c>
    </row>
    <row r="2804" spans="1:3" x14ac:dyDescent="0.3">
      <c r="A2804" t="str">
        <f>IF(AND(FORSIDE!$B$8&gt;=10,FORSIDE!$F$8&gt;=2,FORSIDE!$B$5&gt;=3),"S2803","")</f>
        <v/>
      </c>
      <c r="B2804" t="str">
        <f>IF(AND(FORSIDE!$B$8&gt;=10,FORSIDE!$F$8&gt;=2,FORSIDE!$B$5&gt;=3),"565 -&gt; 576","")</f>
        <v/>
      </c>
      <c r="C2804" t="str">
        <f>FORSIDE!$C$3</f>
        <v>S355, Stål / VFHUP 140x140x8.0</v>
      </c>
    </row>
    <row r="2805" spans="1:3" x14ac:dyDescent="0.3">
      <c r="A2805" t="str">
        <f>IF(AND(FORSIDE!$B$8&gt;=10,FORSIDE!$F$8&gt;=2,FORSIDE!$B$5&gt;=4),"S2804","")</f>
        <v/>
      </c>
      <c r="B2805" t="str">
        <f>IF(AND(FORSIDE!$B$8&gt;=10,FORSIDE!$F$8&gt;=2,FORSIDE!$B$5&gt;=4),"566 -&gt; 577","")</f>
        <v/>
      </c>
      <c r="C2805" t="str">
        <f>FORSIDE!$C$3</f>
        <v>S355, Stål / VFHUP 140x140x8.0</v>
      </c>
    </row>
    <row r="2806" spans="1:3" x14ac:dyDescent="0.3">
      <c r="A2806" t="str">
        <f>IF(AND(FORSIDE!$B$8&gt;=10,FORSIDE!$F$8&gt;=2,FORSIDE!$B$5&gt;=5),"S2805","")</f>
        <v/>
      </c>
      <c r="B2806" t="str">
        <f>IF(AND(FORSIDE!$B$8&gt;=10,FORSIDE!$F$8&gt;=2,FORSIDE!$B$5&gt;=5),"567 -&gt; 578","")</f>
        <v/>
      </c>
      <c r="C2806" t="str">
        <f>FORSIDE!$C$3</f>
        <v>S355, Stål / VFHUP 140x140x8.0</v>
      </c>
    </row>
    <row r="2807" spans="1:3" x14ac:dyDescent="0.3">
      <c r="A2807" t="str">
        <f>IF(AND(FORSIDE!$B$8&gt;=10,FORSIDE!$F$8&gt;=2,FORSIDE!$B$5&gt;=6),"S2806","")</f>
        <v/>
      </c>
      <c r="B2807" t="str">
        <f>IF(AND(FORSIDE!$B$8&gt;=10,FORSIDE!$F$8&gt;=2,FORSIDE!$B$5&gt;=6),"568 -&gt; 579","")</f>
        <v/>
      </c>
      <c r="C2807" t="str">
        <f>FORSIDE!$C$3</f>
        <v>S355, Stål / VFHUP 140x140x8.0</v>
      </c>
    </row>
    <row r="2808" spans="1:3" x14ac:dyDescent="0.3">
      <c r="A2808" t="str">
        <f>IF(AND(FORSIDE!$B$8&gt;=10,FORSIDE!$F$8&gt;=2,FORSIDE!$B$5&gt;=7),"S2807","")</f>
        <v/>
      </c>
      <c r="B2808" t="str">
        <f>IF(AND(FORSIDE!$B$8&gt;=10,FORSIDE!$F$8&gt;=2,FORSIDE!$B$5&gt;=7),"569 -&gt; 580","")</f>
        <v/>
      </c>
      <c r="C2808" t="str">
        <f>FORSIDE!$C$3</f>
        <v>S355, Stål / VFHUP 140x140x8.0</v>
      </c>
    </row>
    <row r="2809" spans="1:3" x14ac:dyDescent="0.3">
      <c r="A2809" t="str">
        <f>IF(AND(FORSIDE!$B$8&gt;=10,FORSIDE!$F$8&gt;=2,FORSIDE!$B$5&gt;=8),"S2808","")</f>
        <v/>
      </c>
      <c r="B2809" t="str">
        <f>IF(AND(FORSIDE!$B$8&gt;=10,FORSIDE!$F$8&gt;=2,FORSIDE!$B$5&gt;=8),"570 -&gt; 581","")</f>
        <v/>
      </c>
      <c r="C2809" t="str">
        <f>FORSIDE!$C$3</f>
        <v>S355, Stål / VFHUP 140x140x8.0</v>
      </c>
    </row>
    <row r="2810" spans="1:3" x14ac:dyDescent="0.3">
      <c r="A2810" t="str">
        <f>IF(AND(FORSIDE!$B$8&gt;=10,FORSIDE!$F$8&gt;=2,FORSIDE!$B$5&gt;=9),"S2809","")</f>
        <v/>
      </c>
      <c r="B2810" t="str">
        <f>IF(AND(FORSIDE!$B$8&gt;=10,FORSIDE!$F$8&gt;=2,FORSIDE!$B$5&gt;=9),"571 -&gt; 582","")</f>
        <v/>
      </c>
      <c r="C2810" t="str">
        <f>FORSIDE!$C$3</f>
        <v>S355, Stål / VFHUP 140x140x8.0</v>
      </c>
    </row>
    <row r="2811" spans="1:3" x14ac:dyDescent="0.3">
      <c r="A2811" t="str">
        <f>IF(AND(FORSIDE!$B$8&gt;=10,FORSIDE!$F$8&gt;=2,FORSIDE!$B$5&gt;=10),"S2810","")</f>
        <v/>
      </c>
      <c r="B2811" t="str">
        <f>IF(AND(FORSIDE!$B$8&gt;=10,FORSIDE!$F$8&gt;=2,FORSIDE!$B$5&gt;=10),"572 -&gt; 583","")</f>
        <v/>
      </c>
      <c r="C2811" t="str">
        <f>FORSIDE!$C$3</f>
        <v>S355, Stål / VFHUP 140x140x8.0</v>
      </c>
    </row>
    <row r="2812" spans="1:3" x14ac:dyDescent="0.3">
      <c r="A2812" t="str">
        <f>IF(AND(FORSIDE!$B$8&gt;=11,FORSIDE!$F$8&gt;=2,FORSIDE!$B$5&gt;=1),"S2811","")</f>
        <v/>
      </c>
      <c r="B2812" t="str">
        <f>IF(AND(FORSIDE!$B$8&gt;=11,FORSIDE!$F$8&gt;=2,FORSIDE!$B$5&gt;=1),"574 -&gt; 585","")</f>
        <v/>
      </c>
      <c r="C2812" t="str">
        <f>FORSIDE!$C$3</f>
        <v>S355, Stål / VFHUP 140x140x8.0</v>
      </c>
    </row>
    <row r="2813" spans="1:3" x14ac:dyDescent="0.3">
      <c r="A2813" t="str">
        <f>IF(AND(FORSIDE!$B$8&gt;=11,FORSIDE!$F$8&gt;=2,FORSIDE!$B$5&gt;=2),"S2812","")</f>
        <v/>
      </c>
      <c r="B2813" t="str">
        <f>IF(AND(FORSIDE!$B$8&gt;=11,FORSIDE!$F$8&gt;=2,FORSIDE!$B$5&gt;=2),"575 -&gt; 586","")</f>
        <v/>
      </c>
      <c r="C2813" t="str">
        <f>FORSIDE!$C$3</f>
        <v>S355, Stål / VFHUP 140x140x8.0</v>
      </c>
    </row>
    <row r="2814" spans="1:3" x14ac:dyDescent="0.3">
      <c r="A2814" t="str">
        <f>IF(AND(FORSIDE!$B$8&gt;=11,FORSIDE!$F$8&gt;=2,FORSIDE!$B$5&gt;=3),"S2813","")</f>
        <v/>
      </c>
      <c r="B2814" t="str">
        <f>IF(AND(FORSIDE!$B$8&gt;=11,FORSIDE!$F$8&gt;=2,FORSIDE!$B$5&gt;=3),"576 -&gt; 587","")</f>
        <v/>
      </c>
      <c r="C2814" t="str">
        <f>FORSIDE!$C$3</f>
        <v>S355, Stål / VFHUP 140x140x8.0</v>
      </c>
    </row>
    <row r="2815" spans="1:3" x14ac:dyDescent="0.3">
      <c r="A2815" t="str">
        <f>IF(AND(FORSIDE!$B$8&gt;=11,FORSIDE!$F$8&gt;=2,FORSIDE!$B$5&gt;=4),"S2814","")</f>
        <v/>
      </c>
      <c r="B2815" t="str">
        <f>IF(AND(FORSIDE!$B$8&gt;=11,FORSIDE!$F$8&gt;=2,FORSIDE!$B$5&gt;=4),"577 -&gt; 588","")</f>
        <v/>
      </c>
      <c r="C2815" t="str">
        <f>FORSIDE!$C$3</f>
        <v>S355, Stål / VFHUP 140x140x8.0</v>
      </c>
    </row>
    <row r="2816" spans="1:3" x14ac:dyDescent="0.3">
      <c r="A2816" t="str">
        <f>IF(AND(FORSIDE!$B$8&gt;=11,FORSIDE!$F$8&gt;=2,FORSIDE!$B$5&gt;=5),"S2815","")</f>
        <v/>
      </c>
      <c r="B2816" t="str">
        <f>IF(AND(FORSIDE!$B$8&gt;=11,FORSIDE!$F$8&gt;=2,FORSIDE!$B$5&gt;=5),"578 -&gt; 589","")</f>
        <v/>
      </c>
      <c r="C2816" t="str">
        <f>FORSIDE!$C$3</f>
        <v>S355, Stål / VFHUP 140x140x8.0</v>
      </c>
    </row>
    <row r="2817" spans="1:3" x14ac:dyDescent="0.3">
      <c r="A2817" t="str">
        <f>IF(AND(FORSIDE!$B$8&gt;=11,FORSIDE!$F$8&gt;=2,FORSIDE!$B$5&gt;=6),"S2816","")</f>
        <v/>
      </c>
      <c r="B2817" t="str">
        <f>IF(AND(FORSIDE!$B$8&gt;=11,FORSIDE!$F$8&gt;=2,FORSIDE!$B$5&gt;=6),"579 -&gt; 590","")</f>
        <v/>
      </c>
      <c r="C2817" t="str">
        <f>FORSIDE!$C$3</f>
        <v>S355, Stål / VFHUP 140x140x8.0</v>
      </c>
    </row>
    <row r="2818" spans="1:3" x14ac:dyDescent="0.3">
      <c r="A2818" t="str">
        <f>IF(AND(FORSIDE!$B$8&gt;=11,FORSIDE!$F$8&gt;=2,FORSIDE!$B$5&gt;=7),"S2817","")</f>
        <v/>
      </c>
      <c r="B2818" t="str">
        <f>IF(AND(FORSIDE!$B$8&gt;=11,FORSIDE!$F$8&gt;=2,FORSIDE!$B$5&gt;=7),"580 -&gt; 591","")</f>
        <v/>
      </c>
      <c r="C2818" t="str">
        <f>FORSIDE!$C$3</f>
        <v>S355, Stål / VFHUP 140x140x8.0</v>
      </c>
    </row>
    <row r="2819" spans="1:3" x14ac:dyDescent="0.3">
      <c r="A2819" t="str">
        <f>IF(AND(FORSIDE!$B$8&gt;=11,FORSIDE!$F$8&gt;=2,FORSIDE!$B$5&gt;=8),"S2818","")</f>
        <v/>
      </c>
      <c r="B2819" t="str">
        <f>IF(AND(FORSIDE!$B$8&gt;=11,FORSIDE!$F$8&gt;=2,FORSIDE!$B$5&gt;=8),"581 -&gt; 592","")</f>
        <v/>
      </c>
      <c r="C2819" t="str">
        <f>FORSIDE!$C$3</f>
        <v>S355, Stål / VFHUP 140x140x8.0</v>
      </c>
    </row>
    <row r="2820" spans="1:3" x14ac:dyDescent="0.3">
      <c r="A2820" t="str">
        <f>IF(AND(FORSIDE!$B$8&gt;=11,FORSIDE!$F$8&gt;=2,FORSIDE!$B$5&gt;=9),"S2819","")</f>
        <v/>
      </c>
      <c r="B2820" t="str">
        <f>IF(AND(FORSIDE!$B$8&gt;=11,FORSIDE!$F$8&gt;=2,FORSIDE!$B$5&gt;=9),"582 -&gt; 593","")</f>
        <v/>
      </c>
      <c r="C2820" t="str">
        <f>FORSIDE!$C$3</f>
        <v>S355, Stål / VFHUP 140x140x8.0</v>
      </c>
    </row>
    <row r="2821" spans="1:3" x14ac:dyDescent="0.3">
      <c r="A2821" t="str">
        <f>IF(AND(FORSIDE!$B$8&gt;=11,FORSIDE!$F$8&gt;=2,FORSIDE!$B$5&gt;=10),"S2820","")</f>
        <v/>
      </c>
      <c r="B2821" t="str">
        <f>IF(AND(FORSIDE!$B$8&gt;=11,FORSIDE!$F$8&gt;=2,FORSIDE!$B$5&gt;=10),"583 -&gt; 594","")</f>
        <v/>
      </c>
      <c r="C2821" t="str">
        <f>FORSIDE!$C$3</f>
        <v>S355, Stål / VFHUP 140x140x8.0</v>
      </c>
    </row>
    <row r="2822" spans="1:3" x14ac:dyDescent="0.3">
      <c r="A2822" t="str">
        <f>IF(AND(FORSIDE!$B$8&gt;=12,FORSIDE!$F$8&gt;=2,FORSIDE!$B$5&gt;=1),"S2821","")</f>
        <v/>
      </c>
      <c r="B2822" t="str">
        <f>IF(AND(FORSIDE!$B$8&gt;=12,FORSIDE!$F$8&gt;=2,FORSIDE!$B$5&gt;=1),"585 -&gt; 596","")</f>
        <v/>
      </c>
      <c r="C2822" t="str">
        <f>FORSIDE!$C$3</f>
        <v>S355, Stål / VFHUP 140x140x8.0</v>
      </c>
    </row>
    <row r="2823" spans="1:3" x14ac:dyDescent="0.3">
      <c r="A2823" t="str">
        <f>IF(AND(FORSIDE!$B$8&gt;=12,FORSIDE!$F$8&gt;=2,FORSIDE!$B$5&gt;=2),"S2822","")</f>
        <v/>
      </c>
      <c r="B2823" t="str">
        <f>IF(AND(FORSIDE!$B$8&gt;=12,FORSIDE!$F$8&gt;=2,FORSIDE!$B$5&gt;=2),"586 -&gt; 597","")</f>
        <v/>
      </c>
      <c r="C2823" t="str">
        <f>FORSIDE!$C$3</f>
        <v>S355, Stål / VFHUP 140x140x8.0</v>
      </c>
    </row>
    <row r="2824" spans="1:3" x14ac:dyDescent="0.3">
      <c r="A2824" t="str">
        <f>IF(AND(FORSIDE!$B$8&gt;=12,FORSIDE!$F$8&gt;=2,FORSIDE!$B$5&gt;=3),"S2823","")</f>
        <v/>
      </c>
      <c r="B2824" t="str">
        <f>IF(AND(FORSIDE!$B$8&gt;=12,FORSIDE!$F$8&gt;=2,FORSIDE!$B$5&gt;=3),"587 -&gt; 598","")</f>
        <v/>
      </c>
      <c r="C2824" t="str">
        <f>FORSIDE!$C$3</f>
        <v>S355, Stål / VFHUP 140x140x8.0</v>
      </c>
    </row>
    <row r="2825" spans="1:3" x14ac:dyDescent="0.3">
      <c r="A2825" t="str">
        <f>IF(AND(FORSIDE!$B$8&gt;=12,FORSIDE!$F$8&gt;=2,FORSIDE!$B$5&gt;=4),"S2824","")</f>
        <v/>
      </c>
      <c r="B2825" t="str">
        <f>IF(AND(FORSIDE!$B$8&gt;=12,FORSIDE!$F$8&gt;=2,FORSIDE!$B$5&gt;=4),"588 -&gt; 599","")</f>
        <v/>
      </c>
      <c r="C2825" t="str">
        <f>FORSIDE!$C$3</f>
        <v>S355, Stål / VFHUP 140x140x8.0</v>
      </c>
    </row>
    <row r="2826" spans="1:3" x14ac:dyDescent="0.3">
      <c r="A2826" t="str">
        <f>IF(AND(FORSIDE!$B$8&gt;=12,FORSIDE!$F$8&gt;=2,FORSIDE!$B$5&gt;=5),"S2825","")</f>
        <v/>
      </c>
      <c r="B2826" t="str">
        <f>IF(AND(FORSIDE!$B$8&gt;=12,FORSIDE!$F$8&gt;=2,FORSIDE!$B$5&gt;=5),"589 -&gt; 600","")</f>
        <v/>
      </c>
      <c r="C2826" t="str">
        <f>FORSIDE!$C$3</f>
        <v>S355, Stål / VFHUP 140x140x8.0</v>
      </c>
    </row>
    <row r="2827" spans="1:3" x14ac:dyDescent="0.3">
      <c r="A2827" t="str">
        <f>IF(AND(FORSIDE!$B$8&gt;=12,FORSIDE!$F$8&gt;=2,FORSIDE!$B$5&gt;=6),"S2826","")</f>
        <v/>
      </c>
      <c r="B2827" t="str">
        <f>IF(AND(FORSIDE!$B$8&gt;=12,FORSIDE!$F$8&gt;=2,FORSIDE!$B$5&gt;=6),"590 -&gt; 601","")</f>
        <v/>
      </c>
      <c r="C2827" t="str">
        <f>FORSIDE!$C$3</f>
        <v>S355, Stål / VFHUP 140x140x8.0</v>
      </c>
    </row>
    <row r="2828" spans="1:3" x14ac:dyDescent="0.3">
      <c r="A2828" t="str">
        <f>IF(AND(FORSIDE!$B$8&gt;=12,FORSIDE!$F$8&gt;=2,FORSIDE!$B$5&gt;=7),"S2827","")</f>
        <v/>
      </c>
      <c r="B2828" t="str">
        <f>IF(AND(FORSIDE!$B$8&gt;=12,FORSIDE!$F$8&gt;=2,FORSIDE!$B$5&gt;=7),"591 -&gt; 602","")</f>
        <v/>
      </c>
      <c r="C2828" t="str">
        <f>FORSIDE!$C$3</f>
        <v>S355, Stål / VFHUP 140x140x8.0</v>
      </c>
    </row>
    <row r="2829" spans="1:3" x14ac:dyDescent="0.3">
      <c r="A2829" t="str">
        <f>IF(AND(FORSIDE!$B$8&gt;=12,FORSIDE!$F$8&gt;=2,FORSIDE!$B$5&gt;=8),"S2828","")</f>
        <v/>
      </c>
      <c r="B2829" t="str">
        <f>IF(AND(FORSIDE!$B$8&gt;=12,FORSIDE!$F$8&gt;=2,FORSIDE!$B$5&gt;=8),"592 -&gt; 603","")</f>
        <v/>
      </c>
      <c r="C2829" t="str">
        <f>FORSIDE!$C$3</f>
        <v>S355, Stål / VFHUP 140x140x8.0</v>
      </c>
    </row>
    <row r="2830" spans="1:3" x14ac:dyDescent="0.3">
      <c r="A2830" t="str">
        <f>IF(AND(FORSIDE!$B$8&gt;=12,FORSIDE!$F$8&gt;=2,FORSIDE!$B$5&gt;=9),"S2829","")</f>
        <v/>
      </c>
      <c r="B2830" t="str">
        <f>IF(AND(FORSIDE!$B$8&gt;=12,FORSIDE!$F$8&gt;=2,FORSIDE!$B$5&gt;=9),"593 -&gt; 604","")</f>
        <v/>
      </c>
      <c r="C2830" t="str">
        <f>FORSIDE!$C$3</f>
        <v>S355, Stål / VFHUP 140x140x8.0</v>
      </c>
    </row>
    <row r="2831" spans="1:3" x14ac:dyDescent="0.3">
      <c r="A2831" t="str">
        <f>IF(AND(FORSIDE!$B$8&gt;=12,FORSIDE!$F$8&gt;=2,FORSIDE!$B$5&gt;=10),"S2830","")</f>
        <v/>
      </c>
      <c r="B2831" t="str">
        <f>IF(AND(FORSIDE!$B$8&gt;=12,FORSIDE!$F$8&gt;=2,FORSIDE!$B$5&gt;=10),"594 -&gt; 605","")</f>
        <v/>
      </c>
      <c r="C2831" t="str">
        <f>FORSIDE!$C$3</f>
        <v>S355, Stål / VFHUP 140x140x8.0</v>
      </c>
    </row>
    <row r="2832" spans="1:3" x14ac:dyDescent="0.3">
      <c r="A2832" t="str">
        <f>IF(AND(FORSIDE!$B$8&gt;=13,FORSIDE!$F$8&gt;=2,FORSIDE!$B$5&gt;=1),"S2831","")</f>
        <v/>
      </c>
      <c r="B2832" t="str">
        <f>IF(AND(FORSIDE!$B$8&gt;=13,FORSIDE!$F$8&gt;=2,FORSIDE!$B$5&gt;=1),"596 -&gt; 607","")</f>
        <v/>
      </c>
      <c r="C2832" t="str">
        <f>FORSIDE!$C$3</f>
        <v>S355, Stål / VFHUP 140x140x8.0</v>
      </c>
    </row>
    <row r="2833" spans="1:3" x14ac:dyDescent="0.3">
      <c r="A2833" t="str">
        <f>IF(AND(FORSIDE!$B$8&gt;=13,FORSIDE!$F$8&gt;=2,FORSIDE!$B$5&gt;=2),"S2832","")</f>
        <v/>
      </c>
      <c r="B2833" t="str">
        <f>IF(AND(FORSIDE!$B$8&gt;=13,FORSIDE!$F$8&gt;=2,FORSIDE!$B$5&gt;=2),"597 -&gt; 608","")</f>
        <v/>
      </c>
      <c r="C2833" t="str">
        <f>FORSIDE!$C$3</f>
        <v>S355, Stål / VFHUP 140x140x8.0</v>
      </c>
    </row>
    <row r="2834" spans="1:3" x14ac:dyDescent="0.3">
      <c r="A2834" t="str">
        <f>IF(AND(FORSIDE!$B$8&gt;=13,FORSIDE!$F$8&gt;=2,FORSIDE!$B$5&gt;=3),"S2833","")</f>
        <v/>
      </c>
      <c r="B2834" t="str">
        <f>IF(AND(FORSIDE!$B$8&gt;=13,FORSIDE!$F$8&gt;=2,FORSIDE!$B$5&gt;=3),"598 -&gt; 609","")</f>
        <v/>
      </c>
      <c r="C2834" t="str">
        <f>FORSIDE!$C$3</f>
        <v>S355, Stål / VFHUP 140x140x8.0</v>
      </c>
    </row>
    <row r="2835" spans="1:3" x14ac:dyDescent="0.3">
      <c r="A2835" t="str">
        <f>IF(AND(FORSIDE!$B$8&gt;=13,FORSIDE!$F$8&gt;=2,FORSIDE!$B$5&gt;=4),"S2834","")</f>
        <v/>
      </c>
      <c r="B2835" t="str">
        <f>IF(AND(FORSIDE!$B$8&gt;=13,FORSIDE!$F$8&gt;=2,FORSIDE!$B$5&gt;=4),"599 -&gt; 610","")</f>
        <v/>
      </c>
      <c r="C2835" t="str">
        <f>FORSIDE!$C$3</f>
        <v>S355, Stål / VFHUP 140x140x8.0</v>
      </c>
    </row>
    <row r="2836" spans="1:3" x14ac:dyDescent="0.3">
      <c r="A2836" t="str">
        <f>IF(AND(FORSIDE!$B$8&gt;=13,FORSIDE!$F$8&gt;=2,FORSIDE!$B$5&gt;=5),"S2835","")</f>
        <v/>
      </c>
      <c r="B2836" t="str">
        <f>IF(AND(FORSIDE!$B$8&gt;=13,FORSIDE!$F$8&gt;=2,FORSIDE!$B$5&gt;=5),"600 -&gt; 611","")</f>
        <v/>
      </c>
      <c r="C2836" t="str">
        <f>FORSIDE!$C$3</f>
        <v>S355, Stål / VFHUP 140x140x8.0</v>
      </c>
    </row>
    <row r="2837" spans="1:3" x14ac:dyDescent="0.3">
      <c r="A2837" t="str">
        <f>IF(AND(FORSIDE!$B$8&gt;=13,FORSIDE!$F$8&gt;=2,FORSIDE!$B$5&gt;=6),"S2836","")</f>
        <v/>
      </c>
      <c r="B2837" t="str">
        <f>IF(AND(FORSIDE!$B$8&gt;=13,FORSIDE!$F$8&gt;=2,FORSIDE!$B$5&gt;=6),"601 -&gt; 612","")</f>
        <v/>
      </c>
      <c r="C2837" t="str">
        <f>FORSIDE!$C$3</f>
        <v>S355, Stål / VFHUP 140x140x8.0</v>
      </c>
    </row>
    <row r="2838" spans="1:3" x14ac:dyDescent="0.3">
      <c r="A2838" t="str">
        <f>IF(AND(FORSIDE!$B$8&gt;=13,FORSIDE!$F$8&gt;=2,FORSIDE!$B$5&gt;=7),"S2837","")</f>
        <v/>
      </c>
      <c r="B2838" t="str">
        <f>IF(AND(FORSIDE!$B$8&gt;=13,FORSIDE!$F$8&gt;=2,FORSIDE!$B$5&gt;=7),"602 -&gt; 613","")</f>
        <v/>
      </c>
      <c r="C2838" t="str">
        <f>FORSIDE!$C$3</f>
        <v>S355, Stål / VFHUP 140x140x8.0</v>
      </c>
    </row>
    <row r="2839" spans="1:3" x14ac:dyDescent="0.3">
      <c r="A2839" t="str">
        <f>IF(AND(FORSIDE!$B$8&gt;=13,FORSIDE!$F$8&gt;=2,FORSIDE!$B$5&gt;=8),"S2838","")</f>
        <v/>
      </c>
      <c r="B2839" t="str">
        <f>IF(AND(FORSIDE!$B$8&gt;=13,FORSIDE!$F$8&gt;=2,FORSIDE!$B$5&gt;=8),"603 -&gt; 614","")</f>
        <v/>
      </c>
      <c r="C2839" t="str">
        <f>FORSIDE!$C$3</f>
        <v>S355, Stål / VFHUP 140x140x8.0</v>
      </c>
    </row>
    <row r="2840" spans="1:3" x14ac:dyDescent="0.3">
      <c r="A2840" t="str">
        <f>IF(AND(FORSIDE!$B$8&gt;=13,FORSIDE!$F$8&gt;=2,FORSIDE!$B$5&gt;=9),"S2839","")</f>
        <v/>
      </c>
      <c r="B2840" t="str">
        <f>IF(AND(FORSIDE!$B$8&gt;=13,FORSIDE!$F$8&gt;=2,FORSIDE!$B$5&gt;=9),"604 -&gt; 615","")</f>
        <v/>
      </c>
      <c r="C2840" t="str">
        <f>FORSIDE!$C$3</f>
        <v>S355, Stål / VFHUP 140x140x8.0</v>
      </c>
    </row>
    <row r="2841" spans="1:3" x14ac:dyDescent="0.3">
      <c r="A2841" t="str">
        <f>IF(AND(FORSIDE!$B$8&gt;=13,FORSIDE!$F$8&gt;=2,FORSIDE!$B$5&gt;=10),"S2840","")</f>
        <v/>
      </c>
      <c r="B2841" t="str">
        <f>IF(AND(FORSIDE!$B$8&gt;=13,FORSIDE!$F$8&gt;=2,FORSIDE!$B$5&gt;=10),"605 -&gt; 616","")</f>
        <v/>
      </c>
      <c r="C2841" t="str">
        <f>FORSIDE!$C$3</f>
        <v>S355, Stål / VFHUP 140x140x8.0</v>
      </c>
    </row>
    <row r="2842" spans="1:3" x14ac:dyDescent="0.3">
      <c r="A2842" t="str">
        <f>IF(AND(FORSIDE!$B$8&gt;=14,FORSIDE!$F$8&gt;=2,FORSIDE!$B$5&gt;=1),"S2841","")</f>
        <v/>
      </c>
      <c r="B2842" t="str">
        <f>IF(AND(FORSIDE!$B$8&gt;=14,FORSIDE!$F$8&gt;=2,FORSIDE!$B$5&gt;=1),"607 -&gt; 618","")</f>
        <v/>
      </c>
      <c r="C2842" t="str">
        <f>FORSIDE!$C$3</f>
        <v>S355, Stål / VFHUP 140x140x8.0</v>
      </c>
    </row>
    <row r="2843" spans="1:3" x14ac:dyDescent="0.3">
      <c r="A2843" t="str">
        <f>IF(AND(FORSIDE!$B$8&gt;=14,FORSIDE!$F$8&gt;=2,FORSIDE!$B$5&gt;=2),"S2842","")</f>
        <v/>
      </c>
      <c r="B2843" t="str">
        <f>IF(AND(FORSIDE!$B$8&gt;=14,FORSIDE!$F$8&gt;=2,FORSIDE!$B$5&gt;=2),"608 -&gt; 619","")</f>
        <v/>
      </c>
      <c r="C2843" t="str">
        <f>FORSIDE!$C$3</f>
        <v>S355, Stål / VFHUP 140x140x8.0</v>
      </c>
    </row>
    <row r="2844" spans="1:3" x14ac:dyDescent="0.3">
      <c r="A2844" t="str">
        <f>IF(AND(FORSIDE!$B$8&gt;=14,FORSIDE!$F$8&gt;=2,FORSIDE!$B$5&gt;=3),"S2843","")</f>
        <v/>
      </c>
      <c r="B2844" t="str">
        <f>IF(AND(FORSIDE!$B$8&gt;=14,FORSIDE!$F$8&gt;=2,FORSIDE!$B$5&gt;=3),"609 -&gt; 620","")</f>
        <v/>
      </c>
      <c r="C2844" t="str">
        <f>FORSIDE!$C$3</f>
        <v>S355, Stål / VFHUP 140x140x8.0</v>
      </c>
    </row>
    <row r="2845" spans="1:3" x14ac:dyDescent="0.3">
      <c r="A2845" t="str">
        <f>IF(AND(FORSIDE!$B$8&gt;=14,FORSIDE!$F$8&gt;=2,FORSIDE!$B$5&gt;=4),"S2844","")</f>
        <v/>
      </c>
      <c r="B2845" t="str">
        <f>IF(AND(FORSIDE!$B$8&gt;=14,FORSIDE!$F$8&gt;=2,FORSIDE!$B$5&gt;=4),"610 -&gt; 621","")</f>
        <v/>
      </c>
      <c r="C2845" t="str">
        <f>FORSIDE!$C$3</f>
        <v>S355, Stål / VFHUP 140x140x8.0</v>
      </c>
    </row>
    <row r="2846" spans="1:3" x14ac:dyDescent="0.3">
      <c r="A2846" t="str">
        <f>IF(AND(FORSIDE!$B$8&gt;=14,FORSIDE!$F$8&gt;=2,FORSIDE!$B$5&gt;=5),"S2845","")</f>
        <v/>
      </c>
      <c r="B2846" t="str">
        <f>IF(AND(FORSIDE!$B$8&gt;=14,FORSIDE!$F$8&gt;=2,FORSIDE!$B$5&gt;=5),"611 -&gt; 622","")</f>
        <v/>
      </c>
      <c r="C2846" t="str">
        <f>FORSIDE!$C$3</f>
        <v>S355, Stål / VFHUP 140x140x8.0</v>
      </c>
    </row>
    <row r="2847" spans="1:3" x14ac:dyDescent="0.3">
      <c r="A2847" t="str">
        <f>IF(AND(FORSIDE!$B$8&gt;=14,FORSIDE!$F$8&gt;=2,FORSIDE!$B$5&gt;=6),"S2846","")</f>
        <v/>
      </c>
      <c r="B2847" t="str">
        <f>IF(AND(FORSIDE!$B$8&gt;=14,FORSIDE!$F$8&gt;=2,FORSIDE!$B$5&gt;=6),"612 -&gt; 623","")</f>
        <v/>
      </c>
      <c r="C2847" t="str">
        <f>FORSIDE!$C$3</f>
        <v>S355, Stål / VFHUP 140x140x8.0</v>
      </c>
    </row>
    <row r="2848" spans="1:3" x14ac:dyDescent="0.3">
      <c r="A2848" t="str">
        <f>IF(AND(FORSIDE!$B$8&gt;=14,FORSIDE!$F$8&gt;=2,FORSIDE!$B$5&gt;=7),"S2847","")</f>
        <v/>
      </c>
      <c r="B2848" t="str">
        <f>IF(AND(FORSIDE!$B$8&gt;=14,FORSIDE!$F$8&gt;=2,FORSIDE!$B$5&gt;=7),"613 -&gt; 624","")</f>
        <v/>
      </c>
      <c r="C2848" t="str">
        <f>FORSIDE!$C$3</f>
        <v>S355, Stål / VFHUP 140x140x8.0</v>
      </c>
    </row>
    <row r="2849" spans="1:3" x14ac:dyDescent="0.3">
      <c r="A2849" t="str">
        <f>IF(AND(FORSIDE!$B$8&gt;=14,FORSIDE!$F$8&gt;=2,FORSIDE!$B$5&gt;=8),"S2848","")</f>
        <v/>
      </c>
      <c r="B2849" t="str">
        <f>IF(AND(FORSIDE!$B$8&gt;=14,FORSIDE!$F$8&gt;=2,FORSIDE!$B$5&gt;=8),"614 -&gt; 625","")</f>
        <v/>
      </c>
      <c r="C2849" t="str">
        <f>FORSIDE!$C$3</f>
        <v>S355, Stål / VFHUP 140x140x8.0</v>
      </c>
    </row>
    <row r="2850" spans="1:3" x14ac:dyDescent="0.3">
      <c r="A2850" t="str">
        <f>IF(AND(FORSIDE!$B$8&gt;=14,FORSIDE!$F$8&gt;=2,FORSIDE!$B$5&gt;=9),"S2849","")</f>
        <v/>
      </c>
      <c r="B2850" t="str">
        <f>IF(AND(FORSIDE!$B$8&gt;=14,FORSIDE!$F$8&gt;=2,FORSIDE!$B$5&gt;=9),"615 -&gt; 626","")</f>
        <v/>
      </c>
      <c r="C2850" t="str">
        <f>FORSIDE!$C$3</f>
        <v>S355, Stål / VFHUP 140x140x8.0</v>
      </c>
    </row>
    <row r="2851" spans="1:3" x14ac:dyDescent="0.3">
      <c r="A2851" t="str">
        <f>IF(AND(FORSIDE!$B$8&gt;=14,FORSIDE!$F$8&gt;=2,FORSIDE!$B$5&gt;=10),"S2850","")</f>
        <v/>
      </c>
      <c r="B2851" t="str">
        <f>IF(AND(FORSIDE!$B$8&gt;=14,FORSIDE!$F$8&gt;=2,FORSIDE!$B$5&gt;=10),"616 -&gt; 627","")</f>
        <v/>
      </c>
      <c r="C2851" t="str">
        <f>FORSIDE!$C$3</f>
        <v>S355, Stål / VFHUP 140x140x8.0</v>
      </c>
    </row>
    <row r="2852" spans="1:3" x14ac:dyDescent="0.3">
      <c r="A2852" t="str">
        <f>IF(AND(FORSIDE!$B$8&gt;=15,FORSIDE!$F$8&gt;=2,FORSIDE!$B$5&gt;=1),"S2851","")</f>
        <v/>
      </c>
      <c r="B2852" t="str">
        <f>IF(AND(FORSIDE!$B$8&gt;=15,FORSIDE!$F$8&gt;=2,FORSIDE!$B$5&gt;=1),"618 -&gt; 629","")</f>
        <v/>
      </c>
      <c r="C2852" t="str">
        <f>FORSIDE!$C$3</f>
        <v>S355, Stål / VFHUP 140x140x8.0</v>
      </c>
    </row>
    <row r="2853" spans="1:3" x14ac:dyDescent="0.3">
      <c r="A2853" t="str">
        <f>IF(AND(FORSIDE!$B$8&gt;=15,FORSIDE!$F$8&gt;=2,FORSIDE!$B$5&gt;=2),"S2852","")</f>
        <v/>
      </c>
      <c r="B2853" t="str">
        <f>IF(AND(FORSIDE!$B$8&gt;=15,FORSIDE!$F$8&gt;=2,FORSIDE!$B$5&gt;=2),"619 -&gt; 630","")</f>
        <v/>
      </c>
      <c r="C2853" t="str">
        <f>FORSIDE!$C$3</f>
        <v>S355, Stål / VFHUP 140x140x8.0</v>
      </c>
    </row>
    <row r="2854" spans="1:3" x14ac:dyDescent="0.3">
      <c r="A2854" t="str">
        <f>IF(AND(FORSIDE!$B$8&gt;=15,FORSIDE!$F$8&gt;=2,FORSIDE!$B$5&gt;=3),"S2853","")</f>
        <v/>
      </c>
      <c r="B2854" t="str">
        <f>IF(AND(FORSIDE!$B$8&gt;=15,FORSIDE!$F$8&gt;=2,FORSIDE!$B$5&gt;=3),"620 -&gt; 631","")</f>
        <v/>
      </c>
      <c r="C2854" t="str">
        <f>FORSIDE!$C$3</f>
        <v>S355, Stål / VFHUP 140x140x8.0</v>
      </c>
    </row>
    <row r="2855" spans="1:3" x14ac:dyDescent="0.3">
      <c r="A2855" t="str">
        <f>IF(AND(FORSIDE!$B$8&gt;=15,FORSIDE!$F$8&gt;=2,FORSIDE!$B$5&gt;=4),"S2854","")</f>
        <v/>
      </c>
      <c r="B2855" t="str">
        <f>IF(AND(FORSIDE!$B$8&gt;=15,FORSIDE!$F$8&gt;=2,FORSIDE!$B$5&gt;=4),"621 -&gt; 632","")</f>
        <v/>
      </c>
      <c r="C2855" t="str">
        <f>FORSIDE!$C$3</f>
        <v>S355, Stål / VFHUP 140x140x8.0</v>
      </c>
    </row>
    <row r="2856" spans="1:3" x14ac:dyDescent="0.3">
      <c r="A2856" t="str">
        <f>IF(AND(FORSIDE!$B$8&gt;=15,FORSIDE!$F$8&gt;=2,FORSIDE!$B$5&gt;=5),"S2855","")</f>
        <v/>
      </c>
      <c r="B2856" t="str">
        <f>IF(AND(FORSIDE!$B$8&gt;=15,FORSIDE!$F$8&gt;=2,FORSIDE!$B$5&gt;=5),"622 -&gt; 633","")</f>
        <v/>
      </c>
      <c r="C2856" t="str">
        <f>FORSIDE!$C$3</f>
        <v>S355, Stål / VFHUP 140x140x8.0</v>
      </c>
    </row>
    <row r="2857" spans="1:3" x14ac:dyDescent="0.3">
      <c r="A2857" t="str">
        <f>IF(AND(FORSIDE!$B$8&gt;=15,FORSIDE!$F$8&gt;=2,FORSIDE!$B$5&gt;=6),"S2856","")</f>
        <v/>
      </c>
      <c r="B2857" t="str">
        <f>IF(AND(FORSIDE!$B$8&gt;=15,FORSIDE!$F$8&gt;=2,FORSIDE!$B$5&gt;=6),"623 -&gt; 634","")</f>
        <v/>
      </c>
      <c r="C2857" t="str">
        <f>FORSIDE!$C$3</f>
        <v>S355, Stål / VFHUP 140x140x8.0</v>
      </c>
    </row>
    <row r="2858" spans="1:3" x14ac:dyDescent="0.3">
      <c r="A2858" t="str">
        <f>IF(AND(FORSIDE!$B$8&gt;=15,FORSIDE!$F$8&gt;=2,FORSIDE!$B$5&gt;=7),"S2857","")</f>
        <v/>
      </c>
      <c r="B2858" t="str">
        <f>IF(AND(FORSIDE!$B$8&gt;=15,FORSIDE!$F$8&gt;=2,FORSIDE!$B$5&gt;=7),"624 -&gt; 635","")</f>
        <v/>
      </c>
      <c r="C2858" t="str">
        <f>FORSIDE!$C$3</f>
        <v>S355, Stål / VFHUP 140x140x8.0</v>
      </c>
    </row>
    <row r="2859" spans="1:3" x14ac:dyDescent="0.3">
      <c r="A2859" t="str">
        <f>IF(AND(FORSIDE!$B$8&gt;=15,FORSIDE!$F$8&gt;=2,FORSIDE!$B$5&gt;=8),"S2858","")</f>
        <v/>
      </c>
      <c r="B2859" t="str">
        <f>IF(AND(FORSIDE!$B$8&gt;=15,FORSIDE!$F$8&gt;=2,FORSIDE!$B$5&gt;=8),"625 -&gt; 636","")</f>
        <v/>
      </c>
      <c r="C2859" t="str">
        <f>FORSIDE!$C$3</f>
        <v>S355, Stål / VFHUP 140x140x8.0</v>
      </c>
    </row>
    <row r="2860" spans="1:3" x14ac:dyDescent="0.3">
      <c r="A2860" t="str">
        <f>IF(AND(FORSIDE!$B$8&gt;=15,FORSIDE!$F$8&gt;=2,FORSIDE!$B$5&gt;=9),"S2859","")</f>
        <v/>
      </c>
      <c r="B2860" t="str">
        <f>IF(AND(FORSIDE!$B$8&gt;=15,FORSIDE!$F$8&gt;=2,FORSIDE!$B$5&gt;=9),"626 -&gt; 637","")</f>
        <v/>
      </c>
      <c r="C2860" t="str">
        <f>FORSIDE!$C$3</f>
        <v>S355, Stål / VFHUP 140x140x8.0</v>
      </c>
    </row>
    <row r="2861" spans="1:3" x14ac:dyDescent="0.3">
      <c r="A2861" t="str">
        <f>IF(AND(FORSIDE!$B$8&gt;=15,FORSIDE!$F$8&gt;=2,FORSIDE!$B$5&gt;=10),"S2860","")</f>
        <v/>
      </c>
      <c r="B2861" t="str">
        <f>IF(AND(FORSIDE!$B$8&gt;=15,FORSIDE!$F$8&gt;=2,FORSIDE!$B$5&gt;=10),"627 -&gt; 638","")</f>
        <v/>
      </c>
      <c r="C2861" t="str">
        <f>FORSIDE!$C$3</f>
        <v>S355, Stål / VFHUP 140x140x8.0</v>
      </c>
    </row>
    <row r="2862" spans="1:3" x14ac:dyDescent="0.3">
      <c r="A2862" t="str">
        <f>IF(AND(FORSIDE!$B$8&gt;=16,FORSIDE!$F$8&gt;=2,FORSIDE!$B$5&gt;=1),"S2861","")</f>
        <v/>
      </c>
      <c r="B2862" t="str">
        <f>IF(AND(FORSIDE!$B$8&gt;=16,FORSIDE!$F$8&gt;=2,FORSIDE!$B$5&gt;=1),"629 -&gt; 640","")</f>
        <v/>
      </c>
      <c r="C2862" t="str">
        <f>FORSIDE!$C$3</f>
        <v>S355, Stål / VFHUP 140x140x8.0</v>
      </c>
    </row>
    <row r="2863" spans="1:3" x14ac:dyDescent="0.3">
      <c r="A2863" t="str">
        <f>IF(AND(FORSIDE!$B$8&gt;=16,FORSIDE!$F$8&gt;=2,FORSIDE!$B$5&gt;=2),"S2862","")</f>
        <v/>
      </c>
      <c r="B2863" t="str">
        <f>IF(AND(FORSIDE!$B$8&gt;=16,FORSIDE!$F$8&gt;=2,FORSIDE!$B$5&gt;=2),"630 -&gt; 641","")</f>
        <v/>
      </c>
      <c r="C2863" t="str">
        <f>FORSIDE!$C$3</f>
        <v>S355, Stål / VFHUP 140x140x8.0</v>
      </c>
    </row>
    <row r="2864" spans="1:3" x14ac:dyDescent="0.3">
      <c r="A2864" t="str">
        <f>IF(AND(FORSIDE!$B$8&gt;=16,FORSIDE!$F$8&gt;=2,FORSIDE!$B$5&gt;=3),"S2863","")</f>
        <v/>
      </c>
      <c r="B2864" t="str">
        <f>IF(AND(FORSIDE!$B$8&gt;=16,FORSIDE!$F$8&gt;=2,FORSIDE!$B$5&gt;=3),"631 -&gt; 642","")</f>
        <v/>
      </c>
      <c r="C2864" t="str">
        <f>FORSIDE!$C$3</f>
        <v>S355, Stål / VFHUP 140x140x8.0</v>
      </c>
    </row>
    <row r="2865" spans="1:3" x14ac:dyDescent="0.3">
      <c r="A2865" t="str">
        <f>IF(AND(FORSIDE!$B$8&gt;=16,FORSIDE!$F$8&gt;=2,FORSIDE!$B$5&gt;=4),"S2864","")</f>
        <v/>
      </c>
      <c r="B2865" t="str">
        <f>IF(AND(FORSIDE!$B$8&gt;=16,FORSIDE!$F$8&gt;=2,FORSIDE!$B$5&gt;=4),"632 -&gt; 643","")</f>
        <v/>
      </c>
      <c r="C2865" t="str">
        <f>FORSIDE!$C$3</f>
        <v>S355, Stål / VFHUP 140x140x8.0</v>
      </c>
    </row>
    <row r="2866" spans="1:3" x14ac:dyDescent="0.3">
      <c r="A2866" t="str">
        <f>IF(AND(FORSIDE!$B$8&gt;=16,FORSIDE!$F$8&gt;=2,FORSIDE!$B$5&gt;=5),"S2865","")</f>
        <v/>
      </c>
      <c r="B2866" t="str">
        <f>IF(AND(FORSIDE!$B$8&gt;=16,FORSIDE!$F$8&gt;=2,FORSIDE!$B$5&gt;=5),"633 -&gt; 644","")</f>
        <v/>
      </c>
      <c r="C2866" t="str">
        <f>FORSIDE!$C$3</f>
        <v>S355, Stål / VFHUP 140x140x8.0</v>
      </c>
    </row>
    <row r="2867" spans="1:3" x14ac:dyDescent="0.3">
      <c r="A2867" t="str">
        <f>IF(AND(FORSIDE!$B$8&gt;=16,FORSIDE!$F$8&gt;=2,FORSIDE!$B$5&gt;=6),"S2866","")</f>
        <v/>
      </c>
      <c r="B2867" t="str">
        <f>IF(AND(FORSIDE!$B$8&gt;=16,FORSIDE!$F$8&gt;=2,FORSIDE!$B$5&gt;=6),"634 -&gt; 645","")</f>
        <v/>
      </c>
      <c r="C2867" t="str">
        <f>FORSIDE!$C$3</f>
        <v>S355, Stål / VFHUP 140x140x8.0</v>
      </c>
    </row>
    <row r="2868" spans="1:3" x14ac:dyDescent="0.3">
      <c r="A2868" t="str">
        <f>IF(AND(FORSIDE!$B$8&gt;=16,FORSIDE!$F$8&gt;=2,FORSIDE!$B$5&gt;=7),"S2867","")</f>
        <v/>
      </c>
      <c r="B2868" t="str">
        <f>IF(AND(FORSIDE!$B$8&gt;=16,FORSIDE!$F$8&gt;=2,FORSIDE!$B$5&gt;=7),"635 -&gt; 646","")</f>
        <v/>
      </c>
      <c r="C2868" t="str">
        <f>FORSIDE!$C$3</f>
        <v>S355, Stål / VFHUP 140x140x8.0</v>
      </c>
    </row>
    <row r="2869" spans="1:3" x14ac:dyDescent="0.3">
      <c r="A2869" t="str">
        <f>IF(AND(FORSIDE!$B$8&gt;=16,FORSIDE!$F$8&gt;=2,FORSIDE!$B$5&gt;=8),"S2868","")</f>
        <v/>
      </c>
      <c r="B2869" t="str">
        <f>IF(AND(FORSIDE!$B$8&gt;=16,FORSIDE!$F$8&gt;=2,FORSIDE!$B$5&gt;=8),"636 -&gt; 647","")</f>
        <v/>
      </c>
      <c r="C2869" t="str">
        <f>FORSIDE!$C$3</f>
        <v>S355, Stål / VFHUP 140x140x8.0</v>
      </c>
    </row>
    <row r="2870" spans="1:3" x14ac:dyDescent="0.3">
      <c r="A2870" t="str">
        <f>IF(AND(FORSIDE!$B$8&gt;=16,FORSIDE!$F$8&gt;=2,FORSIDE!$B$5&gt;=9),"S2869","")</f>
        <v/>
      </c>
      <c r="B2870" t="str">
        <f>IF(AND(FORSIDE!$B$8&gt;=16,FORSIDE!$F$8&gt;=2,FORSIDE!$B$5&gt;=9),"637 -&gt; 648","")</f>
        <v/>
      </c>
      <c r="C2870" t="str">
        <f>FORSIDE!$C$3</f>
        <v>S355, Stål / VFHUP 140x140x8.0</v>
      </c>
    </row>
    <row r="2871" spans="1:3" x14ac:dyDescent="0.3">
      <c r="A2871" t="str">
        <f>IF(AND(FORSIDE!$B$8&gt;=16,FORSIDE!$F$8&gt;=2,FORSIDE!$B$5&gt;=10),"S2870","")</f>
        <v/>
      </c>
      <c r="B2871" t="str">
        <f>IF(AND(FORSIDE!$B$8&gt;=16,FORSIDE!$F$8&gt;=2,FORSIDE!$B$5&gt;=10),"638 -&gt; 649","")</f>
        <v/>
      </c>
      <c r="C2871" t="str">
        <f>FORSIDE!$C$3</f>
        <v>S355, Stål / VFHUP 140x140x8.0</v>
      </c>
    </row>
    <row r="2872" spans="1:3" x14ac:dyDescent="0.3">
      <c r="A2872" t="str">
        <f>IF(AND(FORSIDE!$B$8&gt;=17,FORSIDE!$F$8&gt;=2,FORSIDE!$B$5&gt;=1),"S2871","")</f>
        <v/>
      </c>
      <c r="B2872" t="str">
        <f>IF(AND(FORSIDE!$B$8&gt;=17,FORSIDE!$F$8&gt;=2,FORSIDE!$B$5&gt;=1),"640 -&gt; 651","")</f>
        <v/>
      </c>
      <c r="C2872" t="str">
        <f>FORSIDE!$C$3</f>
        <v>S355, Stål / VFHUP 140x140x8.0</v>
      </c>
    </row>
    <row r="2873" spans="1:3" x14ac:dyDescent="0.3">
      <c r="A2873" t="str">
        <f>IF(AND(FORSIDE!$B$8&gt;=17,FORSIDE!$F$8&gt;=2,FORSIDE!$B$5&gt;=2),"S2872","")</f>
        <v/>
      </c>
      <c r="B2873" t="str">
        <f>IF(AND(FORSIDE!$B$8&gt;=17,FORSIDE!$F$8&gt;=2,FORSIDE!$B$5&gt;=2),"641 -&gt; 652","")</f>
        <v/>
      </c>
      <c r="C2873" t="str">
        <f>FORSIDE!$C$3</f>
        <v>S355, Stål / VFHUP 140x140x8.0</v>
      </c>
    </row>
    <row r="2874" spans="1:3" x14ac:dyDescent="0.3">
      <c r="A2874" t="str">
        <f>IF(AND(FORSIDE!$B$8&gt;=17,FORSIDE!$F$8&gt;=2,FORSIDE!$B$5&gt;=3),"S2873","")</f>
        <v/>
      </c>
      <c r="B2874" t="str">
        <f>IF(AND(FORSIDE!$B$8&gt;=17,FORSIDE!$F$8&gt;=2,FORSIDE!$B$5&gt;=3),"642 -&gt; 653","")</f>
        <v/>
      </c>
      <c r="C2874" t="str">
        <f>FORSIDE!$C$3</f>
        <v>S355, Stål / VFHUP 140x140x8.0</v>
      </c>
    </row>
    <row r="2875" spans="1:3" x14ac:dyDescent="0.3">
      <c r="A2875" t="str">
        <f>IF(AND(FORSIDE!$B$8&gt;=17,FORSIDE!$F$8&gt;=2,FORSIDE!$B$5&gt;=4),"S2874","")</f>
        <v/>
      </c>
      <c r="B2875" t="str">
        <f>IF(AND(FORSIDE!$B$8&gt;=17,FORSIDE!$F$8&gt;=2,FORSIDE!$B$5&gt;=4),"643 -&gt; 654","")</f>
        <v/>
      </c>
      <c r="C2875" t="str">
        <f>FORSIDE!$C$3</f>
        <v>S355, Stål / VFHUP 140x140x8.0</v>
      </c>
    </row>
    <row r="2876" spans="1:3" x14ac:dyDescent="0.3">
      <c r="A2876" t="str">
        <f>IF(AND(FORSIDE!$B$8&gt;=17,FORSIDE!$F$8&gt;=2,FORSIDE!$B$5&gt;=5),"S2875","")</f>
        <v/>
      </c>
      <c r="B2876" t="str">
        <f>IF(AND(FORSIDE!$B$8&gt;=17,FORSIDE!$F$8&gt;=2,FORSIDE!$B$5&gt;=5),"644 -&gt; 655","")</f>
        <v/>
      </c>
      <c r="C2876" t="str">
        <f>FORSIDE!$C$3</f>
        <v>S355, Stål / VFHUP 140x140x8.0</v>
      </c>
    </row>
    <row r="2877" spans="1:3" x14ac:dyDescent="0.3">
      <c r="A2877" t="str">
        <f>IF(AND(FORSIDE!$B$8&gt;=17,FORSIDE!$F$8&gt;=2,FORSIDE!$B$5&gt;=6),"S2876","")</f>
        <v/>
      </c>
      <c r="B2877" t="str">
        <f>IF(AND(FORSIDE!$B$8&gt;=17,FORSIDE!$F$8&gt;=2,FORSIDE!$B$5&gt;=6),"645 -&gt; 656","")</f>
        <v/>
      </c>
      <c r="C2877" t="str">
        <f>FORSIDE!$C$3</f>
        <v>S355, Stål / VFHUP 140x140x8.0</v>
      </c>
    </row>
    <row r="2878" spans="1:3" x14ac:dyDescent="0.3">
      <c r="A2878" t="str">
        <f>IF(AND(FORSIDE!$B$8&gt;=17,FORSIDE!$F$8&gt;=2,FORSIDE!$B$5&gt;=7),"S2877","")</f>
        <v/>
      </c>
      <c r="B2878" t="str">
        <f>IF(AND(FORSIDE!$B$8&gt;=17,FORSIDE!$F$8&gt;=2,FORSIDE!$B$5&gt;=7),"646 -&gt; 657","")</f>
        <v/>
      </c>
      <c r="C2878" t="str">
        <f>FORSIDE!$C$3</f>
        <v>S355, Stål / VFHUP 140x140x8.0</v>
      </c>
    </row>
    <row r="2879" spans="1:3" x14ac:dyDescent="0.3">
      <c r="A2879" t="str">
        <f>IF(AND(FORSIDE!$B$8&gt;=17,FORSIDE!$F$8&gt;=2,FORSIDE!$B$5&gt;=8),"S2878","")</f>
        <v/>
      </c>
      <c r="B2879" t="str">
        <f>IF(AND(FORSIDE!$B$8&gt;=17,FORSIDE!$F$8&gt;=2,FORSIDE!$B$5&gt;=8),"647 -&gt; 658","")</f>
        <v/>
      </c>
      <c r="C2879" t="str">
        <f>FORSIDE!$C$3</f>
        <v>S355, Stål / VFHUP 140x140x8.0</v>
      </c>
    </row>
    <row r="2880" spans="1:3" x14ac:dyDescent="0.3">
      <c r="A2880" t="str">
        <f>IF(AND(FORSIDE!$B$8&gt;=17,FORSIDE!$F$8&gt;=2,FORSIDE!$B$5&gt;=9),"S2879","")</f>
        <v/>
      </c>
      <c r="B2880" t="str">
        <f>IF(AND(FORSIDE!$B$8&gt;=17,FORSIDE!$F$8&gt;=2,FORSIDE!$B$5&gt;=9),"648 -&gt; 659","")</f>
        <v/>
      </c>
      <c r="C2880" t="str">
        <f>FORSIDE!$C$3</f>
        <v>S355, Stål / VFHUP 140x140x8.0</v>
      </c>
    </row>
    <row r="2881" spans="1:3" x14ac:dyDescent="0.3">
      <c r="A2881" t="str">
        <f>IF(AND(FORSIDE!$B$8&gt;=17,FORSIDE!$F$8&gt;=2,FORSIDE!$B$5&gt;=10),"S2880","")</f>
        <v/>
      </c>
      <c r="B2881" t="str">
        <f>IF(AND(FORSIDE!$B$8&gt;=17,FORSIDE!$F$8&gt;=2,FORSIDE!$B$5&gt;=10),"649 -&gt; 660","")</f>
        <v/>
      </c>
      <c r="C2881" t="str">
        <f>FORSIDE!$C$3</f>
        <v>S355, Stål / VFHUP 140x140x8.0</v>
      </c>
    </row>
    <row r="2882" spans="1:3" x14ac:dyDescent="0.3">
      <c r="A2882" t="str">
        <f>IF(AND(FORSIDE!$B$8&gt;=18,FORSIDE!$F$8&gt;=2,FORSIDE!$B$5&gt;=1),"S2881","")</f>
        <v/>
      </c>
      <c r="B2882" t="str">
        <f>IF(AND(FORSIDE!$B$8&gt;=18,FORSIDE!$F$8&gt;=2,FORSIDE!$B$5&gt;=1),"651 -&gt; 662","")</f>
        <v/>
      </c>
      <c r="C2882" t="str">
        <f>FORSIDE!$C$3</f>
        <v>S355, Stål / VFHUP 140x140x8.0</v>
      </c>
    </row>
    <row r="2883" spans="1:3" x14ac:dyDescent="0.3">
      <c r="A2883" t="str">
        <f>IF(AND(FORSIDE!$B$8&gt;=18,FORSIDE!$F$8&gt;=2,FORSIDE!$B$5&gt;=2),"S2882","")</f>
        <v/>
      </c>
      <c r="B2883" t="str">
        <f>IF(AND(FORSIDE!$B$8&gt;=18,FORSIDE!$F$8&gt;=2,FORSIDE!$B$5&gt;=2),"652 -&gt; 663","")</f>
        <v/>
      </c>
      <c r="C2883" t="str">
        <f>FORSIDE!$C$3</f>
        <v>S355, Stål / VFHUP 140x140x8.0</v>
      </c>
    </row>
    <row r="2884" spans="1:3" x14ac:dyDescent="0.3">
      <c r="A2884" t="str">
        <f>IF(AND(FORSIDE!$B$8&gt;=18,FORSIDE!$F$8&gt;=2,FORSIDE!$B$5&gt;=3),"S2883","")</f>
        <v/>
      </c>
      <c r="B2884" t="str">
        <f>IF(AND(FORSIDE!$B$8&gt;=18,FORSIDE!$F$8&gt;=2,FORSIDE!$B$5&gt;=3),"653 -&gt; 664","")</f>
        <v/>
      </c>
      <c r="C2884" t="str">
        <f>FORSIDE!$C$3</f>
        <v>S355, Stål / VFHUP 140x140x8.0</v>
      </c>
    </row>
    <row r="2885" spans="1:3" x14ac:dyDescent="0.3">
      <c r="A2885" t="str">
        <f>IF(AND(FORSIDE!$B$8&gt;=18,FORSIDE!$F$8&gt;=2,FORSIDE!$B$5&gt;=4),"S2884","")</f>
        <v/>
      </c>
      <c r="B2885" t="str">
        <f>IF(AND(FORSIDE!$B$8&gt;=18,FORSIDE!$F$8&gt;=2,FORSIDE!$B$5&gt;=4),"654 -&gt; 665","")</f>
        <v/>
      </c>
      <c r="C2885" t="str">
        <f>FORSIDE!$C$3</f>
        <v>S355, Stål / VFHUP 140x140x8.0</v>
      </c>
    </row>
    <row r="2886" spans="1:3" x14ac:dyDescent="0.3">
      <c r="A2886" t="str">
        <f>IF(AND(FORSIDE!$B$8&gt;=18,FORSIDE!$F$8&gt;=2,FORSIDE!$B$5&gt;=5),"S2885","")</f>
        <v/>
      </c>
      <c r="B2886" t="str">
        <f>IF(AND(FORSIDE!$B$8&gt;=18,FORSIDE!$F$8&gt;=2,FORSIDE!$B$5&gt;=5),"655 -&gt; 666","")</f>
        <v/>
      </c>
      <c r="C2886" t="str">
        <f>FORSIDE!$C$3</f>
        <v>S355, Stål / VFHUP 140x140x8.0</v>
      </c>
    </row>
    <row r="2887" spans="1:3" x14ac:dyDescent="0.3">
      <c r="A2887" t="str">
        <f>IF(AND(FORSIDE!$B$8&gt;=18,FORSIDE!$F$8&gt;=2,FORSIDE!$B$5&gt;=6),"S2886","")</f>
        <v/>
      </c>
      <c r="B2887" t="str">
        <f>IF(AND(FORSIDE!$B$8&gt;=18,FORSIDE!$F$8&gt;=2,FORSIDE!$B$5&gt;=6),"656 -&gt; 667","")</f>
        <v/>
      </c>
      <c r="C2887" t="str">
        <f>FORSIDE!$C$3</f>
        <v>S355, Stål / VFHUP 140x140x8.0</v>
      </c>
    </row>
    <row r="2888" spans="1:3" x14ac:dyDescent="0.3">
      <c r="A2888" t="str">
        <f>IF(AND(FORSIDE!$B$8&gt;=18,FORSIDE!$F$8&gt;=2,FORSIDE!$B$5&gt;=7),"S2887","")</f>
        <v/>
      </c>
      <c r="B2888" t="str">
        <f>IF(AND(FORSIDE!$B$8&gt;=18,FORSIDE!$F$8&gt;=2,FORSIDE!$B$5&gt;=7),"657 -&gt; 668","")</f>
        <v/>
      </c>
      <c r="C2888" t="str">
        <f>FORSIDE!$C$3</f>
        <v>S355, Stål / VFHUP 140x140x8.0</v>
      </c>
    </row>
    <row r="2889" spans="1:3" x14ac:dyDescent="0.3">
      <c r="A2889" t="str">
        <f>IF(AND(FORSIDE!$B$8&gt;=18,FORSIDE!$F$8&gt;=2,FORSIDE!$B$5&gt;=8),"S2888","")</f>
        <v/>
      </c>
      <c r="B2889" t="str">
        <f>IF(AND(FORSIDE!$B$8&gt;=18,FORSIDE!$F$8&gt;=2,FORSIDE!$B$5&gt;=8),"658 -&gt; 669","")</f>
        <v/>
      </c>
      <c r="C2889" t="str">
        <f>FORSIDE!$C$3</f>
        <v>S355, Stål / VFHUP 140x140x8.0</v>
      </c>
    </row>
    <row r="2890" spans="1:3" x14ac:dyDescent="0.3">
      <c r="A2890" t="str">
        <f>IF(AND(FORSIDE!$B$8&gt;=18,FORSIDE!$F$8&gt;=2,FORSIDE!$B$5&gt;=9),"S2889","")</f>
        <v/>
      </c>
      <c r="B2890" t="str">
        <f>IF(AND(FORSIDE!$B$8&gt;=18,FORSIDE!$F$8&gt;=2,FORSIDE!$B$5&gt;=9),"659 -&gt; 670","")</f>
        <v/>
      </c>
      <c r="C2890" t="str">
        <f>FORSIDE!$C$3</f>
        <v>S355, Stål / VFHUP 140x140x8.0</v>
      </c>
    </row>
    <row r="2891" spans="1:3" x14ac:dyDescent="0.3">
      <c r="A2891" t="str">
        <f>IF(AND(FORSIDE!$B$8&gt;=18,FORSIDE!$F$8&gt;=2,FORSIDE!$B$5&gt;=10),"S2890","")</f>
        <v/>
      </c>
      <c r="B2891" t="str">
        <f>IF(AND(FORSIDE!$B$8&gt;=18,FORSIDE!$F$8&gt;=2,FORSIDE!$B$5&gt;=10),"660 -&gt; 671","")</f>
        <v/>
      </c>
      <c r="C2891" t="str">
        <f>FORSIDE!$C$3</f>
        <v>S355, Stål / VFHUP 140x140x8.0</v>
      </c>
    </row>
    <row r="2892" spans="1:3" x14ac:dyDescent="0.3">
      <c r="A2892" t="str">
        <f>IF(AND(FORSIDE!$B$8&gt;=19,FORSIDE!$F$8&gt;=2,FORSIDE!$B$5&gt;=1),"S2891","")</f>
        <v/>
      </c>
      <c r="B2892" t="str">
        <f>IF(AND(FORSIDE!$B$8&gt;=19,FORSIDE!$F$8&gt;=2,FORSIDE!$B$5&gt;=1),"662 -&gt; 673","")</f>
        <v/>
      </c>
      <c r="C2892" t="str">
        <f>FORSIDE!$C$3</f>
        <v>S355, Stål / VFHUP 140x140x8.0</v>
      </c>
    </row>
    <row r="2893" spans="1:3" x14ac:dyDescent="0.3">
      <c r="A2893" t="str">
        <f>IF(AND(FORSIDE!$B$8&gt;=19,FORSIDE!$F$8&gt;=2,FORSIDE!$B$5&gt;=2),"S2892","")</f>
        <v/>
      </c>
      <c r="B2893" t="str">
        <f>IF(AND(FORSIDE!$B$8&gt;=19,FORSIDE!$F$8&gt;=2,FORSIDE!$B$5&gt;=2),"663 -&gt; 674","")</f>
        <v/>
      </c>
      <c r="C2893" t="str">
        <f>FORSIDE!$C$3</f>
        <v>S355, Stål / VFHUP 140x140x8.0</v>
      </c>
    </row>
    <row r="2894" spans="1:3" x14ac:dyDescent="0.3">
      <c r="A2894" t="str">
        <f>IF(AND(FORSIDE!$B$8&gt;=19,FORSIDE!$F$8&gt;=2,FORSIDE!$B$5&gt;=3),"S2893","")</f>
        <v/>
      </c>
      <c r="B2894" t="str">
        <f>IF(AND(FORSIDE!$B$8&gt;=19,FORSIDE!$F$8&gt;=2,FORSIDE!$B$5&gt;=3),"664 -&gt; 675","")</f>
        <v/>
      </c>
      <c r="C2894" t="str">
        <f>FORSIDE!$C$3</f>
        <v>S355, Stål / VFHUP 140x140x8.0</v>
      </c>
    </row>
    <row r="2895" spans="1:3" x14ac:dyDescent="0.3">
      <c r="A2895" t="str">
        <f>IF(AND(FORSIDE!$B$8&gt;=19,FORSIDE!$F$8&gt;=2,FORSIDE!$B$5&gt;=4),"S2894","")</f>
        <v/>
      </c>
      <c r="B2895" t="str">
        <f>IF(AND(FORSIDE!$B$8&gt;=19,FORSIDE!$F$8&gt;=2,FORSIDE!$B$5&gt;=4),"665 -&gt; 676","")</f>
        <v/>
      </c>
      <c r="C2895" t="str">
        <f>FORSIDE!$C$3</f>
        <v>S355, Stål / VFHUP 140x140x8.0</v>
      </c>
    </row>
    <row r="2896" spans="1:3" x14ac:dyDescent="0.3">
      <c r="A2896" t="str">
        <f>IF(AND(FORSIDE!$B$8&gt;=19,FORSIDE!$F$8&gt;=2,FORSIDE!$B$5&gt;=5),"S2895","")</f>
        <v/>
      </c>
      <c r="B2896" t="str">
        <f>IF(AND(FORSIDE!$B$8&gt;=19,FORSIDE!$F$8&gt;=2,FORSIDE!$B$5&gt;=5),"666 -&gt; 677","")</f>
        <v/>
      </c>
      <c r="C2896" t="str">
        <f>FORSIDE!$C$3</f>
        <v>S355, Stål / VFHUP 140x140x8.0</v>
      </c>
    </row>
    <row r="2897" spans="1:3" x14ac:dyDescent="0.3">
      <c r="A2897" t="str">
        <f>IF(AND(FORSIDE!$B$8&gt;=19,FORSIDE!$F$8&gt;=2,FORSIDE!$B$5&gt;=6),"S2896","")</f>
        <v/>
      </c>
      <c r="B2897" t="str">
        <f>IF(AND(FORSIDE!$B$8&gt;=19,FORSIDE!$F$8&gt;=2,FORSIDE!$B$5&gt;=6),"667 -&gt; 678","")</f>
        <v/>
      </c>
      <c r="C2897" t="str">
        <f>FORSIDE!$C$3</f>
        <v>S355, Stål / VFHUP 140x140x8.0</v>
      </c>
    </row>
    <row r="2898" spans="1:3" x14ac:dyDescent="0.3">
      <c r="A2898" t="str">
        <f>IF(AND(FORSIDE!$B$8&gt;=19,FORSIDE!$F$8&gt;=2,FORSIDE!$B$5&gt;=7),"S2897","")</f>
        <v/>
      </c>
      <c r="B2898" t="str">
        <f>IF(AND(FORSIDE!$B$8&gt;=19,FORSIDE!$F$8&gt;=2,FORSIDE!$B$5&gt;=7),"668 -&gt; 679","")</f>
        <v/>
      </c>
      <c r="C2898" t="str">
        <f>FORSIDE!$C$3</f>
        <v>S355, Stål / VFHUP 140x140x8.0</v>
      </c>
    </row>
    <row r="2899" spans="1:3" x14ac:dyDescent="0.3">
      <c r="A2899" t="str">
        <f>IF(AND(FORSIDE!$B$8&gt;=19,FORSIDE!$F$8&gt;=2,FORSIDE!$B$5&gt;=8),"S2898","")</f>
        <v/>
      </c>
      <c r="B2899" t="str">
        <f>IF(AND(FORSIDE!$B$8&gt;=19,FORSIDE!$F$8&gt;=2,FORSIDE!$B$5&gt;=8),"669 -&gt; 680","")</f>
        <v/>
      </c>
      <c r="C2899" t="str">
        <f>FORSIDE!$C$3</f>
        <v>S355, Stål / VFHUP 140x140x8.0</v>
      </c>
    </row>
    <row r="2900" spans="1:3" x14ac:dyDescent="0.3">
      <c r="A2900" t="str">
        <f>IF(AND(FORSIDE!$B$8&gt;=19,FORSIDE!$F$8&gt;=2,FORSIDE!$B$5&gt;=9),"S2899","")</f>
        <v/>
      </c>
      <c r="B2900" t="str">
        <f>IF(AND(FORSIDE!$B$8&gt;=19,FORSIDE!$F$8&gt;=2,FORSIDE!$B$5&gt;=9),"670 -&gt; 681","")</f>
        <v/>
      </c>
      <c r="C2900" t="str">
        <f>FORSIDE!$C$3</f>
        <v>S355, Stål / VFHUP 140x140x8.0</v>
      </c>
    </row>
    <row r="2901" spans="1:3" x14ac:dyDescent="0.3">
      <c r="A2901" t="str">
        <f>IF(AND(FORSIDE!$B$8&gt;=19,FORSIDE!$F$8&gt;=2,FORSIDE!$B$5&gt;=10),"S2900","")</f>
        <v/>
      </c>
      <c r="B2901" t="str">
        <f>IF(AND(FORSIDE!$B$8&gt;=19,FORSIDE!$F$8&gt;=2,FORSIDE!$B$5&gt;=10),"671 -&gt; 682","")</f>
        <v/>
      </c>
      <c r="C2901" t="str">
        <f>FORSIDE!$C$3</f>
        <v>S355, Stål / VFHUP 140x140x8.0</v>
      </c>
    </row>
    <row r="2902" spans="1:3" x14ac:dyDescent="0.3">
      <c r="A2902" t="str">
        <f>IF(AND(FORSIDE!$B$8&gt;=20,FORSIDE!$F$8&gt;=2,FORSIDE!$B$5&gt;=1),"S2901","")</f>
        <v/>
      </c>
      <c r="B2902" t="str">
        <f>IF(AND(FORSIDE!$B$8&gt;=20,FORSIDE!$F$8&gt;=2,FORSIDE!$B$5&gt;=1),"673 -&gt; 684","")</f>
        <v/>
      </c>
      <c r="C2902" t="str">
        <f>FORSIDE!$C$3</f>
        <v>S355, Stål / VFHUP 140x140x8.0</v>
      </c>
    </row>
    <row r="2903" spans="1:3" x14ac:dyDescent="0.3">
      <c r="A2903" t="str">
        <f>IF(AND(FORSIDE!$B$8&gt;=20,FORSIDE!$F$8&gt;=2,FORSIDE!$B$5&gt;=2),"S2902","")</f>
        <v/>
      </c>
      <c r="B2903" t="str">
        <f>IF(AND(FORSIDE!$B$8&gt;=20,FORSIDE!$F$8&gt;=2,FORSIDE!$B$5&gt;=2),"674 -&gt; 685","")</f>
        <v/>
      </c>
      <c r="C2903" t="str">
        <f>FORSIDE!$C$3</f>
        <v>S355, Stål / VFHUP 140x140x8.0</v>
      </c>
    </row>
    <row r="2904" spans="1:3" x14ac:dyDescent="0.3">
      <c r="A2904" t="str">
        <f>IF(AND(FORSIDE!$B$8&gt;=20,FORSIDE!$F$8&gt;=2,FORSIDE!$B$5&gt;=3),"S2903","")</f>
        <v/>
      </c>
      <c r="B2904" t="str">
        <f>IF(AND(FORSIDE!$B$8&gt;=20,FORSIDE!$F$8&gt;=2,FORSIDE!$B$5&gt;=3),"675 -&gt; 686","")</f>
        <v/>
      </c>
      <c r="C2904" t="str">
        <f>FORSIDE!$C$3</f>
        <v>S355, Stål / VFHUP 140x140x8.0</v>
      </c>
    </row>
    <row r="2905" spans="1:3" x14ac:dyDescent="0.3">
      <c r="A2905" t="str">
        <f>IF(AND(FORSIDE!$B$8&gt;=20,FORSIDE!$F$8&gt;=2,FORSIDE!$B$5&gt;=4),"S2904","")</f>
        <v/>
      </c>
      <c r="B2905" t="str">
        <f>IF(AND(FORSIDE!$B$8&gt;=20,FORSIDE!$F$8&gt;=2,FORSIDE!$B$5&gt;=4),"676 -&gt; 687","")</f>
        <v/>
      </c>
      <c r="C2905" t="str">
        <f>FORSIDE!$C$3</f>
        <v>S355, Stål / VFHUP 140x140x8.0</v>
      </c>
    </row>
    <row r="2906" spans="1:3" x14ac:dyDescent="0.3">
      <c r="A2906" t="str">
        <f>IF(AND(FORSIDE!$B$8&gt;=20,FORSIDE!$F$8&gt;=2,FORSIDE!$B$5&gt;=5),"S2905","")</f>
        <v/>
      </c>
      <c r="B2906" t="str">
        <f>IF(AND(FORSIDE!$B$8&gt;=20,FORSIDE!$F$8&gt;=2,FORSIDE!$B$5&gt;=5),"677 -&gt; 688","")</f>
        <v/>
      </c>
      <c r="C2906" t="str">
        <f>FORSIDE!$C$3</f>
        <v>S355, Stål / VFHUP 140x140x8.0</v>
      </c>
    </row>
    <row r="2907" spans="1:3" x14ac:dyDescent="0.3">
      <c r="A2907" t="str">
        <f>IF(AND(FORSIDE!$B$8&gt;=20,FORSIDE!$F$8&gt;=2,FORSIDE!$B$5&gt;=6),"S2906","")</f>
        <v/>
      </c>
      <c r="B2907" t="str">
        <f>IF(AND(FORSIDE!$B$8&gt;=20,FORSIDE!$F$8&gt;=2,FORSIDE!$B$5&gt;=6),"678 -&gt; 689","")</f>
        <v/>
      </c>
      <c r="C2907" t="str">
        <f>FORSIDE!$C$3</f>
        <v>S355, Stål / VFHUP 140x140x8.0</v>
      </c>
    </row>
    <row r="2908" spans="1:3" x14ac:dyDescent="0.3">
      <c r="A2908" t="str">
        <f>IF(AND(FORSIDE!$B$8&gt;=20,FORSIDE!$F$8&gt;=2,FORSIDE!$B$5&gt;=7),"S2907","")</f>
        <v/>
      </c>
      <c r="B2908" t="str">
        <f>IF(AND(FORSIDE!$B$8&gt;=20,FORSIDE!$F$8&gt;=2,FORSIDE!$B$5&gt;=7),"679 -&gt; 690","")</f>
        <v/>
      </c>
      <c r="C2908" t="str">
        <f>FORSIDE!$C$3</f>
        <v>S355, Stål / VFHUP 140x140x8.0</v>
      </c>
    </row>
    <row r="2909" spans="1:3" x14ac:dyDescent="0.3">
      <c r="A2909" t="str">
        <f>IF(AND(FORSIDE!$B$8&gt;=20,FORSIDE!$F$8&gt;=2,FORSIDE!$B$5&gt;=8),"S2908","")</f>
        <v/>
      </c>
      <c r="B2909" t="str">
        <f>IF(AND(FORSIDE!$B$8&gt;=20,FORSIDE!$F$8&gt;=2,FORSIDE!$B$5&gt;=8),"680 -&gt; 691","")</f>
        <v/>
      </c>
      <c r="C2909" t="str">
        <f>FORSIDE!$C$3</f>
        <v>S355, Stål / VFHUP 140x140x8.0</v>
      </c>
    </row>
    <row r="2910" spans="1:3" x14ac:dyDescent="0.3">
      <c r="A2910" t="str">
        <f>IF(AND(FORSIDE!$B$8&gt;=20,FORSIDE!$F$8&gt;=2,FORSIDE!$B$5&gt;=9),"S2909","")</f>
        <v/>
      </c>
      <c r="B2910" t="str">
        <f>IF(AND(FORSIDE!$B$8&gt;=20,FORSIDE!$F$8&gt;=2,FORSIDE!$B$5&gt;=9),"681 -&gt; 692","")</f>
        <v/>
      </c>
      <c r="C2910" t="str">
        <f>FORSIDE!$C$3</f>
        <v>S355, Stål / VFHUP 140x140x8.0</v>
      </c>
    </row>
    <row r="2911" spans="1:3" x14ac:dyDescent="0.3">
      <c r="A2911" t="str">
        <f>IF(AND(FORSIDE!$B$8&gt;=20,FORSIDE!$F$8&gt;=2,FORSIDE!$B$5&gt;=10),"S2910","")</f>
        <v/>
      </c>
      <c r="B2911" t="str">
        <f>IF(AND(FORSIDE!$B$8&gt;=20,FORSIDE!$F$8&gt;=2,FORSIDE!$B$5&gt;=10),"682 -&gt; 693","")</f>
        <v/>
      </c>
      <c r="C2911" t="str">
        <f>FORSIDE!$C$3</f>
        <v>S355, Stål / VFHUP 140x140x8.0</v>
      </c>
    </row>
    <row r="2912" spans="1:3" x14ac:dyDescent="0.3">
      <c r="A2912" t="str">
        <f>IF(AND(FORSIDE!$B$8&gt;=1,FORSIDE!$F$8&gt;=3,FORSIDE!$B$5&gt;=1),"S2911","")</f>
        <v/>
      </c>
      <c r="B2912" t="str">
        <f>IF(AND(FORSIDE!$B$8&gt;=1,FORSIDE!$F$8&gt;=3,FORSIDE!$B$5&gt;=1),"695 -&gt; 706","")</f>
        <v/>
      </c>
      <c r="C2912" t="str">
        <f>FORSIDE!$C$3</f>
        <v>S355, Stål / VFHUP 140x140x8.0</v>
      </c>
    </row>
    <row r="2913" spans="1:3" x14ac:dyDescent="0.3">
      <c r="A2913" t="str">
        <f>IF(AND(FORSIDE!$B$8&gt;=1,FORSIDE!$F$8&gt;=3,FORSIDE!$B$5&gt;=2),"S2912","")</f>
        <v/>
      </c>
      <c r="B2913" t="str">
        <f>IF(AND(FORSIDE!$B$8&gt;=1,FORSIDE!$F$8&gt;=3,FORSIDE!$B$5&gt;=2),"696 -&gt; 707","")</f>
        <v/>
      </c>
      <c r="C2913" t="str">
        <f>FORSIDE!$C$3</f>
        <v>S355, Stål / VFHUP 140x140x8.0</v>
      </c>
    </row>
    <row r="2914" spans="1:3" x14ac:dyDescent="0.3">
      <c r="A2914" t="str">
        <f>IF(AND(FORSIDE!$B$8&gt;=1,FORSIDE!$F$8&gt;=3,FORSIDE!$B$5&gt;=3),"S2913","")</f>
        <v/>
      </c>
      <c r="B2914" t="str">
        <f>IF(AND(FORSIDE!$B$8&gt;=1,FORSIDE!$F$8&gt;=3,FORSIDE!$B$5&gt;=3),"697 -&gt; 708","")</f>
        <v/>
      </c>
      <c r="C2914" t="str">
        <f>FORSIDE!$C$3</f>
        <v>S355, Stål / VFHUP 140x140x8.0</v>
      </c>
    </row>
    <row r="2915" spans="1:3" x14ac:dyDescent="0.3">
      <c r="A2915" t="str">
        <f>IF(AND(FORSIDE!$B$8&gt;=1,FORSIDE!$F$8&gt;=3,FORSIDE!$B$5&gt;=4),"S2914","")</f>
        <v/>
      </c>
      <c r="B2915" t="str">
        <f>IF(AND(FORSIDE!$B$8&gt;=1,FORSIDE!$F$8&gt;=3,FORSIDE!$B$5&gt;=4),"698 -&gt; 709","")</f>
        <v/>
      </c>
      <c r="C2915" t="str">
        <f>FORSIDE!$C$3</f>
        <v>S355, Stål / VFHUP 140x140x8.0</v>
      </c>
    </row>
    <row r="2916" spans="1:3" x14ac:dyDescent="0.3">
      <c r="A2916" t="str">
        <f>IF(AND(FORSIDE!$B$8&gt;=1,FORSIDE!$F$8&gt;=3,FORSIDE!$B$5&gt;=5),"S2915","")</f>
        <v/>
      </c>
      <c r="B2916" t="str">
        <f>IF(AND(FORSIDE!$B$8&gt;=1,FORSIDE!$F$8&gt;=3,FORSIDE!$B$5&gt;=5),"699 -&gt; 710","")</f>
        <v/>
      </c>
      <c r="C2916" t="str">
        <f>FORSIDE!$C$3</f>
        <v>S355, Stål / VFHUP 140x140x8.0</v>
      </c>
    </row>
    <row r="2917" spans="1:3" x14ac:dyDescent="0.3">
      <c r="A2917" t="str">
        <f>IF(AND(FORSIDE!$B$8&gt;=1,FORSIDE!$F$8&gt;=3,FORSIDE!$B$5&gt;=6),"S2916","")</f>
        <v/>
      </c>
      <c r="B2917" t="str">
        <f>IF(AND(FORSIDE!$B$8&gt;=1,FORSIDE!$F$8&gt;=3,FORSIDE!$B$5&gt;=6),"700 -&gt; 711","")</f>
        <v/>
      </c>
      <c r="C2917" t="str">
        <f>FORSIDE!$C$3</f>
        <v>S355, Stål / VFHUP 140x140x8.0</v>
      </c>
    </row>
    <row r="2918" spans="1:3" x14ac:dyDescent="0.3">
      <c r="A2918" t="str">
        <f>IF(AND(FORSIDE!$B$8&gt;=1,FORSIDE!$F$8&gt;=3,FORSIDE!$B$5&gt;=7),"S2917","")</f>
        <v/>
      </c>
      <c r="B2918" t="str">
        <f>IF(AND(FORSIDE!$B$8&gt;=1,FORSIDE!$F$8&gt;=3,FORSIDE!$B$5&gt;=7),"701 -&gt; 712","")</f>
        <v/>
      </c>
      <c r="C2918" t="str">
        <f>FORSIDE!$C$3</f>
        <v>S355, Stål / VFHUP 140x140x8.0</v>
      </c>
    </row>
    <row r="2919" spans="1:3" x14ac:dyDescent="0.3">
      <c r="A2919" t="str">
        <f>IF(AND(FORSIDE!$B$8&gt;=1,FORSIDE!$F$8&gt;=3,FORSIDE!$B$5&gt;=8),"S2918","")</f>
        <v/>
      </c>
      <c r="B2919" t="str">
        <f>IF(AND(FORSIDE!$B$8&gt;=1,FORSIDE!$F$8&gt;=3,FORSIDE!$B$5&gt;=8),"702 -&gt; 713","")</f>
        <v/>
      </c>
      <c r="C2919" t="str">
        <f>FORSIDE!$C$3</f>
        <v>S355, Stål / VFHUP 140x140x8.0</v>
      </c>
    </row>
    <row r="2920" spans="1:3" x14ac:dyDescent="0.3">
      <c r="A2920" t="str">
        <f>IF(AND(FORSIDE!$B$8&gt;=1,FORSIDE!$F$8&gt;=3,FORSIDE!$B$5&gt;=9),"S2919","")</f>
        <v/>
      </c>
      <c r="B2920" t="str">
        <f>IF(AND(FORSIDE!$B$8&gt;=1,FORSIDE!$F$8&gt;=3,FORSIDE!$B$5&gt;=9),"703 -&gt; 714","")</f>
        <v/>
      </c>
      <c r="C2920" t="str">
        <f>FORSIDE!$C$3</f>
        <v>S355, Stål / VFHUP 140x140x8.0</v>
      </c>
    </row>
    <row r="2921" spans="1:3" x14ac:dyDescent="0.3">
      <c r="A2921" t="str">
        <f>IF(AND(FORSIDE!$B$8&gt;=1,FORSIDE!$F$8&gt;=3,FORSIDE!$B$5&gt;=10),"S2920","")</f>
        <v/>
      </c>
      <c r="B2921" t="str">
        <f>IF(AND(FORSIDE!$B$8&gt;=1,FORSIDE!$F$8&gt;=3,FORSIDE!$B$5&gt;=10),"704 -&gt; 715","")</f>
        <v/>
      </c>
      <c r="C2921" t="str">
        <f>FORSIDE!$C$3</f>
        <v>S355, Stål / VFHUP 140x140x8.0</v>
      </c>
    </row>
    <row r="2922" spans="1:3" x14ac:dyDescent="0.3">
      <c r="A2922" t="str">
        <f>IF(AND(FORSIDE!$B$8&gt;=2,FORSIDE!$F$8&gt;=3,FORSIDE!$B$5&gt;=1),"S2921","")</f>
        <v/>
      </c>
      <c r="B2922" t="str">
        <f>IF(AND(FORSIDE!$B$8&gt;=2,FORSIDE!$F$8&gt;=3,FORSIDE!$B$5&gt;=1),"706 -&gt; 717","")</f>
        <v/>
      </c>
      <c r="C2922" t="str">
        <f>FORSIDE!$C$3</f>
        <v>S355, Stål / VFHUP 140x140x8.0</v>
      </c>
    </row>
    <row r="2923" spans="1:3" x14ac:dyDescent="0.3">
      <c r="A2923" t="str">
        <f>IF(AND(FORSIDE!$B$8&gt;=2,FORSIDE!$F$8&gt;=3,FORSIDE!$B$5&gt;=2),"S2922","")</f>
        <v/>
      </c>
      <c r="B2923" t="str">
        <f>IF(AND(FORSIDE!$B$8&gt;=2,FORSIDE!$F$8&gt;=3,FORSIDE!$B$5&gt;=2),"707 -&gt; 718","")</f>
        <v/>
      </c>
      <c r="C2923" t="str">
        <f>FORSIDE!$C$3</f>
        <v>S355, Stål / VFHUP 140x140x8.0</v>
      </c>
    </row>
    <row r="2924" spans="1:3" x14ac:dyDescent="0.3">
      <c r="A2924" t="str">
        <f>IF(AND(FORSIDE!$B$8&gt;=2,FORSIDE!$F$8&gt;=3,FORSIDE!$B$5&gt;=3),"S2923","")</f>
        <v/>
      </c>
      <c r="B2924" t="str">
        <f>IF(AND(FORSIDE!$B$8&gt;=2,FORSIDE!$F$8&gt;=3,FORSIDE!$B$5&gt;=3),"708 -&gt; 719","")</f>
        <v/>
      </c>
      <c r="C2924" t="str">
        <f>FORSIDE!$C$3</f>
        <v>S355, Stål / VFHUP 140x140x8.0</v>
      </c>
    </row>
    <row r="2925" spans="1:3" x14ac:dyDescent="0.3">
      <c r="A2925" t="str">
        <f>IF(AND(FORSIDE!$B$8&gt;=2,FORSIDE!$F$8&gt;=3,FORSIDE!$B$5&gt;=4),"S2924","")</f>
        <v/>
      </c>
      <c r="B2925" t="str">
        <f>IF(AND(FORSIDE!$B$8&gt;=2,FORSIDE!$F$8&gt;=3,FORSIDE!$B$5&gt;=4),"709 -&gt; 720","")</f>
        <v/>
      </c>
      <c r="C2925" t="str">
        <f>FORSIDE!$C$3</f>
        <v>S355, Stål / VFHUP 140x140x8.0</v>
      </c>
    </row>
    <row r="2926" spans="1:3" x14ac:dyDescent="0.3">
      <c r="A2926" t="str">
        <f>IF(AND(FORSIDE!$B$8&gt;=2,FORSIDE!$F$8&gt;=3,FORSIDE!$B$5&gt;=5),"S2925","")</f>
        <v/>
      </c>
      <c r="B2926" t="str">
        <f>IF(AND(FORSIDE!$B$8&gt;=2,FORSIDE!$F$8&gt;=3,FORSIDE!$B$5&gt;=5),"710 -&gt; 721","")</f>
        <v/>
      </c>
      <c r="C2926" t="str">
        <f>FORSIDE!$C$3</f>
        <v>S355, Stål / VFHUP 140x140x8.0</v>
      </c>
    </row>
    <row r="2927" spans="1:3" x14ac:dyDescent="0.3">
      <c r="A2927" t="str">
        <f>IF(AND(FORSIDE!$B$8&gt;=2,FORSIDE!$F$8&gt;=3,FORSIDE!$B$5&gt;=6),"S2926","")</f>
        <v/>
      </c>
      <c r="B2927" t="str">
        <f>IF(AND(FORSIDE!$B$8&gt;=2,FORSIDE!$F$8&gt;=3,FORSIDE!$B$5&gt;=6),"711 -&gt; 722","")</f>
        <v/>
      </c>
      <c r="C2927" t="str">
        <f>FORSIDE!$C$3</f>
        <v>S355, Stål / VFHUP 140x140x8.0</v>
      </c>
    </row>
    <row r="2928" spans="1:3" x14ac:dyDescent="0.3">
      <c r="A2928" t="str">
        <f>IF(AND(FORSIDE!$B$8&gt;=2,FORSIDE!$F$8&gt;=3,FORSIDE!$B$5&gt;=7),"S2927","")</f>
        <v/>
      </c>
      <c r="B2928" t="str">
        <f>IF(AND(FORSIDE!$B$8&gt;=2,FORSIDE!$F$8&gt;=3,FORSIDE!$B$5&gt;=7),"712 -&gt; 723","")</f>
        <v/>
      </c>
      <c r="C2928" t="str">
        <f>FORSIDE!$C$3</f>
        <v>S355, Stål / VFHUP 140x140x8.0</v>
      </c>
    </row>
    <row r="2929" spans="1:3" x14ac:dyDescent="0.3">
      <c r="A2929" t="str">
        <f>IF(AND(FORSIDE!$B$8&gt;=2,FORSIDE!$F$8&gt;=3,FORSIDE!$B$5&gt;=8),"S2928","")</f>
        <v/>
      </c>
      <c r="B2929" t="str">
        <f>IF(AND(FORSIDE!$B$8&gt;=2,FORSIDE!$F$8&gt;=3,FORSIDE!$B$5&gt;=8),"713 -&gt; 724","")</f>
        <v/>
      </c>
      <c r="C2929" t="str">
        <f>FORSIDE!$C$3</f>
        <v>S355, Stål / VFHUP 140x140x8.0</v>
      </c>
    </row>
    <row r="2930" spans="1:3" x14ac:dyDescent="0.3">
      <c r="A2930" t="str">
        <f>IF(AND(FORSIDE!$B$8&gt;=2,FORSIDE!$F$8&gt;=3,FORSIDE!$B$5&gt;=9),"S2929","")</f>
        <v/>
      </c>
      <c r="B2930" t="str">
        <f>IF(AND(FORSIDE!$B$8&gt;=2,FORSIDE!$F$8&gt;=3,FORSIDE!$B$5&gt;=9),"714 -&gt; 725","")</f>
        <v/>
      </c>
      <c r="C2930" t="str">
        <f>FORSIDE!$C$3</f>
        <v>S355, Stål / VFHUP 140x140x8.0</v>
      </c>
    </row>
    <row r="2931" spans="1:3" x14ac:dyDescent="0.3">
      <c r="A2931" t="str">
        <f>IF(AND(FORSIDE!$B$8&gt;=2,FORSIDE!$F$8&gt;=3,FORSIDE!$B$5&gt;=10),"S2930","")</f>
        <v/>
      </c>
      <c r="B2931" t="str">
        <f>IF(AND(FORSIDE!$B$8&gt;=2,FORSIDE!$F$8&gt;=3,FORSIDE!$B$5&gt;=10),"715 -&gt; 726","")</f>
        <v/>
      </c>
      <c r="C2931" t="str">
        <f>FORSIDE!$C$3</f>
        <v>S355, Stål / VFHUP 140x140x8.0</v>
      </c>
    </row>
    <row r="2932" spans="1:3" x14ac:dyDescent="0.3">
      <c r="A2932" t="str">
        <f>IF(AND(FORSIDE!$B$8&gt;=3,FORSIDE!$F$8&gt;=3,FORSIDE!$B$5&gt;=1),"S2931","")</f>
        <v/>
      </c>
      <c r="B2932" t="str">
        <f>IF(AND(FORSIDE!$B$8&gt;=3,FORSIDE!$F$8&gt;=3,FORSIDE!$B$5&gt;=1),"717 -&gt; 728","")</f>
        <v/>
      </c>
      <c r="C2932" t="str">
        <f>FORSIDE!$C$3</f>
        <v>S355, Stål / VFHUP 140x140x8.0</v>
      </c>
    </row>
    <row r="2933" spans="1:3" x14ac:dyDescent="0.3">
      <c r="A2933" t="str">
        <f>IF(AND(FORSIDE!$B$8&gt;=3,FORSIDE!$F$8&gt;=3,FORSIDE!$B$5&gt;=2),"S2932","")</f>
        <v/>
      </c>
      <c r="B2933" t="str">
        <f>IF(AND(FORSIDE!$B$8&gt;=3,FORSIDE!$F$8&gt;=3,FORSIDE!$B$5&gt;=2),"718 -&gt; 729","")</f>
        <v/>
      </c>
      <c r="C2933" t="str">
        <f>FORSIDE!$C$3</f>
        <v>S355, Stål / VFHUP 140x140x8.0</v>
      </c>
    </row>
    <row r="2934" spans="1:3" x14ac:dyDescent="0.3">
      <c r="A2934" t="str">
        <f>IF(AND(FORSIDE!$B$8&gt;=3,FORSIDE!$F$8&gt;=3,FORSIDE!$B$5&gt;=3),"S2933","")</f>
        <v/>
      </c>
      <c r="B2934" t="str">
        <f>IF(AND(FORSIDE!$B$8&gt;=3,FORSIDE!$F$8&gt;=3,FORSIDE!$B$5&gt;=3),"719 -&gt; 730","")</f>
        <v/>
      </c>
      <c r="C2934" t="str">
        <f>FORSIDE!$C$3</f>
        <v>S355, Stål / VFHUP 140x140x8.0</v>
      </c>
    </row>
    <row r="2935" spans="1:3" x14ac:dyDescent="0.3">
      <c r="A2935" t="str">
        <f>IF(AND(FORSIDE!$B$8&gt;=3,FORSIDE!$F$8&gt;=3,FORSIDE!$B$5&gt;=4),"S2934","")</f>
        <v/>
      </c>
      <c r="B2935" t="str">
        <f>IF(AND(FORSIDE!$B$8&gt;=3,FORSIDE!$F$8&gt;=3,FORSIDE!$B$5&gt;=4),"720 -&gt; 731","")</f>
        <v/>
      </c>
      <c r="C2935" t="str">
        <f>FORSIDE!$C$3</f>
        <v>S355, Stål / VFHUP 140x140x8.0</v>
      </c>
    </row>
    <row r="2936" spans="1:3" x14ac:dyDescent="0.3">
      <c r="A2936" t="str">
        <f>IF(AND(FORSIDE!$B$8&gt;=3,FORSIDE!$F$8&gt;=3,FORSIDE!$B$5&gt;=5),"S2935","")</f>
        <v/>
      </c>
      <c r="B2936" t="str">
        <f>IF(AND(FORSIDE!$B$8&gt;=3,FORSIDE!$F$8&gt;=3,FORSIDE!$B$5&gt;=5),"721 -&gt; 732","")</f>
        <v/>
      </c>
      <c r="C2936" t="str">
        <f>FORSIDE!$C$3</f>
        <v>S355, Stål / VFHUP 140x140x8.0</v>
      </c>
    </row>
    <row r="2937" spans="1:3" x14ac:dyDescent="0.3">
      <c r="A2937" t="str">
        <f>IF(AND(FORSIDE!$B$8&gt;=3,FORSIDE!$F$8&gt;=3,FORSIDE!$B$5&gt;=6),"S2936","")</f>
        <v/>
      </c>
      <c r="B2937" t="str">
        <f>IF(AND(FORSIDE!$B$8&gt;=3,FORSIDE!$F$8&gt;=3,FORSIDE!$B$5&gt;=6),"722 -&gt; 733","")</f>
        <v/>
      </c>
      <c r="C2937" t="str">
        <f>FORSIDE!$C$3</f>
        <v>S355, Stål / VFHUP 140x140x8.0</v>
      </c>
    </row>
    <row r="2938" spans="1:3" x14ac:dyDescent="0.3">
      <c r="A2938" t="str">
        <f>IF(AND(FORSIDE!$B$8&gt;=3,FORSIDE!$F$8&gt;=3,FORSIDE!$B$5&gt;=7),"S2937","")</f>
        <v/>
      </c>
      <c r="B2938" t="str">
        <f>IF(AND(FORSIDE!$B$8&gt;=3,FORSIDE!$F$8&gt;=3,FORSIDE!$B$5&gt;=7),"723 -&gt; 734","")</f>
        <v/>
      </c>
      <c r="C2938" t="str">
        <f>FORSIDE!$C$3</f>
        <v>S355, Stål / VFHUP 140x140x8.0</v>
      </c>
    </row>
    <row r="2939" spans="1:3" x14ac:dyDescent="0.3">
      <c r="A2939" t="str">
        <f>IF(AND(FORSIDE!$B$8&gt;=3,FORSIDE!$F$8&gt;=3,FORSIDE!$B$5&gt;=8),"S2938","")</f>
        <v/>
      </c>
      <c r="B2939" t="str">
        <f>IF(AND(FORSIDE!$B$8&gt;=3,FORSIDE!$F$8&gt;=3,FORSIDE!$B$5&gt;=8),"724 -&gt; 735","")</f>
        <v/>
      </c>
      <c r="C2939" t="str">
        <f>FORSIDE!$C$3</f>
        <v>S355, Stål / VFHUP 140x140x8.0</v>
      </c>
    </row>
    <row r="2940" spans="1:3" x14ac:dyDescent="0.3">
      <c r="A2940" t="str">
        <f>IF(AND(FORSIDE!$B$8&gt;=3,FORSIDE!$F$8&gt;=3,FORSIDE!$B$5&gt;=9),"S2939","")</f>
        <v/>
      </c>
      <c r="B2940" t="str">
        <f>IF(AND(FORSIDE!$B$8&gt;=3,FORSIDE!$F$8&gt;=3,FORSIDE!$B$5&gt;=9),"725 -&gt; 736","")</f>
        <v/>
      </c>
      <c r="C2940" t="str">
        <f>FORSIDE!$C$3</f>
        <v>S355, Stål / VFHUP 140x140x8.0</v>
      </c>
    </row>
    <row r="2941" spans="1:3" x14ac:dyDescent="0.3">
      <c r="A2941" t="str">
        <f>IF(AND(FORSIDE!$B$8&gt;=3,FORSIDE!$F$8&gt;=3,FORSIDE!$B$5&gt;=10),"S2940","")</f>
        <v/>
      </c>
      <c r="B2941" t="str">
        <f>IF(AND(FORSIDE!$B$8&gt;=3,FORSIDE!$F$8&gt;=3,FORSIDE!$B$5&gt;=10),"726 -&gt; 737","")</f>
        <v/>
      </c>
      <c r="C2941" t="str">
        <f>FORSIDE!$C$3</f>
        <v>S355, Stål / VFHUP 140x140x8.0</v>
      </c>
    </row>
    <row r="2942" spans="1:3" x14ac:dyDescent="0.3">
      <c r="A2942" t="str">
        <f>IF(AND(FORSIDE!$B$8&gt;=4,FORSIDE!$F$8&gt;=3,FORSIDE!$B$5&gt;=1),"S2941","")</f>
        <v/>
      </c>
      <c r="B2942" t="str">
        <f>IF(AND(FORSIDE!$B$8&gt;=4,FORSIDE!$F$8&gt;=3,FORSIDE!$B$5&gt;=1),"728 -&gt; 739","")</f>
        <v/>
      </c>
      <c r="C2942" t="str">
        <f>FORSIDE!$C$3</f>
        <v>S355, Stål / VFHUP 140x140x8.0</v>
      </c>
    </row>
    <row r="2943" spans="1:3" x14ac:dyDescent="0.3">
      <c r="A2943" t="str">
        <f>IF(AND(FORSIDE!$B$8&gt;=4,FORSIDE!$F$8&gt;=3,FORSIDE!$B$5&gt;=2),"S2942","")</f>
        <v/>
      </c>
      <c r="B2943" t="str">
        <f>IF(AND(FORSIDE!$B$8&gt;=4,FORSIDE!$F$8&gt;=3,FORSIDE!$B$5&gt;=2),"729 -&gt; 740","")</f>
        <v/>
      </c>
      <c r="C2943" t="str">
        <f>FORSIDE!$C$3</f>
        <v>S355, Stål / VFHUP 140x140x8.0</v>
      </c>
    </row>
    <row r="2944" spans="1:3" x14ac:dyDescent="0.3">
      <c r="A2944" t="str">
        <f>IF(AND(FORSIDE!$B$8&gt;=4,FORSIDE!$F$8&gt;=3,FORSIDE!$B$5&gt;=3),"S2943","")</f>
        <v/>
      </c>
      <c r="B2944" t="str">
        <f>IF(AND(FORSIDE!$B$8&gt;=4,FORSIDE!$F$8&gt;=3,FORSIDE!$B$5&gt;=3),"730 -&gt; 741","")</f>
        <v/>
      </c>
      <c r="C2944" t="str">
        <f>FORSIDE!$C$3</f>
        <v>S355, Stål / VFHUP 140x140x8.0</v>
      </c>
    </row>
    <row r="2945" spans="1:3" x14ac:dyDescent="0.3">
      <c r="A2945" t="str">
        <f>IF(AND(FORSIDE!$B$8&gt;=4,FORSIDE!$F$8&gt;=3,FORSIDE!$B$5&gt;=4),"S2944","")</f>
        <v/>
      </c>
      <c r="B2945" t="str">
        <f>IF(AND(FORSIDE!$B$8&gt;=4,FORSIDE!$F$8&gt;=3,FORSIDE!$B$5&gt;=4),"731 -&gt; 742","")</f>
        <v/>
      </c>
      <c r="C2945" t="str">
        <f>FORSIDE!$C$3</f>
        <v>S355, Stål / VFHUP 140x140x8.0</v>
      </c>
    </row>
    <row r="2946" spans="1:3" x14ac:dyDescent="0.3">
      <c r="A2946" t="str">
        <f>IF(AND(FORSIDE!$B$8&gt;=4,FORSIDE!$F$8&gt;=3,FORSIDE!$B$5&gt;=5),"S2945","")</f>
        <v/>
      </c>
      <c r="B2946" t="str">
        <f>IF(AND(FORSIDE!$B$8&gt;=4,FORSIDE!$F$8&gt;=3,FORSIDE!$B$5&gt;=5),"732 -&gt; 743","")</f>
        <v/>
      </c>
      <c r="C2946" t="str">
        <f>FORSIDE!$C$3</f>
        <v>S355, Stål / VFHUP 140x140x8.0</v>
      </c>
    </row>
    <row r="2947" spans="1:3" x14ac:dyDescent="0.3">
      <c r="A2947" t="str">
        <f>IF(AND(FORSIDE!$B$8&gt;=4,FORSIDE!$F$8&gt;=3,FORSIDE!$B$5&gt;=6),"S2946","")</f>
        <v/>
      </c>
      <c r="B2947" t="str">
        <f>IF(AND(FORSIDE!$B$8&gt;=4,FORSIDE!$F$8&gt;=3,FORSIDE!$B$5&gt;=6),"733 -&gt; 744","")</f>
        <v/>
      </c>
      <c r="C2947" t="str">
        <f>FORSIDE!$C$3</f>
        <v>S355, Stål / VFHUP 140x140x8.0</v>
      </c>
    </row>
    <row r="2948" spans="1:3" x14ac:dyDescent="0.3">
      <c r="A2948" t="str">
        <f>IF(AND(FORSIDE!$B$8&gt;=4,FORSIDE!$F$8&gt;=3,FORSIDE!$B$5&gt;=7),"S2947","")</f>
        <v/>
      </c>
      <c r="B2948" t="str">
        <f>IF(AND(FORSIDE!$B$8&gt;=4,FORSIDE!$F$8&gt;=3,FORSIDE!$B$5&gt;=7),"734 -&gt; 745","")</f>
        <v/>
      </c>
      <c r="C2948" t="str">
        <f>FORSIDE!$C$3</f>
        <v>S355, Stål / VFHUP 140x140x8.0</v>
      </c>
    </row>
    <row r="2949" spans="1:3" x14ac:dyDescent="0.3">
      <c r="A2949" t="str">
        <f>IF(AND(FORSIDE!$B$8&gt;=4,FORSIDE!$F$8&gt;=3,FORSIDE!$B$5&gt;=8),"S2948","")</f>
        <v/>
      </c>
      <c r="B2949" t="str">
        <f>IF(AND(FORSIDE!$B$8&gt;=4,FORSIDE!$F$8&gt;=3,FORSIDE!$B$5&gt;=8),"735 -&gt; 746","")</f>
        <v/>
      </c>
      <c r="C2949" t="str">
        <f>FORSIDE!$C$3</f>
        <v>S355, Stål / VFHUP 140x140x8.0</v>
      </c>
    </row>
    <row r="2950" spans="1:3" x14ac:dyDescent="0.3">
      <c r="A2950" t="str">
        <f>IF(AND(FORSIDE!$B$8&gt;=4,FORSIDE!$F$8&gt;=3,FORSIDE!$B$5&gt;=9),"S2949","")</f>
        <v/>
      </c>
      <c r="B2950" t="str">
        <f>IF(AND(FORSIDE!$B$8&gt;=4,FORSIDE!$F$8&gt;=3,FORSIDE!$B$5&gt;=9),"736 -&gt; 747","")</f>
        <v/>
      </c>
      <c r="C2950" t="str">
        <f>FORSIDE!$C$3</f>
        <v>S355, Stål / VFHUP 140x140x8.0</v>
      </c>
    </row>
    <row r="2951" spans="1:3" x14ac:dyDescent="0.3">
      <c r="A2951" t="str">
        <f>IF(AND(FORSIDE!$B$8&gt;=4,FORSIDE!$F$8&gt;=3,FORSIDE!$B$5&gt;=10),"S2950","")</f>
        <v/>
      </c>
      <c r="B2951" t="str">
        <f>IF(AND(FORSIDE!$B$8&gt;=4,FORSIDE!$F$8&gt;=3,FORSIDE!$B$5&gt;=10),"737 -&gt; 748","")</f>
        <v/>
      </c>
      <c r="C2951" t="str">
        <f>FORSIDE!$C$3</f>
        <v>S355, Stål / VFHUP 140x140x8.0</v>
      </c>
    </row>
    <row r="2952" spans="1:3" x14ac:dyDescent="0.3">
      <c r="A2952" t="str">
        <f>IF(AND(FORSIDE!$B$8&gt;=5,FORSIDE!$F$8&gt;=3,FORSIDE!$B$5&gt;=1),"S2951","")</f>
        <v/>
      </c>
      <c r="B2952" t="str">
        <f>IF(AND(FORSIDE!$B$8&gt;=5,FORSIDE!$F$8&gt;=3,FORSIDE!$B$5&gt;=1),"739 -&gt; 750","")</f>
        <v/>
      </c>
      <c r="C2952" t="str">
        <f>FORSIDE!$C$3</f>
        <v>S355, Stål / VFHUP 140x140x8.0</v>
      </c>
    </row>
    <row r="2953" spans="1:3" x14ac:dyDescent="0.3">
      <c r="A2953" t="str">
        <f>IF(AND(FORSIDE!$B$8&gt;=5,FORSIDE!$F$8&gt;=3,FORSIDE!$B$5&gt;=2),"S2952","")</f>
        <v/>
      </c>
      <c r="B2953" t="str">
        <f>IF(AND(FORSIDE!$B$8&gt;=5,FORSIDE!$F$8&gt;=3,FORSIDE!$B$5&gt;=2),"740 -&gt; 751","")</f>
        <v/>
      </c>
      <c r="C2953" t="str">
        <f>FORSIDE!$C$3</f>
        <v>S355, Stål / VFHUP 140x140x8.0</v>
      </c>
    </row>
    <row r="2954" spans="1:3" x14ac:dyDescent="0.3">
      <c r="A2954" t="str">
        <f>IF(AND(FORSIDE!$B$8&gt;=5,FORSIDE!$F$8&gt;=3,FORSIDE!$B$5&gt;=3),"S2953","")</f>
        <v/>
      </c>
      <c r="B2954" t="str">
        <f>IF(AND(FORSIDE!$B$8&gt;=5,FORSIDE!$F$8&gt;=3,FORSIDE!$B$5&gt;=3),"741 -&gt; 752","")</f>
        <v/>
      </c>
      <c r="C2954" t="str">
        <f>FORSIDE!$C$3</f>
        <v>S355, Stål / VFHUP 140x140x8.0</v>
      </c>
    </row>
    <row r="2955" spans="1:3" x14ac:dyDescent="0.3">
      <c r="A2955" t="str">
        <f>IF(AND(FORSIDE!$B$8&gt;=5,FORSIDE!$F$8&gt;=3,FORSIDE!$B$5&gt;=4),"S2954","")</f>
        <v/>
      </c>
      <c r="B2955" t="str">
        <f>IF(AND(FORSIDE!$B$8&gt;=5,FORSIDE!$F$8&gt;=3,FORSIDE!$B$5&gt;=4),"742 -&gt; 753","")</f>
        <v/>
      </c>
      <c r="C2955" t="str">
        <f>FORSIDE!$C$3</f>
        <v>S355, Stål / VFHUP 140x140x8.0</v>
      </c>
    </row>
    <row r="2956" spans="1:3" x14ac:dyDescent="0.3">
      <c r="A2956" t="str">
        <f>IF(AND(FORSIDE!$B$8&gt;=5,FORSIDE!$F$8&gt;=3,FORSIDE!$B$5&gt;=5),"S2955","")</f>
        <v/>
      </c>
      <c r="B2956" t="str">
        <f>IF(AND(FORSIDE!$B$8&gt;=5,FORSIDE!$F$8&gt;=3,FORSIDE!$B$5&gt;=5),"743 -&gt; 754","")</f>
        <v/>
      </c>
      <c r="C2956" t="str">
        <f>FORSIDE!$C$3</f>
        <v>S355, Stål / VFHUP 140x140x8.0</v>
      </c>
    </row>
    <row r="2957" spans="1:3" x14ac:dyDescent="0.3">
      <c r="A2957" t="str">
        <f>IF(AND(FORSIDE!$B$8&gt;=5,FORSIDE!$F$8&gt;=3,FORSIDE!$B$5&gt;=6),"S2956","")</f>
        <v/>
      </c>
      <c r="B2957" t="str">
        <f>IF(AND(FORSIDE!$B$8&gt;=5,FORSIDE!$F$8&gt;=3,FORSIDE!$B$5&gt;=6),"744 -&gt; 755","")</f>
        <v/>
      </c>
      <c r="C2957" t="str">
        <f>FORSIDE!$C$3</f>
        <v>S355, Stål / VFHUP 140x140x8.0</v>
      </c>
    </row>
    <row r="2958" spans="1:3" x14ac:dyDescent="0.3">
      <c r="A2958" t="str">
        <f>IF(AND(FORSIDE!$B$8&gt;=5,FORSIDE!$F$8&gt;=3,FORSIDE!$B$5&gt;=7),"S2957","")</f>
        <v/>
      </c>
      <c r="B2958" t="str">
        <f>IF(AND(FORSIDE!$B$8&gt;=5,FORSIDE!$F$8&gt;=3,FORSIDE!$B$5&gt;=7),"745 -&gt; 756","")</f>
        <v/>
      </c>
      <c r="C2958" t="str">
        <f>FORSIDE!$C$3</f>
        <v>S355, Stål / VFHUP 140x140x8.0</v>
      </c>
    </row>
    <row r="2959" spans="1:3" x14ac:dyDescent="0.3">
      <c r="A2959" t="str">
        <f>IF(AND(FORSIDE!$B$8&gt;=5,FORSIDE!$F$8&gt;=3,FORSIDE!$B$5&gt;=8),"S2958","")</f>
        <v/>
      </c>
      <c r="B2959" t="str">
        <f>IF(AND(FORSIDE!$B$8&gt;=5,FORSIDE!$F$8&gt;=3,FORSIDE!$B$5&gt;=8),"746 -&gt; 757","")</f>
        <v/>
      </c>
      <c r="C2959" t="str">
        <f>FORSIDE!$C$3</f>
        <v>S355, Stål / VFHUP 140x140x8.0</v>
      </c>
    </row>
    <row r="2960" spans="1:3" x14ac:dyDescent="0.3">
      <c r="A2960" t="str">
        <f>IF(AND(FORSIDE!$B$8&gt;=5,FORSIDE!$F$8&gt;=3,FORSIDE!$B$5&gt;=9),"S2959","")</f>
        <v/>
      </c>
      <c r="B2960" t="str">
        <f>IF(AND(FORSIDE!$B$8&gt;=5,FORSIDE!$F$8&gt;=3,FORSIDE!$B$5&gt;=9),"747 -&gt; 758","")</f>
        <v/>
      </c>
      <c r="C2960" t="str">
        <f>FORSIDE!$C$3</f>
        <v>S355, Stål / VFHUP 140x140x8.0</v>
      </c>
    </row>
    <row r="2961" spans="1:3" x14ac:dyDescent="0.3">
      <c r="A2961" t="str">
        <f>IF(AND(FORSIDE!$B$8&gt;=5,FORSIDE!$F$8&gt;=3,FORSIDE!$B$5&gt;=10),"S2960","")</f>
        <v/>
      </c>
      <c r="B2961" t="str">
        <f>IF(AND(FORSIDE!$B$8&gt;=5,FORSIDE!$F$8&gt;=3,FORSIDE!$B$5&gt;=10),"748 -&gt; 759","")</f>
        <v/>
      </c>
      <c r="C2961" t="str">
        <f>FORSIDE!$C$3</f>
        <v>S355, Stål / VFHUP 140x140x8.0</v>
      </c>
    </row>
    <row r="2962" spans="1:3" x14ac:dyDescent="0.3">
      <c r="A2962" t="str">
        <f>IF(AND(FORSIDE!$B$8&gt;=6,FORSIDE!$F$8&gt;=3,FORSIDE!$B$5&gt;=1),"S2961","")</f>
        <v/>
      </c>
      <c r="B2962" t="str">
        <f>IF(AND(FORSIDE!$B$8&gt;=6,FORSIDE!$F$8&gt;=3,FORSIDE!$B$5&gt;=1),"750 -&gt; 761","")</f>
        <v/>
      </c>
      <c r="C2962" t="str">
        <f>FORSIDE!$C$3</f>
        <v>S355, Stål / VFHUP 140x140x8.0</v>
      </c>
    </row>
    <row r="2963" spans="1:3" x14ac:dyDescent="0.3">
      <c r="A2963" t="str">
        <f>IF(AND(FORSIDE!$B$8&gt;=6,FORSIDE!$F$8&gt;=3,FORSIDE!$B$5&gt;=2),"S2962","")</f>
        <v/>
      </c>
      <c r="B2963" t="str">
        <f>IF(AND(FORSIDE!$B$8&gt;=6,FORSIDE!$F$8&gt;=3,FORSIDE!$B$5&gt;=2),"751 -&gt; 762","")</f>
        <v/>
      </c>
      <c r="C2963" t="str">
        <f>FORSIDE!$C$3</f>
        <v>S355, Stål / VFHUP 140x140x8.0</v>
      </c>
    </row>
    <row r="2964" spans="1:3" x14ac:dyDescent="0.3">
      <c r="A2964" t="str">
        <f>IF(AND(FORSIDE!$B$8&gt;=6,FORSIDE!$F$8&gt;=3,FORSIDE!$B$5&gt;=3),"S2963","")</f>
        <v/>
      </c>
      <c r="B2964" t="str">
        <f>IF(AND(FORSIDE!$B$8&gt;=6,FORSIDE!$F$8&gt;=3,FORSIDE!$B$5&gt;=3),"752 -&gt; 763","")</f>
        <v/>
      </c>
      <c r="C2964" t="str">
        <f>FORSIDE!$C$3</f>
        <v>S355, Stål / VFHUP 140x140x8.0</v>
      </c>
    </row>
    <row r="2965" spans="1:3" x14ac:dyDescent="0.3">
      <c r="A2965" t="str">
        <f>IF(AND(FORSIDE!$B$8&gt;=6,FORSIDE!$F$8&gt;=3,FORSIDE!$B$5&gt;=4),"S2964","")</f>
        <v/>
      </c>
      <c r="B2965" t="str">
        <f>IF(AND(FORSIDE!$B$8&gt;=6,FORSIDE!$F$8&gt;=3,FORSIDE!$B$5&gt;=4),"753 -&gt; 764","")</f>
        <v/>
      </c>
      <c r="C2965" t="str">
        <f>FORSIDE!$C$3</f>
        <v>S355, Stål / VFHUP 140x140x8.0</v>
      </c>
    </row>
    <row r="2966" spans="1:3" x14ac:dyDescent="0.3">
      <c r="A2966" t="str">
        <f>IF(AND(FORSIDE!$B$8&gt;=6,FORSIDE!$F$8&gt;=3,FORSIDE!$B$5&gt;=5),"S2965","")</f>
        <v/>
      </c>
      <c r="B2966" t="str">
        <f>IF(AND(FORSIDE!$B$8&gt;=6,FORSIDE!$F$8&gt;=3,FORSIDE!$B$5&gt;=5),"754 -&gt; 765","")</f>
        <v/>
      </c>
      <c r="C2966" t="str">
        <f>FORSIDE!$C$3</f>
        <v>S355, Stål / VFHUP 140x140x8.0</v>
      </c>
    </row>
    <row r="2967" spans="1:3" x14ac:dyDescent="0.3">
      <c r="A2967" t="str">
        <f>IF(AND(FORSIDE!$B$8&gt;=6,FORSIDE!$F$8&gt;=3,FORSIDE!$B$5&gt;=6),"S2966","")</f>
        <v/>
      </c>
      <c r="B2967" t="str">
        <f>IF(AND(FORSIDE!$B$8&gt;=6,FORSIDE!$F$8&gt;=3,FORSIDE!$B$5&gt;=6),"755 -&gt; 766","")</f>
        <v/>
      </c>
      <c r="C2967" t="str">
        <f>FORSIDE!$C$3</f>
        <v>S355, Stål / VFHUP 140x140x8.0</v>
      </c>
    </row>
    <row r="2968" spans="1:3" x14ac:dyDescent="0.3">
      <c r="A2968" t="str">
        <f>IF(AND(FORSIDE!$B$8&gt;=6,FORSIDE!$F$8&gt;=3,FORSIDE!$B$5&gt;=7),"S2967","")</f>
        <v/>
      </c>
      <c r="B2968" t="str">
        <f>IF(AND(FORSIDE!$B$8&gt;=6,FORSIDE!$F$8&gt;=3,FORSIDE!$B$5&gt;=7),"756 -&gt; 767","")</f>
        <v/>
      </c>
      <c r="C2968" t="str">
        <f>FORSIDE!$C$3</f>
        <v>S355, Stål / VFHUP 140x140x8.0</v>
      </c>
    </row>
    <row r="2969" spans="1:3" x14ac:dyDescent="0.3">
      <c r="A2969" t="str">
        <f>IF(AND(FORSIDE!$B$8&gt;=6,FORSIDE!$F$8&gt;=3,FORSIDE!$B$5&gt;=8),"S2968","")</f>
        <v/>
      </c>
      <c r="B2969" t="str">
        <f>IF(AND(FORSIDE!$B$8&gt;=6,FORSIDE!$F$8&gt;=3,FORSIDE!$B$5&gt;=8),"757 -&gt; 768","")</f>
        <v/>
      </c>
      <c r="C2969" t="str">
        <f>FORSIDE!$C$3</f>
        <v>S355, Stål / VFHUP 140x140x8.0</v>
      </c>
    </row>
    <row r="2970" spans="1:3" x14ac:dyDescent="0.3">
      <c r="A2970" t="str">
        <f>IF(AND(FORSIDE!$B$8&gt;=6,FORSIDE!$F$8&gt;=3,FORSIDE!$B$5&gt;=9),"S2969","")</f>
        <v/>
      </c>
      <c r="B2970" t="str">
        <f>IF(AND(FORSIDE!$B$8&gt;=6,FORSIDE!$F$8&gt;=3,FORSIDE!$B$5&gt;=9),"758 -&gt; 769","")</f>
        <v/>
      </c>
      <c r="C2970" t="str">
        <f>FORSIDE!$C$3</f>
        <v>S355, Stål / VFHUP 140x140x8.0</v>
      </c>
    </row>
    <row r="2971" spans="1:3" x14ac:dyDescent="0.3">
      <c r="A2971" t="str">
        <f>IF(AND(FORSIDE!$B$8&gt;=6,FORSIDE!$F$8&gt;=3,FORSIDE!$B$5&gt;=10),"S2970","")</f>
        <v/>
      </c>
      <c r="B2971" t="str">
        <f>IF(AND(FORSIDE!$B$8&gt;=6,FORSIDE!$F$8&gt;=3,FORSIDE!$B$5&gt;=10),"759 -&gt; 770","")</f>
        <v/>
      </c>
      <c r="C2971" t="str">
        <f>FORSIDE!$C$3</f>
        <v>S355, Stål / VFHUP 140x140x8.0</v>
      </c>
    </row>
    <row r="2972" spans="1:3" x14ac:dyDescent="0.3">
      <c r="A2972" t="str">
        <f>IF(AND(FORSIDE!$B$8&gt;=7,FORSIDE!$F$8&gt;=3,FORSIDE!$B$5&gt;=1),"S2971","")</f>
        <v/>
      </c>
      <c r="B2972" t="str">
        <f>IF(AND(FORSIDE!$B$8&gt;=7,FORSIDE!$F$8&gt;=3,FORSIDE!$B$5&gt;=1),"761 -&gt; 772","")</f>
        <v/>
      </c>
      <c r="C2972" t="str">
        <f>FORSIDE!$C$3</f>
        <v>S355, Stål / VFHUP 140x140x8.0</v>
      </c>
    </row>
    <row r="2973" spans="1:3" x14ac:dyDescent="0.3">
      <c r="A2973" t="str">
        <f>IF(AND(FORSIDE!$B$8&gt;=7,FORSIDE!$F$8&gt;=3,FORSIDE!$B$5&gt;=2),"S2972","")</f>
        <v/>
      </c>
      <c r="B2973" t="str">
        <f>IF(AND(FORSIDE!$B$8&gt;=7,FORSIDE!$F$8&gt;=3,FORSIDE!$B$5&gt;=2),"762 -&gt; 773","")</f>
        <v/>
      </c>
      <c r="C2973" t="str">
        <f>FORSIDE!$C$3</f>
        <v>S355, Stål / VFHUP 140x140x8.0</v>
      </c>
    </row>
    <row r="2974" spans="1:3" x14ac:dyDescent="0.3">
      <c r="A2974" t="str">
        <f>IF(AND(FORSIDE!$B$8&gt;=7,FORSIDE!$F$8&gt;=3,FORSIDE!$B$5&gt;=3),"S2973","")</f>
        <v/>
      </c>
      <c r="B2974" t="str">
        <f>IF(AND(FORSIDE!$B$8&gt;=7,FORSIDE!$F$8&gt;=3,FORSIDE!$B$5&gt;=3),"763 -&gt; 774","")</f>
        <v/>
      </c>
      <c r="C2974" t="str">
        <f>FORSIDE!$C$3</f>
        <v>S355, Stål / VFHUP 140x140x8.0</v>
      </c>
    </row>
    <row r="2975" spans="1:3" x14ac:dyDescent="0.3">
      <c r="A2975" t="str">
        <f>IF(AND(FORSIDE!$B$8&gt;=7,FORSIDE!$F$8&gt;=3,FORSIDE!$B$5&gt;=4),"S2974","")</f>
        <v/>
      </c>
      <c r="B2975" t="str">
        <f>IF(AND(FORSIDE!$B$8&gt;=7,FORSIDE!$F$8&gt;=3,FORSIDE!$B$5&gt;=4),"764 -&gt; 775","")</f>
        <v/>
      </c>
      <c r="C2975" t="str">
        <f>FORSIDE!$C$3</f>
        <v>S355, Stål / VFHUP 140x140x8.0</v>
      </c>
    </row>
    <row r="2976" spans="1:3" x14ac:dyDescent="0.3">
      <c r="A2976" t="str">
        <f>IF(AND(FORSIDE!$B$8&gt;=7,FORSIDE!$F$8&gt;=3,FORSIDE!$B$5&gt;=5),"S2975","")</f>
        <v/>
      </c>
      <c r="B2976" t="str">
        <f>IF(AND(FORSIDE!$B$8&gt;=7,FORSIDE!$F$8&gt;=3,FORSIDE!$B$5&gt;=5),"765 -&gt; 776","")</f>
        <v/>
      </c>
      <c r="C2976" t="str">
        <f>FORSIDE!$C$3</f>
        <v>S355, Stål / VFHUP 140x140x8.0</v>
      </c>
    </row>
    <row r="2977" spans="1:3" x14ac:dyDescent="0.3">
      <c r="A2977" t="str">
        <f>IF(AND(FORSIDE!$B$8&gt;=7,FORSIDE!$F$8&gt;=3,FORSIDE!$B$5&gt;=6),"S2976","")</f>
        <v/>
      </c>
      <c r="B2977" t="str">
        <f>IF(AND(FORSIDE!$B$8&gt;=7,FORSIDE!$F$8&gt;=3,FORSIDE!$B$5&gt;=6),"766 -&gt; 777","")</f>
        <v/>
      </c>
      <c r="C2977" t="str">
        <f>FORSIDE!$C$3</f>
        <v>S355, Stål / VFHUP 140x140x8.0</v>
      </c>
    </row>
    <row r="2978" spans="1:3" x14ac:dyDescent="0.3">
      <c r="A2978" t="str">
        <f>IF(AND(FORSIDE!$B$8&gt;=7,FORSIDE!$F$8&gt;=3,FORSIDE!$B$5&gt;=7),"S2977","")</f>
        <v/>
      </c>
      <c r="B2978" t="str">
        <f>IF(AND(FORSIDE!$B$8&gt;=7,FORSIDE!$F$8&gt;=3,FORSIDE!$B$5&gt;=7),"767 -&gt; 778","")</f>
        <v/>
      </c>
      <c r="C2978" t="str">
        <f>FORSIDE!$C$3</f>
        <v>S355, Stål / VFHUP 140x140x8.0</v>
      </c>
    </row>
    <row r="2979" spans="1:3" x14ac:dyDescent="0.3">
      <c r="A2979" t="str">
        <f>IF(AND(FORSIDE!$B$8&gt;=7,FORSIDE!$F$8&gt;=3,FORSIDE!$B$5&gt;=8),"S2978","")</f>
        <v/>
      </c>
      <c r="B2979" t="str">
        <f>IF(AND(FORSIDE!$B$8&gt;=7,FORSIDE!$F$8&gt;=3,FORSIDE!$B$5&gt;=8),"768 -&gt; 779","")</f>
        <v/>
      </c>
      <c r="C2979" t="str">
        <f>FORSIDE!$C$3</f>
        <v>S355, Stål / VFHUP 140x140x8.0</v>
      </c>
    </row>
    <row r="2980" spans="1:3" x14ac:dyDescent="0.3">
      <c r="A2980" t="str">
        <f>IF(AND(FORSIDE!$B$8&gt;=7,FORSIDE!$F$8&gt;=3,FORSIDE!$B$5&gt;=9),"S2979","")</f>
        <v/>
      </c>
      <c r="B2980" t="str">
        <f>IF(AND(FORSIDE!$B$8&gt;=7,FORSIDE!$F$8&gt;=3,FORSIDE!$B$5&gt;=9),"769 -&gt; 780","")</f>
        <v/>
      </c>
      <c r="C2980" t="str">
        <f>FORSIDE!$C$3</f>
        <v>S355, Stål / VFHUP 140x140x8.0</v>
      </c>
    </row>
    <row r="2981" spans="1:3" x14ac:dyDescent="0.3">
      <c r="A2981" t="str">
        <f>IF(AND(FORSIDE!$B$8&gt;=7,FORSIDE!$F$8&gt;=3,FORSIDE!$B$5&gt;=10),"S2980","")</f>
        <v/>
      </c>
      <c r="B2981" t="str">
        <f>IF(AND(FORSIDE!$B$8&gt;=7,FORSIDE!$F$8&gt;=3,FORSIDE!$B$5&gt;=10),"770 -&gt; 781","")</f>
        <v/>
      </c>
      <c r="C2981" t="str">
        <f>FORSIDE!$C$3</f>
        <v>S355, Stål / VFHUP 140x140x8.0</v>
      </c>
    </row>
    <row r="2982" spans="1:3" x14ac:dyDescent="0.3">
      <c r="A2982" t="str">
        <f>IF(AND(FORSIDE!$B$8&gt;=8,FORSIDE!$F$8&gt;=3,FORSIDE!$B$5&gt;=1),"S2981","")</f>
        <v/>
      </c>
      <c r="B2982" t="str">
        <f>IF(AND(FORSIDE!$B$8&gt;=8,FORSIDE!$F$8&gt;=3,FORSIDE!$B$5&gt;=1),"772 -&gt; 783","")</f>
        <v/>
      </c>
      <c r="C2982" t="str">
        <f>FORSIDE!$C$3</f>
        <v>S355, Stål / VFHUP 140x140x8.0</v>
      </c>
    </row>
    <row r="2983" spans="1:3" x14ac:dyDescent="0.3">
      <c r="A2983" t="str">
        <f>IF(AND(FORSIDE!$B$8&gt;=8,FORSIDE!$F$8&gt;=3,FORSIDE!$B$5&gt;=2),"S2982","")</f>
        <v/>
      </c>
      <c r="B2983" t="str">
        <f>IF(AND(FORSIDE!$B$8&gt;=8,FORSIDE!$F$8&gt;=3,FORSIDE!$B$5&gt;=2),"773 -&gt; 784","")</f>
        <v/>
      </c>
      <c r="C2983" t="str">
        <f>FORSIDE!$C$3</f>
        <v>S355, Stål / VFHUP 140x140x8.0</v>
      </c>
    </row>
    <row r="2984" spans="1:3" x14ac:dyDescent="0.3">
      <c r="A2984" t="str">
        <f>IF(AND(FORSIDE!$B$8&gt;=8,FORSIDE!$F$8&gt;=3,FORSIDE!$B$5&gt;=3),"S2983","")</f>
        <v/>
      </c>
      <c r="B2984" t="str">
        <f>IF(AND(FORSIDE!$B$8&gt;=8,FORSIDE!$F$8&gt;=3,FORSIDE!$B$5&gt;=3),"774 -&gt; 785","")</f>
        <v/>
      </c>
      <c r="C2984" t="str">
        <f>FORSIDE!$C$3</f>
        <v>S355, Stål / VFHUP 140x140x8.0</v>
      </c>
    </row>
    <row r="2985" spans="1:3" x14ac:dyDescent="0.3">
      <c r="A2985" t="str">
        <f>IF(AND(FORSIDE!$B$8&gt;=8,FORSIDE!$F$8&gt;=3,FORSIDE!$B$5&gt;=4),"S2984","")</f>
        <v/>
      </c>
      <c r="B2985" t="str">
        <f>IF(AND(FORSIDE!$B$8&gt;=8,FORSIDE!$F$8&gt;=3,FORSIDE!$B$5&gt;=4),"775 -&gt; 786","")</f>
        <v/>
      </c>
      <c r="C2985" t="str">
        <f>FORSIDE!$C$3</f>
        <v>S355, Stål / VFHUP 140x140x8.0</v>
      </c>
    </row>
    <row r="2986" spans="1:3" x14ac:dyDescent="0.3">
      <c r="A2986" t="str">
        <f>IF(AND(FORSIDE!$B$8&gt;=8,FORSIDE!$F$8&gt;=3,FORSIDE!$B$5&gt;=5),"S2985","")</f>
        <v/>
      </c>
      <c r="B2986" t="str">
        <f>IF(AND(FORSIDE!$B$8&gt;=8,FORSIDE!$F$8&gt;=3,FORSIDE!$B$5&gt;=5),"776 -&gt; 787","")</f>
        <v/>
      </c>
      <c r="C2986" t="str">
        <f>FORSIDE!$C$3</f>
        <v>S355, Stål / VFHUP 140x140x8.0</v>
      </c>
    </row>
    <row r="2987" spans="1:3" x14ac:dyDescent="0.3">
      <c r="A2987" t="str">
        <f>IF(AND(FORSIDE!$B$8&gt;=8,FORSIDE!$F$8&gt;=3,FORSIDE!$B$5&gt;=6),"S2986","")</f>
        <v/>
      </c>
      <c r="B2987" t="str">
        <f>IF(AND(FORSIDE!$B$8&gt;=8,FORSIDE!$F$8&gt;=3,FORSIDE!$B$5&gt;=6),"777 -&gt; 788","")</f>
        <v/>
      </c>
      <c r="C2987" t="str">
        <f>FORSIDE!$C$3</f>
        <v>S355, Stål / VFHUP 140x140x8.0</v>
      </c>
    </row>
    <row r="2988" spans="1:3" x14ac:dyDescent="0.3">
      <c r="A2988" t="str">
        <f>IF(AND(FORSIDE!$B$8&gt;=8,FORSIDE!$F$8&gt;=3,FORSIDE!$B$5&gt;=7),"S2987","")</f>
        <v/>
      </c>
      <c r="B2988" t="str">
        <f>IF(AND(FORSIDE!$B$8&gt;=8,FORSIDE!$F$8&gt;=3,FORSIDE!$B$5&gt;=7),"778 -&gt; 789","")</f>
        <v/>
      </c>
      <c r="C2988" t="str">
        <f>FORSIDE!$C$3</f>
        <v>S355, Stål / VFHUP 140x140x8.0</v>
      </c>
    </row>
    <row r="2989" spans="1:3" x14ac:dyDescent="0.3">
      <c r="A2989" t="str">
        <f>IF(AND(FORSIDE!$B$8&gt;=8,FORSIDE!$F$8&gt;=3,FORSIDE!$B$5&gt;=8),"S2988","")</f>
        <v/>
      </c>
      <c r="B2989" t="str">
        <f>IF(AND(FORSIDE!$B$8&gt;=8,FORSIDE!$F$8&gt;=3,FORSIDE!$B$5&gt;=8),"779 -&gt; 790","")</f>
        <v/>
      </c>
      <c r="C2989" t="str">
        <f>FORSIDE!$C$3</f>
        <v>S355, Stål / VFHUP 140x140x8.0</v>
      </c>
    </row>
    <row r="2990" spans="1:3" x14ac:dyDescent="0.3">
      <c r="A2990" t="str">
        <f>IF(AND(FORSIDE!$B$8&gt;=8,FORSIDE!$F$8&gt;=3,FORSIDE!$B$5&gt;=9),"S2989","")</f>
        <v/>
      </c>
      <c r="B2990" t="str">
        <f>IF(AND(FORSIDE!$B$8&gt;=8,FORSIDE!$F$8&gt;=3,FORSIDE!$B$5&gt;=9),"780 -&gt; 791","")</f>
        <v/>
      </c>
      <c r="C2990" t="str">
        <f>FORSIDE!$C$3</f>
        <v>S355, Stål / VFHUP 140x140x8.0</v>
      </c>
    </row>
    <row r="2991" spans="1:3" x14ac:dyDescent="0.3">
      <c r="A2991" t="str">
        <f>IF(AND(FORSIDE!$B$8&gt;=8,FORSIDE!$F$8&gt;=3,FORSIDE!$B$5&gt;=10),"S2990","")</f>
        <v/>
      </c>
      <c r="B2991" t="str">
        <f>IF(AND(FORSIDE!$B$8&gt;=8,FORSIDE!$F$8&gt;=3,FORSIDE!$B$5&gt;=10),"781 -&gt; 792","")</f>
        <v/>
      </c>
      <c r="C2991" t="str">
        <f>FORSIDE!$C$3</f>
        <v>S355, Stål / VFHUP 140x140x8.0</v>
      </c>
    </row>
    <row r="2992" spans="1:3" x14ac:dyDescent="0.3">
      <c r="A2992" t="str">
        <f>IF(AND(FORSIDE!$B$8&gt;=9,FORSIDE!$F$8&gt;=3,FORSIDE!$B$5&gt;=1),"S2991","")</f>
        <v/>
      </c>
      <c r="B2992" t="str">
        <f>IF(AND(FORSIDE!$B$8&gt;=9,FORSIDE!$F$8&gt;=3,FORSIDE!$B$5&gt;=1),"783 -&gt; 794","")</f>
        <v/>
      </c>
      <c r="C2992" t="str">
        <f>FORSIDE!$C$3</f>
        <v>S355, Stål / VFHUP 140x140x8.0</v>
      </c>
    </row>
    <row r="2993" spans="1:3" x14ac:dyDescent="0.3">
      <c r="A2993" t="str">
        <f>IF(AND(FORSIDE!$B$8&gt;=9,FORSIDE!$F$8&gt;=3,FORSIDE!$B$5&gt;=2),"S2992","")</f>
        <v/>
      </c>
      <c r="B2993" t="str">
        <f>IF(AND(FORSIDE!$B$8&gt;=9,FORSIDE!$F$8&gt;=3,FORSIDE!$B$5&gt;=2),"784 -&gt; 795","")</f>
        <v/>
      </c>
      <c r="C2993" t="str">
        <f>FORSIDE!$C$3</f>
        <v>S355, Stål / VFHUP 140x140x8.0</v>
      </c>
    </row>
    <row r="2994" spans="1:3" x14ac:dyDescent="0.3">
      <c r="A2994" t="str">
        <f>IF(AND(FORSIDE!$B$8&gt;=9,FORSIDE!$F$8&gt;=3,FORSIDE!$B$5&gt;=3),"S2993","")</f>
        <v/>
      </c>
      <c r="B2994" t="str">
        <f>IF(AND(FORSIDE!$B$8&gt;=9,FORSIDE!$F$8&gt;=3,FORSIDE!$B$5&gt;=3),"785 -&gt; 796","")</f>
        <v/>
      </c>
      <c r="C2994" t="str">
        <f>FORSIDE!$C$3</f>
        <v>S355, Stål / VFHUP 140x140x8.0</v>
      </c>
    </row>
    <row r="2995" spans="1:3" x14ac:dyDescent="0.3">
      <c r="A2995" t="str">
        <f>IF(AND(FORSIDE!$B$8&gt;=9,FORSIDE!$F$8&gt;=3,FORSIDE!$B$5&gt;=4),"S2994","")</f>
        <v/>
      </c>
      <c r="B2995" t="str">
        <f>IF(AND(FORSIDE!$B$8&gt;=9,FORSIDE!$F$8&gt;=3,FORSIDE!$B$5&gt;=4),"786 -&gt; 797","")</f>
        <v/>
      </c>
      <c r="C2995" t="str">
        <f>FORSIDE!$C$3</f>
        <v>S355, Stål / VFHUP 140x140x8.0</v>
      </c>
    </row>
    <row r="2996" spans="1:3" x14ac:dyDescent="0.3">
      <c r="A2996" t="str">
        <f>IF(AND(FORSIDE!$B$8&gt;=9,FORSIDE!$F$8&gt;=3,FORSIDE!$B$5&gt;=5),"S2995","")</f>
        <v/>
      </c>
      <c r="B2996" t="str">
        <f>IF(AND(FORSIDE!$B$8&gt;=9,FORSIDE!$F$8&gt;=3,FORSIDE!$B$5&gt;=5),"787 -&gt; 798","")</f>
        <v/>
      </c>
      <c r="C2996" t="str">
        <f>FORSIDE!$C$3</f>
        <v>S355, Stål / VFHUP 140x140x8.0</v>
      </c>
    </row>
    <row r="2997" spans="1:3" x14ac:dyDescent="0.3">
      <c r="A2997" t="str">
        <f>IF(AND(FORSIDE!$B$8&gt;=9,FORSIDE!$F$8&gt;=3,FORSIDE!$B$5&gt;=6),"S2996","")</f>
        <v/>
      </c>
      <c r="B2997" t="str">
        <f>IF(AND(FORSIDE!$B$8&gt;=9,FORSIDE!$F$8&gt;=3,FORSIDE!$B$5&gt;=6),"788 -&gt; 799","")</f>
        <v/>
      </c>
      <c r="C2997" t="str">
        <f>FORSIDE!$C$3</f>
        <v>S355, Stål / VFHUP 140x140x8.0</v>
      </c>
    </row>
    <row r="2998" spans="1:3" x14ac:dyDescent="0.3">
      <c r="A2998" t="str">
        <f>IF(AND(FORSIDE!$B$8&gt;=9,FORSIDE!$F$8&gt;=3,FORSIDE!$B$5&gt;=7),"S2997","")</f>
        <v/>
      </c>
      <c r="B2998" t="str">
        <f>IF(AND(FORSIDE!$B$8&gt;=9,FORSIDE!$F$8&gt;=3,FORSIDE!$B$5&gt;=7),"789 -&gt; 800","")</f>
        <v/>
      </c>
      <c r="C2998" t="str">
        <f>FORSIDE!$C$3</f>
        <v>S355, Stål / VFHUP 140x140x8.0</v>
      </c>
    </row>
    <row r="2999" spans="1:3" x14ac:dyDescent="0.3">
      <c r="A2999" t="str">
        <f>IF(AND(FORSIDE!$B$8&gt;=9,FORSIDE!$F$8&gt;=3,FORSIDE!$B$5&gt;=8),"S2998","")</f>
        <v/>
      </c>
      <c r="B2999" t="str">
        <f>IF(AND(FORSIDE!$B$8&gt;=9,FORSIDE!$F$8&gt;=3,FORSIDE!$B$5&gt;=8),"790 -&gt; 801","")</f>
        <v/>
      </c>
      <c r="C2999" t="str">
        <f>FORSIDE!$C$3</f>
        <v>S355, Stål / VFHUP 140x140x8.0</v>
      </c>
    </row>
    <row r="3000" spans="1:3" x14ac:dyDescent="0.3">
      <c r="A3000" t="str">
        <f>IF(AND(FORSIDE!$B$8&gt;=9,FORSIDE!$F$8&gt;=3,FORSIDE!$B$5&gt;=9),"S2999","")</f>
        <v/>
      </c>
      <c r="B3000" t="str">
        <f>IF(AND(FORSIDE!$B$8&gt;=9,FORSIDE!$F$8&gt;=3,FORSIDE!$B$5&gt;=9),"791 -&gt; 802","")</f>
        <v/>
      </c>
      <c r="C3000" t="str">
        <f>FORSIDE!$C$3</f>
        <v>S355, Stål / VFHUP 140x140x8.0</v>
      </c>
    </row>
    <row r="3001" spans="1:3" x14ac:dyDescent="0.3">
      <c r="A3001" t="str">
        <f>IF(AND(FORSIDE!$B$8&gt;=9,FORSIDE!$F$8&gt;=3,FORSIDE!$B$5&gt;=10),"S3000","")</f>
        <v/>
      </c>
      <c r="B3001" t="str">
        <f>IF(AND(FORSIDE!$B$8&gt;=9,FORSIDE!$F$8&gt;=3,FORSIDE!$B$5&gt;=10),"792 -&gt; 803","")</f>
        <v/>
      </c>
      <c r="C3001" t="str">
        <f>FORSIDE!$C$3</f>
        <v>S355, Stål / VFHUP 140x140x8.0</v>
      </c>
    </row>
    <row r="3002" spans="1:3" x14ac:dyDescent="0.3">
      <c r="A3002" t="str">
        <f>IF(AND(FORSIDE!$B$8&gt;=10,FORSIDE!$F$8&gt;=3,FORSIDE!$B$5&gt;=1),"S3001","")</f>
        <v/>
      </c>
      <c r="B3002" t="str">
        <f>IF(AND(FORSIDE!$B$8&gt;=10,FORSIDE!$F$8&gt;=3,FORSIDE!$B$5&gt;=1),"794 -&gt; 805","")</f>
        <v/>
      </c>
      <c r="C3002" t="str">
        <f>FORSIDE!$C$3</f>
        <v>S355, Stål / VFHUP 140x140x8.0</v>
      </c>
    </row>
    <row r="3003" spans="1:3" x14ac:dyDescent="0.3">
      <c r="A3003" t="str">
        <f>IF(AND(FORSIDE!$B$8&gt;=10,FORSIDE!$F$8&gt;=3,FORSIDE!$B$5&gt;=2),"S3002","")</f>
        <v/>
      </c>
      <c r="B3003" t="str">
        <f>IF(AND(FORSIDE!$B$8&gt;=10,FORSIDE!$F$8&gt;=3,FORSIDE!$B$5&gt;=2),"795 -&gt; 806","")</f>
        <v/>
      </c>
      <c r="C3003" t="str">
        <f>FORSIDE!$C$3</f>
        <v>S355, Stål / VFHUP 140x140x8.0</v>
      </c>
    </row>
    <row r="3004" spans="1:3" x14ac:dyDescent="0.3">
      <c r="A3004" t="str">
        <f>IF(AND(FORSIDE!$B$8&gt;=10,FORSIDE!$F$8&gt;=3,FORSIDE!$B$5&gt;=3),"S3003","")</f>
        <v/>
      </c>
      <c r="B3004" t="str">
        <f>IF(AND(FORSIDE!$B$8&gt;=10,FORSIDE!$F$8&gt;=3,FORSIDE!$B$5&gt;=3),"796 -&gt; 807","")</f>
        <v/>
      </c>
      <c r="C3004" t="str">
        <f>FORSIDE!$C$3</f>
        <v>S355, Stål / VFHUP 140x140x8.0</v>
      </c>
    </row>
    <row r="3005" spans="1:3" x14ac:dyDescent="0.3">
      <c r="A3005" t="str">
        <f>IF(AND(FORSIDE!$B$8&gt;=10,FORSIDE!$F$8&gt;=3,FORSIDE!$B$5&gt;=4),"S3004","")</f>
        <v/>
      </c>
      <c r="B3005" t="str">
        <f>IF(AND(FORSIDE!$B$8&gt;=10,FORSIDE!$F$8&gt;=3,FORSIDE!$B$5&gt;=4),"797 -&gt; 808","")</f>
        <v/>
      </c>
      <c r="C3005" t="str">
        <f>FORSIDE!$C$3</f>
        <v>S355, Stål / VFHUP 140x140x8.0</v>
      </c>
    </row>
    <row r="3006" spans="1:3" x14ac:dyDescent="0.3">
      <c r="A3006" t="str">
        <f>IF(AND(FORSIDE!$B$8&gt;=10,FORSIDE!$F$8&gt;=3,FORSIDE!$B$5&gt;=5),"S3005","")</f>
        <v/>
      </c>
      <c r="B3006" t="str">
        <f>IF(AND(FORSIDE!$B$8&gt;=10,FORSIDE!$F$8&gt;=3,FORSIDE!$B$5&gt;=5),"798 -&gt; 809","")</f>
        <v/>
      </c>
      <c r="C3006" t="str">
        <f>FORSIDE!$C$3</f>
        <v>S355, Stål / VFHUP 140x140x8.0</v>
      </c>
    </row>
    <row r="3007" spans="1:3" x14ac:dyDescent="0.3">
      <c r="A3007" t="str">
        <f>IF(AND(FORSIDE!$B$8&gt;=10,FORSIDE!$F$8&gt;=3,FORSIDE!$B$5&gt;=6),"S3006","")</f>
        <v/>
      </c>
      <c r="B3007" t="str">
        <f>IF(AND(FORSIDE!$B$8&gt;=10,FORSIDE!$F$8&gt;=3,FORSIDE!$B$5&gt;=6),"799 -&gt; 810","")</f>
        <v/>
      </c>
      <c r="C3007" t="str">
        <f>FORSIDE!$C$3</f>
        <v>S355, Stål / VFHUP 140x140x8.0</v>
      </c>
    </row>
    <row r="3008" spans="1:3" x14ac:dyDescent="0.3">
      <c r="A3008" t="str">
        <f>IF(AND(FORSIDE!$B$8&gt;=10,FORSIDE!$F$8&gt;=3,FORSIDE!$B$5&gt;=7),"S3007","")</f>
        <v/>
      </c>
      <c r="B3008" t="str">
        <f>IF(AND(FORSIDE!$B$8&gt;=10,FORSIDE!$F$8&gt;=3,FORSIDE!$B$5&gt;=7),"800 -&gt; 811","")</f>
        <v/>
      </c>
      <c r="C3008" t="str">
        <f>FORSIDE!$C$3</f>
        <v>S355, Stål / VFHUP 140x140x8.0</v>
      </c>
    </row>
    <row r="3009" spans="1:3" x14ac:dyDescent="0.3">
      <c r="A3009" t="str">
        <f>IF(AND(FORSIDE!$B$8&gt;=10,FORSIDE!$F$8&gt;=3,FORSIDE!$B$5&gt;=8),"S3008","")</f>
        <v/>
      </c>
      <c r="B3009" t="str">
        <f>IF(AND(FORSIDE!$B$8&gt;=10,FORSIDE!$F$8&gt;=3,FORSIDE!$B$5&gt;=8),"801 -&gt; 812","")</f>
        <v/>
      </c>
      <c r="C3009" t="str">
        <f>FORSIDE!$C$3</f>
        <v>S355, Stål / VFHUP 140x140x8.0</v>
      </c>
    </row>
    <row r="3010" spans="1:3" x14ac:dyDescent="0.3">
      <c r="A3010" t="str">
        <f>IF(AND(FORSIDE!$B$8&gt;=10,FORSIDE!$F$8&gt;=3,FORSIDE!$B$5&gt;=9),"S3009","")</f>
        <v/>
      </c>
      <c r="B3010" t="str">
        <f>IF(AND(FORSIDE!$B$8&gt;=10,FORSIDE!$F$8&gt;=3,FORSIDE!$B$5&gt;=9),"802 -&gt; 813","")</f>
        <v/>
      </c>
      <c r="C3010" t="str">
        <f>FORSIDE!$C$3</f>
        <v>S355, Stål / VFHUP 140x140x8.0</v>
      </c>
    </row>
    <row r="3011" spans="1:3" x14ac:dyDescent="0.3">
      <c r="A3011" t="str">
        <f>IF(AND(FORSIDE!$B$8&gt;=10,FORSIDE!$F$8&gt;=3,FORSIDE!$B$5&gt;=10),"S3010","")</f>
        <v/>
      </c>
      <c r="B3011" t="str">
        <f>IF(AND(FORSIDE!$B$8&gt;=10,FORSIDE!$F$8&gt;=3,FORSIDE!$B$5&gt;=10),"803 -&gt; 814","")</f>
        <v/>
      </c>
      <c r="C3011" t="str">
        <f>FORSIDE!$C$3</f>
        <v>S355, Stål / VFHUP 140x140x8.0</v>
      </c>
    </row>
    <row r="3012" spans="1:3" x14ac:dyDescent="0.3">
      <c r="A3012" t="str">
        <f>IF(AND(FORSIDE!$B$8&gt;=11,FORSIDE!$F$8&gt;=3,FORSIDE!$B$5&gt;=1),"S3011","")</f>
        <v/>
      </c>
      <c r="B3012" t="str">
        <f>IF(AND(FORSIDE!$B$8&gt;=11,FORSIDE!$F$8&gt;=3,FORSIDE!$B$5&gt;=1),"805 -&gt; 816","")</f>
        <v/>
      </c>
      <c r="C3012" t="str">
        <f>FORSIDE!$C$3</f>
        <v>S355, Stål / VFHUP 140x140x8.0</v>
      </c>
    </row>
    <row r="3013" spans="1:3" x14ac:dyDescent="0.3">
      <c r="A3013" t="str">
        <f>IF(AND(FORSIDE!$B$8&gt;=11,FORSIDE!$F$8&gt;=3,FORSIDE!$B$5&gt;=2),"S3012","")</f>
        <v/>
      </c>
      <c r="B3013" t="str">
        <f>IF(AND(FORSIDE!$B$8&gt;=11,FORSIDE!$F$8&gt;=3,FORSIDE!$B$5&gt;=2),"806 -&gt; 817","")</f>
        <v/>
      </c>
      <c r="C3013" t="str">
        <f>FORSIDE!$C$3</f>
        <v>S355, Stål / VFHUP 140x140x8.0</v>
      </c>
    </row>
    <row r="3014" spans="1:3" x14ac:dyDescent="0.3">
      <c r="A3014" t="str">
        <f>IF(AND(FORSIDE!$B$8&gt;=11,FORSIDE!$F$8&gt;=3,FORSIDE!$B$5&gt;=3),"S3013","")</f>
        <v/>
      </c>
      <c r="B3014" t="str">
        <f>IF(AND(FORSIDE!$B$8&gt;=11,FORSIDE!$F$8&gt;=3,FORSIDE!$B$5&gt;=3),"807 -&gt; 818","")</f>
        <v/>
      </c>
      <c r="C3014" t="str">
        <f>FORSIDE!$C$3</f>
        <v>S355, Stål / VFHUP 140x140x8.0</v>
      </c>
    </row>
    <row r="3015" spans="1:3" x14ac:dyDescent="0.3">
      <c r="A3015" t="str">
        <f>IF(AND(FORSIDE!$B$8&gt;=11,FORSIDE!$F$8&gt;=3,FORSIDE!$B$5&gt;=4),"S3014","")</f>
        <v/>
      </c>
      <c r="B3015" t="str">
        <f>IF(AND(FORSIDE!$B$8&gt;=11,FORSIDE!$F$8&gt;=3,FORSIDE!$B$5&gt;=4),"808 -&gt; 819","")</f>
        <v/>
      </c>
      <c r="C3015" t="str">
        <f>FORSIDE!$C$3</f>
        <v>S355, Stål / VFHUP 140x140x8.0</v>
      </c>
    </row>
    <row r="3016" spans="1:3" x14ac:dyDescent="0.3">
      <c r="A3016" t="str">
        <f>IF(AND(FORSIDE!$B$8&gt;=11,FORSIDE!$F$8&gt;=3,FORSIDE!$B$5&gt;=5),"S3015","")</f>
        <v/>
      </c>
      <c r="B3016" t="str">
        <f>IF(AND(FORSIDE!$B$8&gt;=11,FORSIDE!$F$8&gt;=3,FORSIDE!$B$5&gt;=5),"809 -&gt; 820","")</f>
        <v/>
      </c>
      <c r="C3016" t="str">
        <f>FORSIDE!$C$3</f>
        <v>S355, Stål / VFHUP 140x140x8.0</v>
      </c>
    </row>
    <row r="3017" spans="1:3" x14ac:dyDescent="0.3">
      <c r="A3017" t="str">
        <f>IF(AND(FORSIDE!$B$8&gt;=11,FORSIDE!$F$8&gt;=3,FORSIDE!$B$5&gt;=6),"S3016","")</f>
        <v/>
      </c>
      <c r="B3017" t="str">
        <f>IF(AND(FORSIDE!$B$8&gt;=11,FORSIDE!$F$8&gt;=3,FORSIDE!$B$5&gt;=6),"810 -&gt; 821","")</f>
        <v/>
      </c>
      <c r="C3017" t="str">
        <f>FORSIDE!$C$3</f>
        <v>S355, Stål / VFHUP 140x140x8.0</v>
      </c>
    </row>
    <row r="3018" spans="1:3" x14ac:dyDescent="0.3">
      <c r="A3018" t="str">
        <f>IF(AND(FORSIDE!$B$8&gt;=11,FORSIDE!$F$8&gt;=3,FORSIDE!$B$5&gt;=7),"S3017","")</f>
        <v/>
      </c>
      <c r="B3018" t="str">
        <f>IF(AND(FORSIDE!$B$8&gt;=11,FORSIDE!$F$8&gt;=3,FORSIDE!$B$5&gt;=7),"811 -&gt; 822","")</f>
        <v/>
      </c>
      <c r="C3018" t="str">
        <f>FORSIDE!$C$3</f>
        <v>S355, Stål / VFHUP 140x140x8.0</v>
      </c>
    </row>
    <row r="3019" spans="1:3" x14ac:dyDescent="0.3">
      <c r="A3019" t="str">
        <f>IF(AND(FORSIDE!$B$8&gt;=11,FORSIDE!$F$8&gt;=3,FORSIDE!$B$5&gt;=8),"S3018","")</f>
        <v/>
      </c>
      <c r="B3019" t="str">
        <f>IF(AND(FORSIDE!$B$8&gt;=11,FORSIDE!$F$8&gt;=3,FORSIDE!$B$5&gt;=8),"812 -&gt; 823","")</f>
        <v/>
      </c>
      <c r="C3019" t="str">
        <f>FORSIDE!$C$3</f>
        <v>S355, Stål / VFHUP 140x140x8.0</v>
      </c>
    </row>
    <row r="3020" spans="1:3" x14ac:dyDescent="0.3">
      <c r="A3020" t="str">
        <f>IF(AND(FORSIDE!$B$8&gt;=11,FORSIDE!$F$8&gt;=3,FORSIDE!$B$5&gt;=9),"S3019","")</f>
        <v/>
      </c>
      <c r="B3020" t="str">
        <f>IF(AND(FORSIDE!$B$8&gt;=11,FORSIDE!$F$8&gt;=3,FORSIDE!$B$5&gt;=9),"813 -&gt; 824","")</f>
        <v/>
      </c>
      <c r="C3020" t="str">
        <f>FORSIDE!$C$3</f>
        <v>S355, Stål / VFHUP 140x140x8.0</v>
      </c>
    </row>
    <row r="3021" spans="1:3" x14ac:dyDescent="0.3">
      <c r="A3021" t="str">
        <f>IF(AND(FORSIDE!$B$8&gt;=11,FORSIDE!$F$8&gt;=3,FORSIDE!$B$5&gt;=10),"S3020","")</f>
        <v/>
      </c>
      <c r="B3021" t="str">
        <f>IF(AND(FORSIDE!$B$8&gt;=11,FORSIDE!$F$8&gt;=3,FORSIDE!$B$5&gt;=10),"814 -&gt; 825","")</f>
        <v/>
      </c>
      <c r="C3021" t="str">
        <f>FORSIDE!$C$3</f>
        <v>S355, Stål / VFHUP 140x140x8.0</v>
      </c>
    </row>
    <row r="3022" spans="1:3" x14ac:dyDescent="0.3">
      <c r="A3022" t="str">
        <f>IF(AND(FORSIDE!$B$8&gt;=12,FORSIDE!$F$8&gt;=3,FORSIDE!$B$5&gt;=1),"S3021","")</f>
        <v/>
      </c>
      <c r="B3022" t="str">
        <f>IF(AND(FORSIDE!$B$8&gt;=12,FORSIDE!$F$8&gt;=3,FORSIDE!$B$5&gt;=1),"816 -&gt; 827","")</f>
        <v/>
      </c>
      <c r="C3022" t="str">
        <f>FORSIDE!$C$3</f>
        <v>S355, Stål / VFHUP 140x140x8.0</v>
      </c>
    </row>
    <row r="3023" spans="1:3" x14ac:dyDescent="0.3">
      <c r="A3023" t="str">
        <f>IF(AND(FORSIDE!$B$8&gt;=12,FORSIDE!$F$8&gt;=3,FORSIDE!$B$5&gt;=2),"S3022","")</f>
        <v/>
      </c>
      <c r="B3023" t="str">
        <f>IF(AND(FORSIDE!$B$8&gt;=12,FORSIDE!$F$8&gt;=3,FORSIDE!$B$5&gt;=2),"817 -&gt; 828","")</f>
        <v/>
      </c>
      <c r="C3023" t="str">
        <f>FORSIDE!$C$3</f>
        <v>S355, Stål / VFHUP 140x140x8.0</v>
      </c>
    </row>
    <row r="3024" spans="1:3" x14ac:dyDescent="0.3">
      <c r="A3024" t="str">
        <f>IF(AND(FORSIDE!$B$8&gt;=12,FORSIDE!$F$8&gt;=3,FORSIDE!$B$5&gt;=3),"S3023","")</f>
        <v/>
      </c>
      <c r="B3024" t="str">
        <f>IF(AND(FORSIDE!$B$8&gt;=12,FORSIDE!$F$8&gt;=3,FORSIDE!$B$5&gt;=3),"818 -&gt; 829","")</f>
        <v/>
      </c>
      <c r="C3024" t="str">
        <f>FORSIDE!$C$3</f>
        <v>S355, Stål / VFHUP 140x140x8.0</v>
      </c>
    </row>
    <row r="3025" spans="1:3" x14ac:dyDescent="0.3">
      <c r="A3025" t="str">
        <f>IF(AND(FORSIDE!$B$8&gt;=12,FORSIDE!$F$8&gt;=3,FORSIDE!$B$5&gt;=4),"S3024","")</f>
        <v/>
      </c>
      <c r="B3025" t="str">
        <f>IF(AND(FORSIDE!$B$8&gt;=12,FORSIDE!$F$8&gt;=3,FORSIDE!$B$5&gt;=4),"819 -&gt; 830","")</f>
        <v/>
      </c>
      <c r="C3025" t="str">
        <f>FORSIDE!$C$3</f>
        <v>S355, Stål / VFHUP 140x140x8.0</v>
      </c>
    </row>
    <row r="3026" spans="1:3" x14ac:dyDescent="0.3">
      <c r="A3026" t="str">
        <f>IF(AND(FORSIDE!$B$8&gt;=12,FORSIDE!$F$8&gt;=3,FORSIDE!$B$5&gt;=5),"S3025","")</f>
        <v/>
      </c>
      <c r="B3026" t="str">
        <f>IF(AND(FORSIDE!$B$8&gt;=12,FORSIDE!$F$8&gt;=3,FORSIDE!$B$5&gt;=5),"820 -&gt; 831","")</f>
        <v/>
      </c>
      <c r="C3026" t="str">
        <f>FORSIDE!$C$3</f>
        <v>S355, Stål / VFHUP 140x140x8.0</v>
      </c>
    </row>
    <row r="3027" spans="1:3" x14ac:dyDescent="0.3">
      <c r="A3027" t="str">
        <f>IF(AND(FORSIDE!$B$8&gt;=12,FORSIDE!$F$8&gt;=3,FORSIDE!$B$5&gt;=6),"S3026","")</f>
        <v/>
      </c>
      <c r="B3027" t="str">
        <f>IF(AND(FORSIDE!$B$8&gt;=12,FORSIDE!$F$8&gt;=3,FORSIDE!$B$5&gt;=6),"821 -&gt; 832","")</f>
        <v/>
      </c>
      <c r="C3027" t="str">
        <f>FORSIDE!$C$3</f>
        <v>S355, Stål / VFHUP 140x140x8.0</v>
      </c>
    </row>
    <row r="3028" spans="1:3" x14ac:dyDescent="0.3">
      <c r="A3028" t="str">
        <f>IF(AND(FORSIDE!$B$8&gt;=12,FORSIDE!$F$8&gt;=3,FORSIDE!$B$5&gt;=7),"S3027","")</f>
        <v/>
      </c>
      <c r="B3028" t="str">
        <f>IF(AND(FORSIDE!$B$8&gt;=12,FORSIDE!$F$8&gt;=3,FORSIDE!$B$5&gt;=7),"822 -&gt; 833","")</f>
        <v/>
      </c>
      <c r="C3028" t="str">
        <f>FORSIDE!$C$3</f>
        <v>S355, Stål / VFHUP 140x140x8.0</v>
      </c>
    </row>
    <row r="3029" spans="1:3" x14ac:dyDescent="0.3">
      <c r="A3029" t="str">
        <f>IF(AND(FORSIDE!$B$8&gt;=12,FORSIDE!$F$8&gt;=3,FORSIDE!$B$5&gt;=8),"S3028","")</f>
        <v/>
      </c>
      <c r="B3029" t="str">
        <f>IF(AND(FORSIDE!$B$8&gt;=12,FORSIDE!$F$8&gt;=3,FORSIDE!$B$5&gt;=8),"823 -&gt; 834","")</f>
        <v/>
      </c>
      <c r="C3029" t="str">
        <f>FORSIDE!$C$3</f>
        <v>S355, Stål / VFHUP 140x140x8.0</v>
      </c>
    </row>
    <row r="3030" spans="1:3" x14ac:dyDescent="0.3">
      <c r="A3030" t="str">
        <f>IF(AND(FORSIDE!$B$8&gt;=12,FORSIDE!$F$8&gt;=3,FORSIDE!$B$5&gt;=9),"S3029","")</f>
        <v/>
      </c>
      <c r="B3030" t="str">
        <f>IF(AND(FORSIDE!$B$8&gt;=12,FORSIDE!$F$8&gt;=3,FORSIDE!$B$5&gt;=9),"824 -&gt; 835","")</f>
        <v/>
      </c>
      <c r="C3030" t="str">
        <f>FORSIDE!$C$3</f>
        <v>S355, Stål / VFHUP 140x140x8.0</v>
      </c>
    </row>
    <row r="3031" spans="1:3" x14ac:dyDescent="0.3">
      <c r="A3031" t="str">
        <f>IF(AND(FORSIDE!$B$8&gt;=12,FORSIDE!$F$8&gt;=3,FORSIDE!$B$5&gt;=10),"S3030","")</f>
        <v/>
      </c>
      <c r="B3031" t="str">
        <f>IF(AND(FORSIDE!$B$8&gt;=12,FORSIDE!$F$8&gt;=3,FORSIDE!$B$5&gt;=10),"825 -&gt; 836","")</f>
        <v/>
      </c>
      <c r="C3031" t="str">
        <f>FORSIDE!$C$3</f>
        <v>S355, Stål / VFHUP 140x140x8.0</v>
      </c>
    </row>
    <row r="3032" spans="1:3" x14ac:dyDescent="0.3">
      <c r="A3032" t="str">
        <f>IF(AND(FORSIDE!$B$8&gt;=13,FORSIDE!$F$8&gt;=3,FORSIDE!$B$5&gt;=1),"S3031","")</f>
        <v/>
      </c>
      <c r="B3032" t="str">
        <f>IF(AND(FORSIDE!$B$8&gt;=13,FORSIDE!$F$8&gt;=3,FORSIDE!$B$5&gt;=1),"827 -&gt; 838","")</f>
        <v/>
      </c>
      <c r="C3032" t="str">
        <f>FORSIDE!$C$3</f>
        <v>S355, Stål / VFHUP 140x140x8.0</v>
      </c>
    </row>
    <row r="3033" spans="1:3" x14ac:dyDescent="0.3">
      <c r="A3033" t="str">
        <f>IF(AND(FORSIDE!$B$8&gt;=13,FORSIDE!$F$8&gt;=3,FORSIDE!$B$5&gt;=2),"S3032","")</f>
        <v/>
      </c>
      <c r="B3033" t="str">
        <f>IF(AND(FORSIDE!$B$8&gt;=13,FORSIDE!$F$8&gt;=3,FORSIDE!$B$5&gt;=2),"828 -&gt; 839","")</f>
        <v/>
      </c>
      <c r="C3033" t="str">
        <f>FORSIDE!$C$3</f>
        <v>S355, Stål / VFHUP 140x140x8.0</v>
      </c>
    </row>
    <row r="3034" spans="1:3" x14ac:dyDescent="0.3">
      <c r="A3034" t="str">
        <f>IF(AND(FORSIDE!$B$8&gt;=13,FORSIDE!$F$8&gt;=3,FORSIDE!$B$5&gt;=3),"S3033","")</f>
        <v/>
      </c>
      <c r="B3034" t="str">
        <f>IF(AND(FORSIDE!$B$8&gt;=13,FORSIDE!$F$8&gt;=3,FORSIDE!$B$5&gt;=3),"829 -&gt; 840","")</f>
        <v/>
      </c>
      <c r="C3034" t="str">
        <f>FORSIDE!$C$3</f>
        <v>S355, Stål / VFHUP 140x140x8.0</v>
      </c>
    </row>
    <row r="3035" spans="1:3" x14ac:dyDescent="0.3">
      <c r="A3035" t="str">
        <f>IF(AND(FORSIDE!$B$8&gt;=13,FORSIDE!$F$8&gt;=3,FORSIDE!$B$5&gt;=4),"S3034","")</f>
        <v/>
      </c>
      <c r="B3035" t="str">
        <f>IF(AND(FORSIDE!$B$8&gt;=13,FORSIDE!$F$8&gt;=3,FORSIDE!$B$5&gt;=4),"830 -&gt; 841","")</f>
        <v/>
      </c>
      <c r="C3035" t="str">
        <f>FORSIDE!$C$3</f>
        <v>S355, Stål / VFHUP 140x140x8.0</v>
      </c>
    </row>
    <row r="3036" spans="1:3" x14ac:dyDescent="0.3">
      <c r="A3036" t="str">
        <f>IF(AND(FORSIDE!$B$8&gt;=13,FORSIDE!$F$8&gt;=3,FORSIDE!$B$5&gt;=5),"S3035","")</f>
        <v/>
      </c>
      <c r="B3036" t="str">
        <f>IF(AND(FORSIDE!$B$8&gt;=13,FORSIDE!$F$8&gt;=3,FORSIDE!$B$5&gt;=5),"831 -&gt; 842","")</f>
        <v/>
      </c>
      <c r="C3036" t="str">
        <f>FORSIDE!$C$3</f>
        <v>S355, Stål / VFHUP 140x140x8.0</v>
      </c>
    </row>
    <row r="3037" spans="1:3" x14ac:dyDescent="0.3">
      <c r="A3037" t="str">
        <f>IF(AND(FORSIDE!$B$8&gt;=13,FORSIDE!$F$8&gt;=3,FORSIDE!$B$5&gt;=6),"S3036","")</f>
        <v/>
      </c>
      <c r="B3037" t="str">
        <f>IF(AND(FORSIDE!$B$8&gt;=13,FORSIDE!$F$8&gt;=3,FORSIDE!$B$5&gt;=6),"832 -&gt; 843","")</f>
        <v/>
      </c>
      <c r="C3037" t="str">
        <f>FORSIDE!$C$3</f>
        <v>S355, Stål / VFHUP 140x140x8.0</v>
      </c>
    </row>
    <row r="3038" spans="1:3" x14ac:dyDescent="0.3">
      <c r="A3038" t="str">
        <f>IF(AND(FORSIDE!$B$8&gt;=13,FORSIDE!$F$8&gt;=3,FORSIDE!$B$5&gt;=7),"S3037","")</f>
        <v/>
      </c>
      <c r="B3038" t="str">
        <f>IF(AND(FORSIDE!$B$8&gt;=13,FORSIDE!$F$8&gt;=3,FORSIDE!$B$5&gt;=7),"833 -&gt; 844","")</f>
        <v/>
      </c>
      <c r="C3038" t="str">
        <f>FORSIDE!$C$3</f>
        <v>S355, Stål / VFHUP 140x140x8.0</v>
      </c>
    </row>
    <row r="3039" spans="1:3" x14ac:dyDescent="0.3">
      <c r="A3039" t="str">
        <f>IF(AND(FORSIDE!$B$8&gt;=13,FORSIDE!$F$8&gt;=3,FORSIDE!$B$5&gt;=8),"S3038","")</f>
        <v/>
      </c>
      <c r="B3039" t="str">
        <f>IF(AND(FORSIDE!$B$8&gt;=13,FORSIDE!$F$8&gt;=3,FORSIDE!$B$5&gt;=8),"834 -&gt; 845","")</f>
        <v/>
      </c>
      <c r="C3039" t="str">
        <f>FORSIDE!$C$3</f>
        <v>S355, Stål / VFHUP 140x140x8.0</v>
      </c>
    </row>
    <row r="3040" spans="1:3" x14ac:dyDescent="0.3">
      <c r="A3040" t="str">
        <f>IF(AND(FORSIDE!$B$8&gt;=13,FORSIDE!$F$8&gt;=3,FORSIDE!$B$5&gt;=9),"S3039","")</f>
        <v/>
      </c>
      <c r="B3040" t="str">
        <f>IF(AND(FORSIDE!$B$8&gt;=13,FORSIDE!$F$8&gt;=3,FORSIDE!$B$5&gt;=9),"835 -&gt; 846","")</f>
        <v/>
      </c>
      <c r="C3040" t="str">
        <f>FORSIDE!$C$3</f>
        <v>S355, Stål / VFHUP 140x140x8.0</v>
      </c>
    </row>
    <row r="3041" spans="1:3" x14ac:dyDescent="0.3">
      <c r="A3041" t="str">
        <f>IF(AND(FORSIDE!$B$8&gt;=13,FORSIDE!$F$8&gt;=3,FORSIDE!$B$5&gt;=10),"S3040","")</f>
        <v/>
      </c>
      <c r="B3041" t="str">
        <f>IF(AND(FORSIDE!$B$8&gt;=13,FORSIDE!$F$8&gt;=3,FORSIDE!$B$5&gt;=10),"836 -&gt; 847","")</f>
        <v/>
      </c>
      <c r="C3041" t="str">
        <f>FORSIDE!$C$3</f>
        <v>S355, Stål / VFHUP 140x140x8.0</v>
      </c>
    </row>
    <row r="3042" spans="1:3" x14ac:dyDescent="0.3">
      <c r="A3042" t="str">
        <f>IF(AND(FORSIDE!$B$8&gt;=14,FORSIDE!$F$8&gt;=3,FORSIDE!$B$5&gt;=1),"S3041","")</f>
        <v/>
      </c>
      <c r="B3042" t="str">
        <f>IF(AND(FORSIDE!$B$8&gt;=14,FORSIDE!$F$8&gt;=3,FORSIDE!$B$5&gt;=1),"838 -&gt; 849","")</f>
        <v/>
      </c>
      <c r="C3042" t="str">
        <f>FORSIDE!$C$3</f>
        <v>S355, Stål / VFHUP 140x140x8.0</v>
      </c>
    </row>
    <row r="3043" spans="1:3" x14ac:dyDescent="0.3">
      <c r="A3043" t="str">
        <f>IF(AND(FORSIDE!$B$8&gt;=14,FORSIDE!$F$8&gt;=3,FORSIDE!$B$5&gt;=2),"S3042","")</f>
        <v/>
      </c>
      <c r="B3043" t="str">
        <f>IF(AND(FORSIDE!$B$8&gt;=14,FORSIDE!$F$8&gt;=3,FORSIDE!$B$5&gt;=2),"839 -&gt; 850","")</f>
        <v/>
      </c>
      <c r="C3043" t="str">
        <f>FORSIDE!$C$3</f>
        <v>S355, Stål / VFHUP 140x140x8.0</v>
      </c>
    </row>
    <row r="3044" spans="1:3" x14ac:dyDescent="0.3">
      <c r="A3044" t="str">
        <f>IF(AND(FORSIDE!$B$8&gt;=14,FORSIDE!$F$8&gt;=3,FORSIDE!$B$5&gt;=3),"S3043","")</f>
        <v/>
      </c>
      <c r="B3044" t="str">
        <f>IF(AND(FORSIDE!$B$8&gt;=14,FORSIDE!$F$8&gt;=3,FORSIDE!$B$5&gt;=3),"840 -&gt; 851","")</f>
        <v/>
      </c>
      <c r="C3044" t="str">
        <f>FORSIDE!$C$3</f>
        <v>S355, Stål / VFHUP 140x140x8.0</v>
      </c>
    </row>
    <row r="3045" spans="1:3" x14ac:dyDescent="0.3">
      <c r="A3045" t="str">
        <f>IF(AND(FORSIDE!$B$8&gt;=14,FORSIDE!$F$8&gt;=3,FORSIDE!$B$5&gt;=4),"S3044","")</f>
        <v/>
      </c>
      <c r="B3045" t="str">
        <f>IF(AND(FORSIDE!$B$8&gt;=14,FORSIDE!$F$8&gt;=3,FORSIDE!$B$5&gt;=4),"841 -&gt; 852","")</f>
        <v/>
      </c>
      <c r="C3045" t="str">
        <f>FORSIDE!$C$3</f>
        <v>S355, Stål / VFHUP 140x140x8.0</v>
      </c>
    </row>
    <row r="3046" spans="1:3" x14ac:dyDescent="0.3">
      <c r="A3046" t="str">
        <f>IF(AND(FORSIDE!$B$8&gt;=14,FORSIDE!$F$8&gt;=3,FORSIDE!$B$5&gt;=5),"S3045","")</f>
        <v/>
      </c>
      <c r="B3046" t="str">
        <f>IF(AND(FORSIDE!$B$8&gt;=14,FORSIDE!$F$8&gt;=3,FORSIDE!$B$5&gt;=5),"842 -&gt; 853","")</f>
        <v/>
      </c>
      <c r="C3046" t="str">
        <f>FORSIDE!$C$3</f>
        <v>S355, Stål / VFHUP 140x140x8.0</v>
      </c>
    </row>
    <row r="3047" spans="1:3" x14ac:dyDescent="0.3">
      <c r="A3047" t="str">
        <f>IF(AND(FORSIDE!$B$8&gt;=14,FORSIDE!$F$8&gt;=3,FORSIDE!$B$5&gt;=6),"S3046","")</f>
        <v/>
      </c>
      <c r="B3047" t="str">
        <f>IF(AND(FORSIDE!$B$8&gt;=14,FORSIDE!$F$8&gt;=3,FORSIDE!$B$5&gt;=6),"843 -&gt; 854","")</f>
        <v/>
      </c>
      <c r="C3047" t="str">
        <f>FORSIDE!$C$3</f>
        <v>S355, Stål / VFHUP 140x140x8.0</v>
      </c>
    </row>
    <row r="3048" spans="1:3" x14ac:dyDescent="0.3">
      <c r="A3048" t="str">
        <f>IF(AND(FORSIDE!$B$8&gt;=14,FORSIDE!$F$8&gt;=3,FORSIDE!$B$5&gt;=7),"S3047","")</f>
        <v/>
      </c>
      <c r="B3048" t="str">
        <f>IF(AND(FORSIDE!$B$8&gt;=14,FORSIDE!$F$8&gt;=3,FORSIDE!$B$5&gt;=7),"844 -&gt; 855","")</f>
        <v/>
      </c>
      <c r="C3048" t="str">
        <f>FORSIDE!$C$3</f>
        <v>S355, Stål / VFHUP 140x140x8.0</v>
      </c>
    </row>
    <row r="3049" spans="1:3" x14ac:dyDescent="0.3">
      <c r="A3049" t="str">
        <f>IF(AND(FORSIDE!$B$8&gt;=14,FORSIDE!$F$8&gt;=3,FORSIDE!$B$5&gt;=8),"S3048","")</f>
        <v/>
      </c>
      <c r="B3049" t="str">
        <f>IF(AND(FORSIDE!$B$8&gt;=14,FORSIDE!$F$8&gt;=3,FORSIDE!$B$5&gt;=8),"845 -&gt; 856","")</f>
        <v/>
      </c>
      <c r="C3049" t="str">
        <f>FORSIDE!$C$3</f>
        <v>S355, Stål / VFHUP 140x140x8.0</v>
      </c>
    </row>
    <row r="3050" spans="1:3" x14ac:dyDescent="0.3">
      <c r="A3050" t="str">
        <f>IF(AND(FORSIDE!$B$8&gt;=14,FORSIDE!$F$8&gt;=3,FORSIDE!$B$5&gt;=9),"S3049","")</f>
        <v/>
      </c>
      <c r="B3050" t="str">
        <f>IF(AND(FORSIDE!$B$8&gt;=14,FORSIDE!$F$8&gt;=3,FORSIDE!$B$5&gt;=9),"846 -&gt; 857","")</f>
        <v/>
      </c>
      <c r="C3050" t="str">
        <f>FORSIDE!$C$3</f>
        <v>S355, Stål / VFHUP 140x140x8.0</v>
      </c>
    </row>
    <row r="3051" spans="1:3" x14ac:dyDescent="0.3">
      <c r="A3051" t="str">
        <f>IF(AND(FORSIDE!$B$8&gt;=14,FORSIDE!$F$8&gt;=3,FORSIDE!$B$5&gt;=10),"S3050","")</f>
        <v/>
      </c>
      <c r="B3051" t="str">
        <f>IF(AND(FORSIDE!$B$8&gt;=14,FORSIDE!$F$8&gt;=3,FORSIDE!$B$5&gt;=10),"847 -&gt; 858","")</f>
        <v/>
      </c>
      <c r="C3051" t="str">
        <f>FORSIDE!$C$3</f>
        <v>S355, Stål / VFHUP 140x140x8.0</v>
      </c>
    </row>
    <row r="3052" spans="1:3" x14ac:dyDescent="0.3">
      <c r="A3052" t="str">
        <f>IF(AND(FORSIDE!$B$8&gt;=15,FORSIDE!$F$8&gt;=3,FORSIDE!$B$5&gt;=1),"S3051","")</f>
        <v/>
      </c>
      <c r="B3052" t="str">
        <f>IF(AND(FORSIDE!$B$8&gt;=15,FORSIDE!$F$8&gt;=3,FORSIDE!$B$5&gt;=1),"849 -&gt; 860","")</f>
        <v/>
      </c>
      <c r="C3052" t="str">
        <f>FORSIDE!$C$3</f>
        <v>S355, Stål / VFHUP 140x140x8.0</v>
      </c>
    </row>
    <row r="3053" spans="1:3" x14ac:dyDescent="0.3">
      <c r="A3053" t="str">
        <f>IF(AND(FORSIDE!$B$8&gt;=15,FORSIDE!$F$8&gt;=3,FORSIDE!$B$5&gt;=2),"S3052","")</f>
        <v/>
      </c>
      <c r="B3053" t="str">
        <f>IF(AND(FORSIDE!$B$8&gt;=15,FORSIDE!$F$8&gt;=3,FORSIDE!$B$5&gt;=2),"850 -&gt; 861","")</f>
        <v/>
      </c>
      <c r="C3053" t="str">
        <f>FORSIDE!$C$3</f>
        <v>S355, Stål / VFHUP 140x140x8.0</v>
      </c>
    </row>
    <row r="3054" spans="1:3" x14ac:dyDescent="0.3">
      <c r="A3054" t="str">
        <f>IF(AND(FORSIDE!$B$8&gt;=15,FORSIDE!$F$8&gt;=3,FORSIDE!$B$5&gt;=3),"S3053","")</f>
        <v/>
      </c>
      <c r="B3054" t="str">
        <f>IF(AND(FORSIDE!$B$8&gt;=15,FORSIDE!$F$8&gt;=3,FORSIDE!$B$5&gt;=3),"851 -&gt; 862","")</f>
        <v/>
      </c>
      <c r="C3054" t="str">
        <f>FORSIDE!$C$3</f>
        <v>S355, Stål / VFHUP 140x140x8.0</v>
      </c>
    </row>
    <row r="3055" spans="1:3" x14ac:dyDescent="0.3">
      <c r="A3055" t="str">
        <f>IF(AND(FORSIDE!$B$8&gt;=15,FORSIDE!$F$8&gt;=3,FORSIDE!$B$5&gt;=4),"S3054","")</f>
        <v/>
      </c>
      <c r="B3055" t="str">
        <f>IF(AND(FORSIDE!$B$8&gt;=15,FORSIDE!$F$8&gt;=3,FORSIDE!$B$5&gt;=4),"852 -&gt; 863","")</f>
        <v/>
      </c>
      <c r="C3055" t="str">
        <f>FORSIDE!$C$3</f>
        <v>S355, Stål / VFHUP 140x140x8.0</v>
      </c>
    </row>
    <row r="3056" spans="1:3" x14ac:dyDescent="0.3">
      <c r="A3056" t="str">
        <f>IF(AND(FORSIDE!$B$8&gt;=15,FORSIDE!$F$8&gt;=3,FORSIDE!$B$5&gt;=5),"S3055","")</f>
        <v/>
      </c>
      <c r="B3056" t="str">
        <f>IF(AND(FORSIDE!$B$8&gt;=15,FORSIDE!$F$8&gt;=3,FORSIDE!$B$5&gt;=5),"853 -&gt; 864","")</f>
        <v/>
      </c>
      <c r="C3056" t="str">
        <f>FORSIDE!$C$3</f>
        <v>S355, Stål / VFHUP 140x140x8.0</v>
      </c>
    </row>
    <row r="3057" spans="1:3" x14ac:dyDescent="0.3">
      <c r="A3057" t="str">
        <f>IF(AND(FORSIDE!$B$8&gt;=15,FORSIDE!$F$8&gt;=3,FORSIDE!$B$5&gt;=6),"S3056","")</f>
        <v/>
      </c>
      <c r="B3057" t="str">
        <f>IF(AND(FORSIDE!$B$8&gt;=15,FORSIDE!$F$8&gt;=3,FORSIDE!$B$5&gt;=6),"854 -&gt; 865","")</f>
        <v/>
      </c>
      <c r="C3057" t="str">
        <f>FORSIDE!$C$3</f>
        <v>S355, Stål / VFHUP 140x140x8.0</v>
      </c>
    </row>
    <row r="3058" spans="1:3" x14ac:dyDescent="0.3">
      <c r="A3058" t="str">
        <f>IF(AND(FORSIDE!$B$8&gt;=15,FORSIDE!$F$8&gt;=3,FORSIDE!$B$5&gt;=7),"S3057","")</f>
        <v/>
      </c>
      <c r="B3058" t="str">
        <f>IF(AND(FORSIDE!$B$8&gt;=15,FORSIDE!$F$8&gt;=3,FORSIDE!$B$5&gt;=7),"855 -&gt; 866","")</f>
        <v/>
      </c>
      <c r="C3058" t="str">
        <f>FORSIDE!$C$3</f>
        <v>S355, Stål / VFHUP 140x140x8.0</v>
      </c>
    </row>
    <row r="3059" spans="1:3" x14ac:dyDescent="0.3">
      <c r="A3059" t="str">
        <f>IF(AND(FORSIDE!$B$8&gt;=15,FORSIDE!$F$8&gt;=3,FORSIDE!$B$5&gt;=8),"S3058","")</f>
        <v/>
      </c>
      <c r="B3059" t="str">
        <f>IF(AND(FORSIDE!$B$8&gt;=15,FORSIDE!$F$8&gt;=3,FORSIDE!$B$5&gt;=8),"856 -&gt; 867","")</f>
        <v/>
      </c>
      <c r="C3059" t="str">
        <f>FORSIDE!$C$3</f>
        <v>S355, Stål / VFHUP 140x140x8.0</v>
      </c>
    </row>
    <row r="3060" spans="1:3" x14ac:dyDescent="0.3">
      <c r="A3060" t="str">
        <f>IF(AND(FORSIDE!$B$8&gt;=15,FORSIDE!$F$8&gt;=3,FORSIDE!$B$5&gt;=9),"S3059","")</f>
        <v/>
      </c>
      <c r="B3060" t="str">
        <f>IF(AND(FORSIDE!$B$8&gt;=15,FORSIDE!$F$8&gt;=3,FORSIDE!$B$5&gt;=9),"857 -&gt; 868","")</f>
        <v/>
      </c>
      <c r="C3060" t="str">
        <f>FORSIDE!$C$3</f>
        <v>S355, Stål / VFHUP 140x140x8.0</v>
      </c>
    </row>
    <row r="3061" spans="1:3" x14ac:dyDescent="0.3">
      <c r="A3061" t="str">
        <f>IF(AND(FORSIDE!$B$8&gt;=15,FORSIDE!$F$8&gt;=3,FORSIDE!$B$5&gt;=10),"S3060","")</f>
        <v/>
      </c>
      <c r="B3061" t="str">
        <f>IF(AND(FORSIDE!$B$8&gt;=15,FORSIDE!$F$8&gt;=3,FORSIDE!$B$5&gt;=10),"858 -&gt; 869","")</f>
        <v/>
      </c>
      <c r="C3061" t="str">
        <f>FORSIDE!$C$3</f>
        <v>S355, Stål / VFHUP 140x140x8.0</v>
      </c>
    </row>
    <row r="3062" spans="1:3" x14ac:dyDescent="0.3">
      <c r="A3062" t="str">
        <f>IF(AND(FORSIDE!$B$8&gt;=16,FORSIDE!$F$8&gt;=3,FORSIDE!$B$5&gt;=1),"S3061","")</f>
        <v/>
      </c>
      <c r="B3062" t="str">
        <f>IF(AND(FORSIDE!$B$8&gt;=16,FORSIDE!$F$8&gt;=3,FORSIDE!$B$5&gt;=1),"860 -&gt; 871","")</f>
        <v/>
      </c>
      <c r="C3062" t="str">
        <f>FORSIDE!$C$3</f>
        <v>S355, Stål / VFHUP 140x140x8.0</v>
      </c>
    </row>
    <row r="3063" spans="1:3" x14ac:dyDescent="0.3">
      <c r="A3063" t="str">
        <f>IF(AND(FORSIDE!$B$8&gt;=16,FORSIDE!$F$8&gt;=3,FORSIDE!$B$5&gt;=2),"S3062","")</f>
        <v/>
      </c>
      <c r="B3063" t="str">
        <f>IF(AND(FORSIDE!$B$8&gt;=16,FORSIDE!$F$8&gt;=3,FORSIDE!$B$5&gt;=2),"861 -&gt; 872","")</f>
        <v/>
      </c>
      <c r="C3063" t="str">
        <f>FORSIDE!$C$3</f>
        <v>S355, Stål / VFHUP 140x140x8.0</v>
      </c>
    </row>
    <row r="3064" spans="1:3" x14ac:dyDescent="0.3">
      <c r="A3064" t="str">
        <f>IF(AND(FORSIDE!$B$8&gt;=16,FORSIDE!$F$8&gt;=3,FORSIDE!$B$5&gt;=3),"S3063","")</f>
        <v/>
      </c>
      <c r="B3064" t="str">
        <f>IF(AND(FORSIDE!$B$8&gt;=16,FORSIDE!$F$8&gt;=3,FORSIDE!$B$5&gt;=3),"862 -&gt; 873","")</f>
        <v/>
      </c>
      <c r="C3064" t="str">
        <f>FORSIDE!$C$3</f>
        <v>S355, Stål / VFHUP 140x140x8.0</v>
      </c>
    </row>
    <row r="3065" spans="1:3" x14ac:dyDescent="0.3">
      <c r="A3065" t="str">
        <f>IF(AND(FORSIDE!$B$8&gt;=16,FORSIDE!$F$8&gt;=3,FORSIDE!$B$5&gt;=4),"S3064","")</f>
        <v/>
      </c>
      <c r="B3065" t="str">
        <f>IF(AND(FORSIDE!$B$8&gt;=16,FORSIDE!$F$8&gt;=3,FORSIDE!$B$5&gt;=4),"863 -&gt; 874","")</f>
        <v/>
      </c>
      <c r="C3065" t="str">
        <f>FORSIDE!$C$3</f>
        <v>S355, Stål / VFHUP 140x140x8.0</v>
      </c>
    </row>
    <row r="3066" spans="1:3" x14ac:dyDescent="0.3">
      <c r="A3066" t="str">
        <f>IF(AND(FORSIDE!$B$8&gt;=16,FORSIDE!$F$8&gt;=3,FORSIDE!$B$5&gt;=5),"S3065","")</f>
        <v/>
      </c>
      <c r="B3066" t="str">
        <f>IF(AND(FORSIDE!$B$8&gt;=16,FORSIDE!$F$8&gt;=3,FORSIDE!$B$5&gt;=5),"864 -&gt; 875","")</f>
        <v/>
      </c>
      <c r="C3066" t="str">
        <f>FORSIDE!$C$3</f>
        <v>S355, Stål / VFHUP 140x140x8.0</v>
      </c>
    </row>
    <row r="3067" spans="1:3" x14ac:dyDescent="0.3">
      <c r="A3067" t="str">
        <f>IF(AND(FORSIDE!$B$8&gt;=16,FORSIDE!$F$8&gt;=3,FORSIDE!$B$5&gt;=6),"S3066","")</f>
        <v/>
      </c>
      <c r="B3067" t="str">
        <f>IF(AND(FORSIDE!$B$8&gt;=16,FORSIDE!$F$8&gt;=3,FORSIDE!$B$5&gt;=6),"865 -&gt; 876","")</f>
        <v/>
      </c>
      <c r="C3067" t="str">
        <f>FORSIDE!$C$3</f>
        <v>S355, Stål / VFHUP 140x140x8.0</v>
      </c>
    </row>
    <row r="3068" spans="1:3" x14ac:dyDescent="0.3">
      <c r="A3068" t="str">
        <f>IF(AND(FORSIDE!$B$8&gt;=16,FORSIDE!$F$8&gt;=3,FORSIDE!$B$5&gt;=7),"S3067","")</f>
        <v/>
      </c>
      <c r="B3068" t="str">
        <f>IF(AND(FORSIDE!$B$8&gt;=16,FORSIDE!$F$8&gt;=3,FORSIDE!$B$5&gt;=7),"866 -&gt; 877","")</f>
        <v/>
      </c>
      <c r="C3068" t="str">
        <f>FORSIDE!$C$3</f>
        <v>S355, Stål / VFHUP 140x140x8.0</v>
      </c>
    </row>
    <row r="3069" spans="1:3" x14ac:dyDescent="0.3">
      <c r="A3069" t="str">
        <f>IF(AND(FORSIDE!$B$8&gt;=16,FORSIDE!$F$8&gt;=3,FORSIDE!$B$5&gt;=8),"S3068","")</f>
        <v/>
      </c>
      <c r="B3069" t="str">
        <f>IF(AND(FORSIDE!$B$8&gt;=16,FORSIDE!$F$8&gt;=3,FORSIDE!$B$5&gt;=8),"867 -&gt; 878","")</f>
        <v/>
      </c>
      <c r="C3069" t="str">
        <f>FORSIDE!$C$3</f>
        <v>S355, Stål / VFHUP 140x140x8.0</v>
      </c>
    </row>
    <row r="3070" spans="1:3" x14ac:dyDescent="0.3">
      <c r="A3070" t="str">
        <f>IF(AND(FORSIDE!$B$8&gt;=16,FORSIDE!$F$8&gt;=3,FORSIDE!$B$5&gt;=9),"S3069","")</f>
        <v/>
      </c>
      <c r="B3070" t="str">
        <f>IF(AND(FORSIDE!$B$8&gt;=16,FORSIDE!$F$8&gt;=3,FORSIDE!$B$5&gt;=9),"868 -&gt; 879","")</f>
        <v/>
      </c>
      <c r="C3070" t="str">
        <f>FORSIDE!$C$3</f>
        <v>S355, Stål / VFHUP 140x140x8.0</v>
      </c>
    </row>
    <row r="3071" spans="1:3" x14ac:dyDescent="0.3">
      <c r="A3071" t="str">
        <f>IF(AND(FORSIDE!$B$8&gt;=16,FORSIDE!$F$8&gt;=3,FORSIDE!$B$5&gt;=10),"S3070","")</f>
        <v/>
      </c>
      <c r="B3071" t="str">
        <f>IF(AND(FORSIDE!$B$8&gt;=16,FORSIDE!$F$8&gt;=3,FORSIDE!$B$5&gt;=10),"869 -&gt; 880","")</f>
        <v/>
      </c>
      <c r="C3071" t="str">
        <f>FORSIDE!$C$3</f>
        <v>S355, Stål / VFHUP 140x140x8.0</v>
      </c>
    </row>
    <row r="3072" spans="1:3" x14ac:dyDescent="0.3">
      <c r="A3072" t="str">
        <f>IF(AND(FORSIDE!$B$8&gt;=17,FORSIDE!$F$8&gt;=3,FORSIDE!$B$5&gt;=1),"S3071","")</f>
        <v/>
      </c>
      <c r="B3072" t="str">
        <f>IF(AND(FORSIDE!$B$8&gt;=17,FORSIDE!$F$8&gt;=3,FORSIDE!$B$5&gt;=1),"871 -&gt; 882","")</f>
        <v/>
      </c>
      <c r="C3072" t="str">
        <f>FORSIDE!$C$3</f>
        <v>S355, Stål / VFHUP 140x140x8.0</v>
      </c>
    </row>
    <row r="3073" spans="1:3" x14ac:dyDescent="0.3">
      <c r="A3073" t="str">
        <f>IF(AND(FORSIDE!$B$8&gt;=17,FORSIDE!$F$8&gt;=3,FORSIDE!$B$5&gt;=2),"S3072","")</f>
        <v/>
      </c>
      <c r="B3073" t="str">
        <f>IF(AND(FORSIDE!$B$8&gt;=17,FORSIDE!$F$8&gt;=3,FORSIDE!$B$5&gt;=2),"872 -&gt; 883","")</f>
        <v/>
      </c>
      <c r="C3073" t="str">
        <f>FORSIDE!$C$3</f>
        <v>S355, Stål / VFHUP 140x140x8.0</v>
      </c>
    </row>
    <row r="3074" spans="1:3" x14ac:dyDescent="0.3">
      <c r="A3074" t="str">
        <f>IF(AND(FORSIDE!$B$8&gt;=17,FORSIDE!$F$8&gt;=3,FORSIDE!$B$5&gt;=3),"S3073","")</f>
        <v/>
      </c>
      <c r="B3074" t="str">
        <f>IF(AND(FORSIDE!$B$8&gt;=17,FORSIDE!$F$8&gt;=3,FORSIDE!$B$5&gt;=3),"873 -&gt; 884","")</f>
        <v/>
      </c>
      <c r="C3074" t="str">
        <f>FORSIDE!$C$3</f>
        <v>S355, Stål / VFHUP 140x140x8.0</v>
      </c>
    </row>
    <row r="3075" spans="1:3" x14ac:dyDescent="0.3">
      <c r="A3075" t="str">
        <f>IF(AND(FORSIDE!$B$8&gt;=17,FORSIDE!$F$8&gt;=3,FORSIDE!$B$5&gt;=4),"S3074","")</f>
        <v/>
      </c>
      <c r="B3075" t="str">
        <f>IF(AND(FORSIDE!$B$8&gt;=17,FORSIDE!$F$8&gt;=3,FORSIDE!$B$5&gt;=4),"874 -&gt; 885","")</f>
        <v/>
      </c>
      <c r="C3075" t="str">
        <f>FORSIDE!$C$3</f>
        <v>S355, Stål / VFHUP 140x140x8.0</v>
      </c>
    </row>
    <row r="3076" spans="1:3" x14ac:dyDescent="0.3">
      <c r="A3076" t="str">
        <f>IF(AND(FORSIDE!$B$8&gt;=17,FORSIDE!$F$8&gt;=3,FORSIDE!$B$5&gt;=5),"S3075","")</f>
        <v/>
      </c>
      <c r="B3076" t="str">
        <f>IF(AND(FORSIDE!$B$8&gt;=17,FORSIDE!$F$8&gt;=3,FORSIDE!$B$5&gt;=5),"875 -&gt; 886","")</f>
        <v/>
      </c>
      <c r="C3076" t="str">
        <f>FORSIDE!$C$3</f>
        <v>S355, Stål / VFHUP 140x140x8.0</v>
      </c>
    </row>
    <row r="3077" spans="1:3" x14ac:dyDescent="0.3">
      <c r="A3077" t="str">
        <f>IF(AND(FORSIDE!$B$8&gt;=17,FORSIDE!$F$8&gt;=3,FORSIDE!$B$5&gt;=6),"S3076","")</f>
        <v/>
      </c>
      <c r="B3077" t="str">
        <f>IF(AND(FORSIDE!$B$8&gt;=17,FORSIDE!$F$8&gt;=3,FORSIDE!$B$5&gt;=6),"876 -&gt; 887","")</f>
        <v/>
      </c>
      <c r="C3077" t="str">
        <f>FORSIDE!$C$3</f>
        <v>S355, Stål / VFHUP 140x140x8.0</v>
      </c>
    </row>
    <row r="3078" spans="1:3" x14ac:dyDescent="0.3">
      <c r="A3078" t="str">
        <f>IF(AND(FORSIDE!$B$8&gt;=17,FORSIDE!$F$8&gt;=3,FORSIDE!$B$5&gt;=7),"S3077","")</f>
        <v/>
      </c>
      <c r="B3078" t="str">
        <f>IF(AND(FORSIDE!$B$8&gt;=17,FORSIDE!$F$8&gt;=3,FORSIDE!$B$5&gt;=7),"877 -&gt; 888","")</f>
        <v/>
      </c>
      <c r="C3078" t="str">
        <f>FORSIDE!$C$3</f>
        <v>S355, Stål / VFHUP 140x140x8.0</v>
      </c>
    </row>
    <row r="3079" spans="1:3" x14ac:dyDescent="0.3">
      <c r="A3079" t="str">
        <f>IF(AND(FORSIDE!$B$8&gt;=17,FORSIDE!$F$8&gt;=3,FORSIDE!$B$5&gt;=8),"S3078","")</f>
        <v/>
      </c>
      <c r="B3079" t="str">
        <f>IF(AND(FORSIDE!$B$8&gt;=17,FORSIDE!$F$8&gt;=3,FORSIDE!$B$5&gt;=8),"878 -&gt; 889","")</f>
        <v/>
      </c>
      <c r="C3079" t="str">
        <f>FORSIDE!$C$3</f>
        <v>S355, Stål / VFHUP 140x140x8.0</v>
      </c>
    </row>
    <row r="3080" spans="1:3" x14ac:dyDescent="0.3">
      <c r="A3080" t="str">
        <f>IF(AND(FORSIDE!$B$8&gt;=17,FORSIDE!$F$8&gt;=3,FORSIDE!$B$5&gt;=9),"S3079","")</f>
        <v/>
      </c>
      <c r="B3080" t="str">
        <f>IF(AND(FORSIDE!$B$8&gt;=17,FORSIDE!$F$8&gt;=3,FORSIDE!$B$5&gt;=9),"879 -&gt; 890","")</f>
        <v/>
      </c>
      <c r="C3080" t="str">
        <f>FORSIDE!$C$3</f>
        <v>S355, Stål / VFHUP 140x140x8.0</v>
      </c>
    </row>
    <row r="3081" spans="1:3" x14ac:dyDescent="0.3">
      <c r="A3081" t="str">
        <f>IF(AND(FORSIDE!$B$8&gt;=17,FORSIDE!$F$8&gt;=3,FORSIDE!$B$5&gt;=10),"S3080","")</f>
        <v/>
      </c>
      <c r="B3081" t="str">
        <f>IF(AND(FORSIDE!$B$8&gt;=17,FORSIDE!$F$8&gt;=3,FORSIDE!$B$5&gt;=10),"880 -&gt; 891","")</f>
        <v/>
      </c>
      <c r="C3081" t="str">
        <f>FORSIDE!$C$3</f>
        <v>S355, Stål / VFHUP 140x140x8.0</v>
      </c>
    </row>
    <row r="3082" spans="1:3" x14ac:dyDescent="0.3">
      <c r="A3082" t="str">
        <f>IF(AND(FORSIDE!$B$8&gt;=18,FORSIDE!$F$8&gt;=3,FORSIDE!$B$5&gt;=1),"S3081","")</f>
        <v/>
      </c>
      <c r="B3082" t="str">
        <f>IF(AND(FORSIDE!$B$8&gt;=18,FORSIDE!$F$8&gt;=3,FORSIDE!$B$5&gt;=1),"882 -&gt; 893","")</f>
        <v/>
      </c>
      <c r="C3082" t="str">
        <f>FORSIDE!$C$3</f>
        <v>S355, Stål / VFHUP 140x140x8.0</v>
      </c>
    </row>
    <row r="3083" spans="1:3" x14ac:dyDescent="0.3">
      <c r="A3083" t="str">
        <f>IF(AND(FORSIDE!$B$8&gt;=18,FORSIDE!$F$8&gt;=3,FORSIDE!$B$5&gt;=2),"S3082","")</f>
        <v/>
      </c>
      <c r="B3083" t="str">
        <f>IF(AND(FORSIDE!$B$8&gt;=18,FORSIDE!$F$8&gt;=3,FORSIDE!$B$5&gt;=2),"883 -&gt; 894","")</f>
        <v/>
      </c>
      <c r="C3083" t="str">
        <f>FORSIDE!$C$3</f>
        <v>S355, Stål / VFHUP 140x140x8.0</v>
      </c>
    </row>
    <row r="3084" spans="1:3" x14ac:dyDescent="0.3">
      <c r="A3084" t="str">
        <f>IF(AND(FORSIDE!$B$8&gt;=18,FORSIDE!$F$8&gt;=3,FORSIDE!$B$5&gt;=3),"S3083","")</f>
        <v/>
      </c>
      <c r="B3084" t="str">
        <f>IF(AND(FORSIDE!$B$8&gt;=18,FORSIDE!$F$8&gt;=3,FORSIDE!$B$5&gt;=3),"884 -&gt; 895","")</f>
        <v/>
      </c>
      <c r="C3084" t="str">
        <f>FORSIDE!$C$3</f>
        <v>S355, Stål / VFHUP 140x140x8.0</v>
      </c>
    </row>
    <row r="3085" spans="1:3" x14ac:dyDescent="0.3">
      <c r="A3085" t="str">
        <f>IF(AND(FORSIDE!$B$8&gt;=18,FORSIDE!$F$8&gt;=3,FORSIDE!$B$5&gt;=4),"S3084","")</f>
        <v/>
      </c>
      <c r="B3085" t="str">
        <f>IF(AND(FORSIDE!$B$8&gt;=18,FORSIDE!$F$8&gt;=3,FORSIDE!$B$5&gt;=4),"885 -&gt; 896","")</f>
        <v/>
      </c>
      <c r="C3085" t="str">
        <f>FORSIDE!$C$3</f>
        <v>S355, Stål / VFHUP 140x140x8.0</v>
      </c>
    </row>
    <row r="3086" spans="1:3" x14ac:dyDescent="0.3">
      <c r="A3086" t="str">
        <f>IF(AND(FORSIDE!$B$8&gt;=18,FORSIDE!$F$8&gt;=3,FORSIDE!$B$5&gt;=5),"S3085","")</f>
        <v/>
      </c>
      <c r="B3086" t="str">
        <f>IF(AND(FORSIDE!$B$8&gt;=18,FORSIDE!$F$8&gt;=3,FORSIDE!$B$5&gt;=5),"886 -&gt; 897","")</f>
        <v/>
      </c>
      <c r="C3086" t="str">
        <f>FORSIDE!$C$3</f>
        <v>S355, Stål / VFHUP 140x140x8.0</v>
      </c>
    </row>
    <row r="3087" spans="1:3" x14ac:dyDescent="0.3">
      <c r="A3087" t="str">
        <f>IF(AND(FORSIDE!$B$8&gt;=18,FORSIDE!$F$8&gt;=3,FORSIDE!$B$5&gt;=6),"S3086","")</f>
        <v/>
      </c>
      <c r="B3087" t="str">
        <f>IF(AND(FORSIDE!$B$8&gt;=18,FORSIDE!$F$8&gt;=3,FORSIDE!$B$5&gt;=6),"887 -&gt; 898","")</f>
        <v/>
      </c>
      <c r="C3087" t="str">
        <f>FORSIDE!$C$3</f>
        <v>S355, Stål / VFHUP 140x140x8.0</v>
      </c>
    </row>
    <row r="3088" spans="1:3" x14ac:dyDescent="0.3">
      <c r="A3088" t="str">
        <f>IF(AND(FORSIDE!$B$8&gt;=18,FORSIDE!$F$8&gt;=3,FORSIDE!$B$5&gt;=7),"S3087","")</f>
        <v/>
      </c>
      <c r="B3088" t="str">
        <f>IF(AND(FORSIDE!$B$8&gt;=18,FORSIDE!$F$8&gt;=3,FORSIDE!$B$5&gt;=7),"888 -&gt; 899","")</f>
        <v/>
      </c>
      <c r="C3088" t="str">
        <f>FORSIDE!$C$3</f>
        <v>S355, Stål / VFHUP 140x140x8.0</v>
      </c>
    </row>
    <row r="3089" spans="1:3" x14ac:dyDescent="0.3">
      <c r="A3089" t="str">
        <f>IF(AND(FORSIDE!$B$8&gt;=18,FORSIDE!$F$8&gt;=3,FORSIDE!$B$5&gt;=8),"S3088","")</f>
        <v/>
      </c>
      <c r="B3089" t="str">
        <f>IF(AND(FORSIDE!$B$8&gt;=18,FORSIDE!$F$8&gt;=3,FORSIDE!$B$5&gt;=8),"889 -&gt; 900","")</f>
        <v/>
      </c>
      <c r="C3089" t="str">
        <f>FORSIDE!$C$3</f>
        <v>S355, Stål / VFHUP 140x140x8.0</v>
      </c>
    </row>
    <row r="3090" spans="1:3" x14ac:dyDescent="0.3">
      <c r="A3090" t="str">
        <f>IF(AND(FORSIDE!$B$8&gt;=18,FORSIDE!$F$8&gt;=3,FORSIDE!$B$5&gt;=9),"S3089","")</f>
        <v/>
      </c>
      <c r="B3090" t="str">
        <f>IF(AND(FORSIDE!$B$8&gt;=18,FORSIDE!$F$8&gt;=3,FORSIDE!$B$5&gt;=9),"890 -&gt; 901","")</f>
        <v/>
      </c>
      <c r="C3090" t="str">
        <f>FORSIDE!$C$3</f>
        <v>S355, Stål / VFHUP 140x140x8.0</v>
      </c>
    </row>
    <row r="3091" spans="1:3" x14ac:dyDescent="0.3">
      <c r="A3091" t="str">
        <f>IF(AND(FORSIDE!$B$8&gt;=18,FORSIDE!$F$8&gt;=3,FORSIDE!$B$5&gt;=10),"S3090","")</f>
        <v/>
      </c>
      <c r="B3091" t="str">
        <f>IF(AND(FORSIDE!$B$8&gt;=18,FORSIDE!$F$8&gt;=3,FORSIDE!$B$5&gt;=10),"891 -&gt; 902","")</f>
        <v/>
      </c>
      <c r="C3091" t="str">
        <f>FORSIDE!$C$3</f>
        <v>S355, Stål / VFHUP 140x140x8.0</v>
      </c>
    </row>
    <row r="3092" spans="1:3" x14ac:dyDescent="0.3">
      <c r="A3092" t="str">
        <f>IF(AND(FORSIDE!$B$8&gt;=19,FORSIDE!$F$8&gt;=3,FORSIDE!$B$5&gt;=1),"S3091","")</f>
        <v/>
      </c>
      <c r="B3092" t="str">
        <f>IF(AND(FORSIDE!$B$8&gt;=19,FORSIDE!$F$8&gt;=3,FORSIDE!$B$5&gt;=1),"893 -&gt; 904","")</f>
        <v/>
      </c>
      <c r="C3092" t="str">
        <f>FORSIDE!$C$3</f>
        <v>S355, Stål / VFHUP 140x140x8.0</v>
      </c>
    </row>
    <row r="3093" spans="1:3" x14ac:dyDescent="0.3">
      <c r="A3093" t="str">
        <f>IF(AND(FORSIDE!$B$8&gt;=19,FORSIDE!$F$8&gt;=3,FORSIDE!$B$5&gt;=2),"S3092","")</f>
        <v/>
      </c>
      <c r="B3093" t="str">
        <f>IF(AND(FORSIDE!$B$8&gt;=19,FORSIDE!$F$8&gt;=3,FORSIDE!$B$5&gt;=2),"894 -&gt; 905","")</f>
        <v/>
      </c>
      <c r="C3093" t="str">
        <f>FORSIDE!$C$3</f>
        <v>S355, Stål / VFHUP 140x140x8.0</v>
      </c>
    </row>
    <row r="3094" spans="1:3" x14ac:dyDescent="0.3">
      <c r="A3094" t="str">
        <f>IF(AND(FORSIDE!$B$8&gt;=19,FORSIDE!$F$8&gt;=3,FORSIDE!$B$5&gt;=3),"S3093","")</f>
        <v/>
      </c>
      <c r="B3094" t="str">
        <f>IF(AND(FORSIDE!$B$8&gt;=19,FORSIDE!$F$8&gt;=3,FORSIDE!$B$5&gt;=3),"895 -&gt; 906","")</f>
        <v/>
      </c>
      <c r="C3094" t="str">
        <f>FORSIDE!$C$3</f>
        <v>S355, Stål / VFHUP 140x140x8.0</v>
      </c>
    </row>
    <row r="3095" spans="1:3" x14ac:dyDescent="0.3">
      <c r="A3095" t="str">
        <f>IF(AND(FORSIDE!$B$8&gt;=19,FORSIDE!$F$8&gt;=3,FORSIDE!$B$5&gt;=4),"S3094","")</f>
        <v/>
      </c>
      <c r="B3095" t="str">
        <f>IF(AND(FORSIDE!$B$8&gt;=19,FORSIDE!$F$8&gt;=3,FORSIDE!$B$5&gt;=4),"896 -&gt; 907","")</f>
        <v/>
      </c>
      <c r="C3095" t="str">
        <f>FORSIDE!$C$3</f>
        <v>S355, Stål / VFHUP 140x140x8.0</v>
      </c>
    </row>
    <row r="3096" spans="1:3" x14ac:dyDescent="0.3">
      <c r="A3096" t="str">
        <f>IF(AND(FORSIDE!$B$8&gt;=19,FORSIDE!$F$8&gt;=3,FORSIDE!$B$5&gt;=5),"S3095","")</f>
        <v/>
      </c>
      <c r="B3096" t="str">
        <f>IF(AND(FORSIDE!$B$8&gt;=19,FORSIDE!$F$8&gt;=3,FORSIDE!$B$5&gt;=5),"897 -&gt; 908","")</f>
        <v/>
      </c>
      <c r="C3096" t="str">
        <f>FORSIDE!$C$3</f>
        <v>S355, Stål / VFHUP 140x140x8.0</v>
      </c>
    </row>
    <row r="3097" spans="1:3" x14ac:dyDescent="0.3">
      <c r="A3097" t="str">
        <f>IF(AND(FORSIDE!$B$8&gt;=19,FORSIDE!$F$8&gt;=3,FORSIDE!$B$5&gt;=6),"S3096","")</f>
        <v/>
      </c>
      <c r="B3097" t="str">
        <f>IF(AND(FORSIDE!$B$8&gt;=19,FORSIDE!$F$8&gt;=3,FORSIDE!$B$5&gt;=6),"898 -&gt; 909","")</f>
        <v/>
      </c>
      <c r="C3097" t="str">
        <f>FORSIDE!$C$3</f>
        <v>S355, Stål / VFHUP 140x140x8.0</v>
      </c>
    </row>
    <row r="3098" spans="1:3" x14ac:dyDescent="0.3">
      <c r="A3098" t="str">
        <f>IF(AND(FORSIDE!$B$8&gt;=19,FORSIDE!$F$8&gt;=3,FORSIDE!$B$5&gt;=7),"S3097","")</f>
        <v/>
      </c>
      <c r="B3098" t="str">
        <f>IF(AND(FORSIDE!$B$8&gt;=19,FORSIDE!$F$8&gt;=3,FORSIDE!$B$5&gt;=7),"899 -&gt; 910","")</f>
        <v/>
      </c>
      <c r="C3098" t="str">
        <f>FORSIDE!$C$3</f>
        <v>S355, Stål / VFHUP 140x140x8.0</v>
      </c>
    </row>
    <row r="3099" spans="1:3" x14ac:dyDescent="0.3">
      <c r="A3099" t="str">
        <f>IF(AND(FORSIDE!$B$8&gt;=19,FORSIDE!$F$8&gt;=3,FORSIDE!$B$5&gt;=8),"S3098","")</f>
        <v/>
      </c>
      <c r="B3099" t="str">
        <f>IF(AND(FORSIDE!$B$8&gt;=19,FORSIDE!$F$8&gt;=3,FORSIDE!$B$5&gt;=8),"900 -&gt; 911","")</f>
        <v/>
      </c>
      <c r="C3099" t="str">
        <f>FORSIDE!$C$3</f>
        <v>S355, Stål / VFHUP 140x140x8.0</v>
      </c>
    </row>
    <row r="3100" spans="1:3" x14ac:dyDescent="0.3">
      <c r="A3100" t="str">
        <f>IF(AND(FORSIDE!$B$8&gt;=19,FORSIDE!$F$8&gt;=3,FORSIDE!$B$5&gt;=9),"S3099","")</f>
        <v/>
      </c>
      <c r="B3100" t="str">
        <f>IF(AND(FORSIDE!$B$8&gt;=19,FORSIDE!$F$8&gt;=3,FORSIDE!$B$5&gt;=9),"901 -&gt; 912","")</f>
        <v/>
      </c>
      <c r="C3100" t="str">
        <f>FORSIDE!$C$3</f>
        <v>S355, Stål / VFHUP 140x140x8.0</v>
      </c>
    </row>
    <row r="3101" spans="1:3" x14ac:dyDescent="0.3">
      <c r="A3101" t="str">
        <f>IF(AND(FORSIDE!$B$8&gt;=19,FORSIDE!$F$8&gt;=3,FORSIDE!$B$5&gt;=10),"S3100","")</f>
        <v/>
      </c>
      <c r="B3101" t="str">
        <f>IF(AND(FORSIDE!$B$8&gt;=19,FORSIDE!$F$8&gt;=3,FORSIDE!$B$5&gt;=10),"902 -&gt; 913","")</f>
        <v/>
      </c>
      <c r="C3101" t="str">
        <f>FORSIDE!$C$3</f>
        <v>S355, Stål / VFHUP 140x140x8.0</v>
      </c>
    </row>
    <row r="3102" spans="1:3" x14ac:dyDescent="0.3">
      <c r="A3102" t="str">
        <f>IF(AND(FORSIDE!$B$8&gt;=20,FORSIDE!$F$8&gt;=3,FORSIDE!$B$5&gt;=1),"S3101","")</f>
        <v/>
      </c>
      <c r="B3102" t="str">
        <f>IF(AND(FORSIDE!$B$8&gt;=20,FORSIDE!$F$8&gt;=3,FORSIDE!$B$5&gt;=1),"904 -&gt; 915","")</f>
        <v/>
      </c>
      <c r="C3102" t="str">
        <f>FORSIDE!$C$3</f>
        <v>S355, Stål / VFHUP 140x140x8.0</v>
      </c>
    </row>
    <row r="3103" spans="1:3" x14ac:dyDescent="0.3">
      <c r="A3103" t="str">
        <f>IF(AND(FORSIDE!$B$8&gt;=20,FORSIDE!$F$8&gt;=3,FORSIDE!$B$5&gt;=2),"S3102","")</f>
        <v/>
      </c>
      <c r="B3103" t="str">
        <f>IF(AND(FORSIDE!$B$8&gt;=20,FORSIDE!$F$8&gt;=3,FORSIDE!$B$5&gt;=2),"905 -&gt; 916","")</f>
        <v/>
      </c>
      <c r="C3103" t="str">
        <f>FORSIDE!$C$3</f>
        <v>S355, Stål / VFHUP 140x140x8.0</v>
      </c>
    </row>
    <row r="3104" spans="1:3" x14ac:dyDescent="0.3">
      <c r="A3104" t="str">
        <f>IF(AND(FORSIDE!$B$8&gt;=20,FORSIDE!$F$8&gt;=3,FORSIDE!$B$5&gt;=3),"S3103","")</f>
        <v/>
      </c>
      <c r="B3104" t="str">
        <f>IF(AND(FORSIDE!$B$8&gt;=20,FORSIDE!$F$8&gt;=3,FORSIDE!$B$5&gt;=3),"906 -&gt; 917","")</f>
        <v/>
      </c>
      <c r="C3104" t="str">
        <f>FORSIDE!$C$3</f>
        <v>S355, Stål / VFHUP 140x140x8.0</v>
      </c>
    </row>
    <row r="3105" spans="1:3" x14ac:dyDescent="0.3">
      <c r="A3105" t="str">
        <f>IF(AND(FORSIDE!$B$8&gt;=20,FORSIDE!$F$8&gt;=3,FORSIDE!$B$5&gt;=4),"S3104","")</f>
        <v/>
      </c>
      <c r="B3105" t="str">
        <f>IF(AND(FORSIDE!$B$8&gt;=20,FORSIDE!$F$8&gt;=3,FORSIDE!$B$5&gt;=4),"907 -&gt; 918","")</f>
        <v/>
      </c>
      <c r="C3105" t="str">
        <f>FORSIDE!$C$3</f>
        <v>S355, Stål / VFHUP 140x140x8.0</v>
      </c>
    </row>
    <row r="3106" spans="1:3" x14ac:dyDescent="0.3">
      <c r="A3106" t="str">
        <f>IF(AND(FORSIDE!$B$8&gt;=20,FORSIDE!$F$8&gt;=3,FORSIDE!$B$5&gt;=5),"S3105","")</f>
        <v/>
      </c>
      <c r="B3106" t="str">
        <f>IF(AND(FORSIDE!$B$8&gt;=20,FORSIDE!$F$8&gt;=3,FORSIDE!$B$5&gt;=5),"908 -&gt; 919","")</f>
        <v/>
      </c>
      <c r="C3106" t="str">
        <f>FORSIDE!$C$3</f>
        <v>S355, Stål / VFHUP 140x140x8.0</v>
      </c>
    </row>
    <row r="3107" spans="1:3" x14ac:dyDescent="0.3">
      <c r="A3107" t="str">
        <f>IF(AND(FORSIDE!$B$8&gt;=20,FORSIDE!$F$8&gt;=3,FORSIDE!$B$5&gt;=6),"S3106","")</f>
        <v/>
      </c>
      <c r="B3107" t="str">
        <f>IF(AND(FORSIDE!$B$8&gt;=20,FORSIDE!$F$8&gt;=3,FORSIDE!$B$5&gt;=6),"909 -&gt; 920","")</f>
        <v/>
      </c>
      <c r="C3107" t="str">
        <f>FORSIDE!$C$3</f>
        <v>S355, Stål / VFHUP 140x140x8.0</v>
      </c>
    </row>
    <row r="3108" spans="1:3" x14ac:dyDescent="0.3">
      <c r="A3108" t="str">
        <f>IF(AND(FORSIDE!$B$8&gt;=20,FORSIDE!$F$8&gt;=3,FORSIDE!$B$5&gt;=7),"S3107","")</f>
        <v/>
      </c>
      <c r="B3108" t="str">
        <f>IF(AND(FORSIDE!$B$8&gt;=20,FORSIDE!$F$8&gt;=3,FORSIDE!$B$5&gt;=7),"910 -&gt; 921","")</f>
        <v/>
      </c>
      <c r="C3108" t="str">
        <f>FORSIDE!$C$3</f>
        <v>S355, Stål / VFHUP 140x140x8.0</v>
      </c>
    </row>
    <row r="3109" spans="1:3" x14ac:dyDescent="0.3">
      <c r="A3109" t="str">
        <f>IF(AND(FORSIDE!$B$8&gt;=20,FORSIDE!$F$8&gt;=3,FORSIDE!$B$5&gt;=8),"S3108","")</f>
        <v/>
      </c>
      <c r="B3109" t="str">
        <f>IF(AND(FORSIDE!$B$8&gt;=20,FORSIDE!$F$8&gt;=3,FORSIDE!$B$5&gt;=8),"911 -&gt; 922","")</f>
        <v/>
      </c>
      <c r="C3109" t="str">
        <f>FORSIDE!$C$3</f>
        <v>S355, Stål / VFHUP 140x140x8.0</v>
      </c>
    </row>
    <row r="3110" spans="1:3" x14ac:dyDescent="0.3">
      <c r="A3110" t="str">
        <f>IF(AND(FORSIDE!$B$8&gt;=20,FORSIDE!$F$8&gt;=3,FORSIDE!$B$5&gt;=9),"S3109","")</f>
        <v/>
      </c>
      <c r="B3110" t="str">
        <f>IF(AND(FORSIDE!$B$8&gt;=20,FORSIDE!$F$8&gt;=3,FORSIDE!$B$5&gt;=9),"912 -&gt; 923","")</f>
        <v/>
      </c>
      <c r="C3110" t="str">
        <f>FORSIDE!$C$3</f>
        <v>S355, Stål / VFHUP 140x140x8.0</v>
      </c>
    </row>
    <row r="3111" spans="1:3" x14ac:dyDescent="0.3">
      <c r="A3111" t="str">
        <f>IF(AND(FORSIDE!$B$8&gt;=20,FORSIDE!$F$8&gt;=3,FORSIDE!$B$5&gt;=10),"S3110","")</f>
        <v/>
      </c>
      <c r="B3111" t="str">
        <f>IF(AND(FORSIDE!$B$8&gt;=20,FORSIDE!$F$8&gt;=3,FORSIDE!$B$5&gt;=10),"913 -&gt; 924","")</f>
        <v/>
      </c>
      <c r="C3111" t="str">
        <f>FORSIDE!$C$3</f>
        <v>S355, Stål / VFHUP 140x140x8.0</v>
      </c>
    </row>
    <row r="3112" spans="1:3" x14ac:dyDescent="0.3">
      <c r="A3112" t="str">
        <f>IF(AND(FORSIDE!$B$8&gt;=1,FORSIDE!$F$8&gt;=4,FORSIDE!$B$5&gt;=1),"S3111","")</f>
        <v/>
      </c>
      <c r="B3112" t="str">
        <f>IF(AND(FORSIDE!$B$8&gt;=1,FORSIDE!$F$8&gt;=4,FORSIDE!$B$5&gt;=1),"926 -&gt; 937","")</f>
        <v/>
      </c>
      <c r="C3112" t="str">
        <f>FORSIDE!$C$3</f>
        <v>S355, Stål / VFHUP 140x140x8.0</v>
      </c>
    </row>
    <row r="3113" spans="1:3" x14ac:dyDescent="0.3">
      <c r="A3113" t="str">
        <f>IF(AND(FORSIDE!$B$8&gt;=1,FORSIDE!$F$8&gt;=4,FORSIDE!$B$5&gt;=2),"S3112","")</f>
        <v/>
      </c>
      <c r="B3113" t="str">
        <f>IF(AND(FORSIDE!$B$8&gt;=1,FORSIDE!$F$8&gt;=4,FORSIDE!$B$5&gt;=2),"927 -&gt; 938","")</f>
        <v/>
      </c>
      <c r="C3113" t="str">
        <f>FORSIDE!$C$3</f>
        <v>S355, Stål / VFHUP 140x140x8.0</v>
      </c>
    </row>
    <row r="3114" spans="1:3" x14ac:dyDescent="0.3">
      <c r="A3114" t="str">
        <f>IF(AND(FORSIDE!$B$8&gt;=1,FORSIDE!$F$8&gt;=4,FORSIDE!$B$5&gt;=3),"S3113","")</f>
        <v/>
      </c>
      <c r="B3114" t="str">
        <f>IF(AND(FORSIDE!$B$8&gt;=1,FORSIDE!$F$8&gt;=4,FORSIDE!$B$5&gt;=3),"928 -&gt; 939","")</f>
        <v/>
      </c>
      <c r="C3114" t="str">
        <f>FORSIDE!$C$3</f>
        <v>S355, Stål / VFHUP 140x140x8.0</v>
      </c>
    </row>
    <row r="3115" spans="1:3" x14ac:dyDescent="0.3">
      <c r="A3115" t="str">
        <f>IF(AND(FORSIDE!$B$8&gt;=1,FORSIDE!$F$8&gt;=4,FORSIDE!$B$5&gt;=4),"S3114","")</f>
        <v/>
      </c>
      <c r="B3115" t="str">
        <f>IF(AND(FORSIDE!$B$8&gt;=1,FORSIDE!$F$8&gt;=4,FORSIDE!$B$5&gt;=4),"929 -&gt; 940","")</f>
        <v/>
      </c>
      <c r="C3115" t="str">
        <f>FORSIDE!$C$3</f>
        <v>S355, Stål / VFHUP 140x140x8.0</v>
      </c>
    </row>
    <row r="3116" spans="1:3" x14ac:dyDescent="0.3">
      <c r="A3116" t="str">
        <f>IF(AND(FORSIDE!$B$8&gt;=1,FORSIDE!$F$8&gt;=4,FORSIDE!$B$5&gt;=5),"S3115","")</f>
        <v/>
      </c>
      <c r="B3116" t="str">
        <f>IF(AND(FORSIDE!$B$8&gt;=1,FORSIDE!$F$8&gt;=4,FORSIDE!$B$5&gt;=5),"930 -&gt; 941","")</f>
        <v/>
      </c>
      <c r="C3116" t="str">
        <f>FORSIDE!$C$3</f>
        <v>S355, Stål / VFHUP 140x140x8.0</v>
      </c>
    </row>
    <row r="3117" spans="1:3" x14ac:dyDescent="0.3">
      <c r="A3117" t="str">
        <f>IF(AND(FORSIDE!$B$8&gt;=1,FORSIDE!$F$8&gt;=4,FORSIDE!$B$5&gt;=6),"S3116","")</f>
        <v/>
      </c>
      <c r="B3117" t="str">
        <f>IF(AND(FORSIDE!$B$8&gt;=1,FORSIDE!$F$8&gt;=4,FORSIDE!$B$5&gt;=6),"931 -&gt; 942","")</f>
        <v/>
      </c>
      <c r="C3117" t="str">
        <f>FORSIDE!$C$3</f>
        <v>S355, Stål / VFHUP 140x140x8.0</v>
      </c>
    </row>
    <row r="3118" spans="1:3" x14ac:dyDescent="0.3">
      <c r="A3118" t="str">
        <f>IF(AND(FORSIDE!$B$8&gt;=1,FORSIDE!$F$8&gt;=4,FORSIDE!$B$5&gt;=7),"S3117","")</f>
        <v/>
      </c>
      <c r="B3118" t="str">
        <f>IF(AND(FORSIDE!$B$8&gt;=1,FORSIDE!$F$8&gt;=4,FORSIDE!$B$5&gt;=7),"932 -&gt; 943","")</f>
        <v/>
      </c>
      <c r="C3118" t="str">
        <f>FORSIDE!$C$3</f>
        <v>S355, Stål / VFHUP 140x140x8.0</v>
      </c>
    </row>
    <row r="3119" spans="1:3" x14ac:dyDescent="0.3">
      <c r="A3119" t="str">
        <f>IF(AND(FORSIDE!$B$8&gt;=1,FORSIDE!$F$8&gt;=4,FORSIDE!$B$5&gt;=8),"S3118","")</f>
        <v/>
      </c>
      <c r="B3119" t="str">
        <f>IF(AND(FORSIDE!$B$8&gt;=1,FORSIDE!$F$8&gt;=4,FORSIDE!$B$5&gt;=8),"933 -&gt; 944","")</f>
        <v/>
      </c>
      <c r="C3119" t="str">
        <f>FORSIDE!$C$3</f>
        <v>S355, Stål / VFHUP 140x140x8.0</v>
      </c>
    </row>
    <row r="3120" spans="1:3" x14ac:dyDescent="0.3">
      <c r="A3120" t="str">
        <f>IF(AND(FORSIDE!$B$8&gt;=1,FORSIDE!$F$8&gt;=4,FORSIDE!$B$5&gt;=9),"S3119","")</f>
        <v/>
      </c>
      <c r="B3120" t="str">
        <f>IF(AND(FORSIDE!$B$8&gt;=1,FORSIDE!$F$8&gt;=4,FORSIDE!$B$5&gt;=9),"934 -&gt; 945","")</f>
        <v/>
      </c>
      <c r="C3120" t="str">
        <f>FORSIDE!$C$3</f>
        <v>S355, Stål / VFHUP 140x140x8.0</v>
      </c>
    </row>
    <row r="3121" spans="1:3" x14ac:dyDescent="0.3">
      <c r="A3121" t="str">
        <f>IF(AND(FORSIDE!$B$8&gt;=1,FORSIDE!$F$8&gt;=4,FORSIDE!$B$5&gt;=10),"S3120","")</f>
        <v/>
      </c>
      <c r="B3121" t="str">
        <f>IF(AND(FORSIDE!$B$8&gt;=1,FORSIDE!$F$8&gt;=4,FORSIDE!$B$5&gt;=10),"935 -&gt; 946","")</f>
        <v/>
      </c>
      <c r="C3121" t="str">
        <f>FORSIDE!$C$3</f>
        <v>S355, Stål / VFHUP 140x140x8.0</v>
      </c>
    </row>
    <row r="3122" spans="1:3" x14ac:dyDescent="0.3">
      <c r="A3122" t="str">
        <f>IF(AND(FORSIDE!$B$8&gt;=2,FORSIDE!$F$8&gt;=4,FORSIDE!$B$5&gt;=1),"S3121","")</f>
        <v/>
      </c>
      <c r="B3122" t="str">
        <f>IF(AND(FORSIDE!$B$8&gt;=2,FORSIDE!$F$8&gt;=4,FORSIDE!$B$5&gt;=1),"937 -&gt; 948","")</f>
        <v/>
      </c>
      <c r="C3122" t="str">
        <f>FORSIDE!$C$3</f>
        <v>S355, Stål / VFHUP 140x140x8.0</v>
      </c>
    </row>
    <row r="3123" spans="1:3" x14ac:dyDescent="0.3">
      <c r="A3123" t="str">
        <f>IF(AND(FORSIDE!$B$8&gt;=2,FORSIDE!$F$8&gt;=4,FORSIDE!$B$5&gt;=2),"S3122","")</f>
        <v/>
      </c>
      <c r="B3123" t="str">
        <f>IF(AND(FORSIDE!$B$8&gt;=2,FORSIDE!$F$8&gt;=4,FORSIDE!$B$5&gt;=2),"938 -&gt; 949","")</f>
        <v/>
      </c>
      <c r="C3123" t="str">
        <f>FORSIDE!$C$3</f>
        <v>S355, Stål / VFHUP 140x140x8.0</v>
      </c>
    </row>
    <row r="3124" spans="1:3" x14ac:dyDescent="0.3">
      <c r="A3124" t="str">
        <f>IF(AND(FORSIDE!$B$8&gt;=2,FORSIDE!$F$8&gt;=4,FORSIDE!$B$5&gt;=3),"S3123","")</f>
        <v/>
      </c>
      <c r="B3124" t="str">
        <f>IF(AND(FORSIDE!$B$8&gt;=2,FORSIDE!$F$8&gt;=4,FORSIDE!$B$5&gt;=3),"939 -&gt; 950","")</f>
        <v/>
      </c>
      <c r="C3124" t="str">
        <f>FORSIDE!$C$3</f>
        <v>S355, Stål / VFHUP 140x140x8.0</v>
      </c>
    </row>
    <row r="3125" spans="1:3" x14ac:dyDescent="0.3">
      <c r="A3125" t="str">
        <f>IF(AND(FORSIDE!$B$8&gt;=2,FORSIDE!$F$8&gt;=4,FORSIDE!$B$5&gt;=4),"S3124","")</f>
        <v/>
      </c>
      <c r="B3125" t="str">
        <f>IF(AND(FORSIDE!$B$8&gt;=2,FORSIDE!$F$8&gt;=4,FORSIDE!$B$5&gt;=4),"940 -&gt; 951","")</f>
        <v/>
      </c>
      <c r="C3125" t="str">
        <f>FORSIDE!$C$3</f>
        <v>S355, Stål / VFHUP 140x140x8.0</v>
      </c>
    </row>
    <row r="3126" spans="1:3" x14ac:dyDescent="0.3">
      <c r="A3126" t="str">
        <f>IF(AND(FORSIDE!$B$8&gt;=2,FORSIDE!$F$8&gt;=4,FORSIDE!$B$5&gt;=5),"S3125","")</f>
        <v/>
      </c>
      <c r="B3126" t="str">
        <f>IF(AND(FORSIDE!$B$8&gt;=2,FORSIDE!$F$8&gt;=4,FORSIDE!$B$5&gt;=5),"941 -&gt; 952","")</f>
        <v/>
      </c>
      <c r="C3126" t="str">
        <f>FORSIDE!$C$3</f>
        <v>S355, Stål / VFHUP 140x140x8.0</v>
      </c>
    </row>
    <row r="3127" spans="1:3" x14ac:dyDescent="0.3">
      <c r="A3127" t="str">
        <f>IF(AND(FORSIDE!$B$8&gt;=2,FORSIDE!$F$8&gt;=4,FORSIDE!$B$5&gt;=6),"S3126","")</f>
        <v/>
      </c>
      <c r="B3127" t="str">
        <f>IF(AND(FORSIDE!$B$8&gt;=2,FORSIDE!$F$8&gt;=4,FORSIDE!$B$5&gt;=6),"942 -&gt; 953","")</f>
        <v/>
      </c>
      <c r="C3127" t="str">
        <f>FORSIDE!$C$3</f>
        <v>S355, Stål / VFHUP 140x140x8.0</v>
      </c>
    </row>
    <row r="3128" spans="1:3" x14ac:dyDescent="0.3">
      <c r="A3128" t="str">
        <f>IF(AND(FORSIDE!$B$8&gt;=2,FORSIDE!$F$8&gt;=4,FORSIDE!$B$5&gt;=7),"S3127","")</f>
        <v/>
      </c>
      <c r="B3128" t="str">
        <f>IF(AND(FORSIDE!$B$8&gt;=2,FORSIDE!$F$8&gt;=4,FORSIDE!$B$5&gt;=7),"943 -&gt; 954","")</f>
        <v/>
      </c>
      <c r="C3128" t="str">
        <f>FORSIDE!$C$3</f>
        <v>S355, Stål / VFHUP 140x140x8.0</v>
      </c>
    </row>
    <row r="3129" spans="1:3" x14ac:dyDescent="0.3">
      <c r="A3129" t="str">
        <f>IF(AND(FORSIDE!$B$8&gt;=2,FORSIDE!$F$8&gt;=4,FORSIDE!$B$5&gt;=8),"S3128","")</f>
        <v/>
      </c>
      <c r="B3129" t="str">
        <f>IF(AND(FORSIDE!$B$8&gt;=2,FORSIDE!$F$8&gt;=4,FORSIDE!$B$5&gt;=8),"944 -&gt; 955","")</f>
        <v/>
      </c>
      <c r="C3129" t="str">
        <f>FORSIDE!$C$3</f>
        <v>S355, Stål / VFHUP 140x140x8.0</v>
      </c>
    </row>
    <row r="3130" spans="1:3" x14ac:dyDescent="0.3">
      <c r="A3130" t="str">
        <f>IF(AND(FORSIDE!$B$8&gt;=2,FORSIDE!$F$8&gt;=4,FORSIDE!$B$5&gt;=9),"S3129","")</f>
        <v/>
      </c>
      <c r="B3130" t="str">
        <f>IF(AND(FORSIDE!$B$8&gt;=2,FORSIDE!$F$8&gt;=4,FORSIDE!$B$5&gt;=9),"945 -&gt; 956","")</f>
        <v/>
      </c>
      <c r="C3130" t="str">
        <f>FORSIDE!$C$3</f>
        <v>S355, Stål / VFHUP 140x140x8.0</v>
      </c>
    </row>
    <row r="3131" spans="1:3" x14ac:dyDescent="0.3">
      <c r="A3131" t="str">
        <f>IF(AND(FORSIDE!$B$8&gt;=2,FORSIDE!$F$8&gt;=4,FORSIDE!$B$5&gt;=10),"S3130","")</f>
        <v/>
      </c>
      <c r="B3131" t="str">
        <f>IF(AND(FORSIDE!$B$8&gt;=2,FORSIDE!$F$8&gt;=4,FORSIDE!$B$5&gt;=10),"946 -&gt; 957","")</f>
        <v/>
      </c>
      <c r="C3131" t="str">
        <f>FORSIDE!$C$3</f>
        <v>S355, Stål / VFHUP 140x140x8.0</v>
      </c>
    </row>
    <row r="3132" spans="1:3" x14ac:dyDescent="0.3">
      <c r="A3132" t="str">
        <f>IF(AND(FORSIDE!$B$8&gt;=3,FORSIDE!$F$8&gt;=4,FORSIDE!$B$5&gt;=1),"S3131","")</f>
        <v/>
      </c>
      <c r="B3132" t="str">
        <f>IF(AND(FORSIDE!$B$8&gt;=3,FORSIDE!$F$8&gt;=4,FORSIDE!$B$5&gt;=1),"948 -&gt; 959","")</f>
        <v/>
      </c>
      <c r="C3132" t="str">
        <f>FORSIDE!$C$3</f>
        <v>S355, Stål / VFHUP 140x140x8.0</v>
      </c>
    </row>
    <row r="3133" spans="1:3" x14ac:dyDescent="0.3">
      <c r="A3133" t="str">
        <f>IF(AND(FORSIDE!$B$8&gt;=3,FORSIDE!$F$8&gt;=4,FORSIDE!$B$5&gt;=2),"S3132","")</f>
        <v/>
      </c>
      <c r="B3133" t="str">
        <f>IF(AND(FORSIDE!$B$8&gt;=3,FORSIDE!$F$8&gt;=4,FORSIDE!$B$5&gt;=2),"949 -&gt; 960","")</f>
        <v/>
      </c>
      <c r="C3133" t="str">
        <f>FORSIDE!$C$3</f>
        <v>S355, Stål / VFHUP 140x140x8.0</v>
      </c>
    </row>
    <row r="3134" spans="1:3" x14ac:dyDescent="0.3">
      <c r="A3134" t="str">
        <f>IF(AND(FORSIDE!$B$8&gt;=3,FORSIDE!$F$8&gt;=4,FORSIDE!$B$5&gt;=3),"S3133","")</f>
        <v/>
      </c>
      <c r="B3134" t="str">
        <f>IF(AND(FORSIDE!$B$8&gt;=3,FORSIDE!$F$8&gt;=4,FORSIDE!$B$5&gt;=3),"950 -&gt; 961","")</f>
        <v/>
      </c>
      <c r="C3134" t="str">
        <f>FORSIDE!$C$3</f>
        <v>S355, Stål / VFHUP 140x140x8.0</v>
      </c>
    </row>
    <row r="3135" spans="1:3" x14ac:dyDescent="0.3">
      <c r="A3135" t="str">
        <f>IF(AND(FORSIDE!$B$8&gt;=3,FORSIDE!$F$8&gt;=4,FORSIDE!$B$5&gt;=4),"S3134","")</f>
        <v/>
      </c>
      <c r="B3135" t="str">
        <f>IF(AND(FORSIDE!$B$8&gt;=3,FORSIDE!$F$8&gt;=4,FORSIDE!$B$5&gt;=4),"951 -&gt; 962","")</f>
        <v/>
      </c>
      <c r="C3135" t="str">
        <f>FORSIDE!$C$3</f>
        <v>S355, Stål / VFHUP 140x140x8.0</v>
      </c>
    </row>
    <row r="3136" spans="1:3" x14ac:dyDescent="0.3">
      <c r="A3136" t="str">
        <f>IF(AND(FORSIDE!$B$8&gt;=3,FORSIDE!$F$8&gt;=4,FORSIDE!$B$5&gt;=5),"S3135","")</f>
        <v/>
      </c>
      <c r="B3136" t="str">
        <f>IF(AND(FORSIDE!$B$8&gt;=3,FORSIDE!$F$8&gt;=4,FORSIDE!$B$5&gt;=5),"952 -&gt; 963","")</f>
        <v/>
      </c>
      <c r="C3136" t="str">
        <f>FORSIDE!$C$3</f>
        <v>S355, Stål / VFHUP 140x140x8.0</v>
      </c>
    </row>
    <row r="3137" spans="1:3" x14ac:dyDescent="0.3">
      <c r="A3137" t="str">
        <f>IF(AND(FORSIDE!$B$8&gt;=3,FORSIDE!$F$8&gt;=4,FORSIDE!$B$5&gt;=6),"S3136","")</f>
        <v/>
      </c>
      <c r="B3137" t="str">
        <f>IF(AND(FORSIDE!$B$8&gt;=3,FORSIDE!$F$8&gt;=4,FORSIDE!$B$5&gt;=6),"953 -&gt; 964","")</f>
        <v/>
      </c>
      <c r="C3137" t="str">
        <f>FORSIDE!$C$3</f>
        <v>S355, Stål / VFHUP 140x140x8.0</v>
      </c>
    </row>
    <row r="3138" spans="1:3" x14ac:dyDescent="0.3">
      <c r="A3138" t="str">
        <f>IF(AND(FORSIDE!$B$8&gt;=3,FORSIDE!$F$8&gt;=4,FORSIDE!$B$5&gt;=7),"S3137","")</f>
        <v/>
      </c>
      <c r="B3138" t="str">
        <f>IF(AND(FORSIDE!$B$8&gt;=3,FORSIDE!$F$8&gt;=4,FORSIDE!$B$5&gt;=7),"954 -&gt; 965","")</f>
        <v/>
      </c>
      <c r="C3138" t="str">
        <f>FORSIDE!$C$3</f>
        <v>S355, Stål / VFHUP 140x140x8.0</v>
      </c>
    </row>
    <row r="3139" spans="1:3" x14ac:dyDescent="0.3">
      <c r="A3139" t="str">
        <f>IF(AND(FORSIDE!$B$8&gt;=3,FORSIDE!$F$8&gt;=4,FORSIDE!$B$5&gt;=8),"S3138","")</f>
        <v/>
      </c>
      <c r="B3139" t="str">
        <f>IF(AND(FORSIDE!$B$8&gt;=3,FORSIDE!$F$8&gt;=4,FORSIDE!$B$5&gt;=8),"955 -&gt; 966","")</f>
        <v/>
      </c>
      <c r="C3139" t="str">
        <f>FORSIDE!$C$3</f>
        <v>S355, Stål / VFHUP 140x140x8.0</v>
      </c>
    </row>
    <row r="3140" spans="1:3" x14ac:dyDescent="0.3">
      <c r="A3140" t="str">
        <f>IF(AND(FORSIDE!$B$8&gt;=3,FORSIDE!$F$8&gt;=4,FORSIDE!$B$5&gt;=9),"S3139","")</f>
        <v/>
      </c>
      <c r="B3140" t="str">
        <f>IF(AND(FORSIDE!$B$8&gt;=3,FORSIDE!$F$8&gt;=4,FORSIDE!$B$5&gt;=9),"956 -&gt; 967","")</f>
        <v/>
      </c>
      <c r="C3140" t="str">
        <f>FORSIDE!$C$3</f>
        <v>S355, Stål / VFHUP 140x140x8.0</v>
      </c>
    </row>
    <row r="3141" spans="1:3" x14ac:dyDescent="0.3">
      <c r="A3141" t="str">
        <f>IF(AND(FORSIDE!$B$8&gt;=3,FORSIDE!$F$8&gt;=4,FORSIDE!$B$5&gt;=10),"S3140","")</f>
        <v/>
      </c>
      <c r="B3141" t="str">
        <f>IF(AND(FORSIDE!$B$8&gt;=3,FORSIDE!$F$8&gt;=4,FORSIDE!$B$5&gt;=10),"957 -&gt; 968","")</f>
        <v/>
      </c>
      <c r="C3141" t="str">
        <f>FORSIDE!$C$3</f>
        <v>S355, Stål / VFHUP 140x140x8.0</v>
      </c>
    </row>
    <row r="3142" spans="1:3" x14ac:dyDescent="0.3">
      <c r="A3142" t="str">
        <f>IF(AND(FORSIDE!$B$8&gt;=4,FORSIDE!$F$8&gt;=4,FORSIDE!$B$5&gt;=1),"S3141","")</f>
        <v/>
      </c>
      <c r="B3142" t="str">
        <f>IF(AND(FORSIDE!$B$8&gt;=4,FORSIDE!$F$8&gt;=4,FORSIDE!$B$5&gt;=1),"959 -&gt; 970","")</f>
        <v/>
      </c>
      <c r="C3142" t="str">
        <f>FORSIDE!$C$3</f>
        <v>S355, Stål / VFHUP 140x140x8.0</v>
      </c>
    </row>
    <row r="3143" spans="1:3" x14ac:dyDescent="0.3">
      <c r="A3143" t="str">
        <f>IF(AND(FORSIDE!$B$8&gt;=4,FORSIDE!$F$8&gt;=4,FORSIDE!$B$5&gt;=2),"S3142","")</f>
        <v/>
      </c>
      <c r="B3143" t="str">
        <f>IF(AND(FORSIDE!$B$8&gt;=4,FORSIDE!$F$8&gt;=4,FORSIDE!$B$5&gt;=2),"960 -&gt; 971","")</f>
        <v/>
      </c>
      <c r="C3143" t="str">
        <f>FORSIDE!$C$3</f>
        <v>S355, Stål / VFHUP 140x140x8.0</v>
      </c>
    </row>
    <row r="3144" spans="1:3" x14ac:dyDescent="0.3">
      <c r="A3144" t="str">
        <f>IF(AND(FORSIDE!$B$8&gt;=4,FORSIDE!$F$8&gt;=4,FORSIDE!$B$5&gt;=3),"S3143","")</f>
        <v/>
      </c>
      <c r="B3144" t="str">
        <f>IF(AND(FORSIDE!$B$8&gt;=4,FORSIDE!$F$8&gt;=4,FORSIDE!$B$5&gt;=3),"961 -&gt; 972","")</f>
        <v/>
      </c>
      <c r="C3144" t="str">
        <f>FORSIDE!$C$3</f>
        <v>S355, Stål / VFHUP 140x140x8.0</v>
      </c>
    </row>
    <row r="3145" spans="1:3" x14ac:dyDescent="0.3">
      <c r="A3145" t="str">
        <f>IF(AND(FORSIDE!$B$8&gt;=4,FORSIDE!$F$8&gt;=4,FORSIDE!$B$5&gt;=4),"S3144","")</f>
        <v/>
      </c>
      <c r="B3145" t="str">
        <f>IF(AND(FORSIDE!$B$8&gt;=4,FORSIDE!$F$8&gt;=4,FORSIDE!$B$5&gt;=4),"962 -&gt; 973","")</f>
        <v/>
      </c>
      <c r="C3145" t="str">
        <f>FORSIDE!$C$3</f>
        <v>S355, Stål / VFHUP 140x140x8.0</v>
      </c>
    </row>
    <row r="3146" spans="1:3" x14ac:dyDescent="0.3">
      <c r="A3146" t="str">
        <f>IF(AND(FORSIDE!$B$8&gt;=4,FORSIDE!$F$8&gt;=4,FORSIDE!$B$5&gt;=5),"S3145","")</f>
        <v/>
      </c>
      <c r="B3146" t="str">
        <f>IF(AND(FORSIDE!$B$8&gt;=4,FORSIDE!$F$8&gt;=4,FORSIDE!$B$5&gt;=5),"963 -&gt; 974","")</f>
        <v/>
      </c>
      <c r="C3146" t="str">
        <f>FORSIDE!$C$3</f>
        <v>S355, Stål / VFHUP 140x140x8.0</v>
      </c>
    </row>
    <row r="3147" spans="1:3" x14ac:dyDescent="0.3">
      <c r="A3147" t="str">
        <f>IF(AND(FORSIDE!$B$8&gt;=4,FORSIDE!$F$8&gt;=4,FORSIDE!$B$5&gt;=6),"S3146","")</f>
        <v/>
      </c>
      <c r="B3147" t="str">
        <f>IF(AND(FORSIDE!$B$8&gt;=4,FORSIDE!$F$8&gt;=4,FORSIDE!$B$5&gt;=6),"964 -&gt; 975","")</f>
        <v/>
      </c>
      <c r="C3147" t="str">
        <f>FORSIDE!$C$3</f>
        <v>S355, Stål / VFHUP 140x140x8.0</v>
      </c>
    </row>
    <row r="3148" spans="1:3" x14ac:dyDescent="0.3">
      <c r="A3148" t="str">
        <f>IF(AND(FORSIDE!$B$8&gt;=4,FORSIDE!$F$8&gt;=4,FORSIDE!$B$5&gt;=7),"S3147","")</f>
        <v/>
      </c>
      <c r="B3148" t="str">
        <f>IF(AND(FORSIDE!$B$8&gt;=4,FORSIDE!$F$8&gt;=4,FORSIDE!$B$5&gt;=7),"965 -&gt; 976","")</f>
        <v/>
      </c>
      <c r="C3148" t="str">
        <f>FORSIDE!$C$3</f>
        <v>S355, Stål / VFHUP 140x140x8.0</v>
      </c>
    </row>
    <row r="3149" spans="1:3" x14ac:dyDescent="0.3">
      <c r="A3149" t="str">
        <f>IF(AND(FORSIDE!$B$8&gt;=4,FORSIDE!$F$8&gt;=4,FORSIDE!$B$5&gt;=8),"S3148","")</f>
        <v/>
      </c>
      <c r="B3149" t="str">
        <f>IF(AND(FORSIDE!$B$8&gt;=4,FORSIDE!$F$8&gt;=4,FORSIDE!$B$5&gt;=8),"966 -&gt; 977","")</f>
        <v/>
      </c>
      <c r="C3149" t="str">
        <f>FORSIDE!$C$3</f>
        <v>S355, Stål / VFHUP 140x140x8.0</v>
      </c>
    </row>
    <row r="3150" spans="1:3" x14ac:dyDescent="0.3">
      <c r="A3150" t="str">
        <f>IF(AND(FORSIDE!$B$8&gt;=4,FORSIDE!$F$8&gt;=4,FORSIDE!$B$5&gt;=9),"S3149","")</f>
        <v/>
      </c>
      <c r="B3150" t="str">
        <f>IF(AND(FORSIDE!$B$8&gt;=4,FORSIDE!$F$8&gt;=4,FORSIDE!$B$5&gt;=9),"967 -&gt; 978","")</f>
        <v/>
      </c>
      <c r="C3150" t="str">
        <f>FORSIDE!$C$3</f>
        <v>S355, Stål / VFHUP 140x140x8.0</v>
      </c>
    </row>
    <row r="3151" spans="1:3" x14ac:dyDescent="0.3">
      <c r="A3151" t="str">
        <f>IF(AND(FORSIDE!$B$8&gt;=4,FORSIDE!$F$8&gt;=4,FORSIDE!$B$5&gt;=10),"S3150","")</f>
        <v/>
      </c>
      <c r="B3151" t="str">
        <f>IF(AND(FORSIDE!$B$8&gt;=4,FORSIDE!$F$8&gt;=4,FORSIDE!$B$5&gt;=10),"968 -&gt; 979","")</f>
        <v/>
      </c>
      <c r="C3151" t="str">
        <f>FORSIDE!$C$3</f>
        <v>S355, Stål / VFHUP 140x140x8.0</v>
      </c>
    </row>
    <row r="3152" spans="1:3" x14ac:dyDescent="0.3">
      <c r="A3152" t="str">
        <f>IF(AND(FORSIDE!$B$8&gt;=5,FORSIDE!$F$8&gt;=4,FORSIDE!$B$5&gt;=1),"S3151","")</f>
        <v/>
      </c>
      <c r="B3152" t="str">
        <f>IF(AND(FORSIDE!$B$8&gt;=5,FORSIDE!$F$8&gt;=4,FORSIDE!$B$5&gt;=1),"970 -&gt; 981","")</f>
        <v/>
      </c>
      <c r="C3152" t="str">
        <f>FORSIDE!$C$3</f>
        <v>S355, Stål / VFHUP 140x140x8.0</v>
      </c>
    </row>
    <row r="3153" spans="1:3" x14ac:dyDescent="0.3">
      <c r="A3153" t="str">
        <f>IF(AND(FORSIDE!$B$8&gt;=5,FORSIDE!$F$8&gt;=4,FORSIDE!$B$5&gt;=2),"S3152","")</f>
        <v/>
      </c>
      <c r="B3153" t="str">
        <f>IF(AND(FORSIDE!$B$8&gt;=5,FORSIDE!$F$8&gt;=4,FORSIDE!$B$5&gt;=2),"971 -&gt; 982","")</f>
        <v/>
      </c>
      <c r="C3153" t="str">
        <f>FORSIDE!$C$3</f>
        <v>S355, Stål / VFHUP 140x140x8.0</v>
      </c>
    </row>
    <row r="3154" spans="1:3" x14ac:dyDescent="0.3">
      <c r="A3154" t="str">
        <f>IF(AND(FORSIDE!$B$8&gt;=5,FORSIDE!$F$8&gt;=4,FORSIDE!$B$5&gt;=3),"S3153","")</f>
        <v/>
      </c>
      <c r="B3154" t="str">
        <f>IF(AND(FORSIDE!$B$8&gt;=5,FORSIDE!$F$8&gt;=4,FORSIDE!$B$5&gt;=3),"972 -&gt; 983","")</f>
        <v/>
      </c>
      <c r="C3154" t="str">
        <f>FORSIDE!$C$3</f>
        <v>S355, Stål / VFHUP 140x140x8.0</v>
      </c>
    </row>
    <row r="3155" spans="1:3" x14ac:dyDescent="0.3">
      <c r="A3155" t="str">
        <f>IF(AND(FORSIDE!$B$8&gt;=5,FORSIDE!$F$8&gt;=4,FORSIDE!$B$5&gt;=4),"S3154","")</f>
        <v/>
      </c>
      <c r="B3155" t="str">
        <f>IF(AND(FORSIDE!$B$8&gt;=5,FORSIDE!$F$8&gt;=4,FORSIDE!$B$5&gt;=4),"973 -&gt; 984","")</f>
        <v/>
      </c>
      <c r="C3155" t="str">
        <f>FORSIDE!$C$3</f>
        <v>S355, Stål / VFHUP 140x140x8.0</v>
      </c>
    </row>
    <row r="3156" spans="1:3" x14ac:dyDescent="0.3">
      <c r="A3156" t="str">
        <f>IF(AND(FORSIDE!$B$8&gt;=5,FORSIDE!$F$8&gt;=4,FORSIDE!$B$5&gt;=5),"S3155","")</f>
        <v/>
      </c>
      <c r="B3156" t="str">
        <f>IF(AND(FORSIDE!$B$8&gt;=5,FORSIDE!$F$8&gt;=4,FORSIDE!$B$5&gt;=5),"974 -&gt; 985","")</f>
        <v/>
      </c>
      <c r="C3156" t="str">
        <f>FORSIDE!$C$3</f>
        <v>S355, Stål / VFHUP 140x140x8.0</v>
      </c>
    </row>
    <row r="3157" spans="1:3" x14ac:dyDescent="0.3">
      <c r="A3157" t="str">
        <f>IF(AND(FORSIDE!$B$8&gt;=5,FORSIDE!$F$8&gt;=4,FORSIDE!$B$5&gt;=6),"S3156","")</f>
        <v/>
      </c>
      <c r="B3157" t="str">
        <f>IF(AND(FORSIDE!$B$8&gt;=5,FORSIDE!$F$8&gt;=4,FORSIDE!$B$5&gt;=6),"975 -&gt; 986","")</f>
        <v/>
      </c>
      <c r="C3157" t="str">
        <f>FORSIDE!$C$3</f>
        <v>S355, Stål / VFHUP 140x140x8.0</v>
      </c>
    </row>
    <row r="3158" spans="1:3" x14ac:dyDescent="0.3">
      <c r="A3158" t="str">
        <f>IF(AND(FORSIDE!$B$8&gt;=5,FORSIDE!$F$8&gt;=4,FORSIDE!$B$5&gt;=7),"S3157","")</f>
        <v/>
      </c>
      <c r="B3158" t="str">
        <f>IF(AND(FORSIDE!$B$8&gt;=5,FORSIDE!$F$8&gt;=4,FORSIDE!$B$5&gt;=7),"976 -&gt; 987","")</f>
        <v/>
      </c>
      <c r="C3158" t="str">
        <f>FORSIDE!$C$3</f>
        <v>S355, Stål / VFHUP 140x140x8.0</v>
      </c>
    </row>
    <row r="3159" spans="1:3" x14ac:dyDescent="0.3">
      <c r="A3159" t="str">
        <f>IF(AND(FORSIDE!$B$8&gt;=5,FORSIDE!$F$8&gt;=4,FORSIDE!$B$5&gt;=8),"S3158","")</f>
        <v/>
      </c>
      <c r="B3159" t="str">
        <f>IF(AND(FORSIDE!$B$8&gt;=5,FORSIDE!$F$8&gt;=4,FORSIDE!$B$5&gt;=8),"977 -&gt; 988","")</f>
        <v/>
      </c>
      <c r="C3159" t="str">
        <f>FORSIDE!$C$3</f>
        <v>S355, Stål / VFHUP 140x140x8.0</v>
      </c>
    </row>
    <row r="3160" spans="1:3" x14ac:dyDescent="0.3">
      <c r="A3160" t="str">
        <f>IF(AND(FORSIDE!$B$8&gt;=5,FORSIDE!$F$8&gt;=4,FORSIDE!$B$5&gt;=9),"S3159","")</f>
        <v/>
      </c>
      <c r="B3160" t="str">
        <f>IF(AND(FORSIDE!$B$8&gt;=5,FORSIDE!$F$8&gt;=4,FORSIDE!$B$5&gt;=9),"978 -&gt; 989","")</f>
        <v/>
      </c>
      <c r="C3160" t="str">
        <f>FORSIDE!$C$3</f>
        <v>S355, Stål / VFHUP 140x140x8.0</v>
      </c>
    </row>
    <row r="3161" spans="1:3" x14ac:dyDescent="0.3">
      <c r="A3161" t="str">
        <f>IF(AND(FORSIDE!$B$8&gt;=5,FORSIDE!$F$8&gt;=4,FORSIDE!$B$5&gt;=10),"S3160","")</f>
        <v/>
      </c>
      <c r="B3161" t="str">
        <f>IF(AND(FORSIDE!$B$8&gt;=5,FORSIDE!$F$8&gt;=4,FORSIDE!$B$5&gt;=10),"979 -&gt; 990","")</f>
        <v/>
      </c>
      <c r="C3161" t="str">
        <f>FORSIDE!$C$3</f>
        <v>S355, Stål / VFHUP 140x140x8.0</v>
      </c>
    </row>
    <row r="3162" spans="1:3" x14ac:dyDescent="0.3">
      <c r="A3162" t="str">
        <f>IF(AND(FORSIDE!$B$8&gt;=6,FORSIDE!$F$8&gt;=4,FORSIDE!$B$5&gt;=1),"S3161","")</f>
        <v/>
      </c>
      <c r="B3162" t="str">
        <f>IF(AND(FORSIDE!$B$8&gt;=6,FORSIDE!$F$8&gt;=4,FORSIDE!$B$5&gt;=1),"981 -&gt; 992","")</f>
        <v/>
      </c>
      <c r="C3162" t="str">
        <f>FORSIDE!$C$3</f>
        <v>S355, Stål / VFHUP 140x140x8.0</v>
      </c>
    </row>
    <row r="3163" spans="1:3" x14ac:dyDescent="0.3">
      <c r="A3163" t="str">
        <f>IF(AND(FORSIDE!$B$8&gt;=6,FORSIDE!$F$8&gt;=4,FORSIDE!$B$5&gt;=2),"S3162","")</f>
        <v/>
      </c>
      <c r="B3163" t="str">
        <f>IF(AND(FORSIDE!$B$8&gt;=6,FORSIDE!$F$8&gt;=4,FORSIDE!$B$5&gt;=2),"982 -&gt; 993","")</f>
        <v/>
      </c>
      <c r="C3163" t="str">
        <f>FORSIDE!$C$3</f>
        <v>S355, Stål / VFHUP 140x140x8.0</v>
      </c>
    </row>
    <row r="3164" spans="1:3" x14ac:dyDescent="0.3">
      <c r="A3164" t="str">
        <f>IF(AND(FORSIDE!$B$8&gt;=6,FORSIDE!$F$8&gt;=4,FORSIDE!$B$5&gt;=3),"S3163","")</f>
        <v/>
      </c>
      <c r="B3164" t="str">
        <f>IF(AND(FORSIDE!$B$8&gt;=6,FORSIDE!$F$8&gt;=4,FORSIDE!$B$5&gt;=3),"983 -&gt; 994","")</f>
        <v/>
      </c>
      <c r="C3164" t="str">
        <f>FORSIDE!$C$3</f>
        <v>S355, Stål / VFHUP 140x140x8.0</v>
      </c>
    </row>
    <row r="3165" spans="1:3" x14ac:dyDescent="0.3">
      <c r="A3165" t="str">
        <f>IF(AND(FORSIDE!$B$8&gt;=6,FORSIDE!$F$8&gt;=4,FORSIDE!$B$5&gt;=4),"S3164","")</f>
        <v/>
      </c>
      <c r="B3165" t="str">
        <f>IF(AND(FORSIDE!$B$8&gt;=6,FORSIDE!$F$8&gt;=4,FORSIDE!$B$5&gt;=4),"984 -&gt; 995","")</f>
        <v/>
      </c>
      <c r="C3165" t="str">
        <f>FORSIDE!$C$3</f>
        <v>S355, Stål / VFHUP 140x140x8.0</v>
      </c>
    </row>
    <row r="3166" spans="1:3" x14ac:dyDescent="0.3">
      <c r="A3166" t="str">
        <f>IF(AND(FORSIDE!$B$8&gt;=6,FORSIDE!$F$8&gt;=4,FORSIDE!$B$5&gt;=5),"S3165","")</f>
        <v/>
      </c>
      <c r="B3166" t="str">
        <f>IF(AND(FORSIDE!$B$8&gt;=6,FORSIDE!$F$8&gt;=4,FORSIDE!$B$5&gt;=5),"985 -&gt; 996","")</f>
        <v/>
      </c>
      <c r="C3166" t="str">
        <f>FORSIDE!$C$3</f>
        <v>S355, Stål / VFHUP 140x140x8.0</v>
      </c>
    </row>
    <row r="3167" spans="1:3" x14ac:dyDescent="0.3">
      <c r="A3167" t="str">
        <f>IF(AND(FORSIDE!$B$8&gt;=6,FORSIDE!$F$8&gt;=4,FORSIDE!$B$5&gt;=6),"S3166","")</f>
        <v/>
      </c>
      <c r="B3167" t="str">
        <f>IF(AND(FORSIDE!$B$8&gt;=6,FORSIDE!$F$8&gt;=4,FORSIDE!$B$5&gt;=6),"986 -&gt; 997","")</f>
        <v/>
      </c>
      <c r="C3167" t="str">
        <f>FORSIDE!$C$3</f>
        <v>S355, Stål / VFHUP 140x140x8.0</v>
      </c>
    </row>
    <row r="3168" spans="1:3" x14ac:dyDescent="0.3">
      <c r="A3168" t="str">
        <f>IF(AND(FORSIDE!$B$8&gt;=6,FORSIDE!$F$8&gt;=4,FORSIDE!$B$5&gt;=7),"S3167","")</f>
        <v/>
      </c>
      <c r="B3168" t="str">
        <f>IF(AND(FORSIDE!$B$8&gt;=6,FORSIDE!$F$8&gt;=4,FORSIDE!$B$5&gt;=7),"987 -&gt; 998","")</f>
        <v/>
      </c>
      <c r="C3168" t="str">
        <f>FORSIDE!$C$3</f>
        <v>S355, Stål / VFHUP 140x140x8.0</v>
      </c>
    </row>
    <row r="3169" spans="1:3" x14ac:dyDescent="0.3">
      <c r="A3169" t="str">
        <f>IF(AND(FORSIDE!$B$8&gt;=6,FORSIDE!$F$8&gt;=4,FORSIDE!$B$5&gt;=8),"S3168","")</f>
        <v/>
      </c>
      <c r="B3169" t="str">
        <f>IF(AND(FORSIDE!$B$8&gt;=6,FORSIDE!$F$8&gt;=4,FORSIDE!$B$5&gt;=8),"988 -&gt; 999","")</f>
        <v/>
      </c>
      <c r="C3169" t="str">
        <f>FORSIDE!$C$3</f>
        <v>S355, Stål / VFHUP 140x140x8.0</v>
      </c>
    </row>
    <row r="3170" spans="1:3" x14ac:dyDescent="0.3">
      <c r="A3170" t="str">
        <f>IF(AND(FORSIDE!$B$8&gt;=6,FORSIDE!$F$8&gt;=4,FORSIDE!$B$5&gt;=9),"S3169","")</f>
        <v/>
      </c>
      <c r="B3170" t="str">
        <f>IF(AND(FORSIDE!$B$8&gt;=6,FORSIDE!$F$8&gt;=4,FORSIDE!$B$5&gt;=9),"989 -&gt; 1000","")</f>
        <v/>
      </c>
      <c r="C3170" t="str">
        <f>FORSIDE!$C$3</f>
        <v>S355, Stål / VFHUP 140x140x8.0</v>
      </c>
    </row>
    <row r="3171" spans="1:3" x14ac:dyDescent="0.3">
      <c r="A3171" t="str">
        <f>IF(AND(FORSIDE!$B$8&gt;=6,FORSIDE!$F$8&gt;=4,FORSIDE!$B$5&gt;=10),"S3170","")</f>
        <v/>
      </c>
      <c r="B3171" t="str">
        <f>IF(AND(FORSIDE!$B$8&gt;=6,FORSIDE!$F$8&gt;=4,FORSIDE!$B$5&gt;=10),"990 -&gt; 1001","")</f>
        <v/>
      </c>
      <c r="C3171" t="str">
        <f>FORSIDE!$C$3</f>
        <v>S355, Stål / VFHUP 140x140x8.0</v>
      </c>
    </row>
    <row r="3172" spans="1:3" x14ac:dyDescent="0.3">
      <c r="A3172" t="str">
        <f>IF(AND(FORSIDE!$B$8&gt;=7,FORSIDE!$F$8&gt;=4,FORSIDE!$B$5&gt;=1),"S3171","")</f>
        <v/>
      </c>
      <c r="B3172" t="str">
        <f>IF(AND(FORSIDE!$B$8&gt;=7,FORSIDE!$F$8&gt;=4,FORSIDE!$B$5&gt;=1),"992 -&gt; 1003","")</f>
        <v/>
      </c>
      <c r="C3172" t="str">
        <f>FORSIDE!$C$3</f>
        <v>S355, Stål / VFHUP 140x140x8.0</v>
      </c>
    </row>
    <row r="3173" spans="1:3" x14ac:dyDescent="0.3">
      <c r="A3173" t="str">
        <f>IF(AND(FORSIDE!$B$8&gt;=7,FORSIDE!$F$8&gt;=4,FORSIDE!$B$5&gt;=2),"S3172","")</f>
        <v/>
      </c>
      <c r="B3173" t="str">
        <f>IF(AND(FORSIDE!$B$8&gt;=7,FORSIDE!$F$8&gt;=4,FORSIDE!$B$5&gt;=2),"993 -&gt; 1004","")</f>
        <v/>
      </c>
      <c r="C3173" t="str">
        <f>FORSIDE!$C$3</f>
        <v>S355, Stål / VFHUP 140x140x8.0</v>
      </c>
    </row>
    <row r="3174" spans="1:3" x14ac:dyDescent="0.3">
      <c r="A3174" t="str">
        <f>IF(AND(FORSIDE!$B$8&gt;=7,FORSIDE!$F$8&gt;=4,FORSIDE!$B$5&gt;=3),"S3173","")</f>
        <v/>
      </c>
      <c r="B3174" t="str">
        <f>IF(AND(FORSIDE!$B$8&gt;=7,FORSIDE!$F$8&gt;=4,FORSIDE!$B$5&gt;=3),"994 -&gt; 1005","")</f>
        <v/>
      </c>
      <c r="C3174" t="str">
        <f>FORSIDE!$C$3</f>
        <v>S355, Stål / VFHUP 140x140x8.0</v>
      </c>
    </row>
    <row r="3175" spans="1:3" x14ac:dyDescent="0.3">
      <c r="A3175" t="str">
        <f>IF(AND(FORSIDE!$B$8&gt;=7,FORSIDE!$F$8&gt;=4,FORSIDE!$B$5&gt;=4),"S3174","")</f>
        <v/>
      </c>
      <c r="B3175" t="str">
        <f>IF(AND(FORSIDE!$B$8&gt;=7,FORSIDE!$F$8&gt;=4,FORSIDE!$B$5&gt;=4),"995 -&gt; 1006","")</f>
        <v/>
      </c>
      <c r="C3175" t="str">
        <f>FORSIDE!$C$3</f>
        <v>S355, Stål / VFHUP 140x140x8.0</v>
      </c>
    </row>
    <row r="3176" spans="1:3" x14ac:dyDescent="0.3">
      <c r="A3176" t="str">
        <f>IF(AND(FORSIDE!$B$8&gt;=7,FORSIDE!$F$8&gt;=4,FORSIDE!$B$5&gt;=5),"S3175","")</f>
        <v/>
      </c>
      <c r="B3176" t="str">
        <f>IF(AND(FORSIDE!$B$8&gt;=7,FORSIDE!$F$8&gt;=4,FORSIDE!$B$5&gt;=5),"996 -&gt; 1007","")</f>
        <v/>
      </c>
      <c r="C3176" t="str">
        <f>FORSIDE!$C$3</f>
        <v>S355, Stål / VFHUP 140x140x8.0</v>
      </c>
    </row>
    <row r="3177" spans="1:3" x14ac:dyDescent="0.3">
      <c r="A3177" t="str">
        <f>IF(AND(FORSIDE!$B$8&gt;=7,FORSIDE!$F$8&gt;=4,FORSIDE!$B$5&gt;=6),"S3176","")</f>
        <v/>
      </c>
      <c r="B3177" t="str">
        <f>IF(AND(FORSIDE!$B$8&gt;=7,FORSIDE!$F$8&gt;=4,FORSIDE!$B$5&gt;=6),"997 -&gt; 1008","")</f>
        <v/>
      </c>
      <c r="C3177" t="str">
        <f>FORSIDE!$C$3</f>
        <v>S355, Stål / VFHUP 140x140x8.0</v>
      </c>
    </row>
    <row r="3178" spans="1:3" x14ac:dyDescent="0.3">
      <c r="A3178" t="str">
        <f>IF(AND(FORSIDE!$B$8&gt;=7,FORSIDE!$F$8&gt;=4,FORSIDE!$B$5&gt;=7),"S3177","")</f>
        <v/>
      </c>
      <c r="B3178" t="str">
        <f>IF(AND(FORSIDE!$B$8&gt;=7,FORSIDE!$F$8&gt;=4,FORSIDE!$B$5&gt;=7),"998 -&gt; 1009","")</f>
        <v/>
      </c>
      <c r="C3178" t="str">
        <f>FORSIDE!$C$3</f>
        <v>S355, Stål / VFHUP 140x140x8.0</v>
      </c>
    </row>
    <row r="3179" spans="1:3" x14ac:dyDescent="0.3">
      <c r="A3179" t="str">
        <f>IF(AND(FORSIDE!$B$8&gt;=7,FORSIDE!$F$8&gt;=4,FORSIDE!$B$5&gt;=8),"S3178","")</f>
        <v/>
      </c>
      <c r="B3179" t="str">
        <f>IF(AND(FORSIDE!$B$8&gt;=7,FORSIDE!$F$8&gt;=4,FORSIDE!$B$5&gt;=8),"999 -&gt; 1010","")</f>
        <v/>
      </c>
      <c r="C3179" t="str">
        <f>FORSIDE!$C$3</f>
        <v>S355, Stål / VFHUP 140x140x8.0</v>
      </c>
    </row>
    <row r="3180" spans="1:3" x14ac:dyDescent="0.3">
      <c r="A3180" t="str">
        <f>IF(AND(FORSIDE!$B$8&gt;=7,FORSIDE!$F$8&gt;=4,FORSIDE!$B$5&gt;=9),"S3179","")</f>
        <v/>
      </c>
      <c r="B3180" t="str">
        <f>IF(AND(FORSIDE!$B$8&gt;=7,FORSIDE!$F$8&gt;=4,FORSIDE!$B$5&gt;=9),"1000 -&gt; 1011","")</f>
        <v/>
      </c>
      <c r="C3180" t="str">
        <f>FORSIDE!$C$3</f>
        <v>S355, Stål / VFHUP 140x140x8.0</v>
      </c>
    </row>
    <row r="3181" spans="1:3" x14ac:dyDescent="0.3">
      <c r="A3181" t="str">
        <f>IF(AND(FORSIDE!$B$8&gt;=7,FORSIDE!$F$8&gt;=4,FORSIDE!$B$5&gt;=10),"S3180","")</f>
        <v/>
      </c>
      <c r="B3181" t="str">
        <f>IF(AND(FORSIDE!$B$8&gt;=7,FORSIDE!$F$8&gt;=4,FORSIDE!$B$5&gt;=10),"1001 -&gt; 1012","")</f>
        <v/>
      </c>
      <c r="C3181" t="str">
        <f>FORSIDE!$C$3</f>
        <v>S355, Stål / VFHUP 140x140x8.0</v>
      </c>
    </row>
    <row r="3182" spans="1:3" x14ac:dyDescent="0.3">
      <c r="A3182" t="str">
        <f>IF(AND(FORSIDE!$B$8&gt;=8,FORSIDE!$F$8&gt;=4,FORSIDE!$B$5&gt;=1),"S3181","")</f>
        <v/>
      </c>
      <c r="B3182" t="str">
        <f>IF(AND(FORSIDE!$B$8&gt;=8,FORSIDE!$F$8&gt;=4,FORSIDE!$B$5&gt;=1),"1003 -&gt; 1014","")</f>
        <v/>
      </c>
      <c r="C3182" t="str">
        <f>FORSIDE!$C$3</f>
        <v>S355, Stål / VFHUP 140x140x8.0</v>
      </c>
    </row>
    <row r="3183" spans="1:3" x14ac:dyDescent="0.3">
      <c r="A3183" t="str">
        <f>IF(AND(FORSIDE!$B$8&gt;=8,FORSIDE!$F$8&gt;=4,FORSIDE!$B$5&gt;=2),"S3182","")</f>
        <v/>
      </c>
      <c r="B3183" t="str">
        <f>IF(AND(FORSIDE!$B$8&gt;=8,FORSIDE!$F$8&gt;=4,FORSIDE!$B$5&gt;=2),"1004 -&gt; 1015","")</f>
        <v/>
      </c>
      <c r="C3183" t="str">
        <f>FORSIDE!$C$3</f>
        <v>S355, Stål / VFHUP 140x140x8.0</v>
      </c>
    </row>
    <row r="3184" spans="1:3" x14ac:dyDescent="0.3">
      <c r="A3184" t="str">
        <f>IF(AND(FORSIDE!$B$8&gt;=8,FORSIDE!$F$8&gt;=4,FORSIDE!$B$5&gt;=3),"S3183","")</f>
        <v/>
      </c>
      <c r="B3184" t="str">
        <f>IF(AND(FORSIDE!$B$8&gt;=8,FORSIDE!$F$8&gt;=4,FORSIDE!$B$5&gt;=3),"1005 -&gt; 1016","")</f>
        <v/>
      </c>
      <c r="C3184" t="str">
        <f>FORSIDE!$C$3</f>
        <v>S355, Stål / VFHUP 140x140x8.0</v>
      </c>
    </row>
    <row r="3185" spans="1:3" x14ac:dyDescent="0.3">
      <c r="A3185" t="str">
        <f>IF(AND(FORSIDE!$B$8&gt;=8,FORSIDE!$F$8&gt;=4,FORSIDE!$B$5&gt;=4),"S3184","")</f>
        <v/>
      </c>
      <c r="B3185" t="str">
        <f>IF(AND(FORSIDE!$B$8&gt;=8,FORSIDE!$F$8&gt;=4,FORSIDE!$B$5&gt;=4),"1006 -&gt; 1017","")</f>
        <v/>
      </c>
      <c r="C3185" t="str">
        <f>FORSIDE!$C$3</f>
        <v>S355, Stål / VFHUP 140x140x8.0</v>
      </c>
    </row>
    <row r="3186" spans="1:3" x14ac:dyDescent="0.3">
      <c r="A3186" t="str">
        <f>IF(AND(FORSIDE!$B$8&gt;=8,FORSIDE!$F$8&gt;=4,FORSIDE!$B$5&gt;=5),"S3185","")</f>
        <v/>
      </c>
      <c r="B3186" t="str">
        <f>IF(AND(FORSIDE!$B$8&gt;=8,FORSIDE!$F$8&gt;=4,FORSIDE!$B$5&gt;=5),"1007 -&gt; 1018","")</f>
        <v/>
      </c>
      <c r="C3186" t="str">
        <f>FORSIDE!$C$3</f>
        <v>S355, Stål / VFHUP 140x140x8.0</v>
      </c>
    </row>
    <row r="3187" spans="1:3" x14ac:dyDescent="0.3">
      <c r="A3187" t="str">
        <f>IF(AND(FORSIDE!$B$8&gt;=8,FORSIDE!$F$8&gt;=4,FORSIDE!$B$5&gt;=6),"S3186","")</f>
        <v/>
      </c>
      <c r="B3187" t="str">
        <f>IF(AND(FORSIDE!$B$8&gt;=8,FORSIDE!$F$8&gt;=4,FORSIDE!$B$5&gt;=6),"1008 -&gt; 1019","")</f>
        <v/>
      </c>
      <c r="C3187" t="str">
        <f>FORSIDE!$C$3</f>
        <v>S355, Stål / VFHUP 140x140x8.0</v>
      </c>
    </row>
    <row r="3188" spans="1:3" x14ac:dyDescent="0.3">
      <c r="A3188" t="str">
        <f>IF(AND(FORSIDE!$B$8&gt;=8,FORSIDE!$F$8&gt;=4,FORSIDE!$B$5&gt;=7),"S3187","")</f>
        <v/>
      </c>
      <c r="B3188" t="str">
        <f>IF(AND(FORSIDE!$B$8&gt;=8,FORSIDE!$F$8&gt;=4,FORSIDE!$B$5&gt;=7),"1009 -&gt; 1020","")</f>
        <v/>
      </c>
      <c r="C3188" t="str">
        <f>FORSIDE!$C$3</f>
        <v>S355, Stål / VFHUP 140x140x8.0</v>
      </c>
    </row>
    <row r="3189" spans="1:3" x14ac:dyDescent="0.3">
      <c r="A3189" t="str">
        <f>IF(AND(FORSIDE!$B$8&gt;=8,FORSIDE!$F$8&gt;=4,FORSIDE!$B$5&gt;=8),"S3188","")</f>
        <v/>
      </c>
      <c r="B3189" t="str">
        <f>IF(AND(FORSIDE!$B$8&gt;=8,FORSIDE!$F$8&gt;=4,FORSIDE!$B$5&gt;=8),"1010 -&gt; 1021","")</f>
        <v/>
      </c>
      <c r="C3189" t="str">
        <f>FORSIDE!$C$3</f>
        <v>S355, Stål / VFHUP 140x140x8.0</v>
      </c>
    </row>
    <row r="3190" spans="1:3" x14ac:dyDescent="0.3">
      <c r="A3190" t="str">
        <f>IF(AND(FORSIDE!$B$8&gt;=8,FORSIDE!$F$8&gt;=4,FORSIDE!$B$5&gt;=9),"S3189","")</f>
        <v/>
      </c>
      <c r="B3190" t="str">
        <f>IF(AND(FORSIDE!$B$8&gt;=8,FORSIDE!$F$8&gt;=4,FORSIDE!$B$5&gt;=9),"1011 -&gt; 1022","")</f>
        <v/>
      </c>
      <c r="C3190" t="str">
        <f>FORSIDE!$C$3</f>
        <v>S355, Stål / VFHUP 140x140x8.0</v>
      </c>
    </row>
    <row r="3191" spans="1:3" x14ac:dyDescent="0.3">
      <c r="A3191" t="str">
        <f>IF(AND(FORSIDE!$B$8&gt;=8,FORSIDE!$F$8&gt;=4,FORSIDE!$B$5&gt;=10),"S3190","")</f>
        <v/>
      </c>
      <c r="B3191" t="str">
        <f>IF(AND(FORSIDE!$B$8&gt;=8,FORSIDE!$F$8&gt;=4,FORSIDE!$B$5&gt;=10),"1012 -&gt; 1023","")</f>
        <v/>
      </c>
      <c r="C3191" t="str">
        <f>FORSIDE!$C$3</f>
        <v>S355, Stål / VFHUP 140x140x8.0</v>
      </c>
    </row>
    <row r="3192" spans="1:3" x14ac:dyDescent="0.3">
      <c r="A3192" t="str">
        <f>IF(AND(FORSIDE!$B$8&gt;=9,FORSIDE!$F$8&gt;=4,FORSIDE!$B$5&gt;=1),"S3191","")</f>
        <v/>
      </c>
      <c r="B3192" t="str">
        <f>IF(AND(FORSIDE!$B$8&gt;=9,FORSIDE!$F$8&gt;=4,FORSIDE!$B$5&gt;=1),"1014 -&gt; 1025","")</f>
        <v/>
      </c>
      <c r="C3192" t="str">
        <f>FORSIDE!$C$3</f>
        <v>S355, Stål / VFHUP 140x140x8.0</v>
      </c>
    </row>
    <row r="3193" spans="1:3" x14ac:dyDescent="0.3">
      <c r="A3193" t="str">
        <f>IF(AND(FORSIDE!$B$8&gt;=9,FORSIDE!$F$8&gt;=4,FORSIDE!$B$5&gt;=2),"S3192","")</f>
        <v/>
      </c>
      <c r="B3193" t="str">
        <f>IF(AND(FORSIDE!$B$8&gt;=9,FORSIDE!$F$8&gt;=4,FORSIDE!$B$5&gt;=2),"1015 -&gt; 1026","")</f>
        <v/>
      </c>
      <c r="C3193" t="str">
        <f>FORSIDE!$C$3</f>
        <v>S355, Stål / VFHUP 140x140x8.0</v>
      </c>
    </row>
    <row r="3194" spans="1:3" x14ac:dyDescent="0.3">
      <c r="A3194" t="str">
        <f>IF(AND(FORSIDE!$B$8&gt;=9,FORSIDE!$F$8&gt;=4,FORSIDE!$B$5&gt;=3),"S3193","")</f>
        <v/>
      </c>
      <c r="B3194" t="str">
        <f>IF(AND(FORSIDE!$B$8&gt;=9,FORSIDE!$F$8&gt;=4,FORSIDE!$B$5&gt;=3),"1016 -&gt; 1027","")</f>
        <v/>
      </c>
      <c r="C3194" t="str">
        <f>FORSIDE!$C$3</f>
        <v>S355, Stål / VFHUP 140x140x8.0</v>
      </c>
    </row>
    <row r="3195" spans="1:3" x14ac:dyDescent="0.3">
      <c r="A3195" t="str">
        <f>IF(AND(FORSIDE!$B$8&gt;=9,FORSIDE!$F$8&gt;=4,FORSIDE!$B$5&gt;=4),"S3194","")</f>
        <v/>
      </c>
      <c r="B3195" t="str">
        <f>IF(AND(FORSIDE!$B$8&gt;=9,FORSIDE!$F$8&gt;=4,FORSIDE!$B$5&gt;=4),"1017 -&gt; 1028","")</f>
        <v/>
      </c>
      <c r="C3195" t="str">
        <f>FORSIDE!$C$3</f>
        <v>S355, Stål / VFHUP 140x140x8.0</v>
      </c>
    </row>
    <row r="3196" spans="1:3" x14ac:dyDescent="0.3">
      <c r="A3196" t="str">
        <f>IF(AND(FORSIDE!$B$8&gt;=9,FORSIDE!$F$8&gt;=4,FORSIDE!$B$5&gt;=5),"S3195","")</f>
        <v/>
      </c>
      <c r="B3196" t="str">
        <f>IF(AND(FORSIDE!$B$8&gt;=9,FORSIDE!$F$8&gt;=4,FORSIDE!$B$5&gt;=5),"1018 -&gt; 1029","")</f>
        <v/>
      </c>
      <c r="C3196" t="str">
        <f>FORSIDE!$C$3</f>
        <v>S355, Stål / VFHUP 140x140x8.0</v>
      </c>
    </row>
    <row r="3197" spans="1:3" x14ac:dyDescent="0.3">
      <c r="A3197" t="str">
        <f>IF(AND(FORSIDE!$B$8&gt;=9,FORSIDE!$F$8&gt;=4,FORSIDE!$B$5&gt;=6),"S3196","")</f>
        <v/>
      </c>
      <c r="B3197" t="str">
        <f>IF(AND(FORSIDE!$B$8&gt;=9,FORSIDE!$F$8&gt;=4,FORSIDE!$B$5&gt;=6),"1019 -&gt; 1030","")</f>
        <v/>
      </c>
      <c r="C3197" t="str">
        <f>FORSIDE!$C$3</f>
        <v>S355, Stål / VFHUP 140x140x8.0</v>
      </c>
    </row>
    <row r="3198" spans="1:3" x14ac:dyDescent="0.3">
      <c r="A3198" t="str">
        <f>IF(AND(FORSIDE!$B$8&gt;=9,FORSIDE!$F$8&gt;=4,FORSIDE!$B$5&gt;=7),"S3197","")</f>
        <v/>
      </c>
      <c r="B3198" t="str">
        <f>IF(AND(FORSIDE!$B$8&gt;=9,FORSIDE!$F$8&gt;=4,FORSIDE!$B$5&gt;=7),"1020 -&gt; 1031","")</f>
        <v/>
      </c>
      <c r="C3198" t="str">
        <f>FORSIDE!$C$3</f>
        <v>S355, Stål / VFHUP 140x140x8.0</v>
      </c>
    </row>
    <row r="3199" spans="1:3" x14ac:dyDescent="0.3">
      <c r="A3199" t="str">
        <f>IF(AND(FORSIDE!$B$8&gt;=9,FORSIDE!$F$8&gt;=4,FORSIDE!$B$5&gt;=8),"S3198","")</f>
        <v/>
      </c>
      <c r="B3199" t="str">
        <f>IF(AND(FORSIDE!$B$8&gt;=9,FORSIDE!$F$8&gt;=4,FORSIDE!$B$5&gt;=8),"1021 -&gt; 1032","")</f>
        <v/>
      </c>
      <c r="C3199" t="str">
        <f>FORSIDE!$C$3</f>
        <v>S355, Stål / VFHUP 140x140x8.0</v>
      </c>
    </row>
    <row r="3200" spans="1:3" x14ac:dyDescent="0.3">
      <c r="A3200" t="str">
        <f>IF(AND(FORSIDE!$B$8&gt;=9,FORSIDE!$F$8&gt;=4,FORSIDE!$B$5&gt;=9),"S3199","")</f>
        <v/>
      </c>
      <c r="B3200" t="str">
        <f>IF(AND(FORSIDE!$B$8&gt;=9,FORSIDE!$F$8&gt;=4,FORSIDE!$B$5&gt;=9),"1022 -&gt; 1033","")</f>
        <v/>
      </c>
      <c r="C3200" t="str">
        <f>FORSIDE!$C$3</f>
        <v>S355, Stål / VFHUP 140x140x8.0</v>
      </c>
    </row>
    <row r="3201" spans="1:3" x14ac:dyDescent="0.3">
      <c r="A3201" t="str">
        <f>IF(AND(FORSIDE!$B$8&gt;=9,FORSIDE!$F$8&gt;=4,FORSIDE!$B$5&gt;=10),"S3200","")</f>
        <v/>
      </c>
      <c r="B3201" t="str">
        <f>IF(AND(FORSIDE!$B$8&gt;=9,FORSIDE!$F$8&gt;=4,FORSIDE!$B$5&gt;=10),"1023 -&gt; 1034","")</f>
        <v/>
      </c>
      <c r="C3201" t="str">
        <f>FORSIDE!$C$3</f>
        <v>S355, Stål / VFHUP 140x140x8.0</v>
      </c>
    </row>
    <row r="3202" spans="1:3" x14ac:dyDescent="0.3">
      <c r="A3202" t="str">
        <f>IF(AND(FORSIDE!$B$8&gt;=10,FORSIDE!$F$8&gt;=4,FORSIDE!$B$5&gt;=1),"S3201","")</f>
        <v/>
      </c>
      <c r="B3202" t="str">
        <f>IF(AND(FORSIDE!$B$8&gt;=10,FORSIDE!$F$8&gt;=4,FORSIDE!$B$5&gt;=1),"1025 -&gt; 1036","")</f>
        <v/>
      </c>
      <c r="C3202" t="str">
        <f>FORSIDE!$C$3</f>
        <v>S355, Stål / VFHUP 140x140x8.0</v>
      </c>
    </row>
    <row r="3203" spans="1:3" x14ac:dyDescent="0.3">
      <c r="A3203" t="str">
        <f>IF(AND(FORSIDE!$B$8&gt;=10,FORSIDE!$F$8&gt;=4,FORSIDE!$B$5&gt;=2),"S3202","")</f>
        <v/>
      </c>
      <c r="B3203" t="str">
        <f>IF(AND(FORSIDE!$B$8&gt;=10,FORSIDE!$F$8&gt;=4,FORSIDE!$B$5&gt;=2),"1026 -&gt; 1037","")</f>
        <v/>
      </c>
      <c r="C3203" t="str">
        <f>FORSIDE!$C$3</f>
        <v>S355, Stål / VFHUP 140x140x8.0</v>
      </c>
    </row>
    <row r="3204" spans="1:3" x14ac:dyDescent="0.3">
      <c r="A3204" t="str">
        <f>IF(AND(FORSIDE!$B$8&gt;=10,FORSIDE!$F$8&gt;=4,FORSIDE!$B$5&gt;=3),"S3203","")</f>
        <v/>
      </c>
      <c r="B3204" t="str">
        <f>IF(AND(FORSIDE!$B$8&gt;=10,FORSIDE!$F$8&gt;=4,FORSIDE!$B$5&gt;=3),"1027 -&gt; 1038","")</f>
        <v/>
      </c>
      <c r="C3204" t="str">
        <f>FORSIDE!$C$3</f>
        <v>S355, Stål / VFHUP 140x140x8.0</v>
      </c>
    </row>
    <row r="3205" spans="1:3" x14ac:dyDescent="0.3">
      <c r="A3205" t="str">
        <f>IF(AND(FORSIDE!$B$8&gt;=10,FORSIDE!$F$8&gt;=4,FORSIDE!$B$5&gt;=4),"S3204","")</f>
        <v/>
      </c>
      <c r="B3205" t="str">
        <f>IF(AND(FORSIDE!$B$8&gt;=10,FORSIDE!$F$8&gt;=4,FORSIDE!$B$5&gt;=4),"1028 -&gt; 1039","")</f>
        <v/>
      </c>
      <c r="C3205" t="str">
        <f>FORSIDE!$C$3</f>
        <v>S355, Stål / VFHUP 140x140x8.0</v>
      </c>
    </row>
    <row r="3206" spans="1:3" x14ac:dyDescent="0.3">
      <c r="A3206" t="str">
        <f>IF(AND(FORSIDE!$B$8&gt;=10,FORSIDE!$F$8&gt;=4,FORSIDE!$B$5&gt;=5),"S3205","")</f>
        <v/>
      </c>
      <c r="B3206" t="str">
        <f>IF(AND(FORSIDE!$B$8&gt;=10,FORSIDE!$F$8&gt;=4,FORSIDE!$B$5&gt;=5),"1029 -&gt; 1040","")</f>
        <v/>
      </c>
      <c r="C3206" t="str">
        <f>FORSIDE!$C$3</f>
        <v>S355, Stål / VFHUP 140x140x8.0</v>
      </c>
    </row>
    <row r="3207" spans="1:3" x14ac:dyDescent="0.3">
      <c r="A3207" t="str">
        <f>IF(AND(FORSIDE!$B$8&gt;=10,FORSIDE!$F$8&gt;=4,FORSIDE!$B$5&gt;=6),"S3206","")</f>
        <v/>
      </c>
      <c r="B3207" t="str">
        <f>IF(AND(FORSIDE!$B$8&gt;=10,FORSIDE!$F$8&gt;=4,FORSIDE!$B$5&gt;=6),"1030 -&gt; 1041","")</f>
        <v/>
      </c>
      <c r="C3207" t="str">
        <f>FORSIDE!$C$3</f>
        <v>S355, Stål / VFHUP 140x140x8.0</v>
      </c>
    </row>
    <row r="3208" spans="1:3" x14ac:dyDescent="0.3">
      <c r="A3208" t="str">
        <f>IF(AND(FORSIDE!$B$8&gt;=10,FORSIDE!$F$8&gt;=4,FORSIDE!$B$5&gt;=7),"S3207","")</f>
        <v/>
      </c>
      <c r="B3208" t="str">
        <f>IF(AND(FORSIDE!$B$8&gt;=10,FORSIDE!$F$8&gt;=4,FORSIDE!$B$5&gt;=7),"1031 -&gt; 1042","")</f>
        <v/>
      </c>
      <c r="C3208" t="str">
        <f>FORSIDE!$C$3</f>
        <v>S355, Stål / VFHUP 140x140x8.0</v>
      </c>
    </row>
    <row r="3209" spans="1:3" x14ac:dyDescent="0.3">
      <c r="A3209" t="str">
        <f>IF(AND(FORSIDE!$B$8&gt;=10,FORSIDE!$F$8&gt;=4,FORSIDE!$B$5&gt;=8),"S3208","")</f>
        <v/>
      </c>
      <c r="B3209" t="str">
        <f>IF(AND(FORSIDE!$B$8&gt;=10,FORSIDE!$F$8&gt;=4,FORSIDE!$B$5&gt;=8),"1032 -&gt; 1043","")</f>
        <v/>
      </c>
      <c r="C3209" t="str">
        <f>FORSIDE!$C$3</f>
        <v>S355, Stål / VFHUP 140x140x8.0</v>
      </c>
    </row>
    <row r="3210" spans="1:3" x14ac:dyDescent="0.3">
      <c r="A3210" t="str">
        <f>IF(AND(FORSIDE!$B$8&gt;=10,FORSIDE!$F$8&gt;=4,FORSIDE!$B$5&gt;=9),"S3209","")</f>
        <v/>
      </c>
      <c r="B3210" t="str">
        <f>IF(AND(FORSIDE!$B$8&gt;=10,FORSIDE!$F$8&gt;=4,FORSIDE!$B$5&gt;=9),"1033 -&gt; 1044","")</f>
        <v/>
      </c>
      <c r="C3210" t="str">
        <f>FORSIDE!$C$3</f>
        <v>S355, Stål / VFHUP 140x140x8.0</v>
      </c>
    </row>
    <row r="3211" spans="1:3" x14ac:dyDescent="0.3">
      <c r="A3211" t="str">
        <f>IF(AND(FORSIDE!$B$8&gt;=10,FORSIDE!$F$8&gt;=4,FORSIDE!$B$5&gt;=10),"S3210","")</f>
        <v/>
      </c>
      <c r="B3211" t="str">
        <f>IF(AND(FORSIDE!$B$8&gt;=10,FORSIDE!$F$8&gt;=4,FORSIDE!$B$5&gt;=10),"1034 -&gt; 1045","")</f>
        <v/>
      </c>
      <c r="C3211" t="str">
        <f>FORSIDE!$C$3</f>
        <v>S355, Stål / VFHUP 140x140x8.0</v>
      </c>
    </row>
    <row r="3212" spans="1:3" x14ac:dyDescent="0.3">
      <c r="A3212" t="str">
        <f>IF(AND(FORSIDE!$B$8&gt;=11,FORSIDE!$F$8&gt;=4,FORSIDE!$B$5&gt;=1),"S3211","")</f>
        <v/>
      </c>
      <c r="B3212" t="str">
        <f>IF(AND(FORSIDE!$B$8&gt;=11,FORSIDE!$F$8&gt;=4,FORSIDE!$B$5&gt;=1),"1036 -&gt; 1047","")</f>
        <v/>
      </c>
      <c r="C3212" t="str">
        <f>FORSIDE!$C$3</f>
        <v>S355, Stål / VFHUP 140x140x8.0</v>
      </c>
    </row>
    <row r="3213" spans="1:3" x14ac:dyDescent="0.3">
      <c r="A3213" t="str">
        <f>IF(AND(FORSIDE!$B$8&gt;=11,FORSIDE!$F$8&gt;=4,FORSIDE!$B$5&gt;=2),"S3212","")</f>
        <v/>
      </c>
      <c r="B3213" t="str">
        <f>IF(AND(FORSIDE!$B$8&gt;=11,FORSIDE!$F$8&gt;=4,FORSIDE!$B$5&gt;=2),"1037 -&gt; 1048","")</f>
        <v/>
      </c>
      <c r="C3213" t="str">
        <f>FORSIDE!$C$3</f>
        <v>S355, Stål / VFHUP 140x140x8.0</v>
      </c>
    </row>
    <row r="3214" spans="1:3" x14ac:dyDescent="0.3">
      <c r="A3214" t="str">
        <f>IF(AND(FORSIDE!$B$8&gt;=11,FORSIDE!$F$8&gt;=4,FORSIDE!$B$5&gt;=3),"S3213","")</f>
        <v/>
      </c>
      <c r="B3214" t="str">
        <f>IF(AND(FORSIDE!$B$8&gt;=11,FORSIDE!$F$8&gt;=4,FORSIDE!$B$5&gt;=3),"1038 -&gt; 1049","")</f>
        <v/>
      </c>
      <c r="C3214" t="str">
        <f>FORSIDE!$C$3</f>
        <v>S355, Stål / VFHUP 140x140x8.0</v>
      </c>
    </row>
    <row r="3215" spans="1:3" x14ac:dyDescent="0.3">
      <c r="A3215" t="str">
        <f>IF(AND(FORSIDE!$B$8&gt;=11,FORSIDE!$F$8&gt;=4,FORSIDE!$B$5&gt;=4),"S3214","")</f>
        <v/>
      </c>
      <c r="B3215" t="str">
        <f>IF(AND(FORSIDE!$B$8&gt;=11,FORSIDE!$F$8&gt;=4,FORSIDE!$B$5&gt;=4),"1039 -&gt; 1050","")</f>
        <v/>
      </c>
      <c r="C3215" t="str">
        <f>FORSIDE!$C$3</f>
        <v>S355, Stål / VFHUP 140x140x8.0</v>
      </c>
    </row>
    <row r="3216" spans="1:3" x14ac:dyDescent="0.3">
      <c r="A3216" t="str">
        <f>IF(AND(FORSIDE!$B$8&gt;=11,FORSIDE!$F$8&gt;=4,FORSIDE!$B$5&gt;=5),"S3215","")</f>
        <v/>
      </c>
      <c r="B3216" t="str">
        <f>IF(AND(FORSIDE!$B$8&gt;=11,FORSIDE!$F$8&gt;=4,FORSIDE!$B$5&gt;=5),"1040 -&gt; 1051","")</f>
        <v/>
      </c>
      <c r="C3216" t="str">
        <f>FORSIDE!$C$3</f>
        <v>S355, Stål / VFHUP 140x140x8.0</v>
      </c>
    </row>
    <row r="3217" spans="1:3" x14ac:dyDescent="0.3">
      <c r="A3217" t="str">
        <f>IF(AND(FORSIDE!$B$8&gt;=11,FORSIDE!$F$8&gt;=4,FORSIDE!$B$5&gt;=6),"S3216","")</f>
        <v/>
      </c>
      <c r="B3217" t="str">
        <f>IF(AND(FORSIDE!$B$8&gt;=11,FORSIDE!$F$8&gt;=4,FORSIDE!$B$5&gt;=6),"1041 -&gt; 1052","")</f>
        <v/>
      </c>
      <c r="C3217" t="str">
        <f>FORSIDE!$C$3</f>
        <v>S355, Stål / VFHUP 140x140x8.0</v>
      </c>
    </row>
    <row r="3218" spans="1:3" x14ac:dyDescent="0.3">
      <c r="A3218" t="str">
        <f>IF(AND(FORSIDE!$B$8&gt;=11,FORSIDE!$F$8&gt;=4,FORSIDE!$B$5&gt;=7),"S3217","")</f>
        <v/>
      </c>
      <c r="B3218" t="str">
        <f>IF(AND(FORSIDE!$B$8&gt;=11,FORSIDE!$F$8&gt;=4,FORSIDE!$B$5&gt;=7),"1042 -&gt; 1053","")</f>
        <v/>
      </c>
      <c r="C3218" t="str">
        <f>FORSIDE!$C$3</f>
        <v>S355, Stål / VFHUP 140x140x8.0</v>
      </c>
    </row>
    <row r="3219" spans="1:3" x14ac:dyDescent="0.3">
      <c r="A3219" t="str">
        <f>IF(AND(FORSIDE!$B$8&gt;=11,FORSIDE!$F$8&gt;=4,FORSIDE!$B$5&gt;=8),"S3218","")</f>
        <v/>
      </c>
      <c r="B3219" t="str">
        <f>IF(AND(FORSIDE!$B$8&gt;=11,FORSIDE!$F$8&gt;=4,FORSIDE!$B$5&gt;=8),"1043 -&gt; 1054","")</f>
        <v/>
      </c>
      <c r="C3219" t="str">
        <f>FORSIDE!$C$3</f>
        <v>S355, Stål / VFHUP 140x140x8.0</v>
      </c>
    </row>
    <row r="3220" spans="1:3" x14ac:dyDescent="0.3">
      <c r="A3220" t="str">
        <f>IF(AND(FORSIDE!$B$8&gt;=11,FORSIDE!$F$8&gt;=4,FORSIDE!$B$5&gt;=9),"S3219","")</f>
        <v/>
      </c>
      <c r="B3220" t="str">
        <f>IF(AND(FORSIDE!$B$8&gt;=11,FORSIDE!$F$8&gt;=4,FORSIDE!$B$5&gt;=9),"1044 -&gt; 1055","")</f>
        <v/>
      </c>
      <c r="C3220" t="str">
        <f>FORSIDE!$C$3</f>
        <v>S355, Stål / VFHUP 140x140x8.0</v>
      </c>
    </row>
    <row r="3221" spans="1:3" x14ac:dyDescent="0.3">
      <c r="A3221" t="str">
        <f>IF(AND(FORSIDE!$B$8&gt;=11,FORSIDE!$F$8&gt;=4,FORSIDE!$B$5&gt;=10),"S3220","")</f>
        <v/>
      </c>
      <c r="B3221" t="str">
        <f>IF(AND(FORSIDE!$B$8&gt;=11,FORSIDE!$F$8&gt;=4,FORSIDE!$B$5&gt;=10),"1045 -&gt; 1056","")</f>
        <v/>
      </c>
      <c r="C3221" t="str">
        <f>FORSIDE!$C$3</f>
        <v>S355, Stål / VFHUP 140x140x8.0</v>
      </c>
    </row>
    <row r="3222" spans="1:3" x14ac:dyDescent="0.3">
      <c r="A3222" t="str">
        <f>IF(AND(FORSIDE!$B$8&gt;=12,FORSIDE!$F$8&gt;=4,FORSIDE!$B$5&gt;=1),"S3221","")</f>
        <v/>
      </c>
      <c r="B3222" t="str">
        <f>IF(AND(FORSIDE!$B$8&gt;=12,FORSIDE!$F$8&gt;=4,FORSIDE!$B$5&gt;=1),"1047 -&gt; 1058","")</f>
        <v/>
      </c>
      <c r="C3222" t="str">
        <f>FORSIDE!$C$3</f>
        <v>S355, Stål / VFHUP 140x140x8.0</v>
      </c>
    </row>
    <row r="3223" spans="1:3" x14ac:dyDescent="0.3">
      <c r="A3223" t="str">
        <f>IF(AND(FORSIDE!$B$8&gt;=12,FORSIDE!$F$8&gt;=4,FORSIDE!$B$5&gt;=2),"S3222","")</f>
        <v/>
      </c>
      <c r="B3223" t="str">
        <f>IF(AND(FORSIDE!$B$8&gt;=12,FORSIDE!$F$8&gt;=4,FORSIDE!$B$5&gt;=2),"1048 -&gt; 1059","")</f>
        <v/>
      </c>
      <c r="C3223" t="str">
        <f>FORSIDE!$C$3</f>
        <v>S355, Stål / VFHUP 140x140x8.0</v>
      </c>
    </row>
    <row r="3224" spans="1:3" x14ac:dyDescent="0.3">
      <c r="A3224" t="str">
        <f>IF(AND(FORSIDE!$B$8&gt;=12,FORSIDE!$F$8&gt;=4,FORSIDE!$B$5&gt;=3),"S3223","")</f>
        <v/>
      </c>
      <c r="B3224" t="str">
        <f>IF(AND(FORSIDE!$B$8&gt;=12,FORSIDE!$F$8&gt;=4,FORSIDE!$B$5&gt;=3),"1049 -&gt; 1060","")</f>
        <v/>
      </c>
      <c r="C3224" t="str">
        <f>FORSIDE!$C$3</f>
        <v>S355, Stål / VFHUP 140x140x8.0</v>
      </c>
    </row>
    <row r="3225" spans="1:3" x14ac:dyDescent="0.3">
      <c r="A3225" t="str">
        <f>IF(AND(FORSIDE!$B$8&gt;=12,FORSIDE!$F$8&gt;=4,FORSIDE!$B$5&gt;=4),"S3224","")</f>
        <v/>
      </c>
      <c r="B3225" t="str">
        <f>IF(AND(FORSIDE!$B$8&gt;=12,FORSIDE!$F$8&gt;=4,FORSIDE!$B$5&gt;=4),"1050 -&gt; 1061","")</f>
        <v/>
      </c>
      <c r="C3225" t="str">
        <f>FORSIDE!$C$3</f>
        <v>S355, Stål / VFHUP 140x140x8.0</v>
      </c>
    </row>
    <row r="3226" spans="1:3" x14ac:dyDescent="0.3">
      <c r="A3226" t="str">
        <f>IF(AND(FORSIDE!$B$8&gt;=12,FORSIDE!$F$8&gt;=4,FORSIDE!$B$5&gt;=5),"S3225","")</f>
        <v/>
      </c>
      <c r="B3226" t="str">
        <f>IF(AND(FORSIDE!$B$8&gt;=12,FORSIDE!$F$8&gt;=4,FORSIDE!$B$5&gt;=5),"1051 -&gt; 1062","")</f>
        <v/>
      </c>
      <c r="C3226" t="str">
        <f>FORSIDE!$C$3</f>
        <v>S355, Stål / VFHUP 140x140x8.0</v>
      </c>
    </row>
    <row r="3227" spans="1:3" x14ac:dyDescent="0.3">
      <c r="A3227" t="str">
        <f>IF(AND(FORSIDE!$B$8&gt;=12,FORSIDE!$F$8&gt;=4,FORSIDE!$B$5&gt;=6),"S3226","")</f>
        <v/>
      </c>
      <c r="B3227" t="str">
        <f>IF(AND(FORSIDE!$B$8&gt;=12,FORSIDE!$F$8&gt;=4,FORSIDE!$B$5&gt;=6),"1052 -&gt; 1063","")</f>
        <v/>
      </c>
      <c r="C3227" t="str">
        <f>FORSIDE!$C$3</f>
        <v>S355, Stål / VFHUP 140x140x8.0</v>
      </c>
    </row>
    <row r="3228" spans="1:3" x14ac:dyDescent="0.3">
      <c r="A3228" t="str">
        <f>IF(AND(FORSIDE!$B$8&gt;=12,FORSIDE!$F$8&gt;=4,FORSIDE!$B$5&gt;=7),"S3227","")</f>
        <v/>
      </c>
      <c r="B3228" t="str">
        <f>IF(AND(FORSIDE!$B$8&gt;=12,FORSIDE!$F$8&gt;=4,FORSIDE!$B$5&gt;=7),"1053 -&gt; 1064","")</f>
        <v/>
      </c>
      <c r="C3228" t="str">
        <f>FORSIDE!$C$3</f>
        <v>S355, Stål / VFHUP 140x140x8.0</v>
      </c>
    </row>
    <row r="3229" spans="1:3" x14ac:dyDescent="0.3">
      <c r="A3229" t="str">
        <f>IF(AND(FORSIDE!$B$8&gt;=12,FORSIDE!$F$8&gt;=4,FORSIDE!$B$5&gt;=8),"S3228","")</f>
        <v/>
      </c>
      <c r="B3229" t="str">
        <f>IF(AND(FORSIDE!$B$8&gt;=12,FORSIDE!$F$8&gt;=4,FORSIDE!$B$5&gt;=8),"1054 -&gt; 1065","")</f>
        <v/>
      </c>
      <c r="C3229" t="str">
        <f>FORSIDE!$C$3</f>
        <v>S355, Stål / VFHUP 140x140x8.0</v>
      </c>
    </row>
    <row r="3230" spans="1:3" x14ac:dyDescent="0.3">
      <c r="A3230" t="str">
        <f>IF(AND(FORSIDE!$B$8&gt;=12,FORSIDE!$F$8&gt;=4,FORSIDE!$B$5&gt;=9),"S3229","")</f>
        <v/>
      </c>
      <c r="B3230" t="str">
        <f>IF(AND(FORSIDE!$B$8&gt;=12,FORSIDE!$F$8&gt;=4,FORSIDE!$B$5&gt;=9),"1055 -&gt; 1066","")</f>
        <v/>
      </c>
      <c r="C3230" t="str">
        <f>FORSIDE!$C$3</f>
        <v>S355, Stål / VFHUP 140x140x8.0</v>
      </c>
    </row>
    <row r="3231" spans="1:3" x14ac:dyDescent="0.3">
      <c r="A3231" t="str">
        <f>IF(AND(FORSIDE!$B$8&gt;=12,FORSIDE!$F$8&gt;=4,FORSIDE!$B$5&gt;=10),"S3230","")</f>
        <v/>
      </c>
      <c r="B3231" t="str">
        <f>IF(AND(FORSIDE!$B$8&gt;=12,FORSIDE!$F$8&gt;=4,FORSIDE!$B$5&gt;=10),"1056 -&gt; 1067","")</f>
        <v/>
      </c>
      <c r="C3231" t="str">
        <f>FORSIDE!$C$3</f>
        <v>S355, Stål / VFHUP 140x140x8.0</v>
      </c>
    </row>
    <row r="3232" spans="1:3" x14ac:dyDescent="0.3">
      <c r="A3232" t="str">
        <f>IF(AND(FORSIDE!$B$8&gt;=13,FORSIDE!$F$8&gt;=4,FORSIDE!$B$5&gt;=1),"S3231","")</f>
        <v/>
      </c>
      <c r="B3232" t="str">
        <f>IF(AND(FORSIDE!$B$8&gt;=13,FORSIDE!$F$8&gt;=4,FORSIDE!$B$5&gt;=1),"1058 -&gt; 1069","")</f>
        <v/>
      </c>
      <c r="C3232" t="str">
        <f>FORSIDE!$C$3</f>
        <v>S355, Stål / VFHUP 140x140x8.0</v>
      </c>
    </row>
    <row r="3233" spans="1:3" x14ac:dyDescent="0.3">
      <c r="A3233" t="str">
        <f>IF(AND(FORSIDE!$B$8&gt;=13,FORSIDE!$F$8&gt;=4,FORSIDE!$B$5&gt;=2),"S3232","")</f>
        <v/>
      </c>
      <c r="B3233" t="str">
        <f>IF(AND(FORSIDE!$B$8&gt;=13,FORSIDE!$F$8&gt;=4,FORSIDE!$B$5&gt;=2),"1059 -&gt; 1070","")</f>
        <v/>
      </c>
      <c r="C3233" t="str">
        <f>FORSIDE!$C$3</f>
        <v>S355, Stål / VFHUP 140x140x8.0</v>
      </c>
    </row>
    <row r="3234" spans="1:3" x14ac:dyDescent="0.3">
      <c r="A3234" t="str">
        <f>IF(AND(FORSIDE!$B$8&gt;=13,FORSIDE!$F$8&gt;=4,FORSIDE!$B$5&gt;=3),"S3233","")</f>
        <v/>
      </c>
      <c r="B3234" t="str">
        <f>IF(AND(FORSIDE!$B$8&gt;=13,FORSIDE!$F$8&gt;=4,FORSIDE!$B$5&gt;=3),"1060 -&gt; 1071","")</f>
        <v/>
      </c>
      <c r="C3234" t="str">
        <f>FORSIDE!$C$3</f>
        <v>S355, Stål / VFHUP 140x140x8.0</v>
      </c>
    </row>
    <row r="3235" spans="1:3" x14ac:dyDescent="0.3">
      <c r="A3235" t="str">
        <f>IF(AND(FORSIDE!$B$8&gt;=13,FORSIDE!$F$8&gt;=4,FORSIDE!$B$5&gt;=4),"S3234","")</f>
        <v/>
      </c>
      <c r="B3235" t="str">
        <f>IF(AND(FORSIDE!$B$8&gt;=13,FORSIDE!$F$8&gt;=4,FORSIDE!$B$5&gt;=4),"1061 -&gt; 1072","")</f>
        <v/>
      </c>
      <c r="C3235" t="str">
        <f>FORSIDE!$C$3</f>
        <v>S355, Stål / VFHUP 140x140x8.0</v>
      </c>
    </row>
    <row r="3236" spans="1:3" x14ac:dyDescent="0.3">
      <c r="A3236" t="str">
        <f>IF(AND(FORSIDE!$B$8&gt;=13,FORSIDE!$F$8&gt;=4,FORSIDE!$B$5&gt;=5),"S3235","")</f>
        <v/>
      </c>
      <c r="B3236" t="str">
        <f>IF(AND(FORSIDE!$B$8&gt;=13,FORSIDE!$F$8&gt;=4,FORSIDE!$B$5&gt;=5),"1062 -&gt; 1073","")</f>
        <v/>
      </c>
      <c r="C3236" t="str">
        <f>FORSIDE!$C$3</f>
        <v>S355, Stål / VFHUP 140x140x8.0</v>
      </c>
    </row>
    <row r="3237" spans="1:3" x14ac:dyDescent="0.3">
      <c r="A3237" t="str">
        <f>IF(AND(FORSIDE!$B$8&gt;=13,FORSIDE!$F$8&gt;=4,FORSIDE!$B$5&gt;=6),"S3236","")</f>
        <v/>
      </c>
      <c r="B3237" t="str">
        <f>IF(AND(FORSIDE!$B$8&gt;=13,FORSIDE!$F$8&gt;=4,FORSIDE!$B$5&gt;=6),"1063 -&gt; 1074","")</f>
        <v/>
      </c>
      <c r="C3237" t="str">
        <f>FORSIDE!$C$3</f>
        <v>S355, Stål / VFHUP 140x140x8.0</v>
      </c>
    </row>
    <row r="3238" spans="1:3" x14ac:dyDescent="0.3">
      <c r="A3238" t="str">
        <f>IF(AND(FORSIDE!$B$8&gt;=13,FORSIDE!$F$8&gt;=4,FORSIDE!$B$5&gt;=7),"S3237","")</f>
        <v/>
      </c>
      <c r="B3238" t="str">
        <f>IF(AND(FORSIDE!$B$8&gt;=13,FORSIDE!$F$8&gt;=4,FORSIDE!$B$5&gt;=7),"1064 -&gt; 1075","")</f>
        <v/>
      </c>
      <c r="C3238" t="str">
        <f>FORSIDE!$C$3</f>
        <v>S355, Stål / VFHUP 140x140x8.0</v>
      </c>
    </row>
    <row r="3239" spans="1:3" x14ac:dyDescent="0.3">
      <c r="A3239" t="str">
        <f>IF(AND(FORSIDE!$B$8&gt;=13,FORSIDE!$F$8&gt;=4,FORSIDE!$B$5&gt;=8),"S3238","")</f>
        <v/>
      </c>
      <c r="B3239" t="str">
        <f>IF(AND(FORSIDE!$B$8&gt;=13,FORSIDE!$F$8&gt;=4,FORSIDE!$B$5&gt;=8),"1065 -&gt; 1076","")</f>
        <v/>
      </c>
      <c r="C3239" t="str">
        <f>FORSIDE!$C$3</f>
        <v>S355, Stål / VFHUP 140x140x8.0</v>
      </c>
    </row>
    <row r="3240" spans="1:3" x14ac:dyDescent="0.3">
      <c r="A3240" t="str">
        <f>IF(AND(FORSIDE!$B$8&gt;=13,FORSIDE!$F$8&gt;=4,FORSIDE!$B$5&gt;=9),"S3239","")</f>
        <v/>
      </c>
      <c r="B3240" t="str">
        <f>IF(AND(FORSIDE!$B$8&gt;=13,FORSIDE!$F$8&gt;=4,FORSIDE!$B$5&gt;=9),"1066 -&gt; 1077","")</f>
        <v/>
      </c>
      <c r="C3240" t="str">
        <f>FORSIDE!$C$3</f>
        <v>S355, Stål / VFHUP 140x140x8.0</v>
      </c>
    </row>
    <row r="3241" spans="1:3" x14ac:dyDescent="0.3">
      <c r="A3241" t="str">
        <f>IF(AND(FORSIDE!$B$8&gt;=13,FORSIDE!$F$8&gt;=4,FORSIDE!$B$5&gt;=10),"S3240","")</f>
        <v/>
      </c>
      <c r="B3241" t="str">
        <f>IF(AND(FORSIDE!$B$8&gt;=13,FORSIDE!$F$8&gt;=4,FORSIDE!$B$5&gt;=10),"1067 -&gt; 1078","")</f>
        <v/>
      </c>
      <c r="C3241" t="str">
        <f>FORSIDE!$C$3</f>
        <v>S355, Stål / VFHUP 140x140x8.0</v>
      </c>
    </row>
    <row r="3242" spans="1:3" x14ac:dyDescent="0.3">
      <c r="A3242" t="str">
        <f>IF(AND(FORSIDE!$B$8&gt;=14,FORSIDE!$F$8&gt;=4,FORSIDE!$B$5&gt;=1),"S3241","")</f>
        <v/>
      </c>
      <c r="B3242" t="str">
        <f>IF(AND(FORSIDE!$B$8&gt;=14,FORSIDE!$F$8&gt;=4,FORSIDE!$B$5&gt;=1),"1069 -&gt; 1080","")</f>
        <v/>
      </c>
      <c r="C3242" t="str">
        <f>FORSIDE!$C$3</f>
        <v>S355, Stål / VFHUP 140x140x8.0</v>
      </c>
    </row>
    <row r="3243" spans="1:3" x14ac:dyDescent="0.3">
      <c r="A3243" t="str">
        <f>IF(AND(FORSIDE!$B$8&gt;=14,FORSIDE!$F$8&gt;=4,FORSIDE!$B$5&gt;=2),"S3242","")</f>
        <v/>
      </c>
      <c r="B3243" t="str">
        <f>IF(AND(FORSIDE!$B$8&gt;=14,FORSIDE!$F$8&gt;=4,FORSIDE!$B$5&gt;=2),"1070 -&gt; 1081","")</f>
        <v/>
      </c>
      <c r="C3243" t="str">
        <f>FORSIDE!$C$3</f>
        <v>S355, Stål / VFHUP 140x140x8.0</v>
      </c>
    </row>
    <row r="3244" spans="1:3" x14ac:dyDescent="0.3">
      <c r="A3244" t="str">
        <f>IF(AND(FORSIDE!$B$8&gt;=14,FORSIDE!$F$8&gt;=4,FORSIDE!$B$5&gt;=3),"S3243","")</f>
        <v/>
      </c>
      <c r="B3244" t="str">
        <f>IF(AND(FORSIDE!$B$8&gt;=14,FORSIDE!$F$8&gt;=4,FORSIDE!$B$5&gt;=3),"1071 -&gt; 1082","")</f>
        <v/>
      </c>
      <c r="C3244" t="str">
        <f>FORSIDE!$C$3</f>
        <v>S355, Stål / VFHUP 140x140x8.0</v>
      </c>
    </row>
    <row r="3245" spans="1:3" x14ac:dyDescent="0.3">
      <c r="A3245" t="str">
        <f>IF(AND(FORSIDE!$B$8&gt;=14,FORSIDE!$F$8&gt;=4,FORSIDE!$B$5&gt;=4),"S3244","")</f>
        <v/>
      </c>
      <c r="B3245" t="str">
        <f>IF(AND(FORSIDE!$B$8&gt;=14,FORSIDE!$F$8&gt;=4,FORSIDE!$B$5&gt;=4),"1072 -&gt; 1083","")</f>
        <v/>
      </c>
      <c r="C3245" t="str">
        <f>FORSIDE!$C$3</f>
        <v>S355, Stål / VFHUP 140x140x8.0</v>
      </c>
    </row>
    <row r="3246" spans="1:3" x14ac:dyDescent="0.3">
      <c r="A3246" t="str">
        <f>IF(AND(FORSIDE!$B$8&gt;=14,FORSIDE!$F$8&gt;=4,FORSIDE!$B$5&gt;=5),"S3245","")</f>
        <v/>
      </c>
      <c r="B3246" t="str">
        <f>IF(AND(FORSIDE!$B$8&gt;=14,FORSIDE!$F$8&gt;=4,FORSIDE!$B$5&gt;=5),"1073 -&gt; 1084","")</f>
        <v/>
      </c>
      <c r="C3246" t="str">
        <f>FORSIDE!$C$3</f>
        <v>S355, Stål / VFHUP 140x140x8.0</v>
      </c>
    </row>
    <row r="3247" spans="1:3" x14ac:dyDescent="0.3">
      <c r="A3247" t="str">
        <f>IF(AND(FORSIDE!$B$8&gt;=14,FORSIDE!$F$8&gt;=4,FORSIDE!$B$5&gt;=6),"S3246","")</f>
        <v/>
      </c>
      <c r="B3247" t="str">
        <f>IF(AND(FORSIDE!$B$8&gt;=14,FORSIDE!$F$8&gt;=4,FORSIDE!$B$5&gt;=6),"1074 -&gt; 1085","")</f>
        <v/>
      </c>
      <c r="C3247" t="str">
        <f>FORSIDE!$C$3</f>
        <v>S355, Stål / VFHUP 140x140x8.0</v>
      </c>
    </row>
    <row r="3248" spans="1:3" x14ac:dyDescent="0.3">
      <c r="A3248" t="str">
        <f>IF(AND(FORSIDE!$B$8&gt;=14,FORSIDE!$F$8&gt;=4,FORSIDE!$B$5&gt;=7),"S3247","")</f>
        <v/>
      </c>
      <c r="B3248" t="str">
        <f>IF(AND(FORSIDE!$B$8&gt;=14,FORSIDE!$F$8&gt;=4,FORSIDE!$B$5&gt;=7),"1075 -&gt; 1086","")</f>
        <v/>
      </c>
      <c r="C3248" t="str">
        <f>FORSIDE!$C$3</f>
        <v>S355, Stål / VFHUP 140x140x8.0</v>
      </c>
    </row>
    <row r="3249" spans="1:3" x14ac:dyDescent="0.3">
      <c r="A3249" t="str">
        <f>IF(AND(FORSIDE!$B$8&gt;=14,FORSIDE!$F$8&gt;=4,FORSIDE!$B$5&gt;=8),"S3248","")</f>
        <v/>
      </c>
      <c r="B3249" t="str">
        <f>IF(AND(FORSIDE!$B$8&gt;=14,FORSIDE!$F$8&gt;=4,FORSIDE!$B$5&gt;=8),"1076 -&gt; 1087","")</f>
        <v/>
      </c>
      <c r="C3249" t="str">
        <f>FORSIDE!$C$3</f>
        <v>S355, Stål / VFHUP 140x140x8.0</v>
      </c>
    </row>
    <row r="3250" spans="1:3" x14ac:dyDescent="0.3">
      <c r="A3250" t="str">
        <f>IF(AND(FORSIDE!$B$8&gt;=14,FORSIDE!$F$8&gt;=4,FORSIDE!$B$5&gt;=9),"S3249","")</f>
        <v/>
      </c>
      <c r="B3250" t="str">
        <f>IF(AND(FORSIDE!$B$8&gt;=14,FORSIDE!$F$8&gt;=4,FORSIDE!$B$5&gt;=9),"1077 -&gt; 1088","")</f>
        <v/>
      </c>
      <c r="C3250" t="str">
        <f>FORSIDE!$C$3</f>
        <v>S355, Stål / VFHUP 140x140x8.0</v>
      </c>
    </row>
    <row r="3251" spans="1:3" x14ac:dyDescent="0.3">
      <c r="A3251" t="str">
        <f>IF(AND(FORSIDE!$B$8&gt;=14,FORSIDE!$F$8&gt;=4,FORSIDE!$B$5&gt;=10),"S3250","")</f>
        <v/>
      </c>
      <c r="B3251" t="str">
        <f>IF(AND(FORSIDE!$B$8&gt;=14,FORSIDE!$F$8&gt;=4,FORSIDE!$B$5&gt;=10),"1078 -&gt; 1089","")</f>
        <v/>
      </c>
      <c r="C3251" t="str">
        <f>FORSIDE!$C$3</f>
        <v>S355, Stål / VFHUP 140x140x8.0</v>
      </c>
    </row>
    <row r="3252" spans="1:3" x14ac:dyDescent="0.3">
      <c r="A3252" t="str">
        <f>IF(AND(FORSIDE!$B$8&gt;=15,FORSIDE!$F$8&gt;=4,FORSIDE!$B$5&gt;=1),"S3251","")</f>
        <v/>
      </c>
      <c r="B3252" t="str">
        <f>IF(AND(FORSIDE!$B$8&gt;=15,FORSIDE!$F$8&gt;=4,FORSIDE!$B$5&gt;=1),"1080 -&gt; 1091","")</f>
        <v/>
      </c>
      <c r="C3252" t="str">
        <f>FORSIDE!$C$3</f>
        <v>S355, Stål / VFHUP 140x140x8.0</v>
      </c>
    </row>
    <row r="3253" spans="1:3" x14ac:dyDescent="0.3">
      <c r="A3253" t="str">
        <f>IF(AND(FORSIDE!$B$8&gt;=15,FORSIDE!$F$8&gt;=4,FORSIDE!$B$5&gt;=2),"S3252","")</f>
        <v/>
      </c>
      <c r="B3253" t="str">
        <f>IF(AND(FORSIDE!$B$8&gt;=15,FORSIDE!$F$8&gt;=4,FORSIDE!$B$5&gt;=2),"1081 -&gt; 1092","")</f>
        <v/>
      </c>
      <c r="C3253" t="str">
        <f>FORSIDE!$C$3</f>
        <v>S355, Stål / VFHUP 140x140x8.0</v>
      </c>
    </row>
    <row r="3254" spans="1:3" x14ac:dyDescent="0.3">
      <c r="A3254" t="str">
        <f>IF(AND(FORSIDE!$B$8&gt;=15,FORSIDE!$F$8&gt;=4,FORSIDE!$B$5&gt;=3),"S3253","")</f>
        <v/>
      </c>
      <c r="B3254" t="str">
        <f>IF(AND(FORSIDE!$B$8&gt;=15,FORSIDE!$F$8&gt;=4,FORSIDE!$B$5&gt;=3),"1082 -&gt; 1093","")</f>
        <v/>
      </c>
      <c r="C3254" t="str">
        <f>FORSIDE!$C$3</f>
        <v>S355, Stål / VFHUP 140x140x8.0</v>
      </c>
    </row>
    <row r="3255" spans="1:3" x14ac:dyDescent="0.3">
      <c r="A3255" t="str">
        <f>IF(AND(FORSIDE!$B$8&gt;=15,FORSIDE!$F$8&gt;=4,FORSIDE!$B$5&gt;=4),"S3254","")</f>
        <v/>
      </c>
      <c r="B3255" t="str">
        <f>IF(AND(FORSIDE!$B$8&gt;=15,FORSIDE!$F$8&gt;=4,FORSIDE!$B$5&gt;=4),"1083 -&gt; 1094","")</f>
        <v/>
      </c>
      <c r="C3255" t="str">
        <f>FORSIDE!$C$3</f>
        <v>S355, Stål / VFHUP 140x140x8.0</v>
      </c>
    </row>
    <row r="3256" spans="1:3" x14ac:dyDescent="0.3">
      <c r="A3256" t="str">
        <f>IF(AND(FORSIDE!$B$8&gt;=15,FORSIDE!$F$8&gt;=4,FORSIDE!$B$5&gt;=5),"S3255","")</f>
        <v/>
      </c>
      <c r="B3256" t="str">
        <f>IF(AND(FORSIDE!$B$8&gt;=15,FORSIDE!$F$8&gt;=4,FORSIDE!$B$5&gt;=5),"1084 -&gt; 1095","")</f>
        <v/>
      </c>
      <c r="C3256" t="str">
        <f>FORSIDE!$C$3</f>
        <v>S355, Stål / VFHUP 140x140x8.0</v>
      </c>
    </row>
    <row r="3257" spans="1:3" x14ac:dyDescent="0.3">
      <c r="A3257" t="str">
        <f>IF(AND(FORSIDE!$B$8&gt;=15,FORSIDE!$F$8&gt;=4,FORSIDE!$B$5&gt;=6),"S3256","")</f>
        <v/>
      </c>
      <c r="B3257" t="str">
        <f>IF(AND(FORSIDE!$B$8&gt;=15,FORSIDE!$F$8&gt;=4,FORSIDE!$B$5&gt;=6),"1085 -&gt; 1096","")</f>
        <v/>
      </c>
      <c r="C3257" t="str">
        <f>FORSIDE!$C$3</f>
        <v>S355, Stål / VFHUP 140x140x8.0</v>
      </c>
    </row>
    <row r="3258" spans="1:3" x14ac:dyDescent="0.3">
      <c r="A3258" t="str">
        <f>IF(AND(FORSIDE!$B$8&gt;=15,FORSIDE!$F$8&gt;=4,FORSIDE!$B$5&gt;=7),"S3257","")</f>
        <v/>
      </c>
      <c r="B3258" t="str">
        <f>IF(AND(FORSIDE!$B$8&gt;=15,FORSIDE!$F$8&gt;=4,FORSIDE!$B$5&gt;=7),"1086 -&gt; 1097","")</f>
        <v/>
      </c>
      <c r="C3258" t="str">
        <f>FORSIDE!$C$3</f>
        <v>S355, Stål / VFHUP 140x140x8.0</v>
      </c>
    </row>
    <row r="3259" spans="1:3" x14ac:dyDescent="0.3">
      <c r="A3259" t="str">
        <f>IF(AND(FORSIDE!$B$8&gt;=15,FORSIDE!$F$8&gt;=4,FORSIDE!$B$5&gt;=8),"S3258","")</f>
        <v/>
      </c>
      <c r="B3259" t="str">
        <f>IF(AND(FORSIDE!$B$8&gt;=15,FORSIDE!$F$8&gt;=4,FORSIDE!$B$5&gt;=8),"1087 -&gt; 1098","")</f>
        <v/>
      </c>
      <c r="C3259" t="str">
        <f>FORSIDE!$C$3</f>
        <v>S355, Stål / VFHUP 140x140x8.0</v>
      </c>
    </row>
    <row r="3260" spans="1:3" x14ac:dyDescent="0.3">
      <c r="A3260" t="str">
        <f>IF(AND(FORSIDE!$B$8&gt;=15,FORSIDE!$F$8&gt;=4,FORSIDE!$B$5&gt;=9),"S3259","")</f>
        <v/>
      </c>
      <c r="B3260" t="str">
        <f>IF(AND(FORSIDE!$B$8&gt;=15,FORSIDE!$F$8&gt;=4,FORSIDE!$B$5&gt;=9),"1088 -&gt; 1099","")</f>
        <v/>
      </c>
      <c r="C3260" t="str">
        <f>FORSIDE!$C$3</f>
        <v>S355, Stål / VFHUP 140x140x8.0</v>
      </c>
    </row>
    <row r="3261" spans="1:3" x14ac:dyDescent="0.3">
      <c r="A3261" t="str">
        <f>IF(AND(FORSIDE!$B$8&gt;=15,FORSIDE!$F$8&gt;=4,FORSIDE!$B$5&gt;=10),"S3260","")</f>
        <v/>
      </c>
      <c r="B3261" t="str">
        <f>IF(AND(FORSIDE!$B$8&gt;=15,FORSIDE!$F$8&gt;=4,FORSIDE!$B$5&gt;=10),"1089 -&gt; 1100","")</f>
        <v/>
      </c>
      <c r="C3261" t="str">
        <f>FORSIDE!$C$3</f>
        <v>S355, Stål / VFHUP 140x140x8.0</v>
      </c>
    </row>
    <row r="3262" spans="1:3" x14ac:dyDescent="0.3">
      <c r="A3262" t="str">
        <f>IF(AND(FORSIDE!$B$8&gt;=16,FORSIDE!$F$8&gt;=4,FORSIDE!$B$5&gt;=1),"S3261","")</f>
        <v/>
      </c>
      <c r="B3262" t="str">
        <f>IF(AND(FORSIDE!$B$8&gt;=16,FORSIDE!$F$8&gt;=4,FORSIDE!$B$5&gt;=1),"1091 -&gt; 1102","")</f>
        <v/>
      </c>
      <c r="C3262" t="str">
        <f>FORSIDE!$C$3</f>
        <v>S355, Stål / VFHUP 140x140x8.0</v>
      </c>
    </row>
    <row r="3263" spans="1:3" x14ac:dyDescent="0.3">
      <c r="A3263" t="str">
        <f>IF(AND(FORSIDE!$B$8&gt;=16,FORSIDE!$F$8&gt;=4,FORSIDE!$B$5&gt;=2),"S3262","")</f>
        <v/>
      </c>
      <c r="B3263" t="str">
        <f>IF(AND(FORSIDE!$B$8&gt;=16,FORSIDE!$F$8&gt;=4,FORSIDE!$B$5&gt;=2),"1092 -&gt; 1103","")</f>
        <v/>
      </c>
      <c r="C3263" t="str">
        <f>FORSIDE!$C$3</f>
        <v>S355, Stål / VFHUP 140x140x8.0</v>
      </c>
    </row>
    <row r="3264" spans="1:3" x14ac:dyDescent="0.3">
      <c r="A3264" t="str">
        <f>IF(AND(FORSIDE!$B$8&gt;=16,FORSIDE!$F$8&gt;=4,FORSIDE!$B$5&gt;=3),"S3263","")</f>
        <v/>
      </c>
      <c r="B3264" t="str">
        <f>IF(AND(FORSIDE!$B$8&gt;=16,FORSIDE!$F$8&gt;=4,FORSIDE!$B$5&gt;=3),"1093 -&gt; 1104","")</f>
        <v/>
      </c>
      <c r="C3264" t="str">
        <f>FORSIDE!$C$3</f>
        <v>S355, Stål / VFHUP 140x140x8.0</v>
      </c>
    </row>
    <row r="3265" spans="1:3" x14ac:dyDescent="0.3">
      <c r="A3265" t="str">
        <f>IF(AND(FORSIDE!$B$8&gt;=16,FORSIDE!$F$8&gt;=4,FORSIDE!$B$5&gt;=4),"S3264","")</f>
        <v/>
      </c>
      <c r="B3265" t="str">
        <f>IF(AND(FORSIDE!$B$8&gt;=16,FORSIDE!$F$8&gt;=4,FORSIDE!$B$5&gt;=4),"1094 -&gt; 1105","")</f>
        <v/>
      </c>
      <c r="C3265" t="str">
        <f>FORSIDE!$C$3</f>
        <v>S355, Stål / VFHUP 140x140x8.0</v>
      </c>
    </row>
    <row r="3266" spans="1:3" x14ac:dyDescent="0.3">
      <c r="A3266" t="str">
        <f>IF(AND(FORSIDE!$B$8&gt;=16,FORSIDE!$F$8&gt;=4,FORSIDE!$B$5&gt;=5),"S3265","")</f>
        <v/>
      </c>
      <c r="B3266" t="str">
        <f>IF(AND(FORSIDE!$B$8&gt;=16,FORSIDE!$F$8&gt;=4,FORSIDE!$B$5&gt;=5),"1095 -&gt; 1106","")</f>
        <v/>
      </c>
      <c r="C3266" t="str">
        <f>FORSIDE!$C$3</f>
        <v>S355, Stål / VFHUP 140x140x8.0</v>
      </c>
    </row>
    <row r="3267" spans="1:3" x14ac:dyDescent="0.3">
      <c r="A3267" t="str">
        <f>IF(AND(FORSIDE!$B$8&gt;=16,FORSIDE!$F$8&gt;=4,FORSIDE!$B$5&gt;=6),"S3266","")</f>
        <v/>
      </c>
      <c r="B3267" t="str">
        <f>IF(AND(FORSIDE!$B$8&gt;=16,FORSIDE!$F$8&gt;=4,FORSIDE!$B$5&gt;=6),"1096 -&gt; 1107","")</f>
        <v/>
      </c>
      <c r="C3267" t="str">
        <f>FORSIDE!$C$3</f>
        <v>S355, Stål / VFHUP 140x140x8.0</v>
      </c>
    </row>
    <row r="3268" spans="1:3" x14ac:dyDescent="0.3">
      <c r="A3268" t="str">
        <f>IF(AND(FORSIDE!$B$8&gt;=16,FORSIDE!$F$8&gt;=4,FORSIDE!$B$5&gt;=7),"S3267","")</f>
        <v/>
      </c>
      <c r="B3268" t="str">
        <f>IF(AND(FORSIDE!$B$8&gt;=16,FORSIDE!$F$8&gt;=4,FORSIDE!$B$5&gt;=7),"1097 -&gt; 1108","")</f>
        <v/>
      </c>
      <c r="C3268" t="str">
        <f>FORSIDE!$C$3</f>
        <v>S355, Stål / VFHUP 140x140x8.0</v>
      </c>
    </row>
    <row r="3269" spans="1:3" x14ac:dyDescent="0.3">
      <c r="A3269" t="str">
        <f>IF(AND(FORSIDE!$B$8&gt;=16,FORSIDE!$F$8&gt;=4,FORSIDE!$B$5&gt;=8),"S3268","")</f>
        <v/>
      </c>
      <c r="B3269" t="str">
        <f>IF(AND(FORSIDE!$B$8&gt;=16,FORSIDE!$F$8&gt;=4,FORSIDE!$B$5&gt;=8),"1098 -&gt; 1109","")</f>
        <v/>
      </c>
      <c r="C3269" t="str">
        <f>FORSIDE!$C$3</f>
        <v>S355, Stål / VFHUP 140x140x8.0</v>
      </c>
    </row>
    <row r="3270" spans="1:3" x14ac:dyDescent="0.3">
      <c r="A3270" t="str">
        <f>IF(AND(FORSIDE!$B$8&gt;=16,FORSIDE!$F$8&gt;=4,FORSIDE!$B$5&gt;=9),"S3269","")</f>
        <v/>
      </c>
      <c r="B3270" t="str">
        <f>IF(AND(FORSIDE!$B$8&gt;=16,FORSIDE!$F$8&gt;=4,FORSIDE!$B$5&gt;=9),"1099 -&gt; 1110","")</f>
        <v/>
      </c>
      <c r="C3270" t="str">
        <f>FORSIDE!$C$3</f>
        <v>S355, Stål / VFHUP 140x140x8.0</v>
      </c>
    </row>
    <row r="3271" spans="1:3" x14ac:dyDescent="0.3">
      <c r="A3271" t="str">
        <f>IF(AND(FORSIDE!$B$8&gt;=16,FORSIDE!$F$8&gt;=4,FORSIDE!$B$5&gt;=10),"S3270","")</f>
        <v/>
      </c>
      <c r="B3271" t="str">
        <f>IF(AND(FORSIDE!$B$8&gt;=16,FORSIDE!$F$8&gt;=4,FORSIDE!$B$5&gt;=10),"1100 -&gt; 1111","")</f>
        <v/>
      </c>
      <c r="C3271" t="str">
        <f>FORSIDE!$C$3</f>
        <v>S355, Stål / VFHUP 140x140x8.0</v>
      </c>
    </row>
    <row r="3272" spans="1:3" x14ac:dyDescent="0.3">
      <c r="A3272" t="str">
        <f>IF(AND(FORSIDE!$B$8&gt;=17,FORSIDE!$F$8&gt;=4,FORSIDE!$B$5&gt;=1),"S3271","")</f>
        <v/>
      </c>
      <c r="B3272" t="str">
        <f>IF(AND(FORSIDE!$B$8&gt;=17,FORSIDE!$F$8&gt;=4,FORSIDE!$B$5&gt;=1),"1102 -&gt; 1113","")</f>
        <v/>
      </c>
      <c r="C3272" t="str">
        <f>FORSIDE!$C$3</f>
        <v>S355, Stål / VFHUP 140x140x8.0</v>
      </c>
    </row>
    <row r="3273" spans="1:3" x14ac:dyDescent="0.3">
      <c r="A3273" t="str">
        <f>IF(AND(FORSIDE!$B$8&gt;=17,FORSIDE!$F$8&gt;=4,FORSIDE!$B$5&gt;=2),"S3272","")</f>
        <v/>
      </c>
      <c r="B3273" t="str">
        <f>IF(AND(FORSIDE!$B$8&gt;=17,FORSIDE!$F$8&gt;=4,FORSIDE!$B$5&gt;=2),"1103 -&gt; 1114","")</f>
        <v/>
      </c>
      <c r="C3273" t="str">
        <f>FORSIDE!$C$3</f>
        <v>S355, Stål / VFHUP 140x140x8.0</v>
      </c>
    </row>
    <row r="3274" spans="1:3" x14ac:dyDescent="0.3">
      <c r="A3274" t="str">
        <f>IF(AND(FORSIDE!$B$8&gt;=17,FORSIDE!$F$8&gt;=4,FORSIDE!$B$5&gt;=3),"S3273","")</f>
        <v/>
      </c>
      <c r="B3274" t="str">
        <f>IF(AND(FORSIDE!$B$8&gt;=17,FORSIDE!$F$8&gt;=4,FORSIDE!$B$5&gt;=3),"1104 -&gt; 1115","")</f>
        <v/>
      </c>
      <c r="C3274" t="str">
        <f>FORSIDE!$C$3</f>
        <v>S355, Stål / VFHUP 140x140x8.0</v>
      </c>
    </row>
    <row r="3275" spans="1:3" x14ac:dyDescent="0.3">
      <c r="A3275" t="str">
        <f>IF(AND(FORSIDE!$B$8&gt;=17,FORSIDE!$F$8&gt;=4,FORSIDE!$B$5&gt;=4),"S3274","")</f>
        <v/>
      </c>
      <c r="B3275" t="str">
        <f>IF(AND(FORSIDE!$B$8&gt;=17,FORSIDE!$F$8&gt;=4,FORSIDE!$B$5&gt;=4),"1105 -&gt; 1116","")</f>
        <v/>
      </c>
      <c r="C3275" t="str">
        <f>FORSIDE!$C$3</f>
        <v>S355, Stål / VFHUP 140x140x8.0</v>
      </c>
    </row>
    <row r="3276" spans="1:3" x14ac:dyDescent="0.3">
      <c r="A3276" t="str">
        <f>IF(AND(FORSIDE!$B$8&gt;=17,FORSIDE!$F$8&gt;=4,FORSIDE!$B$5&gt;=5),"S3275","")</f>
        <v/>
      </c>
      <c r="B3276" t="str">
        <f>IF(AND(FORSIDE!$B$8&gt;=17,FORSIDE!$F$8&gt;=4,FORSIDE!$B$5&gt;=5),"1106 -&gt; 1117","")</f>
        <v/>
      </c>
      <c r="C3276" t="str">
        <f>FORSIDE!$C$3</f>
        <v>S355, Stål / VFHUP 140x140x8.0</v>
      </c>
    </row>
    <row r="3277" spans="1:3" x14ac:dyDescent="0.3">
      <c r="A3277" t="str">
        <f>IF(AND(FORSIDE!$B$8&gt;=17,FORSIDE!$F$8&gt;=4,FORSIDE!$B$5&gt;=6),"S3276","")</f>
        <v/>
      </c>
      <c r="B3277" t="str">
        <f>IF(AND(FORSIDE!$B$8&gt;=17,FORSIDE!$F$8&gt;=4,FORSIDE!$B$5&gt;=6),"1107 -&gt; 1118","")</f>
        <v/>
      </c>
      <c r="C3277" t="str">
        <f>FORSIDE!$C$3</f>
        <v>S355, Stål / VFHUP 140x140x8.0</v>
      </c>
    </row>
    <row r="3278" spans="1:3" x14ac:dyDescent="0.3">
      <c r="A3278" t="str">
        <f>IF(AND(FORSIDE!$B$8&gt;=17,FORSIDE!$F$8&gt;=4,FORSIDE!$B$5&gt;=7),"S3277","")</f>
        <v/>
      </c>
      <c r="B3278" t="str">
        <f>IF(AND(FORSIDE!$B$8&gt;=17,FORSIDE!$F$8&gt;=4,FORSIDE!$B$5&gt;=7),"1108 -&gt; 1119","")</f>
        <v/>
      </c>
      <c r="C3278" t="str">
        <f>FORSIDE!$C$3</f>
        <v>S355, Stål / VFHUP 140x140x8.0</v>
      </c>
    </row>
    <row r="3279" spans="1:3" x14ac:dyDescent="0.3">
      <c r="A3279" t="str">
        <f>IF(AND(FORSIDE!$B$8&gt;=17,FORSIDE!$F$8&gt;=4,FORSIDE!$B$5&gt;=8),"S3278","")</f>
        <v/>
      </c>
      <c r="B3279" t="str">
        <f>IF(AND(FORSIDE!$B$8&gt;=17,FORSIDE!$F$8&gt;=4,FORSIDE!$B$5&gt;=8),"1109 -&gt; 1120","")</f>
        <v/>
      </c>
      <c r="C3279" t="str">
        <f>FORSIDE!$C$3</f>
        <v>S355, Stål / VFHUP 140x140x8.0</v>
      </c>
    </row>
    <row r="3280" spans="1:3" x14ac:dyDescent="0.3">
      <c r="A3280" t="str">
        <f>IF(AND(FORSIDE!$B$8&gt;=17,FORSIDE!$F$8&gt;=4,FORSIDE!$B$5&gt;=9),"S3279","")</f>
        <v/>
      </c>
      <c r="B3280" t="str">
        <f>IF(AND(FORSIDE!$B$8&gt;=17,FORSIDE!$F$8&gt;=4,FORSIDE!$B$5&gt;=9),"1110 -&gt; 1121","")</f>
        <v/>
      </c>
      <c r="C3280" t="str">
        <f>FORSIDE!$C$3</f>
        <v>S355, Stål / VFHUP 140x140x8.0</v>
      </c>
    </row>
    <row r="3281" spans="1:3" x14ac:dyDescent="0.3">
      <c r="A3281" t="str">
        <f>IF(AND(FORSIDE!$B$8&gt;=17,FORSIDE!$F$8&gt;=4,FORSIDE!$B$5&gt;=10),"S3280","")</f>
        <v/>
      </c>
      <c r="B3281" t="str">
        <f>IF(AND(FORSIDE!$B$8&gt;=17,FORSIDE!$F$8&gt;=4,FORSIDE!$B$5&gt;=10),"1111 -&gt; 1122","")</f>
        <v/>
      </c>
      <c r="C3281" t="str">
        <f>FORSIDE!$C$3</f>
        <v>S355, Stål / VFHUP 140x140x8.0</v>
      </c>
    </row>
    <row r="3282" spans="1:3" x14ac:dyDescent="0.3">
      <c r="A3282" t="str">
        <f>IF(AND(FORSIDE!$B$8&gt;=18,FORSIDE!$F$8&gt;=4,FORSIDE!$B$5&gt;=1),"S3281","")</f>
        <v/>
      </c>
      <c r="B3282" t="str">
        <f>IF(AND(FORSIDE!$B$8&gt;=18,FORSIDE!$F$8&gt;=4,FORSIDE!$B$5&gt;=1),"1113 -&gt; 1124","")</f>
        <v/>
      </c>
      <c r="C3282" t="str">
        <f>FORSIDE!$C$3</f>
        <v>S355, Stål / VFHUP 140x140x8.0</v>
      </c>
    </row>
    <row r="3283" spans="1:3" x14ac:dyDescent="0.3">
      <c r="A3283" t="str">
        <f>IF(AND(FORSIDE!$B$8&gt;=18,FORSIDE!$F$8&gt;=4,FORSIDE!$B$5&gt;=2),"S3282","")</f>
        <v/>
      </c>
      <c r="B3283" t="str">
        <f>IF(AND(FORSIDE!$B$8&gt;=18,FORSIDE!$F$8&gt;=4,FORSIDE!$B$5&gt;=2),"1114 -&gt; 1125","")</f>
        <v/>
      </c>
      <c r="C3283" t="str">
        <f>FORSIDE!$C$3</f>
        <v>S355, Stål / VFHUP 140x140x8.0</v>
      </c>
    </row>
    <row r="3284" spans="1:3" x14ac:dyDescent="0.3">
      <c r="A3284" t="str">
        <f>IF(AND(FORSIDE!$B$8&gt;=18,FORSIDE!$F$8&gt;=4,FORSIDE!$B$5&gt;=3),"S3283","")</f>
        <v/>
      </c>
      <c r="B3284" t="str">
        <f>IF(AND(FORSIDE!$B$8&gt;=18,FORSIDE!$F$8&gt;=4,FORSIDE!$B$5&gt;=3),"1115 -&gt; 1126","")</f>
        <v/>
      </c>
      <c r="C3284" t="str">
        <f>FORSIDE!$C$3</f>
        <v>S355, Stål / VFHUP 140x140x8.0</v>
      </c>
    </row>
    <row r="3285" spans="1:3" x14ac:dyDescent="0.3">
      <c r="A3285" t="str">
        <f>IF(AND(FORSIDE!$B$8&gt;=18,FORSIDE!$F$8&gt;=4,FORSIDE!$B$5&gt;=4),"S3284","")</f>
        <v/>
      </c>
      <c r="B3285" t="str">
        <f>IF(AND(FORSIDE!$B$8&gt;=18,FORSIDE!$F$8&gt;=4,FORSIDE!$B$5&gt;=4),"1116 -&gt; 1127","")</f>
        <v/>
      </c>
      <c r="C3285" t="str">
        <f>FORSIDE!$C$3</f>
        <v>S355, Stål / VFHUP 140x140x8.0</v>
      </c>
    </row>
    <row r="3286" spans="1:3" x14ac:dyDescent="0.3">
      <c r="A3286" t="str">
        <f>IF(AND(FORSIDE!$B$8&gt;=18,FORSIDE!$F$8&gt;=4,FORSIDE!$B$5&gt;=5),"S3285","")</f>
        <v/>
      </c>
      <c r="B3286" t="str">
        <f>IF(AND(FORSIDE!$B$8&gt;=18,FORSIDE!$F$8&gt;=4,FORSIDE!$B$5&gt;=5),"1117 -&gt; 1128","")</f>
        <v/>
      </c>
      <c r="C3286" t="str">
        <f>FORSIDE!$C$3</f>
        <v>S355, Stål / VFHUP 140x140x8.0</v>
      </c>
    </row>
    <row r="3287" spans="1:3" x14ac:dyDescent="0.3">
      <c r="A3287" t="str">
        <f>IF(AND(FORSIDE!$B$8&gt;=18,FORSIDE!$F$8&gt;=4,FORSIDE!$B$5&gt;=6),"S3286","")</f>
        <v/>
      </c>
      <c r="B3287" t="str">
        <f>IF(AND(FORSIDE!$B$8&gt;=18,FORSIDE!$F$8&gt;=4,FORSIDE!$B$5&gt;=6),"1118 -&gt; 1129","")</f>
        <v/>
      </c>
      <c r="C3287" t="str">
        <f>FORSIDE!$C$3</f>
        <v>S355, Stål / VFHUP 140x140x8.0</v>
      </c>
    </row>
    <row r="3288" spans="1:3" x14ac:dyDescent="0.3">
      <c r="A3288" t="str">
        <f>IF(AND(FORSIDE!$B$8&gt;=18,FORSIDE!$F$8&gt;=4,FORSIDE!$B$5&gt;=7),"S3287","")</f>
        <v/>
      </c>
      <c r="B3288" t="str">
        <f>IF(AND(FORSIDE!$B$8&gt;=18,FORSIDE!$F$8&gt;=4,FORSIDE!$B$5&gt;=7),"1119 -&gt; 1130","")</f>
        <v/>
      </c>
      <c r="C3288" t="str">
        <f>FORSIDE!$C$3</f>
        <v>S355, Stål / VFHUP 140x140x8.0</v>
      </c>
    </row>
    <row r="3289" spans="1:3" x14ac:dyDescent="0.3">
      <c r="A3289" t="str">
        <f>IF(AND(FORSIDE!$B$8&gt;=18,FORSIDE!$F$8&gt;=4,FORSIDE!$B$5&gt;=8),"S3288","")</f>
        <v/>
      </c>
      <c r="B3289" t="str">
        <f>IF(AND(FORSIDE!$B$8&gt;=18,FORSIDE!$F$8&gt;=4,FORSIDE!$B$5&gt;=8),"1120 -&gt; 1131","")</f>
        <v/>
      </c>
      <c r="C3289" t="str">
        <f>FORSIDE!$C$3</f>
        <v>S355, Stål / VFHUP 140x140x8.0</v>
      </c>
    </row>
    <row r="3290" spans="1:3" x14ac:dyDescent="0.3">
      <c r="A3290" t="str">
        <f>IF(AND(FORSIDE!$B$8&gt;=18,FORSIDE!$F$8&gt;=4,FORSIDE!$B$5&gt;=9),"S3289","")</f>
        <v/>
      </c>
      <c r="B3290" t="str">
        <f>IF(AND(FORSIDE!$B$8&gt;=18,FORSIDE!$F$8&gt;=4,FORSIDE!$B$5&gt;=9),"1121 -&gt; 1132","")</f>
        <v/>
      </c>
      <c r="C3290" t="str">
        <f>FORSIDE!$C$3</f>
        <v>S355, Stål / VFHUP 140x140x8.0</v>
      </c>
    </row>
    <row r="3291" spans="1:3" x14ac:dyDescent="0.3">
      <c r="A3291" t="str">
        <f>IF(AND(FORSIDE!$B$8&gt;=18,FORSIDE!$F$8&gt;=4,FORSIDE!$B$5&gt;=10),"S3290","")</f>
        <v/>
      </c>
      <c r="B3291" t="str">
        <f>IF(AND(FORSIDE!$B$8&gt;=18,FORSIDE!$F$8&gt;=4,FORSIDE!$B$5&gt;=10),"1122 -&gt; 1133","")</f>
        <v/>
      </c>
      <c r="C3291" t="str">
        <f>FORSIDE!$C$3</f>
        <v>S355, Stål / VFHUP 140x140x8.0</v>
      </c>
    </row>
    <row r="3292" spans="1:3" x14ac:dyDescent="0.3">
      <c r="A3292" t="str">
        <f>IF(AND(FORSIDE!$B$8&gt;=19,FORSIDE!$F$8&gt;=4,FORSIDE!$B$5&gt;=1),"S3291","")</f>
        <v/>
      </c>
      <c r="B3292" t="str">
        <f>IF(AND(FORSIDE!$B$8&gt;=19,FORSIDE!$F$8&gt;=4,FORSIDE!$B$5&gt;=1),"1124 -&gt; 1135","")</f>
        <v/>
      </c>
      <c r="C3292" t="str">
        <f>FORSIDE!$C$3</f>
        <v>S355, Stål / VFHUP 140x140x8.0</v>
      </c>
    </row>
    <row r="3293" spans="1:3" x14ac:dyDescent="0.3">
      <c r="A3293" t="str">
        <f>IF(AND(FORSIDE!$B$8&gt;=19,FORSIDE!$F$8&gt;=4,FORSIDE!$B$5&gt;=2),"S3292","")</f>
        <v/>
      </c>
      <c r="B3293" t="str">
        <f>IF(AND(FORSIDE!$B$8&gt;=19,FORSIDE!$F$8&gt;=4,FORSIDE!$B$5&gt;=2),"1125 -&gt; 1136","")</f>
        <v/>
      </c>
      <c r="C3293" t="str">
        <f>FORSIDE!$C$3</f>
        <v>S355, Stål / VFHUP 140x140x8.0</v>
      </c>
    </row>
    <row r="3294" spans="1:3" x14ac:dyDescent="0.3">
      <c r="A3294" t="str">
        <f>IF(AND(FORSIDE!$B$8&gt;=19,FORSIDE!$F$8&gt;=4,FORSIDE!$B$5&gt;=3),"S3293","")</f>
        <v/>
      </c>
      <c r="B3294" t="str">
        <f>IF(AND(FORSIDE!$B$8&gt;=19,FORSIDE!$F$8&gt;=4,FORSIDE!$B$5&gt;=3),"1126 -&gt; 1137","")</f>
        <v/>
      </c>
      <c r="C3294" t="str">
        <f>FORSIDE!$C$3</f>
        <v>S355, Stål / VFHUP 140x140x8.0</v>
      </c>
    </row>
    <row r="3295" spans="1:3" x14ac:dyDescent="0.3">
      <c r="A3295" t="str">
        <f>IF(AND(FORSIDE!$B$8&gt;=19,FORSIDE!$F$8&gt;=4,FORSIDE!$B$5&gt;=4),"S3294","")</f>
        <v/>
      </c>
      <c r="B3295" t="str">
        <f>IF(AND(FORSIDE!$B$8&gt;=19,FORSIDE!$F$8&gt;=4,FORSIDE!$B$5&gt;=4),"1127 -&gt; 1138","")</f>
        <v/>
      </c>
      <c r="C3295" t="str">
        <f>FORSIDE!$C$3</f>
        <v>S355, Stål / VFHUP 140x140x8.0</v>
      </c>
    </row>
    <row r="3296" spans="1:3" x14ac:dyDescent="0.3">
      <c r="A3296" t="str">
        <f>IF(AND(FORSIDE!$B$8&gt;=19,FORSIDE!$F$8&gt;=4,FORSIDE!$B$5&gt;=5),"S3295","")</f>
        <v/>
      </c>
      <c r="B3296" t="str">
        <f>IF(AND(FORSIDE!$B$8&gt;=19,FORSIDE!$F$8&gt;=4,FORSIDE!$B$5&gt;=5),"1128 -&gt; 1139","")</f>
        <v/>
      </c>
      <c r="C3296" t="str">
        <f>FORSIDE!$C$3</f>
        <v>S355, Stål / VFHUP 140x140x8.0</v>
      </c>
    </row>
    <row r="3297" spans="1:3" x14ac:dyDescent="0.3">
      <c r="A3297" t="str">
        <f>IF(AND(FORSIDE!$B$8&gt;=19,FORSIDE!$F$8&gt;=4,FORSIDE!$B$5&gt;=6),"S3296","")</f>
        <v/>
      </c>
      <c r="B3297" t="str">
        <f>IF(AND(FORSIDE!$B$8&gt;=19,FORSIDE!$F$8&gt;=4,FORSIDE!$B$5&gt;=6),"1129 -&gt; 1140","")</f>
        <v/>
      </c>
      <c r="C3297" t="str">
        <f>FORSIDE!$C$3</f>
        <v>S355, Stål / VFHUP 140x140x8.0</v>
      </c>
    </row>
    <row r="3298" spans="1:3" x14ac:dyDescent="0.3">
      <c r="A3298" t="str">
        <f>IF(AND(FORSIDE!$B$8&gt;=19,FORSIDE!$F$8&gt;=4,FORSIDE!$B$5&gt;=7),"S3297","")</f>
        <v/>
      </c>
      <c r="B3298" t="str">
        <f>IF(AND(FORSIDE!$B$8&gt;=19,FORSIDE!$F$8&gt;=4,FORSIDE!$B$5&gt;=7),"1130 -&gt; 1141","")</f>
        <v/>
      </c>
      <c r="C3298" t="str">
        <f>FORSIDE!$C$3</f>
        <v>S355, Stål / VFHUP 140x140x8.0</v>
      </c>
    </row>
    <row r="3299" spans="1:3" x14ac:dyDescent="0.3">
      <c r="A3299" t="str">
        <f>IF(AND(FORSIDE!$B$8&gt;=19,FORSIDE!$F$8&gt;=4,FORSIDE!$B$5&gt;=8),"S3298","")</f>
        <v/>
      </c>
      <c r="B3299" t="str">
        <f>IF(AND(FORSIDE!$B$8&gt;=19,FORSIDE!$F$8&gt;=4,FORSIDE!$B$5&gt;=8),"1131 -&gt; 1142","")</f>
        <v/>
      </c>
      <c r="C3299" t="str">
        <f>FORSIDE!$C$3</f>
        <v>S355, Stål / VFHUP 140x140x8.0</v>
      </c>
    </row>
    <row r="3300" spans="1:3" x14ac:dyDescent="0.3">
      <c r="A3300" t="str">
        <f>IF(AND(FORSIDE!$B$8&gt;=19,FORSIDE!$F$8&gt;=4,FORSIDE!$B$5&gt;=9),"S3299","")</f>
        <v/>
      </c>
      <c r="B3300" t="str">
        <f>IF(AND(FORSIDE!$B$8&gt;=19,FORSIDE!$F$8&gt;=4,FORSIDE!$B$5&gt;=9),"1132 -&gt; 1143","")</f>
        <v/>
      </c>
      <c r="C3300" t="str">
        <f>FORSIDE!$C$3</f>
        <v>S355, Stål / VFHUP 140x140x8.0</v>
      </c>
    </row>
    <row r="3301" spans="1:3" x14ac:dyDescent="0.3">
      <c r="A3301" t="str">
        <f>IF(AND(FORSIDE!$B$8&gt;=19,FORSIDE!$F$8&gt;=4,FORSIDE!$B$5&gt;=10),"S3300","")</f>
        <v/>
      </c>
      <c r="B3301" t="str">
        <f>IF(AND(FORSIDE!$B$8&gt;=19,FORSIDE!$F$8&gt;=4,FORSIDE!$B$5&gt;=10),"1133 -&gt; 1144","")</f>
        <v/>
      </c>
      <c r="C3301" t="str">
        <f>FORSIDE!$C$3</f>
        <v>S355, Stål / VFHUP 140x140x8.0</v>
      </c>
    </row>
    <row r="3302" spans="1:3" x14ac:dyDescent="0.3">
      <c r="A3302" t="str">
        <f>IF(AND(FORSIDE!$B$8&gt;=20,FORSIDE!$F$8&gt;=4,FORSIDE!$B$5&gt;=1),"S3301","")</f>
        <v/>
      </c>
      <c r="B3302" t="str">
        <f>IF(AND(FORSIDE!$B$8&gt;=20,FORSIDE!$F$8&gt;=4,FORSIDE!$B$5&gt;=1),"1135 -&gt; 1146","")</f>
        <v/>
      </c>
      <c r="C3302" t="str">
        <f>FORSIDE!$C$3</f>
        <v>S355, Stål / VFHUP 140x140x8.0</v>
      </c>
    </row>
    <row r="3303" spans="1:3" x14ac:dyDescent="0.3">
      <c r="A3303" t="str">
        <f>IF(AND(FORSIDE!$B$8&gt;=20,FORSIDE!$F$8&gt;=4,FORSIDE!$B$5&gt;=2),"S3302","")</f>
        <v/>
      </c>
      <c r="B3303" t="str">
        <f>IF(AND(FORSIDE!$B$8&gt;=20,FORSIDE!$F$8&gt;=4,FORSIDE!$B$5&gt;=2),"1136 -&gt; 1147","")</f>
        <v/>
      </c>
      <c r="C3303" t="str">
        <f>FORSIDE!$C$3</f>
        <v>S355, Stål / VFHUP 140x140x8.0</v>
      </c>
    </row>
    <row r="3304" spans="1:3" x14ac:dyDescent="0.3">
      <c r="A3304" t="str">
        <f>IF(AND(FORSIDE!$B$8&gt;=20,FORSIDE!$F$8&gt;=4,FORSIDE!$B$5&gt;=3),"S3303","")</f>
        <v/>
      </c>
      <c r="B3304" t="str">
        <f>IF(AND(FORSIDE!$B$8&gt;=20,FORSIDE!$F$8&gt;=4,FORSIDE!$B$5&gt;=3),"1137 -&gt; 1148","")</f>
        <v/>
      </c>
      <c r="C3304" t="str">
        <f>FORSIDE!$C$3</f>
        <v>S355, Stål / VFHUP 140x140x8.0</v>
      </c>
    </row>
    <row r="3305" spans="1:3" x14ac:dyDescent="0.3">
      <c r="A3305" t="str">
        <f>IF(AND(FORSIDE!$B$8&gt;=20,FORSIDE!$F$8&gt;=4,FORSIDE!$B$5&gt;=4),"S3304","")</f>
        <v/>
      </c>
      <c r="B3305" t="str">
        <f>IF(AND(FORSIDE!$B$8&gt;=20,FORSIDE!$F$8&gt;=4,FORSIDE!$B$5&gt;=4),"1138 -&gt; 1149","")</f>
        <v/>
      </c>
      <c r="C3305" t="str">
        <f>FORSIDE!$C$3</f>
        <v>S355, Stål / VFHUP 140x140x8.0</v>
      </c>
    </row>
    <row r="3306" spans="1:3" x14ac:dyDescent="0.3">
      <c r="A3306" t="str">
        <f>IF(AND(FORSIDE!$B$8&gt;=20,FORSIDE!$F$8&gt;=4,FORSIDE!$B$5&gt;=5),"S3305","")</f>
        <v/>
      </c>
      <c r="B3306" t="str">
        <f>IF(AND(FORSIDE!$B$8&gt;=20,FORSIDE!$F$8&gt;=4,FORSIDE!$B$5&gt;=5),"1139 -&gt; 1150","")</f>
        <v/>
      </c>
      <c r="C3306" t="str">
        <f>FORSIDE!$C$3</f>
        <v>S355, Stål / VFHUP 140x140x8.0</v>
      </c>
    </row>
    <row r="3307" spans="1:3" x14ac:dyDescent="0.3">
      <c r="A3307" t="str">
        <f>IF(AND(FORSIDE!$B$8&gt;=20,FORSIDE!$F$8&gt;=4,FORSIDE!$B$5&gt;=6),"S3306","")</f>
        <v/>
      </c>
      <c r="B3307" t="str">
        <f>IF(AND(FORSIDE!$B$8&gt;=20,FORSIDE!$F$8&gt;=4,FORSIDE!$B$5&gt;=6),"1140 -&gt; 1151","")</f>
        <v/>
      </c>
      <c r="C3307" t="str">
        <f>FORSIDE!$C$3</f>
        <v>S355, Stål / VFHUP 140x140x8.0</v>
      </c>
    </row>
    <row r="3308" spans="1:3" x14ac:dyDescent="0.3">
      <c r="A3308" t="str">
        <f>IF(AND(FORSIDE!$B$8&gt;=20,FORSIDE!$F$8&gt;=4,FORSIDE!$B$5&gt;=7),"S3307","")</f>
        <v/>
      </c>
      <c r="B3308" t="str">
        <f>IF(AND(FORSIDE!$B$8&gt;=20,FORSIDE!$F$8&gt;=4,FORSIDE!$B$5&gt;=7),"1141 -&gt; 1152","")</f>
        <v/>
      </c>
      <c r="C3308" t="str">
        <f>FORSIDE!$C$3</f>
        <v>S355, Stål / VFHUP 140x140x8.0</v>
      </c>
    </row>
    <row r="3309" spans="1:3" x14ac:dyDescent="0.3">
      <c r="A3309" t="str">
        <f>IF(AND(FORSIDE!$B$8&gt;=20,FORSIDE!$F$8&gt;=4,FORSIDE!$B$5&gt;=8),"S3308","")</f>
        <v/>
      </c>
      <c r="B3309" t="str">
        <f>IF(AND(FORSIDE!$B$8&gt;=20,FORSIDE!$F$8&gt;=4,FORSIDE!$B$5&gt;=8),"1142 -&gt; 1153","")</f>
        <v/>
      </c>
      <c r="C3309" t="str">
        <f>FORSIDE!$C$3</f>
        <v>S355, Stål / VFHUP 140x140x8.0</v>
      </c>
    </row>
    <row r="3310" spans="1:3" x14ac:dyDescent="0.3">
      <c r="A3310" t="str">
        <f>IF(AND(FORSIDE!$B$8&gt;=20,FORSIDE!$F$8&gt;=4,FORSIDE!$B$5&gt;=9),"S3309","")</f>
        <v/>
      </c>
      <c r="B3310" t="str">
        <f>IF(AND(FORSIDE!$B$8&gt;=20,FORSIDE!$F$8&gt;=4,FORSIDE!$B$5&gt;=9),"1143 -&gt; 1154","")</f>
        <v/>
      </c>
      <c r="C3310" t="str">
        <f>FORSIDE!$C$3</f>
        <v>S355, Stål / VFHUP 140x140x8.0</v>
      </c>
    </row>
    <row r="3311" spans="1:3" x14ac:dyDescent="0.3">
      <c r="A3311" t="str">
        <f>IF(AND(FORSIDE!$B$8&gt;=20,FORSIDE!$F$8&gt;=4,FORSIDE!$B$5&gt;=10),"S3310","")</f>
        <v/>
      </c>
      <c r="B3311" t="str">
        <f>IF(AND(FORSIDE!$B$8&gt;=20,FORSIDE!$F$8&gt;=4,FORSIDE!$B$5&gt;=10),"1144 -&gt; 1155","")</f>
        <v/>
      </c>
      <c r="C3311" t="str">
        <f>FORSIDE!$C$3</f>
        <v>S355, Stål / VFHUP 140x140x8.0</v>
      </c>
    </row>
    <row r="3312" spans="1:3" x14ac:dyDescent="0.3">
      <c r="A3312" t="str">
        <f>IF(AND(FORSIDE!$B$8&gt;=1,FORSIDE!$F$8&gt;=5,FORSIDE!$B$5&gt;=1),"S3311","")</f>
        <v/>
      </c>
      <c r="B3312" t="str">
        <f>IF(AND(FORSIDE!$B$8&gt;=1,FORSIDE!$F$8&gt;=5,FORSIDE!$B$5&gt;=1),"1157 -&gt; 1168","")</f>
        <v/>
      </c>
      <c r="C3312" t="str">
        <f>FORSIDE!$C$3</f>
        <v>S355, Stål / VFHUP 140x140x8.0</v>
      </c>
    </row>
    <row r="3313" spans="1:3" x14ac:dyDescent="0.3">
      <c r="A3313" t="str">
        <f>IF(AND(FORSIDE!$B$8&gt;=1,FORSIDE!$F$8&gt;=5,FORSIDE!$B$5&gt;=2),"S3312","")</f>
        <v/>
      </c>
      <c r="B3313" t="str">
        <f>IF(AND(FORSIDE!$B$8&gt;=1,FORSIDE!$F$8&gt;=5,FORSIDE!$B$5&gt;=2),"1158 -&gt; 1169","")</f>
        <v/>
      </c>
      <c r="C3313" t="str">
        <f>FORSIDE!$C$3</f>
        <v>S355, Stål / VFHUP 140x140x8.0</v>
      </c>
    </row>
    <row r="3314" spans="1:3" x14ac:dyDescent="0.3">
      <c r="A3314" t="str">
        <f>IF(AND(FORSIDE!$B$8&gt;=1,FORSIDE!$F$8&gt;=5,FORSIDE!$B$5&gt;=3),"S3313","")</f>
        <v/>
      </c>
      <c r="B3314" t="str">
        <f>IF(AND(FORSIDE!$B$8&gt;=1,FORSIDE!$F$8&gt;=5,FORSIDE!$B$5&gt;=3),"1159 -&gt; 1170","")</f>
        <v/>
      </c>
      <c r="C3314" t="str">
        <f>FORSIDE!$C$3</f>
        <v>S355, Stål / VFHUP 140x140x8.0</v>
      </c>
    </row>
    <row r="3315" spans="1:3" x14ac:dyDescent="0.3">
      <c r="A3315" t="str">
        <f>IF(AND(FORSIDE!$B$8&gt;=1,FORSIDE!$F$8&gt;=5,FORSIDE!$B$5&gt;=4),"S3314","")</f>
        <v/>
      </c>
      <c r="B3315" t="str">
        <f>IF(AND(FORSIDE!$B$8&gt;=1,FORSIDE!$F$8&gt;=5,FORSIDE!$B$5&gt;=4),"1160 -&gt; 1171","")</f>
        <v/>
      </c>
      <c r="C3315" t="str">
        <f>FORSIDE!$C$3</f>
        <v>S355, Stål / VFHUP 140x140x8.0</v>
      </c>
    </row>
    <row r="3316" spans="1:3" x14ac:dyDescent="0.3">
      <c r="A3316" t="str">
        <f>IF(AND(FORSIDE!$B$8&gt;=1,FORSIDE!$F$8&gt;=5,FORSIDE!$B$5&gt;=5),"S3315","")</f>
        <v/>
      </c>
      <c r="B3316" t="str">
        <f>IF(AND(FORSIDE!$B$8&gt;=1,FORSIDE!$F$8&gt;=5,FORSIDE!$B$5&gt;=5),"1161 -&gt; 1172","")</f>
        <v/>
      </c>
      <c r="C3316" t="str">
        <f>FORSIDE!$C$3</f>
        <v>S355, Stål / VFHUP 140x140x8.0</v>
      </c>
    </row>
    <row r="3317" spans="1:3" x14ac:dyDescent="0.3">
      <c r="A3317" t="str">
        <f>IF(AND(FORSIDE!$B$8&gt;=1,FORSIDE!$F$8&gt;=5,FORSIDE!$B$5&gt;=6),"S3316","")</f>
        <v/>
      </c>
      <c r="B3317" t="str">
        <f>IF(AND(FORSIDE!$B$8&gt;=1,FORSIDE!$F$8&gt;=5,FORSIDE!$B$5&gt;=6),"1162 -&gt; 1173","")</f>
        <v/>
      </c>
      <c r="C3317" t="str">
        <f>FORSIDE!$C$3</f>
        <v>S355, Stål / VFHUP 140x140x8.0</v>
      </c>
    </row>
    <row r="3318" spans="1:3" x14ac:dyDescent="0.3">
      <c r="A3318" t="str">
        <f>IF(AND(FORSIDE!$B$8&gt;=1,FORSIDE!$F$8&gt;=5,FORSIDE!$B$5&gt;=7),"S3317","")</f>
        <v/>
      </c>
      <c r="B3318" t="str">
        <f>IF(AND(FORSIDE!$B$8&gt;=1,FORSIDE!$F$8&gt;=5,FORSIDE!$B$5&gt;=7),"1163 -&gt; 1174","")</f>
        <v/>
      </c>
      <c r="C3318" t="str">
        <f>FORSIDE!$C$3</f>
        <v>S355, Stål / VFHUP 140x140x8.0</v>
      </c>
    </row>
    <row r="3319" spans="1:3" x14ac:dyDescent="0.3">
      <c r="A3319" t="str">
        <f>IF(AND(FORSIDE!$B$8&gt;=1,FORSIDE!$F$8&gt;=5,FORSIDE!$B$5&gt;=8),"S3318","")</f>
        <v/>
      </c>
      <c r="B3319" t="str">
        <f>IF(AND(FORSIDE!$B$8&gt;=1,FORSIDE!$F$8&gt;=5,FORSIDE!$B$5&gt;=8),"1164 -&gt; 1175","")</f>
        <v/>
      </c>
      <c r="C3319" t="str">
        <f>FORSIDE!$C$3</f>
        <v>S355, Stål / VFHUP 140x140x8.0</v>
      </c>
    </row>
    <row r="3320" spans="1:3" x14ac:dyDescent="0.3">
      <c r="A3320" t="str">
        <f>IF(AND(FORSIDE!$B$8&gt;=1,FORSIDE!$F$8&gt;=5,FORSIDE!$B$5&gt;=9),"S3319","")</f>
        <v/>
      </c>
      <c r="B3320" t="str">
        <f>IF(AND(FORSIDE!$B$8&gt;=1,FORSIDE!$F$8&gt;=5,FORSIDE!$B$5&gt;=9),"1165 -&gt; 1176","")</f>
        <v/>
      </c>
      <c r="C3320" t="str">
        <f>FORSIDE!$C$3</f>
        <v>S355, Stål / VFHUP 140x140x8.0</v>
      </c>
    </row>
    <row r="3321" spans="1:3" x14ac:dyDescent="0.3">
      <c r="A3321" t="str">
        <f>IF(AND(FORSIDE!$B$8&gt;=1,FORSIDE!$F$8&gt;=5,FORSIDE!$B$5&gt;=10),"S3320","")</f>
        <v/>
      </c>
      <c r="B3321" t="str">
        <f>IF(AND(FORSIDE!$B$8&gt;=1,FORSIDE!$F$8&gt;=5,FORSIDE!$B$5&gt;=10),"1166 -&gt; 1177","")</f>
        <v/>
      </c>
      <c r="C3321" t="str">
        <f>FORSIDE!$C$3</f>
        <v>S355, Stål / VFHUP 140x140x8.0</v>
      </c>
    </row>
    <row r="3322" spans="1:3" x14ac:dyDescent="0.3">
      <c r="A3322" t="str">
        <f>IF(AND(FORSIDE!$B$8&gt;=2,FORSIDE!$F$8&gt;=5,FORSIDE!$B$5&gt;=1),"S3321","")</f>
        <v/>
      </c>
      <c r="B3322" t="str">
        <f>IF(AND(FORSIDE!$B$8&gt;=2,FORSIDE!$F$8&gt;=5,FORSIDE!$B$5&gt;=1),"1168 -&gt; 1179","")</f>
        <v/>
      </c>
      <c r="C3322" t="str">
        <f>FORSIDE!$C$3</f>
        <v>S355, Stål / VFHUP 140x140x8.0</v>
      </c>
    </row>
    <row r="3323" spans="1:3" x14ac:dyDescent="0.3">
      <c r="A3323" t="str">
        <f>IF(AND(FORSIDE!$B$8&gt;=2,FORSIDE!$F$8&gt;=5,FORSIDE!$B$5&gt;=2),"S3322","")</f>
        <v/>
      </c>
      <c r="B3323" t="str">
        <f>IF(AND(FORSIDE!$B$8&gt;=2,FORSIDE!$F$8&gt;=5,FORSIDE!$B$5&gt;=2),"1169 -&gt; 1180","")</f>
        <v/>
      </c>
      <c r="C3323" t="str">
        <f>FORSIDE!$C$3</f>
        <v>S355, Stål / VFHUP 140x140x8.0</v>
      </c>
    </row>
    <row r="3324" spans="1:3" x14ac:dyDescent="0.3">
      <c r="A3324" t="str">
        <f>IF(AND(FORSIDE!$B$8&gt;=2,FORSIDE!$F$8&gt;=5,FORSIDE!$B$5&gt;=3),"S3323","")</f>
        <v/>
      </c>
      <c r="B3324" t="str">
        <f>IF(AND(FORSIDE!$B$8&gt;=2,FORSIDE!$F$8&gt;=5,FORSIDE!$B$5&gt;=3),"1170 -&gt; 1181","")</f>
        <v/>
      </c>
      <c r="C3324" t="str">
        <f>FORSIDE!$C$3</f>
        <v>S355, Stål / VFHUP 140x140x8.0</v>
      </c>
    </row>
    <row r="3325" spans="1:3" x14ac:dyDescent="0.3">
      <c r="A3325" t="str">
        <f>IF(AND(FORSIDE!$B$8&gt;=2,FORSIDE!$F$8&gt;=5,FORSIDE!$B$5&gt;=4),"S3324","")</f>
        <v/>
      </c>
      <c r="B3325" t="str">
        <f>IF(AND(FORSIDE!$B$8&gt;=2,FORSIDE!$F$8&gt;=5,FORSIDE!$B$5&gt;=4),"1171 -&gt; 1182","")</f>
        <v/>
      </c>
      <c r="C3325" t="str">
        <f>FORSIDE!$C$3</f>
        <v>S355, Stål / VFHUP 140x140x8.0</v>
      </c>
    </row>
    <row r="3326" spans="1:3" x14ac:dyDescent="0.3">
      <c r="A3326" t="str">
        <f>IF(AND(FORSIDE!$B$8&gt;=2,FORSIDE!$F$8&gt;=5,FORSIDE!$B$5&gt;=5),"S3325","")</f>
        <v/>
      </c>
      <c r="B3326" t="str">
        <f>IF(AND(FORSIDE!$B$8&gt;=2,FORSIDE!$F$8&gt;=5,FORSIDE!$B$5&gt;=5),"1172 -&gt; 1183","")</f>
        <v/>
      </c>
      <c r="C3326" t="str">
        <f>FORSIDE!$C$3</f>
        <v>S355, Stål / VFHUP 140x140x8.0</v>
      </c>
    </row>
    <row r="3327" spans="1:3" x14ac:dyDescent="0.3">
      <c r="A3327" t="str">
        <f>IF(AND(FORSIDE!$B$8&gt;=2,FORSIDE!$F$8&gt;=5,FORSIDE!$B$5&gt;=6),"S3326","")</f>
        <v/>
      </c>
      <c r="B3327" t="str">
        <f>IF(AND(FORSIDE!$B$8&gt;=2,FORSIDE!$F$8&gt;=5,FORSIDE!$B$5&gt;=6),"1173 -&gt; 1184","")</f>
        <v/>
      </c>
      <c r="C3327" t="str">
        <f>FORSIDE!$C$3</f>
        <v>S355, Stål / VFHUP 140x140x8.0</v>
      </c>
    </row>
    <row r="3328" spans="1:3" x14ac:dyDescent="0.3">
      <c r="A3328" t="str">
        <f>IF(AND(FORSIDE!$B$8&gt;=2,FORSIDE!$F$8&gt;=5,FORSIDE!$B$5&gt;=7),"S3327","")</f>
        <v/>
      </c>
      <c r="B3328" t="str">
        <f>IF(AND(FORSIDE!$B$8&gt;=2,FORSIDE!$F$8&gt;=5,FORSIDE!$B$5&gt;=7),"1174 -&gt; 1185","")</f>
        <v/>
      </c>
      <c r="C3328" t="str">
        <f>FORSIDE!$C$3</f>
        <v>S355, Stål / VFHUP 140x140x8.0</v>
      </c>
    </row>
    <row r="3329" spans="1:3" x14ac:dyDescent="0.3">
      <c r="A3329" t="str">
        <f>IF(AND(FORSIDE!$B$8&gt;=2,FORSIDE!$F$8&gt;=5,FORSIDE!$B$5&gt;=8),"S3328","")</f>
        <v/>
      </c>
      <c r="B3329" t="str">
        <f>IF(AND(FORSIDE!$B$8&gt;=2,FORSIDE!$F$8&gt;=5,FORSIDE!$B$5&gt;=8),"1175 -&gt; 1186","")</f>
        <v/>
      </c>
      <c r="C3329" t="str">
        <f>FORSIDE!$C$3</f>
        <v>S355, Stål / VFHUP 140x140x8.0</v>
      </c>
    </row>
    <row r="3330" spans="1:3" x14ac:dyDescent="0.3">
      <c r="A3330" t="str">
        <f>IF(AND(FORSIDE!$B$8&gt;=2,FORSIDE!$F$8&gt;=5,FORSIDE!$B$5&gt;=9),"S3329","")</f>
        <v/>
      </c>
      <c r="B3330" t="str">
        <f>IF(AND(FORSIDE!$B$8&gt;=2,FORSIDE!$F$8&gt;=5,FORSIDE!$B$5&gt;=9),"1176 -&gt; 1187","")</f>
        <v/>
      </c>
      <c r="C3330" t="str">
        <f>FORSIDE!$C$3</f>
        <v>S355, Stål / VFHUP 140x140x8.0</v>
      </c>
    </row>
    <row r="3331" spans="1:3" x14ac:dyDescent="0.3">
      <c r="A3331" t="str">
        <f>IF(AND(FORSIDE!$B$8&gt;=2,FORSIDE!$F$8&gt;=5,FORSIDE!$B$5&gt;=10),"S3330","")</f>
        <v/>
      </c>
      <c r="B3331" t="str">
        <f>IF(AND(FORSIDE!$B$8&gt;=2,FORSIDE!$F$8&gt;=5,FORSIDE!$B$5&gt;=10),"1177 -&gt; 1188","")</f>
        <v/>
      </c>
      <c r="C3331" t="str">
        <f>FORSIDE!$C$3</f>
        <v>S355, Stål / VFHUP 140x140x8.0</v>
      </c>
    </row>
    <row r="3332" spans="1:3" x14ac:dyDescent="0.3">
      <c r="A3332" t="str">
        <f>IF(AND(FORSIDE!$B$8&gt;=3,FORSIDE!$F$8&gt;=5,FORSIDE!$B$5&gt;=1),"S3331","")</f>
        <v/>
      </c>
      <c r="B3332" t="str">
        <f>IF(AND(FORSIDE!$B$8&gt;=3,FORSIDE!$F$8&gt;=5,FORSIDE!$B$5&gt;=1),"1179 -&gt; 1190","")</f>
        <v/>
      </c>
      <c r="C3332" t="str">
        <f>FORSIDE!$C$3</f>
        <v>S355, Stål / VFHUP 140x140x8.0</v>
      </c>
    </row>
    <row r="3333" spans="1:3" x14ac:dyDescent="0.3">
      <c r="A3333" t="str">
        <f>IF(AND(FORSIDE!$B$8&gt;=3,FORSIDE!$F$8&gt;=5,FORSIDE!$B$5&gt;=2),"S3332","")</f>
        <v/>
      </c>
      <c r="B3333" t="str">
        <f>IF(AND(FORSIDE!$B$8&gt;=3,FORSIDE!$F$8&gt;=5,FORSIDE!$B$5&gt;=2),"1180 -&gt; 1191","")</f>
        <v/>
      </c>
      <c r="C3333" t="str">
        <f>FORSIDE!$C$3</f>
        <v>S355, Stål / VFHUP 140x140x8.0</v>
      </c>
    </row>
    <row r="3334" spans="1:3" x14ac:dyDescent="0.3">
      <c r="A3334" t="str">
        <f>IF(AND(FORSIDE!$B$8&gt;=3,FORSIDE!$F$8&gt;=5,FORSIDE!$B$5&gt;=3),"S3333","")</f>
        <v/>
      </c>
      <c r="B3334" t="str">
        <f>IF(AND(FORSIDE!$B$8&gt;=3,FORSIDE!$F$8&gt;=5,FORSIDE!$B$5&gt;=3),"1181 -&gt; 1192","")</f>
        <v/>
      </c>
      <c r="C3334" t="str">
        <f>FORSIDE!$C$3</f>
        <v>S355, Stål / VFHUP 140x140x8.0</v>
      </c>
    </row>
    <row r="3335" spans="1:3" x14ac:dyDescent="0.3">
      <c r="A3335" t="str">
        <f>IF(AND(FORSIDE!$B$8&gt;=3,FORSIDE!$F$8&gt;=5,FORSIDE!$B$5&gt;=4),"S3334","")</f>
        <v/>
      </c>
      <c r="B3335" t="str">
        <f>IF(AND(FORSIDE!$B$8&gt;=3,FORSIDE!$F$8&gt;=5,FORSIDE!$B$5&gt;=4),"1182 -&gt; 1193","")</f>
        <v/>
      </c>
      <c r="C3335" t="str">
        <f>FORSIDE!$C$3</f>
        <v>S355, Stål / VFHUP 140x140x8.0</v>
      </c>
    </row>
    <row r="3336" spans="1:3" x14ac:dyDescent="0.3">
      <c r="A3336" t="str">
        <f>IF(AND(FORSIDE!$B$8&gt;=3,FORSIDE!$F$8&gt;=5,FORSIDE!$B$5&gt;=5),"S3335","")</f>
        <v/>
      </c>
      <c r="B3336" t="str">
        <f>IF(AND(FORSIDE!$B$8&gt;=3,FORSIDE!$F$8&gt;=5,FORSIDE!$B$5&gt;=5),"1183 -&gt; 1194","")</f>
        <v/>
      </c>
      <c r="C3336" t="str">
        <f>FORSIDE!$C$3</f>
        <v>S355, Stål / VFHUP 140x140x8.0</v>
      </c>
    </row>
    <row r="3337" spans="1:3" x14ac:dyDescent="0.3">
      <c r="A3337" t="str">
        <f>IF(AND(FORSIDE!$B$8&gt;=3,FORSIDE!$F$8&gt;=5,FORSIDE!$B$5&gt;=6),"S3336","")</f>
        <v/>
      </c>
      <c r="B3337" t="str">
        <f>IF(AND(FORSIDE!$B$8&gt;=3,FORSIDE!$F$8&gt;=5,FORSIDE!$B$5&gt;=6),"1184 -&gt; 1195","")</f>
        <v/>
      </c>
      <c r="C3337" t="str">
        <f>FORSIDE!$C$3</f>
        <v>S355, Stål / VFHUP 140x140x8.0</v>
      </c>
    </row>
    <row r="3338" spans="1:3" x14ac:dyDescent="0.3">
      <c r="A3338" t="str">
        <f>IF(AND(FORSIDE!$B$8&gt;=3,FORSIDE!$F$8&gt;=5,FORSIDE!$B$5&gt;=7),"S3337","")</f>
        <v/>
      </c>
      <c r="B3338" t="str">
        <f>IF(AND(FORSIDE!$B$8&gt;=3,FORSIDE!$F$8&gt;=5,FORSIDE!$B$5&gt;=7),"1185 -&gt; 1196","")</f>
        <v/>
      </c>
      <c r="C3338" t="str">
        <f>FORSIDE!$C$3</f>
        <v>S355, Stål / VFHUP 140x140x8.0</v>
      </c>
    </row>
    <row r="3339" spans="1:3" x14ac:dyDescent="0.3">
      <c r="A3339" t="str">
        <f>IF(AND(FORSIDE!$B$8&gt;=3,FORSIDE!$F$8&gt;=5,FORSIDE!$B$5&gt;=8),"S3338","")</f>
        <v/>
      </c>
      <c r="B3339" t="str">
        <f>IF(AND(FORSIDE!$B$8&gt;=3,FORSIDE!$F$8&gt;=5,FORSIDE!$B$5&gt;=8),"1186 -&gt; 1197","")</f>
        <v/>
      </c>
      <c r="C3339" t="str">
        <f>FORSIDE!$C$3</f>
        <v>S355, Stål / VFHUP 140x140x8.0</v>
      </c>
    </row>
    <row r="3340" spans="1:3" x14ac:dyDescent="0.3">
      <c r="A3340" t="str">
        <f>IF(AND(FORSIDE!$B$8&gt;=3,FORSIDE!$F$8&gt;=5,FORSIDE!$B$5&gt;=9),"S3339","")</f>
        <v/>
      </c>
      <c r="B3340" t="str">
        <f>IF(AND(FORSIDE!$B$8&gt;=3,FORSIDE!$F$8&gt;=5,FORSIDE!$B$5&gt;=9),"1187 -&gt; 1198","")</f>
        <v/>
      </c>
      <c r="C3340" t="str">
        <f>FORSIDE!$C$3</f>
        <v>S355, Stål / VFHUP 140x140x8.0</v>
      </c>
    </row>
    <row r="3341" spans="1:3" x14ac:dyDescent="0.3">
      <c r="A3341" t="str">
        <f>IF(AND(FORSIDE!$B$8&gt;=3,FORSIDE!$F$8&gt;=5,FORSIDE!$B$5&gt;=10),"S3340","")</f>
        <v/>
      </c>
      <c r="B3341" t="str">
        <f>IF(AND(FORSIDE!$B$8&gt;=3,FORSIDE!$F$8&gt;=5,FORSIDE!$B$5&gt;=10),"1188 -&gt; 1199","")</f>
        <v/>
      </c>
      <c r="C3341" t="str">
        <f>FORSIDE!$C$3</f>
        <v>S355, Stål / VFHUP 140x140x8.0</v>
      </c>
    </row>
    <row r="3342" spans="1:3" x14ac:dyDescent="0.3">
      <c r="A3342" t="str">
        <f>IF(AND(FORSIDE!$B$8&gt;=4,FORSIDE!$F$8&gt;=5,FORSIDE!$B$5&gt;=1),"S3341","")</f>
        <v/>
      </c>
      <c r="B3342" t="str">
        <f>IF(AND(FORSIDE!$B$8&gt;=4,FORSIDE!$F$8&gt;=5,FORSIDE!$B$5&gt;=1),"1190 -&gt; 1201","")</f>
        <v/>
      </c>
      <c r="C3342" t="str">
        <f>FORSIDE!$C$3</f>
        <v>S355, Stål / VFHUP 140x140x8.0</v>
      </c>
    </row>
    <row r="3343" spans="1:3" x14ac:dyDescent="0.3">
      <c r="A3343" t="str">
        <f>IF(AND(FORSIDE!$B$8&gt;=4,FORSIDE!$F$8&gt;=5,FORSIDE!$B$5&gt;=2),"S3342","")</f>
        <v/>
      </c>
      <c r="B3343" t="str">
        <f>IF(AND(FORSIDE!$B$8&gt;=4,FORSIDE!$F$8&gt;=5,FORSIDE!$B$5&gt;=2),"1191 -&gt; 1202","")</f>
        <v/>
      </c>
      <c r="C3343" t="str">
        <f>FORSIDE!$C$3</f>
        <v>S355, Stål / VFHUP 140x140x8.0</v>
      </c>
    </row>
    <row r="3344" spans="1:3" x14ac:dyDescent="0.3">
      <c r="A3344" t="str">
        <f>IF(AND(FORSIDE!$B$8&gt;=4,FORSIDE!$F$8&gt;=5,FORSIDE!$B$5&gt;=3),"S3343","")</f>
        <v/>
      </c>
      <c r="B3344" t="str">
        <f>IF(AND(FORSIDE!$B$8&gt;=4,FORSIDE!$F$8&gt;=5,FORSIDE!$B$5&gt;=3),"1192 -&gt; 1203","")</f>
        <v/>
      </c>
      <c r="C3344" t="str">
        <f>FORSIDE!$C$3</f>
        <v>S355, Stål / VFHUP 140x140x8.0</v>
      </c>
    </row>
    <row r="3345" spans="1:3" x14ac:dyDescent="0.3">
      <c r="A3345" t="str">
        <f>IF(AND(FORSIDE!$B$8&gt;=4,FORSIDE!$F$8&gt;=5,FORSIDE!$B$5&gt;=4),"S3344","")</f>
        <v/>
      </c>
      <c r="B3345" t="str">
        <f>IF(AND(FORSIDE!$B$8&gt;=4,FORSIDE!$F$8&gt;=5,FORSIDE!$B$5&gt;=4),"1193 -&gt; 1204","")</f>
        <v/>
      </c>
      <c r="C3345" t="str">
        <f>FORSIDE!$C$3</f>
        <v>S355, Stål / VFHUP 140x140x8.0</v>
      </c>
    </row>
    <row r="3346" spans="1:3" x14ac:dyDescent="0.3">
      <c r="A3346" t="str">
        <f>IF(AND(FORSIDE!$B$8&gt;=4,FORSIDE!$F$8&gt;=5,FORSIDE!$B$5&gt;=5),"S3345","")</f>
        <v/>
      </c>
      <c r="B3346" t="str">
        <f>IF(AND(FORSIDE!$B$8&gt;=4,FORSIDE!$F$8&gt;=5,FORSIDE!$B$5&gt;=5),"1194 -&gt; 1205","")</f>
        <v/>
      </c>
      <c r="C3346" t="str">
        <f>FORSIDE!$C$3</f>
        <v>S355, Stål / VFHUP 140x140x8.0</v>
      </c>
    </row>
    <row r="3347" spans="1:3" x14ac:dyDescent="0.3">
      <c r="A3347" t="str">
        <f>IF(AND(FORSIDE!$B$8&gt;=4,FORSIDE!$F$8&gt;=5,FORSIDE!$B$5&gt;=6),"S3346","")</f>
        <v/>
      </c>
      <c r="B3347" t="str">
        <f>IF(AND(FORSIDE!$B$8&gt;=4,FORSIDE!$F$8&gt;=5,FORSIDE!$B$5&gt;=6),"1195 -&gt; 1206","")</f>
        <v/>
      </c>
      <c r="C3347" t="str">
        <f>FORSIDE!$C$3</f>
        <v>S355, Stål / VFHUP 140x140x8.0</v>
      </c>
    </row>
    <row r="3348" spans="1:3" x14ac:dyDescent="0.3">
      <c r="A3348" t="str">
        <f>IF(AND(FORSIDE!$B$8&gt;=4,FORSIDE!$F$8&gt;=5,FORSIDE!$B$5&gt;=7),"S3347","")</f>
        <v/>
      </c>
      <c r="B3348" t="str">
        <f>IF(AND(FORSIDE!$B$8&gt;=4,FORSIDE!$F$8&gt;=5,FORSIDE!$B$5&gt;=7),"1196 -&gt; 1207","")</f>
        <v/>
      </c>
      <c r="C3348" t="str">
        <f>FORSIDE!$C$3</f>
        <v>S355, Stål / VFHUP 140x140x8.0</v>
      </c>
    </row>
    <row r="3349" spans="1:3" x14ac:dyDescent="0.3">
      <c r="A3349" t="str">
        <f>IF(AND(FORSIDE!$B$8&gt;=4,FORSIDE!$F$8&gt;=5,FORSIDE!$B$5&gt;=8),"S3348","")</f>
        <v/>
      </c>
      <c r="B3349" t="str">
        <f>IF(AND(FORSIDE!$B$8&gt;=4,FORSIDE!$F$8&gt;=5,FORSIDE!$B$5&gt;=8),"1197 -&gt; 1208","")</f>
        <v/>
      </c>
      <c r="C3349" t="str">
        <f>FORSIDE!$C$3</f>
        <v>S355, Stål / VFHUP 140x140x8.0</v>
      </c>
    </row>
    <row r="3350" spans="1:3" x14ac:dyDescent="0.3">
      <c r="A3350" t="str">
        <f>IF(AND(FORSIDE!$B$8&gt;=4,FORSIDE!$F$8&gt;=5,FORSIDE!$B$5&gt;=9),"S3349","")</f>
        <v/>
      </c>
      <c r="B3350" t="str">
        <f>IF(AND(FORSIDE!$B$8&gt;=4,FORSIDE!$F$8&gt;=5,FORSIDE!$B$5&gt;=9),"1198 -&gt; 1209","")</f>
        <v/>
      </c>
      <c r="C3350" t="str">
        <f>FORSIDE!$C$3</f>
        <v>S355, Stål / VFHUP 140x140x8.0</v>
      </c>
    </row>
    <row r="3351" spans="1:3" x14ac:dyDescent="0.3">
      <c r="A3351" t="str">
        <f>IF(AND(FORSIDE!$B$8&gt;=4,FORSIDE!$F$8&gt;=5,FORSIDE!$B$5&gt;=10),"S3350","")</f>
        <v/>
      </c>
      <c r="B3351" t="str">
        <f>IF(AND(FORSIDE!$B$8&gt;=4,FORSIDE!$F$8&gt;=5,FORSIDE!$B$5&gt;=10),"1199 -&gt; 1210","")</f>
        <v/>
      </c>
      <c r="C3351" t="str">
        <f>FORSIDE!$C$3</f>
        <v>S355, Stål / VFHUP 140x140x8.0</v>
      </c>
    </row>
    <row r="3352" spans="1:3" x14ac:dyDescent="0.3">
      <c r="A3352" t="str">
        <f>IF(AND(FORSIDE!$B$8&gt;=5,FORSIDE!$F$8&gt;=5,FORSIDE!$B$5&gt;=1),"S3351","")</f>
        <v/>
      </c>
      <c r="B3352" t="str">
        <f>IF(AND(FORSIDE!$B$8&gt;=5,FORSIDE!$F$8&gt;=5,FORSIDE!$B$5&gt;=1),"1201 -&gt; 1212","")</f>
        <v/>
      </c>
      <c r="C3352" t="str">
        <f>FORSIDE!$C$3</f>
        <v>S355, Stål / VFHUP 140x140x8.0</v>
      </c>
    </row>
    <row r="3353" spans="1:3" x14ac:dyDescent="0.3">
      <c r="A3353" t="str">
        <f>IF(AND(FORSIDE!$B$8&gt;=5,FORSIDE!$F$8&gt;=5,FORSIDE!$B$5&gt;=2),"S3352","")</f>
        <v/>
      </c>
      <c r="B3353" t="str">
        <f>IF(AND(FORSIDE!$B$8&gt;=5,FORSIDE!$F$8&gt;=5,FORSIDE!$B$5&gt;=2),"1202 -&gt; 1213","")</f>
        <v/>
      </c>
      <c r="C3353" t="str">
        <f>FORSIDE!$C$3</f>
        <v>S355, Stål / VFHUP 140x140x8.0</v>
      </c>
    </row>
    <row r="3354" spans="1:3" x14ac:dyDescent="0.3">
      <c r="A3354" t="str">
        <f>IF(AND(FORSIDE!$B$8&gt;=5,FORSIDE!$F$8&gt;=5,FORSIDE!$B$5&gt;=3),"S3353","")</f>
        <v/>
      </c>
      <c r="B3354" t="str">
        <f>IF(AND(FORSIDE!$B$8&gt;=5,FORSIDE!$F$8&gt;=5,FORSIDE!$B$5&gt;=3),"1203 -&gt; 1214","")</f>
        <v/>
      </c>
      <c r="C3354" t="str">
        <f>FORSIDE!$C$3</f>
        <v>S355, Stål / VFHUP 140x140x8.0</v>
      </c>
    </row>
    <row r="3355" spans="1:3" x14ac:dyDescent="0.3">
      <c r="A3355" t="str">
        <f>IF(AND(FORSIDE!$B$8&gt;=5,FORSIDE!$F$8&gt;=5,FORSIDE!$B$5&gt;=4),"S3354","")</f>
        <v/>
      </c>
      <c r="B3355" t="str">
        <f>IF(AND(FORSIDE!$B$8&gt;=5,FORSIDE!$F$8&gt;=5,FORSIDE!$B$5&gt;=4),"1204 -&gt; 1215","")</f>
        <v/>
      </c>
      <c r="C3355" t="str">
        <f>FORSIDE!$C$3</f>
        <v>S355, Stål / VFHUP 140x140x8.0</v>
      </c>
    </row>
    <row r="3356" spans="1:3" x14ac:dyDescent="0.3">
      <c r="A3356" t="str">
        <f>IF(AND(FORSIDE!$B$8&gt;=5,FORSIDE!$F$8&gt;=5,FORSIDE!$B$5&gt;=5),"S3355","")</f>
        <v/>
      </c>
      <c r="B3356" t="str">
        <f>IF(AND(FORSIDE!$B$8&gt;=5,FORSIDE!$F$8&gt;=5,FORSIDE!$B$5&gt;=5),"1205 -&gt; 1216","")</f>
        <v/>
      </c>
      <c r="C3356" t="str">
        <f>FORSIDE!$C$3</f>
        <v>S355, Stål / VFHUP 140x140x8.0</v>
      </c>
    </row>
    <row r="3357" spans="1:3" x14ac:dyDescent="0.3">
      <c r="A3357" t="str">
        <f>IF(AND(FORSIDE!$B$8&gt;=5,FORSIDE!$F$8&gt;=5,FORSIDE!$B$5&gt;=6),"S3356","")</f>
        <v/>
      </c>
      <c r="B3357" t="str">
        <f>IF(AND(FORSIDE!$B$8&gt;=5,FORSIDE!$F$8&gt;=5,FORSIDE!$B$5&gt;=6),"1206 -&gt; 1217","")</f>
        <v/>
      </c>
      <c r="C3357" t="str">
        <f>FORSIDE!$C$3</f>
        <v>S355, Stål / VFHUP 140x140x8.0</v>
      </c>
    </row>
    <row r="3358" spans="1:3" x14ac:dyDescent="0.3">
      <c r="A3358" t="str">
        <f>IF(AND(FORSIDE!$B$8&gt;=5,FORSIDE!$F$8&gt;=5,FORSIDE!$B$5&gt;=7),"S3357","")</f>
        <v/>
      </c>
      <c r="B3358" t="str">
        <f>IF(AND(FORSIDE!$B$8&gt;=5,FORSIDE!$F$8&gt;=5,FORSIDE!$B$5&gt;=7),"1207 -&gt; 1218","")</f>
        <v/>
      </c>
      <c r="C3358" t="str">
        <f>FORSIDE!$C$3</f>
        <v>S355, Stål / VFHUP 140x140x8.0</v>
      </c>
    </row>
    <row r="3359" spans="1:3" x14ac:dyDescent="0.3">
      <c r="A3359" t="str">
        <f>IF(AND(FORSIDE!$B$8&gt;=5,FORSIDE!$F$8&gt;=5,FORSIDE!$B$5&gt;=8),"S3358","")</f>
        <v/>
      </c>
      <c r="B3359" t="str">
        <f>IF(AND(FORSIDE!$B$8&gt;=5,FORSIDE!$F$8&gt;=5,FORSIDE!$B$5&gt;=8),"1208 -&gt; 1219","")</f>
        <v/>
      </c>
      <c r="C3359" t="str">
        <f>FORSIDE!$C$3</f>
        <v>S355, Stål / VFHUP 140x140x8.0</v>
      </c>
    </row>
    <row r="3360" spans="1:3" x14ac:dyDescent="0.3">
      <c r="A3360" t="str">
        <f>IF(AND(FORSIDE!$B$8&gt;=5,FORSIDE!$F$8&gt;=5,FORSIDE!$B$5&gt;=9),"S3359","")</f>
        <v/>
      </c>
      <c r="B3360" t="str">
        <f>IF(AND(FORSIDE!$B$8&gt;=5,FORSIDE!$F$8&gt;=5,FORSIDE!$B$5&gt;=9),"1209 -&gt; 1220","")</f>
        <v/>
      </c>
      <c r="C3360" t="str">
        <f>FORSIDE!$C$3</f>
        <v>S355, Stål / VFHUP 140x140x8.0</v>
      </c>
    </row>
    <row r="3361" spans="1:3" x14ac:dyDescent="0.3">
      <c r="A3361" t="str">
        <f>IF(AND(FORSIDE!$B$8&gt;=5,FORSIDE!$F$8&gt;=5,FORSIDE!$B$5&gt;=10),"S3360","")</f>
        <v/>
      </c>
      <c r="B3361" t="str">
        <f>IF(AND(FORSIDE!$B$8&gt;=5,FORSIDE!$F$8&gt;=5,FORSIDE!$B$5&gt;=10),"1210 -&gt; 1221","")</f>
        <v/>
      </c>
      <c r="C3361" t="str">
        <f>FORSIDE!$C$3</f>
        <v>S355, Stål / VFHUP 140x140x8.0</v>
      </c>
    </row>
    <row r="3362" spans="1:3" x14ac:dyDescent="0.3">
      <c r="A3362" t="str">
        <f>IF(AND(FORSIDE!$B$8&gt;=6,FORSIDE!$F$8&gt;=5,FORSIDE!$B$5&gt;=1),"S3361","")</f>
        <v/>
      </c>
      <c r="B3362" t="str">
        <f>IF(AND(FORSIDE!$B$8&gt;=6,FORSIDE!$F$8&gt;=5,FORSIDE!$B$5&gt;=1),"1212 -&gt; 1223","")</f>
        <v/>
      </c>
      <c r="C3362" t="str">
        <f>FORSIDE!$C$3</f>
        <v>S355, Stål / VFHUP 140x140x8.0</v>
      </c>
    </row>
    <row r="3363" spans="1:3" x14ac:dyDescent="0.3">
      <c r="A3363" t="str">
        <f>IF(AND(FORSIDE!$B$8&gt;=6,FORSIDE!$F$8&gt;=5,FORSIDE!$B$5&gt;=2),"S3362","")</f>
        <v/>
      </c>
      <c r="B3363" t="str">
        <f>IF(AND(FORSIDE!$B$8&gt;=6,FORSIDE!$F$8&gt;=5,FORSIDE!$B$5&gt;=2),"1213 -&gt; 1224","")</f>
        <v/>
      </c>
      <c r="C3363" t="str">
        <f>FORSIDE!$C$3</f>
        <v>S355, Stål / VFHUP 140x140x8.0</v>
      </c>
    </row>
    <row r="3364" spans="1:3" x14ac:dyDescent="0.3">
      <c r="A3364" t="str">
        <f>IF(AND(FORSIDE!$B$8&gt;=6,FORSIDE!$F$8&gt;=5,FORSIDE!$B$5&gt;=3),"S3363","")</f>
        <v/>
      </c>
      <c r="B3364" t="str">
        <f>IF(AND(FORSIDE!$B$8&gt;=6,FORSIDE!$F$8&gt;=5,FORSIDE!$B$5&gt;=3),"1214 -&gt; 1225","")</f>
        <v/>
      </c>
      <c r="C3364" t="str">
        <f>FORSIDE!$C$3</f>
        <v>S355, Stål / VFHUP 140x140x8.0</v>
      </c>
    </row>
    <row r="3365" spans="1:3" x14ac:dyDescent="0.3">
      <c r="A3365" t="str">
        <f>IF(AND(FORSIDE!$B$8&gt;=6,FORSIDE!$F$8&gt;=5,FORSIDE!$B$5&gt;=4),"S3364","")</f>
        <v/>
      </c>
      <c r="B3365" t="str">
        <f>IF(AND(FORSIDE!$B$8&gt;=6,FORSIDE!$F$8&gt;=5,FORSIDE!$B$5&gt;=4),"1215 -&gt; 1226","")</f>
        <v/>
      </c>
      <c r="C3365" t="str">
        <f>FORSIDE!$C$3</f>
        <v>S355, Stål / VFHUP 140x140x8.0</v>
      </c>
    </row>
    <row r="3366" spans="1:3" x14ac:dyDescent="0.3">
      <c r="A3366" t="str">
        <f>IF(AND(FORSIDE!$B$8&gt;=6,FORSIDE!$F$8&gt;=5,FORSIDE!$B$5&gt;=5),"S3365","")</f>
        <v/>
      </c>
      <c r="B3366" t="str">
        <f>IF(AND(FORSIDE!$B$8&gt;=6,FORSIDE!$F$8&gt;=5,FORSIDE!$B$5&gt;=5),"1216 -&gt; 1227","")</f>
        <v/>
      </c>
      <c r="C3366" t="str">
        <f>FORSIDE!$C$3</f>
        <v>S355, Stål / VFHUP 140x140x8.0</v>
      </c>
    </row>
    <row r="3367" spans="1:3" x14ac:dyDescent="0.3">
      <c r="A3367" t="str">
        <f>IF(AND(FORSIDE!$B$8&gt;=6,FORSIDE!$F$8&gt;=5,FORSIDE!$B$5&gt;=6),"S3366","")</f>
        <v/>
      </c>
      <c r="B3367" t="str">
        <f>IF(AND(FORSIDE!$B$8&gt;=6,FORSIDE!$F$8&gt;=5,FORSIDE!$B$5&gt;=6),"1217 -&gt; 1228","")</f>
        <v/>
      </c>
      <c r="C3367" t="str">
        <f>FORSIDE!$C$3</f>
        <v>S355, Stål / VFHUP 140x140x8.0</v>
      </c>
    </row>
    <row r="3368" spans="1:3" x14ac:dyDescent="0.3">
      <c r="A3368" t="str">
        <f>IF(AND(FORSIDE!$B$8&gt;=6,FORSIDE!$F$8&gt;=5,FORSIDE!$B$5&gt;=7),"S3367","")</f>
        <v/>
      </c>
      <c r="B3368" t="str">
        <f>IF(AND(FORSIDE!$B$8&gt;=6,FORSIDE!$F$8&gt;=5,FORSIDE!$B$5&gt;=7),"1218 -&gt; 1229","")</f>
        <v/>
      </c>
      <c r="C3368" t="str">
        <f>FORSIDE!$C$3</f>
        <v>S355, Stål / VFHUP 140x140x8.0</v>
      </c>
    </row>
    <row r="3369" spans="1:3" x14ac:dyDescent="0.3">
      <c r="A3369" t="str">
        <f>IF(AND(FORSIDE!$B$8&gt;=6,FORSIDE!$F$8&gt;=5,FORSIDE!$B$5&gt;=8),"S3368","")</f>
        <v/>
      </c>
      <c r="B3369" t="str">
        <f>IF(AND(FORSIDE!$B$8&gt;=6,FORSIDE!$F$8&gt;=5,FORSIDE!$B$5&gt;=8),"1219 -&gt; 1230","")</f>
        <v/>
      </c>
      <c r="C3369" t="str">
        <f>FORSIDE!$C$3</f>
        <v>S355, Stål / VFHUP 140x140x8.0</v>
      </c>
    </row>
    <row r="3370" spans="1:3" x14ac:dyDescent="0.3">
      <c r="A3370" t="str">
        <f>IF(AND(FORSIDE!$B$8&gt;=6,FORSIDE!$F$8&gt;=5,FORSIDE!$B$5&gt;=9),"S3369","")</f>
        <v/>
      </c>
      <c r="B3370" t="str">
        <f>IF(AND(FORSIDE!$B$8&gt;=6,FORSIDE!$F$8&gt;=5,FORSIDE!$B$5&gt;=9),"1220 -&gt; 1231","")</f>
        <v/>
      </c>
      <c r="C3370" t="str">
        <f>FORSIDE!$C$3</f>
        <v>S355, Stål / VFHUP 140x140x8.0</v>
      </c>
    </row>
    <row r="3371" spans="1:3" x14ac:dyDescent="0.3">
      <c r="A3371" t="str">
        <f>IF(AND(FORSIDE!$B$8&gt;=6,FORSIDE!$F$8&gt;=5,FORSIDE!$B$5&gt;=10),"S3370","")</f>
        <v/>
      </c>
      <c r="B3371" t="str">
        <f>IF(AND(FORSIDE!$B$8&gt;=6,FORSIDE!$F$8&gt;=5,FORSIDE!$B$5&gt;=10),"1221 -&gt; 1232","")</f>
        <v/>
      </c>
      <c r="C3371" t="str">
        <f>FORSIDE!$C$3</f>
        <v>S355, Stål / VFHUP 140x140x8.0</v>
      </c>
    </row>
    <row r="3372" spans="1:3" x14ac:dyDescent="0.3">
      <c r="A3372" t="str">
        <f>IF(AND(FORSIDE!$B$8&gt;=7,FORSIDE!$F$8&gt;=5,FORSIDE!$B$5&gt;=1),"S3371","")</f>
        <v/>
      </c>
      <c r="B3372" t="str">
        <f>IF(AND(FORSIDE!$B$8&gt;=7,FORSIDE!$F$8&gt;=5,FORSIDE!$B$5&gt;=1),"1223 -&gt; 1234","")</f>
        <v/>
      </c>
      <c r="C3372" t="str">
        <f>FORSIDE!$C$3</f>
        <v>S355, Stål / VFHUP 140x140x8.0</v>
      </c>
    </row>
    <row r="3373" spans="1:3" x14ac:dyDescent="0.3">
      <c r="A3373" t="str">
        <f>IF(AND(FORSIDE!$B$8&gt;=7,FORSIDE!$F$8&gt;=5,FORSIDE!$B$5&gt;=2),"S3372","")</f>
        <v/>
      </c>
      <c r="B3373" t="str">
        <f>IF(AND(FORSIDE!$B$8&gt;=7,FORSIDE!$F$8&gt;=5,FORSIDE!$B$5&gt;=2),"1224 -&gt; 1235","")</f>
        <v/>
      </c>
      <c r="C3373" t="str">
        <f>FORSIDE!$C$3</f>
        <v>S355, Stål / VFHUP 140x140x8.0</v>
      </c>
    </row>
    <row r="3374" spans="1:3" x14ac:dyDescent="0.3">
      <c r="A3374" t="str">
        <f>IF(AND(FORSIDE!$B$8&gt;=7,FORSIDE!$F$8&gt;=5,FORSIDE!$B$5&gt;=3),"S3373","")</f>
        <v/>
      </c>
      <c r="B3374" t="str">
        <f>IF(AND(FORSIDE!$B$8&gt;=7,FORSIDE!$F$8&gt;=5,FORSIDE!$B$5&gt;=3),"1225 -&gt; 1236","")</f>
        <v/>
      </c>
      <c r="C3374" t="str">
        <f>FORSIDE!$C$3</f>
        <v>S355, Stål / VFHUP 140x140x8.0</v>
      </c>
    </row>
    <row r="3375" spans="1:3" x14ac:dyDescent="0.3">
      <c r="A3375" t="str">
        <f>IF(AND(FORSIDE!$B$8&gt;=7,FORSIDE!$F$8&gt;=5,FORSIDE!$B$5&gt;=4),"S3374","")</f>
        <v/>
      </c>
      <c r="B3375" t="str">
        <f>IF(AND(FORSIDE!$B$8&gt;=7,FORSIDE!$F$8&gt;=5,FORSIDE!$B$5&gt;=4),"1226 -&gt; 1237","")</f>
        <v/>
      </c>
      <c r="C3375" t="str">
        <f>FORSIDE!$C$3</f>
        <v>S355, Stål / VFHUP 140x140x8.0</v>
      </c>
    </row>
    <row r="3376" spans="1:3" x14ac:dyDescent="0.3">
      <c r="A3376" t="str">
        <f>IF(AND(FORSIDE!$B$8&gt;=7,FORSIDE!$F$8&gt;=5,FORSIDE!$B$5&gt;=5),"S3375","")</f>
        <v/>
      </c>
      <c r="B3376" t="str">
        <f>IF(AND(FORSIDE!$B$8&gt;=7,FORSIDE!$F$8&gt;=5,FORSIDE!$B$5&gt;=5),"1227 -&gt; 1238","")</f>
        <v/>
      </c>
      <c r="C3376" t="str">
        <f>FORSIDE!$C$3</f>
        <v>S355, Stål / VFHUP 140x140x8.0</v>
      </c>
    </row>
    <row r="3377" spans="1:3" x14ac:dyDescent="0.3">
      <c r="A3377" t="str">
        <f>IF(AND(FORSIDE!$B$8&gt;=7,FORSIDE!$F$8&gt;=5,FORSIDE!$B$5&gt;=6),"S3376","")</f>
        <v/>
      </c>
      <c r="B3377" t="str">
        <f>IF(AND(FORSIDE!$B$8&gt;=7,FORSIDE!$F$8&gt;=5,FORSIDE!$B$5&gt;=6),"1228 -&gt; 1239","")</f>
        <v/>
      </c>
      <c r="C3377" t="str">
        <f>FORSIDE!$C$3</f>
        <v>S355, Stål / VFHUP 140x140x8.0</v>
      </c>
    </row>
    <row r="3378" spans="1:3" x14ac:dyDescent="0.3">
      <c r="A3378" t="str">
        <f>IF(AND(FORSIDE!$B$8&gt;=7,FORSIDE!$F$8&gt;=5,FORSIDE!$B$5&gt;=7),"S3377","")</f>
        <v/>
      </c>
      <c r="B3378" t="str">
        <f>IF(AND(FORSIDE!$B$8&gt;=7,FORSIDE!$F$8&gt;=5,FORSIDE!$B$5&gt;=7),"1229 -&gt; 1240","")</f>
        <v/>
      </c>
      <c r="C3378" t="str">
        <f>FORSIDE!$C$3</f>
        <v>S355, Stål / VFHUP 140x140x8.0</v>
      </c>
    </row>
    <row r="3379" spans="1:3" x14ac:dyDescent="0.3">
      <c r="A3379" t="str">
        <f>IF(AND(FORSIDE!$B$8&gt;=7,FORSIDE!$F$8&gt;=5,FORSIDE!$B$5&gt;=8),"S3378","")</f>
        <v/>
      </c>
      <c r="B3379" t="str">
        <f>IF(AND(FORSIDE!$B$8&gt;=7,FORSIDE!$F$8&gt;=5,FORSIDE!$B$5&gt;=8),"1230 -&gt; 1241","")</f>
        <v/>
      </c>
      <c r="C3379" t="str">
        <f>FORSIDE!$C$3</f>
        <v>S355, Stål / VFHUP 140x140x8.0</v>
      </c>
    </row>
    <row r="3380" spans="1:3" x14ac:dyDescent="0.3">
      <c r="A3380" t="str">
        <f>IF(AND(FORSIDE!$B$8&gt;=7,FORSIDE!$F$8&gt;=5,FORSIDE!$B$5&gt;=9),"S3379","")</f>
        <v/>
      </c>
      <c r="B3380" t="str">
        <f>IF(AND(FORSIDE!$B$8&gt;=7,FORSIDE!$F$8&gt;=5,FORSIDE!$B$5&gt;=9),"1231 -&gt; 1242","")</f>
        <v/>
      </c>
      <c r="C3380" t="str">
        <f>FORSIDE!$C$3</f>
        <v>S355, Stål / VFHUP 140x140x8.0</v>
      </c>
    </row>
    <row r="3381" spans="1:3" x14ac:dyDescent="0.3">
      <c r="A3381" t="str">
        <f>IF(AND(FORSIDE!$B$8&gt;=7,FORSIDE!$F$8&gt;=5,FORSIDE!$B$5&gt;=10),"S3380","")</f>
        <v/>
      </c>
      <c r="B3381" t="str">
        <f>IF(AND(FORSIDE!$B$8&gt;=7,FORSIDE!$F$8&gt;=5,FORSIDE!$B$5&gt;=10),"1232 -&gt; 1243","")</f>
        <v/>
      </c>
      <c r="C3381" t="str">
        <f>FORSIDE!$C$3</f>
        <v>S355, Stål / VFHUP 140x140x8.0</v>
      </c>
    </row>
    <row r="3382" spans="1:3" x14ac:dyDescent="0.3">
      <c r="A3382" t="str">
        <f>IF(AND(FORSIDE!$B$8&gt;=8,FORSIDE!$F$8&gt;=5,FORSIDE!$B$5&gt;=1),"S3381","")</f>
        <v/>
      </c>
      <c r="B3382" t="str">
        <f>IF(AND(FORSIDE!$B$8&gt;=8,FORSIDE!$F$8&gt;=5,FORSIDE!$B$5&gt;=1),"1234 -&gt; 1245","")</f>
        <v/>
      </c>
      <c r="C3382" t="str">
        <f>FORSIDE!$C$3</f>
        <v>S355, Stål / VFHUP 140x140x8.0</v>
      </c>
    </row>
    <row r="3383" spans="1:3" x14ac:dyDescent="0.3">
      <c r="A3383" t="str">
        <f>IF(AND(FORSIDE!$B$8&gt;=8,FORSIDE!$F$8&gt;=5,FORSIDE!$B$5&gt;=2),"S3382","")</f>
        <v/>
      </c>
      <c r="B3383" t="str">
        <f>IF(AND(FORSIDE!$B$8&gt;=8,FORSIDE!$F$8&gt;=5,FORSIDE!$B$5&gt;=2),"1235 -&gt; 1246","")</f>
        <v/>
      </c>
      <c r="C3383" t="str">
        <f>FORSIDE!$C$3</f>
        <v>S355, Stål / VFHUP 140x140x8.0</v>
      </c>
    </row>
    <row r="3384" spans="1:3" x14ac:dyDescent="0.3">
      <c r="A3384" t="str">
        <f>IF(AND(FORSIDE!$B$8&gt;=8,FORSIDE!$F$8&gt;=5,FORSIDE!$B$5&gt;=3),"S3383","")</f>
        <v/>
      </c>
      <c r="B3384" t="str">
        <f>IF(AND(FORSIDE!$B$8&gt;=8,FORSIDE!$F$8&gt;=5,FORSIDE!$B$5&gt;=3),"1236 -&gt; 1247","")</f>
        <v/>
      </c>
      <c r="C3384" t="str">
        <f>FORSIDE!$C$3</f>
        <v>S355, Stål / VFHUP 140x140x8.0</v>
      </c>
    </row>
    <row r="3385" spans="1:3" x14ac:dyDescent="0.3">
      <c r="A3385" t="str">
        <f>IF(AND(FORSIDE!$B$8&gt;=8,FORSIDE!$F$8&gt;=5,FORSIDE!$B$5&gt;=4),"S3384","")</f>
        <v/>
      </c>
      <c r="B3385" t="str">
        <f>IF(AND(FORSIDE!$B$8&gt;=8,FORSIDE!$F$8&gt;=5,FORSIDE!$B$5&gt;=4),"1237 -&gt; 1248","")</f>
        <v/>
      </c>
      <c r="C3385" t="str">
        <f>FORSIDE!$C$3</f>
        <v>S355, Stål / VFHUP 140x140x8.0</v>
      </c>
    </row>
    <row r="3386" spans="1:3" x14ac:dyDescent="0.3">
      <c r="A3386" t="str">
        <f>IF(AND(FORSIDE!$B$8&gt;=8,FORSIDE!$F$8&gt;=5,FORSIDE!$B$5&gt;=5),"S3385","")</f>
        <v/>
      </c>
      <c r="B3386" t="str">
        <f>IF(AND(FORSIDE!$B$8&gt;=8,FORSIDE!$F$8&gt;=5,FORSIDE!$B$5&gt;=5),"1238 -&gt; 1249","")</f>
        <v/>
      </c>
      <c r="C3386" t="str">
        <f>FORSIDE!$C$3</f>
        <v>S355, Stål / VFHUP 140x140x8.0</v>
      </c>
    </row>
    <row r="3387" spans="1:3" x14ac:dyDescent="0.3">
      <c r="A3387" t="str">
        <f>IF(AND(FORSIDE!$B$8&gt;=8,FORSIDE!$F$8&gt;=5,FORSIDE!$B$5&gt;=6),"S3386","")</f>
        <v/>
      </c>
      <c r="B3387" t="str">
        <f>IF(AND(FORSIDE!$B$8&gt;=8,FORSIDE!$F$8&gt;=5,FORSIDE!$B$5&gt;=6),"1239 -&gt; 1250","")</f>
        <v/>
      </c>
      <c r="C3387" t="str">
        <f>FORSIDE!$C$3</f>
        <v>S355, Stål / VFHUP 140x140x8.0</v>
      </c>
    </row>
    <row r="3388" spans="1:3" x14ac:dyDescent="0.3">
      <c r="A3388" t="str">
        <f>IF(AND(FORSIDE!$B$8&gt;=8,FORSIDE!$F$8&gt;=5,FORSIDE!$B$5&gt;=7),"S3387","")</f>
        <v/>
      </c>
      <c r="B3388" t="str">
        <f>IF(AND(FORSIDE!$B$8&gt;=8,FORSIDE!$F$8&gt;=5,FORSIDE!$B$5&gt;=7),"1240 -&gt; 1251","")</f>
        <v/>
      </c>
      <c r="C3388" t="str">
        <f>FORSIDE!$C$3</f>
        <v>S355, Stål / VFHUP 140x140x8.0</v>
      </c>
    </row>
    <row r="3389" spans="1:3" x14ac:dyDescent="0.3">
      <c r="A3389" t="str">
        <f>IF(AND(FORSIDE!$B$8&gt;=8,FORSIDE!$F$8&gt;=5,FORSIDE!$B$5&gt;=8),"S3388","")</f>
        <v/>
      </c>
      <c r="B3389" t="str">
        <f>IF(AND(FORSIDE!$B$8&gt;=8,FORSIDE!$F$8&gt;=5,FORSIDE!$B$5&gt;=8),"1241 -&gt; 1252","")</f>
        <v/>
      </c>
      <c r="C3389" t="str">
        <f>FORSIDE!$C$3</f>
        <v>S355, Stål / VFHUP 140x140x8.0</v>
      </c>
    </row>
    <row r="3390" spans="1:3" x14ac:dyDescent="0.3">
      <c r="A3390" t="str">
        <f>IF(AND(FORSIDE!$B$8&gt;=8,FORSIDE!$F$8&gt;=5,FORSIDE!$B$5&gt;=9),"S3389","")</f>
        <v/>
      </c>
      <c r="B3390" t="str">
        <f>IF(AND(FORSIDE!$B$8&gt;=8,FORSIDE!$F$8&gt;=5,FORSIDE!$B$5&gt;=9),"1242 -&gt; 1253","")</f>
        <v/>
      </c>
      <c r="C3390" t="str">
        <f>FORSIDE!$C$3</f>
        <v>S355, Stål / VFHUP 140x140x8.0</v>
      </c>
    </row>
    <row r="3391" spans="1:3" x14ac:dyDescent="0.3">
      <c r="A3391" t="str">
        <f>IF(AND(FORSIDE!$B$8&gt;=8,FORSIDE!$F$8&gt;=5,FORSIDE!$B$5&gt;=10),"S3390","")</f>
        <v/>
      </c>
      <c r="B3391" t="str">
        <f>IF(AND(FORSIDE!$B$8&gt;=8,FORSIDE!$F$8&gt;=5,FORSIDE!$B$5&gt;=10),"1243 -&gt; 1254","")</f>
        <v/>
      </c>
      <c r="C3391" t="str">
        <f>FORSIDE!$C$3</f>
        <v>S355, Stål / VFHUP 140x140x8.0</v>
      </c>
    </row>
    <row r="3392" spans="1:3" x14ac:dyDescent="0.3">
      <c r="A3392" t="str">
        <f>IF(AND(FORSIDE!$B$8&gt;=9,FORSIDE!$F$8&gt;=5,FORSIDE!$B$5&gt;=1),"S3391","")</f>
        <v/>
      </c>
      <c r="B3392" t="str">
        <f>IF(AND(FORSIDE!$B$8&gt;=9,FORSIDE!$F$8&gt;=5,FORSIDE!$B$5&gt;=1),"1245 -&gt; 1256","")</f>
        <v/>
      </c>
      <c r="C3392" t="str">
        <f>FORSIDE!$C$3</f>
        <v>S355, Stål / VFHUP 140x140x8.0</v>
      </c>
    </row>
    <row r="3393" spans="1:3" x14ac:dyDescent="0.3">
      <c r="A3393" t="str">
        <f>IF(AND(FORSIDE!$B$8&gt;=9,FORSIDE!$F$8&gt;=5,FORSIDE!$B$5&gt;=2),"S3392","")</f>
        <v/>
      </c>
      <c r="B3393" t="str">
        <f>IF(AND(FORSIDE!$B$8&gt;=9,FORSIDE!$F$8&gt;=5,FORSIDE!$B$5&gt;=2),"1246 -&gt; 1257","")</f>
        <v/>
      </c>
      <c r="C3393" t="str">
        <f>FORSIDE!$C$3</f>
        <v>S355, Stål / VFHUP 140x140x8.0</v>
      </c>
    </row>
    <row r="3394" spans="1:3" x14ac:dyDescent="0.3">
      <c r="A3394" t="str">
        <f>IF(AND(FORSIDE!$B$8&gt;=9,FORSIDE!$F$8&gt;=5,FORSIDE!$B$5&gt;=3),"S3393","")</f>
        <v/>
      </c>
      <c r="B3394" t="str">
        <f>IF(AND(FORSIDE!$B$8&gt;=9,FORSIDE!$F$8&gt;=5,FORSIDE!$B$5&gt;=3),"1247 -&gt; 1258","")</f>
        <v/>
      </c>
      <c r="C3394" t="str">
        <f>FORSIDE!$C$3</f>
        <v>S355, Stål / VFHUP 140x140x8.0</v>
      </c>
    </row>
    <row r="3395" spans="1:3" x14ac:dyDescent="0.3">
      <c r="A3395" t="str">
        <f>IF(AND(FORSIDE!$B$8&gt;=9,FORSIDE!$F$8&gt;=5,FORSIDE!$B$5&gt;=4),"S3394","")</f>
        <v/>
      </c>
      <c r="B3395" t="str">
        <f>IF(AND(FORSIDE!$B$8&gt;=9,FORSIDE!$F$8&gt;=5,FORSIDE!$B$5&gt;=4),"1248 -&gt; 1259","")</f>
        <v/>
      </c>
      <c r="C3395" t="str">
        <f>FORSIDE!$C$3</f>
        <v>S355, Stål / VFHUP 140x140x8.0</v>
      </c>
    </row>
    <row r="3396" spans="1:3" x14ac:dyDescent="0.3">
      <c r="A3396" t="str">
        <f>IF(AND(FORSIDE!$B$8&gt;=9,FORSIDE!$F$8&gt;=5,FORSIDE!$B$5&gt;=5),"S3395","")</f>
        <v/>
      </c>
      <c r="B3396" t="str">
        <f>IF(AND(FORSIDE!$B$8&gt;=9,FORSIDE!$F$8&gt;=5,FORSIDE!$B$5&gt;=5),"1249 -&gt; 1260","")</f>
        <v/>
      </c>
      <c r="C3396" t="str">
        <f>FORSIDE!$C$3</f>
        <v>S355, Stål / VFHUP 140x140x8.0</v>
      </c>
    </row>
    <row r="3397" spans="1:3" x14ac:dyDescent="0.3">
      <c r="A3397" t="str">
        <f>IF(AND(FORSIDE!$B$8&gt;=9,FORSIDE!$F$8&gt;=5,FORSIDE!$B$5&gt;=6),"S3396","")</f>
        <v/>
      </c>
      <c r="B3397" t="str">
        <f>IF(AND(FORSIDE!$B$8&gt;=9,FORSIDE!$F$8&gt;=5,FORSIDE!$B$5&gt;=6),"1250 -&gt; 1261","")</f>
        <v/>
      </c>
      <c r="C3397" t="str">
        <f>FORSIDE!$C$3</f>
        <v>S355, Stål / VFHUP 140x140x8.0</v>
      </c>
    </row>
    <row r="3398" spans="1:3" x14ac:dyDescent="0.3">
      <c r="A3398" t="str">
        <f>IF(AND(FORSIDE!$B$8&gt;=9,FORSIDE!$F$8&gt;=5,FORSIDE!$B$5&gt;=7),"S3397","")</f>
        <v/>
      </c>
      <c r="B3398" t="str">
        <f>IF(AND(FORSIDE!$B$8&gt;=9,FORSIDE!$F$8&gt;=5,FORSIDE!$B$5&gt;=7),"1251 -&gt; 1262","")</f>
        <v/>
      </c>
      <c r="C3398" t="str">
        <f>FORSIDE!$C$3</f>
        <v>S355, Stål / VFHUP 140x140x8.0</v>
      </c>
    </row>
    <row r="3399" spans="1:3" x14ac:dyDescent="0.3">
      <c r="A3399" t="str">
        <f>IF(AND(FORSIDE!$B$8&gt;=9,FORSIDE!$F$8&gt;=5,FORSIDE!$B$5&gt;=8),"S3398","")</f>
        <v/>
      </c>
      <c r="B3399" t="str">
        <f>IF(AND(FORSIDE!$B$8&gt;=9,FORSIDE!$F$8&gt;=5,FORSIDE!$B$5&gt;=8),"1252 -&gt; 1263","")</f>
        <v/>
      </c>
      <c r="C3399" t="str">
        <f>FORSIDE!$C$3</f>
        <v>S355, Stål / VFHUP 140x140x8.0</v>
      </c>
    </row>
    <row r="3400" spans="1:3" x14ac:dyDescent="0.3">
      <c r="A3400" t="str">
        <f>IF(AND(FORSIDE!$B$8&gt;=9,FORSIDE!$F$8&gt;=5,FORSIDE!$B$5&gt;=9),"S3399","")</f>
        <v/>
      </c>
      <c r="B3400" t="str">
        <f>IF(AND(FORSIDE!$B$8&gt;=9,FORSIDE!$F$8&gt;=5,FORSIDE!$B$5&gt;=9),"1253 -&gt; 1264","")</f>
        <v/>
      </c>
      <c r="C3400" t="str">
        <f>FORSIDE!$C$3</f>
        <v>S355, Stål / VFHUP 140x140x8.0</v>
      </c>
    </row>
    <row r="3401" spans="1:3" x14ac:dyDescent="0.3">
      <c r="A3401" t="str">
        <f>IF(AND(FORSIDE!$B$8&gt;=9,FORSIDE!$F$8&gt;=5,FORSIDE!$B$5&gt;=10),"S3400","")</f>
        <v/>
      </c>
      <c r="B3401" t="str">
        <f>IF(AND(FORSIDE!$B$8&gt;=9,FORSIDE!$F$8&gt;=5,FORSIDE!$B$5&gt;=10),"1254 -&gt; 1265","")</f>
        <v/>
      </c>
      <c r="C3401" t="str">
        <f>FORSIDE!$C$3</f>
        <v>S355, Stål / VFHUP 140x140x8.0</v>
      </c>
    </row>
    <row r="3402" spans="1:3" x14ac:dyDescent="0.3">
      <c r="A3402" t="str">
        <f>IF(AND(FORSIDE!$B$8&gt;=10,FORSIDE!$F$8&gt;=5,FORSIDE!$B$5&gt;=1),"S3401","")</f>
        <v/>
      </c>
      <c r="B3402" t="str">
        <f>IF(AND(FORSIDE!$B$8&gt;=10,FORSIDE!$F$8&gt;=5,FORSIDE!$B$5&gt;=1),"1256 -&gt; 1267","")</f>
        <v/>
      </c>
      <c r="C3402" t="str">
        <f>FORSIDE!$C$3</f>
        <v>S355, Stål / VFHUP 140x140x8.0</v>
      </c>
    </row>
    <row r="3403" spans="1:3" x14ac:dyDescent="0.3">
      <c r="A3403" t="str">
        <f>IF(AND(FORSIDE!$B$8&gt;=10,FORSIDE!$F$8&gt;=5,FORSIDE!$B$5&gt;=2),"S3402","")</f>
        <v/>
      </c>
      <c r="B3403" t="str">
        <f>IF(AND(FORSIDE!$B$8&gt;=10,FORSIDE!$F$8&gt;=5,FORSIDE!$B$5&gt;=2),"1257 -&gt; 1268","")</f>
        <v/>
      </c>
      <c r="C3403" t="str">
        <f>FORSIDE!$C$3</f>
        <v>S355, Stål / VFHUP 140x140x8.0</v>
      </c>
    </row>
    <row r="3404" spans="1:3" x14ac:dyDescent="0.3">
      <c r="A3404" t="str">
        <f>IF(AND(FORSIDE!$B$8&gt;=10,FORSIDE!$F$8&gt;=5,FORSIDE!$B$5&gt;=3),"S3403","")</f>
        <v/>
      </c>
      <c r="B3404" t="str">
        <f>IF(AND(FORSIDE!$B$8&gt;=10,FORSIDE!$F$8&gt;=5,FORSIDE!$B$5&gt;=3),"1258 -&gt; 1269","")</f>
        <v/>
      </c>
      <c r="C3404" t="str">
        <f>FORSIDE!$C$3</f>
        <v>S355, Stål / VFHUP 140x140x8.0</v>
      </c>
    </row>
    <row r="3405" spans="1:3" x14ac:dyDescent="0.3">
      <c r="A3405" t="str">
        <f>IF(AND(FORSIDE!$B$8&gt;=10,FORSIDE!$F$8&gt;=5,FORSIDE!$B$5&gt;=4),"S3404","")</f>
        <v/>
      </c>
      <c r="B3405" t="str">
        <f>IF(AND(FORSIDE!$B$8&gt;=10,FORSIDE!$F$8&gt;=5,FORSIDE!$B$5&gt;=4),"1259 -&gt; 1270","")</f>
        <v/>
      </c>
      <c r="C3405" t="str">
        <f>FORSIDE!$C$3</f>
        <v>S355, Stål / VFHUP 140x140x8.0</v>
      </c>
    </row>
    <row r="3406" spans="1:3" x14ac:dyDescent="0.3">
      <c r="A3406" t="str">
        <f>IF(AND(FORSIDE!$B$8&gt;=10,FORSIDE!$F$8&gt;=5,FORSIDE!$B$5&gt;=5),"S3405","")</f>
        <v/>
      </c>
      <c r="B3406" t="str">
        <f>IF(AND(FORSIDE!$B$8&gt;=10,FORSIDE!$F$8&gt;=5,FORSIDE!$B$5&gt;=5),"1260 -&gt; 1271","")</f>
        <v/>
      </c>
      <c r="C3406" t="str">
        <f>FORSIDE!$C$3</f>
        <v>S355, Stål / VFHUP 140x140x8.0</v>
      </c>
    </row>
    <row r="3407" spans="1:3" x14ac:dyDescent="0.3">
      <c r="A3407" t="str">
        <f>IF(AND(FORSIDE!$B$8&gt;=10,FORSIDE!$F$8&gt;=5,FORSIDE!$B$5&gt;=6),"S3406","")</f>
        <v/>
      </c>
      <c r="B3407" t="str">
        <f>IF(AND(FORSIDE!$B$8&gt;=10,FORSIDE!$F$8&gt;=5,FORSIDE!$B$5&gt;=6),"1261 -&gt; 1272","")</f>
        <v/>
      </c>
      <c r="C3407" t="str">
        <f>FORSIDE!$C$3</f>
        <v>S355, Stål / VFHUP 140x140x8.0</v>
      </c>
    </row>
    <row r="3408" spans="1:3" x14ac:dyDescent="0.3">
      <c r="A3408" t="str">
        <f>IF(AND(FORSIDE!$B$8&gt;=10,FORSIDE!$F$8&gt;=5,FORSIDE!$B$5&gt;=7),"S3407","")</f>
        <v/>
      </c>
      <c r="B3408" t="str">
        <f>IF(AND(FORSIDE!$B$8&gt;=10,FORSIDE!$F$8&gt;=5,FORSIDE!$B$5&gt;=7),"1262 -&gt; 1273","")</f>
        <v/>
      </c>
      <c r="C3408" t="str">
        <f>FORSIDE!$C$3</f>
        <v>S355, Stål / VFHUP 140x140x8.0</v>
      </c>
    </row>
    <row r="3409" spans="1:3" x14ac:dyDescent="0.3">
      <c r="A3409" t="str">
        <f>IF(AND(FORSIDE!$B$8&gt;=10,FORSIDE!$F$8&gt;=5,FORSIDE!$B$5&gt;=8),"S3408","")</f>
        <v/>
      </c>
      <c r="B3409" t="str">
        <f>IF(AND(FORSIDE!$B$8&gt;=10,FORSIDE!$F$8&gt;=5,FORSIDE!$B$5&gt;=8),"1263 -&gt; 1274","")</f>
        <v/>
      </c>
      <c r="C3409" t="str">
        <f>FORSIDE!$C$3</f>
        <v>S355, Stål / VFHUP 140x140x8.0</v>
      </c>
    </row>
    <row r="3410" spans="1:3" x14ac:dyDescent="0.3">
      <c r="A3410" t="str">
        <f>IF(AND(FORSIDE!$B$8&gt;=10,FORSIDE!$F$8&gt;=5,FORSIDE!$B$5&gt;=9),"S3409","")</f>
        <v/>
      </c>
      <c r="B3410" t="str">
        <f>IF(AND(FORSIDE!$B$8&gt;=10,FORSIDE!$F$8&gt;=5,FORSIDE!$B$5&gt;=9),"1264 -&gt; 1275","")</f>
        <v/>
      </c>
      <c r="C3410" t="str">
        <f>FORSIDE!$C$3</f>
        <v>S355, Stål / VFHUP 140x140x8.0</v>
      </c>
    </row>
    <row r="3411" spans="1:3" x14ac:dyDescent="0.3">
      <c r="A3411" t="str">
        <f>IF(AND(FORSIDE!$B$8&gt;=10,FORSIDE!$F$8&gt;=5,FORSIDE!$B$5&gt;=10),"S3410","")</f>
        <v/>
      </c>
      <c r="B3411" t="str">
        <f>IF(AND(FORSIDE!$B$8&gt;=10,FORSIDE!$F$8&gt;=5,FORSIDE!$B$5&gt;=10),"1265 -&gt; 1276","")</f>
        <v/>
      </c>
      <c r="C3411" t="str">
        <f>FORSIDE!$C$3</f>
        <v>S355, Stål / VFHUP 140x140x8.0</v>
      </c>
    </row>
    <row r="3412" spans="1:3" x14ac:dyDescent="0.3">
      <c r="A3412" t="str">
        <f>IF(AND(FORSIDE!$B$8&gt;=11,FORSIDE!$F$8&gt;=5,FORSIDE!$B$5&gt;=1),"S3411","")</f>
        <v/>
      </c>
      <c r="B3412" t="str">
        <f>IF(AND(FORSIDE!$B$8&gt;=11,FORSIDE!$F$8&gt;=5,FORSIDE!$B$5&gt;=1),"1267 -&gt; 1278","")</f>
        <v/>
      </c>
      <c r="C3412" t="str">
        <f>FORSIDE!$C$3</f>
        <v>S355, Stål / VFHUP 140x140x8.0</v>
      </c>
    </row>
    <row r="3413" spans="1:3" x14ac:dyDescent="0.3">
      <c r="A3413" t="str">
        <f>IF(AND(FORSIDE!$B$8&gt;=11,FORSIDE!$F$8&gt;=5,FORSIDE!$B$5&gt;=2),"S3412","")</f>
        <v/>
      </c>
      <c r="B3413" t="str">
        <f>IF(AND(FORSIDE!$B$8&gt;=11,FORSIDE!$F$8&gt;=5,FORSIDE!$B$5&gt;=2),"1268 -&gt; 1279","")</f>
        <v/>
      </c>
      <c r="C3413" t="str">
        <f>FORSIDE!$C$3</f>
        <v>S355, Stål / VFHUP 140x140x8.0</v>
      </c>
    </row>
    <row r="3414" spans="1:3" x14ac:dyDescent="0.3">
      <c r="A3414" t="str">
        <f>IF(AND(FORSIDE!$B$8&gt;=11,FORSIDE!$F$8&gt;=5,FORSIDE!$B$5&gt;=3),"S3413","")</f>
        <v/>
      </c>
      <c r="B3414" t="str">
        <f>IF(AND(FORSIDE!$B$8&gt;=11,FORSIDE!$F$8&gt;=5,FORSIDE!$B$5&gt;=3),"1269 -&gt; 1280","")</f>
        <v/>
      </c>
      <c r="C3414" t="str">
        <f>FORSIDE!$C$3</f>
        <v>S355, Stål / VFHUP 140x140x8.0</v>
      </c>
    </row>
    <row r="3415" spans="1:3" x14ac:dyDescent="0.3">
      <c r="A3415" t="str">
        <f>IF(AND(FORSIDE!$B$8&gt;=11,FORSIDE!$F$8&gt;=5,FORSIDE!$B$5&gt;=4),"S3414","")</f>
        <v/>
      </c>
      <c r="B3415" t="str">
        <f>IF(AND(FORSIDE!$B$8&gt;=11,FORSIDE!$F$8&gt;=5,FORSIDE!$B$5&gt;=4),"1270 -&gt; 1281","")</f>
        <v/>
      </c>
      <c r="C3415" t="str">
        <f>FORSIDE!$C$3</f>
        <v>S355, Stål / VFHUP 140x140x8.0</v>
      </c>
    </row>
    <row r="3416" spans="1:3" x14ac:dyDescent="0.3">
      <c r="A3416" t="str">
        <f>IF(AND(FORSIDE!$B$8&gt;=11,FORSIDE!$F$8&gt;=5,FORSIDE!$B$5&gt;=5),"S3415","")</f>
        <v/>
      </c>
      <c r="B3416" t="str">
        <f>IF(AND(FORSIDE!$B$8&gt;=11,FORSIDE!$F$8&gt;=5,FORSIDE!$B$5&gt;=5),"1271 -&gt; 1282","")</f>
        <v/>
      </c>
      <c r="C3416" t="str">
        <f>FORSIDE!$C$3</f>
        <v>S355, Stål / VFHUP 140x140x8.0</v>
      </c>
    </row>
    <row r="3417" spans="1:3" x14ac:dyDescent="0.3">
      <c r="A3417" t="str">
        <f>IF(AND(FORSIDE!$B$8&gt;=11,FORSIDE!$F$8&gt;=5,FORSIDE!$B$5&gt;=6),"S3416","")</f>
        <v/>
      </c>
      <c r="B3417" t="str">
        <f>IF(AND(FORSIDE!$B$8&gt;=11,FORSIDE!$F$8&gt;=5,FORSIDE!$B$5&gt;=6),"1272 -&gt; 1283","")</f>
        <v/>
      </c>
      <c r="C3417" t="str">
        <f>FORSIDE!$C$3</f>
        <v>S355, Stål / VFHUP 140x140x8.0</v>
      </c>
    </row>
    <row r="3418" spans="1:3" x14ac:dyDescent="0.3">
      <c r="A3418" t="str">
        <f>IF(AND(FORSIDE!$B$8&gt;=11,FORSIDE!$F$8&gt;=5,FORSIDE!$B$5&gt;=7),"S3417","")</f>
        <v/>
      </c>
      <c r="B3418" t="str">
        <f>IF(AND(FORSIDE!$B$8&gt;=11,FORSIDE!$F$8&gt;=5,FORSIDE!$B$5&gt;=7),"1273 -&gt; 1284","")</f>
        <v/>
      </c>
      <c r="C3418" t="str">
        <f>FORSIDE!$C$3</f>
        <v>S355, Stål / VFHUP 140x140x8.0</v>
      </c>
    </row>
    <row r="3419" spans="1:3" x14ac:dyDescent="0.3">
      <c r="A3419" t="str">
        <f>IF(AND(FORSIDE!$B$8&gt;=11,FORSIDE!$F$8&gt;=5,FORSIDE!$B$5&gt;=8),"S3418","")</f>
        <v/>
      </c>
      <c r="B3419" t="str">
        <f>IF(AND(FORSIDE!$B$8&gt;=11,FORSIDE!$F$8&gt;=5,FORSIDE!$B$5&gt;=8),"1274 -&gt; 1285","")</f>
        <v/>
      </c>
      <c r="C3419" t="str">
        <f>FORSIDE!$C$3</f>
        <v>S355, Stål / VFHUP 140x140x8.0</v>
      </c>
    </row>
    <row r="3420" spans="1:3" x14ac:dyDescent="0.3">
      <c r="A3420" t="str">
        <f>IF(AND(FORSIDE!$B$8&gt;=11,FORSIDE!$F$8&gt;=5,FORSIDE!$B$5&gt;=9),"S3419","")</f>
        <v/>
      </c>
      <c r="B3420" t="str">
        <f>IF(AND(FORSIDE!$B$8&gt;=11,FORSIDE!$F$8&gt;=5,FORSIDE!$B$5&gt;=9),"1275 -&gt; 1286","")</f>
        <v/>
      </c>
      <c r="C3420" t="str">
        <f>FORSIDE!$C$3</f>
        <v>S355, Stål / VFHUP 140x140x8.0</v>
      </c>
    </row>
    <row r="3421" spans="1:3" x14ac:dyDescent="0.3">
      <c r="A3421" t="str">
        <f>IF(AND(FORSIDE!$B$8&gt;=11,FORSIDE!$F$8&gt;=5,FORSIDE!$B$5&gt;=10),"S3420","")</f>
        <v/>
      </c>
      <c r="B3421" t="str">
        <f>IF(AND(FORSIDE!$B$8&gt;=11,FORSIDE!$F$8&gt;=5,FORSIDE!$B$5&gt;=10),"1276 -&gt; 1287","")</f>
        <v/>
      </c>
      <c r="C3421" t="str">
        <f>FORSIDE!$C$3</f>
        <v>S355, Stål / VFHUP 140x140x8.0</v>
      </c>
    </row>
    <row r="3422" spans="1:3" x14ac:dyDescent="0.3">
      <c r="A3422" t="str">
        <f>IF(AND(FORSIDE!$B$8&gt;=12,FORSIDE!$F$8&gt;=5,FORSIDE!$B$5&gt;=1),"S3421","")</f>
        <v/>
      </c>
      <c r="B3422" t="str">
        <f>IF(AND(FORSIDE!$B$8&gt;=12,FORSIDE!$F$8&gt;=5,FORSIDE!$B$5&gt;=1),"1278 -&gt; 1289","")</f>
        <v/>
      </c>
      <c r="C3422" t="str">
        <f>FORSIDE!$C$3</f>
        <v>S355, Stål / VFHUP 140x140x8.0</v>
      </c>
    </row>
    <row r="3423" spans="1:3" x14ac:dyDescent="0.3">
      <c r="A3423" t="str">
        <f>IF(AND(FORSIDE!$B$8&gt;=12,FORSIDE!$F$8&gt;=5,FORSIDE!$B$5&gt;=2),"S3422","")</f>
        <v/>
      </c>
      <c r="B3423" t="str">
        <f>IF(AND(FORSIDE!$B$8&gt;=12,FORSIDE!$F$8&gt;=5,FORSIDE!$B$5&gt;=2),"1279 -&gt; 1290","")</f>
        <v/>
      </c>
      <c r="C3423" t="str">
        <f>FORSIDE!$C$3</f>
        <v>S355, Stål / VFHUP 140x140x8.0</v>
      </c>
    </row>
    <row r="3424" spans="1:3" x14ac:dyDescent="0.3">
      <c r="A3424" t="str">
        <f>IF(AND(FORSIDE!$B$8&gt;=12,FORSIDE!$F$8&gt;=5,FORSIDE!$B$5&gt;=3),"S3423","")</f>
        <v/>
      </c>
      <c r="B3424" t="str">
        <f>IF(AND(FORSIDE!$B$8&gt;=12,FORSIDE!$F$8&gt;=5,FORSIDE!$B$5&gt;=3),"1280 -&gt; 1291","")</f>
        <v/>
      </c>
      <c r="C3424" t="str">
        <f>FORSIDE!$C$3</f>
        <v>S355, Stål / VFHUP 140x140x8.0</v>
      </c>
    </row>
    <row r="3425" spans="1:3" x14ac:dyDescent="0.3">
      <c r="A3425" t="str">
        <f>IF(AND(FORSIDE!$B$8&gt;=12,FORSIDE!$F$8&gt;=5,FORSIDE!$B$5&gt;=4),"S3424","")</f>
        <v/>
      </c>
      <c r="B3425" t="str">
        <f>IF(AND(FORSIDE!$B$8&gt;=12,FORSIDE!$F$8&gt;=5,FORSIDE!$B$5&gt;=4),"1281 -&gt; 1292","")</f>
        <v/>
      </c>
      <c r="C3425" t="str">
        <f>FORSIDE!$C$3</f>
        <v>S355, Stål / VFHUP 140x140x8.0</v>
      </c>
    </row>
    <row r="3426" spans="1:3" x14ac:dyDescent="0.3">
      <c r="A3426" t="str">
        <f>IF(AND(FORSIDE!$B$8&gt;=12,FORSIDE!$F$8&gt;=5,FORSIDE!$B$5&gt;=5),"S3425","")</f>
        <v/>
      </c>
      <c r="B3426" t="str">
        <f>IF(AND(FORSIDE!$B$8&gt;=12,FORSIDE!$F$8&gt;=5,FORSIDE!$B$5&gt;=5),"1282 -&gt; 1293","")</f>
        <v/>
      </c>
      <c r="C3426" t="str">
        <f>FORSIDE!$C$3</f>
        <v>S355, Stål / VFHUP 140x140x8.0</v>
      </c>
    </row>
    <row r="3427" spans="1:3" x14ac:dyDescent="0.3">
      <c r="A3427" t="str">
        <f>IF(AND(FORSIDE!$B$8&gt;=12,FORSIDE!$F$8&gt;=5,FORSIDE!$B$5&gt;=6),"S3426","")</f>
        <v/>
      </c>
      <c r="B3427" t="str">
        <f>IF(AND(FORSIDE!$B$8&gt;=12,FORSIDE!$F$8&gt;=5,FORSIDE!$B$5&gt;=6),"1283 -&gt; 1294","")</f>
        <v/>
      </c>
      <c r="C3427" t="str">
        <f>FORSIDE!$C$3</f>
        <v>S355, Stål / VFHUP 140x140x8.0</v>
      </c>
    </row>
    <row r="3428" spans="1:3" x14ac:dyDescent="0.3">
      <c r="A3428" t="str">
        <f>IF(AND(FORSIDE!$B$8&gt;=12,FORSIDE!$F$8&gt;=5,FORSIDE!$B$5&gt;=7),"S3427","")</f>
        <v/>
      </c>
      <c r="B3428" t="str">
        <f>IF(AND(FORSIDE!$B$8&gt;=12,FORSIDE!$F$8&gt;=5,FORSIDE!$B$5&gt;=7),"1284 -&gt; 1295","")</f>
        <v/>
      </c>
      <c r="C3428" t="str">
        <f>FORSIDE!$C$3</f>
        <v>S355, Stål / VFHUP 140x140x8.0</v>
      </c>
    </row>
    <row r="3429" spans="1:3" x14ac:dyDescent="0.3">
      <c r="A3429" t="str">
        <f>IF(AND(FORSIDE!$B$8&gt;=12,FORSIDE!$F$8&gt;=5,FORSIDE!$B$5&gt;=8),"S3428","")</f>
        <v/>
      </c>
      <c r="B3429" t="str">
        <f>IF(AND(FORSIDE!$B$8&gt;=12,FORSIDE!$F$8&gt;=5,FORSIDE!$B$5&gt;=8),"1285 -&gt; 1296","")</f>
        <v/>
      </c>
      <c r="C3429" t="str">
        <f>FORSIDE!$C$3</f>
        <v>S355, Stål / VFHUP 140x140x8.0</v>
      </c>
    </row>
    <row r="3430" spans="1:3" x14ac:dyDescent="0.3">
      <c r="A3430" t="str">
        <f>IF(AND(FORSIDE!$B$8&gt;=12,FORSIDE!$F$8&gt;=5,FORSIDE!$B$5&gt;=9),"S3429","")</f>
        <v/>
      </c>
      <c r="B3430" t="str">
        <f>IF(AND(FORSIDE!$B$8&gt;=12,FORSIDE!$F$8&gt;=5,FORSIDE!$B$5&gt;=9),"1286 -&gt; 1297","")</f>
        <v/>
      </c>
      <c r="C3430" t="str">
        <f>FORSIDE!$C$3</f>
        <v>S355, Stål / VFHUP 140x140x8.0</v>
      </c>
    </row>
    <row r="3431" spans="1:3" x14ac:dyDescent="0.3">
      <c r="A3431" t="str">
        <f>IF(AND(FORSIDE!$B$8&gt;=12,FORSIDE!$F$8&gt;=5,FORSIDE!$B$5&gt;=10),"S3430","")</f>
        <v/>
      </c>
      <c r="B3431" t="str">
        <f>IF(AND(FORSIDE!$B$8&gt;=12,FORSIDE!$F$8&gt;=5,FORSIDE!$B$5&gt;=10),"1287 -&gt; 1298","")</f>
        <v/>
      </c>
      <c r="C3431" t="str">
        <f>FORSIDE!$C$3</f>
        <v>S355, Stål / VFHUP 140x140x8.0</v>
      </c>
    </row>
    <row r="3432" spans="1:3" x14ac:dyDescent="0.3">
      <c r="A3432" t="str">
        <f>IF(AND(FORSIDE!$B$8&gt;=13,FORSIDE!$F$8&gt;=5,FORSIDE!$B$5&gt;=1),"S3431","")</f>
        <v/>
      </c>
      <c r="B3432" t="str">
        <f>IF(AND(FORSIDE!$B$8&gt;=13,FORSIDE!$F$8&gt;=5,FORSIDE!$B$5&gt;=1),"1289 -&gt; 1300","")</f>
        <v/>
      </c>
      <c r="C3432" t="str">
        <f>FORSIDE!$C$3</f>
        <v>S355, Stål / VFHUP 140x140x8.0</v>
      </c>
    </row>
    <row r="3433" spans="1:3" x14ac:dyDescent="0.3">
      <c r="A3433" t="str">
        <f>IF(AND(FORSIDE!$B$8&gt;=13,FORSIDE!$F$8&gt;=5,FORSIDE!$B$5&gt;=2),"S3432","")</f>
        <v/>
      </c>
      <c r="B3433" t="str">
        <f>IF(AND(FORSIDE!$B$8&gt;=13,FORSIDE!$F$8&gt;=5,FORSIDE!$B$5&gt;=2),"1290 -&gt; 1301","")</f>
        <v/>
      </c>
      <c r="C3433" t="str">
        <f>FORSIDE!$C$3</f>
        <v>S355, Stål / VFHUP 140x140x8.0</v>
      </c>
    </row>
    <row r="3434" spans="1:3" x14ac:dyDescent="0.3">
      <c r="A3434" t="str">
        <f>IF(AND(FORSIDE!$B$8&gt;=13,FORSIDE!$F$8&gt;=5,FORSIDE!$B$5&gt;=3),"S3433","")</f>
        <v/>
      </c>
      <c r="B3434" t="str">
        <f>IF(AND(FORSIDE!$B$8&gt;=13,FORSIDE!$F$8&gt;=5,FORSIDE!$B$5&gt;=3),"1291 -&gt; 1302","")</f>
        <v/>
      </c>
      <c r="C3434" t="str">
        <f>FORSIDE!$C$3</f>
        <v>S355, Stål / VFHUP 140x140x8.0</v>
      </c>
    </row>
    <row r="3435" spans="1:3" x14ac:dyDescent="0.3">
      <c r="A3435" t="str">
        <f>IF(AND(FORSIDE!$B$8&gt;=13,FORSIDE!$F$8&gt;=5,FORSIDE!$B$5&gt;=4),"S3434","")</f>
        <v/>
      </c>
      <c r="B3435" t="str">
        <f>IF(AND(FORSIDE!$B$8&gt;=13,FORSIDE!$F$8&gt;=5,FORSIDE!$B$5&gt;=4),"1292 -&gt; 1303","")</f>
        <v/>
      </c>
      <c r="C3435" t="str">
        <f>FORSIDE!$C$3</f>
        <v>S355, Stål / VFHUP 140x140x8.0</v>
      </c>
    </row>
    <row r="3436" spans="1:3" x14ac:dyDescent="0.3">
      <c r="A3436" t="str">
        <f>IF(AND(FORSIDE!$B$8&gt;=13,FORSIDE!$F$8&gt;=5,FORSIDE!$B$5&gt;=5),"S3435","")</f>
        <v/>
      </c>
      <c r="B3436" t="str">
        <f>IF(AND(FORSIDE!$B$8&gt;=13,FORSIDE!$F$8&gt;=5,FORSIDE!$B$5&gt;=5),"1293 -&gt; 1304","")</f>
        <v/>
      </c>
      <c r="C3436" t="str">
        <f>FORSIDE!$C$3</f>
        <v>S355, Stål / VFHUP 140x140x8.0</v>
      </c>
    </row>
    <row r="3437" spans="1:3" x14ac:dyDescent="0.3">
      <c r="A3437" t="str">
        <f>IF(AND(FORSIDE!$B$8&gt;=13,FORSIDE!$F$8&gt;=5,FORSIDE!$B$5&gt;=6),"S3436","")</f>
        <v/>
      </c>
      <c r="B3437" t="str">
        <f>IF(AND(FORSIDE!$B$8&gt;=13,FORSIDE!$F$8&gt;=5,FORSIDE!$B$5&gt;=6),"1294 -&gt; 1305","")</f>
        <v/>
      </c>
      <c r="C3437" t="str">
        <f>FORSIDE!$C$3</f>
        <v>S355, Stål / VFHUP 140x140x8.0</v>
      </c>
    </row>
    <row r="3438" spans="1:3" x14ac:dyDescent="0.3">
      <c r="A3438" t="str">
        <f>IF(AND(FORSIDE!$B$8&gt;=13,FORSIDE!$F$8&gt;=5,FORSIDE!$B$5&gt;=7),"S3437","")</f>
        <v/>
      </c>
      <c r="B3438" t="str">
        <f>IF(AND(FORSIDE!$B$8&gt;=13,FORSIDE!$F$8&gt;=5,FORSIDE!$B$5&gt;=7),"1295 -&gt; 1306","")</f>
        <v/>
      </c>
      <c r="C3438" t="str">
        <f>FORSIDE!$C$3</f>
        <v>S355, Stål / VFHUP 140x140x8.0</v>
      </c>
    </row>
    <row r="3439" spans="1:3" x14ac:dyDescent="0.3">
      <c r="A3439" t="str">
        <f>IF(AND(FORSIDE!$B$8&gt;=13,FORSIDE!$F$8&gt;=5,FORSIDE!$B$5&gt;=8),"S3438","")</f>
        <v/>
      </c>
      <c r="B3439" t="str">
        <f>IF(AND(FORSIDE!$B$8&gt;=13,FORSIDE!$F$8&gt;=5,FORSIDE!$B$5&gt;=8),"1296 -&gt; 1307","")</f>
        <v/>
      </c>
      <c r="C3439" t="str">
        <f>FORSIDE!$C$3</f>
        <v>S355, Stål / VFHUP 140x140x8.0</v>
      </c>
    </row>
    <row r="3440" spans="1:3" x14ac:dyDescent="0.3">
      <c r="A3440" t="str">
        <f>IF(AND(FORSIDE!$B$8&gt;=13,FORSIDE!$F$8&gt;=5,FORSIDE!$B$5&gt;=9),"S3439","")</f>
        <v/>
      </c>
      <c r="B3440" t="str">
        <f>IF(AND(FORSIDE!$B$8&gt;=13,FORSIDE!$F$8&gt;=5,FORSIDE!$B$5&gt;=9),"1297 -&gt; 1308","")</f>
        <v/>
      </c>
      <c r="C3440" t="str">
        <f>FORSIDE!$C$3</f>
        <v>S355, Stål / VFHUP 140x140x8.0</v>
      </c>
    </row>
    <row r="3441" spans="1:3" x14ac:dyDescent="0.3">
      <c r="A3441" t="str">
        <f>IF(AND(FORSIDE!$B$8&gt;=13,FORSIDE!$F$8&gt;=5,FORSIDE!$B$5&gt;=10),"S3440","")</f>
        <v/>
      </c>
      <c r="B3441" t="str">
        <f>IF(AND(FORSIDE!$B$8&gt;=13,FORSIDE!$F$8&gt;=5,FORSIDE!$B$5&gt;=10),"1298 -&gt; 1309","")</f>
        <v/>
      </c>
      <c r="C3441" t="str">
        <f>FORSIDE!$C$3</f>
        <v>S355, Stål / VFHUP 140x140x8.0</v>
      </c>
    </row>
    <row r="3442" spans="1:3" x14ac:dyDescent="0.3">
      <c r="A3442" t="str">
        <f>IF(AND(FORSIDE!$B$8&gt;=14,FORSIDE!$F$8&gt;=5,FORSIDE!$B$5&gt;=1),"S3441","")</f>
        <v/>
      </c>
      <c r="B3442" t="str">
        <f>IF(AND(FORSIDE!$B$8&gt;=14,FORSIDE!$F$8&gt;=5,FORSIDE!$B$5&gt;=1),"1300 -&gt; 1311","")</f>
        <v/>
      </c>
      <c r="C3442" t="str">
        <f>FORSIDE!$C$3</f>
        <v>S355, Stål / VFHUP 140x140x8.0</v>
      </c>
    </row>
    <row r="3443" spans="1:3" x14ac:dyDescent="0.3">
      <c r="A3443" t="str">
        <f>IF(AND(FORSIDE!$B$8&gt;=14,FORSIDE!$F$8&gt;=5,FORSIDE!$B$5&gt;=2),"S3442","")</f>
        <v/>
      </c>
      <c r="B3443" t="str">
        <f>IF(AND(FORSIDE!$B$8&gt;=14,FORSIDE!$F$8&gt;=5,FORSIDE!$B$5&gt;=2),"1301 -&gt; 1312","")</f>
        <v/>
      </c>
      <c r="C3443" t="str">
        <f>FORSIDE!$C$3</f>
        <v>S355, Stål / VFHUP 140x140x8.0</v>
      </c>
    </row>
    <row r="3444" spans="1:3" x14ac:dyDescent="0.3">
      <c r="A3444" t="str">
        <f>IF(AND(FORSIDE!$B$8&gt;=14,FORSIDE!$F$8&gt;=5,FORSIDE!$B$5&gt;=3),"S3443","")</f>
        <v/>
      </c>
      <c r="B3444" t="str">
        <f>IF(AND(FORSIDE!$B$8&gt;=14,FORSIDE!$F$8&gt;=5,FORSIDE!$B$5&gt;=3),"1302 -&gt; 1313","")</f>
        <v/>
      </c>
      <c r="C3444" t="str">
        <f>FORSIDE!$C$3</f>
        <v>S355, Stål / VFHUP 140x140x8.0</v>
      </c>
    </row>
    <row r="3445" spans="1:3" x14ac:dyDescent="0.3">
      <c r="A3445" t="str">
        <f>IF(AND(FORSIDE!$B$8&gt;=14,FORSIDE!$F$8&gt;=5,FORSIDE!$B$5&gt;=4),"S3444","")</f>
        <v/>
      </c>
      <c r="B3445" t="str">
        <f>IF(AND(FORSIDE!$B$8&gt;=14,FORSIDE!$F$8&gt;=5,FORSIDE!$B$5&gt;=4),"1303 -&gt; 1314","")</f>
        <v/>
      </c>
      <c r="C3445" t="str">
        <f>FORSIDE!$C$3</f>
        <v>S355, Stål / VFHUP 140x140x8.0</v>
      </c>
    </row>
    <row r="3446" spans="1:3" x14ac:dyDescent="0.3">
      <c r="A3446" t="str">
        <f>IF(AND(FORSIDE!$B$8&gt;=14,FORSIDE!$F$8&gt;=5,FORSIDE!$B$5&gt;=5),"S3445","")</f>
        <v/>
      </c>
      <c r="B3446" t="str">
        <f>IF(AND(FORSIDE!$B$8&gt;=14,FORSIDE!$F$8&gt;=5,FORSIDE!$B$5&gt;=5),"1304 -&gt; 1315","")</f>
        <v/>
      </c>
      <c r="C3446" t="str">
        <f>FORSIDE!$C$3</f>
        <v>S355, Stål / VFHUP 140x140x8.0</v>
      </c>
    </row>
    <row r="3447" spans="1:3" x14ac:dyDescent="0.3">
      <c r="A3447" t="str">
        <f>IF(AND(FORSIDE!$B$8&gt;=14,FORSIDE!$F$8&gt;=5,FORSIDE!$B$5&gt;=6),"S3446","")</f>
        <v/>
      </c>
      <c r="B3447" t="str">
        <f>IF(AND(FORSIDE!$B$8&gt;=14,FORSIDE!$F$8&gt;=5,FORSIDE!$B$5&gt;=6),"1305 -&gt; 1316","")</f>
        <v/>
      </c>
      <c r="C3447" t="str">
        <f>FORSIDE!$C$3</f>
        <v>S355, Stål / VFHUP 140x140x8.0</v>
      </c>
    </row>
    <row r="3448" spans="1:3" x14ac:dyDescent="0.3">
      <c r="A3448" t="str">
        <f>IF(AND(FORSIDE!$B$8&gt;=14,FORSIDE!$F$8&gt;=5,FORSIDE!$B$5&gt;=7),"S3447","")</f>
        <v/>
      </c>
      <c r="B3448" t="str">
        <f>IF(AND(FORSIDE!$B$8&gt;=14,FORSIDE!$F$8&gt;=5,FORSIDE!$B$5&gt;=7),"1306 -&gt; 1317","")</f>
        <v/>
      </c>
      <c r="C3448" t="str">
        <f>FORSIDE!$C$3</f>
        <v>S355, Stål / VFHUP 140x140x8.0</v>
      </c>
    </row>
    <row r="3449" spans="1:3" x14ac:dyDescent="0.3">
      <c r="A3449" t="str">
        <f>IF(AND(FORSIDE!$B$8&gt;=14,FORSIDE!$F$8&gt;=5,FORSIDE!$B$5&gt;=8),"S3448","")</f>
        <v/>
      </c>
      <c r="B3449" t="str">
        <f>IF(AND(FORSIDE!$B$8&gt;=14,FORSIDE!$F$8&gt;=5,FORSIDE!$B$5&gt;=8),"1307 -&gt; 1318","")</f>
        <v/>
      </c>
      <c r="C3449" t="str">
        <f>FORSIDE!$C$3</f>
        <v>S355, Stål / VFHUP 140x140x8.0</v>
      </c>
    </row>
    <row r="3450" spans="1:3" x14ac:dyDescent="0.3">
      <c r="A3450" t="str">
        <f>IF(AND(FORSIDE!$B$8&gt;=14,FORSIDE!$F$8&gt;=5,FORSIDE!$B$5&gt;=9),"S3449","")</f>
        <v/>
      </c>
      <c r="B3450" t="str">
        <f>IF(AND(FORSIDE!$B$8&gt;=14,FORSIDE!$F$8&gt;=5,FORSIDE!$B$5&gt;=9),"1308 -&gt; 1319","")</f>
        <v/>
      </c>
      <c r="C3450" t="str">
        <f>FORSIDE!$C$3</f>
        <v>S355, Stål / VFHUP 140x140x8.0</v>
      </c>
    </row>
    <row r="3451" spans="1:3" x14ac:dyDescent="0.3">
      <c r="A3451" t="str">
        <f>IF(AND(FORSIDE!$B$8&gt;=14,FORSIDE!$F$8&gt;=5,FORSIDE!$B$5&gt;=10),"S3450","")</f>
        <v/>
      </c>
      <c r="B3451" t="str">
        <f>IF(AND(FORSIDE!$B$8&gt;=14,FORSIDE!$F$8&gt;=5,FORSIDE!$B$5&gt;=10),"1309 -&gt; 1320","")</f>
        <v/>
      </c>
      <c r="C3451" t="str">
        <f>FORSIDE!$C$3</f>
        <v>S355, Stål / VFHUP 140x140x8.0</v>
      </c>
    </row>
    <row r="3452" spans="1:3" x14ac:dyDescent="0.3">
      <c r="A3452" t="str">
        <f>IF(AND(FORSIDE!$B$8&gt;=15,FORSIDE!$F$8&gt;=5,FORSIDE!$B$5&gt;=1),"S3451","")</f>
        <v/>
      </c>
      <c r="B3452" t="str">
        <f>IF(AND(FORSIDE!$B$8&gt;=15,FORSIDE!$F$8&gt;=5,FORSIDE!$B$5&gt;=1),"1311 -&gt; 1322","")</f>
        <v/>
      </c>
      <c r="C3452" t="str">
        <f>FORSIDE!$C$3</f>
        <v>S355, Stål / VFHUP 140x140x8.0</v>
      </c>
    </row>
    <row r="3453" spans="1:3" x14ac:dyDescent="0.3">
      <c r="A3453" t="str">
        <f>IF(AND(FORSIDE!$B$8&gt;=15,FORSIDE!$F$8&gt;=5,FORSIDE!$B$5&gt;=2),"S3452","")</f>
        <v/>
      </c>
      <c r="B3453" t="str">
        <f>IF(AND(FORSIDE!$B$8&gt;=15,FORSIDE!$F$8&gt;=5,FORSIDE!$B$5&gt;=2),"1312 -&gt; 1323","")</f>
        <v/>
      </c>
      <c r="C3453" t="str">
        <f>FORSIDE!$C$3</f>
        <v>S355, Stål / VFHUP 140x140x8.0</v>
      </c>
    </row>
    <row r="3454" spans="1:3" x14ac:dyDescent="0.3">
      <c r="A3454" t="str">
        <f>IF(AND(FORSIDE!$B$8&gt;=15,FORSIDE!$F$8&gt;=5,FORSIDE!$B$5&gt;=3),"S3453","")</f>
        <v/>
      </c>
      <c r="B3454" t="str">
        <f>IF(AND(FORSIDE!$B$8&gt;=15,FORSIDE!$F$8&gt;=5,FORSIDE!$B$5&gt;=3),"1313 -&gt; 1324","")</f>
        <v/>
      </c>
      <c r="C3454" t="str">
        <f>FORSIDE!$C$3</f>
        <v>S355, Stål / VFHUP 140x140x8.0</v>
      </c>
    </row>
    <row r="3455" spans="1:3" x14ac:dyDescent="0.3">
      <c r="A3455" t="str">
        <f>IF(AND(FORSIDE!$B$8&gt;=15,FORSIDE!$F$8&gt;=5,FORSIDE!$B$5&gt;=4),"S3454","")</f>
        <v/>
      </c>
      <c r="B3455" t="str">
        <f>IF(AND(FORSIDE!$B$8&gt;=15,FORSIDE!$F$8&gt;=5,FORSIDE!$B$5&gt;=4),"1314 -&gt; 1325","")</f>
        <v/>
      </c>
      <c r="C3455" t="str">
        <f>FORSIDE!$C$3</f>
        <v>S355, Stål / VFHUP 140x140x8.0</v>
      </c>
    </row>
    <row r="3456" spans="1:3" x14ac:dyDescent="0.3">
      <c r="A3456" t="str">
        <f>IF(AND(FORSIDE!$B$8&gt;=15,FORSIDE!$F$8&gt;=5,FORSIDE!$B$5&gt;=5),"S3455","")</f>
        <v/>
      </c>
      <c r="B3456" t="str">
        <f>IF(AND(FORSIDE!$B$8&gt;=15,FORSIDE!$F$8&gt;=5,FORSIDE!$B$5&gt;=5),"1315 -&gt; 1326","")</f>
        <v/>
      </c>
      <c r="C3456" t="str">
        <f>FORSIDE!$C$3</f>
        <v>S355, Stål / VFHUP 140x140x8.0</v>
      </c>
    </row>
    <row r="3457" spans="1:3" x14ac:dyDescent="0.3">
      <c r="A3457" t="str">
        <f>IF(AND(FORSIDE!$B$8&gt;=15,FORSIDE!$F$8&gt;=5,FORSIDE!$B$5&gt;=6),"S3456","")</f>
        <v/>
      </c>
      <c r="B3457" t="str">
        <f>IF(AND(FORSIDE!$B$8&gt;=15,FORSIDE!$F$8&gt;=5,FORSIDE!$B$5&gt;=6),"1316 -&gt; 1327","")</f>
        <v/>
      </c>
      <c r="C3457" t="str">
        <f>FORSIDE!$C$3</f>
        <v>S355, Stål / VFHUP 140x140x8.0</v>
      </c>
    </row>
    <row r="3458" spans="1:3" x14ac:dyDescent="0.3">
      <c r="A3458" t="str">
        <f>IF(AND(FORSIDE!$B$8&gt;=15,FORSIDE!$F$8&gt;=5,FORSIDE!$B$5&gt;=7),"S3457","")</f>
        <v/>
      </c>
      <c r="B3458" t="str">
        <f>IF(AND(FORSIDE!$B$8&gt;=15,FORSIDE!$F$8&gt;=5,FORSIDE!$B$5&gt;=7),"1317 -&gt; 1328","")</f>
        <v/>
      </c>
      <c r="C3458" t="str">
        <f>FORSIDE!$C$3</f>
        <v>S355, Stål / VFHUP 140x140x8.0</v>
      </c>
    </row>
    <row r="3459" spans="1:3" x14ac:dyDescent="0.3">
      <c r="A3459" t="str">
        <f>IF(AND(FORSIDE!$B$8&gt;=15,FORSIDE!$F$8&gt;=5,FORSIDE!$B$5&gt;=8),"S3458","")</f>
        <v/>
      </c>
      <c r="B3459" t="str">
        <f>IF(AND(FORSIDE!$B$8&gt;=15,FORSIDE!$F$8&gt;=5,FORSIDE!$B$5&gt;=8),"1318 -&gt; 1329","")</f>
        <v/>
      </c>
      <c r="C3459" t="str">
        <f>FORSIDE!$C$3</f>
        <v>S355, Stål / VFHUP 140x140x8.0</v>
      </c>
    </row>
    <row r="3460" spans="1:3" x14ac:dyDescent="0.3">
      <c r="A3460" t="str">
        <f>IF(AND(FORSIDE!$B$8&gt;=15,FORSIDE!$F$8&gt;=5,FORSIDE!$B$5&gt;=9),"S3459","")</f>
        <v/>
      </c>
      <c r="B3460" t="str">
        <f>IF(AND(FORSIDE!$B$8&gt;=15,FORSIDE!$F$8&gt;=5,FORSIDE!$B$5&gt;=9),"1319 -&gt; 1330","")</f>
        <v/>
      </c>
      <c r="C3460" t="str">
        <f>FORSIDE!$C$3</f>
        <v>S355, Stål / VFHUP 140x140x8.0</v>
      </c>
    </row>
    <row r="3461" spans="1:3" x14ac:dyDescent="0.3">
      <c r="A3461" t="str">
        <f>IF(AND(FORSIDE!$B$8&gt;=15,FORSIDE!$F$8&gt;=5,FORSIDE!$B$5&gt;=10),"S3460","")</f>
        <v/>
      </c>
      <c r="B3461" t="str">
        <f>IF(AND(FORSIDE!$B$8&gt;=15,FORSIDE!$F$8&gt;=5,FORSIDE!$B$5&gt;=10),"1320 -&gt; 1331","")</f>
        <v/>
      </c>
      <c r="C3461" t="str">
        <f>FORSIDE!$C$3</f>
        <v>S355, Stål / VFHUP 140x140x8.0</v>
      </c>
    </row>
    <row r="3462" spans="1:3" x14ac:dyDescent="0.3">
      <c r="A3462" t="str">
        <f>IF(AND(FORSIDE!$B$8&gt;=16,FORSIDE!$F$8&gt;=5,FORSIDE!$B$5&gt;=1),"S3461","")</f>
        <v/>
      </c>
      <c r="B3462" t="str">
        <f>IF(AND(FORSIDE!$B$8&gt;=16,FORSIDE!$F$8&gt;=5,FORSIDE!$B$5&gt;=1),"1322 -&gt; 1333","")</f>
        <v/>
      </c>
      <c r="C3462" t="str">
        <f>FORSIDE!$C$3</f>
        <v>S355, Stål / VFHUP 140x140x8.0</v>
      </c>
    </row>
    <row r="3463" spans="1:3" x14ac:dyDescent="0.3">
      <c r="A3463" t="str">
        <f>IF(AND(FORSIDE!$B$8&gt;=16,FORSIDE!$F$8&gt;=5,FORSIDE!$B$5&gt;=2),"S3462","")</f>
        <v/>
      </c>
      <c r="B3463" t="str">
        <f>IF(AND(FORSIDE!$B$8&gt;=16,FORSIDE!$F$8&gt;=5,FORSIDE!$B$5&gt;=2),"1323 -&gt; 1334","")</f>
        <v/>
      </c>
      <c r="C3463" t="str">
        <f>FORSIDE!$C$3</f>
        <v>S355, Stål / VFHUP 140x140x8.0</v>
      </c>
    </row>
    <row r="3464" spans="1:3" x14ac:dyDescent="0.3">
      <c r="A3464" t="str">
        <f>IF(AND(FORSIDE!$B$8&gt;=16,FORSIDE!$F$8&gt;=5,FORSIDE!$B$5&gt;=3),"S3463","")</f>
        <v/>
      </c>
      <c r="B3464" t="str">
        <f>IF(AND(FORSIDE!$B$8&gt;=16,FORSIDE!$F$8&gt;=5,FORSIDE!$B$5&gt;=3),"1324 -&gt; 1335","")</f>
        <v/>
      </c>
      <c r="C3464" t="str">
        <f>FORSIDE!$C$3</f>
        <v>S355, Stål / VFHUP 140x140x8.0</v>
      </c>
    </row>
    <row r="3465" spans="1:3" x14ac:dyDescent="0.3">
      <c r="A3465" t="str">
        <f>IF(AND(FORSIDE!$B$8&gt;=16,FORSIDE!$F$8&gt;=5,FORSIDE!$B$5&gt;=4),"S3464","")</f>
        <v/>
      </c>
      <c r="B3465" t="str">
        <f>IF(AND(FORSIDE!$B$8&gt;=16,FORSIDE!$F$8&gt;=5,FORSIDE!$B$5&gt;=4),"1325 -&gt; 1336","")</f>
        <v/>
      </c>
      <c r="C3465" t="str">
        <f>FORSIDE!$C$3</f>
        <v>S355, Stål / VFHUP 140x140x8.0</v>
      </c>
    </row>
    <row r="3466" spans="1:3" x14ac:dyDescent="0.3">
      <c r="A3466" t="str">
        <f>IF(AND(FORSIDE!$B$8&gt;=16,FORSIDE!$F$8&gt;=5,FORSIDE!$B$5&gt;=5),"S3465","")</f>
        <v/>
      </c>
      <c r="B3466" t="str">
        <f>IF(AND(FORSIDE!$B$8&gt;=16,FORSIDE!$F$8&gt;=5,FORSIDE!$B$5&gt;=5),"1326 -&gt; 1337","")</f>
        <v/>
      </c>
      <c r="C3466" t="str">
        <f>FORSIDE!$C$3</f>
        <v>S355, Stål / VFHUP 140x140x8.0</v>
      </c>
    </row>
    <row r="3467" spans="1:3" x14ac:dyDescent="0.3">
      <c r="A3467" t="str">
        <f>IF(AND(FORSIDE!$B$8&gt;=16,FORSIDE!$F$8&gt;=5,FORSIDE!$B$5&gt;=6),"S3466","")</f>
        <v/>
      </c>
      <c r="B3467" t="str">
        <f>IF(AND(FORSIDE!$B$8&gt;=16,FORSIDE!$F$8&gt;=5,FORSIDE!$B$5&gt;=6),"1327 -&gt; 1338","")</f>
        <v/>
      </c>
      <c r="C3467" t="str">
        <f>FORSIDE!$C$3</f>
        <v>S355, Stål / VFHUP 140x140x8.0</v>
      </c>
    </row>
    <row r="3468" spans="1:3" x14ac:dyDescent="0.3">
      <c r="A3468" t="str">
        <f>IF(AND(FORSIDE!$B$8&gt;=16,FORSIDE!$F$8&gt;=5,FORSIDE!$B$5&gt;=7),"S3467","")</f>
        <v/>
      </c>
      <c r="B3468" t="str">
        <f>IF(AND(FORSIDE!$B$8&gt;=16,FORSIDE!$F$8&gt;=5,FORSIDE!$B$5&gt;=7),"1328 -&gt; 1339","")</f>
        <v/>
      </c>
      <c r="C3468" t="str">
        <f>FORSIDE!$C$3</f>
        <v>S355, Stål / VFHUP 140x140x8.0</v>
      </c>
    </row>
    <row r="3469" spans="1:3" x14ac:dyDescent="0.3">
      <c r="A3469" t="str">
        <f>IF(AND(FORSIDE!$B$8&gt;=16,FORSIDE!$F$8&gt;=5,FORSIDE!$B$5&gt;=8),"S3468","")</f>
        <v/>
      </c>
      <c r="B3469" t="str">
        <f>IF(AND(FORSIDE!$B$8&gt;=16,FORSIDE!$F$8&gt;=5,FORSIDE!$B$5&gt;=8),"1329 -&gt; 1340","")</f>
        <v/>
      </c>
      <c r="C3469" t="str">
        <f>FORSIDE!$C$3</f>
        <v>S355, Stål / VFHUP 140x140x8.0</v>
      </c>
    </row>
    <row r="3470" spans="1:3" x14ac:dyDescent="0.3">
      <c r="A3470" t="str">
        <f>IF(AND(FORSIDE!$B$8&gt;=16,FORSIDE!$F$8&gt;=5,FORSIDE!$B$5&gt;=9),"S3469","")</f>
        <v/>
      </c>
      <c r="B3470" t="str">
        <f>IF(AND(FORSIDE!$B$8&gt;=16,FORSIDE!$F$8&gt;=5,FORSIDE!$B$5&gt;=9),"1330 -&gt; 1341","")</f>
        <v/>
      </c>
      <c r="C3470" t="str">
        <f>FORSIDE!$C$3</f>
        <v>S355, Stål / VFHUP 140x140x8.0</v>
      </c>
    </row>
    <row r="3471" spans="1:3" x14ac:dyDescent="0.3">
      <c r="A3471" t="str">
        <f>IF(AND(FORSIDE!$B$8&gt;=16,FORSIDE!$F$8&gt;=5,FORSIDE!$B$5&gt;=10),"S3470","")</f>
        <v/>
      </c>
      <c r="B3471" t="str">
        <f>IF(AND(FORSIDE!$B$8&gt;=16,FORSIDE!$F$8&gt;=5,FORSIDE!$B$5&gt;=10),"1331 -&gt; 1342","")</f>
        <v/>
      </c>
      <c r="C3471" t="str">
        <f>FORSIDE!$C$3</f>
        <v>S355, Stål / VFHUP 140x140x8.0</v>
      </c>
    </row>
    <row r="3472" spans="1:3" x14ac:dyDescent="0.3">
      <c r="A3472" t="str">
        <f>IF(AND(FORSIDE!$B$8&gt;=17,FORSIDE!$F$8&gt;=5,FORSIDE!$B$5&gt;=1),"S3471","")</f>
        <v/>
      </c>
      <c r="B3472" t="str">
        <f>IF(AND(FORSIDE!$B$8&gt;=17,FORSIDE!$F$8&gt;=5,FORSIDE!$B$5&gt;=1),"1333 -&gt; 1344","")</f>
        <v/>
      </c>
      <c r="C3472" t="str">
        <f>FORSIDE!$C$3</f>
        <v>S355, Stål / VFHUP 140x140x8.0</v>
      </c>
    </row>
    <row r="3473" spans="1:3" x14ac:dyDescent="0.3">
      <c r="A3473" t="str">
        <f>IF(AND(FORSIDE!$B$8&gt;=17,FORSIDE!$F$8&gt;=5,FORSIDE!$B$5&gt;=2),"S3472","")</f>
        <v/>
      </c>
      <c r="B3473" t="str">
        <f>IF(AND(FORSIDE!$B$8&gt;=17,FORSIDE!$F$8&gt;=5,FORSIDE!$B$5&gt;=2),"1334 -&gt; 1345","")</f>
        <v/>
      </c>
      <c r="C3473" t="str">
        <f>FORSIDE!$C$3</f>
        <v>S355, Stål / VFHUP 140x140x8.0</v>
      </c>
    </row>
    <row r="3474" spans="1:3" x14ac:dyDescent="0.3">
      <c r="A3474" t="str">
        <f>IF(AND(FORSIDE!$B$8&gt;=17,FORSIDE!$F$8&gt;=5,FORSIDE!$B$5&gt;=3),"S3473","")</f>
        <v/>
      </c>
      <c r="B3474" t="str">
        <f>IF(AND(FORSIDE!$B$8&gt;=17,FORSIDE!$F$8&gt;=5,FORSIDE!$B$5&gt;=3),"1335 -&gt; 1346","")</f>
        <v/>
      </c>
      <c r="C3474" t="str">
        <f>FORSIDE!$C$3</f>
        <v>S355, Stål / VFHUP 140x140x8.0</v>
      </c>
    </row>
    <row r="3475" spans="1:3" x14ac:dyDescent="0.3">
      <c r="A3475" t="str">
        <f>IF(AND(FORSIDE!$B$8&gt;=17,FORSIDE!$F$8&gt;=5,FORSIDE!$B$5&gt;=4),"S3474","")</f>
        <v/>
      </c>
      <c r="B3475" t="str">
        <f>IF(AND(FORSIDE!$B$8&gt;=17,FORSIDE!$F$8&gt;=5,FORSIDE!$B$5&gt;=4),"1336 -&gt; 1347","")</f>
        <v/>
      </c>
      <c r="C3475" t="str">
        <f>FORSIDE!$C$3</f>
        <v>S355, Stål / VFHUP 140x140x8.0</v>
      </c>
    </row>
    <row r="3476" spans="1:3" x14ac:dyDescent="0.3">
      <c r="A3476" t="str">
        <f>IF(AND(FORSIDE!$B$8&gt;=17,FORSIDE!$F$8&gt;=5,FORSIDE!$B$5&gt;=5),"S3475","")</f>
        <v/>
      </c>
      <c r="B3476" t="str">
        <f>IF(AND(FORSIDE!$B$8&gt;=17,FORSIDE!$F$8&gt;=5,FORSIDE!$B$5&gt;=5),"1337 -&gt; 1348","")</f>
        <v/>
      </c>
      <c r="C3476" t="str">
        <f>FORSIDE!$C$3</f>
        <v>S355, Stål / VFHUP 140x140x8.0</v>
      </c>
    </row>
    <row r="3477" spans="1:3" x14ac:dyDescent="0.3">
      <c r="A3477" t="str">
        <f>IF(AND(FORSIDE!$B$8&gt;=17,FORSIDE!$F$8&gt;=5,FORSIDE!$B$5&gt;=6),"S3476","")</f>
        <v/>
      </c>
      <c r="B3477" t="str">
        <f>IF(AND(FORSIDE!$B$8&gt;=17,FORSIDE!$F$8&gt;=5,FORSIDE!$B$5&gt;=6),"1338 -&gt; 1349","")</f>
        <v/>
      </c>
      <c r="C3477" t="str">
        <f>FORSIDE!$C$3</f>
        <v>S355, Stål / VFHUP 140x140x8.0</v>
      </c>
    </row>
    <row r="3478" spans="1:3" x14ac:dyDescent="0.3">
      <c r="A3478" t="str">
        <f>IF(AND(FORSIDE!$B$8&gt;=17,FORSIDE!$F$8&gt;=5,FORSIDE!$B$5&gt;=7),"S3477","")</f>
        <v/>
      </c>
      <c r="B3478" t="str">
        <f>IF(AND(FORSIDE!$B$8&gt;=17,FORSIDE!$F$8&gt;=5,FORSIDE!$B$5&gt;=7),"1339 -&gt; 1350","")</f>
        <v/>
      </c>
      <c r="C3478" t="str">
        <f>FORSIDE!$C$3</f>
        <v>S355, Stål / VFHUP 140x140x8.0</v>
      </c>
    </row>
    <row r="3479" spans="1:3" x14ac:dyDescent="0.3">
      <c r="A3479" t="str">
        <f>IF(AND(FORSIDE!$B$8&gt;=17,FORSIDE!$F$8&gt;=5,FORSIDE!$B$5&gt;=8),"S3478","")</f>
        <v/>
      </c>
      <c r="B3479" t="str">
        <f>IF(AND(FORSIDE!$B$8&gt;=17,FORSIDE!$F$8&gt;=5,FORSIDE!$B$5&gt;=8),"1340 -&gt; 1351","")</f>
        <v/>
      </c>
      <c r="C3479" t="str">
        <f>FORSIDE!$C$3</f>
        <v>S355, Stål / VFHUP 140x140x8.0</v>
      </c>
    </row>
    <row r="3480" spans="1:3" x14ac:dyDescent="0.3">
      <c r="A3480" t="str">
        <f>IF(AND(FORSIDE!$B$8&gt;=17,FORSIDE!$F$8&gt;=5,FORSIDE!$B$5&gt;=9),"S3479","")</f>
        <v/>
      </c>
      <c r="B3480" t="str">
        <f>IF(AND(FORSIDE!$B$8&gt;=17,FORSIDE!$F$8&gt;=5,FORSIDE!$B$5&gt;=9),"1341 -&gt; 1352","")</f>
        <v/>
      </c>
      <c r="C3480" t="str">
        <f>FORSIDE!$C$3</f>
        <v>S355, Stål / VFHUP 140x140x8.0</v>
      </c>
    </row>
    <row r="3481" spans="1:3" x14ac:dyDescent="0.3">
      <c r="A3481" t="str">
        <f>IF(AND(FORSIDE!$B$8&gt;=17,FORSIDE!$F$8&gt;=5,FORSIDE!$B$5&gt;=10),"S3480","")</f>
        <v/>
      </c>
      <c r="B3481" t="str">
        <f>IF(AND(FORSIDE!$B$8&gt;=17,FORSIDE!$F$8&gt;=5,FORSIDE!$B$5&gt;=10),"1342 -&gt; 1353","")</f>
        <v/>
      </c>
      <c r="C3481" t="str">
        <f>FORSIDE!$C$3</f>
        <v>S355, Stål / VFHUP 140x140x8.0</v>
      </c>
    </row>
    <row r="3482" spans="1:3" x14ac:dyDescent="0.3">
      <c r="A3482" t="str">
        <f>IF(AND(FORSIDE!$B$8&gt;=18,FORSIDE!$F$8&gt;=5,FORSIDE!$B$5&gt;=1),"S3481","")</f>
        <v/>
      </c>
      <c r="B3482" t="str">
        <f>IF(AND(FORSIDE!$B$8&gt;=18,FORSIDE!$F$8&gt;=5,FORSIDE!$B$5&gt;=1),"1344 -&gt; 1355","")</f>
        <v/>
      </c>
      <c r="C3482" t="str">
        <f>FORSIDE!$C$3</f>
        <v>S355, Stål / VFHUP 140x140x8.0</v>
      </c>
    </row>
    <row r="3483" spans="1:3" x14ac:dyDescent="0.3">
      <c r="A3483" t="str">
        <f>IF(AND(FORSIDE!$B$8&gt;=18,FORSIDE!$F$8&gt;=5,FORSIDE!$B$5&gt;=2),"S3482","")</f>
        <v/>
      </c>
      <c r="B3483" t="str">
        <f>IF(AND(FORSIDE!$B$8&gt;=18,FORSIDE!$F$8&gt;=5,FORSIDE!$B$5&gt;=2),"1345 -&gt; 1356","")</f>
        <v/>
      </c>
      <c r="C3483" t="str">
        <f>FORSIDE!$C$3</f>
        <v>S355, Stål / VFHUP 140x140x8.0</v>
      </c>
    </row>
    <row r="3484" spans="1:3" x14ac:dyDescent="0.3">
      <c r="A3484" t="str">
        <f>IF(AND(FORSIDE!$B$8&gt;=18,FORSIDE!$F$8&gt;=5,FORSIDE!$B$5&gt;=3),"S3483","")</f>
        <v/>
      </c>
      <c r="B3484" t="str">
        <f>IF(AND(FORSIDE!$B$8&gt;=18,FORSIDE!$F$8&gt;=5,FORSIDE!$B$5&gt;=3),"1346 -&gt; 1357","")</f>
        <v/>
      </c>
      <c r="C3484" t="str">
        <f>FORSIDE!$C$3</f>
        <v>S355, Stål / VFHUP 140x140x8.0</v>
      </c>
    </row>
    <row r="3485" spans="1:3" x14ac:dyDescent="0.3">
      <c r="A3485" t="str">
        <f>IF(AND(FORSIDE!$B$8&gt;=18,FORSIDE!$F$8&gt;=5,FORSIDE!$B$5&gt;=4),"S3484","")</f>
        <v/>
      </c>
      <c r="B3485" t="str">
        <f>IF(AND(FORSIDE!$B$8&gt;=18,FORSIDE!$F$8&gt;=5,FORSIDE!$B$5&gt;=4),"1347 -&gt; 1358","")</f>
        <v/>
      </c>
      <c r="C3485" t="str">
        <f>FORSIDE!$C$3</f>
        <v>S355, Stål / VFHUP 140x140x8.0</v>
      </c>
    </row>
    <row r="3486" spans="1:3" x14ac:dyDescent="0.3">
      <c r="A3486" t="str">
        <f>IF(AND(FORSIDE!$B$8&gt;=18,FORSIDE!$F$8&gt;=5,FORSIDE!$B$5&gt;=5),"S3485","")</f>
        <v/>
      </c>
      <c r="B3486" t="str">
        <f>IF(AND(FORSIDE!$B$8&gt;=18,FORSIDE!$F$8&gt;=5,FORSIDE!$B$5&gt;=5),"1348 -&gt; 1359","")</f>
        <v/>
      </c>
      <c r="C3486" t="str">
        <f>FORSIDE!$C$3</f>
        <v>S355, Stål / VFHUP 140x140x8.0</v>
      </c>
    </row>
    <row r="3487" spans="1:3" x14ac:dyDescent="0.3">
      <c r="A3487" t="str">
        <f>IF(AND(FORSIDE!$B$8&gt;=18,FORSIDE!$F$8&gt;=5,FORSIDE!$B$5&gt;=6),"S3486","")</f>
        <v/>
      </c>
      <c r="B3487" t="str">
        <f>IF(AND(FORSIDE!$B$8&gt;=18,FORSIDE!$F$8&gt;=5,FORSIDE!$B$5&gt;=6),"1349 -&gt; 1360","")</f>
        <v/>
      </c>
      <c r="C3487" t="str">
        <f>FORSIDE!$C$3</f>
        <v>S355, Stål / VFHUP 140x140x8.0</v>
      </c>
    </row>
    <row r="3488" spans="1:3" x14ac:dyDescent="0.3">
      <c r="A3488" t="str">
        <f>IF(AND(FORSIDE!$B$8&gt;=18,FORSIDE!$F$8&gt;=5,FORSIDE!$B$5&gt;=7),"S3487","")</f>
        <v/>
      </c>
      <c r="B3488" t="str">
        <f>IF(AND(FORSIDE!$B$8&gt;=18,FORSIDE!$F$8&gt;=5,FORSIDE!$B$5&gt;=7),"1350 -&gt; 1361","")</f>
        <v/>
      </c>
      <c r="C3488" t="str">
        <f>FORSIDE!$C$3</f>
        <v>S355, Stål / VFHUP 140x140x8.0</v>
      </c>
    </row>
    <row r="3489" spans="1:3" x14ac:dyDescent="0.3">
      <c r="A3489" t="str">
        <f>IF(AND(FORSIDE!$B$8&gt;=18,FORSIDE!$F$8&gt;=5,FORSIDE!$B$5&gt;=8),"S3488","")</f>
        <v/>
      </c>
      <c r="B3489" t="str">
        <f>IF(AND(FORSIDE!$B$8&gt;=18,FORSIDE!$F$8&gt;=5,FORSIDE!$B$5&gt;=8),"1351 -&gt; 1362","")</f>
        <v/>
      </c>
      <c r="C3489" t="str">
        <f>FORSIDE!$C$3</f>
        <v>S355, Stål / VFHUP 140x140x8.0</v>
      </c>
    </row>
    <row r="3490" spans="1:3" x14ac:dyDescent="0.3">
      <c r="A3490" t="str">
        <f>IF(AND(FORSIDE!$B$8&gt;=18,FORSIDE!$F$8&gt;=5,FORSIDE!$B$5&gt;=9),"S3489","")</f>
        <v/>
      </c>
      <c r="B3490" t="str">
        <f>IF(AND(FORSIDE!$B$8&gt;=18,FORSIDE!$F$8&gt;=5,FORSIDE!$B$5&gt;=9),"1352 -&gt; 1363","")</f>
        <v/>
      </c>
      <c r="C3490" t="str">
        <f>FORSIDE!$C$3</f>
        <v>S355, Stål / VFHUP 140x140x8.0</v>
      </c>
    </row>
    <row r="3491" spans="1:3" x14ac:dyDescent="0.3">
      <c r="A3491" t="str">
        <f>IF(AND(FORSIDE!$B$8&gt;=18,FORSIDE!$F$8&gt;=5,FORSIDE!$B$5&gt;=10),"S3490","")</f>
        <v/>
      </c>
      <c r="B3491" t="str">
        <f>IF(AND(FORSIDE!$B$8&gt;=18,FORSIDE!$F$8&gt;=5,FORSIDE!$B$5&gt;=10),"1353 -&gt; 1364","")</f>
        <v/>
      </c>
      <c r="C3491" t="str">
        <f>FORSIDE!$C$3</f>
        <v>S355, Stål / VFHUP 140x140x8.0</v>
      </c>
    </row>
    <row r="3492" spans="1:3" x14ac:dyDescent="0.3">
      <c r="A3492" t="str">
        <f>IF(AND(FORSIDE!$B$8&gt;=19,FORSIDE!$F$8&gt;=5,FORSIDE!$B$5&gt;=1),"S3491","")</f>
        <v/>
      </c>
      <c r="B3492" t="str">
        <f>IF(AND(FORSIDE!$B$8&gt;=19,FORSIDE!$F$8&gt;=5,FORSIDE!$B$5&gt;=1),"1355 -&gt; 1366","")</f>
        <v/>
      </c>
      <c r="C3492" t="str">
        <f>FORSIDE!$C$3</f>
        <v>S355, Stål / VFHUP 140x140x8.0</v>
      </c>
    </row>
    <row r="3493" spans="1:3" x14ac:dyDescent="0.3">
      <c r="A3493" t="str">
        <f>IF(AND(FORSIDE!$B$8&gt;=19,FORSIDE!$F$8&gt;=5,FORSIDE!$B$5&gt;=2),"S3492","")</f>
        <v/>
      </c>
      <c r="B3493" t="str">
        <f>IF(AND(FORSIDE!$B$8&gt;=19,FORSIDE!$F$8&gt;=5,FORSIDE!$B$5&gt;=2),"1356 -&gt; 1367","")</f>
        <v/>
      </c>
      <c r="C3493" t="str">
        <f>FORSIDE!$C$3</f>
        <v>S355, Stål / VFHUP 140x140x8.0</v>
      </c>
    </row>
    <row r="3494" spans="1:3" x14ac:dyDescent="0.3">
      <c r="A3494" t="str">
        <f>IF(AND(FORSIDE!$B$8&gt;=19,FORSIDE!$F$8&gt;=5,FORSIDE!$B$5&gt;=3),"S3493","")</f>
        <v/>
      </c>
      <c r="B3494" t="str">
        <f>IF(AND(FORSIDE!$B$8&gt;=19,FORSIDE!$F$8&gt;=5,FORSIDE!$B$5&gt;=3),"1357 -&gt; 1368","")</f>
        <v/>
      </c>
      <c r="C3494" t="str">
        <f>FORSIDE!$C$3</f>
        <v>S355, Stål / VFHUP 140x140x8.0</v>
      </c>
    </row>
    <row r="3495" spans="1:3" x14ac:dyDescent="0.3">
      <c r="A3495" t="str">
        <f>IF(AND(FORSIDE!$B$8&gt;=19,FORSIDE!$F$8&gt;=5,FORSIDE!$B$5&gt;=4),"S3494","")</f>
        <v/>
      </c>
      <c r="B3495" t="str">
        <f>IF(AND(FORSIDE!$B$8&gt;=19,FORSIDE!$F$8&gt;=5,FORSIDE!$B$5&gt;=4),"1358 -&gt; 1369","")</f>
        <v/>
      </c>
      <c r="C3495" t="str">
        <f>FORSIDE!$C$3</f>
        <v>S355, Stål / VFHUP 140x140x8.0</v>
      </c>
    </row>
    <row r="3496" spans="1:3" x14ac:dyDescent="0.3">
      <c r="A3496" t="str">
        <f>IF(AND(FORSIDE!$B$8&gt;=19,FORSIDE!$F$8&gt;=5,FORSIDE!$B$5&gt;=5),"S3495","")</f>
        <v/>
      </c>
      <c r="B3496" t="str">
        <f>IF(AND(FORSIDE!$B$8&gt;=19,FORSIDE!$F$8&gt;=5,FORSIDE!$B$5&gt;=5),"1359 -&gt; 1370","")</f>
        <v/>
      </c>
      <c r="C3496" t="str">
        <f>FORSIDE!$C$3</f>
        <v>S355, Stål / VFHUP 140x140x8.0</v>
      </c>
    </row>
    <row r="3497" spans="1:3" x14ac:dyDescent="0.3">
      <c r="A3497" t="str">
        <f>IF(AND(FORSIDE!$B$8&gt;=19,FORSIDE!$F$8&gt;=5,FORSIDE!$B$5&gt;=6),"S3496","")</f>
        <v/>
      </c>
      <c r="B3497" t="str">
        <f>IF(AND(FORSIDE!$B$8&gt;=19,FORSIDE!$F$8&gt;=5,FORSIDE!$B$5&gt;=6),"1360 -&gt; 1371","")</f>
        <v/>
      </c>
      <c r="C3497" t="str">
        <f>FORSIDE!$C$3</f>
        <v>S355, Stål / VFHUP 140x140x8.0</v>
      </c>
    </row>
    <row r="3498" spans="1:3" x14ac:dyDescent="0.3">
      <c r="A3498" t="str">
        <f>IF(AND(FORSIDE!$B$8&gt;=19,FORSIDE!$F$8&gt;=5,FORSIDE!$B$5&gt;=7),"S3497","")</f>
        <v/>
      </c>
      <c r="B3498" t="str">
        <f>IF(AND(FORSIDE!$B$8&gt;=19,FORSIDE!$F$8&gt;=5,FORSIDE!$B$5&gt;=7),"1361 -&gt; 1372","")</f>
        <v/>
      </c>
      <c r="C3498" t="str">
        <f>FORSIDE!$C$3</f>
        <v>S355, Stål / VFHUP 140x140x8.0</v>
      </c>
    </row>
    <row r="3499" spans="1:3" x14ac:dyDescent="0.3">
      <c r="A3499" t="str">
        <f>IF(AND(FORSIDE!$B$8&gt;=19,FORSIDE!$F$8&gt;=5,FORSIDE!$B$5&gt;=8),"S3498","")</f>
        <v/>
      </c>
      <c r="B3499" t="str">
        <f>IF(AND(FORSIDE!$B$8&gt;=19,FORSIDE!$F$8&gt;=5,FORSIDE!$B$5&gt;=8),"1362 -&gt; 1373","")</f>
        <v/>
      </c>
      <c r="C3499" t="str">
        <f>FORSIDE!$C$3</f>
        <v>S355, Stål / VFHUP 140x140x8.0</v>
      </c>
    </row>
    <row r="3500" spans="1:3" x14ac:dyDescent="0.3">
      <c r="A3500" t="str">
        <f>IF(AND(FORSIDE!$B$8&gt;=19,FORSIDE!$F$8&gt;=5,FORSIDE!$B$5&gt;=9),"S3499","")</f>
        <v/>
      </c>
      <c r="B3500" t="str">
        <f>IF(AND(FORSIDE!$B$8&gt;=19,FORSIDE!$F$8&gt;=5,FORSIDE!$B$5&gt;=9),"1363 -&gt; 1374","")</f>
        <v/>
      </c>
      <c r="C3500" t="str">
        <f>FORSIDE!$C$3</f>
        <v>S355, Stål / VFHUP 140x140x8.0</v>
      </c>
    </row>
    <row r="3501" spans="1:3" x14ac:dyDescent="0.3">
      <c r="A3501" t="str">
        <f>IF(AND(FORSIDE!$B$8&gt;=19,FORSIDE!$F$8&gt;=5,FORSIDE!$B$5&gt;=10),"S3500","")</f>
        <v/>
      </c>
      <c r="B3501" t="str">
        <f>IF(AND(FORSIDE!$B$8&gt;=19,FORSIDE!$F$8&gt;=5,FORSIDE!$B$5&gt;=10),"1364 -&gt; 1375","")</f>
        <v/>
      </c>
      <c r="C3501" t="str">
        <f>FORSIDE!$C$3</f>
        <v>S355, Stål / VFHUP 140x140x8.0</v>
      </c>
    </row>
    <row r="3502" spans="1:3" x14ac:dyDescent="0.3">
      <c r="A3502" t="str">
        <f>IF(AND(FORSIDE!$B$8&gt;=20,FORSIDE!$F$8&gt;=5,FORSIDE!$B$5&gt;=1),"S3501","")</f>
        <v/>
      </c>
      <c r="B3502" t="str">
        <f>IF(AND(FORSIDE!$B$8&gt;=20,FORSIDE!$F$8&gt;=5,FORSIDE!$B$5&gt;=1),"1366 -&gt; 1377","")</f>
        <v/>
      </c>
      <c r="C3502" t="str">
        <f>FORSIDE!$C$3</f>
        <v>S355, Stål / VFHUP 140x140x8.0</v>
      </c>
    </row>
    <row r="3503" spans="1:3" x14ac:dyDescent="0.3">
      <c r="A3503" t="str">
        <f>IF(AND(FORSIDE!$B$8&gt;=20,FORSIDE!$F$8&gt;=5,FORSIDE!$B$5&gt;=2),"S3502","")</f>
        <v/>
      </c>
      <c r="B3503" t="str">
        <f>IF(AND(FORSIDE!$B$8&gt;=20,FORSIDE!$F$8&gt;=5,FORSIDE!$B$5&gt;=2),"1367 -&gt; 1378","")</f>
        <v/>
      </c>
      <c r="C3503" t="str">
        <f>FORSIDE!$C$3</f>
        <v>S355, Stål / VFHUP 140x140x8.0</v>
      </c>
    </row>
    <row r="3504" spans="1:3" x14ac:dyDescent="0.3">
      <c r="A3504" t="str">
        <f>IF(AND(FORSIDE!$B$8&gt;=20,FORSIDE!$F$8&gt;=5,FORSIDE!$B$5&gt;=3),"S3503","")</f>
        <v/>
      </c>
      <c r="B3504" t="str">
        <f>IF(AND(FORSIDE!$B$8&gt;=20,FORSIDE!$F$8&gt;=5,FORSIDE!$B$5&gt;=3),"1368 -&gt; 1379","")</f>
        <v/>
      </c>
      <c r="C3504" t="str">
        <f>FORSIDE!$C$3</f>
        <v>S355, Stål / VFHUP 140x140x8.0</v>
      </c>
    </row>
    <row r="3505" spans="1:3" x14ac:dyDescent="0.3">
      <c r="A3505" t="str">
        <f>IF(AND(FORSIDE!$B$8&gt;=20,FORSIDE!$F$8&gt;=5,FORSIDE!$B$5&gt;=4),"S3504","")</f>
        <v/>
      </c>
      <c r="B3505" t="str">
        <f>IF(AND(FORSIDE!$B$8&gt;=20,FORSIDE!$F$8&gt;=5,FORSIDE!$B$5&gt;=4),"1369 -&gt; 1380","")</f>
        <v/>
      </c>
      <c r="C3505" t="str">
        <f>FORSIDE!$C$3</f>
        <v>S355, Stål / VFHUP 140x140x8.0</v>
      </c>
    </row>
    <row r="3506" spans="1:3" x14ac:dyDescent="0.3">
      <c r="A3506" t="str">
        <f>IF(AND(FORSIDE!$B$8&gt;=20,FORSIDE!$F$8&gt;=5,FORSIDE!$B$5&gt;=5),"S3505","")</f>
        <v/>
      </c>
      <c r="B3506" t="str">
        <f>IF(AND(FORSIDE!$B$8&gt;=20,FORSIDE!$F$8&gt;=5,FORSIDE!$B$5&gt;=5),"1370 -&gt; 1381","")</f>
        <v/>
      </c>
      <c r="C3506" t="str">
        <f>FORSIDE!$C$3</f>
        <v>S355, Stål / VFHUP 140x140x8.0</v>
      </c>
    </row>
    <row r="3507" spans="1:3" x14ac:dyDescent="0.3">
      <c r="A3507" t="str">
        <f>IF(AND(FORSIDE!$B$8&gt;=20,FORSIDE!$F$8&gt;=5,FORSIDE!$B$5&gt;=6),"S3506","")</f>
        <v/>
      </c>
      <c r="B3507" t="str">
        <f>IF(AND(FORSIDE!$B$8&gt;=20,FORSIDE!$F$8&gt;=5,FORSIDE!$B$5&gt;=6),"1371 -&gt; 1382","")</f>
        <v/>
      </c>
      <c r="C3507" t="str">
        <f>FORSIDE!$C$3</f>
        <v>S355, Stål / VFHUP 140x140x8.0</v>
      </c>
    </row>
    <row r="3508" spans="1:3" x14ac:dyDescent="0.3">
      <c r="A3508" t="str">
        <f>IF(AND(FORSIDE!$B$8&gt;=20,FORSIDE!$F$8&gt;=5,FORSIDE!$B$5&gt;=7),"S3507","")</f>
        <v/>
      </c>
      <c r="B3508" t="str">
        <f>IF(AND(FORSIDE!$B$8&gt;=20,FORSIDE!$F$8&gt;=5,FORSIDE!$B$5&gt;=7),"1372 -&gt; 1383","")</f>
        <v/>
      </c>
      <c r="C3508" t="str">
        <f>FORSIDE!$C$3</f>
        <v>S355, Stål / VFHUP 140x140x8.0</v>
      </c>
    </row>
    <row r="3509" spans="1:3" x14ac:dyDescent="0.3">
      <c r="A3509" t="str">
        <f>IF(AND(FORSIDE!$B$8&gt;=20,FORSIDE!$F$8&gt;=5,FORSIDE!$B$5&gt;=8),"S3508","")</f>
        <v/>
      </c>
      <c r="B3509" t="str">
        <f>IF(AND(FORSIDE!$B$8&gt;=20,FORSIDE!$F$8&gt;=5,FORSIDE!$B$5&gt;=8),"1373 -&gt; 1384","")</f>
        <v/>
      </c>
      <c r="C3509" t="str">
        <f>FORSIDE!$C$3</f>
        <v>S355, Stål / VFHUP 140x140x8.0</v>
      </c>
    </row>
    <row r="3510" spans="1:3" x14ac:dyDescent="0.3">
      <c r="A3510" t="str">
        <f>IF(AND(FORSIDE!$B$8&gt;=20,FORSIDE!$F$8&gt;=5,FORSIDE!$B$5&gt;=9),"S3509","")</f>
        <v/>
      </c>
      <c r="B3510" t="str">
        <f>IF(AND(FORSIDE!$B$8&gt;=20,FORSIDE!$F$8&gt;=5,FORSIDE!$B$5&gt;=9),"1374 -&gt; 1385","")</f>
        <v/>
      </c>
      <c r="C3510" t="str">
        <f>FORSIDE!$C$3</f>
        <v>S355, Stål / VFHUP 140x140x8.0</v>
      </c>
    </row>
    <row r="3511" spans="1:3" x14ac:dyDescent="0.3">
      <c r="A3511" t="str">
        <f>IF(AND(FORSIDE!$B$8&gt;=20,FORSIDE!$F$8&gt;=5,FORSIDE!$B$5&gt;=10),"S3510","")</f>
        <v/>
      </c>
      <c r="B3511" t="str">
        <f>IF(AND(FORSIDE!$B$8&gt;=20,FORSIDE!$F$8&gt;=5,FORSIDE!$B$5&gt;=10),"1375 -&gt; 1386","")</f>
        <v/>
      </c>
      <c r="C3511" t="str">
        <f>FORSIDE!$C$3</f>
        <v>S355, Stål / VFHUP 140x140x8.0</v>
      </c>
    </row>
    <row r="3512" spans="1:3" x14ac:dyDescent="0.3">
      <c r="A3512" t="str">
        <f>IF(AND(FORSIDE!$B$8&gt;=1,FORSIDE!$F$8&gt;=6,FORSIDE!$B$5&gt;=1),"S3511","")</f>
        <v/>
      </c>
      <c r="B3512" t="str">
        <f>IF(AND(FORSIDE!$B$8&gt;=1,FORSIDE!$F$8&gt;=6,FORSIDE!$B$5&gt;=1),"1388 -&gt; 1399","")</f>
        <v/>
      </c>
      <c r="C3512" t="str">
        <f>FORSIDE!$C$3</f>
        <v>S355, Stål / VFHUP 140x140x8.0</v>
      </c>
    </row>
    <row r="3513" spans="1:3" x14ac:dyDescent="0.3">
      <c r="A3513" t="str">
        <f>IF(AND(FORSIDE!$B$8&gt;=1,FORSIDE!$F$8&gt;=6,FORSIDE!$B$5&gt;=2),"S3512","")</f>
        <v/>
      </c>
      <c r="B3513" t="str">
        <f>IF(AND(FORSIDE!$B$8&gt;=1,FORSIDE!$F$8&gt;=6,FORSIDE!$B$5&gt;=2),"1389 -&gt; 1400","")</f>
        <v/>
      </c>
      <c r="C3513" t="str">
        <f>FORSIDE!$C$3</f>
        <v>S355, Stål / VFHUP 140x140x8.0</v>
      </c>
    </row>
    <row r="3514" spans="1:3" x14ac:dyDescent="0.3">
      <c r="A3514" t="str">
        <f>IF(AND(FORSIDE!$B$8&gt;=1,FORSIDE!$F$8&gt;=6,FORSIDE!$B$5&gt;=3),"S3513","")</f>
        <v/>
      </c>
      <c r="B3514" t="str">
        <f>IF(AND(FORSIDE!$B$8&gt;=1,FORSIDE!$F$8&gt;=6,FORSIDE!$B$5&gt;=3),"1390 -&gt; 1401","")</f>
        <v/>
      </c>
      <c r="C3514" t="str">
        <f>FORSIDE!$C$3</f>
        <v>S355, Stål / VFHUP 140x140x8.0</v>
      </c>
    </row>
    <row r="3515" spans="1:3" x14ac:dyDescent="0.3">
      <c r="A3515" t="str">
        <f>IF(AND(FORSIDE!$B$8&gt;=1,FORSIDE!$F$8&gt;=6,FORSIDE!$B$5&gt;=4),"S3514","")</f>
        <v/>
      </c>
      <c r="B3515" t="str">
        <f>IF(AND(FORSIDE!$B$8&gt;=1,FORSIDE!$F$8&gt;=6,FORSIDE!$B$5&gt;=4),"1391 -&gt; 1402","")</f>
        <v/>
      </c>
      <c r="C3515" t="str">
        <f>FORSIDE!$C$3</f>
        <v>S355, Stål / VFHUP 140x140x8.0</v>
      </c>
    </row>
    <row r="3516" spans="1:3" x14ac:dyDescent="0.3">
      <c r="A3516" t="str">
        <f>IF(AND(FORSIDE!$B$8&gt;=1,FORSIDE!$F$8&gt;=6,FORSIDE!$B$5&gt;=5),"S3515","")</f>
        <v/>
      </c>
      <c r="B3516" t="str">
        <f>IF(AND(FORSIDE!$B$8&gt;=1,FORSIDE!$F$8&gt;=6,FORSIDE!$B$5&gt;=5),"1392 -&gt; 1403","")</f>
        <v/>
      </c>
      <c r="C3516" t="str">
        <f>FORSIDE!$C$3</f>
        <v>S355, Stål / VFHUP 140x140x8.0</v>
      </c>
    </row>
    <row r="3517" spans="1:3" x14ac:dyDescent="0.3">
      <c r="A3517" t="str">
        <f>IF(AND(FORSIDE!$B$8&gt;=1,FORSIDE!$F$8&gt;=6,FORSIDE!$B$5&gt;=6),"S3516","")</f>
        <v/>
      </c>
      <c r="B3517" t="str">
        <f>IF(AND(FORSIDE!$B$8&gt;=1,FORSIDE!$F$8&gt;=6,FORSIDE!$B$5&gt;=6),"1393 -&gt; 1404","")</f>
        <v/>
      </c>
      <c r="C3517" t="str">
        <f>FORSIDE!$C$3</f>
        <v>S355, Stål / VFHUP 140x140x8.0</v>
      </c>
    </row>
    <row r="3518" spans="1:3" x14ac:dyDescent="0.3">
      <c r="A3518" t="str">
        <f>IF(AND(FORSIDE!$B$8&gt;=1,FORSIDE!$F$8&gt;=6,FORSIDE!$B$5&gt;=7),"S3517","")</f>
        <v/>
      </c>
      <c r="B3518" t="str">
        <f>IF(AND(FORSIDE!$B$8&gt;=1,FORSIDE!$F$8&gt;=6,FORSIDE!$B$5&gt;=7),"1394 -&gt; 1405","")</f>
        <v/>
      </c>
      <c r="C3518" t="str">
        <f>FORSIDE!$C$3</f>
        <v>S355, Stål / VFHUP 140x140x8.0</v>
      </c>
    </row>
    <row r="3519" spans="1:3" x14ac:dyDescent="0.3">
      <c r="A3519" t="str">
        <f>IF(AND(FORSIDE!$B$8&gt;=1,FORSIDE!$F$8&gt;=6,FORSIDE!$B$5&gt;=8),"S3518","")</f>
        <v/>
      </c>
      <c r="B3519" t="str">
        <f>IF(AND(FORSIDE!$B$8&gt;=1,FORSIDE!$F$8&gt;=6,FORSIDE!$B$5&gt;=8),"1395 -&gt; 1406","")</f>
        <v/>
      </c>
      <c r="C3519" t="str">
        <f>FORSIDE!$C$3</f>
        <v>S355, Stål / VFHUP 140x140x8.0</v>
      </c>
    </row>
    <row r="3520" spans="1:3" x14ac:dyDescent="0.3">
      <c r="A3520" t="str">
        <f>IF(AND(FORSIDE!$B$8&gt;=1,FORSIDE!$F$8&gt;=6,FORSIDE!$B$5&gt;=9),"S3519","")</f>
        <v/>
      </c>
      <c r="B3520" t="str">
        <f>IF(AND(FORSIDE!$B$8&gt;=1,FORSIDE!$F$8&gt;=6,FORSIDE!$B$5&gt;=9),"1396 -&gt; 1407","")</f>
        <v/>
      </c>
      <c r="C3520" t="str">
        <f>FORSIDE!$C$3</f>
        <v>S355, Stål / VFHUP 140x140x8.0</v>
      </c>
    </row>
    <row r="3521" spans="1:3" x14ac:dyDescent="0.3">
      <c r="A3521" t="str">
        <f>IF(AND(FORSIDE!$B$8&gt;=1,FORSIDE!$F$8&gt;=6,FORSIDE!$B$5&gt;=10),"S3520","")</f>
        <v/>
      </c>
      <c r="B3521" t="str">
        <f>IF(AND(FORSIDE!$B$8&gt;=1,FORSIDE!$F$8&gt;=6,FORSIDE!$B$5&gt;=10),"1397 -&gt; 1408","")</f>
        <v/>
      </c>
      <c r="C3521" t="str">
        <f>FORSIDE!$C$3</f>
        <v>S355, Stål / VFHUP 140x140x8.0</v>
      </c>
    </row>
    <row r="3522" spans="1:3" x14ac:dyDescent="0.3">
      <c r="A3522" t="str">
        <f>IF(AND(FORSIDE!$B$8&gt;=2,FORSIDE!$F$8&gt;=6,FORSIDE!$B$5&gt;=1),"S3521","")</f>
        <v/>
      </c>
      <c r="B3522" t="str">
        <f>IF(AND(FORSIDE!$B$8&gt;=2,FORSIDE!$F$8&gt;=6,FORSIDE!$B$5&gt;=1),"1399 -&gt; 1410","")</f>
        <v/>
      </c>
      <c r="C3522" t="str">
        <f>FORSIDE!$C$3</f>
        <v>S355, Stål / VFHUP 140x140x8.0</v>
      </c>
    </row>
    <row r="3523" spans="1:3" x14ac:dyDescent="0.3">
      <c r="A3523" t="str">
        <f>IF(AND(FORSIDE!$B$8&gt;=2,FORSIDE!$F$8&gt;=6,FORSIDE!$B$5&gt;=2),"S3522","")</f>
        <v/>
      </c>
      <c r="B3523" t="str">
        <f>IF(AND(FORSIDE!$B$8&gt;=2,FORSIDE!$F$8&gt;=6,FORSIDE!$B$5&gt;=2),"1400 -&gt; 1411","")</f>
        <v/>
      </c>
      <c r="C3523" t="str">
        <f>FORSIDE!$C$3</f>
        <v>S355, Stål / VFHUP 140x140x8.0</v>
      </c>
    </row>
    <row r="3524" spans="1:3" x14ac:dyDescent="0.3">
      <c r="A3524" t="str">
        <f>IF(AND(FORSIDE!$B$8&gt;=2,FORSIDE!$F$8&gt;=6,FORSIDE!$B$5&gt;=3),"S3523","")</f>
        <v/>
      </c>
      <c r="B3524" t="str">
        <f>IF(AND(FORSIDE!$B$8&gt;=2,FORSIDE!$F$8&gt;=6,FORSIDE!$B$5&gt;=3),"1401 -&gt; 1412","")</f>
        <v/>
      </c>
      <c r="C3524" t="str">
        <f>FORSIDE!$C$3</f>
        <v>S355, Stål / VFHUP 140x140x8.0</v>
      </c>
    </row>
    <row r="3525" spans="1:3" x14ac:dyDescent="0.3">
      <c r="A3525" t="str">
        <f>IF(AND(FORSIDE!$B$8&gt;=2,FORSIDE!$F$8&gt;=6,FORSIDE!$B$5&gt;=4),"S3524","")</f>
        <v/>
      </c>
      <c r="B3525" t="str">
        <f>IF(AND(FORSIDE!$B$8&gt;=2,FORSIDE!$F$8&gt;=6,FORSIDE!$B$5&gt;=4),"1402 -&gt; 1413","")</f>
        <v/>
      </c>
      <c r="C3525" t="str">
        <f>FORSIDE!$C$3</f>
        <v>S355, Stål / VFHUP 140x140x8.0</v>
      </c>
    </row>
    <row r="3526" spans="1:3" x14ac:dyDescent="0.3">
      <c r="A3526" t="str">
        <f>IF(AND(FORSIDE!$B$8&gt;=2,FORSIDE!$F$8&gt;=6,FORSIDE!$B$5&gt;=5),"S3525","")</f>
        <v/>
      </c>
      <c r="B3526" t="str">
        <f>IF(AND(FORSIDE!$B$8&gt;=2,FORSIDE!$F$8&gt;=6,FORSIDE!$B$5&gt;=5),"1403 -&gt; 1414","")</f>
        <v/>
      </c>
      <c r="C3526" t="str">
        <f>FORSIDE!$C$3</f>
        <v>S355, Stål / VFHUP 140x140x8.0</v>
      </c>
    </row>
    <row r="3527" spans="1:3" x14ac:dyDescent="0.3">
      <c r="A3527" t="str">
        <f>IF(AND(FORSIDE!$B$8&gt;=2,FORSIDE!$F$8&gt;=6,FORSIDE!$B$5&gt;=6),"S3526","")</f>
        <v/>
      </c>
      <c r="B3527" t="str">
        <f>IF(AND(FORSIDE!$B$8&gt;=2,FORSIDE!$F$8&gt;=6,FORSIDE!$B$5&gt;=6),"1404 -&gt; 1415","")</f>
        <v/>
      </c>
      <c r="C3527" t="str">
        <f>FORSIDE!$C$3</f>
        <v>S355, Stål / VFHUP 140x140x8.0</v>
      </c>
    </row>
    <row r="3528" spans="1:3" x14ac:dyDescent="0.3">
      <c r="A3528" t="str">
        <f>IF(AND(FORSIDE!$B$8&gt;=2,FORSIDE!$F$8&gt;=6,FORSIDE!$B$5&gt;=7),"S3527","")</f>
        <v/>
      </c>
      <c r="B3528" t="str">
        <f>IF(AND(FORSIDE!$B$8&gt;=2,FORSIDE!$F$8&gt;=6,FORSIDE!$B$5&gt;=7),"1405 -&gt; 1416","")</f>
        <v/>
      </c>
      <c r="C3528" t="str">
        <f>FORSIDE!$C$3</f>
        <v>S355, Stål / VFHUP 140x140x8.0</v>
      </c>
    </row>
    <row r="3529" spans="1:3" x14ac:dyDescent="0.3">
      <c r="A3529" t="str">
        <f>IF(AND(FORSIDE!$B$8&gt;=2,FORSIDE!$F$8&gt;=6,FORSIDE!$B$5&gt;=8),"S3528","")</f>
        <v/>
      </c>
      <c r="B3529" t="str">
        <f>IF(AND(FORSIDE!$B$8&gt;=2,FORSIDE!$F$8&gt;=6,FORSIDE!$B$5&gt;=8),"1406 -&gt; 1417","")</f>
        <v/>
      </c>
      <c r="C3529" t="str">
        <f>FORSIDE!$C$3</f>
        <v>S355, Stål / VFHUP 140x140x8.0</v>
      </c>
    </row>
    <row r="3530" spans="1:3" x14ac:dyDescent="0.3">
      <c r="A3530" t="str">
        <f>IF(AND(FORSIDE!$B$8&gt;=2,FORSIDE!$F$8&gt;=6,FORSIDE!$B$5&gt;=9),"S3529","")</f>
        <v/>
      </c>
      <c r="B3530" t="str">
        <f>IF(AND(FORSIDE!$B$8&gt;=2,FORSIDE!$F$8&gt;=6,FORSIDE!$B$5&gt;=9),"1407 -&gt; 1418","")</f>
        <v/>
      </c>
      <c r="C3530" t="str">
        <f>FORSIDE!$C$3</f>
        <v>S355, Stål / VFHUP 140x140x8.0</v>
      </c>
    </row>
    <row r="3531" spans="1:3" x14ac:dyDescent="0.3">
      <c r="A3531" t="str">
        <f>IF(AND(FORSIDE!$B$8&gt;=2,FORSIDE!$F$8&gt;=6,FORSIDE!$B$5&gt;=10),"S3530","")</f>
        <v/>
      </c>
      <c r="B3531" t="str">
        <f>IF(AND(FORSIDE!$B$8&gt;=2,FORSIDE!$F$8&gt;=6,FORSIDE!$B$5&gt;=10),"1408 -&gt; 1419","")</f>
        <v/>
      </c>
      <c r="C3531" t="str">
        <f>FORSIDE!$C$3</f>
        <v>S355, Stål / VFHUP 140x140x8.0</v>
      </c>
    </row>
    <row r="3532" spans="1:3" x14ac:dyDescent="0.3">
      <c r="A3532" t="str">
        <f>IF(AND(FORSIDE!$B$8&gt;=3,FORSIDE!$F$8&gt;=6,FORSIDE!$B$5&gt;=1),"S3531","")</f>
        <v/>
      </c>
      <c r="B3532" t="str">
        <f>IF(AND(FORSIDE!$B$8&gt;=3,FORSIDE!$F$8&gt;=6,FORSIDE!$B$5&gt;=1),"1410 -&gt; 1421","")</f>
        <v/>
      </c>
      <c r="C3532" t="str">
        <f>FORSIDE!$C$3</f>
        <v>S355, Stål / VFHUP 140x140x8.0</v>
      </c>
    </row>
    <row r="3533" spans="1:3" x14ac:dyDescent="0.3">
      <c r="A3533" t="str">
        <f>IF(AND(FORSIDE!$B$8&gt;=3,FORSIDE!$F$8&gt;=6,FORSIDE!$B$5&gt;=2),"S3532","")</f>
        <v/>
      </c>
      <c r="B3533" t="str">
        <f>IF(AND(FORSIDE!$B$8&gt;=3,FORSIDE!$F$8&gt;=6,FORSIDE!$B$5&gt;=2),"1411 -&gt; 1422","")</f>
        <v/>
      </c>
      <c r="C3533" t="str">
        <f>FORSIDE!$C$3</f>
        <v>S355, Stål / VFHUP 140x140x8.0</v>
      </c>
    </row>
    <row r="3534" spans="1:3" x14ac:dyDescent="0.3">
      <c r="A3534" t="str">
        <f>IF(AND(FORSIDE!$B$8&gt;=3,FORSIDE!$F$8&gt;=6,FORSIDE!$B$5&gt;=3),"S3533","")</f>
        <v/>
      </c>
      <c r="B3534" t="str">
        <f>IF(AND(FORSIDE!$B$8&gt;=3,FORSIDE!$F$8&gt;=6,FORSIDE!$B$5&gt;=3),"1412 -&gt; 1423","")</f>
        <v/>
      </c>
      <c r="C3534" t="str">
        <f>FORSIDE!$C$3</f>
        <v>S355, Stål / VFHUP 140x140x8.0</v>
      </c>
    </row>
    <row r="3535" spans="1:3" x14ac:dyDescent="0.3">
      <c r="A3535" t="str">
        <f>IF(AND(FORSIDE!$B$8&gt;=3,FORSIDE!$F$8&gt;=6,FORSIDE!$B$5&gt;=4),"S3534","")</f>
        <v/>
      </c>
      <c r="B3535" t="str">
        <f>IF(AND(FORSIDE!$B$8&gt;=3,FORSIDE!$F$8&gt;=6,FORSIDE!$B$5&gt;=4),"1413 -&gt; 1424","")</f>
        <v/>
      </c>
      <c r="C3535" t="str">
        <f>FORSIDE!$C$3</f>
        <v>S355, Stål / VFHUP 140x140x8.0</v>
      </c>
    </row>
    <row r="3536" spans="1:3" x14ac:dyDescent="0.3">
      <c r="A3536" t="str">
        <f>IF(AND(FORSIDE!$B$8&gt;=3,FORSIDE!$F$8&gt;=6,FORSIDE!$B$5&gt;=5),"S3535","")</f>
        <v/>
      </c>
      <c r="B3536" t="str">
        <f>IF(AND(FORSIDE!$B$8&gt;=3,FORSIDE!$F$8&gt;=6,FORSIDE!$B$5&gt;=5),"1414 -&gt; 1425","")</f>
        <v/>
      </c>
      <c r="C3536" t="str">
        <f>FORSIDE!$C$3</f>
        <v>S355, Stål / VFHUP 140x140x8.0</v>
      </c>
    </row>
    <row r="3537" spans="1:3" x14ac:dyDescent="0.3">
      <c r="A3537" t="str">
        <f>IF(AND(FORSIDE!$B$8&gt;=3,FORSIDE!$F$8&gt;=6,FORSIDE!$B$5&gt;=6),"S3536","")</f>
        <v/>
      </c>
      <c r="B3537" t="str">
        <f>IF(AND(FORSIDE!$B$8&gt;=3,FORSIDE!$F$8&gt;=6,FORSIDE!$B$5&gt;=6),"1415 -&gt; 1426","")</f>
        <v/>
      </c>
      <c r="C3537" t="str">
        <f>FORSIDE!$C$3</f>
        <v>S355, Stål / VFHUP 140x140x8.0</v>
      </c>
    </row>
    <row r="3538" spans="1:3" x14ac:dyDescent="0.3">
      <c r="A3538" t="str">
        <f>IF(AND(FORSIDE!$B$8&gt;=3,FORSIDE!$F$8&gt;=6,FORSIDE!$B$5&gt;=7),"S3537","")</f>
        <v/>
      </c>
      <c r="B3538" t="str">
        <f>IF(AND(FORSIDE!$B$8&gt;=3,FORSIDE!$F$8&gt;=6,FORSIDE!$B$5&gt;=7),"1416 -&gt; 1427","")</f>
        <v/>
      </c>
      <c r="C3538" t="str">
        <f>FORSIDE!$C$3</f>
        <v>S355, Stål / VFHUP 140x140x8.0</v>
      </c>
    </row>
    <row r="3539" spans="1:3" x14ac:dyDescent="0.3">
      <c r="A3539" t="str">
        <f>IF(AND(FORSIDE!$B$8&gt;=3,FORSIDE!$F$8&gt;=6,FORSIDE!$B$5&gt;=8),"S3538","")</f>
        <v/>
      </c>
      <c r="B3539" t="str">
        <f>IF(AND(FORSIDE!$B$8&gt;=3,FORSIDE!$F$8&gt;=6,FORSIDE!$B$5&gt;=8),"1417 -&gt; 1428","")</f>
        <v/>
      </c>
      <c r="C3539" t="str">
        <f>FORSIDE!$C$3</f>
        <v>S355, Stål / VFHUP 140x140x8.0</v>
      </c>
    </row>
    <row r="3540" spans="1:3" x14ac:dyDescent="0.3">
      <c r="A3540" t="str">
        <f>IF(AND(FORSIDE!$B$8&gt;=3,FORSIDE!$F$8&gt;=6,FORSIDE!$B$5&gt;=9),"S3539","")</f>
        <v/>
      </c>
      <c r="B3540" t="str">
        <f>IF(AND(FORSIDE!$B$8&gt;=3,FORSIDE!$F$8&gt;=6,FORSIDE!$B$5&gt;=9),"1418 -&gt; 1429","")</f>
        <v/>
      </c>
      <c r="C3540" t="str">
        <f>FORSIDE!$C$3</f>
        <v>S355, Stål / VFHUP 140x140x8.0</v>
      </c>
    </row>
    <row r="3541" spans="1:3" x14ac:dyDescent="0.3">
      <c r="A3541" t="str">
        <f>IF(AND(FORSIDE!$B$8&gt;=3,FORSIDE!$F$8&gt;=6,FORSIDE!$B$5&gt;=10),"S3540","")</f>
        <v/>
      </c>
      <c r="B3541" t="str">
        <f>IF(AND(FORSIDE!$B$8&gt;=3,FORSIDE!$F$8&gt;=6,FORSIDE!$B$5&gt;=10),"1419 -&gt; 1430","")</f>
        <v/>
      </c>
      <c r="C3541" t="str">
        <f>FORSIDE!$C$3</f>
        <v>S355, Stål / VFHUP 140x140x8.0</v>
      </c>
    </row>
    <row r="3542" spans="1:3" x14ac:dyDescent="0.3">
      <c r="A3542" t="str">
        <f>IF(AND(FORSIDE!$B$8&gt;=4,FORSIDE!$F$8&gt;=6,FORSIDE!$B$5&gt;=1),"S3541","")</f>
        <v/>
      </c>
      <c r="B3542" t="str">
        <f>IF(AND(FORSIDE!$B$8&gt;=4,FORSIDE!$F$8&gt;=6,FORSIDE!$B$5&gt;=1),"1421 -&gt; 1432","")</f>
        <v/>
      </c>
      <c r="C3542" t="str">
        <f>FORSIDE!$C$3</f>
        <v>S355, Stål / VFHUP 140x140x8.0</v>
      </c>
    </row>
    <row r="3543" spans="1:3" x14ac:dyDescent="0.3">
      <c r="A3543" t="str">
        <f>IF(AND(FORSIDE!$B$8&gt;=4,FORSIDE!$F$8&gt;=6,FORSIDE!$B$5&gt;=2),"S3542","")</f>
        <v/>
      </c>
      <c r="B3543" t="str">
        <f>IF(AND(FORSIDE!$B$8&gt;=4,FORSIDE!$F$8&gt;=6,FORSIDE!$B$5&gt;=2),"1422 -&gt; 1433","")</f>
        <v/>
      </c>
      <c r="C3543" t="str">
        <f>FORSIDE!$C$3</f>
        <v>S355, Stål / VFHUP 140x140x8.0</v>
      </c>
    </row>
    <row r="3544" spans="1:3" x14ac:dyDescent="0.3">
      <c r="A3544" t="str">
        <f>IF(AND(FORSIDE!$B$8&gt;=4,FORSIDE!$F$8&gt;=6,FORSIDE!$B$5&gt;=3),"S3543","")</f>
        <v/>
      </c>
      <c r="B3544" t="str">
        <f>IF(AND(FORSIDE!$B$8&gt;=4,FORSIDE!$F$8&gt;=6,FORSIDE!$B$5&gt;=3),"1423 -&gt; 1434","")</f>
        <v/>
      </c>
      <c r="C3544" t="str">
        <f>FORSIDE!$C$3</f>
        <v>S355, Stål / VFHUP 140x140x8.0</v>
      </c>
    </row>
    <row r="3545" spans="1:3" x14ac:dyDescent="0.3">
      <c r="A3545" t="str">
        <f>IF(AND(FORSIDE!$B$8&gt;=4,FORSIDE!$F$8&gt;=6,FORSIDE!$B$5&gt;=4),"S3544","")</f>
        <v/>
      </c>
      <c r="B3545" t="str">
        <f>IF(AND(FORSIDE!$B$8&gt;=4,FORSIDE!$F$8&gt;=6,FORSIDE!$B$5&gt;=4),"1424 -&gt; 1435","")</f>
        <v/>
      </c>
      <c r="C3545" t="str">
        <f>FORSIDE!$C$3</f>
        <v>S355, Stål / VFHUP 140x140x8.0</v>
      </c>
    </row>
    <row r="3546" spans="1:3" x14ac:dyDescent="0.3">
      <c r="A3546" t="str">
        <f>IF(AND(FORSIDE!$B$8&gt;=4,FORSIDE!$F$8&gt;=6,FORSIDE!$B$5&gt;=5),"S3545","")</f>
        <v/>
      </c>
      <c r="B3546" t="str">
        <f>IF(AND(FORSIDE!$B$8&gt;=4,FORSIDE!$F$8&gt;=6,FORSIDE!$B$5&gt;=5),"1425 -&gt; 1436","")</f>
        <v/>
      </c>
      <c r="C3546" t="str">
        <f>FORSIDE!$C$3</f>
        <v>S355, Stål / VFHUP 140x140x8.0</v>
      </c>
    </row>
    <row r="3547" spans="1:3" x14ac:dyDescent="0.3">
      <c r="A3547" t="str">
        <f>IF(AND(FORSIDE!$B$8&gt;=4,FORSIDE!$F$8&gt;=6,FORSIDE!$B$5&gt;=6),"S3546","")</f>
        <v/>
      </c>
      <c r="B3547" t="str">
        <f>IF(AND(FORSIDE!$B$8&gt;=4,FORSIDE!$F$8&gt;=6,FORSIDE!$B$5&gt;=6),"1426 -&gt; 1437","")</f>
        <v/>
      </c>
      <c r="C3547" t="str">
        <f>FORSIDE!$C$3</f>
        <v>S355, Stål / VFHUP 140x140x8.0</v>
      </c>
    </row>
    <row r="3548" spans="1:3" x14ac:dyDescent="0.3">
      <c r="A3548" t="str">
        <f>IF(AND(FORSIDE!$B$8&gt;=4,FORSIDE!$F$8&gt;=6,FORSIDE!$B$5&gt;=7),"S3547","")</f>
        <v/>
      </c>
      <c r="B3548" t="str">
        <f>IF(AND(FORSIDE!$B$8&gt;=4,FORSIDE!$F$8&gt;=6,FORSIDE!$B$5&gt;=7),"1427 -&gt; 1438","")</f>
        <v/>
      </c>
      <c r="C3548" t="str">
        <f>FORSIDE!$C$3</f>
        <v>S355, Stål / VFHUP 140x140x8.0</v>
      </c>
    </row>
    <row r="3549" spans="1:3" x14ac:dyDescent="0.3">
      <c r="A3549" t="str">
        <f>IF(AND(FORSIDE!$B$8&gt;=4,FORSIDE!$F$8&gt;=6,FORSIDE!$B$5&gt;=8),"S3548","")</f>
        <v/>
      </c>
      <c r="B3549" t="str">
        <f>IF(AND(FORSIDE!$B$8&gt;=4,FORSIDE!$F$8&gt;=6,FORSIDE!$B$5&gt;=8),"1428 -&gt; 1439","")</f>
        <v/>
      </c>
      <c r="C3549" t="str">
        <f>FORSIDE!$C$3</f>
        <v>S355, Stål / VFHUP 140x140x8.0</v>
      </c>
    </row>
    <row r="3550" spans="1:3" x14ac:dyDescent="0.3">
      <c r="A3550" t="str">
        <f>IF(AND(FORSIDE!$B$8&gt;=4,FORSIDE!$F$8&gt;=6,FORSIDE!$B$5&gt;=9),"S3549","")</f>
        <v/>
      </c>
      <c r="B3550" t="str">
        <f>IF(AND(FORSIDE!$B$8&gt;=4,FORSIDE!$F$8&gt;=6,FORSIDE!$B$5&gt;=9),"1429 -&gt; 1440","")</f>
        <v/>
      </c>
      <c r="C3550" t="str">
        <f>FORSIDE!$C$3</f>
        <v>S355, Stål / VFHUP 140x140x8.0</v>
      </c>
    </row>
    <row r="3551" spans="1:3" x14ac:dyDescent="0.3">
      <c r="A3551" t="str">
        <f>IF(AND(FORSIDE!$B$8&gt;=4,FORSIDE!$F$8&gt;=6,FORSIDE!$B$5&gt;=10),"S3550","")</f>
        <v/>
      </c>
      <c r="B3551" t="str">
        <f>IF(AND(FORSIDE!$B$8&gt;=4,FORSIDE!$F$8&gt;=6,FORSIDE!$B$5&gt;=10),"1430 -&gt; 1441","")</f>
        <v/>
      </c>
      <c r="C3551" t="str">
        <f>FORSIDE!$C$3</f>
        <v>S355, Stål / VFHUP 140x140x8.0</v>
      </c>
    </row>
    <row r="3552" spans="1:3" x14ac:dyDescent="0.3">
      <c r="A3552" t="str">
        <f>IF(AND(FORSIDE!$B$8&gt;=5,FORSIDE!$F$8&gt;=6,FORSIDE!$B$5&gt;=1),"S3551","")</f>
        <v/>
      </c>
      <c r="B3552" t="str">
        <f>IF(AND(FORSIDE!$B$8&gt;=5,FORSIDE!$F$8&gt;=6,FORSIDE!$B$5&gt;=1),"1432 -&gt; 1443","")</f>
        <v/>
      </c>
      <c r="C3552" t="str">
        <f>FORSIDE!$C$3</f>
        <v>S355, Stål / VFHUP 140x140x8.0</v>
      </c>
    </row>
    <row r="3553" spans="1:3" x14ac:dyDescent="0.3">
      <c r="A3553" t="str">
        <f>IF(AND(FORSIDE!$B$8&gt;=5,FORSIDE!$F$8&gt;=6,FORSIDE!$B$5&gt;=2),"S3552","")</f>
        <v/>
      </c>
      <c r="B3553" t="str">
        <f>IF(AND(FORSIDE!$B$8&gt;=5,FORSIDE!$F$8&gt;=6,FORSIDE!$B$5&gt;=2),"1433 -&gt; 1444","")</f>
        <v/>
      </c>
      <c r="C3553" t="str">
        <f>FORSIDE!$C$3</f>
        <v>S355, Stål / VFHUP 140x140x8.0</v>
      </c>
    </row>
    <row r="3554" spans="1:3" x14ac:dyDescent="0.3">
      <c r="A3554" t="str">
        <f>IF(AND(FORSIDE!$B$8&gt;=5,FORSIDE!$F$8&gt;=6,FORSIDE!$B$5&gt;=3),"S3553","")</f>
        <v/>
      </c>
      <c r="B3554" t="str">
        <f>IF(AND(FORSIDE!$B$8&gt;=5,FORSIDE!$F$8&gt;=6,FORSIDE!$B$5&gt;=3),"1434 -&gt; 1445","")</f>
        <v/>
      </c>
      <c r="C3554" t="str">
        <f>FORSIDE!$C$3</f>
        <v>S355, Stål / VFHUP 140x140x8.0</v>
      </c>
    </row>
    <row r="3555" spans="1:3" x14ac:dyDescent="0.3">
      <c r="A3555" t="str">
        <f>IF(AND(FORSIDE!$B$8&gt;=5,FORSIDE!$F$8&gt;=6,FORSIDE!$B$5&gt;=4),"S3554","")</f>
        <v/>
      </c>
      <c r="B3555" t="str">
        <f>IF(AND(FORSIDE!$B$8&gt;=5,FORSIDE!$F$8&gt;=6,FORSIDE!$B$5&gt;=4),"1435 -&gt; 1446","")</f>
        <v/>
      </c>
      <c r="C3555" t="str">
        <f>FORSIDE!$C$3</f>
        <v>S355, Stål / VFHUP 140x140x8.0</v>
      </c>
    </row>
    <row r="3556" spans="1:3" x14ac:dyDescent="0.3">
      <c r="A3556" t="str">
        <f>IF(AND(FORSIDE!$B$8&gt;=5,FORSIDE!$F$8&gt;=6,FORSIDE!$B$5&gt;=5),"S3555","")</f>
        <v/>
      </c>
      <c r="B3556" t="str">
        <f>IF(AND(FORSIDE!$B$8&gt;=5,FORSIDE!$F$8&gt;=6,FORSIDE!$B$5&gt;=5),"1436 -&gt; 1447","")</f>
        <v/>
      </c>
      <c r="C3556" t="str">
        <f>FORSIDE!$C$3</f>
        <v>S355, Stål / VFHUP 140x140x8.0</v>
      </c>
    </row>
    <row r="3557" spans="1:3" x14ac:dyDescent="0.3">
      <c r="A3557" t="str">
        <f>IF(AND(FORSIDE!$B$8&gt;=5,FORSIDE!$F$8&gt;=6,FORSIDE!$B$5&gt;=6),"S3556","")</f>
        <v/>
      </c>
      <c r="B3557" t="str">
        <f>IF(AND(FORSIDE!$B$8&gt;=5,FORSIDE!$F$8&gt;=6,FORSIDE!$B$5&gt;=6),"1437 -&gt; 1448","")</f>
        <v/>
      </c>
      <c r="C3557" t="str">
        <f>FORSIDE!$C$3</f>
        <v>S355, Stål / VFHUP 140x140x8.0</v>
      </c>
    </row>
    <row r="3558" spans="1:3" x14ac:dyDescent="0.3">
      <c r="A3558" t="str">
        <f>IF(AND(FORSIDE!$B$8&gt;=5,FORSIDE!$F$8&gt;=6,FORSIDE!$B$5&gt;=7),"S3557","")</f>
        <v/>
      </c>
      <c r="B3558" t="str">
        <f>IF(AND(FORSIDE!$B$8&gt;=5,FORSIDE!$F$8&gt;=6,FORSIDE!$B$5&gt;=7),"1438 -&gt; 1449","")</f>
        <v/>
      </c>
      <c r="C3558" t="str">
        <f>FORSIDE!$C$3</f>
        <v>S355, Stål / VFHUP 140x140x8.0</v>
      </c>
    </row>
    <row r="3559" spans="1:3" x14ac:dyDescent="0.3">
      <c r="A3559" t="str">
        <f>IF(AND(FORSIDE!$B$8&gt;=5,FORSIDE!$F$8&gt;=6,FORSIDE!$B$5&gt;=8),"S3558","")</f>
        <v/>
      </c>
      <c r="B3559" t="str">
        <f>IF(AND(FORSIDE!$B$8&gt;=5,FORSIDE!$F$8&gt;=6,FORSIDE!$B$5&gt;=8),"1439 -&gt; 1450","")</f>
        <v/>
      </c>
      <c r="C3559" t="str">
        <f>FORSIDE!$C$3</f>
        <v>S355, Stål / VFHUP 140x140x8.0</v>
      </c>
    </row>
    <row r="3560" spans="1:3" x14ac:dyDescent="0.3">
      <c r="A3560" t="str">
        <f>IF(AND(FORSIDE!$B$8&gt;=5,FORSIDE!$F$8&gt;=6,FORSIDE!$B$5&gt;=9),"S3559","")</f>
        <v/>
      </c>
      <c r="B3560" t="str">
        <f>IF(AND(FORSIDE!$B$8&gt;=5,FORSIDE!$F$8&gt;=6,FORSIDE!$B$5&gt;=9),"1440 -&gt; 1451","")</f>
        <v/>
      </c>
      <c r="C3560" t="str">
        <f>FORSIDE!$C$3</f>
        <v>S355, Stål / VFHUP 140x140x8.0</v>
      </c>
    </row>
    <row r="3561" spans="1:3" x14ac:dyDescent="0.3">
      <c r="A3561" t="str">
        <f>IF(AND(FORSIDE!$B$8&gt;=5,FORSIDE!$F$8&gt;=6,FORSIDE!$B$5&gt;=10),"S3560","")</f>
        <v/>
      </c>
      <c r="B3561" t="str">
        <f>IF(AND(FORSIDE!$B$8&gt;=5,FORSIDE!$F$8&gt;=6,FORSIDE!$B$5&gt;=10),"1441 -&gt; 1452","")</f>
        <v/>
      </c>
      <c r="C3561" t="str">
        <f>FORSIDE!$C$3</f>
        <v>S355, Stål / VFHUP 140x140x8.0</v>
      </c>
    </row>
    <row r="3562" spans="1:3" x14ac:dyDescent="0.3">
      <c r="A3562" t="str">
        <f>IF(AND(FORSIDE!$B$8&gt;=6,FORSIDE!$F$8&gt;=6,FORSIDE!$B$5&gt;=1),"S3561","")</f>
        <v/>
      </c>
      <c r="B3562" t="str">
        <f>IF(AND(FORSIDE!$B$8&gt;=6,FORSIDE!$F$8&gt;=6,FORSIDE!$B$5&gt;=1),"1443 -&gt; 1454","")</f>
        <v/>
      </c>
      <c r="C3562" t="str">
        <f>FORSIDE!$C$3</f>
        <v>S355, Stål / VFHUP 140x140x8.0</v>
      </c>
    </row>
    <row r="3563" spans="1:3" x14ac:dyDescent="0.3">
      <c r="A3563" t="str">
        <f>IF(AND(FORSIDE!$B$8&gt;=6,FORSIDE!$F$8&gt;=6,FORSIDE!$B$5&gt;=2),"S3562","")</f>
        <v/>
      </c>
      <c r="B3563" t="str">
        <f>IF(AND(FORSIDE!$B$8&gt;=6,FORSIDE!$F$8&gt;=6,FORSIDE!$B$5&gt;=2),"1444 -&gt; 1455","")</f>
        <v/>
      </c>
      <c r="C3563" t="str">
        <f>FORSIDE!$C$3</f>
        <v>S355, Stål / VFHUP 140x140x8.0</v>
      </c>
    </row>
    <row r="3564" spans="1:3" x14ac:dyDescent="0.3">
      <c r="A3564" t="str">
        <f>IF(AND(FORSIDE!$B$8&gt;=6,FORSIDE!$F$8&gt;=6,FORSIDE!$B$5&gt;=3),"S3563","")</f>
        <v/>
      </c>
      <c r="B3564" t="str">
        <f>IF(AND(FORSIDE!$B$8&gt;=6,FORSIDE!$F$8&gt;=6,FORSIDE!$B$5&gt;=3),"1445 -&gt; 1456","")</f>
        <v/>
      </c>
      <c r="C3564" t="str">
        <f>FORSIDE!$C$3</f>
        <v>S355, Stål / VFHUP 140x140x8.0</v>
      </c>
    </row>
    <row r="3565" spans="1:3" x14ac:dyDescent="0.3">
      <c r="A3565" t="str">
        <f>IF(AND(FORSIDE!$B$8&gt;=6,FORSIDE!$F$8&gt;=6,FORSIDE!$B$5&gt;=4),"S3564","")</f>
        <v/>
      </c>
      <c r="B3565" t="str">
        <f>IF(AND(FORSIDE!$B$8&gt;=6,FORSIDE!$F$8&gt;=6,FORSIDE!$B$5&gt;=4),"1446 -&gt; 1457","")</f>
        <v/>
      </c>
      <c r="C3565" t="str">
        <f>FORSIDE!$C$3</f>
        <v>S355, Stål / VFHUP 140x140x8.0</v>
      </c>
    </row>
    <row r="3566" spans="1:3" x14ac:dyDescent="0.3">
      <c r="A3566" t="str">
        <f>IF(AND(FORSIDE!$B$8&gt;=6,FORSIDE!$F$8&gt;=6,FORSIDE!$B$5&gt;=5),"S3565","")</f>
        <v/>
      </c>
      <c r="B3566" t="str">
        <f>IF(AND(FORSIDE!$B$8&gt;=6,FORSIDE!$F$8&gt;=6,FORSIDE!$B$5&gt;=5),"1447 -&gt; 1458","")</f>
        <v/>
      </c>
      <c r="C3566" t="str">
        <f>FORSIDE!$C$3</f>
        <v>S355, Stål / VFHUP 140x140x8.0</v>
      </c>
    </row>
    <row r="3567" spans="1:3" x14ac:dyDescent="0.3">
      <c r="A3567" t="str">
        <f>IF(AND(FORSIDE!$B$8&gt;=6,FORSIDE!$F$8&gt;=6,FORSIDE!$B$5&gt;=6),"S3566","")</f>
        <v/>
      </c>
      <c r="B3567" t="str">
        <f>IF(AND(FORSIDE!$B$8&gt;=6,FORSIDE!$F$8&gt;=6,FORSIDE!$B$5&gt;=6),"1448 -&gt; 1459","")</f>
        <v/>
      </c>
      <c r="C3567" t="str">
        <f>FORSIDE!$C$3</f>
        <v>S355, Stål / VFHUP 140x140x8.0</v>
      </c>
    </row>
    <row r="3568" spans="1:3" x14ac:dyDescent="0.3">
      <c r="A3568" t="str">
        <f>IF(AND(FORSIDE!$B$8&gt;=6,FORSIDE!$F$8&gt;=6,FORSIDE!$B$5&gt;=7),"S3567","")</f>
        <v/>
      </c>
      <c r="B3568" t="str">
        <f>IF(AND(FORSIDE!$B$8&gt;=6,FORSIDE!$F$8&gt;=6,FORSIDE!$B$5&gt;=7),"1449 -&gt; 1460","")</f>
        <v/>
      </c>
      <c r="C3568" t="str">
        <f>FORSIDE!$C$3</f>
        <v>S355, Stål / VFHUP 140x140x8.0</v>
      </c>
    </row>
    <row r="3569" spans="1:3" x14ac:dyDescent="0.3">
      <c r="A3569" t="str">
        <f>IF(AND(FORSIDE!$B$8&gt;=6,FORSIDE!$F$8&gt;=6,FORSIDE!$B$5&gt;=8),"S3568","")</f>
        <v/>
      </c>
      <c r="B3569" t="str">
        <f>IF(AND(FORSIDE!$B$8&gt;=6,FORSIDE!$F$8&gt;=6,FORSIDE!$B$5&gt;=8),"1450 -&gt; 1461","")</f>
        <v/>
      </c>
      <c r="C3569" t="str">
        <f>FORSIDE!$C$3</f>
        <v>S355, Stål / VFHUP 140x140x8.0</v>
      </c>
    </row>
    <row r="3570" spans="1:3" x14ac:dyDescent="0.3">
      <c r="A3570" t="str">
        <f>IF(AND(FORSIDE!$B$8&gt;=6,FORSIDE!$F$8&gt;=6,FORSIDE!$B$5&gt;=9),"S3569","")</f>
        <v/>
      </c>
      <c r="B3570" t="str">
        <f>IF(AND(FORSIDE!$B$8&gt;=6,FORSIDE!$F$8&gt;=6,FORSIDE!$B$5&gt;=9),"1451 -&gt; 1462","")</f>
        <v/>
      </c>
      <c r="C3570" t="str">
        <f>FORSIDE!$C$3</f>
        <v>S355, Stål / VFHUP 140x140x8.0</v>
      </c>
    </row>
    <row r="3571" spans="1:3" x14ac:dyDescent="0.3">
      <c r="A3571" t="str">
        <f>IF(AND(FORSIDE!$B$8&gt;=6,FORSIDE!$F$8&gt;=6,FORSIDE!$B$5&gt;=10),"S3570","")</f>
        <v/>
      </c>
      <c r="B3571" t="str">
        <f>IF(AND(FORSIDE!$B$8&gt;=6,FORSIDE!$F$8&gt;=6,FORSIDE!$B$5&gt;=10),"1452 -&gt; 1463","")</f>
        <v/>
      </c>
      <c r="C3571" t="str">
        <f>FORSIDE!$C$3</f>
        <v>S355, Stål / VFHUP 140x140x8.0</v>
      </c>
    </row>
    <row r="3572" spans="1:3" x14ac:dyDescent="0.3">
      <c r="A3572" t="str">
        <f>IF(AND(FORSIDE!$B$8&gt;=7,FORSIDE!$F$8&gt;=6,FORSIDE!$B$5&gt;=1),"S3571","")</f>
        <v/>
      </c>
      <c r="B3572" t="str">
        <f>IF(AND(FORSIDE!$B$8&gt;=7,FORSIDE!$F$8&gt;=6,FORSIDE!$B$5&gt;=1),"1454 -&gt; 1465","")</f>
        <v/>
      </c>
      <c r="C3572" t="str">
        <f>FORSIDE!$C$3</f>
        <v>S355, Stål / VFHUP 140x140x8.0</v>
      </c>
    </row>
    <row r="3573" spans="1:3" x14ac:dyDescent="0.3">
      <c r="A3573" t="str">
        <f>IF(AND(FORSIDE!$B$8&gt;=7,FORSIDE!$F$8&gt;=6,FORSIDE!$B$5&gt;=2),"S3572","")</f>
        <v/>
      </c>
      <c r="B3573" t="str">
        <f>IF(AND(FORSIDE!$B$8&gt;=7,FORSIDE!$F$8&gt;=6,FORSIDE!$B$5&gt;=2),"1455 -&gt; 1466","")</f>
        <v/>
      </c>
      <c r="C3573" t="str">
        <f>FORSIDE!$C$3</f>
        <v>S355, Stål / VFHUP 140x140x8.0</v>
      </c>
    </row>
    <row r="3574" spans="1:3" x14ac:dyDescent="0.3">
      <c r="A3574" t="str">
        <f>IF(AND(FORSIDE!$B$8&gt;=7,FORSIDE!$F$8&gt;=6,FORSIDE!$B$5&gt;=3),"S3573","")</f>
        <v/>
      </c>
      <c r="B3574" t="str">
        <f>IF(AND(FORSIDE!$B$8&gt;=7,FORSIDE!$F$8&gt;=6,FORSIDE!$B$5&gt;=3),"1456 -&gt; 1467","")</f>
        <v/>
      </c>
      <c r="C3574" t="str">
        <f>FORSIDE!$C$3</f>
        <v>S355, Stål / VFHUP 140x140x8.0</v>
      </c>
    </row>
    <row r="3575" spans="1:3" x14ac:dyDescent="0.3">
      <c r="A3575" t="str">
        <f>IF(AND(FORSIDE!$B$8&gt;=7,FORSIDE!$F$8&gt;=6,FORSIDE!$B$5&gt;=4),"S3574","")</f>
        <v/>
      </c>
      <c r="B3575" t="str">
        <f>IF(AND(FORSIDE!$B$8&gt;=7,FORSIDE!$F$8&gt;=6,FORSIDE!$B$5&gt;=4),"1457 -&gt; 1468","")</f>
        <v/>
      </c>
      <c r="C3575" t="str">
        <f>FORSIDE!$C$3</f>
        <v>S355, Stål / VFHUP 140x140x8.0</v>
      </c>
    </row>
    <row r="3576" spans="1:3" x14ac:dyDescent="0.3">
      <c r="A3576" t="str">
        <f>IF(AND(FORSIDE!$B$8&gt;=7,FORSIDE!$F$8&gt;=6,FORSIDE!$B$5&gt;=5),"S3575","")</f>
        <v/>
      </c>
      <c r="B3576" t="str">
        <f>IF(AND(FORSIDE!$B$8&gt;=7,FORSIDE!$F$8&gt;=6,FORSIDE!$B$5&gt;=5),"1458 -&gt; 1469","")</f>
        <v/>
      </c>
      <c r="C3576" t="str">
        <f>FORSIDE!$C$3</f>
        <v>S355, Stål / VFHUP 140x140x8.0</v>
      </c>
    </row>
    <row r="3577" spans="1:3" x14ac:dyDescent="0.3">
      <c r="A3577" t="str">
        <f>IF(AND(FORSIDE!$B$8&gt;=7,FORSIDE!$F$8&gt;=6,FORSIDE!$B$5&gt;=6),"S3576","")</f>
        <v/>
      </c>
      <c r="B3577" t="str">
        <f>IF(AND(FORSIDE!$B$8&gt;=7,FORSIDE!$F$8&gt;=6,FORSIDE!$B$5&gt;=6),"1459 -&gt; 1470","")</f>
        <v/>
      </c>
      <c r="C3577" t="str">
        <f>FORSIDE!$C$3</f>
        <v>S355, Stål / VFHUP 140x140x8.0</v>
      </c>
    </row>
    <row r="3578" spans="1:3" x14ac:dyDescent="0.3">
      <c r="A3578" t="str">
        <f>IF(AND(FORSIDE!$B$8&gt;=7,FORSIDE!$F$8&gt;=6,FORSIDE!$B$5&gt;=7),"S3577","")</f>
        <v/>
      </c>
      <c r="B3578" t="str">
        <f>IF(AND(FORSIDE!$B$8&gt;=7,FORSIDE!$F$8&gt;=6,FORSIDE!$B$5&gt;=7),"1460 -&gt; 1471","")</f>
        <v/>
      </c>
      <c r="C3578" t="str">
        <f>FORSIDE!$C$3</f>
        <v>S355, Stål / VFHUP 140x140x8.0</v>
      </c>
    </row>
    <row r="3579" spans="1:3" x14ac:dyDescent="0.3">
      <c r="A3579" t="str">
        <f>IF(AND(FORSIDE!$B$8&gt;=7,FORSIDE!$F$8&gt;=6,FORSIDE!$B$5&gt;=8),"S3578","")</f>
        <v/>
      </c>
      <c r="B3579" t="str">
        <f>IF(AND(FORSIDE!$B$8&gt;=7,FORSIDE!$F$8&gt;=6,FORSIDE!$B$5&gt;=8),"1461 -&gt; 1472","")</f>
        <v/>
      </c>
      <c r="C3579" t="str">
        <f>FORSIDE!$C$3</f>
        <v>S355, Stål / VFHUP 140x140x8.0</v>
      </c>
    </row>
    <row r="3580" spans="1:3" x14ac:dyDescent="0.3">
      <c r="A3580" t="str">
        <f>IF(AND(FORSIDE!$B$8&gt;=7,FORSIDE!$F$8&gt;=6,FORSIDE!$B$5&gt;=9),"S3579","")</f>
        <v/>
      </c>
      <c r="B3580" t="str">
        <f>IF(AND(FORSIDE!$B$8&gt;=7,FORSIDE!$F$8&gt;=6,FORSIDE!$B$5&gt;=9),"1462 -&gt; 1473","")</f>
        <v/>
      </c>
      <c r="C3580" t="str">
        <f>FORSIDE!$C$3</f>
        <v>S355, Stål / VFHUP 140x140x8.0</v>
      </c>
    </row>
    <row r="3581" spans="1:3" x14ac:dyDescent="0.3">
      <c r="A3581" t="str">
        <f>IF(AND(FORSIDE!$B$8&gt;=7,FORSIDE!$F$8&gt;=6,FORSIDE!$B$5&gt;=10),"S3580","")</f>
        <v/>
      </c>
      <c r="B3581" t="str">
        <f>IF(AND(FORSIDE!$B$8&gt;=7,FORSIDE!$F$8&gt;=6,FORSIDE!$B$5&gt;=10),"1463 -&gt; 1474","")</f>
        <v/>
      </c>
      <c r="C3581" t="str">
        <f>FORSIDE!$C$3</f>
        <v>S355, Stål / VFHUP 140x140x8.0</v>
      </c>
    </row>
    <row r="3582" spans="1:3" x14ac:dyDescent="0.3">
      <c r="A3582" t="str">
        <f>IF(AND(FORSIDE!$B$8&gt;=8,FORSIDE!$F$8&gt;=6,FORSIDE!$B$5&gt;=1),"S3581","")</f>
        <v/>
      </c>
      <c r="B3582" t="str">
        <f>IF(AND(FORSIDE!$B$8&gt;=8,FORSIDE!$F$8&gt;=6,FORSIDE!$B$5&gt;=1),"1465 -&gt; 1476","")</f>
        <v/>
      </c>
      <c r="C3582" t="str">
        <f>FORSIDE!$C$3</f>
        <v>S355, Stål / VFHUP 140x140x8.0</v>
      </c>
    </row>
    <row r="3583" spans="1:3" x14ac:dyDescent="0.3">
      <c r="A3583" t="str">
        <f>IF(AND(FORSIDE!$B$8&gt;=8,FORSIDE!$F$8&gt;=6,FORSIDE!$B$5&gt;=2),"S3582","")</f>
        <v/>
      </c>
      <c r="B3583" t="str">
        <f>IF(AND(FORSIDE!$B$8&gt;=8,FORSIDE!$F$8&gt;=6,FORSIDE!$B$5&gt;=2),"1466 -&gt; 1477","")</f>
        <v/>
      </c>
      <c r="C3583" t="str">
        <f>FORSIDE!$C$3</f>
        <v>S355, Stål / VFHUP 140x140x8.0</v>
      </c>
    </row>
    <row r="3584" spans="1:3" x14ac:dyDescent="0.3">
      <c r="A3584" t="str">
        <f>IF(AND(FORSIDE!$B$8&gt;=8,FORSIDE!$F$8&gt;=6,FORSIDE!$B$5&gt;=3),"S3583","")</f>
        <v/>
      </c>
      <c r="B3584" t="str">
        <f>IF(AND(FORSIDE!$B$8&gt;=8,FORSIDE!$F$8&gt;=6,FORSIDE!$B$5&gt;=3),"1467 -&gt; 1478","")</f>
        <v/>
      </c>
      <c r="C3584" t="str">
        <f>FORSIDE!$C$3</f>
        <v>S355, Stål / VFHUP 140x140x8.0</v>
      </c>
    </row>
    <row r="3585" spans="1:3" x14ac:dyDescent="0.3">
      <c r="A3585" t="str">
        <f>IF(AND(FORSIDE!$B$8&gt;=8,FORSIDE!$F$8&gt;=6,FORSIDE!$B$5&gt;=4),"S3584","")</f>
        <v/>
      </c>
      <c r="B3585" t="str">
        <f>IF(AND(FORSIDE!$B$8&gt;=8,FORSIDE!$F$8&gt;=6,FORSIDE!$B$5&gt;=4),"1468 -&gt; 1479","")</f>
        <v/>
      </c>
      <c r="C3585" t="str">
        <f>FORSIDE!$C$3</f>
        <v>S355, Stål / VFHUP 140x140x8.0</v>
      </c>
    </row>
    <row r="3586" spans="1:3" x14ac:dyDescent="0.3">
      <c r="A3586" t="str">
        <f>IF(AND(FORSIDE!$B$8&gt;=8,FORSIDE!$F$8&gt;=6,FORSIDE!$B$5&gt;=5),"S3585","")</f>
        <v/>
      </c>
      <c r="B3586" t="str">
        <f>IF(AND(FORSIDE!$B$8&gt;=8,FORSIDE!$F$8&gt;=6,FORSIDE!$B$5&gt;=5),"1469 -&gt; 1480","")</f>
        <v/>
      </c>
      <c r="C3586" t="str">
        <f>FORSIDE!$C$3</f>
        <v>S355, Stål / VFHUP 140x140x8.0</v>
      </c>
    </row>
    <row r="3587" spans="1:3" x14ac:dyDescent="0.3">
      <c r="A3587" t="str">
        <f>IF(AND(FORSIDE!$B$8&gt;=8,FORSIDE!$F$8&gt;=6,FORSIDE!$B$5&gt;=6),"S3586","")</f>
        <v/>
      </c>
      <c r="B3587" t="str">
        <f>IF(AND(FORSIDE!$B$8&gt;=8,FORSIDE!$F$8&gt;=6,FORSIDE!$B$5&gt;=6),"1470 -&gt; 1481","")</f>
        <v/>
      </c>
      <c r="C3587" t="str">
        <f>FORSIDE!$C$3</f>
        <v>S355, Stål / VFHUP 140x140x8.0</v>
      </c>
    </row>
    <row r="3588" spans="1:3" x14ac:dyDescent="0.3">
      <c r="A3588" t="str">
        <f>IF(AND(FORSIDE!$B$8&gt;=8,FORSIDE!$F$8&gt;=6,FORSIDE!$B$5&gt;=7),"S3587","")</f>
        <v/>
      </c>
      <c r="B3588" t="str">
        <f>IF(AND(FORSIDE!$B$8&gt;=8,FORSIDE!$F$8&gt;=6,FORSIDE!$B$5&gt;=7),"1471 -&gt; 1482","")</f>
        <v/>
      </c>
      <c r="C3588" t="str">
        <f>FORSIDE!$C$3</f>
        <v>S355, Stål / VFHUP 140x140x8.0</v>
      </c>
    </row>
    <row r="3589" spans="1:3" x14ac:dyDescent="0.3">
      <c r="A3589" t="str">
        <f>IF(AND(FORSIDE!$B$8&gt;=8,FORSIDE!$F$8&gt;=6,FORSIDE!$B$5&gt;=8),"S3588","")</f>
        <v/>
      </c>
      <c r="B3589" t="str">
        <f>IF(AND(FORSIDE!$B$8&gt;=8,FORSIDE!$F$8&gt;=6,FORSIDE!$B$5&gt;=8),"1472 -&gt; 1483","")</f>
        <v/>
      </c>
      <c r="C3589" t="str">
        <f>FORSIDE!$C$3</f>
        <v>S355, Stål / VFHUP 140x140x8.0</v>
      </c>
    </row>
    <row r="3590" spans="1:3" x14ac:dyDescent="0.3">
      <c r="A3590" t="str">
        <f>IF(AND(FORSIDE!$B$8&gt;=8,FORSIDE!$F$8&gt;=6,FORSIDE!$B$5&gt;=9),"S3589","")</f>
        <v/>
      </c>
      <c r="B3590" t="str">
        <f>IF(AND(FORSIDE!$B$8&gt;=8,FORSIDE!$F$8&gt;=6,FORSIDE!$B$5&gt;=9),"1473 -&gt; 1484","")</f>
        <v/>
      </c>
      <c r="C3590" t="str">
        <f>FORSIDE!$C$3</f>
        <v>S355, Stål / VFHUP 140x140x8.0</v>
      </c>
    </row>
    <row r="3591" spans="1:3" x14ac:dyDescent="0.3">
      <c r="A3591" t="str">
        <f>IF(AND(FORSIDE!$B$8&gt;=8,FORSIDE!$F$8&gt;=6,FORSIDE!$B$5&gt;=10),"S3590","")</f>
        <v/>
      </c>
      <c r="B3591" t="str">
        <f>IF(AND(FORSIDE!$B$8&gt;=8,FORSIDE!$F$8&gt;=6,FORSIDE!$B$5&gt;=10),"1474 -&gt; 1485","")</f>
        <v/>
      </c>
      <c r="C3591" t="str">
        <f>FORSIDE!$C$3</f>
        <v>S355, Stål / VFHUP 140x140x8.0</v>
      </c>
    </row>
    <row r="3592" spans="1:3" x14ac:dyDescent="0.3">
      <c r="A3592" t="str">
        <f>IF(AND(FORSIDE!$B$8&gt;=9,FORSIDE!$F$8&gt;=6,FORSIDE!$B$5&gt;=1),"S3591","")</f>
        <v/>
      </c>
      <c r="B3592" t="str">
        <f>IF(AND(FORSIDE!$B$8&gt;=9,FORSIDE!$F$8&gt;=6,FORSIDE!$B$5&gt;=1),"1476 -&gt; 1487","")</f>
        <v/>
      </c>
      <c r="C3592" t="str">
        <f>FORSIDE!$C$3</f>
        <v>S355, Stål / VFHUP 140x140x8.0</v>
      </c>
    </row>
    <row r="3593" spans="1:3" x14ac:dyDescent="0.3">
      <c r="A3593" t="str">
        <f>IF(AND(FORSIDE!$B$8&gt;=9,FORSIDE!$F$8&gt;=6,FORSIDE!$B$5&gt;=2),"S3592","")</f>
        <v/>
      </c>
      <c r="B3593" t="str">
        <f>IF(AND(FORSIDE!$B$8&gt;=9,FORSIDE!$F$8&gt;=6,FORSIDE!$B$5&gt;=2),"1477 -&gt; 1488","")</f>
        <v/>
      </c>
      <c r="C3593" t="str">
        <f>FORSIDE!$C$3</f>
        <v>S355, Stål / VFHUP 140x140x8.0</v>
      </c>
    </row>
    <row r="3594" spans="1:3" x14ac:dyDescent="0.3">
      <c r="A3594" t="str">
        <f>IF(AND(FORSIDE!$B$8&gt;=9,FORSIDE!$F$8&gt;=6,FORSIDE!$B$5&gt;=3),"S3593","")</f>
        <v/>
      </c>
      <c r="B3594" t="str">
        <f>IF(AND(FORSIDE!$B$8&gt;=9,FORSIDE!$F$8&gt;=6,FORSIDE!$B$5&gt;=3),"1478 -&gt; 1489","")</f>
        <v/>
      </c>
      <c r="C3594" t="str">
        <f>FORSIDE!$C$3</f>
        <v>S355, Stål / VFHUP 140x140x8.0</v>
      </c>
    </row>
    <row r="3595" spans="1:3" x14ac:dyDescent="0.3">
      <c r="A3595" t="str">
        <f>IF(AND(FORSIDE!$B$8&gt;=9,FORSIDE!$F$8&gt;=6,FORSIDE!$B$5&gt;=4),"S3594","")</f>
        <v/>
      </c>
      <c r="B3595" t="str">
        <f>IF(AND(FORSIDE!$B$8&gt;=9,FORSIDE!$F$8&gt;=6,FORSIDE!$B$5&gt;=4),"1479 -&gt; 1490","")</f>
        <v/>
      </c>
      <c r="C3595" t="str">
        <f>FORSIDE!$C$3</f>
        <v>S355, Stål / VFHUP 140x140x8.0</v>
      </c>
    </row>
    <row r="3596" spans="1:3" x14ac:dyDescent="0.3">
      <c r="A3596" t="str">
        <f>IF(AND(FORSIDE!$B$8&gt;=9,FORSIDE!$F$8&gt;=6,FORSIDE!$B$5&gt;=5),"S3595","")</f>
        <v/>
      </c>
      <c r="B3596" t="str">
        <f>IF(AND(FORSIDE!$B$8&gt;=9,FORSIDE!$F$8&gt;=6,FORSIDE!$B$5&gt;=5),"1480 -&gt; 1491","")</f>
        <v/>
      </c>
      <c r="C3596" t="str">
        <f>FORSIDE!$C$3</f>
        <v>S355, Stål / VFHUP 140x140x8.0</v>
      </c>
    </row>
    <row r="3597" spans="1:3" x14ac:dyDescent="0.3">
      <c r="A3597" t="str">
        <f>IF(AND(FORSIDE!$B$8&gt;=9,FORSIDE!$F$8&gt;=6,FORSIDE!$B$5&gt;=6),"S3596","")</f>
        <v/>
      </c>
      <c r="B3597" t="str">
        <f>IF(AND(FORSIDE!$B$8&gt;=9,FORSIDE!$F$8&gt;=6,FORSIDE!$B$5&gt;=6),"1481 -&gt; 1492","")</f>
        <v/>
      </c>
      <c r="C3597" t="str">
        <f>FORSIDE!$C$3</f>
        <v>S355, Stål / VFHUP 140x140x8.0</v>
      </c>
    </row>
    <row r="3598" spans="1:3" x14ac:dyDescent="0.3">
      <c r="A3598" t="str">
        <f>IF(AND(FORSIDE!$B$8&gt;=9,FORSIDE!$F$8&gt;=6,FORSIDE!$B$5&gt;=7),"S3597","")</f>
        <v/>
      </c>
      <c r="B3598" t="str">
        <f>IF(AND(FORSIDE!$B$8&gt;=9,FORSIDE!$F$8&gt;=6,FORSIDE!$B$5&gt;=7),"1482 -&gt; 1493","")</f>
        <v/>
      </c>
      <c r="C3598" t="str">
        <f>FORSIDE!$C$3</f>
        <v>S355, Stål / VFHUP 140x140x8.0</v>
      </c>
    </row>
    <row r="3599" spans="1:3" x14ac:dyDescent="0.3">
      <c r="A3599" t="str">
        <f>IF(AND(FORSIDE!$B$8&gt;=9,FORSIDE!$F$8&gt;=6,FORSIDE!$B$5&gt;=8),"S3598","")</f>
        <v/>
      </c>
      <c r="B3599" t="str">
        <f>IF(AND(FORSIDE!$B$8&gt;=9,FORSIDE!$F$8&gt;=6,FORSIDE!$B$5&gt;=8),"1483 -&gt; 1494","")</f>
        <v/>
      </c>
      <c r="C3599" t="str">
        <f>FORSIDE!$C$3</f>
        <v>S355, Stål / VFHUP 140x140x8.0</v>
      </c>
    </row>
    <row r="3600" spans="1:3" x14ac:dyDescent="0.3">
      <c r="A3600" t="str">
        <f>IF(AND(FORSIDE!$B$8&gt;=9,FORSIDE!$F$8&gt;=6,FORSIDE!$B$5&gt;=9),"S3599","")</f>
        <v/>
      </c>
      <c r="B3600" t="str">
        <f>IF(AND(FORSIDE!$B$8&gt;=9,FORSIDE!$F$8&gt;=6,FORSIDE!$B$5&gt;=9),"1484 -&gt; 1495","")</f>
        <v/>
      </c>
      <c r="C3600" t="str">
        <f>FORSIDE!$C$3</f>
        <v>S355, Stål / VFHUP 140x140x8.0</v>
      </c>
    </row>
    <row r="3601" spans="1:3" x14ac:dyDescent="0.3">
      <c r="A3601" t="str">
        <f>IF(AND(FORSIDE!$B$8&gt;=9,FORSIDE!$F$8&gt;=6,FORSIDE!$B$5&gt;=10),"S3600","")</f>
        <v/>
      </c>
      <c r="B3601" t="str">
        <f>IF(AND(FORSIDE!$B$8&gt;=9,FORSIDE!$F$8&gt;=6,FORSIDE!$B$5&gt;=10),"1485 -&gt; 1496","")</f>
        <v/>
      </c>
      <c r="C3601" t="str">
        <f>FORSIDE!$C$3</f>
        <v>S355, Stål / VFHUP 140x140x8.0</v>
      </c>
    </row>
    <row r="3602" spans="1:3" x14ac:dyDescent="0.3">
      <c r="A3602" t="str">
        <f>IF(AND(FORSIDE!$B$8&gt;=10,FORSIDE!$F$8&gt;=6,FORSIDE!$B$5&gt;=1),"S3601","")</f>
        <v/>
      </c>
      <c r="B3602" t="str">
        <f>IF(AND(FORSIDE!$B$8&gt;=10,FORSIDE!$F$8&gt;=6,FORSIDE!$B$5&gt;=1),"1487 -&gt; 1498","")</f>
        <v/>
      </c>
      <c r="C3602" t="str">
        <f>FORSIDE!$C$3</f>
        <v>S355, Stål / VFHUP 140x140x8.0</v>
      </c>
    </row>
    <row r="3603" spans="1:3" x14ac:dyDescent="0.3">
      <c r="A3603" t="str">
        <f>IF(AND(FORSIDE!$B$8&gt;=10,FORSIDE!$F$8&gt;=6,FORSIDE!$B$5&gt;=2),"S3602","")</f>
        <v/>
      </c>
      <c r="B3603" t="str">
        <f>IF(AND(FORSIDE!$B$8&gt;=10,FORSIDE!$F$8&gt;=6,FORSIDE!$B$5&gt;=2),"1488 -&gt; 1499","")</f>
        <v/>
      </c>
      <c r="C3603" t="str">
        <f>FORSIDE!$C$3</f>
        <v>S355, Stål / VFHUP 140x140x8.0</v>
      </c>
    </row>
    <row r="3604" spans="1:3" x14ac:dyDescent="0.3">
      <c r="A3604" t="str">
        <f>IF(AND(FORSIDE!$B$8&gt;=10,FORSIDE!$F$8&gt;=6,FORSIDE!$B$5&gt;=3),"S3603","")</f>
        <v/>
      </c>
      <c r="B3604" t="str">
        <f>IF(AND(FORSIDE!$B$8&gt;=10,FORSIDE!$F$8&gt;=6,FORSIDE!$B$5&gt;=3),"1489 -&gt; 1500","")</f>
        <v/>
      </c>
      <c r="C3604" t="str">
        <f>FORSIDE!$C$3</f>
        <v>S355, Stål / VFHUP 140x140x8.0</v>
      </c>
    </row>
    <row r="3605" spans="1:3" x14ac:dyDescent="0.3">
      <c r="A3605" t="str">
        <f>IF(AND(FORSIDE!$B$8&gt;=10,FORSIDE!$F$8&gt;=6,FORSIDE!$B$5&gt;=4),"S3604","")</f>
        <v/>
      </c>
      <c r="B3605" t="str">
        <f>IF(AND(FORSIDE!$B$8&gt;=10,FORSIDE!$F$8&gt;=6,FORSIDE!$B$5&gt;=4),"1490 -&gt; 1501","")</f>
        <v/>
      </c>
      <c r="C3605" t="str">
        <f>FORSIDE!$C$3</f>
        <v>S355, Stål / VFHUP 140x140x8.0</v>
      </c>
    </row>
    <row r="3606" spans="1:3" x14ac:dyDescent="0.3">
      <c r="A3606" t="str">
        <f>IF(AND(FORSIDE!$B$8&gt;=10,FORSIDE!$F$8&gt;=6,FORSIDE!$B$5&gt;=5),"S3605","")</f>
        <v/>
      </c>
      <c r="B3606" t="str">
        <f>IF(AND(FORSIDE!$B$8&gt;=10,FORSIDE!$F$8&gt;=6,FORSIDE!$B$5&gt;=5),"1491 -&gt; 1502","")</f>
        <v/>
      </c>
      <c r="C3606" t="str">
        <f>FORSIDE!$C$3</f>
        <v>S355, Stål / VFHUP 140x140x8.0</v>
      </c>
    </row>
    <row r="3607" spans="1:3" x14ac:dyDescent="0.3">
      <c r="A3607" t="str">
        <f>IF(AND(FORSIDE!$B$8&gt;=10,FORSIDE!$F$8&gt;=6,FORSIDE!$B$5&gt;=6),"S3606","")</f>
        <v/>
      </c>
      <c r="B3607" t="str">
        <f>IF(AND(FORSIDE!$B$8&gt;=10,FORSIDE!$F$8&gt;=6,FORSIDE!$B$5&gt;=6),"1492 -&gt; 1503","")</f>
        <v/>
      </c>
      <c r="C3607" t="str">
        <f>FORSIDE!$C$3</f>
        <v>S355, Stål / VFHUP 140x140x8.0</v>
      </c>
    </row>
    <row r="3608" spans="1:3" x14ac:dyDescent="0.3">
      <c r="A3608" t="str">
        <f>IF(AND(FORSIDE!$B$8&gt;=10,FORSIDE!$F$8&gt;=6,FORSIDE!$B$5&gt;=7),"S3607","")</f>
        <v/>
      </c>
      <c r="B3608" t="str">
        <f>IF(AND(FORSIDE!$B$8&gt;=10,FORSIDE!$F$8&gt;=6,FORSIDE!$B$5&gt;=7),"1493 -&gt; 1504","")</f>
        <v/>
      </c>
      <c r="C3608" t="str">
        <f>FORSIDE!$C$3</f>
        <v>S355, Stål / VFHUP 140x140x8.0</v>
      </c>
    </row>
    <row r="3609" spans="1:3" x14ac:dyDescent="0.3">
      <c r="A3609" t="str">
        <f>IF(AND(FORSIDE!$B$8&gt;=10,FORSIDE!$F$8&gt;=6,FORSIDE!$B$5&gt;=8),"S3608","")</f>
        <v/>
      </c>
      <c r="B3609" t="str">
        <f>IF(AND(FORSIDE!$B$8&gt;=10,FORSIDE!$F$8&gt;=6,FORSIDE!$B$5&gt;=8),"1494 -&gt; 1505","")</f>
        <v/>
      </c>
      <c r="C3609" t="str">
        <f>FORSIDE!$C$3</f>
        <v>S355, Stål / VFHUP 140x140x8.0</v>
      </c>
    </row>
    <row r="3610" spans="1:3" x14ac:dyDescent="0.3">
      <c r="A3610" t="str">
        <f>IF(AND(FORSIDE!$B$8&gt;=10,FORSIDE!$F$8&gt;=6,FORSIDE!$B$5&gt;=9),"S3609","")</f>
        <v/>
      </c>
      <c r="B3610" t="str">
        <f>IF(AND(FORSIDE!$B$8&gt;=10,FORSIDE!$F$8&gt;=6,FORSIDE!$B$5&gt;=9),"1495 -&gt; 1506","")</f>
        <v/>
      </c>
      <c r="C3610" t="str">
        <f>FORSIDE!$C$3</f>
        <v>S355, Stål / VFHUP 140x140x8.0</v>
      </c>
    </row>
    <row r="3611" spans="1:3" x14ac:dyDescent="0.3">
      <c r="A3611" t="str">
        <f>IF(AND(FORSIDE!$B$8&gt;=10,FORSIDE!$F$8&gt;=6,FORSIDE!$B$5&gt;=10),"S3610","")</f>
        <v/>
      </c>
      <c r="B3611" t="str">
        <f>IF(AND(FORSIDE!$B$8&gt;=10,FORSIDE!$F$8&gt;=6,FORSIDE!$B$5&gt;=10),"1496 -&gt; 1507","")</f>
        <v/>
      </c>
      <c r="C3611" t="str">
        <f>FORSIDE!$C$3</f>
        <v>S355, Stål / VFHUP 140x140x8.0</v>
      </c>
    </row>
    <row r="3612" spans="1:3" x14ac:dyDescent="0.3">
      <c r="A3612" t="str">
        <f>IF(AND(FORSIDE!$B$8&gt;=11,FORSIDE!$F$8&gt;=6,FORSIDE!$B$5&gt;=1),"S3611","")</f>
        <v/>
      </c>
      <c r="B3612" t="str">
        <f>IF(AND(FORSIDE!$B$8&gt;=11,FORSIDE!$F$8&gt;=6,FORSIDE!$B$5&gt;=1),"1498 -&gt; 1509","")</f>
        <v/>
      </c>
      <c r="C3612" t="str">
        <f>FORSIDE!$C$3</f>
        <v>S355, Stål / VFHUP 140x140x8.0</v>
      </c>
    </row>
    <row r="3613" spans="1:3" x14ac:dyDescent="0.3">
      <c r="A3613" t="str">
        <f>IF(AND(FORSIDE!$B$8&gt;=11,FORSIDE!$F$8&gt;=6,FORSIDE!$B$5&gt;=2),"S3612","")</f>
        <v/>
      </c>
      <c r="B3613" t="str">
        <f>IF(AND(FORSIDE!$B$8&gt;=11,FORSIDE!$F$8&gt;=6,FORSIDE!$B$5&gt;=2),"1499 -&gt; 1510","")</f>
        <v/>
      </c>
      <c r="C3613" t="str">
        <f>FORSIDE!$C$3</f>
        <v>S355, Stål / VFHUP 140x140x8.0</v>
      </c>
    </row>
    <row r="3614" spans="1:3" x14ac:dyDescent="0.3">
      <c r="A3614" t="str">
        <f>IF(AND(FORSIDE!$B$8&gt;=11,FORSIDE!$F$8&gt;=6,FORSIDE!$B$5&gt;=3),"S3613","")</f>
        <v/>
      </c>
      <c r="B3614" t="str">
        <f>IF(AND(FORSIDE!$B$8&gt;=11,FORSIDE!$F$8&gt;=6,FORSIDE!$B$5&gt;=3),"1500 -&gt; 1511","")</f>
        <v/>
      </c>
      <c r="C3614" t="str">
        <f>FORSIDE!$C$3</f>
        <v>S355, Stål / VFHUP 140x140x8.0</v>
      </c>
    </row>
    <row r="3615" spans="1:3" x14ac:dyDescent="0.3">
      <c r="A3615" t="str">
        <f>IF(AND(FORSIDE!$B$8&gt;=11,FORSIDE!$F$8&gt;=6,FORSIDE!$B$5&gt;=4),"S3614","")</f>
        <v/>
      </c>
      <c r="B3615" t="str">
        <f>IF(AND(FORSIDE!$B$8&gt;=11,FORSIDE!$F$8&gt;=6,FORSIDE!$B$5&gt;=4),"1501 -&gt; 1512","")</f>
        <v/>
      </c>
      <c r="C3615" t="str">
        <f>FORSIDE!$C$3</f>
        <v>S355, Stål / VFHUP 140x140x8.0</v>
      </c>
    </row>
    <row r="3616" spans="1:3" x14ac:dyDescent="0.3">
      <c r="A3616" t="str">
        <f>IF(AND(FORSIDE!$B$8&gt;=11,FORSIDE!$F$8&gt;=6,FORSIDE!$B$5&gt;=5),"S3615","")</f>
        <v/>
      </c>
      <c r="B3616" t="str">
        <f>IF(AND(FORSIDE!$B$8&gt;=11,FORSIDE!$F$8&gt;=6,FORSIDE!$B$5&gt;=5),"1502 -&gt; 1513","")</f>
        <v/>
      </c>
      <c r="C3616" t="str">
        <f>FORSIDE!$C$3</f>
        <v>S355, Stål / VFHUP 140x140x8.0</v>
      </c>
    </row>
    <row r="3617" spans="1:3" x14ac:dyDescent="0.3">
      <c r="A3617" t="str">
        <f>IF(AND(FORSIDE!$B$8&gt;=11,FORSIDE!$F$8&gt;=6,FORSIDE!$B$5&gt;=6),"S3616","")</f>
        <v/>
      </c>
      <c r="B3617" t="str">
        <f>IF(AND(FORSIDE!$B$8&gt;=11,FORSIDE!$F$8&gt;=6,FORSIDE!$B$5&gt;=6),"1503 -&gt; 1514","")</f>
        <v/>
      </c>
      <c r="C3617" t="str">
        <f>FORSIDE!$C$3</f>
        <v>S355, Stål / VFHUP 140x140x8.0</v>
      </c>
    </row>
    <row r="3618" spans="1:3" x14ac:dyDescent="0.3">
      <c r="A3618" t="str">
        <f>IF(AND(FORSIDE!$B$8&gt;=11,FORSIDE!$F$8&gt;=6,FORSIDE!$B$5&gt;=7),"S3617","")</f>
        <v/>
      </c>
      <c r="B3618" t="str">
        <f>IF(AND(FORSIDE!$B$8&gt;=11,FORSIDE!$F$8&gt;=6,FORSIDE!$B$5&gt;=7),"1504 -&gt; 1515","")</f>
        <v/>
      </c>
      <c r="C3618" t="str">
        <f>FORSIDE!$C$3</f>
        <v>S355, Stål / VFHUP 140x140x8.0</v>
      </c>
    </row>
    <row r="3619" spans="1:3" x14ac:dyDescent="0.3">
      <c r="A3619" t="str">
        <f>IF(AND(FORSIDE!$B$8&gt;=11,FORSIDE!$F$8&gt;=6,FORSIDE!$B$5&gt;=8),"S3618","")</f>
        <v/>
      </c>
      <c r="B3619" t="str">
        <f>IF(AND(FORSIDE!$B$8&gt;=11,FORSIDE!$F$8&gt;=6,FORSIDE!$B$5&gt;=8),"1505 -&gt; 1516","")</f>
        <v/>
      </c>
      <c r="C3619" t="str">
        <f>FORSIDE!$C$3</f>
        <v>S355, Stål / VFHUP 140x140x8.0</v>
      </c>
    </row>
    <row r="3620" spans="1:3" x14ac:dyDescent="0.3">
      <c r="A3620" t="str">
        <f>IF(AND(FORSIDE!$B$8&gt;=11,FORSIDE!$F$8&gt;=6,FORSIDE!$B$5&gt;=9),"S3619","")</f>
        <v/>
      </c>
      <c r="B3620" t="str">
        <f>IF(AND(FORSIDE!$B$8&gt;=11,FORSIDE!$F$8&gt;=6,FORSIDE!$B$5&gt;=9),"1506 -&gt; 1517","")</f>
        <v/>
      </c>
      <c r="C3620" t="str">
        <f>FORSIDE!$C$3</f>
        <v>S355, Stål / VFHUP 140x140x8.0</v>
      </c>
    </row>
    <row r="3621" spans="1:3" x14ac:dyDescent="0.3">
      <c r="A3621" t="str">
        <f>IF(AND(FORSIDE!$B$8&gt;=11,FORSIDE!$F$8&gt;=6,FORSIDE!$B$5&gt;=10),"S3620","")</f>
        <v/>
      </c>
      <c r="B3621" t="str">
        <f>IF(AND(FORSIDE!$B$8&gt;=11,FORSIDE!$F$8&gt;=6,FORSIDE!$B$5&gt;=10),"1507 -&gt; 1518","")</f>
        <v/>
      </c>
      <c r="C3621" t="str">
        <f>FORSIDE!$C$3</f>
        <v>S355, Stål / VFHUP 140x140x8.0</v>
      </c>
    </row>
    <row r="3622" spans="1:3" x14ac:dyDescent="0.3">
      <c r="A3622" t="str">
        <f>IF(AND(FORSIDE!$B$8&gt;=12,FORSIDE!$F$8&gt;=6,FORSIDE!$B$5&gt;=1),"S3621","")</f>
        <v/>
      </c>
      <c r="B3622" t="str">
        <f>IF(AND(FORSIDE!$B$8&gt;=12,FORSIDE!$F$8&gt;=6,FORSIDE!$B$5&gt;=1),"1509 -&gt; 1520","")</f>
        <v/>
      </c>
      <c r="C3622" t="str">
        <f>FORSIDE!$C$3</f>
        <v>S355, Stål / VFHUP 140x140x8.0</v>
      </c>
    </row>
    <row r="3623" spans="1:3" x14ac:dyDescent="0.3">
      <c r="A3623" t="str">
        <f>IF(AND(FORSIDE!$B$8&gt;=12,FORSIDE!$F$8&gt;=6,FORSIDE!$B$5&gt;=2),"S3622","")</f>
        <v/>
      </c>
      <c r="B3623" t="str">
        <f>IF(AND(FORSIDE!$B$8&gt;=12,FORSIDE!$F$8&gt;=6,FORSIDE!$B$5&gt;=2),"1510 -&gt; 1521","")</f>
        <v/>
      </c>
      <c r="C3623" t="str">
        <f>FORSIDE!$C$3</f>
        <v>S355, Stål / VFHUP 140x140x8.0</v>
      </c>
    </row>
    <row r="3624" spans="1:3" x14ac:dyDescent="0.3">
      <c r="A3624" t="str">
        <f>IF(AND(FORSIDE!$B$8&gt;=12,FORSIDE!$F$8&gt;=6,FORSIDE!$B$5&gt;=3),"S3623","")</f>
        <v/>
      </c>
      <c r="B3624" t="str">
        <f>IF(AND(FORSIDE!$B$8&gt;=12,FORSIDE!$F$8&gt;=6,FORSIDE!$B$5&gt;=3),"1511 -&gt; 1522","")</f>
        <v/>
      </c>
      <c r="C3624" t="str">
        <f>FORSIDE!$C$3</f>
        <v>S355, Stål / VFHUP 140x140x8.0</v>
      </c>
    </row>
    <row r="3625" spans="1:3" x14ac:dyDescent="0.3">
      <c r="A3625" t="str">
        <f>IF(AND(FORSIDE!$B$8&gt;=12,FORSIDE!$F$8&gt;=6,FORSIDE!$B$5&gt;=4),"S3624","")</f>
        <v/>
      </c>
      <c r="B3625" t="str">
        <f>IF(AND(FORSIDE!$B$8&gt;=12,FORSIDE!$F$8&gt;=6,FORSIDE!$B$5&gt;=4),"1512 -&gt; 1523","")</f>
        <v/>
      </c>
      <c r="C3625" t="str">
        <f>FORSIDE!$C$3</f>
        <v>S355, Stål / VFHUP 140x140x8.0</v>
      </c>
    </row>
    <row r="3626" spans="1:3" x14ac:dyDescent="0.3">
      <c r="A3626" t="str">
        <f>IF(AND(FORSIDE!$B$8&gt;=12,FORSIDE!$F$8&gt;=6,FORSIDE!$B$5&gt;=5),"S3625","")</f>
        <v/>
      </c>
      <c r="B3626" t="str">
        <f>IF(AND(FORSIDE!$B$8&gt;=12,FORSIDE!$F$8&gt;=6,FORSIDE!$B$5&gt;=5),"1513 -&gt; 1524","")</f>
        <v/>
      </c>
      <c r="C3626" t="str">
        <f>FORSIDE!$C$3</f>
        <v>S355, Stål / VFHUP 140x140x8.0</v>
      </c>
    </row>
    <row r="3627" spans="1:3" x14ac:dyDescent="0.3">
      <c r="A3627" t="str">
        <f>IF(AND(FORSIDE!$B$8&gt;=12,FORSIDE!$F$8&gt;=6,FORSIDE!$B$5&gt;=6),"S3626","")</f>
        <v/>
      </c>
      <c r="B3627" t="str">
        <f>IF(AND(FORSIDE!$B$8&gt;=12,FORSIDE!$F$8&gt;=6,FORSIDE!$B$5&gt;=6),"1514 -&gt; 1525","")</f>
        <v/>
      </c>
      <c r="C3627" t="str">
        <f>FORSIDE!$C$3</f>
        <v>S355, Stål / VFHUP 140x140x8.0</v>
      </c>
    </row>
    <row r="3628" spans="1:3" x14ac:dyDescent="0.3">
      <c r="A3628" t="str">
        <f>IF(AND(FORSIDE!$B$8&gt;=12,FORSIDE!$F$8&gt;=6,FORSIDE!$B$5&gt;=7),"S3627","")</f>
        <v/>
      </c>
      <c r="B3628" t="str">
        <f>IF(AND(FORSIDE!$B$8&gt;=12,FORSIDE!$F$8&gt;=6,FORSIDE!$B$5&gt;=7),"1515 -&gt; 1526","")</f>
        <v/>
      </c>
      <c r="C3628" t="str">
        <f>FORSIDE!$C$3</f>
        <v>S355, Stål / VFHUP 140x140x8.0</v>
      </c>
    </row>
    <row r="3629" spans="1:3" x14ac:dyDescent="0.3">
      <c r="A3629" t="str">
        <f>IF(AND(FORSIDE!$B$8&gt;=12,FORSIDE!$F$8&gt;=6,FORSIDE!$B$5&gt;=8),"S3628","")</f>
        <v/>
      </c>
      <c r="B3629" t="str">
        <f>IF(AND(FORSIDE!$B$8&gt;=12,FORSIDE!$F$8&gt;=6,FORSIDE!$B$5&gt;=8),"1516 -&gt; 1527","")</f>
        <v/>
      </c>
      <c r="C3629" t="str">
        <f>FORSIDE!$C$3</f>
        <v>S355, Stål / VFHUP 140x140x8.0</v>
      </c>
    </row>
    <row r="3630" spans="1:3" x14ac:dyDescent="0.3">
      <c r="A3630" t="str">
        <f>IF(AND(FORSIDE!$B$8&gt;=12,FORSIDE!$F$8&gt;=6,FORSIDE!$B$5&gt;=9),"S3629","")</f>
        <v/>
      </c>
      <c r="B3630" t="str">
        <f>IF(AND(FORSIDE!$B$8&gt;=12,FORSIDE!$F$8&gt;=6,FORSIDE!$B$5&gt;=9),"1517 -&gt; 1528","")</f>
        <v/>
      </c>
      <c r="C3630" t="str">
        <f>FORSIDE!$C$3</f>
        <v>S355, Stål / VFHUP 140x140x8.0</v>
      </c>
    </row>
    <row r="3631" spans="1:3" x14ac:dyDescent="0.3">
      <c r="A3631" t="str">
        <f>IF(AND(FORSIDE!$B$8&gt;=12,FORSIDE!$F$8&gt;=6,FORSIDE!$B$5&gt;=10),"S3630","")</f>
        <v/>
      </c>
      <c r="B3631" t="str">
        <f>IF(AND(FORSIDE!$B$8&gt;=12,FORSIDE!$F$8&gt;=6,FORSIDE!$B$5&gt;=10),"1518 -&gt; 1529","")</f>
        <v/>
      </c>
      <c r="C3631" t="str">
        <f>FORSIDE!$C$3</f>
        <v>S355, Stål / VFHUP 140x140x8.0</v>
      </c>
    </row>
    <row r="3632" spans="1:3" x14ac:dyDescent="0.3">
      <c r="A3632" t="str">
        <f>IF(AND(FORSIDE!$B$8&gt;=13,FORSIDE!$F$8&gt;=6,FORSIDE!$B$5&gt;=1),"S3631","")</f>
        <v/>
      </c>
      <c r="B3632" t="str">
        <f>IF(AND(FORSIDE!$B$8&gt;=13,FORSIDE!$F$8&gt;=6,FORSIDE!$B$5&gt;=1),"1520 -&gt; 1531","")</f>
        <v/>
      </c>
      <c r="C3632" t="str">
        <f>FORSIDE!$C$3</f>
        <v>S355, Stål / VFHUP 140x140x8.0</v>
      </c>
    </row>
    <row r="3633" spans="1:3" x14ac:dyDescent="0.3">
      <c r="A3633" t="str">
        <f>IF(AND(FORSIDE!$B$8&gt;=13,FORSIDE!$F$8&gt;=6,FORSIDE!$B$5&gt;=2),"S3632","")</f>
        <v/>
      </c>
      <c r="B3633" t="str">
        <f>IF(AND(FORSIDE!$B$8&gt;=13,FORSIDE!$F$8&gt;=6,FORSIDE!$B$5&gt;=2),"1521 -&gt; 1532","")</f>
        <v/>
      </c>
      <c r="C3633" t="str">
        <f>FORSIDE!$C$3</f>
        <v>S355, Stål / VFHUP 140x140x8.0</v>
      </c>
    </row>
    <row r="3634" spans="1:3" x14ac:dyDescent="0.3">
      <c r="A3634" t="str">
        <f>IF(AND(FORSIDE!$B$8&gt;=13,FORSIDE!$F$8&gt;=6,FORSIDE!$B$5&gt;=3),"S3633","")</f>
        <v/>
      </c>
      <c r="B3634" t="str">
        <f>IF(AND(FORSIDE!$B$8&gt;=13,FORSIDE!$F$8&gt;=6,FORSIDE!$B$5&gt;=3),"1522 -&gt; 1533","")</f>
        <v/>
      </c>
      <c r="C3634" t="str">
        <f>FORSIDE!$C$3</f>
        <v>S355, Stål / VFHUP 140x140x8.0</v>
      </c>
    </row>
    <row r="3635" spans="1:3" x14ac:dyDescent="0.3">
      <c r="A3635" t="str">
        <f>IF(AND(FORSIDE!$B$8&gt;=13,FORSIDE!$F$8&gt;=6,FORSIDE!$B$5&gt;=4),"S3634","")</f>
        <v/>
      </c>
      <c r="B3635" t="str">
        <f>IF(AND(FORSIDE!$B$8&gt;=13,FORSIDE!$F$8&gt;=6,FORSIDE!$B$5&gt;=4),"1523 -&gt; 1534","")</f>
        <v/>
      </c>
      <c r="C3635" t="str">
        <f>FORSIDE!$C$3</f>
        <v>S355, Stål / VFHUP 140x140x8.0</v>
      </c>
    </row>
    <row r="3636" spans="1:3" x14ac:dyDescent="0.3">
      <c r="A3636" t="str">
        <f>IF(AND(FORSIDE!$B$8&gt;=13,FORSIDE!$F$8&gt;=6,FORSIDE!$B$5&gt;=5),"S3635","")</f>
        <v/>
      </c>
      <c r="B3636" t="str">
        <f>IF(AND(FORSIDE!$B$8&gt;=13,FORSIDE!$F$8&gt;=6,FORSIDE!$B$5&gt;=5),"1524 -&gt; 1535","")</f>
        <v/>
      </c>
      <c r="C3636" t="str">
        <f>FORSIDE!$C$3</f>
        <v>S355, Stål / VFHUP 140x140x8.0</v>
      </c>
    </row>
    <row r="3637" spans="1:3" x14ac:dyDescent="0.3">
      <c r="A3637" t="str">
        <f>IF(AND(FORSIDE!$B$8&gt;=13,FORSIDE!$F$8&gt;=6,FORSIDE!$B$5&gt;=6),"S3636","")</f>
        <v/>
      </c>
      <c r="B3637" t="str">
        <f>IF(AND(FORSIDE!$B$8&gt;=13,FORSIDE!$F$8&gt;=6,FORSIDE!$B$5&gt;=6),"1525 -&gt; 1536","")</f>
        <v/>
      </c>
      <c r="C3637" t="str">
        <f>FORSIDE!$C$3</f>
        <v>S355, Stål / VFHUP 140x140x8.0</v>
      </c>
    </row>
    <row r="3638" spans="1:3" x14ac:dyDescent="0.3">
      <c r="A3638" t="str">
        <f>IF(AND(FORSIDE!$B$8&gt;=13,FORSIDE!$F$8&gt;=6,FORSIDE!$B$5&gt;=7),"S3637","")</f>
        <v/>
      </c>
      <c r="B3638" t="str">
        <f>IF(AND(FORSIDE!$B$8&gt;=13,FORSIDE!$F$8&gt;=6,FORSIDE!$B$5&gt;=7),"1526 -&gt; 1537","")</f>
        <v/>
      </c>
      <c r="C3638" t="str">
        <f>FORSIDE!$C$3</f>
        <v>S355, Stål / VFHUP 140x140x8.0</v>
      </c>
    </row>
    <row r="3639" spans="1:3" x14ac:dyDescent="0.3">
      <c r="A3639" t="str">
        <f>IF(AND(FORSIDE!$B$8&gt;=13,FORSIDE!$F$8&gt;=6,FORSIDE!$B$5&gt;=8),"S3638","")</f>
        <v/>
      </c>
      <c r="B3639" t="str">
        <f>IF(AND(FORSIDE!$B$8&gt;=13,FORSIDE!$F$8&gt;=6,FORSIDE!$B$5&gt;=8),"1527 -&gt; 1538","")</f>
        <v/>
      </c>
      <c r="C3639" t="str">
        <f>FORSIDE!$C$3</f>
        <v>S355, Stål / VFHUP 140x140x8.0</v>
      </c>
    </row>
    <row r="3640" spans="1:3" x14ac:dyDescent="0.3">
      <c r="A3640" t="str">
        <f>IF(AND(FORSIDE!$B$8&gt;=13,FORSIDE!$F$8&gt;=6,FORSIDE!$B$5&gt;=9),"S3639","")</f>
        <v/>
      </c>
      <c r="B3640" t="str">
        <f>IF(AND(FORSIDE!$B$8&gt;=13,FORSIDE!$F$8&gt;=6,FORSIDE!$B$5&gt;=9),"1528 -&gt; 1539","")</f>
        <v/>
      </c>
      <c r="C3640" t="str">
        <f>FORSIDE!$C$3</f>
        <v>S355, Stål / VFHUP 140x140x8.0</v>
      </c>
    </row>
    <row r="3641" spans="1:3" x14ac:dyDescent="0.3">
      <c r="A3641" t="str">
        <f>IF(AND(FORSIDE!$B$8&gt;=13,FORSIDE!$F$8&gt;=6,FORSIDE!$B$5&gt;=10),"S3640","")</f>
        <v/>
      </c>
      <c r="B3641" t="str">
        <f>IF(AND(FORSIDE!$B$8&gt;=13,FORSIDE!$F$8&gt;=6,FORSIDE!$B$5&gt;=10),"1529 -&gt; 1540","")</f>
        <v/>
      </c>
      <c r="C3641" t="str">
        <f>FORSIDE!$C$3</f>
        <v>S355, Stål / VFHUP 140x140x8.0</v>
      </c>
    </row>
    <row r="3642" spans="1:3" x14ac:dyDescent="0.3">
      <c r="A3642" t="str">
        <f>IF(AND(FORSIDE!$B$8&gt;=14,FORSIDE!$F$8&gt;=6,FORSIDE!$B$5&gt;=1),"S3641","")</f>
        <v/>
      </c>
      <c r="B3642" t="str">
        <f>IF(AND(FORSIDE!$B$8&gt;=14,FORSIDE!$F$8&gt;=6,FORSIDE!$B$5&gt;=1),"1531 -&gt; 1542","")</f>
        <v/>
      </c>
      <c r="C3642" t="str">
        <f>FORSIDE!$C$3</f>
        <v>S355, Stål / VFHUP 140x140x8.0</v>
      </c>
    </row>
    <row r="3643" spans="1:3" x14ac:dyDescent="0.3">
      <c r="A3643" t="str">
        <f>IF(AND(FORSIDE!$B$8&gt;=14,FORSIDE!$F$8&gt;=6,FORSIDE!$B$5&gt;=2),"S3642","")</f>
        <v/>
      </c>
      <c r="B3643" t="str">
        <f>IF(AND(FORSIDE!$B$8&gt;=14,FORSIDE!$F$8&gt;=6,FORSIDE!$B$5&gt;=2),"1532 -&gt; 1543","")</f>
        <v/>
      </c>
      <c r="C3643" t="str">
        <f>FORSIDE!$C$3</f>
        <v>S355, Stål / VFHUP 140x140x8.0</v>
      </c>
    </row>
    <row r="3644" spans="1:3" x14ac:dyDescent="0.3">
      <c r="A3644" t="str">
        <f>IF(AND(FORSIDE!$B$8&gt;=14,FORSIDE!$F$8&gt;=6,FORSIDE!$B$5&gt;=3),"S3643","")</f>
        <v/>
      </c>
      <c r="B3644" t="str">
        <f>IF(AND(FORSIDE!$B$8&gt;=14,FORSIDE!$F$8&gt;=6,FORSIDE!$B$5&gt;=3),"1533 -&gt; 1544","")</f>
        <v/>
      </c>
      <c r="C3644" t="str">
        <f>FORSIDE!$C$3</f>
        <v>S355, Stål / VFHUP 140x140x8.0</v>
      </c>
    </row>
    <row r="3645" spans="1:3" x14ac:dyDescent="0.3">
      <c r="A3645" t="str">
        <f>IF(AND(FORSIDE!$B$8&gt;=14,FORSIDE!$F$8&gt;=6,FORSIDE!$B$5&gt;=4),"S3644","")</f>
        <v/>
      </c>
      <c r="B3645" t="str">
        <f>IF(AND(FORSIDE!$B$8&gt;=14,FORSIDE!$F$8&gt;=6,FORSIDE!$B$5&gt;=4),"1534 -&gt; 1545","")</f>
        <v/>
      </c>
      <c r="C3645" t="str">
        <f>FORSIDE!$C$3</f>
        <v>S355, Stål / VFHUP 140x140x8.0</v>
      </c>
    </row>
    <row r="3646" spans="1:3" x14ac:dyDescent="0.3">
      <c r="A3646" t="str">
        <f>IF(AND(FORSIDE!$B$8&gt;=14,FORSIDE!$F$8&gt;=6,FORSIDE!$B$5&gt;=5),"S3645","")</f>
        <v/>
      </c>
      <c r="B3646" t="str">
        <f>IF(AND(FORSIDE!$B$8&gt;=14,FORSIDE!$F$8&gt;=6,FORSIDE!$B$5&gt;=5),"1535 -&gt; 1546","")</f>
        <v/>
      </c>
      <c r="C3646" t="str">
        <f>FORSIDE!$C$3</f>
        <v>S355, Stål / VFHUP 140x140x8.0</v>
      </c>
    </row>
    <row r="3647" spans="1:3" x14ac:dyDescent="0.3">
      <c r="A3647" t="str">
        <f>IF(AND(FORSIDE!$B$8&gt;=14,FORSIDE!$F$8&gt;=6,FORSIDE!$B$5&gt;=6),"S3646","")</f>
        <v/>
      </c>
      <c r="B3647" t="str">
        <f>IF(AND(FORSIDE!$B$8&gt;=14,FORSIDE!$F$8&gt;=6,FORSIDE!$B$5&gt;=6),"1536 -&gt; 1547","")</f>
        <v/>
      </c>
      <c r="C3647" t="str">
        <f>FORSIDE!$C$3</f>
        <v>S355, Stål / VFHUP 140x140x8.0</v>
      </c>
    </row>
    <row r="3648" spans="1:3" x14ac:dyDescent="0.3">
      <c r="A3648" t="str">
        <f>IF(AND(FORSIDE!$B$8&gt;=14,FORSIDE!$F$8&gt;=6,FORSIDE!$B$5&gt;=7),"S3647","")</f>
        <v/>
      </c>
      <c r="B3648" t="str">
        <f>IF(AND(FORSIDE!$B$8&gt;=14,FORSIDE!$F$8&gt;=6,FORSIDE!$B$5&gt;=7),"1537 -&gt; 1548","")</f>
        <v/>
      </c>
      <c r="C3648" t="str">
        <f>FORSIDE!$C$3</f>
        <v>S355, Stål / VFHUP 140x140x8.0</v>
      </c>
    </row>
    <row r="3649" spans="1:3" x14ac:dyDescent="0.3">
      <c r="A3649" t="str">
        <f>IF(AND(FORSIDE!$B$8&gt;=14,FORSIDE!$F$8&gt;=6,FORSIDE!$B$5&gt;=8),"S3648","")</f>
        <v/>
      </c>
      <c r="B3649" t="str">
        <f>IF(AND(FORSIDE!$B$8&gt;=14,FORSIDE!$F$8&gt;=6,FORSIDE!$B$5&gt;=8),"1538 -&gt; 1549","")</f>
        <v/>
      </c>
      <c r="C3649" t="str">
        <f>FORSIDE!$C$3</f>
        <v>S355, Stål / VFHUP 140x140x8.0</v>
      </c>
    </row>
    <row r="3650" spans="1:3" x14ac:dyDescent="0.3">
      <c r="A3650" t="str">
        <f>IF(AND(FORSIDE!$B$8&gt;=14,FORSIDE!$F$8&gt;=6,FORSIDE!$B$5&gt;=9),"S3649","")</f>
        <v/>
      </c>
      <c r="B3650" t="str">
        <f>IF(AND(FORSIDE!$B$8&gt;=14,FORSIDE!$F$8&gt;=6,FORSIDE!$B$5&gt;=9),"1539 -&gt; 1550","")</f>
        <v/>
      </c>
      <c r="C3650" t="str">
        <f>FORSIDE!$C$3</f>
        <v>S355, Stål / VFHUP 140x140x8.0</v>
      </c>
    </row>
    <row r="3651" spans="1:3" x14ac:dyDescent="0.3">
      <c r="A3651" t="str">
        <f>IF(AND(FORSIDE!$B$8&gt;=14,FORSIDE!$F$8&gt;=6,FORSIDE!$B$5&gt;=10),"S3650","")</f>
        <v/>
      </c>
      <c r="B3651" t="str">
        <f>IF(AND(FORSIDE!$B$8&gt;=14,FORSIDE!$F$8&gt;=6,FORSIDE!$B$5&gt;=10),"1540 -&gt; 1551","")</f>
        <v/>
      </c>
      <c r="C3651" t="str">
        <f>FORSIDE!$C$3</f>
        <v>S355, Stål / VFHUP 140x140x8.0</v>
      </c>
    </row>
    <row r="3652" spans="1:3" x14ac:dyDescent="0.3">
      <c r="A3652" t="str">
        <f>IF(AND(FORSIDE!$B$8&gt;=15,FORSIDE!$F$8&gt;=6,FORSIDE!$B$5&gt;=1),"S3651","")</f>
        <v/>
      </c>
      <c r="B3652" t="str">
        <f>IF(AND(FORSIDE!$B$8&gt;=15,FORSIDE!$F$8&gt;=6,FORSIDE!$B$5&gt;=1),"1542 -&gt; 1553","")</f>
        <v/>
      </c>
      <c r="C3652" t="str">
        <f>FORSIDE!$C$3</f>
        <v>S355, Stål / VFHUP 140x140x8.0</v>
      </c>
    </row>
    <row r="3653" spans="1:3" x14ac:dyDescent="0.3">
      <c r="A3653" t="str">
        <f>IF(AND(FORSIDE!$B$8&gt;=15,FORSIDE!$F$8&gt;=6,FORSIDE!$B$5&gt;=2),"S3652","")</f>
        <v/>
      </c>
      <c r="B3653" t="str">
        <f>IF(AND(FORSIDE!$B$8&gt;=15,FORSIDE!$F$8&gt;=6,FORSIDE!$B$5&gt;=2),"1543 -&gt; 1554","")</f>
        <v/>
      </c>
      <c r="C3653" t="str">
        <f>FORSIDE!$C$3</f>
        <v>S355, Stål / VFHUP 140x140x8.0</v>
      </c>
    </row>
    <row r="3654" spans="1:3" x14ac:dyDescent="0.3">
      <c r="A3654" t="str">
        <f>IF(AND(FORSIDE!$B$8&gt;=15,FORSIDE!$F$8&gt;=6,FORSIDE!$B$5&gt;=3),"S3653","")</f>
        <v/>
      </c>
      <c r="B3654" t="str">
        <f>IF(AND(FORSIDE!$B$8&gt;=15,FORSIDE!$F$8&gt;=6,FORSIDE!$B$5&gt;=3),"1544 -&gt; 1555","")</f>
        <v/>
      </c>
      <c r="C3654" t="str">
        <f>FORSIDE!$C$3</f>
        <v>S355, Stål / VFHUP 140x140x8.0</v>
      </c>
    </row>
    <row r="3655" spans="1:3" x14ac:dyDescent="0.3">
      <c r="A3655" t="str">
        <f>IF(AND(FORSIDE!$B$8&gt;=15,FORSIDE!$F$8&gt;=6,FORSIDE!$B$5&gt;=4),"S3654","")</f>
        <v/>
      </c>
      <c r="B3655" t="str">
        <f>IF(AND(FORSIDE!$B$8&gt;=15,FORSIDE!$F$8&gt;=6,FORSIDE!$B$5&gt;=4),"1545 -&gt; 1556","")</f>
        <v/>
      </c>
      <c r="C3655" t="str">
        <f>FORSIDE!$C$3</f>
        <v>S355, Stål / VFHUP 140x140x8.0</v>
      </c>
    </row>
    <row r="3656" spans="1:3" x14ac:dyDescent="0.3">
      <c r="A3656" t="str">
        <f>IF(AND(FORSIDE!$B$8&gt;=15,FORSIDE!$F$8&gt;=6,FORSIDE!$B$5&gt;=5),"S3655","")</f>
        <v/>
      </c>
      <c r="B3656" t="str">
        <f>IF(AND(FORSIDE!$B$8&gt;=15,FORSIDE!$F$8&gt;=6,FORSIDE!$B$5&gt;=5),"1546 -&gt; 1557","")</f>
        <v/>
      </c>
      <c r="C3656" t="str">
        <f>FORSIDE!$C$3</f>
        <v>S355, Stål / VFHUP 140x140x8.0</v>
      </c>
    </row>
    <row r="3657" spans="1:3" x14ac:dyDescent="0.3">
      <c r="A3657" t="str">
        <f>IF(AND(FORSIDE!$B$8&gt;=15,FORSIDE!$F$8&gt;=6,FORSIDE!$B$5&gt;=6),"S3656","")</f>
        <v/>
      </c>
      <c r="B3657" t="str">
        <f>IF(AND(FORSIDE!$B$8&gt;=15,FORSIDE!$F$8&gt;=6,FORSIDE!$B$5&gt;=6),"1547 -&gt; 1558","")</f>
        <v/>
      </c>
      <c r="C3657" t="str">
        <f>FORSIDE!$C$3</f>
        <v>S355, Stål / VFHUP 140x140x8.0</v>
      </c>
    </row>
    <row r="3658" spans="1:3" x14ac:dyDescent="0.3">
      <c r="A3658" t="str">
        <f>IF(AND(FORSIDE!$B$8&gt;=15,FORSIDE!$F$8&gt;=6,FORSIDE!$B$5&gt;=7),"S3657","")</f>
        <v/>
      </c>
      <c r="B3658" t="str">
        <f>IF(AND(FORSIDE!$B$8&gt;=15,FORSIDE!$F$8&gt;=6,FORSIDE!$B$5&gt;=7),"1548 -&gt; 1559","")</f>
        <v/>
      </c>
      <c r="C3658" t="str">
        <f>FORSIDE!$C$3</f>
        <v>S355, Stål / VFHUP 140x140x8.0</v>
      </c>
    </row>
    <row r="3659" spans="1:3" x14ac:dyDescent="0.3">
      <c r="A3659" t="str">
        <f>IF(AND(FORSIDE!$B$8&gt;=15,FORSIDE!$F$8&gt;=6,FORSIDE!$B$5&gt;=8),"S3658","")</f>
        <v/>
      </c>
      <c r="B3659" t="str">
        <f>IF(AND(FORSIDE!$B$8&gt;=15,FORSIDE!$F$8&gt;=6,FORSIDE!$B$5&gt;=8),"1549 -&gt; 1560","")</f>
        <v/>
      </c>
      <c r="C3659" t="str">
        <f>FORSIDE!$C$3</f>
        <v>S355, Stål / VFHUP 140x140x8.0</v>
      </c>
    </row>
    <row r="3660" spans="1:3" x14ac:dyDescent="0.3">
      <c r="A3660" t="str">
        <f>IF(AND(FORSIDE!$B$8&gt;=15,FORSIDE!$F$8&gt;=6,FORSIDE!$B$5&gt;=9),"S3659","")</f>
        <v/>
      </c>
      <c r="B3660" t="str">
        <f>IF(AND(FORSIDE!$B$8&gt;=15,FORSIDE!$F$8&gt;=6,FORSIDE!$B$5&gt;=9),"1550 -&gt; 1561","")</f>
        <v/>
      </c>
      <c r="C3660" t="str">
        <f>FORSIDE!$C$3</f>
        <v>S355, Stål / VFHUP 140x140x8.0</v>
      </c>
    </row>
    <row r="3661" spans="1:3" x14ac:dyDescent="0.3">
      <c r="A3661" t="str">
        <f>IF(AND(FORSIDE!$B$8&gt;=15,FORSIDE!$F$8&gt;=6,FORSIDE!$B$5&gt;=10),"S3660","")</f>
        <v/>
      </c>
      <c r="B3661" t="str">
        <f>IF(AND(FORSIDE!$B$8&gt;=15,FORSIDE!$F$8&gt;=6,FORSIDE!$B$5&gt;=10),"1551 -&gt; 1562","")</f>
        <v/>
      </c>
      <c r="C3661" t="str">
        <f>FORSIDE!$C$3</f>
        <v>S355, Stål / VFHUP 140x140x8.0</v>
      </c>
    </row>
    <row r="3662" spans="1:3" x14ac:dyDescent="0.3">
      <c r="A3662" t="str">
        <f>IF(AND(FORSIDE!$B$8&gt;=16,FORSIDE!$F$8&gt;=6,FORSIDE!$B$5&gt;=1),"S3661","")</f>
        <v/>
      </c>
      <c r="B3662" t="str">
        <f>IF(AND(FORSIDE!$B$8&gt;=16,FORSIDE!$F$8&gt;=6,FORSIDE!$B$5&gt;=1),"1553 -&gt; 1564","")</f>
        <v/>
      </c>
      <c r="C3662" t="str">
        <f>FORSIDE!$C$3</f>
        <v>S355, Stål / VFHUP 140x140x8.0</v>
      </c>
    </row>
    <row r="3663" spans="1:3" x14ac:dyDescent="0.3">
      <c r="A3663" t="str">
        <f>IF(AND(FORSIDE!$B$8&gt;=16,FORSIDE!$F$8&gt;=6,FORSIDE!$B$5&gt;=2),"S3662","")</f>
        <v/>
      </c>
      <c r="B3663" t="str">
        <f>IF(AND(FORSIDE!$B$8&gt;=16,FORSIDE!$F$8&gt;=6,FORSIDE!$B$5&gt;=2),"1554 -&gt; 1565","")</f>
        <v/>
      </c>
      <c r="C3663" t="str">
        <f>FORSIDE!$C$3</f>
        <v>S355, Stål / VFHUP 140x140x8.0</v>
      </c>
    </row>
    <row r="3664" spans="1:3" x14ac:dyDescent="0.3">
      <c r="A3664" t="str">
        <f>IF(AND(FORSIDE!$B$8&gt;=16,FORSIDE!$F$8&gt;=6,FORSIDE!$B$5&gt;=3),"S3663","")</f>
        <v/>
      </c>
      <c r="B3664" t="str">
        <f>IF(AND(FORSIDE!$B$8&gt;=16,FORSIDE!$F$8&gt;=6,FORSIDE!$B$5&gt;=3),"1555 -&gt; 1566","")</f>
        <v/>
      </c>
      <c r="C3664" t="str">
        <f>FORSIDE!$C$3</f>
        <v>S355, Stål / VFHUP 140x140x8.0</v>
      </c>
    </row>
    <row r="3665" spans="1:3" x14ac:dyDescent="0.3">
      <c r="A3665" t="str">
        <f>IF(AND(FORSIDE!$B$8&gt;=16,FORSIDE!$F$8&gt;=6,FORSIDE!$B$5&gt;=4),"S3664","")</f>
        <v/>
      </c>
      <c r="B3665" t="str">
        <f>IF(AND(FORSIDE!$B$8&gt;=16,FORSIDE!$F$8&gt;=6,FORSIDE!$B$5&gt;=4),"1556 -&gt; 1567","")</f>
        <v/>
      </c>
      <c r="C3665" t="str">
        <f>FORSIDE!$C$3</f>
        <v>S355, Stål / VFHUP 140x140x8.0</v>
      </c>
    </row>
    <row r="3666" spans="1:3" x14ac:dyDescent="0.3">
      <c r="A3666" t="str">
        <f>IF(AND(FORSIDE!$B$8&gt;=16,FORSIDE!$F$8&gt;=6,FORSIDE!$B$5&gt;=5),"S3665","")</f>
        <v/>
      </c>
      <c r="B3666" t="str">
        <f>IF(AND(FORSIDE!$B$8&gt;=16,FORSIDE!$F$8&gt;=6,FORSIDE!$B$5&gt;=5),"1557 -&gt; 1568","")</f>
        <v/>
      </c>
      <c r="C3666" t="str">
        <f>FORSIDE!$C$3</f>
        <v>S355, Stål / VFHUP 140x140x8.0</v>
      </c>
    </row>
    <row r="3667" spans="1:3" x14ac:dyDescent="0.3">
      <c r="A3667" t="str">
        <f>IF(AND(FORSIDE!$B$8&gt;=16,FORSIDE!$F$8&gt;=6,FORSIDE!$B$5&gt;=6),"S3666","")</f>
        <v/>
      </c>
      <c r="B3667" t="str">
        <f>IF(AND(FORSIDE!$B$8&gt;=16,FORSIDE!$F$8&gt;=6,FORSIDE!$B$5&gt;=6),"1558 -&gt; 1569","")</f>
        <v/>
      </c>
      <c r="C3667" t="str">
        <f>FORSIDE!$C$3</f>
        <v>S355, Stål / VFHUP 140x140x8.0</v>
      </c>
    </row>
    <row r="3668" spans="1:3" x14ac:dyDescent="0.3">
      <c r="A3668" t="str">
        <f>IF(AND(FORSIDE!$B$8&gt;=16,FORSIDE!$F$8&gt;=6,FORSIDE!$B$5&gt;=7),"S3667","")</f>
        <v/>
      </c>
      <c r="B3668" t="str">
        <f>IF(AND(FORSIDE!$B$8&gt;=16,FORSIDE!$F$8&gt;=6,FORSIDE!$B$5&gt;=7),"1559 -&gt; 1570","")</f>
        <v/>
      </c>
      <c r="C3668" t="str">
        <f>FORSIDE!$C$3</f>
        <v>S355, Stål / VFHUP 140x140x8.0</v>
      </c>
    </row>
    <row r="3669" spans="1:3" x14ac:dyDescent="0.3">
      <c r="A3669" t="str">
        <f>IF(AND(FORSIDE!$B$8&gt;=16,FORSIDE!$F$8&gt;=6,FORSIDE!$B$5&gt;=8),"S3668","")</f>
        <v/>
      </c>
      <c r="B3669" t="str">
        <f>IF(AND(FORSIDE!$B$8&gt;=16,FORSIDE!$F$8&gt;=6,FORSIDE!$B$5&gt;=8),"1560 -&gt; 1571","")</f>
        <v/>
      </c>
      <c r="C3669" t="str">
        <f>FORSIDE!$C$3</f>
        <v>S355, Stål / VFHUP 140x140x8.0</v>
      </c>
    </row>
    <row r="3670" spans="1:3" x14ac:dyDescent="0.3">
      <c r="A3670" t="str">
        <f>IF(AND(FORSIDE!$B$8&gt;=16,FORSIDE!$F$8&gt;=6,FORSIDE!$B$5&gt;=9),"S3669","")</f>
        <v/>
      </c>
      <c r="B3670" t="str">
        <f>IF(AND(FORSIDE!$B$8&gt;=16,FORSIDE!$F$8&gt;=6,FORSIDE!$B$5&gt;=9),"1561 -&gt; 1572","")</f>
        <v/>
      </c>
      <c r="C3670" t="str">
        <f>FORSIDE!$C$3</f>
        <v>S355, Stål / VFHUP 140x140x8.0</v>
      </c>
    </row>
    <row r="3671" spans="1:3" x14ac:dyDescent="0.3">
      <c r="A3671" t="str">
        <f>IF(AND(FORSIDE!$B$8&gt;=16,FORSIDE!$F$8&gt;=6,FORSIDE!$B$5&gt;=10),"S3670","")</f>
        <v/>
      </c>
      <c r="B3671" t="str">
        <f>IF(AND(FORSIDE!$B$8&gt;=16,FORSIDE!$F$8&gt;=6,FORSIDE!$B$5&gt;=10),"1562 -&gt; 1573","")</f>
        <v/>
      </c>
      <c r="C3671" t="str">
        <f>FORSIDE!$C$3</f>
        <v>S355, Stål / VFHUP 140x140x8.0</v>
      </c>
    </row>
    <row r="3672" spans="1:3" x14ac:dyDescent="0.3">
      <c r="A3672" t="str">
        <f>IF(AND(FORSIDE!$B$8&gt;=17,FORSIDE!$F$8&gt;=6,FORSIDE!$B$5&gt;=1),"S3671","")</f>
        <v/>
      </c>
      <c r="B3672" t="str">
        <f>IF(AND(FORSIDE!$B$8&gt;=17,FORSIDE!$F$8&gt;=6,FORSIDE!$B$5&gt;=1),"1564 -&gt; 1575","")</f>
        <v/>
      </c>
      <c r="C3672" t="str">
        <f>FORSIDE!$C$3</f>
        <v>S355, Stål / VFHUP 140x140x8.0</v>
      </c>
    </row>
    <row r="3673" spans="1:3" x14ac:dyDescent="0.3">
      <c r="A3673" t="str">
        <f>IF(AND(FORSIDE!$B$8&gt;=17,FORSIDE!$F$8&gt;=6,FORSIDE!$B$5&gt;=2),"S3672","")</f>
        <v/>
      </c>
      <c r="B3673" t="str">
        <f>IF(AND(FORSIDE!$B$8&gt;=17,FORSIDE!$F$8&gt;=6,FORSIDE!$B$5&gt;=2),"1565 -&gt; 1576","")</f>
        <v/>
      </c>
      <c r="C3673" t="str">
        <f>FORSIDE!$C$3</f>
        <v>S355, Stål / VFHUP 140x140x8.0</v>
      </c>
    </row>
    <row r="3674" spans="1:3" x14ac:dyDescent="0.3">
      <c r="A3674" t="str">
        <f>IF(AND(FORSIDE!$B$8&gt;=17,FORSIDE!$F$8&gt;=6,FORSIDE!$B$5&gt;=3),"S3673","")</f>
        <v/>
      </c>
      <c r="B3674" t="str">
        <f>IF(AND(FORSIDE!$B$8&gt;=17,FORSIDE!$F$8&gt;=6,FORSIDE!$B$5&gt;=3),"1566 -&gt; 1577","")</f>
        <v/>
      </c>
      <c r="C3674" t="str">
        <f>FORSIDE!$C$3</f>
        <v>S355, Stål / VFHUP 140x140x8.0</v>
      </c>
    </row>
    <row r="3675" spans="1:3" x14ac:dyDescent="0.3">
      <c r="A3675" t="str">
        <f>IF(AND(FORSIDE!$B$8&gt;=17,FORSIDE!$F$8&gt;=6,FORSIDE!$B$5&gt;=4),"S3674","")</f>
        <v/>
      </c>
      <c r="B3675" t="str">
        <f>IF(AND(FORSIDE!$B$8&gt;=17,FORSIDE!$F$8&gt;=6,FORSIDE!$B$5&gt;=4),"1567 -&gt; 1578","")</f>
        <v/>
      </c>
      <c r="C3675" t="str">
        <f>FORSIDE!$C$3</f>
        <v>S355, Stål / VFHUP 140x140x8.0</v>
      </c>
    </row>
    <row r="3676" spans="1:3" x14ac:dyDescent="0.3">
      <c r="A3676" t="str">
        <f>IF(AND(FORSIDE!$B$8&gt;=17,FORSIDE!$F$8&gt;=6,FORSIDE!$B$5&gt;=5),"S3675","")</f>
        <v/>
      </c>
      <c r="B3676" t="str">
        <f>IF(AND(FORSIDE!$B$8&gt;=17,FORSIDE!$F$8&gt;=6,FORSIDE!$B$5&gt;=5),"1568 -&gt; 1579","")</f>
        <v/>
      </c>
      <c r="C3676" t="str">
        <f>FORSIDE!$C$3</f>
        <v>S355, Stål / VFHUP 140x140x8.0</v>
      </c>
    </row>
    <row r="3677" spans="1:3" x14ac:dyDescent="0.3">
      <c r="A3677" t="str">
        <f>IF(AND(FORSIDE!$B$8&gt;=17,FORSIDE!$F$8&gt;=6,FORSIDE!$B$5&gt;=6),"S3676","")</f>
        <v/>
      </c>
      <c r="B3677" t="str">
        <f>IF(AND(FORSIDE!$B$8&gt;=17,FORSIDE!$F$8&gt;=6,FORSIDE!$B$5&gt;=6),"1569 -&gt; 1580","")</f>
        <v/>
      </c>
      <c r="C3677" t="str">
        <f>FORSIDE!$C$3</f>
        <v>S355, Stål / VFHUP 140x140x8.0</v>
      </c>
    </row>
    <row r="3678" spans="1:3" x14ac:dyDescent="0.3">
      <c r="A3678" t="str">
        <f>IF(AND(FORSIDE!$B$8&gt;=17,FORSIDE!$F$8&gt;=6,FORSIDE!$B$5&gt;=7),"S3677","")</f>
        <v/>
      </c>
      <c r="B3678" t="str">
        <f>IF(AND(FORSIDE!$B$8&gt;=17,FORSIDE!$F$8&gt;=6,FORSIDE!$B$5&gt;=7),"1570 -&gt; 1581","")</f>
        <v/>
      </c>
      <c r="C3678" t="str">
        <f>FORSIDE!$C$3</f>
        <v>S355, Stål / VFHUP 140x140x8.0</v>
      </c>
    </row>
    <row r="3679" spans="1:3" x14ac:dyDescent="0.3">
      <c r="A3679" t="str">
        <f>IF(AND(FORSIDE!$B$8&gt;=17,FORSIDE!$F$8&gt;=6,FORSIDE!$B$5&gt;=8),"S3678","")</f>
        <v/>
      </c>
      <c r="B3679" t="str">
        <f>IF(AND(FORSIDE!$B$8&gt;=17,FORSIDE!$F$8&gt;=6,FORSIDE!$B$5&gt;=8),"1571 -&gt; 1582","")</f>
        <v/>
      </c>
      <c r="C3679" t="str">
        <f>FORSIDE!$C$3</f>
        <v>S355, Stål / VFHUP 140x140x8.0</v>
      </c>
    </row>
    <row r="3680" spans="1:3" x14ac:dyDescent="0.3">
      <c r="A3680" t="str">
        <f>IF(AND(FORSIDE!$B$8&gt;=17,FORSIDE!$F$8&gt;=6,FORSIDE!$B$5&gt;=9),"S3679","")</f>
        <v/>
      </c>
      <c r="B3680" t="str">
        <f>IF(AND(FORSIDE!$B$8&gt;=17,FORSIDE!$F$8&gt;=6,FORSIDE!$B$5&gt;=9),"1572 -&gt; 1583","")</f>
        <v/>
      </c>
      <c r="C3680" t="str">
        <f>FORSIDE!$C$3</f>
        <v>S355, Stål / VFHUP 140x140x8.0</v>
      </c>
    </row>
    <row r="3681" spans="1:3" x14ac:dyDescent="0.3">
      <c r="A3681" t="str">
        <f>IF(AND(FORSIDE!$B$8&gt;=17,FORSIDE!$F$8&gt;=6,FORSIDE!$B$5&gt;=10),"S3680","")</f>
        <v/>
      </c>
      <c r="B3681" t="str">
        <f>IF(AND(FORSIDE!$B$8&gt;=17,FORSIDE!$F$8&gt;=6,FORSIDE!$B$5&gt;=10),"1573 -&gt; 1584","")</f>
        <v/>
      </c>
      <c r="C3681" t="str">
        <f>FORSIDE!$C$3</f>
        <v>S355, Stål / VFHUP 140x140x8.0</v>
      </c>
    </row>
    <row r="3682" spans="1:3" x14ac:dyDescent="0.3">
      <c r="A3682" t="str">
        <f>IF(AND(FORSIDE!$B$8&gt;=18,FORSIDE!$F$8&gt;=6,FORSIDE!$B$5&gt;=1),"S3681","")</f>
        <v/>
      </c>
      <c r="B3682" t="str">
        <f>IF(AND(FORSIDE!$B$8&gt;=18,FORSIDE!$F$8&gt;=6,FORSIDE!$B$5&gt;=1),"1575 -&gt; 1586","")</f>
        <v/>
      </c>
      <c r="C3682" t="str">
        <f>FORSIDE!$C$3</f>
        <v>S355, Stål / VFHUP 140x140x8.0</v>
      </c>
    </row>
    <row r="3683" spans="1:3" x14ac:dyDescent="0.3">
      <c r="A3683" t="str">
        <f>IF(AND(FORSIDE!$B$8&gt;=18,FORSIDE!$F$8&gt;=6,FORSIDE!$B$5&gt;=2),"S3682","")</f>
        <v/>
      </c>
      <c r="B3683" t="str">
        <f>IF(AND(FORSIDE!$B$8&gt;=18,FORSIDE!$F$8&gt;=6,FORSIDE!$B$5&gt;=2),"1576 -&gt; 1587","")</f>
        <v/>
      </c>
      <c r="C3683" t="str">
        <f>FORSIDE!$C$3</f>
        <v>S355, Stål / VFHUP 140x140x8.0</v>
      </c>
    </row>
    <row r="3684" spans="1:3" x14ac:dyDescent="0.3">
      <c r="A3684" t="str">
        <f>IF(AND(FORSIDE!$B$8&gt;=18,FORSIDE!$F$8&gt;=6,FORSIDE!$B$5&gt;=3),"S3683","")</f>
        <v/>
      </c>
      <c r="B3684" t="str">
        <f>IF(AND(FORSIDE!$B$8&gt;=18,FORSIDE!$F$8&gt;=6,FORSIDE!$B$5&gt;=3),"1577 -&gt; 1588","")</f>
        <v/>
      </c>
      <c r="C3684" t="str">
        <f>FORSIDE!$C$3</f>
        <v>S355, Stål / VFHUP 140x140x8.0</v>
      </c>
    </row>
    <row r="3685" spans="1:3" x14ac:dyDescent="0.3">
      <c r="A3685" t="str">
        <f>IF(AND(FORSIDE!$B$8&gt;=18,FORSIDE!$F$8&gt;=6,FORSIDE!$B$5&gt;=4),"S3684","")</f>
        <v/>
      </c>
      <c r="B3685" t="str">
        <f>IF(AND(FORSIDE!$B$8&gt;=18,FORSIDE!$F$8&gt;=6,FORSIDE!$B$5&gt;=4),"1578 -&gt; 1589","")</f>
        <v/>
      </c>
      <c r="C3685" t="str">
        <f>FORSIDE!$C$3</f>
        <v>S355, Stål / VFHUP 140x140x8.0</v>
      </c>
    </row>
    <row r="3686" spans="1:3" x14ac:dyDescent="0.3">
      <c r="A3686" t="str">
        <f>IF(AND(FORSIDE!$B$8&gt;=18,FORSIDE!$F$8&gt;=6,FORSIDE!$B$5&gt;=5),"S3685","")</f>
        <v/>
      </c>
      <c r="B3686" t="str">
        <f>IF(AND(FORSIDE!$B$8&gt;=18,FORSIDE!$F$8&gt;=6,FORSIDE!$B$5&gt;=5),"1579 -&gt; 1590","")</f>
        <v/>
      </c>
      <c r="C3686" t="str">
        <f>FORSIDE!$C$3</f>
        <v>S355, Stål / VFHUP 140x140x8.0</v>
      </c>
    </row>
    <row r="3687" spans="1:3" x14ac:dyDescent="0.3">
      <c r="A3687" t="str">
        <f>IF(AND(FORSIDE!$B$8&gt;=18,FORSIDE!$F$8&gt;=6,FORSIDE!$B$5&gt;=6),"S3686","")</f>
        <v/>
      </c>
      <c r="B3687" t="str">
        <f>IF(AND(FORSIDE!$B$8&gt;=18,FORSIDE!$F$8&gt;=6,FORSIDE!$B$5&gt;=6),"1580 -&gt; 1591","")</f>
        <v/>
      </c>
      <c r="C3687" t="str">
        <f>FORSIDE!$C$3</f>
        <v>S355, Stål / VFHUP 140x140x8.0</v>
      </c>
    </row>
    <row r="3688" spans="1:3" x14ac:dyDescent="0.3">
      <c r="A3688" t="str">
        <f>IF(AND(FORSIDE!$B$8&gt;=18,FORSIDE!$F$8&gt;=6,FORSIDE!$B$5&gt;=7),"S3687","")</f>
        <v/>
      </c>
      <c r="B3688" t="str">
        <f>IF(AND(FORSIDE!$B$8&gt;=18,FORSIDE!$F$8&gt;=6,FORSIDE!$B$5&gt;=7),"1581 -&gt; 1592","")</f>
        <v/>
      </c>
      <c r="C3688" t="str">
        <f>FORSIDE!$C$3</f>
        <v>S355, Stål / VFHUP 140x140x8.0</v>
      </c>
    </row>
    <row r="3689" spans="1:3" x14ac:dyDescent="0.3">
      <c r="A3689" t="str">
        <f>IF(AND(FORSIDE!$B$8&gt;=18,FORSIDE!$F$8&gt;=6,FORSIDE!$B$5&gt;=8),"S3688","")</f>
        <v/>
      </c>
      <c r="B3689" t="str">
        <f>IF(AND(FORSIDE!$B$8&gt;=18,FORSIDE!$F$8&gt;=6,FORSIDE!$B$5&gt;=8),"1582 -&gt; 1593","")</f>
        <v/>
      </c>
      <c r="C3689" t="str">
        <f>FORSIDE!$C$3</f>
        <v>S355, Stål / VFHUP 140x140x8.0</v>
      </c>
    </row>
    <row r="3690" spans="1:3" x14ac:dyDescent="0.3">
      <c r="A3690" t="str">
        <f>IF(AND(FORSIDE!$B$8&gt;=18,FORSIDE!$F$8&gt;=6,FORSIDE!$B$5&gt;=9),"S3689","")</f>
        <v/>
      </c>
      <c r="B3690" t="str">
        <f>IF(AND(FORSIDE!$B$8&gt;=18,FORSIDE!$F$8&gt;=6,FORSIDE!$B$5&gt;=9),"1583 -&gt; 1594","")</f>
        <v/>
      </c>
      <c r="C3690" t="str">
        <f>FORSIDE!$C$3</f>
        <v>S355, Stål / VFHUP 140x140x8.0</v>
      </c>
    </row>
    <row r="3691" spans="1:3" x14ac:dyDescent="0.3">
      <c r="A3691" t="str">
        <f>IF(AND(FORSIDE!$B$8&gt;=18,FORSIDE!$F$8&gt;=6,FORSIDE!$B$5&gt;=10),"S3690","")</f>
        <v/>
      </c>
      <c r="B3691" t="str">
        <f>IF(AND(FORSIDE!$B$8&gt;=18,FORSIDE!$F$8&gt;=6,FORSIDE!$B$5&gt;=10),"1584 -&gt; 1595","")</f>
        <v/>
      </c>
      <c r="C3691" t="str">
        <f>FORSIDE!$C$3</f>
        <v>S355, Stål / VFHUP 140x140x8.0</v>
      </c>
    </row>
    <row r="3692" spans="1:3" x14ac:dyDescent="0.3">
      <c r="A3692" t="str">
        <f>IF(AND(FORSIDE!$B$8&gt;=19,FORSIDE!$F$8&gt;=6,FORSIDE!$B$5&gt;=1),"S3691","")</f>
        <v/>
      </c>
      <c r="B3692" t="str">
        <f>IF(AND(FORSIDE!$B$8&gt;=19,FORSIDE!$F$8&gt;=6,FORSIDE!$B$5&gt;=1),"1586 -&gt; 1597","")</f>
        <v/>
      </c>
      <c r="C3692" t="str">
        <f>FORSIDE!$C$3</f>
        <v>S355, Stål / VFHUP 140x140x8.0</v>
      </c>
    </row>
    <row r="3693" spans="1:3" x14ac:dyDescent="0.3">
      <c r="A3693" t="str">
        <f>IF(AND(FORSIDE!$B$8&gt;=19,FORSIDE!$F$8&gt;=6,FORSIDE!$B$5&gt;=2),"S3692","")</f>
        <v/>
      </c>
      <c r="B3693" t="str">
        <f>IF(AND(FORSIDE!$B$8&gt;=19,FORSIDE!$F$8&gt;=6,FORSIDE!$B$5&gt;=2),"1587 -&gt; 1598","")</f>
        <v/>
      </c>
      <c r="C3693" t="str">
        <f>FORSIDE!$C$3</f>
        <v>S355, Stål / VFHUP 140x140x8.0</v>
      </c>
    </row>
    <row r="3694" spans="1:3" x14ac:dyDescent="0.3">
      <c r="A3694" t="str">
        <f>IF(AND(FORSIDE!$B$8&gt;=19,FORSIDE!$F$8&gt;=6,FORSIDE!$B$5&gt;=3),"S3693","")</f>
        <v/>
      </c>
      <c r="B3694" t="str">
        <f>IF(AND(FORSIDE!$B$8&gt;=19,FORSIDE!$F$8&gt;=6,FORSIDE!$B$5&gt;=3),"1588 -&gt; 1599","")</f>
        <v/>
      </c>
      <c r="C3694" t="str">
        <f>FORSIDE!$C$3</f>
        <v>S355, Stål / VFHUP 140x140x8.0</v>
      </c>
    </row>
    <row r="3695" spans="1:3" x14ac:dyDescent="0.3">
      <c r="A3695" t="str">
        <f>IF(AND(FORSIDE!$B$8&gt;=19,FORSIDE!$F$8&gt;=6,FORSIDE!$B$5&gt;=4),"S3694","")</f>
        <v/>
      </c>
      <c r="B3695" t="str">
        <f>IF(AND(FORSIDE!$B$8&gt;=19,FORSIDE!$F$8&gt;=6,FORSIDE!$B$5&gt;=4),"1589 -&gt; 1600","")</f>
        <v/>
      </c>
      <c r="C3695" t="str">
        <f>FORSIDE!$C$3</f>
        <v>S355, Stål / VFHUP 140x140x8.0</v>
      </c>
    </row>
    <row r="3696" spans="1:3" x14ac:dyDescent="0.3">
      <c r="A3696" t="str">
        <f>IF(AND(FORSIDE!$B$8&gt;=19,FORSIDE!$F$8&gt;=6,FORSIDE!$B$5&gt;=5),"S3695","")</f>
        <v/>
      </c>
      <c r="B3696" t="str">
        <f>IF(AND(FORSIDE!$B$8&gt;=19,FORSIDE!$F$8&gt;=6,FORSIDE!$B$5&gt;=5),"1590 -&gt; 1601","")</f>
        <v/>
      </c>
      <c r="C3696" t="str">
        <f>FORSIDE!$C$3</f>
        <v>S355, Stål / VFHUP 140x140x8.0</v>
      </c>
    </row>
    <row r="3697" spans="1:3" x14ac:dyDescent="0.3">
      <c r="A3697" t="str">
        <f>IF(AND(FORSIDE!$B$8&gt;=19,FORSIDE!$F$8&gt;=6,FORSIDE!$B$5&gt;=6),"S3696","")</f>
        <v/>
      </c>
      <c r="B3697" t="str">
        <f>IF(AND(FORSIDE!$B$8&gt;=19,FORSIDE!$F$8&gt;=6,FORSIDE!$B$5&gt;=6),"1591 -&gt; 1602","")</f>
        <v/>
      </c>
      <c r="C3697" t="str">
        <f>FORSIDE!$C$3</f>
        <v>S355, Stål / VFHUP 140x140x8.0</v>
      </c>
    </row>
    <row r="3698" spans="1:3" x14ac:dyDescent="0.3">
      <c r="A3698" t="str">
        <f>IF(AND(FORSIDE!$B$8&gt;=19,FORSIDE!$F$8&gt;=6,FORSIDE!$B$5&gt;=7),"S3697","")</f>
        <v/>
      </c>
      <c r="B3698" t="str">
        <f>IF(AND(FORSIDE!$B$8&gt;=19,FORSIDE!$F$8&gt;=6,FORSIDE!$B$5&gt;=7),"1592 -&gt; 1603","")</f>
        <v/>
      </c>
      <c r="C3698" t="str">
        <f>FORSIDE!$C$3</f>
        <v>S355, Stål / VFHUP 140x140x8.0</v>
      </c>
    </row>
    <row r="3699" spans="1:3" x14ac:dyDescent="0.3">
      <c r="A3699" t="str">
        <f>IF(AND(FORSIDE!$B$8&gt;=19,FORSIDE!$F$8&gt;=6,FORSIDE!$B$5&gt;=8),"S3698","")</f>
        <v/>
      </c>
      <c r="B3699" t="str">
        <f>IF(AND(FORSIDE!$B$8&gt;=19,FORSIDE!$F$8&gt;=6,FORSIDE!$B$5&gt;=8),"1593 -&gt; 1604","")</f>
        <v/>
      </c>
      <c r="C3699" t="str">
        <f>FORSIDE!$C$3</f>
        <v>S355, Stål / VFHUP 140x140x8.0</v>
      </c>
    </row>
    <row r="3700" spans="1:3" x14ac:dyDescent="0.3">
      <c r="A3700" t="str">
        <f>IF(AND(FORSIDE!$B$8&gt;=19,FORSIDE!$F$8&gt;=6,FORSIDE!$B$5&gt;=9),"S3699","")</f>
        <v/>
      </c>
      <c r="B3700" t="str">
        <f>IF(AND(FORSIDE!$B$8&gt;=19,FORSIDE!$F$8&gt;=6,FORSIDE!$B$5&gt;=9),"1594 -&gt; 1605","")</f>
        <v/>
      </c>
      <c r="C3700" t="str">
        <f>FORSIDE!$C$3</f>
        <v>S355, Stål / VFHUP 140x140x8.0</v>
      </c>
    </row>
    <row r="3701" spans="1:3" x14ac:dyDescent="0.3">
      <c r="A3701" t="str">
        <f>IF(AND(FORSIDE!$B$8&gt;=19,FORSIDE!$F$8&gt;=6,FORSIDE!$B$5&gt;=10),"S3700","")</f>
        <v/>
      </c>
      <c r="B3701" t="str">
        <f>IF(AND(FORSIDE!$B$8&gt;=19,FORSIDE!$F$8&gt;=6,FORSIDE!$B$5&gt;=10),"1595 -&gt; 1606","")</f>
        <v/>
      </c>
      <c r="C3701" t="str">
        <f>FORSIDE!$C$3</f>
        <v>S355, Stål / VFHUP 140x140x8.0</v>
      </c>
    </row>
    <row r="3702" spans="1:3" x14ac:dyDescent="0.3">
      <c r="A3702" t="str">
        <f>IF(AND(FORSIDE!$B$8&gt;=20,FORSIDE!$F$8&gt;=6,FORSIDE!$B$5&gt;=1),"S3701","")</f>
        <v/>
      </c>
      <c r="B3702" t="str">
        <f>IF(AND(FORSIDE!$B$8&gt;=20,FORSIDE!$F$8&gt;=6,FORSIDE!$B$5&gt;=1),"1597 -&gt; 1608","")</f>
        <v/>
      </c>
      <c r="C3702" t="str">
        <f>FORSIDE!$C$3</f>
        <v>S355, Stål / VFHUP 140x140x8.0</v>
      </c>
    </row>
    <row r="3703" spans="1:3" x14ac:dyDescent="0.3">
      <c r="A3703" t="str">
        <f>IF(AND(FORSIDE!$B$8&gt;=20,FORSIDE!$F$8&gt;=6,FORSIDE!$B$5&gt;=2),"S3702","")</f>
        <v/>
      </c>
      <c r="B3703" t="str">
        <f>IF(AND(FORSIDE!$B$8&gt;=20,FORSIDE!$F$8&gt;=6,FORSIDE!$B$5&gt;=2),"1598 -&gt; 1609","")</f>
        <v/>
      </c>
      <c r="C3703" t="str">
        <f>FORSIDE!$C$3</f>
        <v>S355, Stål / VFHUP 140x140x8.0</v>
      </c>
    </row>
    <row r="3704" spans="1:3" x14ac:dyDescent="0.3">
      <c r="A3704" t="str">
        <f>IF(AND(FORSIDE!$B$8&gt;=20,FORSIDE!$F$8&gt;=6,FORSIDE!$B$5&gt;=3),"S3703","")</f>
        <v/>
      </c>
      <c r="B3704" t="str">
        <f>IF(AND(FORSIDE!$B$8&gt;=20,FORSIDE!$F$8&gt;=6,FORSIDE!$B$5&gt;=3),"1599 -&gt; 1610","")</f>
        <v/>
      </c>
      <c r="C3704" t="str">
        <f>FORSIDE!$C$3</f>
        <v>S355, Stål / VFHUP 140x140x8.0</v>
      </c>
    </row>
    <row r="3705" spans="1:3" x14ac:dyDescent="0.3">
      <c r="A3705" t="str">
        <f>IF(AND(FORSIDE!$B$8&gt;=20,FORSIDE!$F$8&gt;=6,FORSIDE!$B$5&gt;=4),"S3704","")</f>
        <v/>
      </c>
      <c r="B3705" t="str">
        <f>IF(AND(FORSIDE!$B$8&gt;=20,FORSIDE!$F$8&gt;=6,FORSIDE!$B$5&gt;=4),"1600 -&gt; 1611","")</f>
        <v/>
      </c>
      <c r="C3705" t="str">
        <f>FORSIDE!$C$3</f>
        <v>S355, Stål / VFHUP 140x140x8.0</v>
      </c>
    </row>
    <row r="3706" spans="1:3" x14ac:dyDescent="0.3">
      <c r="A3706" t="str">
        <f>IF(AND(FORSIDE!$B$8&gt;=20,FORSIDE!$F$8&gt;=6,FORSIDE!$B$5&gt;=5),"S3705","")</f>
        <v/>
      </c>
      <c r="B3706" t="str">
        <f>IF(AND(FORSIDE!$B$8&gt;=20,FORSIDE!$F$8&gt;=6,FORSIDE!$B$5&gt;=5),"1601 -&gt; 1612","")</f>
        <v/>
      </c>
      <c r="C3706" t="str">
        <f>FORSIDE!$C$3</f>
        <v>S355, Stål / VFHUP 140x140x8.0</v>
      </c>
    </row>
    <row r="3707" spans="1:3" x14ac:dyDescent="0.3">
      <c r="A3707" t="str">
        <f>IF(AND(FORSIDE!$B$8&gt;=20,FORSIDE!$F$8&gt;=6,FORSIDE!$B$5&gt;=6),"S3706","")</f>
        <v/>
      </c>
      <c r="B3707" t="str">
        <f>IF(AND(FORSIDE!$B$8&gt;=20,FORSIDE!$F$8&gt;=6,FORSIDE!$B$5&gt;=6),"1602 -&gt; 1613","")</f>
        <v/>
      </c>
      <c r="C3707" t="str">
        <f>FORSIDE!$C$3</f>
        <v>S355, Stål / VFHUP 140x140x8.0</v>
      </c>
    </row>
    <row r="3708" spans="1:3" x14ac:dyDescent="0.3">
      <c r="A3708" t="str">
        <f>IF(AND(FORSIDE!$B$8&gt;=20,FORSIDE!$F$8&gt;=6,FORSIDE!$B$5&gt;=7),"S3707","")</f>
        <v/>
      </c>
      <c r="B3708" t="str">
        <f>IF(AND(FORSIDE!$B$8&gt;=20,FORSIDE!$F$8&gt;=6,FORSIDE!$B$5&gt;=7),"1603 -&gt; 1614","")</f>
        <v/>
      </c>
      <c r="C3708" t="str">
        <f>FORSIDE!$C$3</f>
        <v>S355, Stål / VFHUP 140x140x8.0</v>
      </c>
    </row>
    <row r="3709" spans="1:3" x14ac:dyDescent="0.3">
      <c r="A3709" t="str">
        <f>IF(AND(FORSIDE!$B$8&gt;=20,FORSIDE!$F$8&gt;=6,FORSIDE!$B$5&gt;=8),"S3708","")</f>
        <v/>
      </c>
      <c r="B3709" t="str">
        <f>IF(AND(FORSIDE!$B$8&gt;=20,FORSIDE!$F$8&gt;=6,FORSIDE!$B$5&gt;=8),"1604 -&gt; 1615","")</f>
        <v/>
      </c>
      <c r="C3709" t="str">
        <f>FORSIDE!$C$3</f>
        <v>S355, Stål / VFHUP 140x140x8.0</v>
      </c>
    </row>
    <row r="3710" spans="1:3" x14ac:dyDescent="0.3">
      <c r="A3710" t="str">
        <f>IF(AND(FORSIDE!$B$8&gt;=20,FORSIDE!$F$8&gt;=6,FORSIDE!$B$5&gt;=9),"S3709","")</f>
        <v/>
      </c>
      <c r="B3710" t="str">
        <f>IF(AND(FORSIDE!$B$8&gt;=20,FORSIDE!$F$8&gt;=6,FORSIDE!$B$5&gt;=9),"1605 -&gt; 1616","")</f>
        <v/>
      </c>
      <c r="C3710" t="str">
        <f>FORSIDE!$C$3</f>
        <v>S355, Stål / VFHUP 140x140x8.0</v>
      </c>
    </row>
    <row r="3711" spans="1:3" x14ac:dyDescent="0.3">
      <c r="A3711" t="str">
        <f>IF(AND(FORSIDE!$B$8&gt;=20,FORSIDE!$F$8&gt;=6,FORSIDE!$B$5&gt;=10),"S3710","")</f>
        <v/>
      </c>
      <c r="B3711" t="str">
        <f>IF(AND(FORSIDE!$B$8&gt;=20,FORSIDE!$F$8&gt;=6,FORSIDE!$B$5&gt;=10),"1606 -&gt; 1617","")</f>
        <v/>
      </c>
      <c r="C3711" t="str">
        <f>FORSIDE!$C$3</f>
        <v>S355, Stål / VFHUP 140x140x8.0</v>
      </c>
    </row>
    <row r="3712" spans="1:3" x14ac:dyDescent="0.3">
      <c r="A3712" t="str">
        <f>IF(AND(FORSIDE!$B$8&gt;=1,FORSIDE!$F$8&gt;=7,FORSIDE!$B$5&gt;=1),"S3711","")</f>
        <v/>
      </c>
      <c r="B3712" t="str">
        <f>IF(AND(FORSIDE!$B$8&gt;=1,FORSIDE!$F$8&gt;=7,FORSIDE!$B$5&gt;=1),"1619 -&gt; 1630","")</f>
        <v/>
      </c>
      <c r="C3712" t="str">
        <f>FORSIDE!$C$3</f>
        <v>S355, Stål / VFHUP 140x140x8.0</v>
      </c>
    </row>
    <row r="3713" spans="1:3" x14ac:dyDescent="0.3">
      <c r="A3713" t="str">
        <f>IF(AND(FORSIDE!$B$8&gt;=1,FORSIDE!$F$8&gt;=7,FORSIDE!$B$5&gt;=2),"S3712","")</f>
        <v/>
      </c>
      <c r="B3713" t="str">
        <f>IF(AND(FORSIDE!$B$8&gt;=1,FORSIDE!$F$8&gt;=7,FORSIDE!$B$5&gt;=2),"1620 -&gt; 1631","")</f>
        <v/>
      </c>
      <c r="C3713" t="str">
        <f>FORSIDE!$C$3</f>
        <v>S355, Stål / VFHUP 140x140x8.0</v>
      </c>
    </row>
    <row r="3714" spans="1:3" x14ac:dyDescent="0.3">
      <c r="A3714" t="str">
        <f>IF(AND(FORSIDE!$B$8&gt;=1,FORSIDE!$F$8&gt;=7,FORSIDE!$B$5&gt;=3),"S3713","")</f>
        <v/>
      </c>
      <c r="B3714" t="str">
        <f>IF(AND(FORSIDE!$B$8&gt;=1,FORSIDE!$F$8&gt;=7,FORSIDE!$B$5&gt;=3),"1621 -&gt; 1632","")</f>
        <v/>
      </c>
      <c r="C3714" t="str">
        <f>FORSIDE!$C$3</f>
        <v>S355, Stål / VFHUP 140x140x8.0</v>
      </c>
    </row>
    <row r="3715" spans="1:3" x14ac:dyDescent="0.3">
      <c r="A3715" t="str">
        <f>IF(AND(FORSIDE!$B$8&gt;=1,FORSIDE!$F$8&gt;=7,FORSIDE!$B$5&gt;=4),"S3714","")</f>
        <v/>
      </c>
      <c r="B3715" t="str">
        <f>IF(AND(FORSIDE!$B$8&gt;=1,FORSIDE!$F$8&gt;=7,FORSIDE!$B$5&gt;=4),"1622 -&gt; 1633","")</f>
        <v/>
      </c>
      <c r="C3715" t="str">
        <f>FORSIDE!$C$3</f>
        <v>S355, Stål / VFHUP 140x140x8.0</v>
      </c>
    </row>
    <row r="3716" spans="1:3" x14ac:dyDescent="0.3">
      <c r="A3716" t="str">
        <f>IF(AND(FORSIDE!$B$8&gt;=1,FORSIDE!$F$8&gt;=7,FORSIDE!$B$5&gt;=5),"S3715","")</f>
        <v/>
      </c>
      <c r="B3716" t="str">
        <f>IF(AND(FORSIDE!$B$8&gt;=1,FORSIDE!$F$8&gt;=7,FORSIDE!$B$5&gt;=5),"1623 -&gt; 1634","")</f>
        <v/>
      </c>
      <c r="C3716" t="str">
        <f>FORSIDE!$C$3</f>
        <v>S355, Stål / VFHUP 140x140x8.0</v>
      </c>
    </row>
    <row r="3717" spans="1:3" x14ac:dyDescent="0.3">
      <c r="A3717" t="str">
        <f>IF(AND(FORSIDE!$B$8&gt;=1,FORSIDE!$F$8&gt;=7,FORSIDE!$B$5&gt;=6),"S3716","")</f>
        <v/>
      </c>
      <c r="B3717" t="str">
        <f>IF(AND(FORSIDE!$B$8&gt;=1,FORSIDE!$F$8&gt;=7,FORSIDE!$B$5&gt;=6),"1624 -&gt; 1635","")</f>
        <v/>
      </c>
      <c r="C3717" t="str">
        <f>FORSIDE!$C$3</f>
        <v>S355, Stål / VFHUP 140x140x8.0</v>
      </c>
    </row>
    <row r="3718" spans="1:3" x14ac:dyDescent="0.3">
      <c r="A3718" t="str">
        <f>IF(AND(FORSIDE!$B$8&gt;=1,FORSIDE!$F$8&gt;=7,FORSIDE!$B$5&gt;=7),"S3717","")</f>
        <v/>
      </c>
      <c r="B3718" t="str">
        <f>IF(AND(FORSIDE!$B$8&gt;=1,FORSIDE!$F$8&gt;=7,FORSIDE!$B$5&gt;=7),"1625 -&gt; 1636","")</f>
        <v/>
      </c>
      <c r="C3718" t="str">
        <f>FORSIDE!$C$3</f>
        <v>S355, Stål / VFHUP 140x140x8.0</v>
      </c>
    </row>
    <row r="3719" spans="1:3" x14ac:dyDescent="0.3">
      <c r="A3719" t="str">
        <f>IF(AND(FORSIDE!$B$8&gt;=1,FORSIDE!$F$8&gt;=7,FORSIDE!$B$5&gt;=8),"S3718","")</f>
        <v/>
      </c>
      <c r="B3719" t="str">
        <f>IF(AND(FORSIDE!$B$8&gt;=1,FORSIDE!$F$8&gt;=7,FORSIDE!$B$5&gt;=8),"1626 -&gt; 1637","")</f>
        <v/>
      </c>
      <c r="C3719" t="str">
        <f>FORSIDE!$C$3</f>
        <v>S355, Stål / VFHUP 140x140x8.0</v>
      </c>
    </row>
    <row r="3720" spans="1:3" x14ac:dyDescent="0.3">
      <c r="A3720" t="str">
        <f>IF(AND(FORSIDE!$B$8&gt;=1,FORSIDE!$F$8&gt;=7,FORSIDE!$B$5&gt;=9),"S3719","")</f>
        <v/>
      </c>
      <c r="B3720" t="str">
        <f>IF(AND(FORSIDE!$B$8&gt;=1,FORSIDE!$F$8&gt;=7,FORSIDE!$B$5&gt;=9),"1627 -&gt; 1638","")</f>
        <v/>
      </c>
      <c r="C3720" t="str">
        <f>FORSIDE!$C$3</f>
        <v>S355, Stål / VFHUP 140x140x8.0</v>
      </c>
    </row>
    <row r="3721" spans="1:3" x14ac:dyDescent="0.3">
      <c r="A3721" t="str">
        <f>IF(AND(FORSIDE!$B$8&gt;=1,FORSIDE!$F$8&gt;=7,FORSIDE!$B$5&gt;=10),"S3720","")</f>
        <v/>
      </c>
      <c r="B3721" t="str">
        <f>IF(AND(FORSIDE!$B$8&gt;=1,FORSIDE!$F$8&gt;=7,FORSIDE!$B$5&gt;=10),"1628 -&gt; 1639","")</f>
        <v/>
      </c>
      <c r="C3721" t="str">
        <f>FORSIDE!$C$3</f>
        <v>S355, Stål / VFHUP 140x140x8.0</v>
      </c>
    </row>
    <row r="3722" spans="1:3" x14ac:dyDescent="0.3">
      <c r="A3722" t="str">
        <f>IF(AND(FORSIDE!$B$8&gt;=2,FORSIDE!$F$8&gt;=7,FORSIDE!$B$5&gt;=1),"S3721","")</f>
        <v/>
      </c>
      <c r="B3722" t="str">
        <f>IF(AND(FORSIDE!$B$8&gt;=2,FORSIDE!$F$8&gt;=7,FORSIDE!$B$5&gt;=1),"1630 -&gt; 1641","")</f>
        <v/>
      </c>
      <c r="C3722" t="str">
        <f>FORSIDE!$C$3</f>
        <v>S355, Stål / VFHUP 140x140x8.0</v>
      </c>
    </row>
    <row r="3723" spans="1:3" x14ac:dyDescent="0.3">
      <c r="A3723" t="str">
        <f>IF(AND(FORSIDE!$B$8&gt;=2,FORSIDE!$F$8&gt;=7,FORSIDE!$B$5&gt;=2),"S3722","")</f>
        <v/>
      </c>
      <c r="B3723" t="str">
        <f>IF(AND(FORSIDE!$B$8&gt;=2,FORSIDE!$F$8&gt;=7,FORSIDE!$B$5&gt;=2),"1631 -&gt; 1642","")</f>
        <v/>
      </c>
      <c r="C3723" t="str">
        <f>FORSIDE!$C$3</f>
        <v>S355, Stål / VFHUP 140x140x8.0</v>
      </c>
    </row>
    <row r="3724" spans="1:3" x14ac:dyDescent="0.3">
      <c r="A3724" t="str">
        <f>IF(AND(FORSIDE!$B$8&gt;=2,FORSIDE!$F$8&gt;=7,FORSIDE!$B$5&gt;=3),"S3723","")</f>
        <v/>
      </c>
      <c r="B3724" t="str">
        <f>IF(AND(FORSIDE!$B$8&gt;=2,FORSIDE!$F$8&gt;=7,FORSIDE!$B$5&gt;=3),"1632 -&gt; 1643","")</f>
        <v/>
      </c>
      <c r="C3724" t="str">
        <f>FORSIDE!$C$3</f>
        <v>S355, Stål / VFHUP 140x140x8.0</v>
      </c>
    </row>
    <row r="3725" spans="1:3" x14ac:dyDescent="0.3">
      <c r="A3725" t="str">
        <f>IF(AND(FORSIDE!$B$8&gt;=2,FORSIDE!$F$8&gt;=7,FORSIDE!$B$5&gt;=4),"S3724","")</f>
        <v/>
      </c>
      <c r="B3725" t="str">
        <f>IF(AND(FORSIDE!$B$8&gt;=2,FORSIDE!$F$8&gt;=7,FORSIDE!$B$5&gt;=4),"1633 -&gt; 1644","")</f>
        <v/>
      </c>
      <c r="C3725" t="str">
        <f>FORSIDE!$C$3</f>
        <v>S355, Stål / VFHUP 140x140x8.0</v>
      </c>
    </row>
    <row r="3726" spans="1:3" x14ac:dyDescent="0.3">
      <c r="A3726" t="str">
        <f>IF(AND(FORSIDE!$B$8&gt;=2,FORSIDE!$F$8&gt;=7,FORSIDE!$B$5&gt;=5),"S3725","")</f>
        <v/>
      </c>
      <c r="B3726" t="str">
        <f>IF(AND(FORSIDE!$B$8&gt;=2,FORSIDE!$F$8&gt;=7,FORSIDE!$B$5&gt;=5),"1634 -&gt; 1645","")</f>
        <v/>
      </c>
      <c r="C3726" t="str">
        <f>FORSIDE!$C$3</f>
        <v>S355, Stål / VFHUP 140x140x8.0</v>
      </c>
    </row>
    <row r="3727" spans="1:3" x14ac:dyDescent="0.3">
      <c r="A3727" t="str">
        <f>IF(AND(FORSIDE!$B$8&gt;=2,FORSIDE!$F$8&gt;=7,FORSIDE!$B$5&gt;=6),"S3726","")</f>
        <v/>
      </c>
      <c r="B3727" t="str">
        <f>IF(AND(FORSIDE!$B$8&gt;=2,FORSIDE!$F$8&gt;=7,FORSIDE!$B$5&gt;=6),"1635 -&gt; 1646","")</f>
        <v/>
      </c>
      <c r="C3727" t="str">
        <f>FORSIDE!$C$3</f>
        <v>S355, Stål / VFHUP 140x140x8.0</v>
      </c>
    </row>
    <row r="3728" spans="1:3" x14ac:dyDescent="0.3">
      <c r="A3728" t="str">
        <f>IF(AND(FORSIDE!$B$8&gt;=2,FORSIDE!$F$8&gt;=7,FORSIDE!$B$5&gt;=7),"S3727","")</f>
        <v/>
      </c>
      <c r="B3728" t="str">
        <f>IF(AND(FORSIDE!$B$8&gt;=2,FORSIDE!$F$8&gt;=7,FORSIDE!$B$5&gt;=7),"1636 -&gt; 1647","")</f>
        <v/>
      </c>
      <c r="C3728" t="str">
        <f>FORSIDE!$C$3</f>
        <v>S355, Stål / VFHUP 140x140x8.0</v>
      </c>
    </row>
    <row r="3729" spans="1:3" x14ac:dyDescent="0.3">
      <c r="A3729" t="str">
        <f>IF(AND(FORSIDE!$B$8&gt;=2,FORSIDE!$F$8&gt;=7,FORSIDE!$B$5&gt;=8),"S3728","")</f>
        <v/>
      </c>
      <c r="B3729" t="str">
        <f>IF(AND(FORSIDE!$B$8&gt;=2,FORSIDE!$F$8&gt;=7,FORSIDE!$B$5&gt;=8),"1637 -&gt; 1648","")</f>
        <v/>
      </c>
      <c r="C3729" t="str">
        <f>FORSIDE!$C$3</f>
        <v>S355, Stål / VFHUP 140x140x8.0</v>
      </c>
    </row>
    <row r="3730" spans="1:3" x14ac:dyDescent="0.3">
      <c r="A3730" t="str">
        <f>IF(AND(FORSIDE!$B$8&gt;=2,FORSIDE!$F$8&gt;=7,FORSIDE!$B$5&gt;=9),"S3729","")</f>
        <v/>
      </c>
      <c r="B3730" t="str">
        <f>IF(AND(FORSIDE!$B$8&gt;=2,FORSIDE!$F$8&gt;=7,FORSIDE!$B$5&gt;=9),"1638 -&gt; 1649","")</f>
        <v/>
      </c>
      <c r="C3730" t="str">
        <f>FORSIDE!$C$3</f>
        <v>S355, Stål / VFHUP 140x140x8.0</v>
      </c>
    </row>
    <row r="3731" spans="1:3" x14ac:dyDescent="0.3">
      <c r="A3731" t="str">
        <f>IF(AND(FORSIDE!$B$8&gt;=2,FORSIDE!$F$8&gt;=7,FORSIDE!$B$5&gt;=10),"S3730","")</f>
        <v/>
      </c>
      <c r="B3731" t="str">
        <f>IF(AND(FORSIDE!$B$8&gt;=2,FORSIDE!$F$8&gt;=7,FORSIDE!$B$5&gt;=10),"1639 -&gt; 1650","")</f>
        <v/>
      </c>
      <c r="C3731" t="str">
        <f>FORSIDE!$C$3</f>
        <v>S355, Stål / VFHUP 140x140x8.0</v>
      </c>
    </row>
    <row r="3732" spans="1:3" x14ac:dyDescent="0.3">
      <c r="A3732" t="str">
        <f>IF(AND(FORSIDE!$B$8&gt;=3,FORSIDE!$F$8&gt;=7,FORSIDE!$B$5&gt;=1),"S3731","")</f>
        <v/>
      </c>
      <c r="B3732" t="str">
        <f>IF(AND(FORSIDE!$B$8&gt;=3,FORSIDE!$F$8&gt;=7,FORSIDE!$B$5&gt;=1),"1641 -&gt; 1652","")</f>
        <v/>
      </c>
      <c r="C3732" t="str">
        <f>FORSIDE!$C$3</f>
        <v>S355, Stål / VFHUP 140x140x8.0</v>
      </c>
    </row>
    <row r="3733" spans="1:3" x14ac:dyDescent="0.3">
      <c r="A3733" t="str">
        <f>IF(AND(FORSIDE!$B$8&gt;=3,FORSIDE!$F$8&gt;=7,FORSIDE!$B$5&gt;=2),"S3732","")</f>
        <v/>
      </c>
      <c r="B3733" t="str">
        <f>IF(AND(FORSIDE!$B$8&gt;=3,FORSIDE!$F$8&gt;=7,FORSIDE!$B$5&gt;=2),"1642 -&gt; 1653","")</f>
        <v/>
      </c>
      <c r="C3733" t="str">
        <f>FORSIDE!$C$3</f>
        <v>S355, Stål / VFHUP 140x140x8.0</v>
      </c>
    </row>
    <row r="3734" spans="1:3" x14ac:dyDescent="0.3">
      <c r="A3734" t="str">
        <f>IF(AND(FORSIDE!$B$8&gt;=3,FORSIDE!$F$8&gt;=7,FORSIDE!$B$5&gt;=3),"S3733","")</f>
        <v/>
      </c>
      <c r="B3734" t="str">
        <f>IF(AND(FORSIDE!$B$8&gt;=3,FORSIDE!$F$8&gt;=7,FORSIDE!$B$5&gt;=3),"1643 -&gt; 1654","")</f>
        <v/>
      </c>
      <c r="C3734" t="str">
        <f>FORSIDE!$C$3</f>
        <v>S355, Stål / VFHUP 140x140x8.0</v>
      </c>
    </row>
    <row r="3735" spans="1:3" x14ac:dyDescent="0.3">
      <c r="A3735" t="str">
        <f>IF(AND(FORSIDE!$B$8&gt;=3,FORSIDE!$F$8&gt;=7,FORSIDE!$B$5&gt;=4),"S3734","")</f>
        <v/>
      </c>
      <c r="B3735" t="str">
        <f>IF(AND(FORSIDE!$B$8&gt;=3,FORSIDE!$F$8&gt;=7,FORSIDE!$B$5&gt;=4),"1644 -&gt; 1655","")</f>
        <v/>
      </c>
      <c r="C3735" t="str">
        <f>FORSIDE!$C$3</f>
        <v>S355, Stål / VFHUP 140x140x8.0</v>
      </c>
    </row>
    <row r="3736" spans="1:3" x14ac:dyDescent="0.3">
      <c r="A3736" t="str">
        <f>IF(AND(FORSIDE!$B$8&gt;=3,FORSIDE!$F$8&gt;=7,FORSIDE!$B$5&gt;=5),"S3735","")</f>
        <v/>
      </c>
      <c r="B3736" t="str">
        <f>IF(AND(FORSIDE!$B$8&gt;=3,FORSIDE!$F$8&gt;=7,FORSIDE!$B$5&gt;=5),"1645 -&gt; 1656","")</f>
        <v/>
      </c>
      <c r="C3736" t="str">
        <f>FORSIDE!$C$3</f>
        <v>S355, Stål / VFHUP 140x140x8.0</v>
      </c>
    </row>
    <row r="3737" spans="1:3" x14ac:dyDescent="0.3">
      <c r="A3737" t="str">
        <f>IF(AND(FORSIDE!$B$8&gt;=3,FORSIDE!$F$8&gt;=7,FORSIDE!$B$5&gt;=6),"S3736","")</f>
        <v/>
      </c>
      <c r="B3737" t="str">
        <f>IF(AND(FORSIDE!$B$8&gt;=3,FORSIDE!$F$8&gt;=7,FORSIDE!$B$5&gt;=6),"1646 -&gt; 1657","")</f>
        <v/>
      </c>
      <c r="C3737" t="str">
        <f>FORSIDE!$C$3</f>
        <v>S355, Stål / VFHUP 140x140x8.0</v>
      </c>
    </row>
    <row r="3738" spans="1:3" x14ac:dyDescent="0.3">
      <c r="A3738" t="str">
        <f>IF(AND(FORSIDE!$B$8&gt;=3,FORSIDE!$F$8&gt;=7,FORSIDE!$B$5&gt;=7),"S3737","")</f>
        <v/>
      </c>
      <c r="B3738" t="str">
        <f>IF(AND(FORSIDE!$B$8&gt;=3,FORSIDE!$F$8&gt;=7,FORSIDE!$B$5&gt;=7),"1647 -&gt; 1658","")</f>
        <v/>
      </c>
      <c r="C3738" t="str">
        <f>FORSIDE!$C$3</f>
        <v>S355, Stål / VFHUP 140x140x8.0</v>
      </c>
    </row>
    <row r="3739" spans="1:3" x14ac:dyDescent="0.3">
      <c r="A3739" t="str">
        <f>IF(AND(FORSIDE!$B$8&gt;=3,FORSIDE!$F$8&gt;=7,FORSIDE!$B$5&gt;=8),"S3738","")</f>
        <v/>
      </c>
      <c r="B3739" t="str">
        <f>IF(AND(FORSIDE!$B$8&gt;=3,FORSIDE!$F$8&gt;=7,FORSIDE!$B$5&gt;=8),"1648 -&gt; 1659","")</f>
        <v/>
      </c>
      <c r="C3739" t="str">
        <f>FORSIDE!$C$3</f>
        <v>S355, Stål / VFHUP 140x140x8.0</v>
      </c>
    </row>
    <row r="3740" spans="1:3" x14ac:dyDescent="0.3">
      <c r="A3740" t="str">
        <f>IF(AND(FORSIDE!$B$8&gt;=3,FORSIDE!$F$8&gt;=7,FORSIDE!$B$5&gt;=9),"S3739","")</f>
        <v/>
      </c>
      <c r="B3740" t="str">
        <f>IF(AND(FORSIDE!$B$8&gt;=3,FORSIDE!$F$8&gt;=7,FORSIDE!$B$5&gt;=9),"1649 -&gt; 1660","")</f>
        <v/>
      </c>
      <c r="C3740" t="str">
        <f>FORSIDE!$C$3</f>
        <v>S355, Stål / VFHUP 140x140x8.0</v>
      </c>
    </row>
    <row r="3741" spans="1:3" x14ac:dyDescent="0.3">
      <c r="A3741" t="str">
        <f>IF(AND(FORSIDE!$B$8&gt;=3,FORSIDE!$F$8&gt;=7,FORSIDE!$B$5&gt;=10),"S3740","")</f>
        <v/>
      </c>
      <c r="B3741" t="str">
        <f>IF(AND(FORSIDE!$B$8&gt;=3,FORSIDE!$F$8&gt;=7,FORSIDE!$B$5&gt;=10),"1650 -&gt; 1661","")</f>
        <v/>
      </c>
      <c r="C3741" t="str">
        <f>FORSIDE!$C$3</f>
        <v>S355, Stål / VFHUP 140x140x8.0</v>
      </c>
    </row>
    <row r="3742" spans="1:3" x14ac:dyDescent="0.3">
      <c r="A3742" t="str">
        <f>IF(AND(FORSIDE!$B$8&gt;=4,FORSIDE!$F$8&gt;=7,FORSIDE!$B$5&gt;=1),"S3741","")</f>
        <v/>
      </c>
      <c r="B3742" t="str">
        <f>IF(AND(FORSIDE!$B$8&gt;=4,FORSIDE!$F$8&gt;=7,FORSIDE!$B$5&gt;=1),"1652 -&gt; 1663","")</f>
        <v/>
      </c>
      <c r="C3742" t="str">
        <f>FORSIDE!$C$3</f>
        <v>S355, Stål / VFHUP 140x140x8.0</v>
      </c>
    </row>
    <row r="3743" spans="1:3" x14ac:dyDescent="0.3">
      <c r="A3743" t="str">
        <f>IF(AND(FORSIDE!$B$8&gt;=4,FORSIDE!$F$8&gt;=7,FORSIDE!$B$5&gt;=2),"S3742","")</f>
        <v/>
      </c>
      <c r="B3743" t="str">
        <f>IF(AND(FORSIDE!$B$8&gt;=4,FORSIDE!$F$8&gt;=7,FORSIDE!$B$5&gt;=2),"1653 -&gt; 1664","")</f>
        <v/>
      </c>
      <c r="C3743" t="str">
        <f>FORSIDE!$C$3</f>
        <v>S355, Stål / VFHUP 140x140x8.0</v>
      </c>
    </row>
    <row r="3744" spans="1:3" x14ac:dyDescent="0.3">
      <c r="A3744" t="str">
        <f>IF(AND(FORSIDE!$B$8&gt;=4,FORSIDE!$F$8&gt;=7,FORSIDE!$B$5&gt;=3),"S3743","")</f>
        <v/>
      </c>
      <c r="B3744" t="str">
        <f>IF(AND(FORSIDE!$B$8&gt;=4,FORSIDE!$F$8&gt;=7,FORSIDE!$B$5&gt;=3),"1654 -&gt; 1665","")</f>
        <v/>
      </c>
      <c r="C3744" t="str">
        <f>FORSIDE!$C$3</f>
        <v>S355, Stål / VFHUP 140x140x8.0</v>
      </c>
    </row>
    <row r="3745" spans="1:3" x14ac:dyDescent="0.3">
      <c r="A3745" t="str">
        <f>IF(AND(FORSIDE!$B$8&gt;=4,FORSIDE!$F$8&gt;=7,FORSIDE!$B$5&gt;=4),"S3744","")</f>
        <v/>
      </c>
      <c r="B3745" t="str">
        <f>IF(AND(FORSIDE!$B$8&gt;=4,FORSIDE!$F$8&gt;=7,FORSIDE!$B$5&gt;=4),"1655 -&gt; 1666","")</f>
        <v/>
      </c>
      <c r="C3745" t="str">
        <f>FORSIDE!$C$3</f>
        <v>S355, Stål / VFHUP 140x140x8.0</v>
      </c>
    </row>
    <row r="3746" spans="1:3" x14ac:dyDescent="0.3">
      <c r="A3746" t="str">
        <f>IF(AND(FORSIDE!$B$8&gt;=4,FORSIDE!$F$8&gt;=7,FORSIDE!$B$5&gt;=5),"S3745","")</f>
        <v/>
      </c>
      <c r="B3746" t="str">
        <f>IF(AND(FORSIDE!$B$8&gt;=4,FORSIDE!$F$8&gt;=7,FORSIDE!$B$5&gt;=5),"1656 -&gt; 1667","")</f>
        <v/>
      </c>
      <c r="C3746" t="str">
        <f>FORSIDE!$C$3</f>
        <v>S355, Stål / VFHUP 140x140x8.0</v>
      </c>
    </row>
    <row r="3747" spans="1:3" x14ac:dyDescent="0.3">
      <c r="A3747" t="str">
        <f>IF(AND(FORSIDE!$B$8&gt;=4,FORSIDE!$F$8&gt;=7,FORSIDE!$B$5&gt;=6),"S3746","")</f>
        <v/>
      </c>
      <c r="B3747" t="str">
        <f>IF(AND(FORSIDE!$B$8&gt;=4,FORSIDE!$F$8&gt;=7,FORSIDE!$B$5&gt;=6),"1657 -&gt; 1668","")</f>
        <v/>
      </c>
      <c r="C3747" t="str">
        <f>FORSIDE!$C$3</f>
        <v>S355, Stål / VFHUP 140x140x8.0</v>
      </c>
    </row>
    <row r="3748" spans="1:3" x14ac:dyDescent="0.3">
      <c r="A3748" t="str">
        <f>IF(AND(FORSIDE!$B$8&gt;=4,FORSIDE!$F$8&gt;=7,FORSIDE!$B$5&gt;=7),"S3747","")</f>
        <v/>
      </c>
      <c r="B3748" t="str">
        <f>IF(AND(FORSIDE!$B$8&gt;=4,FORSIDE!$F$8&gt;=7,FORSIDE!$B$5&gt;=7),"1658 -&gt; 1669","")</f>
        <v/>
      </c>
      <c r="C3748" t="str">
        <f>FORSIDE!$C$3</f>
        <v>S355, Stål / VFHUP 140x140x8.0</v>
      </c>
    </row>
    <row r="3749" spans="1:3" x14ac:dyDescent="0.3">
      <c r="A3749" t="str">
        <f>IF(AND(FORSIDE!$B$8&gt;=4,FORSIDE!$F$8&gt;=7,FORSIDE!$B$5&gt;=8),"S3748","")</f>
        <v/>
      </c>
      <c r="B3749" t="str">
        <f>IF(AND(FORSIDE!$B$8&gt;=4,FORSIDE!$F$8&gt;=7,FORSIDE!$B$5&gt;=8),"1659 -&gt; 1670","")</f>
        <v/>
      </c>
      <c r="C3749" t="str">
        <f>FORSIDE!$C$3</f>
        <v>S355, Stål / VFHUP 140x140x8.0</v>
      </c>
    </row>
    <row r="3750" spans="1:3" x14ac:dyDescent="0.3">
      <c r="A3750" t="str">
        <f>IF(AND(FORSIDE!$B$8&gt;=4,FORSIDE!$F$8&gt;=7,FORSIDE!$B$5&gt;=9),"S3749","")</f>
        <v/>
      </c>
      <c r="B3750" t="str">
        <f>IF(AND(FORSIDE!$B$8&gt;=4,FORSIDE!$F$8&gt;=7,FORSIDE!$B$5&gt;=9),"1660 -&gt; 1671","")</f>
        <v/>
      </c>
      <c r="C3750" t="str">
        <f>FORSIDE!$C$3</f>
        <v>S355, Stål / VFHUP 140x140x8.0</v>
      </c>
    </row>
    <row r="3751" spans="1:3" x14ac:dyDescent="0.3">
      <c r="A3751" t="str">
        <f>IF(AND(FORSIDE!$B$8&gt;=4,FORSIDE!$F$8&gt;=7,FORSIDE!$B$5&gt;=10),"S3750","")</f>
        <v/>
      </c>
      <c r="B3751" t="str">
        <f>IF(AND(FORSIDE!$B$8&gt;=4,FORSIDE!$F$8&gt;=7,FORSIDE!$B$5&gt;=10),"1661 -&gt; 1672","")</f>
        <v/>
      </c>
      <c r="C3751" t="str">
        <f>FORSIDE!$C$3</f>
        <v>S355, Stål / VFHUP 140x140x8.0</v>
      </c>
    </row>
    <row r="3752" spans="1:3" x14ac:dyDescent="0.3">
      <c r="A3752" t="str">
        <f>IF(AND(FORSIDE!$B$8&gt;=5,FORSIDE!$F$8&gt;=7,FORSIDE!$B$5&gt;=1),"S3751","")</f>
        <v/>
      </c>
      <c r="B3752" t="str">
        <f>IF(AND(FORSIDE!$B$8&gt;=5,FORSIDE!$F$8&gt;=7,FORSIDE!$B$5&gt;=1),"1663 -&gt; 1674","")</f>
        <v/>
      </c>
      <c r="C3752" t="str">
        <f>FORSIDE!$C$3</f>
        <v>S355, Stål / VFHUP 140x140x8.0</v>
      </c>
    </row>
    <row r="3753" spans="1:3" x14ac:dyDescent="0.3">
      <c r="A3753" t="str">
        <f>IF(AND(FORSIDE!$B$8&gt;=5,FORSIDE!$F$8&gt;=7,FORSIDE!$B$5&gt;=2),"S3752","")</f>
        <v/>
      </c>
      <c r="B3753" t="str">
        <f>IF(AND(FORSIDE!$B$8&gt;=5,FORSIDE!$F$8&gt;=7,FORSIDE!$B$5&gt;=2),"1664 -&gt; 1675","")</f>
        <v/>
      </c>
      <c r="C3753" t="str">
        <f>FORSIDE!$C$3</f>
        <v>S355, Stål / VFHUP 140x140x8.0</v>
      </c>
    </row>
    <row r="3754" spans="1:3" x14ac:dyDescent="0.3">
      <c r="A3754" t="str">
        <f>IF(AND(FORSIDE!$B$8&gt;=5,FORSIDE!$F$8&gt;=7,FORSIDE!$B$5&gt;=3),"S3753","")</f>
        <v/>
      </c>
      <c r="B3754" t="str">
        <f>IF(AND(FORSIDE!$B$8&gt;=5,FORSIDE!$F$8&gt;=7,FORSIDE!$B$5&gt;=3),"1665 -&gt; 1676","")</f>
        <v/>
      </c>
      <c r="C3754" t="str">
        <f>FORSIDE!$C$3</f>
        <v>S355, Stål / VFHUP 140x140x8.0</v>
      </c>
    </row>
    <row r="3755" spans="1:3" x14ac:dyDescent="0.3">
      <c r="A3755" t="str">
        <f>IF(AND(FORSIDE!$B$8&gt;=5,FORSIDE!$F$8&gt;=7,FORSIDE!$B$5&gt;=4),"S3754","")</f>
        <v/>
      </c>
      <c r="B3755" t="str">
        <f>IF(AND(FORSIDE!$B$8&gt;=5,FORSIDE!$F$8&gt;=7,FORSIDE!$B$5&gt;=4),"1666 -&gt; 1677","")</f>
        <v/>
      </c>
      <c r="C3755" t="str">
        <f>FORSIDE!$C$3</f>
        <v>S355, Stål / VFHUP 140x140x8.0</v>
      </c>
    </row>
    <row r="3756" spans="1:3" x14ac:dyDescent="0.3">
      <c r="A3756" t="str">
        <f>IF(AND(FORSIDE!$B$8&gt;=5,FORSIDE!$F$8&gt;=7,FORSIDE!$B$5&gt;=5),"S3755","")</f>
        <v/>
      </c>
      <c r="B3756" t="str">
        <f>IF(AND(FORSIDE!$B$8&gt;=5,FORSIDE!$F$8&gt;=7,FORSIDE!$B$5&gt;=5),"1667 -&gt; 1678","")</f>
        <v/>
      </c>
      <c r="C3756" t="str">
        <f>FORSIDE!$C$3</f>
        <v>S355, Stål / VFHUP 140x140x8.0</v>
      </c>
    </row>
    <row r="3757" spans="1:3" x14ac:dyDescent="0.3">
      <c r="A3757" t="str">
        <f>IF(AND(FORSIDE!$B$8&gt;=5,FORSIDE!$F$8&gt;=7,FORSIDE!$B$5&gt;=6),"S3756","")</f>
        <v/>
      </c>
      <c r="B3757" t="str">
        <f>IF(AND(FORSIDE!$B$8&gt;=5,FORSIDE!$F$8&gt;=7,FORSIDE!$B$5&gt;=6),"1668 -&gt; 1679","")</f>
        <v/>
      </c>
      <c r="C3757" t="str">
        <f>FORSIDE!$C$3</f>
        <v>S355, Stål / VFHUP 140x140x8.0</v>
      </c>
    </row>
    <row r="3758" spans="1:3" x14ac:dyDescent="0.3">
      <c r="A3758" t="str">
        <f>IF(AND(FORSIDE!$B$8&gt;=5,FORSIDE!$F$8&gt;=7,FORSIDE!$B$5&gt;=7),"S3757","")</f>
        <v/>
      </c>
      <c r="B3758" t="str">
        <f>IF(AND(FORSIDE!$B$8&gt;=5,FORSIDE!$F$8&gt;=7,FORSIDE!$B$5&gt;=7),"1669 -&gt; 1680","")</f>
        <v/>
      </c>
      <c r="C3758" t="str">
        <f>FORSIDE!$C$3</f>
        <v>S355, Stål / VFHUP 140x140x8.0</v>
      </c>
    </row>
    <row r="3759" spans="1:3" x14ac:dyDescent="0.3">
      <c r="A3759" t="str">
        <f>IF(AND(FORSIDE!$B$8&gt;=5,FORSIDE!$F$8&gt;=7,FORSIDE!$B$5&gt;=8),"S3758","")</f>
        <v/>
      </c>
      <c r="B3759" t="str">
        <f>IF(AND(FORSIDE!$B$8&gt;=5,FORSIDE!$F$8&gt;=7,FORSIDE!$B$5&gt;=8),"1670 -&gt; 1681","")</f>
        <v/>
      </c>
      <c r="C3759" t="str">
        <f>FORSIDE!$C$3</f>
        <v>S355, Stål / VFHUP 140x140x8.0</v>
      </c>
    </row>
    <row r="3760" spans="1:3" x14ac:dyDescent="0.3">
      <c r="A3760" t="str">
        <f>IF(AND(FORSIDE!$B$8&gt;=5,FORSIDE!$F$8&gt;=7,FORSIDE!$B$5&gt;=9),"S3759","")</f>
        <v/>
      </c>
      <c r="B3760" t="str">
        <f>IF(AND(FORSIDE!$B$8&gt;=5,FORSIDE!$F$8&gt;=7,FORSIDE!$B$5&gt;=9),"1671 -&gt; 1682","")</f>
        <v/>
      </c>
      <c r="C3760" t="str">
        <f>FORSIDE!$C$3</f>
        <v>S355, Stål / VFHUP 140x140x8.0</v>
      </c>
    </row>
    <row r="3761" spans="1:3" x14ac:dyDescent="0.3">
      <c r="A3761" t="str">
        <f>IF(AND(FORSIDE!$B$8&gt;=5,FORSIDE!$F$8&gt;=7,FORSIDE!$B$5&gt;=10),"S3760","")</f>
        <v/>
      </c>
      <c r="B3761" t="str">
        <f>IF(AND(FORSIDE!$B$8&gt;=5,FORSIDE!$F$8&gt;=7,FORSIDE!$B$5&gt;=10),"1672 -&gt; 1683","")</f>
        <v/>
      </c>
      <c r="C3761" t="str">
        <f>FORSIDE!$C$3</f>
        <v>S355, Stål / VFHUP 140x140x8.0</v>
      </c>
    </row>
    <row r="3762" spans="1:3" x14ac:dyDescent="0.3">
      <c r="A3762" t="str">
        <f>IF(AND(FORSIDE!$B$8&gt;=6,FORSIDE!$F$8&gt;=7,FORSIDE!$B$5&gt;=1),"S3761","")</f>
        <v/>
      </c>
      <c r="B3762" t="str">
        <f>IF(AND(FORSIDE!$B$8&gt;=6,FORSIDE!$F$8&gt;=7,FORSIDE!$B$5&gt;=1),"1674 -&gt; 1685","")</f>
        <v/>
      </c>
      <c r="C3762" t="str">
        <f>FORSIDE!$C$3</f>
        <v>S355, Stål / VFHUP 140x140x8.0</v>
      </c>
    </row>
    <row r="3763" spans="1:3" x14ac:dyDescent="0.3">
      <c r="A3763" t="str">
        <f>IF(AND(FORSIDE!$B$8&gt;=6,FORSIDE!$F$8&gt;=7,FORSIDE!$B$5&gt;=2),"S3762","")</f>
        <v/>
      </c>
      <c r="B3763" t="str">
        <f>IF(AND(FORSIDE!$B$8&gt;=6,FORSIDE!$F$8&gt;=7,FORSIDE!$B$5&gt;=2),"1675 -&gt; 1686","")</f>
        <v/>
      </c>
      <c r="C3763" t="str">
        <f>FORSIDE!$C$3</f>
        <v>S355, Stål / VFHUP 140x140x8.0</v>
      </c>
    </row>
    <row r="3764" spans="1:3" x14ac:dyDescent="0.3">
      <c r="A3764" t="str">
        <f>IF(AND(FORSIDE!$B$8&gt;=6,FORSIDE!$F$8&gt;=7,FORSIDE!$B$5&gt;=3),"S3763","")</f>
        <v/>
      </c>
      <c r="B3764" t="str">
        <f>IF(AND(FORSIDE!$B$8&gt;=6,FORSIDE!$F$8&gt;=7,FORSIDE!$B$5&gt;=3),"1676 -&gt; 1687","")</f>
        <v/>
      </c>
      <c r="C3764" t="str">
        <f>FORSIDE!$C$3</f>
        <v>S355, Stål / VFHUP 140x140x8.0</v>
      </c>
    </row>
    <row r="3765" spans="1:3" x14ac:dyDescent="0.3">
      <c r="A3765" t="str">
        <f>IF(AND(FORSIDE!$B$8&gt;=6,FORSIDE!$F$8&gt;=7,FORSIDE!$B$5&gt;=4),"S3764","")</f>
        <v/>
      </c>
      <c r="B3765" t="str">
        <f>IF(AND(FORSIDE!$B$8&gt;=6,FORSIDE!$F$8&gt;=7,FORSIDE!$B$5&gt;=4),"1677 -&gt; 1688","")</f>
        <v/>
      </c>
      <c r="C3765" t="str">
        <f>FORSIDE!$C$3</f>
        <v>S355, Stål / VFHUP 140x140x8.0</v>
      </c>
    </row>
    <row r="3766" spans="1:3" x14ac:dyDescent="0.3">
      <c r="A3766" t="str">
        <f>IF(AND(FORSIDE!$B$8&gt;=6,FORSIDE!$F$8&gt;=7,FORSIDE!$B$5&gt;=5),"S3765","")</f>
        <v/>
      </c>
      <c r="B3766" t="str">
        <f>IF(AND(FORSIDE!$B$8&gt;=6,FORSIDE!$F$8&gt;=7,FORSIDE!$B$5&gt;=5),"1678 -&gt; 1689","")</f>
        <v/>
      </c>
      <c r="C3766" t="str">
        <f>FORSIDE!$C$3</f>
        <v>S355, Stål / VFHUP 140x140x8.0</v>
      </c>
    </row>
    <row r="3767" spans="1:3" x14ac:dyDescent="0.3">
      <c r="A3767" t="str">
        <f>IF(AND(FORSIDE!$B$8&gt;=6,FORSIDE!$F$8&gt;=7,FORSIDE!$B$5&gt;=6),"S3766","")</f>
        <v/>
      </c>
      <c r="B3767" t="str">
        <f>IF(AND(FORSIDE!$B$8&gt;=6,FORSIDE!$F$8&gt;=7,FORSIDE!$B$5&gt;=6),"1679 -&gt; 1690","")</f>
        <v/>
      </c>
      <c r="C3767" t="str">
        <f>FORSIDE!$C$3</f>
        <v>S355, Stål / VFHUP 140x140x8.0</v>
      </c>
    </row>
    <row r="3768" spans="1:3" x14ac:dyDescent="0.3">
      <c r="A3768" t="str">
        <f>IF(AND(FORSIDE!$B$8&gt;=6,FORSIDE!$F$8&gt;=7,FORSIDE!$B$5&gt;=7),"S3767","")</f>
        <v/>
      </c>
      <c r="B3768" t="str">
        <f>IF(AND(FORSIDE!$B$8&gt;=6,FORSIDE!$F$8&gt;=7,FORSIDE!$B$5&gt;=7),"1680 -&gt; 1691","")</f>
        <v/>
      </c>
      <c r="C3768" t="str">
        <f>FORSIDE!$C$3</f>
        <v>S355, Stål / VFHUP 140x140x8.0</v>
      </c>
    </row>
    <row r="3769" spans="1:3" x14ac:dyDescent="0.3">
      <c r="A3769" t="str">
        <f>IF(AND(FORSIDE!$B$8&gt;=6,FORSIDE!$F$8&gt;=7,FORSIDE!$B$5&gt;=8),"S3768","")</f>
        <v/>
      </c>
      <c r="B3769" t="str">
        <f>IF(AND(FORSIDE!$B$8&gt;=6,FORSIDE!$F$8&gt;=7,FORSIDE!$B$5&gt;=8),"1681 -&gt; 1692","")</f>
        <v/>
      </c>
      <c r="C3769" t="str">
        <f>FORSIDE!$C$3</f>
        <v>S355, Stål / VFHUP 140x140x8.0</v>
      </c>
    </row>
    <row r="3770" spans="1:3" x14ac:dyDescent="0.3">
      <c r="A3770" t="str">
        <f>IF(AND(FORSIDE!$B$8&gt;=6,FORSIDE!$F$8&gt;=7,FORSIDE!$B$5&gt;=9),"S3769","")</f>
        <v/>
      </c>
      <c r="B3770" t="str">
        <f>IF(AND(FORSIDE!$B$8&gt;=6,FORSIDE!$F$8&gt;=7,FORSIDE!$B$5&gt;=9),"1682 -&gt; 1693","")</f>
        <v/>
      </c>
      <c r="C3770" t="str">
        <f>FORSIDE!$C$3</f>
        <v>S355, Stål / VFHUP 140x140x8.0</v>
      </c>
    </row>
    <row r="3771" spans="1:3" x14ac:dyDescent="0.3">
      <c r="A3771" t="str">
        <f>IF(AND(FORSIDE!$B$8&gt;=6,FORSIDE!$F$8&gt;=7,FORSIDE!$B$5&gt;=10),"S3770","")</f>
        <v/>
      </c>
      <c r="B3771" t="str">
        <f>IF(AND(FORSIDE!$B$8&gt;=6,FORSIDE!$F$8&gt;=7,FORSIDE!$B$5&gt;=10),"1683 -&gt; 1694","")</f>
        <v/>
      </c>
      <c r="C3771" t="str">
        <f>FORSIDE!$C$3</f>
        <v>S355, Stål / VFHUP 140x140x8.0</v>
      </c>
    </row>
    <row r="3772" spans="1:3" x14ac:dyDescent="0.3">
      <c r="A3772" t="str">
        <f>IF(AND(FORSIDE!$B$8&gt;=7,FORSIDE!$F$8&gt;=7,FORSIDE!$B$5&gt;=1),"S3771","")</f>
        <v/>
      </c>
      <c r="B3772" t="str">
        <f>IF(AND(FORSIDE!$B$8&gt;=7,FORSIDE!$F$8&gt;=7,FORSIDE!$B$5&gt;=1),"1685 -&gt; 1696","")</f>
        <v/>
      </c>
      <c r="C3772" t="str">
        <f>FORSIDE!$C$3</f>
        <v>S355, Stål / VFHUP 140x140x8.0</v>
      </c>
    </row>
    <row r="3773" spans="1:3" x14ac:dyDescent="0.3">
      <c r="A3773" t="str">
        <f>IF(AND(FORSIDE!$B$8&gt;=7,FORSIDE!$F$8&gt;=7,FORSIDE!$B$5&gt;=2),"S3772","")</f>
        <v/>
      </c>
      <c r="B3773" t="str">
        <f>IF(AND(FORSIDE!$B$8&gt;=7,FORSIDE!$F$8&gt;=7,FORSIDE!$B$5&gt;=2),"1686 -&gt; 1697","")</f>
        <v/>
      </c>
      <c r="C3773" t="str">
        <f>FORSIDE!$C$3</f>
        <v>S355, Stål / VFHUP 140x140x8.0</v>
      </c>
    </row>
    <row r="3774" spans="1:3" x14ac:dyDescent="0.3">
      <c r="A3774" t="str">
        <f>IF(AND(FORSIDE!$B$8&gt;=7,FORSIDE!$F$8&gt;=7,FORSIDE!$B$5&gt;=3),"S3773","")</f>
        <v/>
      </c>
      <c r="B3774" t="str">
        <f>IF(AND(FORSIDE!$B$8&gt;=7,FORSIDE!$F$8&gt;=7,FORSIDE!$B$5&gt;=3),"1687 -&gt; 1698","")</f>
        <v/>
      </c>
      <c r="C3774" t="str">
        <f>FORSIDE!$C$3</f>
        <v>S355, Stål / VFHUP 140x140x8.0</v>
      </c>
    </row>
    <row r="3775" spans="1:3" x14ac:dyDescent="0.3">
      <c r="A3775" t="str">
        <f>IF(AND(FORSIDE!$B$8&gt;=7,FORSIDE!$F$8&gt;=7,FORSIDE!$B$5&gt;=4),"S3774","")</f>
        <v/>
      </c>
      <c r="B3775" t="str">
        <f>IF(AND(FORSIDE!$B$8&gt;=7,FORSIDE!$F$8&gt;=7,FORSIDE!$B$5&gt;=4),"1688 -&gt; 1699","")</f>
        <v/>
      </c>
      <c r="C3775" t="str">
        <f>FORSIDE!$C$3</f>
        <v>S355, Stål / VFHUP 140x140x8.0</v>
      </c>
    </row>
    <row r="3776" spans="1:3" x14ac:dyDescent="0.3">
      <c r="A3776" t="str">
        <f>IF(AND(FORSIDE!$B$8&gt;=7,FORSIDE!$F$8&gt;=7,FORSIDE!$B$5&gt;=5),"S3775","")</f>
        <v/>
      </c>
      <c r="B3776" t="str">
        <f>IF(AND(FORSIDE!$B$8&gt;=7,FORSIDE!$F$8&gt;=7,FORSIDE!$B$5&gt;=5),"1689 -&gt; 1700","")</f>
        <v/>
      </c>
      <c r="C3776" t="str">
        <f>FORSIDE!$C$3</f>
        <v>S355, Stål / VFHUP 140x140x8.0</v>
      </c>
    </row>
    <row r="3777" spans="1:3" x14ac:dyDescent="0.3">
      <c r="A3777" t="str">
        <f>IF(AND(FORSIDE!$B$8&gt;=7,FORSIDE!$F$8&gt;=7,FORSIDE!$B$5&gt;=6),"S3776","")</f>
        <v/>
      </c>
      <c r="B3777" t="str">
        <f>IF(AND(FORSIDE!$B$8&gt;=7,FORSIDE!$F$8&gt;=7,FORSIDE!$B$5&gt;=6),"1690 -&gt; 1701","")</f>
        <v/>
      </c>
      <c r="C3777" t="str">
        <f>FORSIDE!$C$3</f>
        <v>S355, Stål / VFHUP 140x140x8.0</v>
      </c>
    </row>
    <row r="3778" spans="1:3" x14ac:dyDescent="0.3">
      <c r="A3778" t="str">
        <f>IF(AND(FORSIDE!$B$8&gt;=7,FORSIDE!$F$8&gt;=7,FORSIDE!$B$5&gt;=7),"S3777","")</f>
        <v/>
      </c>
      <c r="B3778" t="str">
        <f>IF(AND(FORSIDE!$B$8&gt;=7,FORSIDE!$F$8&gt;=7,FORSIDE!$B$5&gt;=7),"1691 -&gt; 1702","")</f>
        <v/>
      </c>
      <c r="C3778" t="str">
        <f>FORSIDE!$C$3</f>
        <v>S355, Stål / VFHUP 140x140x8.0</v>
      </c>
    </row>
    <row r="3779" spans="1:3" x14ac:dyDescent="0.3">
      <c r="A3779" t="str">
        <f>IF(AND(FORSIDE!$B$8&gt;=7,FORSIDE!$F$8&gt;=7,FORSIDE!$B$5&gt;=8),"S3778","")</f>
        <v/>
      </c>
      <c r="B3779" t="str">
        <f>IF(AND(FORSIDE!$B$8&gt;=7,FORSIDE!$F$8&gt;=7,FORSIDE!$B$5&gt;=8),"1692 -&gt; 1703","")</f>
        <v/>
      </c>
      <c r="C3779" t="str">
        <f>FORSIDE!$C$3</f>
        <v>S355, Stål / VFHUP 140x140x8.0</v>
      </c>
    </row>
    <row r="3780" spans="1:3" x14ac:dyDescent="0.3">
      <c r="A3780" t="str">
        <f>IF(AND(FORSIDE!$B$8&gt;=7,FORSIDE!$F$8&gt;=7,FORSIDE!$B$5&gt;=9),"S3779","")</f>
        <v/>
      </c>
      <c r="B3780" t="str">
        <f>IF(AND(FORSIDE!$B$8&gt;=7,FORSIDE!$F$8&gt;=7,FORSIDE!$B$5&gt;=9),"1693 -&gt; 1704","")</f>
        <v/>
      </c>
      <c r="C3780" t="str">
        <f>FORSIDE!$C$3</f>
        <v>S355, Stål / VFHUP 140x140x8.0</v>
      </c>
    </row>
    <row r="3781" spans="1:3" x14ac:dyDescent="0.3">
      <c r="A3781" t="str">
        <f>IF(AND(FORSIDE!$B$8&gt;=7,FORSIDE!$F$8&gt;=7,FORSIDE!$B$5&gt;=10),"S3780","")</f>
        <v/>
      </c>
      <c r="B3781" t="str">
        <f>IF(AND(FORSIDE!$B$8&gt;=7,FORSIDE!$F$8&gt;=7,FORSIDE!$B$5&gt;=10),"1694 -&gt; 1705","")</f>
        <v/>
      </c>
      <c r="C3781" t="str">
        <f>FORSIDE!$C$3</f>
        <v>S355, Stål / VFHUP 140x140x8.0</v>
      </c>
    </row>
    <row r="3782" spans="1:3" x14ac:dyDescent="0.3">
      <c r="A3782" t="str">
        <f>IF(AND(FORSIDE!$B$8&gt;=8,FORSIDE!$F$8&gt;=7,FORSIDE!$B$5&gt;=1),"S3781","")</f>
        <v/>
      </c>
      <c r="B3782" t="str">
        <f>IF(AND(FORSIDE!$B$8&gt;=8,FORSIDE!$F$8&gt;=7,FORSIDE!$B$5&gt;=1),"1696 -&gt; 1707","")</f>
        <v/>
      </c>
      <c r="C3782" t="str">
        <f>FORSIDE!$C$3</f>
        <v>S355, Stål / VFHUP 140x140x8.0</v>
      </c>
    </row>
    <row r="3783" spans="1:3" x14ac:dyDescent="0.3">
      <c r="A3783" t="str">
        <f>IF(AND(FORSIDE!$B$8&gt;=8,FORSIDE!$F$8&gt;=7,FORSIDE!$B$5&gt;=2),"S3782","")</f>
        <v/>
      </c>
      <c r="B3783" t="str">
        <f>IF(AND(FORSIDE!$B$8&gt;=8,FORSIDE!$F$8&gt;=7,FORSIDE!$B$5&gt;=2),"1697 -&gt; 1708","")</f>
        <v/>
      </c>
      <c r="C3783" t="str">
        <f>FORSIDE!$C$3</f>
        <v>S355, Stål / VFHUP 140x140x8.0</v>
      </c>
    </row>
    <row r="3784" spans="1:3" x14ac:dyDescent="0.3">
      <c r="A3784" t="str">
        <f>IF(AND(FORSIDE!$B$8&gt;=8,FORSIDE!$F$8&gt;=7,FORSIDE!$B$5&gt;=3),"S3783","")</f>
        <v/>
      </c>
      <c r="B3784" t="str">
        <f>IF(AND(FORSIDE!$B$8&gt;=8,FORSIDE!$F$8&gt;=7,FORSIDE!$B$5&gt;=3),"1698 -&gt; 1709","")</f>
        <v/>
      </c>
      <c r="C3784" t="str">
        <f>FORSIDE!$C$3</f>
        <v>S355, Stål / VFHUP 140x140x8.0</v>
      </c>
    </row>
    <row r="3785" spans="1:3" x14ac:dyDescent="0.3">
      <c r="A3785" t="str">
        <f>IF(AND(FORSIDE!$B$8&gt;=8,FORSIDE!$F$8&gt;=7,FORSIDE!$B$5&gt;=4),"S3784","")</f>
        <v/>
      </c>
      <c r="B3785" t="str">
        <f>IF(AND(FORSIDE!$B$8&gt;=8,FORSIDE!$F$8&gt;=7,FORSIDE!$B$5&gt;=4),"1699 -&gt; 1710","")</f>
        <v/>
      </c>
      <c r="C3785" t="str">
        <f>FORSIDE!$C$3</f>
        <v>S355, Stål / VFHUP 140x140x8.0</v>
      </c>
    </row>
    <row r="3786" spans="1:3" x14ac:dyDescent="0.3">
      <c r="A3786" t="str">
        <f>IF(AND(FORSIDE!$B$8&gt;=8,FORSIDE!$F$8&gt;=7,FORSIDE!$B$5&gt;=5),"S3785","")</f>
        <v/>
      </c>
      <c r="B3786" t="str">
        <f>IF(AND(FORSIDE!$B$8&gt;=8,FORSIDE!$F$8&gt;=7,FORSIDE!$B$5&gt;=5),"1700 -&gt; 1711","")</f>
        <v/>
      </c>
      <c r="C3786" t="str">
        <f>FORSIDE!$C$3</f>
        <v>S355, Stål / VFHUP 140x140x8.0</v>
      </c>
    </row>
    <row r="3787" spans="1:3" x14ac:dyDescent="0.3">
      <c r="A3787" t="str">
        <f>IF(AND(FORSIDE!$B$8&gt;=8,FORSIDE!$F$8&gt;=7,FORSIDE!$B$5&gt;=6),"S3786","")</f>
        <v/>
      </c>
      <c r="B3787" t="str">
        <f>IF(AND(FORSIDE!$B$8&gt;=8,FORSIDE!$F$8&gt;=7,FORSIDE!$B$5&gt;=6),"1701 -&gt; 1712","")</f>
        <v/>
      </c>
      <c r="C3787" t="str">
        <f>FORSIDE!$C$3</f>
        <v>S355, Stål / VFHUP 140x140x8.0</v>
      </c>
    </row>
    <row r="3788" spans="1:3" x14ac:dyDescent="0.3">
      <c r="A3788" t="str">
        <f>IF(AND(FORSIDE!$B$8&gt;=8,FORSIDE!$F$8&gt;=7,FORSIDE!$B$5&gt;=7),"S3787","")</f>
        <v/>
      </c>
      <c r="B3788" t="str">
        <f>IF(AND(FORSIDE!$B$8&gt;=8,FORSIDE!$F$8&gt;=7,FORSIDE!$B$5&gt;=7),"1702 -&gt; 1713","")</f>
        <v/>
      </c>
      <c r="C3788" t="str">
        <f>FORSIDE!$C$3</f>
        <v>S355, Stål / VFHUP 140x140x8.0</v>
      </c>
    </row>
    <row r="3789" spans="1:3" x14ac:dyDescent="0.3">
      <c r="A3789" t="str">
        <f>IF(AND(FORSIDE!$B$8&gt;=8,FORSIDE!$F$8&gt;=7,FORSIDE!$B$5&gt;=8),"S3788","")</f>
        <v/>
      </c>
      <c r="B3789" t="str">
        <f>IF(AND(FORSIDE!$B$8&gt;=8,FORSIDE!$F$8&gt;=7,FORSIDE!$B$5&gt;=8),"1703 -&gt; 1714","")</f>
        <v/>
      </c>
      <c r="C3789" t="str">
        <f>FORSIDE!$C$3</f>
        <v>S355, Stål / VFHUP 140x140x8.0</v>
      </c>
    </row>
    <row r="3790" spans="1:3" x14ac:dyDescent="0.3">
      <c r="A3790" t="str">
        <f>IF(AND(FORSIDE!$B$8&gt;=8,FORSIDE!$F$8&gt;=7,FORSIDE!$B$5&gt;=9),"S3789","")</f>
        <v/>
      </c>
      <c r="B3790" t="str">
        <f>IF(AND(FORSIDE!$B$8&gt;=8,FORSIDE!$F$8&gt;=7,FORSIDE!$B$5&gt;=9),"1704 -&gt; 1715","")</f>
        <v/>
      </c>
      <c r="C3790" t="str">
        <f>FORSIDE!$C$3</f>
        <v>S355, Stål / VFHUP 140x140x8.0</v>
      </c>
    </row>
    <row r="3791" spans="1:3" x14ac:dyDescent="0.3">
      <c r="A3791" t="str">
        <f>IF(AND(FORSIDE!$B$8&gt;=8,FORSIDE!$F$8&gt;=7,FORSIDE!$B$5&gt;=10),"S3790","")</f>
        <v/>
      </c>
      <c r="B3791" t="str">
        <f>IF(AND(FORSIDE!$B$8&gt;=8,FORSIDE!$F$8&gt;=7,FORSIDE!$B$5&gt;=10),"1705 -&gt; 1716","")</f>
        <v/>
      </c>
      <c r="C3791" t="str">
        <f>FORSIDE!$C$3</f>
        <v>S355, Stål / VFHUP 140x140x8.0</v>
      </c>
    </row>
    <row r="3792" spans="1:3" x14ac:dyDescent="0.3">
      <c r="A3792" t="str">
        <f>IF(AND(FORSIDE!$B$8&gt;=9,FORSIDE!$F$8&gt;=7,FORSIDE!$B$5&gt;=1),"S3791","")</f>
        <v/>
      </c>
      <c r="B3792" t="str">
        <f>IF(AND(FORSIDE!$B$8&gt;=9,FORSIDE!$F$8&gt;=7,FORSIDE!$B$5&gt;=1),"1707 -&gt; 1718","")</f>
        <v/>
      </c>
      <c r="C3792" t="str">
        <f>FORSIDE!$C$3</f>
        <v>S355, Stål / VFHUP 140x140x8.0</v>
      </c>
    </row>
    <row r="3793" spans="1:3" x14ac:dyDescent="0.3">
      <c r="A3793" t="str">
        <f>IF(AND(FORSIDE!$B$8&gt;=9,FORSIDE!$F$8&gt;=7,FORSIDE!$B$5&gt;=2),"S3792","")</f>
        <v/>
      </c>
      <c r="B3793" t="str">
        <f>IF(AND(FORSIDE!$B$8&gt;=9,FORSIDE!$F$8&gt;=7,FORSIDE!$B$5&gt;=2),"1708 -&gt; 1719","")</f>
        <v/>
      </c>
      <c r="C3793" t="str">
        <f>FORSIDE!$C$3</f>
        <v>S355, Stål / VFHUP 140x140x8.0</v>
      </c>
    </row>
    <row r="3794" spans="1:3" x14ac:dyDescent="0.3">
      <c r="A3794" t="str">
        <f>IF(AND(FORSIDE!$B$8&gt;=9,FORSIDE!$F$8&gt;=7,FORSIDE!$B$5&gt;=3),"S3793","")</f>
        <v/>
      </c>
      <c r="B3794" t="str">
        <f>IF(AND(FORSIDE!$B$8&gt;=9,FORSIDE!$F$8&gt;=7,FORSIDE!$B$5&gt;=3),"1709 -&gt; 1720","")</f>
        <v/>
      </c>
      <c r="C3794" t="str">
        <f>FORSIDE!$C$3</f>
        <v>S355, Stål / VFHUP 140x140x8.0</v>
      </c>
    </row>
    <row r="3795" spans="1:3" x14ac:dyDescent="0.3">
      <c r="A3795" t="str">
        <f>IF(AND(FORSIDE!$B$8&gt;=9,FORSIDE!$F$8&gt;=7,FORSIDE!$B$5&gt;=4),"S3794","")</f>
        <v/>
      </c>
      <c r="B3795" t="str">
        <f>IF(AND(FORSIDE!$B$8&gt;=9,FORSIDE!$F$8&gt;=7,FORSIDE!$B$5&gt;=4),"1710 -&gt; 1721","")</f>
        <v/>
      </c>
      <c r="C3795" t="str">
        <f>FORSIDE!$C$3</f>
        <v>S355, Stål / VFHUP 140x140x8.0</v>
      </c>
    </row>
    <row r="3796" spans="1:3" x14ac:dyDescent="0.3">
      <c r="A3796" t="str">
        <f>IF(AND(FORSIDE!$B$8&gt;=9,FORSIDE!$F$8&gt;=7,FORSIDE!$B$5&gt;=5),"S3795","")</f>
        <v/>
      </c>
      <c r="B3796" t="str">
        <f>IF(AND(FORSIDE!$B$8&gt;=9,FORSIDE!$F$8&gt;=7,FORSIDE!$B$5&gt;=5),"1711 -&gt; 1722","")</f>
        <v/>
      </c>
      <c r="C3796" t="str">
        <f>FORSIDE!$C$3</f>
        <v>S355, Stål / VFHUP 140x140x8.0</v>
      </c>
    </row>
    <row r="3797" spans="1:3" x14ac:dyDescent="0.3">
      <c r="A3797" t="str">
        <f>IF(AND(FORSIDE!$B$8&gt;=9,FORSIDE!$F$8&gt;=7,FORSIDE!$B$5&gt;=6),"S3796","")</f>
        <v/>
      </c>
      <c r="B3797" t="str">
        <f>IF(AND(FORSIDE!$B$8&gt;=9,FORSIDE!$F$8&gt;=7,FORSIDE!$B$5&gt;=6),"1712 -&gt; 1723","")</f>
        <v/>
      </c>
      <c r="C3797" t="str">
        <f>FORSIDE!$C$3</f>
        <v>S355, Stål / VFHUP 140x140x8.0</v>
      </c>
    </row>
    <row r="3798" spans="1:3" x14ac:dyDescent="0.3">
      <c r="A3798" t="str">
        <f>IF(AND(FORSIDE!$B$8&gt;=9,FORSIDE!$F$8&gt;=7,FORSIDE!$B$5&gt;=7),"S3797","")</f>
        <v/>
      </c>
      <c r="B3798" t="str">
        <f>IF(AND(FORSIDE!$B$8&gt;=9,FORSIDE!$F$8&gt;=7,FORSIDE!$B$5&gt;=7),"1713 -&gt; 1724","")</f>
        <v/>
      </c>
      <c r="C3798" t="str">
        <f>FORSIDE!$C$3</f>
        <v>S355, Stål / VFHUP 140x140x8.0</v>
      </c>
    </row>
    <row r="3799" spans="1:3" x14ac:dyDescent="0.3">
      <c r="A3799" t="str">
        <f>IF(AND(FORSIDE!$B$8&gt;=9,FORSIDE!$F$8&gt;=7,FORSIDE!$B$5&gt;=8),"S3798","")</f>
        <v/>
      </c>
      <c r="B3799" t="str">
        <f>IF(AND(FORSIDE!$B$8&gt;=9,FORSIDE!$F$8&gt;=7,FORSIDE!$B$5&gt;=8),"1714 -&gt; 1725","")</f>
        <v/>
      </c>
      <c r="C3799" t="str">
        <f>FORSIDE!$C$3</f>
        <v>S355, Stål / VFHUP 140x140x8.0</v>
      </c>
    </row>
    <row r="3800" spans="1:3" x14ac:dyDescent="0.3">
      <c r="A3800" t="str">
        <f>IF(AND(FORSIDE!$B$8&gt;=9,FORSIDE!$F$8&gt;=7,FORSIDE!$B$5&gt;=9),"S3799","")</f>
        <v/>
      </c>
      <c r="B3800" t="str">
        <f>IF(AND(FORSIDE!$B$8&gt;=9,FORSIDE!$F$8&gt;=7,FORSIDE!$B$5&gt;=9),"1715 -&gt; 1726","")</f>
        <v/>
      </c>
      <c r="C3800" t="str">
        <f>FORSIDE!$C$3</f>
        <v>S355, Stål / VFHUP 140x140x8.0</v>
      </c>
    </row>
    <row r="3801" spans="1:3" x14ac:dyDescent="0.3">
      <c r="A3801" t="str">
        <f>IF(AND(FORSIDE!$B$8&gt;=9,FORSIDE!$F$8&gt;=7,FORSIDE!$B$5&gt;=10),"S3800","")</f>
        <v/>
      </c>
      <c r="B3801" t="str">
        <f>IF(AND(FORSIDE!$B$8&gt;=9,FORSIDE!$F$8&gt;=7,FORSIDE!$B$5&gt;=10),"1716 -&gt; 1727","")</f>
        <v/>
      </c>
      <c r="C3801" t="str">
        <f>FORSIDE!$C$3</f>
        <v>S355, Stål / VFHUP 140x140x8.0</v>
      </c>
    </row>
    <row r="3802" spans="1:3" x14ac:dyDescent="0.3">
      <c r="A3802" t="str">
        <f>IF(AND(FORSIDE!$B$8&gt;=10,FORSIDE!$F$8&gt;=7,FORSIDE!$B$5&gt;=1),"S3801","")</f>
        <v/>
      </c>
      <c r="B3802" t="str">
        <f>IF(AND(FORSIDE!$B$8&gt;=10,FORSIDE!$F$8&gt;=7,FORSIDE!$B$5&gt;=1),"1718 -&gt; 1729","")</f>
        <v/>
      </c>
      <c r="C3802" t="str">
        <f>FORSIDE!$C$3</f>
        <v>S355, Stål / VFHUP 140x140x8.0</v>
      </c>
    </row>
    <row r="3803" spans="1:3" x14ac:dyDescent="0.3">
      <c r="A3803" t="str">
        <f>IF(AND(FORSIDE!$B$8&gt;=10,FORSIDE!$F$8&gt;=7,FORSIDE!$B$5&gt;=2),"S3802","")</f>
        <v/>
      </c>
      <c r="B3803" t="str">
        <f>IF(AND(FORSIDE!$B$8&gt;=10,FORSIDE!$F$8&gt;=7,FORSIDE!$B$5&gt;=2),"1719 -&gt; 1730","")</f>
        <v/>
      </c>
      <c r="C3803" t="str">
        <f>FORSIDE!$C$3</f>
        <v>S355, Stål / VFHUP 140x140x8.0</v>
      </c>
    </row>
    <row r="3804" spans="1:3" x14ac:dyDescent="0.3">
      <c r="A3804" t="str">
        <f>IF(AND(FORSIDE!$B$8&gt;=10,FORSIDE!$F$8&gt;=7,FORSIDE!$B$5&gt;=3),"S3803","")</f>
        <v/>
      </c>
      <c r="B3804" t="str">
        <f>IF(AND(FORSIDE!$B$8&gt;=10,FORSIDE!$F$8&gt;=7,FORSIDE!$B$5&gt;=3),"1720 -&gt; 1731","")</f>
        <v/>
      </c>
      <c r="C3804" t="str">
        <f>FORSIDE!$C$3</f>
        <v>S355, Stål / VFHUP 140x140x8.0</v>
      </c>
    </row>
    <row r="3805" spans="1:3" x14ac:dyDescent="0.3">
      <c r="A3805" t="str">
        <f>IF(AND(FORSIDE!$B$8&gt;=10,FORSIDE!$F$8&gt;=7,FORSIDE!$B$5&gt;=4),"S3804","")</f>
        <v/>
      </c>
      <c r="B3805" t="str">
        <f>IF(AND(FORSIDE!$B$8&gt;=10,FORSIDE!$F$8&gt;=7,FORSIDE!$B$5&gt;=4),"1721 -&gt; 1732","")</f>
        <v/>
      </c>
      <c r="C3805" t="str">
        <f>FORSIDE!$C$3</f>
        <v>S355, Stål / VFHUP 140x140x8.0</v>
      </c>
    </row>
    <row r="3806" spans="1:3" x14ac:dyDescent="0.3">
      <c r="A3806" t="str">
        <f>IF(AND(FORSIDE!$B$8&gt;=10,FORSIDE!$F$8&gt;=7,FORSIDE!$B$5&gt;=5),"S3805","")</f>
        <v/>
      </c>
      <c r="B3806" t="str">
        <f>IF(AND(FORSIDE!$B$8&gt;=10,FORSIDE!$F$8&gt;=7,FORSIDE!$B$5&gt;=5),"1722 -&gt; 1733","")</f>
        <v/>
      </c>
      <c r="C3806" t="str">
        <f>FORSIDE!$C$3</f>
        <v>S355, Stål / VFHUP 140x140x8.0</v>
      </c>
    </row>
    <row r="3807" spans="1:3" x14ac:dyDescent="0.3">
      <c r="A3807" t="str">
        <f>IF(AND(FORSIDE!$B$8&gt;=10,FORSIDE!$F$8&gt;=7,FORSIDE!$B$5&gt;=6),"S3806","")</f>
        <v/>
      </c>
      <c r="B3807" t="str">
        <f>IF(AND(FORSIDE!$B$8&gt;=10,FORSIDE!$F$8&gt;=7,FORSIDE!$B$5&gt;=6),"1723 -&gt; 1734","")</f>
        <v/>
      </c>
      <c r="C3807" t="str">
        <f>FORSIDE!$C$3</f>
        <v>S355, Stål / VFHUP 140x140x8.0</v>
      </c>
    </row>
    <row r="3808" spans="1:3" x14ac:dyDescent="0.3">
      <c r="A3808" t="str">
        <f>IF(AND(FORSIDE!$B$8&gt;=10,FORSIDE!$F$8&gt;=7,FORSIDE!$B$5&gt;=7),"S3807","")</f>
        <v/>
      </c>
      <c r="B3808" t="str">
        <f>IF(AND(FORSIDE!$B$8&gt;=10,FORSIDE!$F$8&gt;=7,FORSIDE!$B$5&gt;=7),"1724 -&gt; 1735","")</f>
        <v/>
      </c>
      <c r="C3808" t="str">
        <f>FORSIDE!$C$3</f>
        <v>S355, Stål / VFHUP 140x140x8.0</v>
      </c>
    </row>
    <row r="3809" spans="1:3" x14ac:dyDescent="0.3">
      <c r="A3809" t="str">
        <f>IF(AND(FORSIDE!$B$8&gt;=10,FORSIDE!$F$8&gt;=7,FORSIDE!$B$5&gt;=8),"S3808","")</f>
        <v/>
      </c>
      <c r="B3809" t="str">
        <f>IF(AND(FORSIDE!$B$8&gt;=10,FORSIDE!$F$8&gt;=7,FORSIDE!$B$5&gt;=8),"1725 -&gt; 1736","")</f>
        <v/>
      </c>
      <c r="C3809" t="str">
        <f>FORSIDE!$C$3</f>
        <v>S355, Stål / VFHUP 140x140x8.0</v>
      </c>
    </row>
    <row r="3810" spans="1:3" x14ac:dyDescent="0.3">
      <c r="A3810" t="str">
        <f>IF(AND(FORSIDE!$B$8&gt;=10,FORSIDE!$F$8&gt;=7,FORSIDE!$B$5&gt;=9),"S3809","")</f>
        <v/>
      </c>
      <c r="B3810" t="str">
        <f>IF(AND(FORSIDE!$B$8&gt;=10,FORSIDE!$F$8&gt;=7,FORSIDE!$B$5&gt;=9),"1726 -&gt; 1737","")</f>
        <v/>
      </c>
      <c r="C3810" t="str">
        <f>FORSIDE!$C$3</f>
        <v>S355, Stål / VFHUP 140x140x8.0</v>
      </c>
    </row>
    <row r="3811" spans="1:3" x14ac:dyDescent="0.3">
      <c r="A3811" t="str">
        <f>IF(AND(FORSIDE!$B$8&gt;=10,FORSIDE!$F$8&gt;=7,FORSIDE!$B$5&gt;=10),"S3810","")</f>
        <v/>
      </c>
      <c r="B3811" t="str">
        <f>IF(AND(FORSIDE!$B$8&gt;=10,FORSIDE!$F$8&gt;=7,FORSIDE!$B$5&gt;=10),"1727 -&gt; 1738","")</f>
        <v/>
      </c>
      <c r="C3811" t="str">
        <f>FORSIDE!$C$3</f>
        <v>S355, Stål / VFHUP 140x140x8.0</v>
      </c>
    </row>
    <row r="3812" spans="1:3" x14ac:dyDescent="0.3">
      <c r="A3812" t="str">
        <f>IF(AND(FORSIDE!$B$8&gt;=11,FORSIDE!$F$8&gt;=7,FORSIDE!$B$5&gt;=1),"S3811","")</f>
        <v/>
      </c>
      <c r="B3812" t="str">
        <f>IF(AND(FORSIDE!$B$8&gt;=11,FORSIDE!$F$8&gt;=7,FORSIDE!$B$5&gt;=1),"1729 -&gt; 1740","")</f>
        <v/>
      </c>
      <c r="C3812" t="str">
        <f>FORSIDE!$C$3</f>
        <v>S355, Stål / VFHUP 140x140x8.0</v>
      </c>
    </row>
    <row r="3813" spans="1:3" x14ac:dyDescent="0.3">
      <c r="A3813" t="str">
        <f>IF(AND(FORSIDE!$B$8&gt;=11,FORSIDE!$F$8&gt;=7,FORSIDE!$B$5&gt;=2),"S3812","")</f>
        <v/>
      </c>
      <c r="B3813" t="str">
        <f>IF(AND(FORSIDE!$B$8&gt;=11,FORSIDE!$F$8&gt;=7,FORSIDE!$B$5&gt;=2),"1730 -&gt; 1741","")</f>
        <v/>
      </c>
      <c r="C3813" t="str">
        <f>FORSIDE!$C$3</f>
        <v>S355, Stål / VFHUP 140x140x8.0</v>
      </c>
    </row>
    <row r="3814" spans="1:3" x14ac:dyDescent="0.3">
      <c r="A3814" t="str">
        <f>IF(AND(FORSIDE!$B$8&gt;=11,FORSIDE!$F$8&gt;=7,FORSIDE!$B$5&gt;=3),"S3813","")</f>
        <v/>
      </c>
      <c r="B3814" t="str">
        <f>IF(AND(FORSIDE!$B$8&gt;=11,FORSIDE!$F$8&gt;=7,FORSIDE!$B$5&gt;=3),"1731 -&gt; 1742","")</f>
        <v/>
      </c>
      <c r="C3814" t="str">
        <f>FORSIDE!$C$3</f>
        <v>S355, Stål / VFHUP 140x140x8.0</v>
      </c>
    </row>
    <row r="3815" spans="1:3" x14ac:dyDescent="0.3">
      <c r="A3815" t="str">
        <f>IF(AND(FORSIDE!$B$8&gt;=11,FORSIDE!$F$8&gt;=7,FORSIDE!$B$5&gt;=4),"S3814","")</f>
        <v/>
      </c>
      <c r="B3815" t="str">
        <f>IF(AND(FORSIDE!$B$8&gt;=11,FORSIDE!$F$8&gt;=7,FORSIDE!$B$5&gt;=4),"1732 -&gt; 1743","")</f>
        <v/>
      </c>
      <c r="C3815" t="str">
        <f>FORSIDE!$C$3</f>
        <v>S355, Stål / VFHUP 140x140x8.0</v>
      </c>
    </row>
    <row r="3816" spans="1:3" x14ac:dyDescent="0.3">
      <c r="A3816" t="str">
        <f>IF(AND(FORSIDE!$B$8&gt;=11,FORSIDE!$F$8&gt;=7,FORSIDE!$B$5&gt;=5),"S3815","")</f>
        <v/>
      </c>
      <c r="B3816" t="str">
        <f>IF(AND(FORSIDE!$B$8&gt;=11,FORSIDE!$F$8&gt;=7,FORSIDE!$B$5&gt;=5),"1733 -&gt; 1744","")</f>
        <v/>
      </c>
      <c r="C3816" t="str">
        <f>FORSIDE!$C$3</f>
        <v>S355, Stål / VFHUP 140x140x8.0</v>
      </c>
    </row>
    <row r="3817" spans="1:3" x14ac:dyDescent="0.3">
      <c r="A3817" t="str">
        <f>IF(AND(FORSIDE!$B$8&gt;=11,FORSIDE!$F$8&gt;=7,FORSIDE!$B$5&gt;=6),"S3816","")</f>
        <v/>
      </c>
      <c r="B3817" t="str">
        <f>IF(AND(FORSIDE!$B$8&gt;=11,FORSIDE!$F$8&gt;=7,FORSIDE!$B$5&gt;=6),"1734 -&gt; 1745","")</f>
        <v/>
      </c>
      <c r="C3817" t="str">
        <f>FORSIDE!$C$3</f>
        <v>S355, Stål / VFHUP 140x140x8.0</v>
      </c>
    </row>
    <row r="3818" spans="1:3" x14ac:dyDescent="0.3">
      <c r="A3818" t="str">
        <f>IF(AND(FORSIDE!$B$8&gt;=11,FORSIDE!$F$8&gt;=7,FORSIDE!$B$5&gt;=7),"S3817","")</f>
        <v/>
      </c>
      <c r="B3818" t="str">
        <f>IF(AND(FORSIDE!$B$8&gt;=11,FORSIDE!$F$8&gt;=7,FORSIDE!$B$5&gt;=7),"1735 -&gt; 1746","")</f>
        <v/>
      </c>
      <c r="C3818" t="str">
        <f>FORSIDE!$C$3</f>
        <v>S355, Stål / VFHUP 140x140x8.0</v>
      </c>
    </row>
    <row r="3819" spans="1:3" x14ac:dyDescent="0.3">
      <c r="A3819" t="str">
        <f>IF(AND(FORSIDE!$B$8&gt;=11,FORSIDE!$F$8&gt;=7,FORSIDE!$B$5&gt;=8),"S3818","")</f>
        <v/>
      </c>
      <c r="B3819" t="str">
        <f>IF(AND(FORSIDE!$B$8&gt;=11,FORSIDE!$F$8&gt;=7,FORSIDE!$B$5&gt;=8),"1736 -&gt; 1747","")</f>
        <v/>
      </c>
      <c r="C3819" t="str">
        <f>FORSIDE!$C$3</f>
        <v>S355, Stål / VFHUP 140x140x8.0</v>
      </c>
    </row>
    <row r="3820" spans="1:3" x14ac:dyDescent="0.3">
      <c r="A3820" t="str">
        <f>IF(AND(FORSIDE!$B$8&gt;=11,FORSIDE!$F$8&gt;=7,FORSIDE!$B$5&gt;=9),"S3819","")</f>
        <v/>
      </c>
      <c r="B3820" t="str">
        <f>IF(AND(FORSIDE!$B$8&gt;=11,FORSIDE!$F$8&gt;=7,FORSIDE!$B$5&gt;=9),"1737 -&gt; 1748","")</f>
        <v/>
      </c>
      <c r="C3820" t="str">
        <f>FORSIDE!$C$3</f>
        <v>S355, Stål / VFHUP 140x140x8.0</v>
      </c>
    </row>
    <row r="3821" spans="1:3" x14ac:dyDescent="0.3">
      <c r="A3821" t="str">
        <f>IF(AND(FORSIDE!$B$8&gt;=11,FORSIDE!$F$8&gt;=7,FORSIDE!$B$5&gt;=10),"S3820","")</f>
        <v/>
      </c>
      <c r="B3821" t="str">
        <f>IF(AND(FORSIDE!$B$8&gt;=11,FORSIDE!$F$8&gt;=7,FORSIDE!$B$5&gt;=10),"1738 -&gt; 1749","")</f>
        <v/>
      </c>
      <c r="C3821" t="str">
        <f>FORSIDE!$C$3</f>
        <v>S355, Stål / VFHUP 140x140x8.0</v>
      </c>
    </row>
    <row r="3822" spans="1:3" x14ac:dyDescent="0.3">
      <c r="A3822" t="str">
        <f>IF(AND(FORSIDE!$B$8&gt;=12,FORSIDE!$F$8&gt;=7,FORSIDE!$B$5&gt;=1),"S3821","")</f>
        <v/>
      </c>
      <c r="B3822" t="str">
        <f>IF(AND(FORSIDE!$B$8&gt;=12,FORSIDE!$F$8&gt;=7,FORSIDE!$B$5&gt;=1),"1740 -&gt; 1751","")</f>
        <v/>
      </c>
      <c r="C3822" t="str">
        <f>FORSIDE!$C$3</f>
        <v>S355, Stål / VFHUP 140x140x8.0</v>
      </c>
    </row>
    <row r="3823" spans="1:3" x14ac:dyDescent="0.3">
      <c r="A3823" t="str">
        <f>IF(AND(FORSIDE!$B$8&gt;=12,FORSIDE!$F$8&gt;=7,FORSIDE!$B$5&gt;=2),"S3822","")</f>
        <v/>
      </c>
      <c r="B3823" t="str">
        <f>IF(AND(FORSIDE!$B$8&gt;=12,FORSIDE!$F$8&gt;=7,FORSIDE!$B$5&gt;=2),"1741 -&gt; 1752","")</f>
        <v/>
      </c>
      <c r="C3823" t="str">
        <f>FORSIDE!$C$3</f>
        <v>S355, Stål / VFHUP 140x140x8.0</v>
      </c>
    </row>
    <row r="3824" spans="1:3" x14ac:dyDescent="0.3">
      <c r="A3824" t="str">
        <f>IF(AND(FORSIDE!$B$8&gt;=12,FORSIDE!$F$8&gt;=7,FORSIDE!$B$5&gt;=3),"S3823","")</f>
        <v/>
      </c>
      <c r="B3824" t="str">
        <f>IF(AND(FORSIDE!$B$8&gt;=12,FORSIDE!$F$8&gt;=7,FORSIDE!$B$5&gt;=3),"1742 -&gt; 1753","")</f>
        <v/>
      </c>
      <c r="C3824" t="str">
        <f>FORSIDE!$C$3</f>
        <v>S355, Stål / VFHUP 140x140x8.0</v>
      </c>
    </row>
    <row r="3825" spans="1:3" x14ac:dyDescent="0.3">
      <c r="A3825" t="str">
        <f>IF(AND(FORSIDE!$B$8&gt;=12,FORSIDE!$F$8&gt;=7,FORSIDE!$B$5&gt;=4),"S3824","")</f>
        <v/>
      </c>
      <c r="B3825" t="str">
        <f>IF(AND(FORSIDE!$B$8&gt;=12,FORSIDE!$F$8&gt;=7,FORSIDE!$B$5&gt;=4),"1743 -&gt; 1754","")</f>
        <v/>
      </c>
      <c r="C3825" t="str">
        <f>FORSIDE!$C$3</f>
        <v>S355, Stål / VFHUP 140x140x8.0</v>
      </c>
    </row>
    <row r="3826" spans="1:3" x14ac:dyDescent="0.3">
      <c r="A3826" t="str">
        <f>IF(AND(FORSIDE!$B$8&gt;=12,FORSIDE!$F$8&gt;=7,FORSIDE!$B$5&gt;=5),"S3825","")</f>
        <v/>
      </c>
      <c r="B3826" t="str">
        <f>IF(AND(FORSIDE!$B$8&gt;=12,FORSIDE!$F$8&gt;=7,FORSIDE!$B$5&gt;=5),"1744 -&gt; 1755","")</f>
        <v/>
      </c>
      <c r="C3826" t="str">
        <f>FORSIDE!$C$3</f>
        <v>S355, Stål / VFHUP 140x140x8.0</v>
      </c>
    </row>
    <row r="3827" spans="1:3" x14ac:dyDescent="0.3">
      <c r="A3827" t="str">
        <f>IF(AND(FORSIDE!$B$8&gt;=12,FORSIDE!$F$8&gt;=7,FORSIDE!$B$5&gt;=6),"S3826","")</f>
        <v/>
      </c>
      <c r="B3827" t="str">
        <f>IF(AND(FORSIDE!$B$8&gt;=12,FORSIDE!$F$8&gt;=7,FORSIDE!$B$5&gt;=6),"1745 -&gt; 1756","")</f>
        <v/>
      </c>
      <c r="C3827" t="str">
        <f>FORSIDE!$C$3</f>
        <v>S355, Stål / VFHUP 140x140x8.0</v>
      </c>
    </row>
    <row r="3828" spans="1:3" x14ac:dyDescent="0.3">
      <c r="A3828" t="str">
        <f>IF(AND(FORSIDE!$B$8&gt;=12,FORSIDE!$F$8&gt;=7,FORSIDE!$B$5&gt;=7),"S3827","")</f>
        <v/>
      </c>
      <c r="B3828" t="str">
        <f>IF(AND(FORSIDE!$B$8&gt;=12,FORSIDE!$F$8&gt;=7,FORSIDE!$B$5&gt;=7),"1746 -&gt; 1757","")</f>
        <v/>
      </c>
      <c r="C3828" t="str">
        <f>FORSIDE!$C$3</f>
        <v>S355, Stål / VFHUP 140x140x8.0</v>
      </c>
    </row>
    <row r="3829" spans="1:3" x14ac:dyDescent="0.3">
      <c r="A3829" t="str">
        <f>IF(AND(FORSIDE!$B$8&gt;=12,FORSIDE!$F$8&gt;=7,FORSIDE!$B$5&gt;=8),"S3828","")</f>
        <v/>
      </c>
      <c r="B3829" t="str">
        <f>IF(AND(FORSIDE!$B$8&gt;=12,FORSIDE!$F$8&gt;=7,FORSIDE!$B$5&gt;=8),"1747 -&gt; 1758","")</f>
        <v/>
      </c>
      <c r="C3829" t="str">
        <f>FORSIDE!$C$3</f>
        <v>S355, Stål / VFHUP 140x140x8.0</v>
      </c>
    </row>
    <row r="3830" spans="1:3" x14ac:dyDescent="0.3">
      <c r="A3830" t="str">
        <f>IF(AND(FORSIDE!$B$8&gt;=12,FORSIDE!$F$8&gt;=7,FORSIDE!$B$5&gt;=9),"S3829","")</f>
        <v/>
      </c>
      <c r="B3830" t="str">
        <f>IF(AND(FORSIDE!$B$8&gt;=12,FORSIDE!$F$8&gt;=7,FORSIDE!$B$5&gt;=9),"1748 -&gt; 1759","")</f>
        <v/>
      </c>
      <c r="C3830" t="str">
        <f>FORSIDE!$C$3</f>
        <v>S355, Stål / VFHUP 140x140x8.0</v>
      </c>
    </row>
    <row r="3831" spans="1:3" x14ac:dyDescent="0.3">
      <c r="A3831" t="str">
        <f>IF(AND(FORSIDE!$B$8&gt;=12,FORSIDE!$F$8&gt;=7,FORSIDE!$B$5&gt;=10),"S3830","")</f>
        <v/>
      </c>
      <c r="B3831" t="str">
        <f>IF(AND(FORSIDE!$B$8&gt;=12,FORSIDE!$F$8&gt;=7,FORSIDE!$B$5&gt;=10),"1749 -&gt; 1760","")</f>
        <v/>
      </c>
      <c r="C3831" t="str">
        <f>FORSIDE!$C$3</f>
        <v>S355, Stål / VFHUP 140x140x8.0</v>
      </c>
    </row>
    <row r="3832" spans="1:3" x14ac:dyDescent="0.3">
      <c r="A3832" t="str">
        <f>IF(AND(FORSIDE!$B$8&gt;=13,FORSIDE!$F$8&gt;=7,FORSIDE!$B$5&gt;=1),"S3831","")</f>
        <v/>
      </c>
      <c r="B3832" t="str">
        <f>IF(AND(FORSIDE!$B$8&gt;=13,FORSIDE!$F$8&gt;=7,FORSIDE!$B$5&gt;=1),"1751 -&gt; 1762","")</f>
        <v/>
      </c>
      <c r="C3832" t="str">
        <f>FORSIDE!$C$3</f>
        <v>S355, Stål / VFHUP 140x140x8.0</v>
      </c>
    </row>
    <row r="3833" spans="1:3" x14ac:dyDescent="0.3">
      <c r="A3833" t="str">
        <f>IF(AND(FORSIDE!$B$8&gt;=13,FORSIDE!$F$8&gt;=7,FORSIDE!$B$5&gt;=2),"S3832","")</f>
        <v/>
      </c>
      <c r="B3833" t="str">
        <f>IF(AND(FORSIDE!$B$8&gt;=13,FORSIDE!$F$8&gt;=7,FORSIDE!$B$5&gt;=2),"1752 -&gt; 1763","")</f>
        <v/>
      </c>
      <c r="C3833" t="str">
        <f>FORSIDE!$C$3</f>
        <v>S355, Stål / VFHUP 140x140x8.0</v>
      </c>
    </row>
    <row r="3834" spans="1:3" x14ac:dyDescent="0.3">
      <c r="A3834" t="str">
        <f>IF(AND(FORSIDE!$B$8&gt;=13,FORSIDE!$F$8&gt;=7,FORSIDE!$B$5&gt;=3),"S3833","")</f>
        <v/>
      </c>
      <c r="B3834" t="str">
        <f>IF(AND(FORSIDE!$B$8&gt;=13,FORSIDE!$F$8&gt;=7,FORSIDE!$B$5&gt;=3),"1753 -&gt; 1764","")</f>
        <v/>
      </c>
      <c r="C3834" t="str">
        <f>FORSIDE!$C$3</f>
        <v>S355, Stål / VFHUP 140x140x8.0</v>
      </c>
    </row>
    <row r="3835" spans="1:3" x14ac:dyDescent="0.3">
      <c r="A3835" t="str">
        <f>IF(AND(FORSIDE!$B$8&gt;=13,FORSIDE!$F$8&gt;=7,FORSIDE!$B$5&gt;=4),"S3834","")</f>
        <v/>
      </c>
      <c r="B3835" t="str">
        <f>IF(AND(FORSIDE!$B$8&gt;=13,FORSIDE!$F$8&gt;=7,FORSIDE!$B$5&gt;=4),"1754 -&gt; 1765","")</f>
        <v/>
      </c>
      <c r="C3835" t="str">
        <f>FORSIDE!$C$3</f>
        <v>S355, Stål / VFHUP 140x140x8.0</v>
      </c>
    </row>
    <row r="3836" spans="1:3" x14ac:dyDescent="0.3">
      <c r="A3836" t="str">
        <f>IF(AND(FORSIDE!$B$8&gt;=13,FORSIDE!$F$8&gt;=7,FORSIDE!$B$5&gt;=5),"S3835","")</f>
        <v/>
      </c>
      <c r="B3836" t="str">
        <f>IF(AND(FORSIDE!$B$8&gt;=13,FORSIDE!$F$8&gt;=7,FORSIDE!$B$5&gt;=5),"1755 -&gt; 1766","")</f>
        <v/>
      </c>
      <c r="C3836" t="str">
        <f>FORSIDE!$C$3</f>
        <v>S355, Stål / VFHUP 140x140x8.0</v>
      </c>
    </row>
    <row r="3837" spans="1:3" x14ac:dyDescent="0.3">
      <c r="A3837" t="str">
        <f>IF(AND(FORSIDE!$B$8&gt;=13,FORSIDE!$F$8&gt;=7,FORSIDE!$B$5&gt;=6),"S3836","")</f>
        <v/>
      </c>
      <c r="B3837" t="str">
        <f>IF(AND(FORSIDE!$B$8&gt;=13,FORSIDE!$F$8&gt;=7,FORSIDE!$B$5&gt;=6),"1756 -&gt; 1767","")</f>
        <v/>
      </c>
      <c r="C3837" t="str">
        <f>FORSIDE!$C$3</f>
        <v>S355, Stål / VFHUP 140x140x8.0</v>
      </c>
    </row>
    <row r="3838" spans="1:3" x14ac:dyDescent="0.3">
      <c r="A3838" t="str">
        <f>IF(AND(FORSIDE!$B$8&gt;=13,FORSIDE!$F$8&gt;=7,FORSIDE!$B$5&gt;=7),"S3837","")</f>
        <v/>
      </c>
      <c r="B3838" t="str">
        <f>IF(AND(FORSIDE!$B$8&gt;=13,FORSIDE!$F$8&gt;=7,FORSIDE!$B$5&gt;=7),"1757 -&gt; 1768","")</f>
        <v/>
      </c>
      <c r="C3838" t="str">
        <f>FORSIDE!$C$3</f>
        <v>S355, Stål / VFHUP 140x140x8.0</v>
      </c>
    </row>
    <row r="3839" spans="1:3" x14ac:dyDescent="0.3">
      <c r="A3839" t="str">
        <f>IF(AND(FORSIDE!$B$8&gt;=13,FORSIDE!$F$8&gt;=7,FORSIDE!$B$5&gt;=8),"S3838","")</f>
        <v/>
      </c>
      <c r="B3839" t="str">
        <f>IF(AND(FORSIDE!$B$8&gt;=13,FORSIDE!$F$8&gt;=7,FORSIDE!$B$5&gt;=8),"1758 -&gt; 1769","")</f>
        <v/>
      </c>
      <c r="C3839" t="str">
        <f>FORSIDE!$C$3</f>
        <v>S355, Stål / VFHUP 140x140x8.0</v>
      </c>
    </row>
    <row r="3840" spans="1:3" x14ac:dyDescent="0.3">
      <c r="A3840" t="str">
        <f>IF(AND(FORSIDE!$B$8&gt;=13,FORSIDE!$F$8&gt;=7,FORSIDE!$B$5&gt;=9),"S3839","")</f>
        <v/>
      </c>
      <c r="B3840" t="str">
        <f>IF(AND(FORSIDE!$B$8&gt;=13,FORSIDE!$F$8&gt;=7,FORSIDE!$B$5&gt;=9),"1759 -&gt; 1770","")</f>
        <v/>
      </c>
      <c r="C3840" t="str">
        <f>FORSIDE!$C$3</f>
        <v>S355, Stål / VFHUP 140x140x8.0</v>
      </c>
    </row>
    <row r="3841" spans="1:3" x14ac:dyDescent="0.3">
      <c r="A3841" t="str">
        <f>IF(AND(FORSIDE!$B$8&gt;=13,FORSIDE!$F$8&gt;=7,FORSIDE!$B$5&gt;=10),"S3840","")</f>
        <v/>
      </c>
      <c r="B3841" t="str">
        <f>IF(AND(FORSIDE!$B$8&gt;=13,FORSIDE!$F$8&gt;=7,FORSIDE!$B$5&gt;=10),"1760 -&gt; 1771","")</f>
        <v/>
      </c>
      <c r="C3841" t="str">
        <f>FORSIDE!$C$3</f>
        <v>S355, Stål / VFHUP 140x140x8.0</v>
      </c>
    </row>
    <row r="3842" spans="1:3" x14ac:dyDescent="0.3">
      <c r="A3842" t="str">
        <f>IF(AND(FORSIDE!$B$8&gt;=14,FORSIDE!$F$8&gt;=7,FORSIDE!$B$5&gt;=1),"S3841","")</f>
        <v/>
      </c>
      <c r="B3842" t="str">
        <f>IF(AND(FORSIDE!$B$8&gt;=14,FORSIDE!$F$8&gt;=7,FORSIDE!$B$5&gt;=1),"1762 -&gt; 1773","")</f>
        <v/>
      </c>
      <c r="C3842" t="str">
        <f>FORSIDE!$C$3</f>
        <v>S355, Stål / VFHUP 140x140x8.0</v>
      </c>
    </row>
    <row r="3843" spans="1:3" x14ac:dyDescent="0.3">
      <c r="A3843" t="str">
        <f>IF(AND(FORSIDE!$B$8&gt;=14,FORSIDE!$F$8&gt;=7,FORSIDE!$B$5&gt;=2),"S3842","")</f>
        <v/>
      </c>
      <c r="B3843" t="str">
        <f>IF(AND(FORSIDE!$B$8&gt;=14,FORSIDE!$F$8&gt;=7,FORSIDE!$B$5&gt;=2),"1763 -&gt; 1774","")</f>
        <v/>
      </c>
      <c r="C3843" t="str">
        <f>FORSIDE!$C$3</f>
        <v>S355, Stål / VFHUP 140x140x8.0</v>
      </c>
    </row>
    <row r="3844" spans="1:3" x14ac:dyDescent="0.3">
      <c r="A3844" t="str">
        <f>IF(AND(FORSIDE!$B$8&gt;=14,FORSIDE!$F$8&gt;=7,FORSIDE!$B$5&gt;=3),"S3843","")</f>
        <v/>
      </c>
      <c r="B3844" t="str">
        <f>IF(AND(FORSIDE!$B$8&gt;=14,FORSIDE!$F$8&gt;=7,FORSIDE!$B$5&gt;=3),"1764 -&gt; 1775","")</f>
        <v/>
      </c>
      <c r="C3844" t="str">
        <f>FORSIDE!$C$3</f>
        <v>S355, Stål / VFHUP 140x140x8.0</v>
      </c>
    </row>
    <row r="3845" spans="1:3" x14ac:dyDescent="0.3">
      <c r="A3845" t="str">
        <f>IF(AND(FORSIDE!$B$8&gt;=14,FORSIDE!$F$8&gt;=7,FORSIDE!$B$5&gt;=4),"S3844","")</f>
        <v/>
      </c>
      <c r="B3845" t="str">
        <f>IF(AND(FORSIDE!$B$8&gt;=14,FORSIDE!$F$8&gt;=7,FORSIDE!$B$5&gt;=4),"1765 -&gt; 1776","")</f>
        <v/>
      </c>
      <c r="C3845" t="str">
        <f>FORSIDE!$C$3</f>
        <v>S355, Stål / VFHUP 140x140x8.0</v>
      </c>
    </row>
    <row r="3846" spans="1:3" x14ac:dyDescent="0.3">
      <c r="A3846" t="str">
        <f>IF(AND(FORSIDE!$B$8&gt;=14,FORSIDE!$F$8&gt;=7,FORSIDE!$B$5&gt;=5),"S3845","")</f>
        <v/>
      </c>
      <c r="B3846" t="str">
        <f>IF(AND(FORSIDE!$B$8&gt;=14,FORSIDE!$F$8&gt;=7,FORSIDE!$B$5&gt;=5),"1766 -&gt; 1777","")</f>
        <v/>
      </c>
      <c r="C3846" t="str">
        <f>FORSIDE!$C$3</f>
        <v>S355, Stål / VFHUP 140x140x8.0</v>
      </c>
    </row>
    <row r="3847" spans="1:3" x14ac:dyDescent="0.3">
      <c r="A3847" t="str">
        <f>IF(AND(FORSIDE!$B$8&gt;=14,FORSIDE!$F$8&gt;=7,FORSIDE!$B$5&gt;=6),"S3846","")</f>
        <v/>
      </c>
      <c r="B3847" t="str">
        <f>IF(AND(FORSIDE!$B$8&gt;=14,FORSIDE!$F$8&gt;=7,FORSIDE!$B$5&gt;=6),"1767 -&gt; 1778","")</f>
        <v/>
      </c>
      <c r="C3847" t="str">
        <f>FORSIDE!$C$3</f>
        <v>S355, Stål / VFHUP 140x140x8.0</v>
      </c>
    </row>
    <row r="3848" spans="1:3" x14ac:dyDescent="0.3">
      <c r="A3848" t="str">
        <f>IF(AND(FORSIDE!$B$8&gt;=14,FORSIDE!$F$8&gt;=7,FORSIDE!$B$5&gt;=7),"S3847","")</f>
        <v/>
      </c>
      <c r="B3848" t="str">
        <f>IF(AND(FORSIDE!$B$8&gt;=14,FORSIDE!$F$8&gt;=7,FORSIDE!$B$5&gt;=7),"1768 -&gt; 1779","")</f>
        <v/>
      </c>
      <c r="C3848" t="str">
        <f>FORSIDE!$C$3</f>
        <v>S355, Stål / VFHUP 140x140x8.0</v>
      </c>
    </row>
    <row r="3849" spans="1:3" x14ac:dyDescent="0.3">
      <c r="A3849" t="str">
        <f>IF(AND(FORSIDE!$B$8&gt;=14,FORSIDE!$F$8&gt;=7,FORSIDE!$B$5&gt;=8),"S3848","")</f>
        <v/>
      </c>
      <c r="B3849" t="str">
        <f>IF(AND(FORSIDE!$B$8&gt;=14,FORSIDE!$F$8&gt;=7,FORSIDE!$B$5&gt;=8),"1769 -&gt; 1780","")</f>
        <v/>
      </c>
      <c r="C3849" t="str">
        <f>FORSIDE!$C$3</f>
        <v>S355, Stål / VFHUP 140x140x8.0</v>
      </c>
    </row>
    <row r="3850" spans="1:3" x14ac:dyDescent="0.3">
      <c r="A3850" t="str">
        <f>IF(AND(FORSIDE!$B$8&gt;=14,FORSIDE!$F$8&gt;=7,FORSIDE!$B$5&gt;=9),"S3849","")</f>
        <v/>
      </c>
      <c r="B3850" t="str">
        <f>IF(AND(FORSIDE!$B$8&gt;=14,FORSIDE!$F$8&gt;=7,FORSIDE!$B$5&gt;=9),"1770 -&gt; 1781","")</f>
        <v/>
      </c>
      <c r="C3850" t="str">
        <f>FORSIDE!$C$3</f>
        <v>S355, Stål / VFHUP 140x140x8.0</v>
      </c>
    </row>
    <row r="3851" spans="1:3" x14ac:dyDescent="0.3">
      <c r="A3851" t="str">
        <f>IF(AND(FORSIDE!$B$8&gt;=14,FORSIDE!$F$8&gt;=7,FORSIDE!$B$5&gt;=10),"S3850","")</f>
        <v/>
      </c>
      <c r="B3851" t="str">
        <f>IF(AND(FORSIDE!$B$8&gt;=14,FORSIDE!$F$8&gt;=7,FORSIDE!$B$5&gt;=10),"1771 -&gt; 1782","")</f>
        <v/>
      </c>
      <c r="C3851" t="str">
        <f>FORSIDE!$C$3</f>
        <v>S355, Stål / VFHUP 140x140x8.0</v>
      </c>
    </row>
    <row r="3852" spans="1:3" x14ac:dyDescent="0.3">
      <c r="A3852" t="str">
        <f>IF(AND(FORSIDE!$B$8&gt;=15,FORSIDE!$F$8&gt;=7,FORSIDE!$B$5&gt;=1),"S3851","")</f>
        <v/>
      </c>
      <c r="B3852" t="str">
        <f>IF(AND(FORSIDE!$B$8&gt;=15,FORSIDE!$F$8&gt;=7,FORSIDE!$B$5&gt;=1),"1773 -&gt; 1784","")</f>
        <v/>
      </c>
      <c r="C3852" t="str">
        <f>FORSIDE!$C$3</f>
        <v>S355, Stål / VFHUP 140x140x8.0</v>
      </c>
    </row>
    <row r="3853" spans="1:3" x14ac:dyDescent="0.3">
      <c r="A3853" t="str">
        <f>IF(AND(FORSIDE!$B$8&gt;=15,FORSIDE!$F$8&gt;=7,FORSIDE!$B$5&gt;=2),"S3852","")</f>
        <v/>
      </c>
      <c r="B3853" t="str">
        <f>IF(AND(FORSIDE!$B$8&gt;=15,FORSIDE!$F$8&gt;=7,FORSIDE!$B$5&gt;=2),"1774 -&gt; 1785","")</f>
        <v/>
      </c>
      <c r="C3853" t="str">
        <f>FORSIDE!$C$3</f>
        <v>S355, Stål / VFHUP 140x140x8.0</v>
      </c>
    </row>
    <row r="3854" spans="1:3" x14ac:dyDescent="0.3">
      <c r="A3854" t="str">
        <f>IF(AND(FORSIDE!$B$8&gt;=15,FORSIDE!$F$8&gt;=7,FORSIDE!$B$5&gt;=3),"S3853","")</f>
        <v/>
      </c>
      <c r="B3854" t="str">
        <f>IF(AND(FORSIDE!$B$8&gt;=15,FORSIDE!$F$8&gt;=7,FORSIDE!$B$5&gt;=3),"1775 -&gt; 1786","")</f>
        <v/>
      </c>
      <c r="C3854" t="str">
        <f>FORSIDE!$C$3</f>
        <v>S355, Stål / VFHUP 140x140x8.0</v>
      </c>
    </row>
    <row r="3855" spans="1:3" x14ac:dyDescent="0.3">
      <c r="A3855" t="str">
        <f>IF(AND(FORSIDE!$B$8&gt;=15,FORSIDE!$F$8&gt;=7,FORSIDE!$B$5&gt;=4),"S3854","")</f>
        <v/>
      </c>
      <c r="B3855" t="str">
        <f>IF(AND(FORSIDE!$B$8&gt;=15,FORSIDE!$F$8&gt;=7,FORSIDE!$B$5&gt;=4),"1776 -&gt; 1787","")</f>
        <v/>
      </c>
      <c r="C3855" t="str">
        <f>FORSIDE!$C$3</f>
        <v>S355, Stål / VFHUP 140x140x8.0</v>
      </c>
    </row>
    <row r="3856" spans="1:3" x14ac:dyDescent="0.3">
      <c r="A3856" t="str">
        <f>IF(AND(FORSIDE!$B$8&gt;=15,FORSIDE!$F$8&gt;=7,FORSIDE!$B$5&gt;=5),"S3855","")</f>
        <v/>
      </c>
      <c r="B3856" t="str">
        <f>IF(AND(FORSIDE!$B$8&gt;=15,FORSIDE!$F$8&gt;=7,FORSIDE!$B$5&gt;=5),"1777 -&gt; 1788","")</f>
        <v/>
      </c>
      <c r="C3856" t="str">
        <f>FORSIDE!$C$3</f>
        <v>S355, Stål / VFHUP 140x140x8.0</v>
      </c>
    </row>
    <row r="3857" spans="1:3" x14ac:dyDescent="0.3">
      <c r="A3857" t="str">
        <f>IF(AND(FORSIDE!$B$8&gt;=15,FORSIDE!$F$8&gt;=7,FORSIDE!$B$5&gt;=6),"S3856","")</f>
        <v/>
      </c>
      <c r="B3857" t="str">
        <f>IF(AND(FORSIDE!$B$8&gt;=15,FORSIDE!$F$8&gt;=7,FORSIDE!$B$5&gt;=6),"1778 -&gt; 1789","")</f>
        <v/>
      </c>
      <c r="C3857" t="str">
        <f>FORSIDE!$C$3</f>
        <v>S355, Stål / VFHUP 140x140x8.0</v>
      </c>
    </row>
    <row r="3858" spans="1:3" x14ac:dyDescent="0.3">
      <c r="A3858" t="str">
        <f>IF(AND(FORSIDE!$B$8&gt;=15,FORSIDE!$F$8&gt;=7,FORSIDE!$B$5&gt;=7),"S3857","")</f>
        <v/>
      </c>
      <c r="B3858" t="str">
        <f>IF(AND(FORSIDE!$B$8&gt;=15,FORSIDE!$F$8&gt;=7,FORSIDE!$B$5&gt;=7),"1779 -&gt; 1790","")</f>
        <v/>
      </c>
      <c r="C3858" t="str">
        <f>FORSIDE!$C$3</f>
        <v>S355, Stål / VFHUP 140x140x8.0</v>
      </c>
    </row>
    <row r="3859" spans="1:3" x14ac:dyDescent="0.3">
      <c r="A3859" t="str">
        <f>IF(AND(FORSIDE!$B$8&gt;=15,FORSIDE!$F$8&gt;=7,FORSIDE!$B$5&gt;=8),"S3858","")</f>
        <v/>
      </c>
      <c r="B3859" t="str">
        <f>IF(AND(FORSIDE!$B$8&gt;=15,FORSIDE!$F$8&gt;=7,FORSIDE!$B$5&gt;=8),"1780 -&gt; 1791","")</f>
        <v/>
      </c>
      <c r="C3859" t="str">
        <f>FORSIDE!$C$3</f>
        <v>S355, Stål / VFHUP 140x140x8.0</v>
      </c>
    </row>
    <row r="3860" spans="1:3" x14ac:dyDescent="0.3">
      <c r="A3860" t="str">
        <f>IF(AND(FORSIDE!$B$8&gt;=15,FORSIDE!$F$8&gt;=7,FORSIDE!$B$5&gt;=9),"S3859","")</f>
        <v/>
      </c>
      <c r="B3860" t="str">
        <f>IF(AND(FORSIDE!$B$8&gt;=15,FORSIDE!$F$8&gt;=7,FORSIDE!$B$5&gt;=9),"1781 -&gt; 1792","")</f>
        <v/>
      </c>
      <c r="C3860" t="str">
        <f>FORSIDE!$C$3</f>
        <v>S355, Stål / VFHUP 140x140x8.0</v>
      </c>
    </row>
    <row r="3861" spans="1:3" x14ac:dyDescent="0.3">
      <c r="A3861" t="str">
        <f>IF(AND(FORSIDE!$B$8&gt;=15,FORSIDE!$F$8&gt;=7,FORSIDE!$B$5&gt;=10),"S3860","")</f>
        <v/>
      </c>
      <c r="B3861" t="str">
        <f>IF(AND(FORSIDE!$B$8&gt;=15,FORSIDE!$F$8&gt;=7,FORSIDE!$B$5&gt;=10),"1782 -&gt; 1793","")</f>
        <v/>
      </c>
      <c r="C3861" t="str">
        <f>FORSIDE!$C$3</f>
        <v>S355, Stål / VFHUP 140x140x8.0</v>
      </c>
    </row>
    <row r="3862" spans="1:3" x14ac:dyDescent="0.3">
      <c r="A3862" t="str">
        <f>IF(AND(FORSIDE!$B$8&gt;=16,FORSIDE!$F$8&gt;=7,FORSIDE!$B$5&gt;=1),"S3861","")</f>
        <v/>
      </c>
      <c r="B3862" t="str">
        <f>IF(AND(FORSIDE!$B$8&gt;=16,FORSIDE!$F$8&gt;=7,FORSIDE!$B$5&gt;=1),"1784 -&gt; 1795","")</f>
        <v/>
      </c>
      <c r="C3862" t="str">
        <f>FORSIDE!$C$3</f>
        <v>S355, Stål / VFHUP 140x140x8.0</v>
      </c>
    </row>
    <row r="3863" spans="1:3" x14ac:dyDescent="0.3">
      <c r="A3863" t="str">
        <f>IF(AND(FORSIDE!$B$8&gt;=16,FORSIDE!$F$8&gt;=7,FORSIDE!$B$5&gt;=2),"S3862","")</f>
        <v/>
      </c>
      <c r="B3863" t="str">
        <f>IF(AND(FORSIDE!$B$8&gt;=16,FORSIDE!$F$8&gt;=7,FORSIDE!$B$5&gt;=2),"1785 -&gt; 1796","")</f>
        <v/>
      </c>
      <c r="C3863" t="str">
        <f>FORSIDE!$C$3</f>
        <v>S355, Stål / VFHUP 140x140x8.0</v>
      </c>
    </row>
    <row r="3864" spans="1:3" x14ac:dyDescent="0.3">
      <c r="A3864" t="str">
        <f>IF(AND(FORSIDE!$B$8&gt;=16,FORSIDE!$F$8&gt;=7,FORSIDE!$B$5&gt;=3),"S3863","")</f>
        <v/>
      </c>
      <c r="B3864" t="str">
        <f>IF(AND(FORSIDE!$B$8&gt;=16,FORSIDE!$F$8&gt;=7,FORSIDE!$B$5&gt;=3),"1786 -&gt; 1797","")</f>
        <v/>
      </c>
      <c r="C3864" t="str">
        <f>FORSIDE!$C$3</f>
        <v>S355, Stål / VFHUP 140x140x8.0</v>
      </c>
    </row>
    <row r="3865" spans="1:3" x14ac:dyDescent="0.3">
      <c r="A3865" t="str">
        <f>IF(AND(FORSIDE!$B$8&gt;=16,FORSIDE!$F$8&gt;=7,FORSIDE!$B$5&gt;=4),"S3864","")</f>
        <v/>
      </c>
      <c r="B3865" t="str">
        <f>IF(AND(FORSIDE!$B$8&gt;=16,FORSIDE!$F$8&gt;=7,FORSIDE!$B$5&gt;=4),"1787 -&gt; 1798","")</f>
        <v/>
      </c>
      <c r="C3865" t="str">
        <f>FORSIDE!$C$3</f>
        <v>S355, Stål / VFHUP 140x140x8.0</v>
      </c>
    </row>
    <row r="3866" spans="1:3" x14ac:dyDescent="0.3">
      <c r="A3866" t="str">
        <f>IF(AND(FORSIDE!$B$8&gt;=16,FORSIDE!$F$8&gt;=7,FORSIDE!$B$5&gt;=5),"S3865","")</f>
        <v/>
      </c>
      <c r="B3866" t="str">
        <f>IF(AND(FORSIDE!$B$8&gt;=16,FORSIDE!$F$8&gt;=7,FORSIDE!$B$5&gt;=5),"1788 -&gt; 1799","")</f>
        <v/>
      </c>
      <c r="C3866" t="str">
        <f>FORSIDE!$C$3</f>
        <v>S355, Stål / VFHUP 140x140x8.0</v>
      </c>
    </row>
    <row r="3867" spans="1:3" x14ac:dyDescent="0.3">
      <c r="A3867" t="str">
        <f>IF(AND(FORSIDE!$B$8&gt;=16,FORSIDE!$F$8&gt;=7,FORSIDE!$B$5&gt;=6),"S3866","")</f>
        <v/>
      </c>
      <c r="B3867" t="str">
        <f>IF(AND(FORSIDE!$B$8&gt;=16,FORSIDE!$F$8&gt;=7,FORSIDE!$B$5&gt;=6),"1789 -&gt; 1800","")</f>
        <v/>
      </c>
      <c r="C3867" t="str">
        <f>FORSIDE!$C$3</f>
        <v>S355, Stål / VFHUP 140x140x8.0</v>
      </c>
    </row>
    <row r="3868" spans="1:3" x14ac:dyDescent="0.3">
      <c r="A3868" t="str">
        <f>IF(AND(FORSIDE!$B$8&gt;=16,FORSIDE!$F$8&gt;=7,FORSIDE!$B$5&gt;=7),"S3867","")</f>
        <v/>
      </c>
      <c r="B3868" t="str">
        <f>IF(AND(FORSIDE!$B$8&gt;=16,FORSIDE!$F$8&gt;=7,FORSIDE!$B$5&gt;=7),"1790 -&gt; 1801","")</f>
        <v/>
      </c>
      <c r="C3868" t="str">
        <f>FORSIDE!$C$3</f>
        <v>S355, Stål / VFHUP 140x140x8.0</v>
      </c>
    </row>
    <row r="3869" spans="1:3" x14ac:dyDescent="0.3">
      <c r="A3869" t="str">
        <f>IF(AND(FORSIDE!$B$8&gt;=16,FORSIDE!$F$8&gt;=7,FORSIDE!$B$5&gt;=8),"S3868","")</f>
        <v/>
      </c>
      <c r="B3869" t="str">
        <f>IF(AND(FORSIDE!$B$8&gt;=16,FORSIDE!$F$8&gt;=7,FORSIDE!$B$5&gt;=8),"1791 -&gt; 1802","")</f>
        <v/>
      </c>
      <c r="C3869" t="str">
        <f>FORSIDE!$C$3</f>
        <v>S355, Stål / VFHUP 140x140x8.0</v>
      </c>
    </row>
    <row r="3870" spans="1:3" x14ac:dyDescent="0.3">
      <c r="A3870" t="str">
        <f>IF(AND(FORSIDE!$B$8&gt;=16,FORSIDE!$F$8&gt;=7,FORSIDE!$B$5&gt;=9),"S3869","")</f>
        <v/>
      </c>
      <c r="B3870" t="str">
        <f>IF(AND(FORSIDE!$B$8&gt;=16,FORSIDE!$F$8&gt;=7,FORSIDE!$B$5&gt;=9),"1792 -&gt; 1803","")</f>
        <v/>
      </c>
      <c r="C3870" t="str">
        <f>FORSIDE!$C$3</f>
        <v>S355, Stål / VFHUP 140x140x8.0</v>
      </c>
    </row>
    <row r="3871" spans="1:3" x14ac:dyDescent="0.3">
      <c r="A3871" t="str">
        <f>IF(AND(FORSIDE!$B$8&gt;=16,FORSIDE!$F$8&gt;=7,FORSIDE!$B$5&gt;=10),"S3870","")</f>
        <v/>
      </c>
      <c r="B3871" t="str">
        <f>IF(AND(FORSIDE!$B$8&gt;=16,FORSIDE!$F$8&gt;=7,FORSIDE!$B$5&gt;=10),"1793 -&gt; 1804","")</f>
        <v/>
      </c>
      <c r="C3871" t="str">
        <f>FORSIDE!$C$3</f>
        <v>S355, Stål / VFHUP 140x140x8.0</v>
      </c>
    </row>
    <row r="3872" spans="1:3" x14ac:dyDescent="0.3">
      <c r="A3872" t="str">
        <f>IF(AND(FORSIDE!$B$8&gt;=17,FORSIDE!$F$8&gt;=7,FORSIDE!$B$5&gt;=1),"S3871","")</f>
        <v/>
      </c>
      <c r="B3872" t="str">
        <f>IF(AND(FORSIDE!$B$8&gt;=17,FORSIDE!$F$8&gt;=7,FORSIDE!$B$5&gt;=1),"1795 -&gt; 1806","")</f>
        <v/>
      </c>
      <c r="C3872" t="str">
        <f>FORSIDE!$C$3</f>
        <v>S355, Stål / VFHUP 140x140x8.0</v>
      </c>
    </row>
    <row r="3873" spans="1:3" x14ac:dyDescent="0.3">
      <c r="A3873" t="str">
        <f>IF(AND(FORSIDE!$B$8&gt;=17,FORSIDE!$F$8&gt;=7,FORSIDE!$B$5&gt;=2),"S3872","")</f>
        <v/>
      </c>
      <c r="B3873" t="str">
        <f>IF(AND(FORSIDE!$B$8&gt;=17,FORSIDE!$F$8&gt;=7,FORSIDE!$B$5&gt;=2),"1796 -&gt; 1807","")</f>
        <v/>
      </c>
      <c r="C3873" t="str">
        <f>FORSIDE!$C$3</f>
        <v>S355, Stål / VFHUP 140x140x8.0</v>
      </c>
    </row>
    <row r="3874" spans="1:3" x14ac:dyDescent="0.3">
      <c r="A3874" t="str">
        <f>IF(AND(FORSIDE!$B$8&gt;=17,FORSIDE!$F$8&gt;=7,FORSIDE!$B$5&gt;=3),"S3873","")</f>
        <v/>
      </c>
      <c r="B3874" t="str">
        <f>IF(AND(FORSIDE!$B$8&gt;=17,FORSIDE!$F$8&gt;=7,FORSIDE!$B$5&gt;=3),"1797 -&gt; 1808","")</f>
        <v/>
      </c>
      <c r="C3874" t="str">
        <f>FORSIDE!$C$3</f>
        <v>S355, Stål / VFHUP 140x140x8.0</v>
      </c>
    </row>
    <row r="3875" spans="1:3" x14ac:dyDescent="0.3">
      <c r="A3875" t="str">
        <f>IF(AND(FORSIDE!$B$8&gt;=17,FORSIDE!$F$8&gt;=7,FORSIDE!$B$5&gt;=4),"S3874","")</f>
        <v/>
      </c>
      <c r="B3875" t="str">
        <f>IF(AND(FORSIDE!$B$8&gt;=17,FORSIDE!$F$8&gt;=7,FORSIDE!$B$5&gt;=4),"1798 -&gt; 1809","")</f>
        <v/>
      </c>
      <c r="C3875" t="str">
        <f>FORSIDE!$C$3</f>
        <v>S355, Stål / VFHUP 140x140x8.0</v>
      </c>
    </row>
    <row r="3876" spans="1:3" x14ac:dyDescent="0.3">
      <c r="A3876" t="str">
        <f>IF(AND(FORSIDE!$B$8&gt;=17,FORSIDE!$F$8&gt;=7,FORSIDE!$B$5&gt;=5),"S3875","")</f>
        <v/>
      </c>
      <c r="B3876" t="str">
        <f>IF(AND(FORSIDE!$B$8&gt;=17,FORSIDE!$F$8&gt;=7,FORSIDE!$B$5&gt;=5),"1799 -&gt; 1810","")</f>
        <v/>
      </c>
      <c r="C3876" t="str">
        <f>FORSIDE!$C$3</f>
        <v>S355, Stål / VFHUP 140x140x8.0</v>
      </c>
    </row>
    <row r="3877" spans="1:3" x14ac:dyDescent="0.3">
      <c r="A3877" t="str">
        <f>IF(AND(FORSIDE!$B$8&gt;=17,FORSIDE!$F$8&gt;=7,FORSIDE!$B$5&gt;=6),"S3876","")</f>
        <v/>
      </c>
      <c r="B3877" t="str">
        <f>IF(AND(FORSIDE!$B$8&gt;=17,FORSIDE!$F$8&gt;=7,FORSIDE!$B$5&gt;=6),"1800 -&gt; 1811","")</f>
        <v/>
      </c>
      <c r="C3877" t="str">
        <f>FORSIDE!$C$3</f>
        <v>S355, Stål / VFHUP 140x140x8.0</v>
      </c>
    </row>
    <row r="3878" spans="1:3" x14ac:dyDescent="0.3">
      <c r="A3878" t="str">
        <f>IF(AND(FORSIDE!$B$8&gt;=17,FORSIDE!$F$8&gt;=7,FORSIDE!$B$5&gt;=7),"S3877","")</f>
        <v/>
      </c>
      <c r="B3878" t="str">
        <f>IF(AND(FORSIDE!$B$8&gt;=17,FORSIDE!$F$8&gt;=7,FORSIDE!$B$5&gt;=7),"1801 -&gt; 1812","")</f>
        <v/>
      </c>
      <c r="C3878" t="str">
        <f>FORSIDE!$C$3</f>
        <v>S355, Stål / VFHUP 140x140x8.0</v>
      </c>
    </row>
    <row r="3879" spans="1:3" x14ac:dyDescent="0.3">
      <c r="A3879" t="str">
        <f>IF(AND(FORSIDE!$B$8&gt;=17,FORSIDE!$F$8&gt;=7,FORSIDE!$B$5&gt;=8),"S3878","")</f>
        <v/>
      </c>
      <c r="B3879" t="str">
        <f>IF(AND(FORSIDE!$B$8&gt;=17,FORSIDE!$F$8&gt;=7,FORSIDE!$B$5&gt;=8),"1802 -&gt; 1813","")</f>
        <v/>
      </c>
      <c r="C3879" t="str">
        <f>FORSIDE!$C$3</f>
        <v>S355, Stål / VFHUP 140x140x8.0</v>
      </c>
    </row>
    <row r="3880" spans="1:3" x14ac:dyDescent="0.3">
      <c r="A3880" t="str">
        <f>IF(AND(FORSIDE!$B$8&gt;=17,FORSIDE!$F$8&gt;=7,FORSIDE!$B$5&gt;=9),"S3879","")</f>
        <v/>
      </c>
      <c r="B3880" t="str">
        <f>IF(AND(FORSIDE!$B$8&gt;=17,FORSIDE!$F$8&gt;=7,FORSIDE!$B$5&gt;=9),"1803 -&gt; 1814","")</f>
        <v/>
      </c>
      <c r="C3880" t="str">
        <f>FORSIDE!$C$3</f>
        <v>S355, Stål / VFHUP 140x140x8.0</v>
      </c>
    </row>
    <row r="3881" spans="1:3" x14ac:dyDescent="0.3">
      <c r="A3881" t="str">
        <f>IF(AND(FORSIDE!$B$8&gt;=17,FORSIDE!$F$8&gt;=7,FORSIDE!$B$5&gt;=10),"S3880","")</f>
        <v/>
      </c>
      <c r="B3881" t="str">
        <f>IF(AND(FORSIDE!$B$8&gt;=17,FORSIDE!$F$8&gt;=7,FORSIDE!$B$5&gt;=10),"1804 -&gt; 1815","")</f>
        <v/>
      </c>
      <c r="C3881" t="str">
        <f>FORSIDE!$C$3</f>
        <v>S355, Stål / VFHUP 140x140x8.0</v>
      </c>
    </row>
    <row r="3882" spans="1:3" x14ac:dyDescent="0.3">
      <c r="A3882" t="str">
        <f>IF(AND(FORSIDE!$B$8&gt;=18,FORSIDE!$F$8&gt;=7,FORSIDE!$B$5&gt;=1),"S3881","")</f>
        <v/>
      </c>
      <c r="B3882" t="str">
        <f>IF(AND(FORSIDE!$B$8&gt;=18,FORSIDE!$F$8&gt;=7,FORSIDE!$B$5&gt;=1),"1806 -&gt; 1817","")</f>
        <v/>
      </c>
      <c r="C3882" t="str">
        <f>FORSIDE!$C$3</f>
        <v>S355, Stål / VFHUP 140x140x8.0</v>
      </c>
    </row>
    <row r="3883" spans="1:3" x14ac:dyDescent="0.3">
      <c r="A3883" t="str">
        <f>IF(AND(FORSIDE!$B$8&gt;=18,FORSIDE!$F$8&gt;=7,FORSIDE!$B$5&gt;=2),"S3882","")</f>
        <v/>
      </c>
      <c r="B3883" t="str">
        <f>IF(AND(FORSIDE!$B$8&gt;=18,FORSIDE!$F$8&gt;=7,FORSIDE!$B$5&gt;=2),"1807 -&gt; 1818","")</f>
        <v/>
      </c>
      <c r="C3883" t="str">
        <f>FORSIDE!$C$3</f>
        <v>S355, Stål / VFHUP 140x140x8.0</v>
      </c>
    </row>
    <row r="3884" spans="1:3" x14ac:dyDescent="0.3">
      <c r="A3884" t="str">
        <f>IF(AND(FORSIDE!$B$8&gt;=18,FORSIDE!$F$8&gt;=7,FORSIDE!$B$5&gt;=3),"S3883","")</f>
        <v/>
      </c>
      <c r="B3884" t="str">
        <f>IF(AND(FORSIDE!$B$8&gt;=18,FORSIDE!$F$8&gt;=7,FORSIDE!$B$5&gt;=3),"1808 -&gt; 1819","")</f>
        <v/>
      </c>
      <c r="C3884" t="str">
        <f>FORSIDE!$C$3</f>
        <v>S355, Stål / VFHUP 140x140x8.0</v>
      </c>
    </row>
    <row r="3885" spans="1:3" x14ac:dyDescent="0.3">
      <c r="A3885" t="str">
        <f>IF(AND(FORSIDE!$B$8&gt;=18,FORSIDE!$F$8&gt;=7,FORSIDE!$B$5&gt;=4),"S3884","")</f>
        <v/>
      </c>
      <c r="B3885" t="str">
        <f>IF(AND(FORSIDE!$B$8&gt;=18,FORSIDE!$F$8&gt;=7,FORSIDE!$B$5&gt;=4),"1809 -&gt; 1820","")</f>
        <v/>
      </c>
      <c r="C3885" t="str">
        <f>FORSIDE!$C$3</f>
        <v>S355, Stål / VFHUP 140x140x8.0</v>
      </c>
    </row>
    <row r="3886" spans="1:3" x14ac:dyDescent="0.3">
      <c r="A3886" t="str">
        <f>IF(AND(FORSIDE!$B$8&gt;=18,FORSIDE!$F$8&gt;=7,FORSIDE!$B$5&gt;=5),"S3885","")</f>
        <v/>
      </c>
      <c r="B3886" t="str">
        <f>IF(AND(FORSIDE!$B$8&gt;=18,FORSIDE!$F$8&gt;=7,FORSIDE!$B$5&gt;=5),"1810 -&gt; 1821","")</f>
        <v/>
      </c>
      <c r="C3886" t="str">
        <f>FORSIDE!$C$3</f>
        <v>S355, Stål / VFHUP 140x140x8.0</v>
      </c>
    </row>
    <row r="3887" spans="1:3" x14ac:dyDescent="0.3">
      <c r="A3887" t="str">
        <f>IF(AND(FORSIDE!$B$8&gt;=18,FORSIDE!$F$8&gt;=7,FORSIDE!$B$5&gt;=6),"S3886","")</f>
        <v/>
      </c>
      <c r="B3887" t="str">
        <f>IF(AND(FORSIDE!$B$8&gt;=18,FORSIDE!$F$8&gt;=7,FORSIDE!$B$5&gt;=6),"1811 -&gt; 1822","")</f>
        <v/>
      </c>
      <c r="C3887" t="str">
        <f>FORSIDE!$C$3</f>
        <v>S355, Stål / VFHUP 140x140x8.0</v>
      </c>
    </row>
    <row r="3888" spans="1:3" x14ac:dyDescent="0.3">
      <c r="A3888" t="str">
        <f>IF(AND(FORSIDE!$B$8&gt;=18,FORSIDE!$F$8&gt;=7,FORSIDE!$B$5&gt;=7),"S3887","")</f>
        <v/>
      </c>
      <c r="B3888" t="str">
        <f>IF(AND(FORSIDE!$B$8&gt;=18,FORSIDE!$F$8&gt;=7,FORSIDE!$B$5&gt;=7),"1812 -&gt; 1823","")</f>
        <v/>
      </c>
      <c r="C3888" t="str">
        <f>FORSIDE!$C$3</f>
        <v>S355, Stål / VFHUP 140x140x8.0</v>
      </c>
    </row>
    <row r="3889" spans="1:3" x14ac:dyDescent="0.3">
      <c r="A3889" t="str">
        <f>IF(AND(FORSIDE!$B$8&gt;=18,FORSIDE!$F$8&gt;=7,FORSIDE!$B$5&gt;=8),"S3888","")</f>
        <v/>
      </c>
      <c r="B3889" t="str">
        <f>IF(AND(FORSIDE!$B$8&gt;=18,FORSIDE!$F$8&gt;=7,FORSIDE!$B$5&gt;=8),"1813 -&gt; 1824","")</f>
        <v/>
      </c>
      <c r="C3889" t="str">
        <f>FORSIDE!$C$3</f>
        <v>S355, Stål / VFHUP 140x140x8.0</v>
      </c>
    </row>
    <row r="3890" spans="1:3" x14ac:dyDescent="0.3">
      <c r="A3890" t="str">
        <f>IF(AND(FORSIDE!$B$8&gt;=18,FORSIDE!$F$8&gt;=7,FORSIDE!$B$5&gt;=9),"S3889","")</f>
        <v/>
      </c>
      <c r="B3890" t="str">
        <f>IF(AND(FORSIDE!$B$8&gt;=18,FORSIDE!$F$8&gt;=7,FORSIDE!$B$5&gt;=9),"1814 -&gt; 1825","")</f>
        <v/>
      </c>
      <c r="C3890" t="str">
        <f>FORSIDE!$C$3</f>
        <v>S355, Stål / VFHUP 140x140x8.0</v>
      </c>
    </row>
    <row r="3891" spans="1:3" x14ac:dyDescent="0.3">
      <c r="A3891" t="str">
        <f>IF(AND(FORSIDE!$B$8&gt;=18,FORSIDE!$F$8&gt;=7,FORSIDE!$B$5&gt;=10),"S3890","")</f>
        <v/>
      </c>
      <c r="B3891" t="str">
        <f>IF(AND(FORSIDE!$B$8&gt;=18,FORSIDE!$F$8&gt;=7,FORSIDE!$B$5&gt;=10),"1815 -&gt; 1826","")</f>
        <v/>
      </c>
      <c r="C3891" t="str">
        <f>FORSIDE!$C$3</f>
        <v>S355, Stål / VFHUP 140x140x8.0</v>
      </c>
    </row>
    <row r="3892" spans="1:3" x14ac:dyDescent="0.3">
      <c r="A3892" t="str">
        <f>IF(AND(FORSIDE!$B$8&gt;=19,FORSIDE!$F$8&gt;=7,FORSIDE!$B$5&gt;=1),"S3891","")</f>
        <v/>
      </c>
      <c r="B3892" t="str">
        <f>IF(AND(FORSIDE!$B$8&gt;=19,FORSIDE!$F$8&gt;=7,FORSIDE!$B$5&gt;=1),"1817 -&gt; 1828","")</f>
        <v/>
      </c>
      <c r="C3892" t="str">
        <f>FORSIDE!$C$3</f>
        <v>S355, Stål / VFHUP 140x140x8.0</v>
      </c>
    </row>
    <row r="3893" spans="1:3" x14ac:dyDescent="0.3">
      <c r="A3893" t="str">
        <f>IF(AND(FORSIDE!$B$8&gt;=19,FORSIDE!$F$8&gt;=7,FORSIDE!$B$5&gt;=2),"S3892","")</f>
        <v/>
      </c>
      <c r="B3893" t="str">
        <f>IF(AND(FORSIDE!$B$8&gt;=19,FORSIDE!$F$8&gt;=7,FORSIDE!$B$5&gt;=2),"1818 -&gt; 1829","")</f>
        <v/>
      </c>
      <c r="C3893" t="str">
        <f>FORSIDE!$C$3</f>
        <v>S355, Stål / VFHUP 140x140x8.0</v>
      </c>
    </row>
    <row r="3894" spans="1:3" x14ac:dyDescent="0.3">
      <c r="A3894" t="str">
        <f>IF(AND(FORSIDE!$B$8&gt;=19,FORSIDE!$F$8&gt;=7,FORSIDE!$B$5&gt;=3),"S3893","")</f>
        <v/>
      </c>
      <c r="B3894" t="str">
        <f>IF(AND(FORSIDE!$B$8&gt;=19,FORSIDE!$F$8&gt;=7,FORSIDE!$B$5&gt;=3),"1819 -&gt; 1830","")</f>
        <v/>
      </c>
      <c r="C3894" t="str">
        <f>FORSIDE!$C$3</f>
        <v>S355, Stål / VFHUP 140x140x8.0</v>
      </c>
    </row>
    <row r="3895" spans="1:3" x14ac:dyDescent="0.3">
      <c r="A3895" t="str">
        <f>IF(AND(FORSIDE!$B$8&gt;=19,FORSIDE!$F$8&gt;=7,FORSIDE!$B$5&gt;=4),"S3894","")</f>
        <v/>
      </c>
      <c r="B3895" t="str">
        <f>IF(AND(FORSIDE!$B$8&gt;=19,FORSIDE!$F$8&gt;=7,FORSIDE!$B$5&gt;=4),"1820 -&gt; 1831","")</f>
        <v/>
      </c>
      <c r="C3895" t="str">
        <f>FORSIDE!$C$3</f>
        <v>S355, Stål / VFHUP 140x140x8.0</v>
      </c>
    </row>
    <row r="3896" spans="1:3" x14ac:dyDescent="0.3">
      <c r="A3896" t="str">
        <f>IF(AND(FORSIDE!$B$8&gt;=19,FORSIDE!$F$8&gt;=7,FORSIDE!$B$5&gt;=5),"S3895","")</f>
        <v/>
      </c>
      <c r="B3896" t="str">
        <f>IF(AND(FORSIDE!$B$8&gt;=19,FORSIDE!$F$8&gt;=7,FORSIDE!$B$5&gt;=5),"1821 -&gt; 1832","")</f>
        <v/>
      </c>
      <c r="C3896" t="str">
        <f>FORSIDE!$C$3</f>
        <v>S355, Stål / VFHUP 140x140x8.0</v>
      </c>
    </row>
    <row r="3897" spans="1:3" x14ac:dyDescent="0.3">
      <c r="A3897" t="str">
        <f>IF(AND(FORSIDE!$B$8&gt;=19,FORSIDE!$F$8&gt;=7,FORSIDE!$B$5&gt;=6),"S3896","")</f>
        <v/>
      </c>
      <c r="B3897" t="str">
        <f>IF(AND(FORSIDE!$B$8&gt;=19,FORSIDE!$F$8&gt;=7,FORSIDE!$B$5&gt;=6),"1822 -&gt; 1833","")</f>
        <v/>
      </c>
      <c r="C3897" t="str">
        <f>FORSIDE!$C$3</f>
        <v>S355, Stål / VFHUP 140x140x8.0</v>
      </c>
    </row>
    <row r="3898" spans="1:3" x14ac:dyDescent="0.3">
      <c r="A3898" t="str">
        <f>IF(AND(FORSIDE!$B$8&gt;=19,FORSIDE!$F$8&gt;=7,FORSIDE!$B$5&gt;=7),"S3897","")</f>
        <v/>
      </c>
      <c r="B3898" t="str">
        <f>IF(AND(FORSIDE!$B$8&gt;=19,FORSIDE!$F$8&gt;=7,FORSIDE!$B$5&gt;=7),"1823 -&gt; 1834","")</f>
        <v/>
      </c>
      <c r="C3898" t="str">
        <f>FORSIDE!$C$3</f>
        <v>S355, Stål / VFHUP 140x140x8.0</v>
      </c>
    </row>
    <row r="3899" spans="1:3" x14ac:dyDescent="0.3">
      <c r="A3899" t="str">
        <f>IF(AND(FORSIDE!$B$8&gt;=19,FORSIDE!$F$8&gt;=7,FORSIDE!$B$5&gt;=8),"S3898","")</f>
        <v/>
      </c>
      <c r="B3899" t="str">
        <f>IF(AND(FORSIDE!$B$8&gt;=19,FORSIDE!$F$8&gt;=7,FORSIDE!$B$5&gt;=8),"1824 -&gt; 1835","")</f>
        <v/>
      </c>
      <c r="C3899" t="str">
        <f>FORSIDE!$C$3</f>
        <v>S355, Stål / VFHUP 140x140x8.0</v>
      </c>
    </row>
    <row r="3900" spans="1:3" x14ac:dyDescent="0.3">
      <c r="A3900" t="str">
        <f>IF(AND(FORSIDE!$B$8&gt;=19,FORSIDE!$F$8&gt;=7,FORSIDE!$B$5&gt;=9),"S3899","")</f>
        <v/>
      </c>
      <c r="B3900" t="str">
        <f>IF(AND(FORSIDE!$B$8&gt;=19,FORSIDE!$F$8&gt;=7,FORSIDE!$B$5&gt;=9),"1825 -&gt; 1836","")</f>
        <v/>
      </c>
      <c r="C3900" t="str">
        <f>FORSIDE!$C$3</f>
        <v>S355, Stål / VFHUP 140x140x8.0</v>
      </c>
    </row>
    <row r="3901" spans="1:3" x14ac:dyDescent="0.3">
      <c r="A3901" t="str">
        <f>IF(AND(FORSIDE!$B$8&gt;=19,FORSIDE!$F$8&gt;=7,FORSIDE!$B$5&gt;=10),"S3900","")</f>
        <v/>
      </c>
      <c r="B3901" t="str">
        <f>IF(AND(FORSIDE!$B$8&gt;=19,FORSIDE!$F$8&gt;=7,FORSIDE!$B$5&gt;=10),"1826 -&gt; 1837","")</f>
        <v/>
      </c>
      <c r="C3901" t="str">
        <f>FORSIDE!$C$3</f>
        <v>S355, Stål / VFHUP 140x140x8.0</v>
      </c>
    </row>
    <row r="3902" spans="1:3" x14ac:dyDescent="0.3">
      <c r="A3902" t="str">
        <f>IF(AND(FORSIDE!$B$8&gt;=20,FORSIDE!$F$8&gt;=7,FORSIDE!$B$5&gt;=1),"S3901","")</f>
        <v/>
      </c>
      <c r="B3902" t="str">
        <f>IF(AND(FORSIDE!$B$8&gt;=20,FORSIDE!$F$8&gt;=7,FORSIDE!$B$5&gt;=1),"1828 -&gt; 1839","")</f>
        <v/>
      </c>
      <c r="C3902" t="str">
        <f>FORSIDE!$C$3</f>
        <v>S355, Stål / VFHUP 140x140x8.0</v>
      </c>
    </row>
    <row r="3903" spans="1:3" x14ac:dyDescent="0.3">
      <c r="A3903" t="str">
        <f>IF(AND(FORSIDE!$B$8&gt;=20,FORSIDE!$F$8&gt;=7,FORSIDE!$B$5&gt;=2),"S3902","")</f>
        <v/>
      </c>
      <c r="B3903" t="str">
        <f>IF(AND(FORSIDE!$B$8&gt;=20,FORSIDE!$F$8&gt;=7,FORSIDE!$B$5&gt;=2),"1829 -&gt; 1840","")</f>
        <v/>
      </c>
      <c r="C3903" t="str">
        <f>FORSIDE!$C$3</f>
        <v>S355, Stål / VFHUP 140x140x8.0</v>
      </c>
    </row>
    <row r="3904" spans="1:3" x14ac:dyDescent="0.3">
      <c r="A3904" t="str">
        <f>IF(AND(FORSIDE!$B$8&gt;=20,FORSIDE!$F$8&gt;=7,FORSIDE!$B$5&gt;=3),"S3903","")</f>
        <v/>
      </c>
      <c r="B3904" t="str">
        <f>IF(AND(FORSIDE!$B$8&gt;=20,FORSIDE!$F$8&gt;=7,FORSIDE!$B$5&gt;=3),"1830 -&gt; 1841","")</f>
        <v/>
      </c>
      <c r="C3904" t="str">
        <f>FORSIDE!$C$3</f>
        <v>S355, Stål / VFHUP 140x140x8.0</v>
      </c>
    </row>
    <row r="3905" spans="1:3" x14ac:dyDescent="0.3">
      <c r="A3905" t="str">
        <f>IF(AND(FORSIDE!$B$8&gt;=20,FORSIDE!$F$8&gt;=7,FORSIDE!$B$5&gt;=4),"S3904","")</f>
        <v/>
      </c>
      <c r="B3905" t="str">
        <f>IF(AND(FORSIDE!$B$8&gt;=20,FORSIDE!$F$8&gt;=7,FORSIDE!$B$5&gt;=4),"1831 -&gt; 1842","")</f>
        <v/>
      </c>
      <c r="C3905" t="str">
        <f>FORSIDE!$C$3</f>
        <v>S355, Stål / VFHUP 140x140x8.0</v>
      </c>
    </row>
    <row r="3906" spans="1:3" x14ac:dyDescent="0.3">
      <c r="A3906" t="str">
        <f>IF(AND(FORSIDE!$B$8&gt;=20,FORSIDE!$F$8&gt;=7,FORSIDE!$B$5&gt;=5),"S3905","")</f>
        <v/>
      </c>
      <c r="B3906" t="str">
        <f>IF(AND(FORSIDE!$B$8&gt;=20,FORSIDE!$F$8&gt;=7,FORSIDE!$B$5&gt;=5),"1832 -&gt; 1843","")</f>
        <v/>
      </c>
      <c r="C3906" t="str">
        <f>FORSIDE!$C$3</f>
        <v>S355, Stål / VFHUP 140x140x8.0</v>
      </c>
    </row>
    <row r="3907" spans="1:3" x14ac:dyDescent="0.3">
      <c r="A3907" t="str">
        <f>IF(AND(FORSIDE!$B$8&gt;=20,FORSIDE!$F$8&gt;=7,FORSIDE!$B$5&gt;=6),"S3906","")</f>
        <v/>
      </c>
      <c r="B3907" t="str">
        <f>IF(AND(FORSIDE!$B$8&gt;=20,FORSIDE!$F$8&gt;=7,FORSIDE!$B$5&gt;=6),"1833 -&gt; 1844","")</f>
        <v/>
      </c>
      <c r="C3907" t="str">
        <f>FORSIDE!$C$3</f>
        <v>S355, Stål / VFHUP 140x140x8.0</v>
      </c>
    </row>
    <row r="3908" spans="1:3" x14ac:dyDescent="0.3">
      <c r="A3908" t="str">
        <f>IF(AND(FORSIDE!$B$8&gt;=20,FORSIDE!$F$8&gt;=7,FORSIDE!$B$5&gt;=7),"S3907","")</f>
        <v/>
      </c>
      <c r="B3908" t="str">
        <f>IF(AND(FORSIDE!$B$8&gt;=20,FORSIDE!$F$8&gt;=7,FORSIDE!$B$5&gt;=7),"1834 -&gt; 1845","")</f>
        <v/>
      </c>
      <c r="C3908" t="str">
        <f>FORSIDE!$C$3</f>
        <v>S355, Stål / VFHUP 140x140x8.0</v>
      </c>
    </row>
    <row r="3909" spans="1:3" x14ac:dyDescent="0.3">
      <c r="A3909" t="str">
        <f>IF(AND(FORSIDE!$B$8&gt;=20,FORSIDE!$F$8&gt;=7,FORSIDE!$B$5&gt;=8),"S3908","")</f>
        <v/>
      </c>
      <c r="B3909" t="str">
        <f>IF(AND(FORSIDE!$B$8&gt;=20,FORSIDE!$F$8&gt;=7,FORSIDE!$B$5&gt;=8),"1835 -&gt; 1846","")</f>
        <v/>
      </c>
      <c r="C3909" t="str">
        <f>FORSIDE!$C$3</f>
        <v>S355, Stål / VFHUP 140x140x8.0</v>
      </c>
    </row>
    <row r="3910" spans="1:3" x14ac:dyDescent="0.3">
      <c r="A3910" t="str">
        <f>IF(AND(FORSIDE!$B$8&gt;=20,FORSIDE!$F$8&gt;=7,FORSIDE!$B$5&gt;=9),"S3909","")</f>
        <v/>
      </c>
      <c r="B3910" t="str">
        <f>IF(AND(FORSIDE!$B$8&gt;=20,FORSIDE!$F$8&gt;=7,FORSIDE!$B$5&gt;=9),"1836 -&gt; 1847","")</f>
        <v/>
      </c>
      <c r="C3910" t="str">
        <f>FORSIDE!$C$3</f>
        <v>S355, Stål / VFHUP 140x140x8.0</v>
      </c>
    </row>
    <row r="3911" spans="1:3" x14ac:dyDescent="0.3">
      <c r="A3911" t="str">
        <f>IF(AND(FORSIDE!$B$8&gt;=20,FORSIDE!$F$8&gt;=7,FORSIDE!$B$5&gt;=10),"S3910","")</f>
        <v/>
      </c>
      <c r="B3911" t="str">
        <f>IF(AND(FORSIDE!$B$8&gt;=20,FORSIDE!$F$8&gt;=7,FORSIDE!$B$5&gt;=10),"1837 -&gt; 1848","")</f>
        <v/>
      </c>
      <c r="C3911" t="str">
        <f>FORSIDE!$C$3</f>
        <v>S355, Stål / VFHUP 140x140x8.0</v>
      </c>
    </row>
    <row r="3912" spans="1:3" x14ac:dyDescent="0.3">
      <c r="A3912" t="str">
        <f>IF(AND(FORSIDE!$B$8&gt;=1,FORSIDE!$F$8&gt;=8,FORSIDE!$B$5&gt;=1),"S3911","")</f>
        <v/>
      </c>
      <c r="B3912" t="str">
        <f>IF(AND(FORSIDE!$B$8&gt;=1,FORSIDE!$F$8&gt;=8,FORSIDE!$B$5&gt;=1),"1850 -&gt; 1861","")</f>
        <v/>
      </c>
      <c r="C3912" t="str">
        <f>FORSIDE!$C$3</f>
        <v>S355, Stål / VFHUP 140x140x8.0</v>
      </c>
    </row>
    <row r="3913" spans="1:3" x14ac:dyDescent="0.3">
      <c r="A3913" t="str">
        <f>IF(AND(FORSIDE!$B$8&gt;=1,FORSIDE!$F$8&gt;=8,FORSIDE!$B$5&gt;=2),"S3912","")</f>
        <v/>
      </c>
      <c r="B3913" t="str">
        <f>IF(AND(FORSIDE!$B$8&gt;=1,FORSIDE!$F$8&gt;=8,FORSIDE!$B$5&gt;=2),"1851 -&gt; 1862","")</f>
        <v/>
      </c>
      <c r="C3913" t="str">
        <f>FORSIDE!$C$3</f>
        <v>S355, Stål / VFHUP 140x140x8.0</v>
      </c>
    </row>
    <row r="3914" spans="1:3" x14ac:dyDescent="0.3">
      <c r="A3914" t="str">
        <f>IF(AND(FORSIDE!$B$8&gt;=1,FORSIDE!$F$8&gt;=8,FORSIDE!$B$5&gt;=3),"S3913","")</f>
        <v/>
      </c>
      <c r="B3914" t="str">
        <f>IF(AND(FORSIDE!$B$8&gt;=1,FORSIDE!$F$8&gt;=8,FORSIDE!$B$5&gt;=3),"1852 -&gt; 1863","")</f>
        <v/>
      </c>
      <c r="C3914" t="str">
        <f>FORSIDE!$C$3</f>
        <v>S355, Stål / VFHUP 140x140x8.0</v>
      </c>
    </row>
    <row r="3915" spans="1:3" x14ac:dyDescent="0.3">
      <c r="A3915" t="str">
        <f>IF(AND(FORSIDE!$B$8&gt;=1,FORSIDE!$F$8&gt;=8,FORSIDE!$B$5&gt;=4),"S3914","")</f>
        <v/>
      </c>
      <c r="B3915" t="str">
        <f>IF(AND(FORSIDE!$B$8&gt;=1,FORSIDE!$F$8&gt;=8,FORSIDE!$B$5&gt;=4),"1853 -&gt; 1864","")</f>
        <v/>
      </c>
      <c r="C3915" t="str">
        <f>FORSIDE!$C$3</f>
        <v>S355, Stål / VFHUP 140x140x8.0</v>
      </c>
    </row>
    <row r="3916" spans="1:3" x14ac:dyDescent="0.3">
      <c r="A3916" t="str">
        <f>IF(AND(FORSIDE!$B$8&gt;=1,FORSIDE!$F$8&gt;=8,FORSIDE!$B$5&gt;=5),"S3915","")</f>
        <v/>
      </c>
      <c r="B3916" t="str">
        <f>IF(AND(FORSIDE!$B$8&gt;=1,FORSIDE!$F$8&gt;=8,FORSIDE!$B$5&gt;=5),"1854 -&gt; 1865","")</f>
        <v/>
      </c>
      <c r="C3916" t="str">
        <f>FORSIDE!$C$3</f>
        <v>S355, Stål / VFHUP 140x140x8.0</v>
      </c>
    </row>
    <row r="3917" spans="1:3" x14ac:dyDescent="0.3">
      <c r="A3917" t="str">
        <f>IF(AND(FORSIDE!$B$8&gt;=1,FORSIDE!$F$8&gt;=8,FORSIDE!$B$5&gt;=6),"S3916","")</f>
        <v/>
      </c>
      <c r="B3917" t="str">
        <f>IF(AND(FORSIDE!$B$8&gt;=1,FORSIDE!$F$8&gt;=8,FORSIDE!$B$5&gt;=6),"1855 -&gt; 1866","")</f>
        <v/>
      </c>
      <c r="C3917" t="str">
        <f>FORSIDE!$C$3</f>
        <v>S355, Stål / VFHUP 140x140x8.0</v>
      </c>
    </row>
    <row r="3918" spans="1:3" x14ac:dyDescent="0.3">
      <c r="A3918" t="str">
        <f>IF(AND(FORSIDE!$B$8&gt;=1,FORSIDE!$F$8&gt;=8,FORSIDE!$B$5&gt;=7),"S3917","")</f>
        <v/>
      </c>
      <c r="B3918" t="str">
        <f>IF(AND(FORSIDE!$B$8&gt;=1,FORSIDE!$F$8&gt;=8,FORSIDE!$B$5&gt;=7),"1856 -&gt; 1867","")</f>
        <v/>
      </c>
      <c r="C3918" t="str">
        <f>FORSIDE!$C$3</f>
        <v>S355, Stål / VFHUP 140x140x8.0</v>
      </c>
    </row>
    <row r="3919" spans="1:3" x14ac:dyDescent="0.3">
      <c r="A3919" t="str">
        <f>IF(AND(FORSIDE!$B$8&gt;=1,FORSIDE!$F$8&gt;=8,FORSIDE!$B$5&gt;=8),"S3918","")</f>
        <v/>
      </c>
      <c r="B3919" t="str">
        <f>IF(AND(FORSIDE!$B$8&gt;=1,FORSIDE!$F$8&gt;=8,FORSIDE!$B$5&gt;=8),"1857 -&gt; 1868","")</f>
        <v/>
      </c>
      <c r="C3919" t="str">
        <f>FORSIDE!$C$3</f>
        <v>S355, Stål / VFHUP 140x140x8.0</v>
      </c>
    </row>
    <row r="3920" spans="1:3" x14ac:dyDescent="0.3">
      <c r="A3920" t="str">
        <f>IF(AND(FORSIDE!$B$8&gt;=1,FORSIDE!$F$8&gt;=8,FORSIDE!$B$5&gt;=9),"S3919","")</f>
        <v/>
      </c>
      <c r="B3920" t="str">
        <f>IF(AND(FORSIDE!$B$8&gt;=1,FORSIDE!$F$8&gt;=8,FORSIDE!$B$5&gt;=9),"1858 -&gt; 1869","")</f>
        <v/>
      </c>
      <c r="C3920" t="str">
        <f>FORSIDE!$C$3</f>
        <v>S355, Stål / VFHUP 140x140x8.0</v>
      </c>
    </row>
    <row r="3921" spans="1:3" x14ac:dyDescent="0.3">
      <c r="A3921" t="str">
        <f>IF(AND(FORSIDE!$B$8&gt;=1,FORSIDE!$F$8&gt;=8,FORSIDE!$B$5&gt;=10),"S3920","")</f>
        <v/>
      </c>
      <c r="B3921" t="str">
        <f>IF(AND(FORSIDE!$B$8&gt;=1,FORSIDE!$F$8&gt;=8,FORSIDE!$B$5&gt;=10),"1859 -&gt; 1870","")</f>
        <v/>
      </c>
      <c r="C3921" t="str">
        <f>FORSIDE!$C$3</f>
        <v>S355, Stål / VFHUP 140x140x8.0</v>
      </c>
    </row>
    <row r="3922" spans="1:3" x14ac:dyDescent="0.3">
      <c r="A3922" t="str">
        <f>IF(AND(FORSIDE!$B$8&gt;=2,FORSIDE!$F$8&gt;=8,FORSIDE!$B$5&gt;=1),"S3921","")</f>
        <v/>
      </c>
      <c r="B3922" t="str">
        <f>IF(AND(FORSIDE!$B$8&gt;=2,FORSIDE!$F$8&gt;=8,FORSIDE!$B$5&gt;=1),"1861 -&gt; 1872","")</f>
        <v/>
      </c>
      <c r="C3922" t="str">
        <f>FORSIDE!$C$3</f>
        <v>S355, Stål / VFHUP 140x140x8.0</v>
      </c>
    </row>
    <row r="3923" spans="1:3" x14ac:dyDescent="0.3">
      <c r="A3923" t="str">
        <f>IF(AND(FORSIDE!$B$8&gt;=2,FORSIDE!$F$8&gt;=8,FORSIDE!$B$5&gt;=2),"S3922","")</f>
        <v/>
      </c>
      <c r="B3923" t="str">
        <f>IF(AND(FORSIDE!$B$8&gt;=2,FORSIDE!$F$8&gt;=8,FORSIDE!$B$5&gt;=2),"1862 -&gt; 1873","")</f>
        <v/>
      </c>
      <c r="C3923" t="str">
        <f>FORSIDE!$C$3</f>
        <v>S355, Stål / VFHUP 140x140x8.0</v>
      </c>
    </row>
    <row r="3924" spans="1:3" x14ac:dyDescent="0.3">
      <c r="A3924" t="str">
        <f>IF(AND(FORSIDE!$B$8&gt;=2,FORSIDE!$F$8&gt;=8,FORSIDE!$B$5&gt;=3),"S3923","")</f>
        <v/>
      </c>
      <c r="B3924" t="str">
        <f>IF(AND(FORSIDE!$B$8&gt;=2,FORSIDE!$F$8&gt;=8,FORSIDE!$B$5&gt;=3),"1863 -&gt; 1874","")</f>
        <v/>
      </c>
      <c r="C3924" t="str">
        <f>FORSIDE!$C$3</f>
        <v>S355, Stål / VFHUP 140x140x8.0</v>
      </c>
    </row>
    <row r="3925" spans="1:3" x14ac:dyDescent="0.3">
      <c r="A3925" t="str">
        <f>IF(AND(FORSIDE!$B$8&gt;=2,FORSIDE!$F$8&gt;=8,FORSIDE!$B$5&gt;=4),"S3924","")</f>
        <v/>
      </c>
      <c r="B3925" t="str">
        <f>IF(AND(FORSIDE!$B$8&gt;=2,FORSIDE!$F$8&gt;=8,FORSIDE!$B$5&gt;=4),"1864 -&gt; 1875","")</f>
        <v/>
      </c>
      <c r="C3925" t="str">
        <f>FORSIDE!$C$3</f>
        <v>S355, Stål / VFHUP 140x140x8.0</v>
      </c>
    </row>
    <row r="3926" spans="1:3" x14ac:dyDescent="0.3">
      <c r="A3926" t="str">
        <f>IF(AND(FORSIDE!$B$8&gt;=2,FORSIDE!$F$8&gt;=8,FORSIDE!$B$5&gt;=5),"S3925","")</f>
        <v/>
      </c>
      <c r="B3926" t="str">
        <f>IF(AND(FORSIDE!$B$8&gt;=2,FORSIDE!$F$8&gt;=8,FORSIDE!$B$5&gt;=5),"1865 -&gt; 1876","")</f>
        <v/>
      </c>
      <c r="C3926" t="str">
        <f>FORSIDE!$C$3</f>
        <v>S355, Stål / VFHUP 140x140x8.0</v>
      </c>
    </row>
    <row r="3927" spans="1:3" x14ac:dyDescent="0.3">
      <c r="A3927" t="str">
        <f>IF(AND(FORSIDE!$B$8&gt;=2,FORSIDE!$F$8&gt;=8,FORSIDE!$B$5&gt;=6),"S3926","")</f>
        <v/>
      </c>
      <c r="B3927" t="str">
        <f>IF(AND(FORSIDE!$B$8&gt;=2,FORSIDE!$F$8&gt;=8,FORSIDE!$B$5&gt;=6),"1866 -&gt; 1877","")</f>
        <v/>
      </c>
      <c r="C3927" t="str">
        <f>FORSIDE!$C$3</f>
        <v>S355, Stål / VFHUP 140x140x8.0</v>
      </c>
    </row>
    <row r="3928" spans="1:3" x14ac:dyDescent="0.3">
      <c r="A3928" t="str">
        <f>IF(AND(FORSIDE!$B$8&gt;=2,FORSIDE!$F$8&gt;=8,FORSIDE!$B$5&gt;=7),"S3927","")</f>
        <v/>
      </c>
      <c r="B3928" t="str">
        <f>IF(AND(FORSIDE!$B$8&gt;=2,FORSIDE!$F$8&gt;=8,FORSIDE!$B$5&gt;=7),"1867 -&gt; 1878","")</f>
        <v/>
      </c>
      <c r="C3928" t="str">
        <f>FORSIDE!$C$3</f>
        <v>S355, Stål / VFHUP 140x140x8.0</v>
      </c>
    </row>
    <row r="3929" spans="1:3" x14ac:dyDescent="0.3">
      <c r="A3929" t="str">
        <f>IF(AND(FORSIDE!$B$8&gt;=2,FORSIDE!$F$8&gt;=8,FORSIDE!$B$5&gt;=8),"S3928","")</f>
        <v/>
      </c>
      <c r="B3929" t="str">
        <f>IF(AND(FORSIDE!$B$8&gt;=2,FORSIDE!$F$8&gt;=8,FORSIDE!$B$5&gt;=8),"1868 -&gt; 1879","")</f>
        <v/>
      </c>
      <c r="C3929" t="str">
        <f>FORSIDE!$C$3</f>
        <v>S355, Stål / VFHUP 140x140x8.0</v>
      </c>
    </row>
    <row r="3930" spans="1:3" x14ac:dyDescent="0.3">
      <c r="A3930" t="str">
        <f>IF(AND(FORSIDE!$B$8&gt;=2,FORSIDE!$F$8&gt;=8,FORSIDE!$B$5&gt;=9),"S3929","")</f>
        <v/>
      </c>
      <c r="B3930" t="str">
        <f>IF(AND(FORSIDE!$B$8&gt;=2,FORSIDE!$F$8&gt;=8,FORSIDE!$B$5&gt;=9),"1869 -&gt; 1880","")</f>
        <v/>
      </c>
      <c r="C3930" t="str">
        <f>FORSIDE!$C$3</f>
        <v>S355, Stål / VFHUP 140x140x8.0</v>
      </c>
    </row>
    <row r="3931" spans="1:3" x14ac:dyDescent="0.3">
      <c r="A3931" t="str">
        <f>IF(AND(FORSIDE!$B$8&gt;=2,FORSIDE!$F$8&gt;=8,FORSIDE!$B$5&gt;=10),"S3930","")</f>
        <v/>
      </c>
      <c r="B3931" t="str">
        <f>IF(AND(FORSIDE!$B$8&gt;=2,FORSIDE!$F$8&gt;=8,FORSIDE!$B$5&gt;=10),"1870 -&gt; 1881","")</f>
        <v/>
      </c>
      <c r="C3931" t="str">
        <f>FORSIDE!$C$3</f>
        <v>S355, Stål / VFHUP 140x140x8.0</v>
      </c>
    </row>
    <row r="3932" spans="1:3" x14ac:dyDescent="0.3">
      <c r="A3932" t="str">
        <f>IF(AND(FORSIDE!$B$8&gt;=3,FORSIDE!$F$8&gt;=8,FORSIDE!$B$5&gt;=1),"S3931","")</f>
        <v/>
      </c>
      <c r="B3932" t="str">
        <f>IF(AND(FORSIDE!$B$8&gt;=3,FORSIDE!$F$8&gt;=8,FORSIDE!$B$5&gt;=1),"1872 -&gt; 1883","")</f>
        <v/>
      </c>
      <c r="C3932" t="str">
        <f>FORSIDE!$C$3</f>
        <v>S355, Stål / VFHUP 140x140x8.0</v>
      </c>
    </row>
    <row r="3933" spans="1:3" x14ac:dyDescent="0.3">
      <c r="A3933" t="str">
        <f>IF(AND(FORSIDE!$B$8&gt;=3,FORSIDE!$F$8&gt;=8,FORSIDE!$B$5&gt;=2),"S3932","")</f>
        <v/>
      </c>
      <c r="B3933" t="str">
        <f>IF(AND(FORSIDE!$B$8&gt;=3,FORSIDE!$F$8&gt;=8,FORSIDE!$B$5&gt;=2),"1873 -&gt; 1884","")</f>
        <v/>
      </c>
      <c r="C3933" t="str">
        <f>FORSIDE!$C$3</f>
        <v>S355, Stål / VFHUP 140x140x8.0</v>
      </c>
    </row>
    <row r="3934" spans="1:3" x14ac:dyDescent="0.3">
      <c r="A3934" t="str">
        <f>IF(AND(FORSIDE!$B$8&gt;=3,FORSIDE!$F$8&gt;=8,FORSIDE!$B$5&gt;=3),"S3933","")</f>
        <v/>
      </c>
      <c r="B3934" t="str">
        <f>IF(AND(FORSIDE!$B$8&gt;=3,FORSIDE!$F$8&gt;=8,FORSIDE!$B$5&gt;=3),"1874 -&gt; 1885","")</f>
        <v/>
      </c>
      <c r="C3934" t="str">
        <f>FORSIDE!$C$3</f>
        <v>S355, Stål / VFHUP 140x140x8.0</v>
      </c>
    </row>
    <row r="3935" spans="1:3" x14ac:dyDescent="0.3">
      <c r="A3935" t="str">
        <f>IF(AND(FORSIDE!$B$8&gt;=3,FORSIDE!$F$8&gt;=8,FORSIDE!$B$5&gt;=4),"S3934","")</f>
        <v/>
      </c>
      <c r="B3935" t="str">
        <f>IF(AND(FORSIDE!$B$8&gt;=3,FORSIDE!$F$8&gt;=8,FORSIDE!$B$5&gt;=4),"1875 -&gt; 1886","")</f>
        <v/>
      </c>
      <c r="C3935" t="str">
        <f>FORSIDE!$C$3</f>
        <v>S355, Stål / VFHUP 140x140x8.0</v>
      </c>
    </row>
    <row r="3936" spans="1:3" x14ac:dyDescent="0.3">
      <c r="A3936" t="str">
        <f>IF(AND(FORSIDE!$B$8&gt;=3,FORSIDE!$F$8&gt;=8,FORSIDE!$B$5&gt;=5),"S3935","")</f>
        <v/>
      </c>
      <c r="B3936" t="str">
        <f>IF(AND(FORSIDE!$B$8&gt;=3,FORSIDE!$F$8&gt;=8,FORSIDE!$B$5&gt;=5),"1876 -&gt; 1887","")</f>
        <v/>
      </c>
      <c r="C3936" t="str">
        <f>FORSIDE!$C$3</f>
        <v>S355, Stål / VFHUP 140x140x8.0</v>
      </c>
    </row>
    <row r="3937" spans="1:3" x14ac:dyDescent="0.3">
      <c r="A3937" t="str">
        <f>IF(AND(FORSIDE!$B$8&gt;=3,FORSIDE!$F$8&gt;=8,FORSIDE!$B$5&gt;=6),"S3936","")</f>
        <v/>
      </c>
      <c r="B3937" t="str">
        <f>IF(AND(FORSIDE!$B$8&gt;=3,FORSIDE!$F$8&gt;=8,FORSIDE!$B$5&gt;=6),"1877 -&gt; 1888","")</f>
        <v/>
      </c>
      <c r="C3937" t="str">
        <f>FORSIDE!$C$3</f>
        <v>S355, Stål / VFHUP 140x140x8.0</v>
      </c>
    </row>
    <row r="3938" spans="1:3" x14ac:dyDescent="0.3">
      <c r="A3938" t="str">
        <f>IF(AND(FORSIDE!$B$8&gt;=3,FORSIDE!$F$8&gt;=8,FORSIDE!$B$5&gt;=7),"S3937","")</f>
        <v/>
      </c>
      <c r="B3938" t="str">
        <f>IF(AND(FORSIDE!$B$8&gt;=3,FORSIDE!$F$8&gt;=8,FORSIDE!$B$5&gt;=7),"1878 -&gt; 1889","")</f>
        <v/>
      </c>
      <c r="C3938" t="str">
        <f>FORSIDE!$C$3</f>
        <v>S355, Stål / VFHUP 140x140x8.0</v>
      </c>
    </row>
    <row r="3939" spans="1:3" x14ac:dyDescent="0.3">
      <c r="A3939" t="str">
        <f>IF(AND(FORSIDE!$B$8&gt;=3,FORSIDE!$F$8&gt;=8,FORSIDE!$B$5&gt;=8),"S3938","")</f>
        <v/>
      </c>
      <c r="B3939" t="str">
        <f>IF(AND(FORSIDE!$B$8&gt;=3,FORSIDE!$F$8&gt;=8,FORSIDE!$B$5&gt;=8),"1879 -&gt; 1890","")</f>
        <v/>
      </c>
      <c r="C3939" t="str">
        <f>FORSIDE!$C$3</f>
        <v>S355, Stål / VFHUP 140x140x8.0</v>
      </c>
    </row>
    <row r="3940" spans="1:3" x14ac:dyDescent="0.3">
      <c r="A3940" t="str">
        <f>IF(AND(FORSIDE!$B$8&gt;=3,FORSIDE!$F$8&gt;=8,FORSIDE!$B$5&gt;=9),"S3939","")</f>
        <v/>
      </c>
      <c r="B3940" t="str">
        <f>IF(AND(FORSIDE!$B$8&gt;=3,FORSIDE!$F$8&gt;=8,FORSIDE!$B$5&gt;=9),"1880 -&gt; 1891","")</f>
        <v/>
      </c>
      <c r="C3940" t="str">
        <f>FORSIDE!$C$3</f>
        <v>S355, Stål / VFHUP 140x140x8.0</v>
      </c>
    </row>
    <row r="3941" spans="1:3" x14ac:dyDescent="0.3">
      <c r="A3941" t="str">
        <f>IF(AND(FORSIDE!$B$8&gt;=3,FORSIDE!$F$8&gt;=8,FORSIDE!$B$5&gt;=10),"S3940","")</f>
        <v/>
      </c>
      <c r="B3941" t="str">
        <f>IF(AND(FORSIDE!$B$8&gt;=3,FORSIDE!$F$8&gt;=8,FORSIDE!$B$5&gt;=10),"1881 -&gt; 1892","")</f>
        <v/>
      </c>
      <c r="C3941" t="str">
        <f>FORSIDE!$C$3</f>
        <v>S355, Stål / VFHUP 140x140x8.0</v>
      </c>
    </row>
    <row r="3942" spans="1:3" x14ac:dyDescent="0.3">
      <c r="A3942" t="str">
        <f>IF(AND(FORSIDE!$B$8&gt;=4,FORSIDE!$F$8&gt;=8,FORSIDE!$B$5&gt;=1),"S3941","")</f>
        <v/>
      </c>
      <c r="B3942" t="str">
        <f>IF(AND(FORSIDE!$B$8&gt;=4,FORSIDE!$F$8&gt;=8,FORSIDE!$B$5&gt;=1),"1883 -&gt; 1894","")</f>
        <v/>
      </c>
      <c r="C3942" t="str">
        <f>FORSIDE!$C$3</f>
        <v>S355, Stål / VFHUP 140x140x8.0</v>
      </c>
    </row>
    <row r="3943" spans="1:3" x14ac:dyDescent="0.3">
      <c r="A3943" t="str">
        <f>IF(AND(FORSIDE!$B$8&gt;=4,FORSIDE!$F$8&gt;=8,FORSIDE!$B$5&gt;=2),"S3942","")</f>
        <v/>
      </c>
      <c r="B3943" t="str">
        <f>IF(AND(FORSIDE!$B$8&gt;=4,FORSIDE!$F$8&gt;=8,FORSIDE!$B$5&gt;=2),"1884 -&gt; 1895","")</f>
        <v/>
      </c>
      <c r="C3943" t="str">
        <f>FORSIDE!$C$3</f>
        <v>S355, Stål / VFHUP 140x140x8.0</v>
      </c>
    </row>
    <row r="3944" spans="1:3" x14ac:dyDescent="0.3">
      <c r="A3944" t="str">
        <f>IF(AND(FORSIDE!$B$8&gt;=4,FORSIDE!$F$8&gt;=8,FORSIDE!$B$5&gt;=3),"S3943","")</f>
        <v/>
      </c>
      <c r="B3944" t="str">
        <f>IF(AND(FORSIDE!$B$8&gt;=4,FORSIDE!$F$8&gt;=8,FORSIDE!$B$5&gt;=3),"1885 -&gt; 1896","")</f>
        <v/>
      </c>
      <c r="C3944" t="str">
        <f>FORSIDE!$C$3</f>
        <v>S355, Stål / VFHUP 140x140x8.0</v>
      </c>
    </row>
    <row r="3945" spans="1:3" x14ac:dyDescent="0.3">
      <c r="A3945" t="str">
        <f>IF(AND(FORSIDE!$B$8&gt;=4,FORSIDE!$F$8&gt;=8,FORSIDE!$B$5&gt;=4),"S3944","")</f>
        <v/>
      </c>
      <c r="B3945" t="str">
        <f>IF(AND(FORSIDE!$B$8&gt;=4,FORSIDE!$F$8&gt;=8,FORSIDE!$B$5&gt;=4),"1886 -&gt; 1897","")</f>
        <v/>
      </c>
      <c r="C3945" t="str">
        <f>FORSIDE!$C$3</f>
        <v>S355, Stål / VFHUP 140x140x8.0</v>
      </c>
    </row>
    <row r="3946" spans="1:3" x14ac:dyDescent="0.3">
      <c r="A3946" t="str">
        <f>IF(AND(FORSIDE!$B$8&gt;=4,FORSIDE!$F$8&gt;=8,FORSIDE!$B$5&gt;=5),"S3945","")</f>
        <v/>
      </c>
      <c r="B3946" t="str">
        <f>IF(AND(FORSIDE!$B$8&gt;=4,FORSIDE!$F$8&gt;=8,FORSIDE!$B$5&gt;=5),"1887 -&gt; 1898","")</f>
        <v/>
      </c>
      <c r="C3946" t="str">
        <f>FORSIDE!$C$3</f>
        <v>S355, Stål / VFHUP 140x140x8.0</v>
      </c>
    </row>
    <row r="3947" spans="1:3" x14ac:dyDescent="0.3">
      <c r="A3947" t="str">
        <f>IF(AND(FORSIDE!$B$8&gt;=4,FORSIDE!$F$8&gt;=8,FORSIDE!$B$5&gt;=6),"S3946","")</f>
        <v/>
      </c>
      <c r="B3947" t="str">
        <f>IF(AND(FORSIDE!$B$8&gt;=4,FORSIDE!$F$8&gt;=8,FORSIDE!$B$5&gt;=6),"1888 -&gt; 1899","")</f>
        <v/>
      </c>
      <c r="C3947" t="str">
        <f>FORSIDE!$C$3</f>
        <v>S355, Stål / VFHUP 140x140x8.0</v>
      </c>
    </row>
    <row r="3948" spans="1:3" x14ac:dyDescent="0.3">
      <c r="A3948" t="str">
        <f>IF(AND(FORSIDE!$B$8&gt;=4,FORSIDE!$F$8&gt;=8,FORSIDE!$B$5&gt;=7),"S3947","")</f>
        <v/>
      </c>
      <c r="B3948" t="str">
        <f>IF(AND(FORSIDE!$B$8&gt;=4,FORSIDE!$F$8&gt;=8,FORSIDE!$B$5&gt;=7),"1889 -&gt; 1900","")</f>
        <v/>
      </c>
      <c r="C3948" t="str">
        <f>FORSIDE!$C$3</f>
        <v>S355, Stål / VFHUP 140x140x8.0</v>
      </c>
    </row>
    <row r="3949" spans="1:3" x14ac:dyDescent="0.3">
      <c r="A3949" t="str">
        <f>IF(AND(FORSIDE!$B$8&gt;=4,FORSIDE!$F$8&gt;=8,FORSIDE!$B$5&gt;=8),"S3948","")</f>
        <v/>
      </c>
      <c r="B3949" t="str">
        <f>IF(AND(FORSIDE!$B$8&gt;=4,FORSIDE!$F$8&gt;=8,FORSIDE!$B$5&gt;=8),"1890 -&gt; 1901","")</f>
        <v/>
      </c>
      <c r="C3949" t="str">
        <f>FORSIDE!$C$3</f>
        <v>S355, Stål / VFHUP 140x140x8.0</v>
      </c>
    </row>
    <row r="3950" spans="1:3" x14ac:dyDescent="0.3">
      <c r="A3950" t="str">
        <f>IF(AND(FORSIDE!$B$8&gt;=4,FORSIDE!$F$8&gt;=8,FORSIDE!$B$5&gt;=9),"S3949","")</f>
        <v/>
      </c>
      <c r="B3950" t="str">
        <f>IF(AND(FORSIDE!$B$8&gt;=4,FORSIDE!$F$8&gt;=8,FORSIDE!$B$5&gt;=9),"1891 -&gt; 1902","")</f>
        <v/>
      </c>
      <c r="C3950" t="str">
        <f>FORSIDE!$C$3</f>
        <v>S355, Stål / VFHUP 140x140x8.0</v>
      </c>
    </row>
    <row r="3951" spans="1:3" x14ac:dyDescent="0.3">
      <c r="A3951" t="str">
        <f>IF(AND(FORSIDE!$B$8&gt;=4,FORSIDE!$F$8&gt;=8,FORSIDE!$B$5&gt;=10),"S3950","")</f>
        <v/>
      </c>
      <c r="B3951" t="str">
        <f>IF(AND(FORSIDE!$B$8&gt;=4,FORSIDE!$F$8&gt;=8,FORSIDE!$B$5&gt;=10),"1892 -&gt; 1903","")</f>
        <v/>
      </c>
      <c r="C3951" t="str">
        <f>FORSIDE!$C$3</f>
        <v>S355, Stål / VFHUP 140x140x8.0</v>
      </c>
    </row>
    <row r="3952" spans="1:3" x14ac:dyDescent="0.3">
      <c r="A3952" t="str">
        <f>IF(AND(FORSIDE!$B$8&gt;=5,FORSIDE!$F$8&gt;=8,FORSIDE!$B$5&gt;=1),"S3951","")</f>
        <v/>
      </c>
      <c r="B3952" t="str">
        <f>IF(AND(FORSIDE!$B$8&gt;=5,FORSIDE!$F$8&gt;=8,FORSIDE!$B$5&gt;=1),"1894 -&gt; 1905","")</f>
        <v/>
      </c>
      <c r="C3952" t="str">
        <f>FORSIDE!$C$3</f>
        <v>S355, Stål / VFHUP 140x140x8.0</v>
      </c>
    </row>
    <row r="3953" spans="1:3" x14ac:dyDescent="0.3">
      <c r="A3953" t="str">
        <f>IF(AND(FORSIDE!$B$8&gt;=5,FORSIDE!$F$8&gt;=8,FORSIDE!$B$5&gt;=2),"S3952","")</f>
        <v/>
      </c>
      <c r="B3953" t="str">
        <f>IF(AND(FORSIDE!$B$8&gt;=5,FORSIDE!$F$8&gt;=8,FORSIDE!$B$5&gt;=2),"1895 -&gt; 1906","")</f>
        <v/>
      </c>
      <c r="C3953" t="str">
        <f>FORSIDE!$C$3</f>
        <v>S355, Stål / VFHUP 140x140x8.0</v>
      </c>
    </row>
    <row r="3954" spans="1:3" x14ac:dyDescent="0.3">
      <c r="A3954" t="str">
        <f>IF(AND(FORSIDE!$B$8&gt;=5,FORSIDE!$F$8&gt;=8,FORSIDE!$B$5&gt;=3),"S3953","")</f>
        <v/>
      </c>
      <c r="B3954" t="str">
        <f>IF(AND(FORSIDE!$B$8&gt;=5,FORSIDE!$F$8&gt;=8,FORSIDE!$B$5&gt;=3),"1896 -&gt; 1907","")</f>
        <v/>
      </c>
      <c r="C3954" t="str">
        <f>FORSIDE!$C$3</f>
        <v>S355, Stål / VFHUP 140x140x8.0</v>
      </c>
    </row>
    <row r="3955" spans="1:3" x14ac:dyDescent="0.3">
      <c r="A3955" t="str">
        <f>IF(AND(FORSIDE!$B$8&gt;=5,FORSIDE!$F$8&gt;=8,FORSIDE!$B$5&gt;=4),"S3954","")</f>
        <v/>
      </c>
      <c r="B3955" t="str">
        <f>IF(AND(FORSIDE!$B$8&gt;=5,FORSIDE!$F$8&gt;=8,FORSIDE!$B$5&gt;=4),"1897 -&gt; 1908","")</f>
        <v/>
      </c>
      <c r="C3955" t="str">
        <f>FORSIDE!$C$3</f>
        <v>S355, Stål / VFHUP 140x140x8.0</v>
      </c>
    </row>
    <row r="3956" spans="1:3" x14ac:dyDescent="0.3">
      <c r="A3956" t="str">
        <f>IF(AND(FORSIDE!$B$8&gt;=5,FORSIDE!$F$8&gt;=8,FORSIDE!$B$5&gt;=5),"S3955","")</f>
        <v/>
      </c>
      <c r="B3956" t="str">
        <f>IF(AND(FORSIDE!$B$8&gt;=5,FORSIDE!$F$8&gt;=8,FORSIDE!$B$5&gt;=5),"1898 -&gt; 1909","")</f>
        <v/>
      </c>
      <c r="C3956" t="str">
        <f>FORSIDE!$C$3</f>
        <v>S355, Stål / VFHUP 140x140x8.0</v>
      </c>
    </row>
    <row r="3957" spans="1:3" x14ac:dyDescent="0.3">
      <c r="A3957" t="str">
        <f>IF(AND(FORSIDE!$B$8&gt;=5,FORSIDE!$F$8&gt;=8,FORSIDE!$B$5&gt;=6),"S3956","")</f>
        <v/>
      </c>
      <c r="B3957" t="str">
        <f>IF(AND(FORSIDE!$B$8&gt;=5,FORSIDE!$F$8&gt;=8,FORSIDE!$B$5&gt;=6),"1899 -&gt; 1910","")</f>
        <v/>
      </c>
      <c r="C3957" t="str">
        <f>FORSIDE!$C$3</f>
        <v>S355, Stål / VFHUP 140x140x8.0</v>
      </c>
    </row>
    <row r="3958" spans="1:3" x14ac:dyDescent="0.3">
      <c r="A3958" t="str">
        <f>IF(AND(FORSIDE!$B$8&gt;=5,FORSIDE!$F$8&gt;=8,FORSIDE!$B$5&gt;=7),"S3957","")</f>
        <v/>
      </c>
      <c r="B3958" t="str">
        <f>IF(AND(FORSIDE!$B$8&gt;=5,FORSIDE!$F$8&gt;=8,FORSIDE!$B$5&gt;=7),"1900 -&gt; 1911","")</f>
        <v/>
      </c>
      <c r="C3958" t="str">
        <f>FORSIDE!$C$3</f>
        <v>S355, Stål / VFHUP 140x140x8.0</v>
      </c>
    </row>
    <row r="3959" spans="1:3" x14ac:dyDescent="0.3">
      <c r="A3959" t="str">
        <f>IF(AND(FORSIDE!$B$8&gt;=5,FORSIDE!$F$8&gt;=8,FORSIDE!$B$5&gt;=8),"S3958","")</f>
        <v/>
      </c>
      <c r="B3959" t="str">
        <f>IF(AND(FORSIDE!$B$8&gt;=5,FORSIDE!$F$8&gt;=8,FORSIDE!$B$5&gt;=8),"1901 -&gt; 1912","")</f>
        <v/>
      </c>
      <c r="C3959" t="str">
        <f>FORSIDE!$C$3</f>
        <v>S355, Stål / VFHUP 140x140x8.0</v>
      </c>
    </row>
    <row r="3960" spans="1:3" x14ac:dyDescent="0.3">
      <c r="A3960" t="str">
        <f>IF(AND(FORSIDE!$B$8&gt;=5,FORSIDE!$F$8&gt;=8,FORSIDE!$B$5&gt;=9),"S3959","")</f>
        <v/>
      </c>
      <c r="B3960" t="str">
        <f>IF(AND(FORSIDE!$B$8&gt;=5,FORSIDE!$F$8&gt;=8,FORSIDE!$B$5&gt;=9),"1902 -&gt; 1913","")</f>
        <v/>
      </c>
      <c r="C3960" t="str">
        <f>FORSIDE!$C$3</f>
        <v>S355, Stål / VFHUP 140x140x8.0</v>
      </c>
    </row>
    <row r="3961" spans="1:3" x14ac:dyDescent="0.3">
      <c r="A3961" t="str">
        <f>IF(AND(FORSIDE!$B$8&gt;=5,FORSIDE!$F$8&gt;=8,FORSIDE!$B$5&gt;=10),"S3960","")</f>
        <v/>
      </c>
      <c r="B3961" t="str">
        <f>IF(AND(FORSIDE!$B$8&gt;=5,FORSIDE!$F$8&gt;=8,FORSIDE!$B$5&gt;=10),"1903 -&gt; 1914","")</f>
        <v/>
      </c>
      <c r="C3961" t="str">
        <f>FORSIDE!$C$3</f>
        <v>S355, Stål / VFHUP 140x140x8.0</v>
      </c>
    </row>
    <row r="3962" spans="1:3" x14ac:dyDescent="0.3">
      <c r="A3962" t="str">
        <f>IF(AND(FORSIDE!$B$8&gt;=6,FORSIDE!$F$8&gt;=8,FORSIDE!$B$5&gt;=1),"S3961","")</f>
        <v/>
      </c>
      <c r="B3962" t="str">
        <f>IF(AND(FORSIDE!$B$8&gt;=6,FORSIDE!$F$8&gt;=8,FORSIDE!$B$5&gt;=1),"1905 -&gt; 1916","")</f>
        <v/>
      </c>
      <c r="C3962" t="str">
        <f>FORSIDE!$C$3</f>
        <v>S355, Stål / VFHUP 140x140x8.0</v>
      </c>
    </row>
    <row r="3963" spans="1:3" x14ac:dyDescent="0.3">
      <c r="A3963" t="str">
        <f>IF(AND(FORSIDE!$B$8&gt;=6,FORSIDE!$F$8&gt;=8,FORSIDE!$B$5&gt;=2),"S3962","")</f>
        <v/>
      </c>
      <c r="B3963" t="str">
        <f>IF(AND(FORSIDE!$B$8&gt;=6,FORSIDE!$F$8&gt;=8,FORSIDE!$B$5&gt;=2),"1906 -&gt; 1917","")</f>
        <v/>
      </c>
      <c r="C3963" t="str">
        <f>FORSIDE!$C$3</f>
        <v>S355, Stål / VFHUP 140x140x8.0</v>
      </c>
    </row>
    <row r="3964" spans="1:3" x14ac:dyDescent="0.3">
      <c r="A3964" t="str">
        <f>IF(AND(FORSIDE!$B$8&gt;=6,FORSIDE!$F$8&gt;=8,FORSIDE!$B$5&gt;=3),"S3963","")</f>
        <v/>
      </c>
      <c r="B3964" t="str">
        <f>IF(AND(FORSIDE!$B$8&gt;=6,FORSIDE!$F$8&gt;=8,FORSIDE!$B$5&gt;=3),"1907 -&gt; 1918","")</f>
        <v/>
      </c>
      <c r="C3964" t="str">
        <f>FORSIDE!$C$3</f>
        <v>S355, Stål / VFHUP 140x140x8.0</v>
      </c>
    </row>
    <row r="3965" spans="1:3" x14ac:dyDescent="0.3">
      <c r="A3965" t="str">
        <f>IF(AND(FORSIDE!$B$8&gt;=6,FORSIDE!$F$8&gt;=8,FORSIDE!$B$5&gt;=4),"S3964","")</f>
        <v/>
      </c>
      <c r="B3965" t="str">
        <f>IF(AND(FORSIDE!$B$8&gt;=6,FORSIDE!$F$8&gt;=8,FORSIDE!$B$5&gt;=4),"1908 -&gt; 1919","")</f>
        <v/>
      </c>
      <c r="C3965" t="str">
        <f>FORSIDE!$C$3</f>
        <v>S355, Stål / VFHUP 140x140x8.0</v>
      </c>
    </row>
    <row r="3966" spans="1:3" x14ac:dyDescent="0.3">
      <c r="A3966" t="str">
        <f>IF(AND(FORSIDE!$B$8&gt;=6,FORSIDE!$F$8&gt;=8,FORSIDE!$B$5&gt;=5),"S3965","")</f>
        <v/>
      </c>
      <c r="B3966" t="str">
        <f>IF(AND(FORSIDE!$B$8&gt;=6,FORSIDE!$F$8&gt;=8,FORSIDE!$B$5&gt;=5),"1909 -&gt; 1920","")</f>
        <v/>
      </c>
      <c r="C3966" t="str">
        <f>FORSIDE!$C$3</f>
        <v>S355, Stål / VFHUP 140x140x8.0</v>
      </c>
    </row>
    <row r="3967" spans="1:3" x14ac:dyDescent="0.3">
      <c r="A3967" t="str">
        <f>IF(AND(FORSIDE!$B$8&gt;=6,FORSIDE!$F$8&gt;=8,FORSIDE!$B$5&gt;=6),"S3966","")</f>
        <v/>
      </c>
      <c r="B3967" t="str">
        <f>IF(AND(FORSIDE!$B$8&gt;=6,FORSIDE!$F$8&gt;=8,FORSIDE!$B$5&gt;=6),"1910 -&gt; 1921","")</f>
        <v/>
      </c>
      <c r="C3967" t="str">
        <f>FORSIDE!$C$3</f>
        <v>S355, Stål / VFHUP 140x140x8.0</v>
      </c>
    </row>
    <row r="3968" spans="1:3" x14ac:dyDescent="0.3">
      <c r="A3968" t="str">
        <f>IF(AND(FORSIDE!$B$8&gt;=6,FORSIDE!$F$8&gt;=8,FORSIDE!$B$5&gt;=7),"S3967","")</f>
        <v/>
      </c>
      <c r="B3968" t="str">
        <f>IF(AND(FORSIDE!$B$8&gt;=6,FORSIDE!$F$8&gt;=8,FORSIDE!$B$5&gt;=7),"1911 -&gt; 1922","")</f>
        <v/>
      </c>
      <c r="C3968" t="str">
        <f>FORSIDE!$C$3</f>
        <v>S355, Stål / VFHUP 140x140x8.0</v>
      </c>
    </row>
    <row r="3969" spans="1:3" x14ac:dyDescent="0.3">
      <c r="A3969" t="str">
        <f>IF(AND(FORSIDE!$B$8&gt;=6,FORSIDE!$F$8&gt;=8,FORSIDE!$B$5&gt;=8),"S3968","")</f>
        <v/>
      </c>
      <c r="B3969" t="str">
        <f>IF(AND(FORSIDE!$B$8&gt;=6,FORSIDE!$F$8&gt;=8,FORSIDE!$B$5&gt;=8),"1912 -&gt; 1923","")</f>
        <v/>
      </c>
      <c r="C3969" t="str">
        <f>FORSIDE!$C$3</f>
        <v>S355, Stål / VFHUP 140x140x8.0</v>
      </c>
    </row>
    <row r="3970" spans="1:3" x14ac:dyDescent="0.3">
      <c r="A3970" t="str">
        <f>IF(AND(FORSIDE!$B$8&gt;=6,FORSIDE!$F$8&gt;=8,FORSIDE!$B$5&gt;=9),"S3969","")</f>
        <v/>
      </c>
      <c r="B3970" t="str">
        <f>IF(AND(FORSIDE!$B$8&gt;=6,FORSIDE!$F$8&gt;=8,FORSIDE!$B$5&gt;=9),"1913 -&gt; 1924","")</f>
        <v/>
      </c>
      <c r="C3970" t="str">
        <f>FORSIDE!$C$3</f>
        <v>S355, Stål / VFHUP 140x140x8.0</v>
      </c>
    </row>
    <row r="3971" spans="1:3" x14ac:dyDescent="0.3">
      <c r="A3971" t="str">
        <f>IF(AND(FORSIDE!$B$8&gt;=6,FORSIDE!$F$8&gt;=8,FORSIDE!$B$5&gt;=10),"S3970","")</f>
        <v/>
      </c>
      <c r="B3971" t="str">
        <f>IF(AND(FORSIDE!$B$8&gt;=6,FORSIDE!$F$8&gt;=8,FORSIDE!$B$5&gt;=10),"1914 -&gt; 1925","")</f>
        <v/>
      </c>
      <c r="C3971" t="str">
        <f>FORSIDE!$C$3</f>
        <v>S355, Stål / VFHUP 140x140x8.0</v>
      </c>
    </row>
    <row r="3972" spans="1:3" x14ac:dyDescent="0.3">
      <c r="A3972" t="str">
        <f>IF(AND(FORSIDE!$B$8&gt;=7,FORSIDE!$F$8&gt;=8,FORSIDE!$B$5&gt;=1),"S3971","")</f>
        <v/>
      </c>
      <c r="B3972" t="str">
        <f>IF(AND(FORSIDE!$B$8&gt;=7,FORSIDE!$F$8&gt;=8,FORSIDE!$B$5&gt;=1),"1916 -&gt; 1927","")</f>
        <v/>
      </c>
      <c r="C3972" t="str">
        <f>FORSIDE!$C$3</f>
        <v>S355, Stål / VFHUP 140x140x8.0</v>
      </c>
    </row>
    <row r="3973" spans="1:3" x14ac:dyDescent="0.3">
      <c r="A3973" t="str">
        <f>IF(AND(FORSIDE!$B$8&gt;=7,FORSIDE!$F$8&gt;=8,FORSIDE!$B$5&gt;=2),"S3972","")</f>
        <v/>
      </c>
      <c r="B3973" t="str">
        <f>IF(AND(FORSIDE!$B$8&gt;=7,FORSIDE!$F$8&gt;=8,FORSIDE!$B$5&gt;=2),"1917 -&gt; 1928","")</f>
        <v/>
      </c>
      <c r="C3973" t="str">
        <f>FORSIDE!$C$3</f>
        <v>S355, Stål / VFHUP 140x140x8.0</v>
      </c>
    </row>
    <row r="3974" spans="1:3" x14ac:dyDescent="0.3">
      <c r="A3974" t="str">
        <f>IF(AND(FORSIDE!$B$8&gt;=7,FORSIDE!$F$8&gt;=8,FORSIDE!$B$5&gt;=3),"S3973","")</f>
        <v/>
      </c>
      <c r="B3974" t="str">
        <f>IF(AND(FORSIDE!$B$8&gt;=7,FORSIDE!$F$8&gt;=8,FORSIDE!$B$5&gt;=3),"1918 -&gt; 1929","")</f>
        <v/>
      </c>
      <c r="C3974" t="str">
        <f>FORSIDE!$C$3</f>
        <v>S355, Stål / VFHUP 140x140x8.0</v>
      </c>
    </row>
    <row r="3975" spans="1:3" x14ac:dyDescent="0.3">
      <c r="A3975" t="str">
        <f>IF(AND(FORSIDE!$B$8&gt;=7,FORSIDE!$F$8&gt;=8,FORSIDE!$B$5&gt;=4),"S3974","")</f>
        <v/>
      </c>
      <c r="B3975" t="str">
        <f>IF(AND(FORSIDE!$B$8&gt;=7,FORSIDE!$F$8&gt;=8,FORSIDE!$B$5&gt;=4),"1919 -&gt; 1930","")</f>
        <v/>
      </c>
      <c r="C3975" t="str">
        <f>FORSIDE!$C$3</f>
        <v>S355, Stål / VFHUP 140x140x8.0</v>
      </c>
    </row>
    <row r="3976" spans="1:3" x14ac:dyDescent="0.3">
      <c r="A3976" t="str">
        <f>IF(AND(FORSIDE!$B$8&gt;=7,FORSIDE!$F$8&gt;=8,FORSIDE!$B$5&gt;=5),"S3975","")</f>
        <v/>
      </c>
      <c r="B3976" t="str">
        <f>IF(AND(FORSIDE!$B$8&gt;=7,FORSIDE!$F$8&gt;=8,FORSIDE!$B$5&gt;=5),"1920 -&gt; 1931","")</f>
        <v/>
      </c>
      <c r="C3976" t="str">
        <f>FORSIDE!$C$3</f>
        <v>S355, Stål / VFHUP 140x140x8.0</v>
      </c>
    </row>
    <row r="3977" spans="1:3" x14ac:dyDescent="0.3">
      <c r="A3977" t="str">
        <f>IF(AND(FORSIDE!$B$8&gt;=7,FORSIDE!$F$8&gt;=8,FORSIDE!$B$5&gt;=6),"S3976","")</f>
        <v/>
      </c>
      <c r="B3977" t="str">
        <f>IF(AND(FORSIDE!$B$8&gt;=7,FORSIDE!$F$8&gt;=8,FORSIDE!$B$5&gt;=6),"1921 -&gt; 1932","")</f>
        <v/>
      </c>
      <c r="C3977" t="str">
        <f>FORSIDE!$C$3</f>
        <v>S355, Stål / VFHUP 140x140x8.0</v>
      </c>
    </row>
    <row r="3978" spans="1:3" x14ac:dyDescent="0.3">
      <c r="A3978" t="str">
        <f>IF(AND(FORSIDE!$B$8&gt;=7,FORSIDE!$F$8&gt;=8,FORSIDE!$B$5&gt;=7),"S3977","")</f>
        <v/>
      </c>
      <c r="B3978" t="str">
        <f>IF(AND(FORSIDE!$B$8&gt;=7,FORSIDE!$F$8&gt;=8,FORSIDE!$B$5&gt;=7),"1922 -&gt; 1933","")</f>
        <v/>
      </c>
      <c r="C3978" t="str">
        <f>FORSIDE!$C$3</f>
        <v>S355, Stål / VFHUP 140x140x8.0</v>
      </c>
    </row>
    <row r="3979" spans="1:3" x14ac:dyDescent="0.3">
      <c r="A3979" t="str">
        <f>IF(AND(FORSIDE!$B$8&gt;=7,FORSIDE!$F$8&gt;=8,FORSIDE!$B$5&gt;=8),"S3978","")</f>
        <v/>
      </c>
      <c r="B3979" t="str">
        <f>IF(AND(FORSIDE!$B$8&gt;=7,FORSIDE!$F$8&gt;=8,FORSIDE!$B$5&gt;=8),"1923 -&gt; 1934","")</f>
        <v/>
      </c>
      <c r="C3979" t="str">
        <f>FORSIDE!$C$3</f>
        <v>S355, Stål / VFHUP 140x140x8.0</v>
      </c>
    </row>
    <row r="3980" spans="1:3" x14ac:dyDescent="0.3">
      <c r="A3980" t="str">
        <f>IF(AND(FORSIDE!$B$8&gt;=7,FORSIDE!$F$8&gt;=8,FORSIDE!$B$5&gt;=9),"S3979","")</f>
        <v/>
      </c>
      <c r="B3980" t="str">
        <f>IF(AND(FORSIDE!$B$8&gt;=7,FORSIDE!$F$8&gt;=8,FORSIDE!$B$5&gt;=9),"1924 -&gt; 1935","")</f>
        <v/>
      </c>
      <c r="C3980" t="str">
        <f>FORSIDE!$C$3</f>
        <v>S355, Stål / VFHUP 140x140x8.0</v>
      </c>
    </row>
    <row r="3981" spans="1:3" x14ac:dyDescent="0.3">
      <c r="A3981" t="str">
        <f>IF(AND(FORSIDE!$B$8&gt;=7,FORSIDE!$F$8&gt;=8,FORSIDE!$B$5&gt;=10),"S3980","")</f>
        <v/>
      </c>
      <c r="B3981" t="str">
        <f>IF(AND(FORSIDE!$B$8&gt;=7,FORSIDE!$F$8&gt;=8,FORSIDE!$B$5&gt;=10),"1925 -&gt; 1936","")</f>
        <v/>
      </c>
      <c r="C3981" t="str">
        <f>FORSIDE!$C$3</f>
        <v>S355, Stål / VFHUP 140x140x8.0</v>
      </c>
    </row>
    <row r="3982" spans="1:3" x14ac:dyDescent="0.3">
      <c r="A3982" t="str">
        <f>IF(AND(FORSIDE!$B$8&gt;=8,FORSIDE!$F$8&gt;=8,FORSIDE!$B$5&gt;=1),"S3981","")</f>
        <v/>
      </c>
      <c r="B3982" t="str">
        <f>IF(AND(FORSIDE!$B$8&gt;=8,FORSIDE!$F$8&gt;=8,FORSIDE!$B$5&gt;=1),"1927 -&gt; 1938","")</f>
        <v/>
      </c>
      <c r="C3982" t="str">
        <f>FORSIDE!$C$3</f>
        <v>S355, Stål / VFHUP 140x140x8.0</v>
      </c>
    </row>
    <row r="3983" spans="1:3" x14ac:dyDescent="0.3">
      <c r="A3983" t="str">
        <f>IF(AND(FORSIDE!$B$8&gt;=8,FORSIDE!$F$8&gt;=8,FORSIDE!$B$5&gt;=2),"S3982","")</f>
        <v/>
      </c>
      <c r="B3983" t="str">
        <f>IF(AND(FORSIDE!$B$8&gt;=8,FORSIDE!$F$8&gt;=8,FORSIDE!$B$5&gt;=2),"1928 -&gt; 1939","")</f>
        <v/>
      </c>
      <c r="C3983" t="str">
        <f>FORSIDE!$C$3</f>
        <v>S355, Stål / VFHUP 140x140x8.0</v>
      </c>
    </row>
    <row r="3984" spans="1:3" x14ac:dyDescent="0.3">
      <c r="A3984" t="str">
        <f>IF(AND(FORSIDE!$B$8&gt;=8,FORSIDE!$F$8&gt;=8,FORSIDE!$B$5&gt;=3),"S3983","")</f>
        <v/>
      </c>
      <c r="B3984" t="str">
        <f>IF(AND(FORSIDE!$B$8&gt;=8,FORSIDE!$F$8&gt;=8,FORSIDE!$B$5&gt;=3),"1929 -&gt; 1940","")</f>
        <v/>
      </c>
      <c r="C3984" t="str">
        <f>FORSIDE!$C$3</f>
        <v>S355, Stål / VFHUP 140x140x8.0</v>
      </c>
    </row>
    <row r="3985" spans="1:3" x14ac:dyDescent="0.3">
      <c r="A3985" t="str">
        <f>IF(AND(FORSIDE!$B$8&gt;=8,FORSIDE!$F$8&gt;=8,FORSIDE!$B$5&gt;=4),"S3984","")</f>
        <v/>
      </c>
      <c r="B3985" t="str">
        <f>IF(AND(FORSIDE!$B$8&gt;=8,FORSIDE!$F$8&gt;=8,FORSIDE!$B$5&gt;=4),"1930 -&gt; 1941","")</f>
        <v/>
      </c>
      <c r="C3985" t="str">
        <f>FORSIDE!$C$3</f>
        <v>S355, Stål / VFHUP 140x140x8.0</v>
      </c>
    </row>
    <row r="3986" spans="1:3" x14ac:dyDescent="0.3">
      <c r="A3986" t="str">
        <f>IF(AND(FORSIDE!$B$8&gt;=8,FORSIDE!$F$8&gt;=8,FORSIDE!$B$5&gt;=5),"S3985","")</f>
        <v/>
      </c>
      <c r="B3986" t="str">
        <f>IF(AND(FORSIDE!$B$8&gt;=8,FORSIDE!$F$8&gt;=8,FORSIDE!$B$5&gt;=5),"1931 -&gt; 1942","")</f>
        <v/>
      </c>
      <c r="C3986" t="str">
        <f>FORSIDE!$C$3</f>
        <v>S355, Stål / VFHUP 140x140x8.0</v>
      </c>
    </row>
    <row r="3987" spans="1:3" x14ac:dyDescent="0.3">
      <c r="A3987" t="str">
        <f>IF(AND(FORSIDE!$B$8&gt;=8,FORSIDE!$F$8&gt;=8,FORSIDE!$B$5&gt;=6),"S3986","")</f>
        <v/>
      </c>
      <c r="B3987" t="str">
        <f>IF(AND(FORSIDE!$B$8&gt;=8,FORSIDE!$F$8&gt;=8,FORSIDE!$B$5&gt;=6),"1932 -&gt; 1943","")</f>
        <v/>
      </c>
      <c r="C3987" t="str">
        <f>FORSIDE!$C$3</f>
        <v>S355, Stål / VFHUP 140x140x8.0</v>
      </c>
    </row>
    <row r="3988" spans="1:3" x14ac:dyDescent="0.3">
      <c r="A3988" t="str">
        <f>IF(AND(FORSIDE!$B$8&gt;=8,FORSIDE!$F$8&gt;=8,FORSIDE!$B$5&gt;=7),"S3987","")</f>
        <v/>
      </c>
      <c r="B3988" t="str">
        <f>IF(AND(FORSIDE!$B$8&gt;=8,FORSIDE!$F$8&gt;=8,FORSIDE!$B$5&gt;=7),"1933 -&gt; 1944","")</f>
        <v/>
      </c>
      <c r="C3988" t="str">
        <f>FORSIDE!$C$3</f>
        <v>S355, Stål / VFHUP 140x140x8.0</v>
      </c>
    </row>
    <row r="3989" spans="1:3" x14ac:dyDescent="0.3">
      <c r="A3989" t="str">
        <f>IF(AND(FORSIDE!$B$8&gt;=8,FORSIDE!$F$8&gt;=8,FORSIDE!$B$5&gt;=8),"S3988","")</f>
        <v/>
      </c>
      <c r="B3989" t="str">
        <f>IF(AND(FORSIDE!$B$8&gt;=8,FORSIDE!$F$8&gt;=8,FORSIDE!$B$5&gt;=8),"1934 -&gt; 1945","")</f>
        <v/>
      </c>
      <c r="C3989" t="str">
        <f>FORSIDE!$C$3</f>
        <v>S355, Stål / VFHUP 140x140x8.0</v>
      </c>
    </row>
    <row r="3990" spans="1:3" x14ac:dyDescent="0.3">
      <c r="A3990" t="str">
        <f>IF(AND(FORSIDE!$B$8&gt;=8,FORSIDE!$F$8&gt;=8,FORSIDE!$B$5&gt;=9),"S3989","")</f>
        <v/>
      </c>
      <c r="B3990" t="str">
        <f>IF(AND(FORSIDE!$B$8&gt;=8,FORSIDE!$F$8&gt;=8,FORSIDE!$B$5&gt;=9),"1935 -&gt; 1946","")</f>
        <v/>
      </c>
      <c r="C3990" t="str">
        <f>FORSIDE!$C$3</f>
        <v>S355, Stål / VFHUP 140x140x8.0</v>
      </c>
    </row>
    <row r="3991" spans="1:3" x14ac:dyDescent="0.3">
      <c r="A3991" t="str">
        <f>IF(AND(FORSIDE!$B$8&gt;=8,FORSIDE!$F$8&gt;=8,FORSIDE!$B$5&gt;=10),"S3990","")</f>
        <v/>
      </c>
      <c r="B3991" t="str">
        <f>IF(AND(FORSIDE!$B$8&gt;=8,FORSIDE!$F$8&gt;=8,FORSIDE!$B$5&gt;=10),"1936 -&gt; 1947","")</f>
        <v/>
      </c>
      <c r="C3991" t="str">
        <f>FORSIDE!$C$3</f>
        <v>S355, Stål / VFHUP 140x140x8.0</v>
      </c>
    </row>
    <row r="3992" spans="1:3" x14ac:dyDescent="0.3">
      <c r="A3992" t="str">
        <f>IF(AND(FORSIDE!$B$8&gt;=9,FORSIDE!$F$8&gt;=8,FORSIDE!$B$5&gt;=1),"S3991","")</f>
        <v/>
      </c>
      <c r="B3992" t="str">
        <f>IF(AND(FORSIDE!$B$8&gt;=9,FORSIDE!$F$8&gt;=8,FORSIDE!$B$5&gt;=1),"1938 -&gt; 1949","")</f>
        <v/>
      </c>
      <c r="C3992" t="str">
        <f>FORSIDE!$C$3</f>
        <v>S355, Stål / VFHUP 140x140x8.0</v>
      </c>
    </row>
    <row r="3993" spans="1:3" x14ac:dyDescent="0.3">
      <c r="A3993" t="str">
        <f>IF(AND(FORSIDE!$B$8&gt;=9,FORSIDE!$F$8&gt;=8,FORSIDE!$B$5&gt;=2),"S3992","")</f>
        <v/>
      </c>
      <c r="B3993" t="str">
        <f>IF(AND(FORSIDE!$B$8&gt;=9,FORSIDE!$F$8&gt;=8,FORSIDE!$B$5&gt;=2),"1939 -&gt; 1950","")</f>
        <v/>
      </c>
      <c r="C3993" t="str">
        <f>FORSIDE!$C$3</f>
        <v>S355, Stål / VFHUP 140x140x8.0</v>
      </c>
    </row>
    <row r="3994" spans="1:3" x14ac:dyDescent="0.3">
      <c r="A3994" t="str">
        <f>IF(AND(FORSIDE!$B$8&gt;=9,FORSIDE!$F$8&gt;=8,FORSIDE!$B$5&gt;=3),"S3993","")</f>
        <v/>
      </c>
      <c r="B3994" t="str">
        <f>IF(AND(FORSIDE!$B$8&gt;=9,FORSIDE!$F$8&gt;=8,FORSIDE!$B$5&gt;=3),"1940 -&gt; 1951","")</f>
        <v/>
      </c>
      <c r="C3994" t="str">
        <f>FORSIDE!$C$3</f>
        <v>S355, Stål / VFHUP 140x140x8.0</v>
      </c>
    </row>
    <row r="3995" spans="1:3" x14ac:dyDescent="0.3">
      <c r="A3995" t="str">
        <f>IF(AND(FORSIDE!$B$8&gt;=9,FORSIDE!$F$8&gt;=8,FORSIDE!$B$5&gt;=4),"S3994","")</f>
        <v/>
      </c>
      <c r="B3995" t="str">
        <f>IF(AND(FORSIDE!$B$8&gt;=9,FORSIDE!$F$8&gt;=8,FORSIDE!$B$5&gt;=4),"1941 -&gt; 1952","")</f>
        <v/>
      </c>
      <c r="C3995" t="str">
        <f>FORSIDE!$C$3</f>
        <v>S355, Stål / VFHUP 140x140x8.0</v>
      </c>
    </row>
    <row r="3996" spans="1:3" x14ac:dyDescent="0.3">
      <c r="A3996" t="str">
        <f>IF(AND(FORSIDE!$B$8&gt;=9,FORSIDE!$F$8&gt;=8,FORSIDE!$B$5&gt;=5),"S3995","")</f>
        <v/>
      </c>
      <c r="B3996" t="str">
        <f>IF(AND(FORSIDE!$B$8&gt;=9,FORSIDE!$F$8&gt;=8,FORSIDE!$B$5&gt;=5),"1942 -&gt; 1953","")</f>
        <v/>
      </c>
      <c r="C3996" t="str">
        <f>FORSIDE!$C$3</f>
        <v>S355, Stål / VFHUP 140x140x8.0</v>
      </c>
    </row>
    <row r="3997" spans="1:3" x14ac:dyDescent="0.3">
      <c r="A3997" t="str">
        <f>IF(AND(FORSIDE!$B$8&gt;=9,FORSIDE!$F$8&gt;=8,FORSIDE!$B$5&gt;=6),"S3996","")</f>
        <v/>
      </c>
      <c r="B3997" t="str">
        <f>IF(AND(FORSIDE!$B$8&gt;=9,FORSIDE!$F$8&gt;=8,FORSIDE!$B$5&gt;=6),"1943 -&gt; 1954","")</f>
        <v/>
      </c>
      <c r="C3997" t="str">
        <f>FORSIDE!$C$3</f>
        <v>S355, Stål / VFHUP 140x140x8.0</v>
      </c>
    </row>
    <row r="3998" spans="1:3" x14ac:dyDescent="0.3">
      <c r="A3998" t="str">
        <f>IF(AND(FORSIDE!$B$8&gt;=9,FORSIDE!$F$8&gt;=8,FORSIDE!$B$5&gt;=7),"S3997","")</f>
        <v/>
      </c>
      <c r="B3998" t="str">
        <f>IF(AND(FORSIDE!$B$8&gt;=9,FORSIDE!$F$8&gt;=8,FORSIDE!$B$5&gt;=7),"1944 -&gt; 1955","")</f>
        <v/>
      </c>
      <c r="C3998" t="str">
        <f>FORSIDE!$C$3</f>
        <v>S355, Stål / VFHUP 140x140x8.0</v>
      </c>
    </row>
    <row r="3999" spans="1:3" x14ac:dyDescent="0.3">
      <c r="A3999" t="str">
        <f>IF(AND(FORSIDE!$B$8&gt;=9,FORSIDE!$F$8&gt;=8,FORSIDE!$B$5&gt;=8),"S3998","")</f>
        <v/>
      </c>
      <c r="B3999" t="str">
        <f>IF(AND(FORSIDE!$B$8&gt;=9,FORSIDE!$F$8&gt;=8,FORSIDE!$B$5&gt;=8),"1945 -&gt; 1956","")</f>
        <v/>
      </c>
      <c r="C3999" t="str">
        <f>FORSIDE!$C$3</f>
        <v>S355, Stål / VFHUP 140x140x8.0</v>
      </c>
    </row>
    <row r="4000" spans="1:3" x14ac:dyDescent="0.3">
      <c r="A4000" t="str">
        <f>IF(AND(FORSIDE!$B$8&gt;=9,FORSIDE!$F$8&gt;=8,FORSIDE!$B$5&gt;=9),"S3999","")</f>
        <v/>
      </c>
      <c r="B4000" t="str">
        <f>IF(AND(FORSIDE!$B$8&gt;=9,FORSIDE!$F$8&gt;=8,FORSIDE!$B$5&gt;=9),"1946 -&gt; 1957","")</f>
        <v/>
      </c>
      <c r="C4000" t="str">
        <f>FORSIDE!$C$3</f>
        <v>S355, Stål / VFHUP 140x140x8.0</v>
      </c>
    </row>
    <row r="4001" spans="1:3" x14ac:dyDescent="0.3">
      <c r="A4001" t="str">
        <f>IF(AND(FORSIDE!$B$8&gt;=9,FORSIDE!$F$8&gt;=8,FORSIDE!$B$5&gt;=10),"S4000","")</f>
        <v/>
      </c>
      <c r="B4001" t="str">
        <f>IF(AND(FORSIDE!$B$8&gt;=9,FORSIDE!$F$8&gt;=8,FORSIDE!$B$5&gt;=10),"1947 -&gt; 1958","")</f>
        <v/>
      </c>
      <c r="C4001" t="str">
        <f>FORSIDE!$C$3</f>
        <v>S355, Stål / VFHUP 140x140x8.0</v>
      </c>
    </row>
    <row r="4002" spans="1:3" x14ac:dyDescent="0.3">
      <c r="A4002" t="str">
        <f>IF(AND(FORSIDE!$B$8&gt;=10,FORSIDE!$F$8&gt;=8,FORSIDE!$B$5&gt;=1),"S4001","")</f>
        <v/>
      </c>
      <c r="B4002" t="str">
        <f>IF(AND(FORSIDE!$B$8&gt;=10,FORSIDE!$F$8&gt;=8,FORSIDE!$B$5&gt;=1),"1949 -&gt; 1960","")</f>
        <v/>
      </c>
      <c r="C4002" t="str">
        <f>FORSIDE!$C$3</f>
        <v>S355, Stål / VFHUP 140x140x8.0</v>
      </c>
    </row>
    <row r="4003" spans="1:3" x14ac:dyDescent="0.3">
      <c r="A4003" t="str">
        <f>IF(AND(FORSIDE!$B$8&gt;=10,FORSIDE!$F$8&gt;=8,FORSIDE!$B$5&gt;=2),"S4002","")</f>
        <v/>
      </c>
      <c r="B4003" t="str">
        <f>IF(AND(FORSIDE!$B$8&gt;=10,FORSIDE!$F$8&gt;=8,FORSIDE!$B$5&gt;=2),"1950 -&gt; 1961","")</f>
        <v/>
      </c>
      <c r="C4003" t="str">
        <f>FORSIDE!$C$3</f>
        <v>S355, Stål / VFHUP 140x140x8.0</v>
      </c>
    </row>
    <row r="4004" spans="1:3" x14ac:dyDescent="0.3">
      <c r="A4004" t="str">
        <f>IF(AND(FORSIDE!$B$8&gt;=10,FORSIDE!$F$8&gt;=8,FORSIDE!$B$5&gt;=3),"S4003","")</f>
        <v/>
      </c>
      <c r="B4004" t="str">
        <f>IF(AND(FORSIDE!$B$8&gt;=10,FORSIDE!$F$8&gt;=8,FORSIDE!$B$5&gt;=3),"1951 -&gt; 1962","")</f>
        <v/>
      </c>
      <c r="C4004" t="str">
        <f>FORSIDE!$C$3</f>
        <v>S355, Stål / VFHUP 140x140x8.0</v>
      </c>
    </row>
    <row r="4005" spans="1:3" x14ac:dyDescent="0.3">
      <c r="A4005" t="str">
        <f>IF(AND(FORSIDE!$B$8&gt;=10,FORSIDE!$F$8&gt;=8,FORSIDE!$B$5&gt;=4),"S4004","")</f>
        <v/>
      </c>
      <c r="B4005" t="str">
        <f>IF(AND(FORSIDE!$B$8&gt;=10,FORSIDE!$F$8&gt;=8,FORSIDE!$B$5&gt;=4),"1952 -&gt; 1963","")</f>
        <v/>
      </c>
      <c r="C4005" t="str">
        <f>FORSIDE!$C$3</f>
        <v>S355, Stål / VFHUP 140x140x8.0</v>
      </c>
    </row>
    <row r="4006" spans="1:3" x14ac:dyDescent="0.3">
      <c r="A4006" t="str">
        <f>IF(AND(FORSIDE!$B$8&gt;=10,FORSIDE!$F$8&gt;=8,FORSIDE!$B$5&gt;=5),"S4005","")</f>
        <v/>
      </c>
      <c r="B4006" t="str">
        <f>IF(AND(FORSIDE!$B$8&gt;=10,FORSIDE!$F$8&gt;=8,FORSIDE!$B$5&gt;=5),"1953 -&gt; 1964","")</f>
        <v/>
      </c>
      <c r="C4006" t="str">
        <f>FORSIDE!$C$3</f>
        <v>S355, Stål / VFHUP 140x140x8.0</v>
      </c>
    </row>
    <row r="4007" spans="1:3" x14ac:dyDescent="0.3">
      <c r="A4007" t="str">
        <f>IF(AND(FORSIDE!$B$8&gt;=10,FORSIDE!$F$8&gt;=8,FORSIDE!$B$5&gt;=6),"S4006","")</f>
        <v/>
      </c>
      <c r="B4007" t="str">
        <f>IF(AND(FORSIDE!$B$8&gt;=10,FORSIDE!$F$8&gt;=8,FORSIDE!$B$5&gt;=6),"1954 -&gt; 1965","")</f>
        <v/>
      </c>
      <c r="C4007" t="str">
        <f>FORSIDE!$C$3</f>
        <v>S355, Stål / VFHUP 140x140x8.0</v>
      </c>
    </row>
    <row r="4008" spans="1:3" x14ac:dyDescent="0.3">
      <c r="A4008" t="str">
        <f>IF(AND(FORSIDE!$B$8&gt;=10,FORSIDE!$F$8&gt;=8,FORSIDE!$B$5&gt;=7),"S4007","")</f>
        <v/>
      </c>
      <c r="B4008" t="str">
        <f>IF(AND(FORSIDE!$B$8&gt;=10,FORSIDE!$F$8&gt;=8,FORSIDE!$B$5&gt;=7),"1955 -&gt; 1966","")</f>
        <v/>
      </c>
      <c r="C4008" t="str">
        <f>FORSIDE!$C$3</f>
        <v>S355, Stål / VFHUP 140x140x8.0</v>
      </c>
    </row>
    <row r="4009" spans="1:3" x14ac:dyDescent="0.3">
      <c r="A4009" t="str">
        <f>IF(AND(FORSIDE!$B$8&gt;=10,FORSIDE!$F$8&gt;=8,FORSIDE!$B$5&gt;=8),"S4008","")</f>
        <v/>
      </c>
      <c r="B4009" t="str">
        <f>IF(AND(FORSIDE!$B$8&gt;=10,FORSIDE!$F$8&gt;=8,FORSIDE!$B$5&gt;=8),"1956 -&gt; 1967","")</f>
        <v/>
      </c>
      <c r="C4009" t="str">
        <f>FORSIDE!$C$3</f>
        <v>S355, Stål / VFHUP 140x140x8.0</v>
      </c>
    </row>
    <row r="4010" spans="1:3" x14ac:dyDescent="0.3">
      <c r="A4010" t="str">
        <f>IF(AND(FORSIDE!$B$8&gt;=10,FORSIDE!$F$8&gt;=8,FORSIDE!$B$5&gt;=9),"S4009","")</f>
        <v/>
      </c>
      <c r="B4010" t="str">
        <f>IF(AND(FORSIDE!$B$8&gt;=10,FORSIDE!$F$8&gt;=8,FORSIDE!$B$5&gt;=9),"1957 -&gt; 1968","")</f>
        <v/>
      </c>
      <c r="C4010" t="str">
        <f>FORSIDE!$C$3</f>
        <v>S355, Stål / VFHUP 140x140x8.0</v>
      </c>
    </row>
    <row r="4011" spans="1:3" x14ac:dyDescent="0.3">
      <c r="A4011" t="str">
        <f>IF(AND(FORSIDE!$B$8&gt;=10,FORSIDE!$F$8&gt;=8,FORSIDE!$B$5&gt;=10),"S4010","")</f>
        <v/>
      </c>
      <c r="B4011" t="str">
        <f>IF(AND(FORSIDE!$B$8&gt;=10,FORSIDE!$F$8&gt;=8,FORSIDE!$B$5&gt;=10),"1958 -&gt; 1969","")</f>
        <v/>
      </c>
      <c r="C4011" t="str">
        <f>FORSIDE!$C$3</f>
        <v>S355, Stål / VFHUP 140x140x8.0</v>
      </c>
    </row>
    <row r="4012" spans="1:3" x14ac:dyDescent="0.3">
      <c r="A4012" t="str">
        <f>IF(AND(FORSIDE!$B$8&gt;=11,FORSIDE!$F$8&gt;=8,FORSIDE!$B$5&gt;=1),"S4011","")</f>
        <v/>
      </c>
      <c r="B4012" t="str">
        <f>IF(AND(FORSIDE!$B$8&gt;=11,FORSIDE!$F$8&gt;=8,FORSIDE!$B$5&gt;=1),"1960 -&gt; 1971","")</f>
        <v/>
      </c>
      <c r="C4012" t="str">
        <f>FORSIDE!$C$3</f>
        <v>S355, Stål / VFHUP 140x140x8.0</v>
      </c>
    </row>
    <row r="4013" spans="1:3" x14ac:dyDescent="0.3">
      <c r="A4013" t="str">
        <f>IF(AND(FORSIDE!$B$8&gt;=11,FORSIDE!$F$8&gt;=8,FORSIDE!$B$5&gt;=2),"S4012","")</f>
        <v/>
      </c>
      <c r="B4013" t="str">
        <f>IF(AND(FORSIDE!$B$8&gt;=11,FORSIDE!$F$8&gt;=8,FORSIDE!$B$5&gt;=2),"1961 -&gt; 1972","")</f>
        <v/>
      </c>
      <c r="C4013" t="str">
        <f>FORSIDE!$C$3</f>
        <v>S355, Stål / VFHUP 140x140x8.0</v>
      </c>
    </row>
    <row r="4014" spans="1:3" x14ac:dyDescent="0.3">
      <c r="A4014" t="str">
        <f>IF(AND(FORSIDE!$B$8&gt;=11,FORSIDE!$F$8&gt;=8,FORSIDE!$B$5&gt;=3),"S4013","")</f>
        <v/>
      </c>
      <c r="B4014" t="str">
        <f>IF(AND(FORSIDE!$B$8&gt;=11,FORSIDE!$F$8&gt;=8,FORSIDE!$B$5&gt;=3),"1962 -&gt; 1973","")</f>
        <v/>
      </c>
      <c r="C4014" t="str">
        <f>FORSIDE!$C$3</f>
        <v>S355, Stål / VFHUP 140x140x8.0</v>
      </c>
    </row>
    <row r="4015" spans="1:3" x14ac:dyDescent="0.3">
      <c r="A4015" t="str">
        <f>IF(AND(FORSIDE!$B$8&gt;=11,FORSIDE!$F$8&gt;=8,FORSIDE!$B$5&gt;=4),"S4014","")</f>
        <v/>
      </c>
      <c r="B4015" t="str">
        <f>IF(AND(FORSIDE!$B$8&gt;=11,FORSIDE!$F$8&gt;=8,FORSIDE!$B$5&gt;=4),"1963 -&gt; 1974","")</f>
        <v/>
      </c>
      <c r="C4015" t="str">
        <f>FORSIDE!$C$3</f>
        <v>S355, Stål / VFHUP 140x140x8.0</v>
      </c>
    </row>
    <row r="4016" spans="1:3" x14ac:dyDescent="0.3">
      <c r="A4016" t="str">
        <f>IF(AND(FORSIDE!$B$8&gt;=11,FORSIDE!$F$8&gt;=8,FORSIDE!$B$5&gt;=5),"S4015","")</f>
        <v/>
      </c>
      <c r="B4016" t="str">
        <f>IF(AND(FORSIDE!$B$8&gt;=11,FORSIDE!$F$8&gt;=8,FORSIDE!$B$5&gt;=5),"1964 -&gt; 1975","")</f>
        <v/>
      </c>
      <c r="C4016" t="str">
        <f>FORSIDE!$C$3</f>
        <v>S355, Stål / VFHUP 140x140x8.0</v>
      </c>
    </row>
    <row r="4017" spans="1:3" x14ac:dyDescent="0.3">
      <c r="A4017" t="str">
        <f>IF(AND(FORSIDE!$B$8&gt;=11,FORSIDE!$F$8&gt;=8,FORSIDE!$B$5&gt;=6),"S4016","")</f>
        <v/>
      </c>
      <c r="B4017" t="str">
        <f>IF(AND(FORSIDE!$B$8&gt;=11,FORSIDE!$F$8&gt;=8,FORSIDE!$B$5&gt;=6),"1965 -&gt; 1976","")</f>
        <v/>
      </c>
      <c r="C4017" t="str">
        <f>FORSIDE!$C$3</f>
        <v>S355, Stål / VFHUP 140x140x8.0</v>
      </c>
    </row>
    <row r="4018" spans="1:3" x14ac:dyDescent="0.3">
      <c r="A4018" t="str">
        <f>IF(AND(FORSIDE!$B$8&gt;=11,FORSIDE!$F$8&gt;=8,FORSIDE!$B$5&gt;=7),"S4017","")</f>
        <v/>
      </c>
      <c r="B4018" t="str">
        <f>IF(AND(FORSIDE!$B$8&gt;=11,FORSIDE!$F$8&gt;=8,FORSIDE!$B$5&gt;=7),"1966 -&gt; 1977","")</f>
        <v/>
      </c>
      <c r="C4018" t="str">
        <f>FORSIDE!$C$3</f>
        <v>S355, Stål / VFHUP 140x140x8.0</v>
      </c>
    </row>
    <row r="4019" spans="1:3" x14ac:dyDescent="0.3">
      <c r="A4019" t="str">
        <f>IF(AND(FORSIDE!$B$8&gt;=11,FORSIDE!$F$8&gt;=8,FORSIDE!$B$5&gt;=8),"S4018","")</f>
        <v/>
      </c>
      <c r="B4019" t="str">
        <f>IF(AND(FORSIDE!$B$8&gt;=11,FORSIDE!$F$8&gt;=8,FORSIDE!$B$5&gt;=8),"1967 -&gt; 1978","")</f>
        <v/>
      </c>
      <c r="C4019" t="str">
        <f>FORSIDE!$C$3</f>
        <v>S355, Stål / VFHUP 140x140x8.0</v>
      </c>
    </row>
    <row r="4020" spans="1:3" x14ac:dyDescent="0.3">
      <c r="A4020" t="str">
        <f>IF(AND(FORSIDE!$B$8&gt;=11,FORSIDE!$F$8&gt;=8,FORSIDE!$B$5&gt;=9),"S4019","")</f>
        <v/>
      </c>
      <c r="B4020" t="str">
        <f>IF(AND(FORSIDE!$B$8&gt;=11,FORSIDE!$F$8&gt;=8,FORSIDE!$B$5&gt;=9),"1968 -&gt; 1979","")</f>
        <v/>
      </c>
      <c r="C4020" t="str">
        <f>FORSIDE!$C$3</f>
        <v>S355, Stål / VFHUP 140x140x8.0</v>
      </c>
    </row>
    <row r="4021" spans="1:3" x14ac:dyDescent="0.3">
      <c r="A4021" t="str">
        <f>IF(AND(FORSIDE!$B$8&gt;=11,FORSIDE!$F$8&gt;=8,FORSIDE!$B$5&gt;=10),"S4020","")</f>
        <v/>
      </c>
      <c r="B4021" t="str">
        <f>IF(AND(FORSIDE!$B$8&gt;=11,FORSIDE!$F$8&gt;=8,FORSIDE!$B$5&gt;=10),"1969 -&gt; 1980","")</f>
        <v/>
      </c>
      <c r="C4021" t="str">
        <f>FORSIDE!$C$3</f>
        <v>S355, Stål / VFHUP 140x140x8.0</v>
      </c>
    </row>
    <row r="4022" spans="1:3" x14ac:dyDescent="0.3">
      <c r="A4022" t="str">
        <f>IF(AND(FORSIDE!$B$8&gt;=12,FORSIDE!$F$8&gt;=8,FORSIDE!$B$5&gt;=1),"S4021","")</f>
        <v/>
      </c>
      <c r="B4022" t="str">
        <f>IF(AND(FORSIDE!$B$8&gt;=12,FORSIDE!$F$8&gt;=8,FORSIDE!$B$5&gt;=1),"1971 -&gt; 1982","")</f>
        <v/>
      </c>
      <c r="C4022" t="str">
        <f>FORSIDE!$C$3</f>
        <v>S355, Stål / VFHUP 140x140x8.0</v>
      </c>
    </row>
    <row r="4023" spans="1:3" x14ac:dyDescent="0.3">
      <c r="A4023" t="str">
        <f>IF(AND(FORSIDE!$B$8&gt;=12,FORSIDE!$F$8&gt;=8,FORSIDE!$B$5&gt;=2),"S4022","")</f>
        <v/>
      </c>
      <c r="B4023" t="str">
        <f>IF(AND(FORSIDE!$B$8&gt;=12,FORSIDE!$F$8&gt;=8,FORSIDE!$B$5&gt;=2),"1972 -&gt; 1983","")</f>
        <v/>
      </c>
      <c r="C4023" t="str">
        <f>FORSIDE!$C$3</f>
        <v>S355, Stål / VFHUP 140x140x8.0</v>
      </c>
    </row>
    <row r="4024" spans="1:3" x14ac:dyDescent="0.3">
      <c r="A4024" t="str">
        <f>IF(AND(FORSIDE!$B$8&gt;=12,FORSIDE!$F$8&gt;=8,FORSIDE!$B$5&gt;=3),"S4023","")</f>
        <v/>
      </c>
      <c r="B4024" t="str">
        <f>IF(AND(FORSIDE!$B$8&gt;=12,FORSIDE!$F$8&gt;=8,FORSIDE!$B$5&gt;=3),"1973 -&gt; 1984","")</f>
        <v/>
      </c>
      <c r="C4024" t="str">
        <f>FORSIDE!$C$3</f>
        <v>S355, Stål / VFHUP 140x140x8.0</v>
      </c>
    </row>
    <row r="4025" spans="1:3" x14ac:dyDescent="0.3">
      <c r="A4025" t="str">
        <f>IF(AND(FORSIDE!$B$8&gt;=12,FORSIDE!$F$8&gt;=8,FORSIDE!$B$5&gt;=4),"S4024","")</f>
        <v/>
      </c>
      <c r="B4025" t="str">
        <f>IF(AND(FORSIDE!$B$8&gt;=12,FORSIDE!$F$8&gt;=8,FORSIDE!$B$5&gt;=4),"1974 -&gt; 1985","")</f>
        <v/>
      </c>
      <c r="C4025" t="str">
        <f>FORSIDE!$C$3</f>
        <v>S355, Stål / VFHUP 140x140x8.0</v>
      </c>
    </row>
    <row r="4026" spans="1:3" x14ac:dyDescent="0.3">
      <c r="A4026" t="str">
        <f>IF(AND(FORSIDE!$B$8&gt;=12,FORSIDE!$F$8&gt;=8,FORSIDE!$B$5&gt;=5),"S4025","")</f>
        <v/>
      </c>
      <c r="B4026" t="str">
        <f>IF(AND(FORSIDE!$B$8&gt;=12,FORSIDE!$F$8&gt;=8,FORSIDE!$B$5&gt;=5),"1975 -&gt; 1986","")</f>
        <v/>
      </c>
      <c r="C4026" t="str">
        <f>FORSIDE!$C$3</f>
        <v>S355, Stål / VFHUP 140x140x8.0</v>
      </c>
    </row>
    <row r="4027" spans="1:3" x14ac:dyDescent="0.3">
      <c r="A4027" t="str">
        <f>IF(AND(FORSIDE!$B$8&gt;=12,FORSIDE!$F$8&gt;=8,FORSIDE!$B$5&gt;=6),"S4026","")</f>
        <v/>
      </c>
      <c r="B4027" t="str">
        <f>IF(AND(FORSIDE!$B$8&gt;=12,FORSIDE!$F$8&gt;=8,FORSIDE!$B$5&gt;=6),"1976 -&gt; 1987","")</f>
        <v/>
      </c>
      <c r="C4027" t="str">
        <f>FORSIDE!$C$3</f>
        <v>S355, Stål / VFHUP 140x140x8.0</v>
      </c>
    </row>
    <row r="4028" spans="1:3" x14ac:dyDescent="0.3">
      <c r="A4028" t="str">
        <f>IF(AND(FORSIDE!$B$8&gt;=12,FORSIDE!$F$8&gt;=8,FORSIDE!$B$5&gt;=7),"S4027","")</f>
        <v/>
      </c>
      <c r="B4028" t="str">
        <f>IF(AND(FORSIDE!$B$8&gt;=12,FORSIDE!$F$8&gt;=8,FORSIDE!$B$5&gt;=7),"1977 -&gt; 1988","")</f>
        <v/>
      </c>
      <c r="C4028" t="str">
        <f>FORSIDE!$C$3</f>
        <v>S355, Stål / VFHUP 140x140x8.0</v>
      </c>
    </row>
    <row r="4029" spans="1:3" x14ac:dyDescent="0.3">
      <c r="A4029" t="str">
        <f>IF(AND(FORSIDE!$B$8&gt;=12,FORSIDE!$F$8&gt;=8,FORSIDE!$B$5&gt;=8),"S4028","")</f>
        <v/>
      </c>
      <c r="B4029" t="str">
        <f>IF(AND(FORSIDE!$B$8&gt;=12,FORSIDE!$F$8&gt;=8,FORSIDE!$B$5&gt;=8),"1978 -&gt; 1989","")</f>
        <v/>
      </c>
      <c r="C4029" t="str">
        <f>FORSIDE!$C$3</f>
        <v>S355, Stål / VFHUP 140x140x8.0</v>
      </c>
    </row>
    <row r="4030" spans="1:3" x14ac:dyDescent="0.3">
      <c r="A4030" t="str">
        <f>IF(AND(FORSIDE!$B$8&gt;=12,FORSIDE!$F$8&gt;=8,FORSIDE!$B$5&gt;=9),"S4029","")</f>
        <v/>
      </c>
      <c r="B4030" t="str">
        <f>IF(AND(FORSIDE!$B$8&gt;=12,FORSIDE!$F$8&gt;=8,FORSIDE!$B$5&gt;=9),"1979 -&gt; 1990","")</f>
        <v/>
      </c>
      <c r="C4030" t="str">
        <f>FORSIDE!$C$3</f>
        <v>S355, Stål / VFHUP 140x140x8.0</v>
      </c>
    </row>
    <row r="4031" spans="1:3" x14ac:dyDescent="0.3">
      <c r="A4031" t="str">
        <f>IF(AND(FORSIDE!$B$8&gt;=12,FORSIDE!$F$8&gt;=8,FORSIDE!$B$5&gt;=10),"S4030","")</f>
        <v/>
      </c>
      <c r="B4031" t="str">
        <f>IF(AND(FORSIDE!$B$8&gt;=12,FORSIDE!$F$8&gt;=8,FORSIDE!$B$5&gt;=10),"1980 -&gt; 1991","")</f>
        <v/>
      </c>
      <c r="C4031" t="str">
        <f>FORSIDE!$C$3</f>
        <v>S355, Stål / VFHUP 140x140x8.0</v>
      </c>
    </row>
    <row r="4032" spans="1:3" x14ac:dyDescent="0.3">
      <c r="A4032" t="str">
        <f>IF(AND(FORSIDE!$B$8&gt;=13,FORSIDE!$F$8&gt;=8,FORSIDE!$B$5&gt;=1),"S4031","")</f>
        <v/>
      </c>
      <c r="B4032" t="str">
        <f>IF(AND(FORSIDE!$B$8&gt;=13,FORSIDE!$F$8&gt;=8,FORSIDE!$B$5&gt;=1),"1982 -&gt; 1993","")</f>
        <v/>
      </c>
      <c r="C4032" t="str">
        <f>FORSIDE!$C$3</f>
        <v>S355, Stål / VFHUP 140x140x8.0</v>
      </c>
    </row>
    <row r="4033" spans="1:3" x14ac:dyDescent="0.3">
      <c r="A4033" t="str">
        <f>IF(AND(FORSIDE!$B$8&gt;=13,FORSIDE!$F$8&gt;=8,FORSIDE!$B$5&gt;=2),"S4032","")</f>
        <v/>
      </c>
      <c r="B4033" t="str">
        <f>IF(AND(FORSIDE!$B$8&gt;=13,FORSIDE!$F$8&gt;=8,FORSIDE!$B$5&gt;=2),"1983 -&gt; 1994","")</f>
        <v/>
      </c>
      <c r="C4033" t="str">
        <f>FORSIDE!$C$3</f>
        <v>S355, Stål / VFHUP 140x140x8.0</v>
      </c>
    </row>
    <row r="4034" spans="1:3" x14ac:dyDescent="0.3">
      <c r="A4034" t="str">
        <f>IF(AND(FORSIDE!$B$8&gt;=13,FORSIDE!$F$8&gt;=8,FORSIDE!$B$5&gt;=3),"S4033","")</f>
        <v/>
      </c>
      <c r="B4034" t="str">
        <f>IF(AND(FORSIDE!$B$8&gt;=13,FORSIDE!$F$8&gt;=8,FORSIDE!$B$5&gt;=3),"1984 -&gt; 1995","")</f>
        <v/>
      </c>
      <c r="C4034" t="str">
        <f>FORSIDE!$C$3</f>
        <v>S355, Stål / VFHUP 140x140x8.0</v>
      </c>
    </row>
    <row r="4035" spans="1:3" x14ac:dyDescent="0.3">
      <c r="A4035" t="str">
        <f>IF(AND(FORSIDE!$B$8&gt;=13,FORSIDE!$F$8&gt;=8,FORSIDE!$B$5&gt;=4),"S4034","")</f>
        <v/>
      </c>
      <c r="B4035" t="str">
        <f>IF(AND(FORSIDE!$B$8&gt;=13,FORSIDE!$F$8&gt;=8,FORSIDE!$B$5&gt;=4),"1985 -&gt; 1996","")</f>
        <v/>
      </c>
      <c r="C4035" t="str">
        <f>FORSIDE!$C$3</f>
        <v>S355, Stål / VFHUP 140x140x8.0</v>
      </c>
    </row>
    <row r="4036" spans="1:3" x14ac:dyDescent="0.3">
      <c r="A4036" t="str">
        <f>IF(AND(FORSIDE!$B$8&gt;=13,FORSIDE!$F$8&gt;=8,FORSIDE!$B$5&gt;=5),"S4035","")</f>
        <v/>
      </c>
      <c r="B4036" t="str">
        <f>IF(AND(FORSIDE!$B$8&gt;=13,FORSIDE!$F$8&gt;=8,FORSIDE!$B$5&gt;=5),"1986 -&gt; 1997","")</f>
        <v/>
      </c>
      <c r="C4036" t="str">
        <f>FORSIDE!$C$3</f>
        <v>S355, Stål / VFHUP 140x140x8.0</v>
      </c>
    </row>
    <row r="4037" spans="1:3" x14ac:dyDescent="0.3">
      <c r="A4037" t="str">
        <f>IF(AND(FORSIDE!$B$8&gt;=13,FORSIDE!$F$8&gt;=8,FORSIDE!$B$5&gt;=6),"S4036","")</f>
        <v/>
      </c>
      <c r="B4037" t="str">
        <f>IF(AND(FORSIDE!$B$8&gt;=13,FORSIDE!$F$8&gt;=8,FORSIDE!$B$5&gt;=6),"1987 -&gt; 1998","")</f>
        <v/>
      </c>
      <c r="C4037" t="str">
        <f>FORSIDE!$C$3</f>
        <v>S355, Stål / VFHUP 140x140x8.0</v>
      </c>
    </row>
    <row r="4038" spans="1:3" x14ac:dyDescent="0.3">
      <c r="A4038" t="str">
        <f>IF(AND(FORSIDE!$B$8&gt;=13,FORSIDE!$F$8&gt;=8,FORSIDE!$B$5&gt;=7),"S4037","")</f>
        <v/>
      </c>
      <c r="B4038" t="str">
        <f>IF(AND(FORSIDE!$B$8&gt;=13,FORSIDE!$F$8&gt;=8,FORSIDE!$B$5&gt;=7),"1988 -&gt; 1999","")</f>
        <v/>
      </c>
      <c r="C4038" t="str">
        <f>FORSIDE!$C$3</f>
        <v>S355, Stål / VFHUP 140x140x8.0</v>
      </c>
    </row>
    <row r="4039" spans="1:3" x14ac:dyDescent="0.3">
      <c r="A4039" t="str">
        <f>IF(AND(FORSIDE!$B$8&gt;=13,FORSIDE!$F$8&gt;=8,FORSIDE!$B$5&gt;=8),"S4038","")</f>
        <v/>
      </c>
      <c r="B4039" t="str">
        <f>IF(AND(FORSIDE!$B$8&gt;=13,FORSIDE!$F$8&gt;=8,FORSIDE!$B$5&gt;=8),"1989 -&gt; 2000","")</f>
        <v/>
      </c>
      <c r="C4039" t="str">
        <f>FORSIDE!$C$3</f>
        <v>S355, Stål / VFHUP 140x140x8.0</v>
      </c>
    </row>
    <row r="4040" spans="1:3" x14ac:dyDescent="0.3">
      <c r="A4040" t="str">
        <f>IF(AND(FORSIDE!$B$8&gt;=13,FORSIDE!$F$8&gt;=8,FORSIDE!$B$5&gt;=9),"S4039","")</f>
        <v/>
      </c>
      <c r="B4040" t="str">
        <f>IF(AND(FORSIDE!$B$8&gt;=13,FORSIDE!$F$8&gt;=8,FORSIDE!$B$5&gt;=9),"1990 -&gt; 2001","")</f>
        <v/>
      </c>
      <c r="C4040" t="str">
        <f>FORSIDE!$C$3</f>
        <v>S355, Stål / VFHUP 140x140x8.0</v>
      </c>
    </row>
    <row r="4041" spans="1:3" x14ac:dyDescent="0.3">
      <c r="A4041" t="str">
        <f>IF(AND(FORSIDE!$B$8&gt;=13,FORSIDE!$F$8&gt;=8,FORSIDE!$B$5&gt;=10),"S4040","")</f>
        <v/>
      </c>
      <c r="B4041" t="str">
        <f>IF(AND(FORSIDE!$B$8&gt;=13,FORSIDE!$F$8&gt;=8,FORSIDE!$B$5&gt;=10),"1991 -&gt; 2002","")</f>
        <v/>
      </c>
      <c r="C4041" t="str">
        <f>FORSIDE!$C$3</f>
        <v>S355, Stål / VFHUP 140x140x8.0</v>
      </c>
    </row>
    <row r="4042" spans="1:3" x14ac:dyDescent="0.3">
      <c r="A4042" t="str">
        <f>IF(AND(FORSIDE!$B$8&gt;=14,FORSIDE!$F$8&gt;=8,FORSIDE!$B$5&gt;=1),"S4041","")</f>
        <v/>
      </c>
      <c r="B4042" t="str">
        <f>IF(AND(FORSIDE!$B$8&gt;=14,FORSIDE!$F$8&gt;=8,FORSIDE!$B$5&gt;=1),"1993 -&gt; 2004","")</f>
        <v/>
      </c>
      <c r="C4042" t="str">
        <f>FORSIDE!$C$3</f>
        <v>S355, Stål / VFHUP 140x140x8.0</v>
      </c>
    </row>
    <row r="4043" spans="1:3" x14ac:dyDescent="0.3">
      <c r="A4043" t="str">
        <f>IF(AND(FORSIDE!$B$8&gt;=14,FORSIDE!$F$8&gt;=8,FORSIDE!$B$5&gt;=2),"S4042","")</f>
        <v/>
      </c>
      <c r="B4043" t="str">
        <f>IF(AND(FORSIDE!$B$8&gt;=14,FORSIDE!$F$8&gt;=8,FORSIDE!$B$5&gt;=2),"1994 -&gt; 2005","")</f>
        <v/>
      </c>
      <c r="C4043" t="str">
        <f>FORSIDE!$C$3</f>
        <v>S355, Stål / VFHUP 140x140x8.0</v>
      </c>
    </row>
    <row r="4044" spans="1:3" x14ac:dyDescent="0.3">
      <c r="A4044" t="str">
        <f>IF(AND(FORSIDE!$B$8&gt;=14,FORSIDE!$F$8&gt;=8,FORSIDE!$B$5&gt;=3),"S4043","")</f>
        <v/>
      </c>
      <c r="B4044" t="str">
        <f>IF(AND(FORSIDE!$B$8&gt;=14,FORSIDE!$F$8&gt;=8,FORSIDE!$B$5&gt;=3),"1995 -&gt; 2006","")</f>
        <v/>
      </c>
      <c r="C4044" t="str">
        <f>FORSIDE!$C$3</f>
        <v>S355, Stål / VFHUP 140x140x8.0</v>
      </c>
    </row>
    <row r="4045" spans="1:3" x14ac:dyDescent="0.3">
      <c r="A4045" t="str">
        <f>IF(AND(FORSIDE!$B$8&gt;=14,FORSIDE!$F$8&gt;=8,FORSIDE!$B$5&gt;=4),"S4044","")</f>
        <v/>
      </c>
      <c r="B4045" t="str">
        <f>IF(AND(FORSIDE!$B$8&gt;=14,FORSIDE!$F$8&gt;=8,FORSIDE!$B$5&gt;=4),"1996 -&gt; 2007","")</f>
        <v/>
      </c>
      <c r="C4045" t="str">
        <f>FORSIDE!$C$3</f>
        <v>S355, Stål / VFHUP 140x140x8.0</v>
      </c>
    </row>
    <row r="4046" spans="1:3" x14ac:dyDescent="0.3">
      <c r="A4046" t="str">
        <f>IF(AND(FORSIDE!$B$8&gt;=14,FORSIDE!$F$8&gt;=8,FORSIDE!$B$5&gt;=5),"S4045","")</f>
        <v/>
      </c>
      <c r="B4046" t="str">
        <f>IF(AND(FORSIDE!$B$8&gt;=14,FORSIDE!$F$8&gt;=8,FORSIDE!$B$5&gt;=5),"1997 -&gt; 2008","")</f>
        <v/>
      </c>
      <c r="C4046" t="str">
        <f>FORSIDE!$C$3</f>
        <v>S355, Stål / VFHUP 140x140x8.0</v>
      </c>
    </row>
    <row r="4047" spans="1:3" x14ac:dyDescent="0.3">
      <c r="A4047" t="str">
        <f>IF(AND(FORSIDE!$B$8&gt;=14,FORSIDE!$F$8&gt;=8,FORSIDE!$B$5&gt;=6),"S4046","")</f>
        <v/>
      </c>
      <c r="B4047" t="str">
        <f>IF(AND(FORSIDE!$B$8&gt;=14,FORSIDE!$F$8&gt;=8,FORSIDE!$B$5&gt;=6),"1998 -&gt; 2009","")</f>
        <v/>
      </c>
      <c r="C4047" t="str">
        <f>FORSIDE!$C$3</f>
        <v>S355, Stål / VFHUP 140x140x8.0</v>
      </c>
    </row>
    <row r="4048" spans="1:3" x14ac:dyDescent="0.3">
      <c r="A4048" t="str">
        <f>IF(AND(FORSIDE!$B$8&gt;=14,FORSIDE!$F$8&gt;=8,FORSIDE!$B$5&gt;=7),"S4047","")</f>
        <v/>
      </c>
      <c r="B4048" t="str">
        <f>IF(AND(FORSIDE!$B$8&gt;=14,FORSIDE!$F$8&gt;=8,FORSIDE!$B$5&gt;=7),"1999 -&gt; 2010","")</f>
        <v/>
      </c>
      <c r="C4048" t="str">
        <f>FORSIDE!$C$3</f>
        <v>S355, Stål / VFHUP 140x140x8.0</v>
      </c>
    </row>
    <row r="4049" spans="1:3" x14ac:dyDescent="0.3">
      <c r="A4049" t="str">
        <f>IF(AND(FORSIDE!$B$8&gt;=14,FORSIDE!$F$8&gt;=8,FORSIDE!$B$5&gt;=8),"S4048","")</f>
        <v/>
      </c>
      <c r="B4049" t="str">
        <f>IF(AND(FORSIDE!$B$8&gt;=14,FORSIDE!$F$8&gt;=8,FORSIDE!$B$5&gt;=8),"2000 -&gt; 2011","")</f>
        <v/>
      </c>
      <c r="C4049" t="str">
        <f>FORSIDE!$C$3</f>
        <v>S355, Stål / VFHUP 140x140x8.0</v>
      </c>
    </row>
    <row r="4050" spans="1:3" x14ac:dyDescent="0.3">
      <c r="A4050" t="str">
        <f>IF(AND(FORSIDE!$B$8&gt;=14,FORSIDE!$F$8&gt;=8,FORSIDE!$B$5&gt;=9),"S4049","")</f>
        <v/>
      </c>
      <c r="B4050" t="str">
        <f>IF(AND(FORSIDE!$B$8&gt;=14,FORSIDE!$F$8&gt;=8,FORSIDE!$B$5&gt;=9),"2001 -&gt; 2012","")</f>
        <v/>
      </c>
      <c r="C4050" t="str">
        <f>FORSIDE!$C$3</f>
        <v>S355, Stål / VFHUP 140x140x8.0</v>
      </c>
    </row>
    <row r="4051" spans="1:3" x14ac:dyDescent="0.3">
      <c r="A4051" t="str">
        <f>IF(AND(FORSIDE!$B$8&gt;=14,FORSIDE!$F$8&gt;=8,FORSIDE!$B$5&gt;=10),"S4050","")</f>
        <v/>
      </c>
      <c r="B4051" t="str">
        <f>IF(AND(FORSIDE!$B$8&gt;=14,FORSIDE!$F$8&gt;=8,FORSIDE!$B$5&gt;=10),"2002 -&gt; 2013","")</f>
        <v/>
      </c>
      <c r="C4051" t="str">
        <f>FORSIDE!$C$3</f>
        <v>S355, Stål / VFHUP 140x140x8.0</v>
      </c>
    </row>
    <row r="4052" spans="1:3" x14ac:dyDescent="0.3">
      <c r="A4052" t="str">
        <f>IF(AND(FORSIDE!$B$8&gt;=15,FORSIDE!$F$8&gt;=8,FORSIDE!$B$5&gt;=1),"S4051","")</f>
        <v/>
      </c>
      <c r="B4052" t="str">
        <f>IF(AND(FORSIDE!$B$8&gt;=15,FORSIDE!$F$8&gt;=8,FORSIDE!$B$5&gt;=1),"2004 -&gt; 2015","")</f>
        <v/>
      </c>
      <c r="C4052" t="str">
        <f>FORSIDE!$C$3</f>
        <v>S355, Stål / VFHUP 140x140x8.0</v>
      </c>
    </row>
    <row r="4053" spans="1:3" x14ac:dyDescent="0.3">
      <c r="A4053" t="str">
        <f>IF(AND(FORSIDE!$B$8&gt;=15,FORSIDE!$F$8&gt;=8,FORSIDE!$B$5&gt;=2),"S4052","")</f>
        <v/>
      </c>
      <c r="B4053" t="str">
        <f>IF(AND(FORSIDE!$B$8&gt;=15,FORSIDE!$F$8&gt;=8,FORSIDE!$B$5&gt;=2),"2005 -&gt; 2016","")</f>
        <v/>
      </c>
      <c r="C4053" t="str">
        <f>FORSIDE!$C$3</f>
        <v>S355, Stål / VFHUP 140x140x8.0</v>
      </c>
    </row>
    <row r="4054" spans="1:3" x14ac:dyDescent="0.3">
      <c r="A4054" t="str">
        <f>IF(AND(FORSIDE!$B$8&gt;=15,FORSIDE!$F$8&gt;=8,FORSIDE!$B$5&gt;=3),"S4053","")</f>
        <v/>
      </c>
      <c r="B4054" t="str">
        <f>IF(AND(FORSIDE!$B$8&gt;=15,FORSIDE!$F$8&gt;=8,FORSIDE!$B$5&gt;=3),"2006 -&gt; 2017","")</f>
        <v/>
      </c>
      <c r="C4054" t="str">
        <f>FORSIDE!$C$3</f>
        <v>S355, Stål / VFHUP 140x140x8.0</v>
      </c>
    </row>
    <row r="4055" spans="1:3" x14ac:dyDescent="0.3">
      <c r="A4055" t="str">
        <f>IF(AND(FORSIDE!$B$8&gt;=15,FORSIDE!$F$8&gt;=8,FORSIDE!$B$5&gt;=4),"S4054","")</f>
        <v/>
      </c>
      <c r="B4055" t="str">
        <f>IF(AND(FORSIDE!$B$8&gt;=15,FORSIDE!$F$8&gt;=8,FORSIDE!$B$5&gt;=4),"2007 -&gt; 2018","")</f>
        <v/>
      </c>
      <c r="C4055" t="str">
        <f>FORSIDE!$C$3</f>
        <v>S355, Stål / VFHUP 140x140x8.0</v>
      </c>
    </row>
    <row r="4056" spans="1:3" x14ac:dyDescent="0.3">
      <c r="A4056" t="str">
        <f>IF(AND(FORSIDE!$B$8&gt;=15,FORSIDE!$F$8&gt;=8,FORSIDE!$B$5&gt;=5),"S4055","")</f>
        <v/>
      </c>
      <c r="B4056" t="str">
        <f>IF(AND(FORSIDE!$B$8&gt;=15,FORSIDE!$F$8&gt;=8,FORSIDE!$B$5&gt;=5),"2008 -&gt; 2019","")</f>
        <v/>
      </c>
      <c r="C4056" t="str">
        <f>FORSIDE!$C$3</f>
        <v>S355, Stål / VFHUP 140x140x8.0</v>
      </c>
    </row>
    <row r="4057" spans="1:3" x14ac:dyDescent="0.3">
      <c r="A4057" t="str">
        <f>IF(AND(FORSIDE!$B$8&gt;=15,FORSIDE!$F$8&gt;=8,FORSIDE!$B$5&gt;=6),"S4056","")</f>
        <v/>
      </c>
      <c r="B4057" t="str">
        <f>IF(AND(FORSIDE!$B$8&gt;=15,FORSIDE!$F$8&gt;=8,FORSIDE!$B$5&gt;=6),"2009 -&gt; 2020","")</f>
        <v/>
      </c>
      <c r="C4057" t="str">
        <f>FORSIDE!$C$3</f>
        <v>S355, Stål / VFHUP 140x140x8.0</v>
      </c>
    </row>
    <row r="4058" spans="1:3" x14ac:dyDescent="0.3">
      <c r="A4058" t="str">
        <f>IF(AND(FORSIDE!$B$8&gt;=15,FORSIDE!$F$8&gt;=8,FORSIDE!$B$5&gt;=7),"S4057","")</f>
        <v/>
      </c>
      <c r="B4058" t="str">
        <f>IF(AND(FORSIDE!$B$8&gt;=15,FORSIDE!$F$8&gt;=8,FORSIDE!$B$5&gt;=7),"2010 -&gt; 2021","")</f>
        <v/>
      </c>
      <c r="C4058" t="str">
        <f>FORSIDE!$C$3</f>
        <v>S355, Stål / VFHUP 140x140x8.0</v>
      </c>
    </row>
    <row r="4059" spans="1:3" x14ac:dyDescent="0.3">
      <c r="A4059" t="str">
        <f>IF(AND(FORSIDE!$B$8&gt;=15,FORSIDE!$F$8&gt;=8,FORSIDE!$B$5&gt;=8),"S4058","")</f>
        <v/>
      </c>
      <c r="B4059" t="str">
        <f>IF(AND(FORSIDE!$B$8&gt;=15,FORSIDE!$F$8&gt;=8,FORSIDE!$B$5&gt;=8),"2011 -&gt; 2022","")</f>
        <v/>
      </c>
      <c r="C4059" t="str">
        <f>FORSIDE!$C$3</f>
        <v>S355, Stål / VFHUP 140x140x8.0</v>
      </c>
    </row>
    <row r="4060" spans="1:3" x14ac:dyDescent="0.3">
      <c r="A4060" t="str">
        <f>IF(AND(FORSIDE!$B$8&gt;=15,FORSIDE!$F$8&gt;=8,FORSIDE!$B$5&gt;=9),"S4059","")</f>
        <v/>
      </c>
      <c r="B4060" t="str">
        <f>IF(AND(FORSIDE!$B$8&gt;=15,FORSIDE!$F$8&gt;=8,FORSIDE!$B$5&gt;=9),"2012 -&gt; 2023","")</f>
        <v/>
      </c>
      <c r="C4060" t="str">
        <f>FORSIDE!$C$3</f>
        <v>S355, Stål / VFHUP 140x140x8.0</v>
      </c>
    </row>
    <row r="4061" spans="1:3" x14ac:dyDescent="0.3">
      <c r="A4061" t="str">
        <f>IF(AND(FORSIDE!$B$8&gt;=15,FORSIDE!$F$8&gt;=8,FORSIDE!$B$5&gt;=10),"S4060","")</f>
        <v/>
      </c>
      <c r="B4061" t="str">
        <f>IF(AND(FORSIDE!$B$8&gt;=15,FORSIDE!$F$8&gt;=8,FORSIDE!$B$5&gt;=10),"2013 -&gt; 2024","")</f>
        <v/>
      </c>
      <c r="C4061" t="str">
        <f>FORSIDE!$C$3</f>
        <v>S355, Stål / VFHUP 140x140x8.0</v>
      </c>
    </row>
    <row r="4062" spans="1:3" x14ac:dyDescent="0.3">
      <c r="A4062" t="str">
        <f>IF(AND(FORSIDE!$B$8&gt;=16,FORSIDE!$F$8&gt;=8,FORSIDE!$B$5&gt;=1),"S4061","")</f>
        <v/>
      </c>
      <c r="B4062" t="str">
        <f>IF(AND(FORSIDE!$B$8&gt;=16,FORSIDE!$F$8&gt;=8,FORSIDE!$B$5&gt;=1),"2015 -&gt; 2026","")</f>
        <v/>
      </c>
      <c r="C4062" t="str">
        <f>FORSIDE!$C$3</f>
        <v>S355, Stål / VFHUP 140x140x8.0</v>
      </c>
    </row>
    <row r="4063" spans="1:3" x14ac:dyDescent="0.3">
      <c r="A4063" t="str">
        <f>IF(AND(FORSIDE!$B$8&gt;=16,FORSIDE!$F$8&gt;=8,FORSIDE!$B$5&gt;=2),"S4062","")</f>
        <v/>
      </c>
      <c r="B4063" t="str">
        <f>IF(AND(FORSIDE!$B$8&gt;=16,FORSIDE!$F$8&gt;=8,FORSIDE!$B$5&gt;=2),"2016 -&gt; 2027","")</f>
        <v/>
      </c>
      <c r="C4063" t="str">
        <f>FORSIDE!$C$3</f>
        <v>S355, Stål / VFHUP 140x140x8.0</v>
      </c>
    </row>
    <row r="4064" spans="1:3" x14ac:dyDescent="0.3">
      <c r="A4064" t="str">
        <f>IF(AND(FORSIDE!$B$8&gt;=16,FORSIDE!$F$8&gt;=8,FORSIDE!$B$5&gt;=3),"S4063","")</f>
        <v/>
      </c>
      <c r="B4064" t="str">
        <f>IF(AND(FORSIDE!$B$8&gt;=16,FORSIDE!$F$8&gt;=8,FORSIDE!$B$5&gt;=3),"2017 -&gt; 2028","")</f>
        <v/>
      </c>
      <c r="C4064" t="str">
        <f>FORSIDE!$C$3</f>
        <v>S355, Stål / VFHUP 140x140x8.0</v>
      </c>
    </row>
    <row r="4065" spans="1:3" x14ac:dyDescent="0.3">
      <c r="A4065" t="str">
        <f>IF(AND(FORSIDE!$B$8&gt;=16,FORSIDE!$F$8&gt;=8,FORSIDE!$B$5&gt;=4),"S4064","")</f>
        <v/>
      </c>
      <c r="B4065" t="str">
        <f>IF(AND(FORSIDE!$B$8&gt;=16,FORSIDE!$F$8&gt;=8,FORSIDE!$B$5&gt;=4),"2018 -&gt; 2029","")</f>
        <v/>
      </c>
      <c r="C4065" t="str">
        <f>FORSIDE!$C$3</f>
        <v>S355, Stål / VFHUP 140x140x8.0</v>
      </c>
    </row>
    <row r="4066" spans="1:3" x14ac:dyDescent="0.3">
      <c r="A4066" t="str">
        <f>IF(AND(FORSIDE!$B$8&gt;=16,FORSIDE!$F$8&gt;=8,FORSIDE!$B$5&gt;=5),"S4065","")</f>
        <v/>
      </c>
      <c r="B4066" t="str">
        <f>IF(AND(FORSIDE!$B$8&gt;=16,FORSIDE!$F$8&gt;=8,FORSIDE!$B$5&gt;=5),"2019 -&gt; 2030","")</f>
        <v/>
      </c>
      <c r="C4066" t="str">
        <f>FORSIDE!$C$3</f>
        <v>S355, Stål / VFHUP 140x140x8.0</v>
      </c>
    </row>
    <row r="4067" spans="1:3" x14ac:dyDescent="0.3">
      <c r="A4067" t="str">
        <f>IF(AND(FORSIDE!$B$8&gt;=16,FORSIDE!$F$8&gt;=8,FORSIDE!$B$5&gt;=6),"S4066","")</f>
        <v/>
      </c>
      <c r="B4067" t="str">
        <f>IF(AND(FORSIDE!$B$8&gt;=16,FORSIDE!$F$8&gt;=8,FORSIDE!$B$5&gt;=6),"2020 -&gt; 2031","")</f>
        <v/>
      </c>
      <c r="C4067" t="str">
        <f>FORSIDE!$C$3</f>
        <v>S355, Stål / VFHUP 140x140x8.0</v>
      </c>
    </row>
    <row r="4068" spans="1:3" x14ac:dyDescent="0.3">
      <c r="A4068" t="str">
        <f>IF(AND(FORSIDE!$B$8&gt;=16,FORSIDE!$F$8&gt;=8,FORSIDE!$B$5&gt;=7),"S4067","")</f>
        <v/>
      </c>
      <c r="B4068" t="str">
        <f>IF(AND(FORSIDE!$B$8&gt;=16,FORSIDE!$F$8&gt;=8,FORSIDE!$B$5&gt;=7),"2021 -&gt; 2032","")</f>
        <v/>
      </c>
      <c r="C4068" t="str">
        <f>FORSIDE!$C$3</f>
        <v>S355, Stål / VFHUP 140x140x8.0</v>
      </c>
    </row>
    <row r="4069" spans="1:3" x14ac:dyDescent="0.3">
      <c r="A4069" t="str">
        <f>IF(AND(FORSIDE!$B$8&gt;=16,FORSIDE!$F$8&gt;=8,FORSIDE!$B$5&gt;=8),"S4068","")</f>
        <v/>
      </c>
      <c r="B4069" t="str">
        <f>IF(AND(FORSIDE!$B$8&gt;=16,FORSIDE!$F$8&gt;=8,FORSIDE!$B$5&gt;=8),"2022 -&gt; 2033","")</f>
        <v/>
      </c>
      <c r="C4069" t="str">
        <f>FORSIDE!$C$3</f>
        <v>S355, Stål / VFHUP 140x140x8.0</v>
      </c>
    </row>
    <row r="4070" spans="1:3" x14ac:dyDescent="0.3">
      <c r="A4070" t="str">
        <f>IF(AND(FORSIDE!$B$8&gt;=16,FORSIDE!$F$8&gt;=8,FORSIDE!$B$5&gt;=9),"S4069","")</f>
        <v/>
      </c>
      <c r="B4070" t="str">
        <f>IF(AND(FORSIDE!$B$8&gt;=16,FORSIDE!$F$8&gt;=8,FORSIDE!$B$5&gt;=9),"2023 -&gt; 2034","")</f>
        <v/>
      </c>
      <c r="C4070" t="str">
        <f>FORSIDE!$C$3</f>
        <v>S355, Stål / VFHUP 140x140x8.0</v>
      </c>
    </row>
    <row r="4071" spans="1:3" x14ac:dyDescent="0.3">
      <c r="A4071" t="str">
        <f>IF(AND(FORSIDE!$B$8&gt;=16,FORSIDE!$F$8&gt;=8,FORSIDE!$B$5&gt;=10),"S4070","")</f>
        <v/>
      </c>
      <c r="B4071" t="str">
        <f>IF(AND(FORSIDE!$B$8&gt;=16,FORSIDE!$F$8&gt;=8,FORSIDE!$B$5&gt;=10),"2024 -&gt; 2035","")</f>
        <v/>
      </c>
      <c r="C4071" t="str">
        <f>FORSIDE!$C$3</f>
        <v>S355, Stål / VFHUP 140x140x8.0</v>
      </c>
    </row>
    <row r="4072" spans="1:3" x14ac:dyDescent="0.3">
      <c r="A4072" t="str">
        <f>IF(AND(FORSIDE!$B$8&gt;=17,FORSIDE!$F$8&gt;=8,FORSIDE!$B$5&gt;=1),"S4071","")</f>
        <v/>
      </c>
      <c r="B4072" t="str">
        <f>IF(AND(FORSIDE!$B$8&gt;=17,FORSIDE!$F$8&gt;=8,FORSIDE!$B$5&gt;=1),"2026 -&gt; 2037","")</f>
        <v/>
      </c>
      <c r="C4072" t="str">
        <f>FORSIDE!$C$3</f>
        <v>S355, Stål / VFHUP 140x140x8.0</v>
      </c>
    </row>
    <row r="4073" spans="1:3" x14ac:dyDescent="0.3">
      <c r="A4073" t="str">
        <f>IF(AND(FORSIDE!$B$8&gt;=17,FORSIDE!$F$8&gt;=8,FORSIDE!$B$5&gt;=2),"S4072","")</f>
        <v/>
      </c>
      <c r="B4073" t="str">
        <f>IF(AND(FORSIDE!$B$8&gt;=17,FORSIDE!$F$8&gt;=8,FORSIDE!$B$5&gt;=2),"2027 -&gt; 2038","")</f>
        <v/>
      </c>
      <c r="C4073" t="str">
        <f>FORSIDE!$C$3</f>
        <v>S355, Stål / VFHUP 140x140x8.0</v>
      </c>
    </row>
    <row r="4074" spans="1:3" x14ac:dyDescent="0.3">
      <c r="A4074" t="str">
        <f>IF(AND(FORSIDE!$B$8&gt;=17,FORSIDE!$F$8&gt;=8,FORSIDE!$B$5&gt;=3),"S4073","")</f>
        <v/>
      </c>
      <c r="B4074" t="str">
        <f>IF(AND(FORSIDE!$B$8&gt;=17,FORSIDE!$F$8&gt;=8,FORSIDE!$B$5&gt;=3),"2028 -&gt; 2039","")</f>
        <v/>
      </c>
      <c r="C4074" t="str">
        <f>FORSIDE!$C$3</f>
        <v>S355, Stål / VFHUP 140x140x8.0</v>
      </c>
    </row>
    <row r="4075" spans="1:3" x14ac:dyDescent="0.3">
      <c r="A4075" t="str">
        <f>IF(AND(FORSIDE!$B$8&gt;=17,FORSIDE!$F$8&gt;=8,FORSIDE!$B$5&gt;=4),"S4074","")</f>
        <v/>
      </c>
      <c r="B4075" t="str">
        <f>IF(AND(FORSIDE!$B$8&gt;=17,FORSIDE!$F$8&gt;=8,FORSIDE!$B$5&gt;=4),"2029 -&gt; 2040","")</f>
        <v/>
      </c>
      <c r="C4075" t="str">
        <f>FORSIDE!$C$3</f>
        <v>S355, Stål / VFHUP 140x140x8.0</v>
      </c>
    </row>
    <row r="4076" spans="1:3" x14ac:dyDescent="0.3">
      <c r="A4076" t="str">
        <f>IF(AND(FORSIDE!$B$8&gt;=17,FORSIDE!$F$8&gt;=8,FORSIDE!$B$5&gt;=5),"S4075","")</f>
        <v/>
      </c>
      <c r="B4076" t="str">
        <f>IF(AND(FORSIDE!$B$8&gt;=17,FORSIDE!$F$8&gt;=8,FORSIDE!$B$5&gt;=5),"2030 -&gt; 2041","")</f>
        <v/>
      </c>
      <c r="C4076" t="str">
        <f>FORSIDE!$C$3</f>
        <v>S355, Stål / VFHUP 140x140x8.0</v>
      </c>
    </row>
    <row r="4077" spans="1:3" x14ac:dyDescent="0.3">
      <c r="A4077" t="str">
        <f>IF(AND(FORSIDE!$B$8&gt;=17,FORSIDE!$F$8&gt;=8,FORSIDE!$B$5&gt;=6),"S4076","")</f>
        <v/>
      </c>
      <c r="B4077" t="str">
        <f>IF(AND(FORSIDE!$B$8&gt;=17,FORSIDE!$F$8&gt;=8,FORSIDE!$B$5&gt;=6),"2031 -&gt; 2042","")</f>
        <v/>
      </c>
      <c r="C4077" t="str">
        <f>FORSIDE!$C$3</f>
        <v>S355, Stål / VFHUP 140x140x8.0</v>
      </c>
    </row>
    <row r="4078" spans="1:3" x14ac:dyDescent="0.3">
      <c r="A4078" t="str">
        <f>IF(AND(FORSIDE!$B$8&gt;=17,FORSIDE!$F$8&gt;=8,FORSIDE!$B$5&gt;=7),"S4077","")</f>
        <v/>
      </c>
      <c r="B4078" t="str">
        <f>IF(AND(FORSIDE!$B$8&gt;=17,FORSIDE!$F$8&gt;=8,FORSIDE!$B$5&gt;=7),"2032 -&gt; 2043","")</f>
        <v/>
      </c>
      <c r="C4078" t="str">
        <f>FORSIDE!$C$3</f>
        <v>S355, Stål / VFHUP 140x140x8.0</v>
      </c>
    </row>
    <row r="4079" spans="1:3" x14ac:dyDescent="0.3">
      <c r="A4079" t="str">
        <f>IF(AND(FORSIDE!$B$8&gt;=17,FORSIDE!$F$8&gt;=8,FORSIDE!$B$5&gt;=8),"S4078","")</f>
        <v/>
      </c>
      <c r="B4079" t="str">
        <f>IF(AND(FORSIDE!$B$8&gt;=17,FORSIDE!$F$8&gt;=8,FORSIDE!$B$5&gt;=8),"2033 -&gt; 2044","")</f>
        <v/>
      </c>
      <c r="C4079" t="str">
        <f>FORSIDE!$C$3</f>
        <v>S355, Stål / VFHUP 140x140x8.0</v>
      </c>
    </row>
    <row r="4080" spans="1:3" x14ac:dyDescent="0.3">
      <c r="A4080" t="str">
        <f>IF(AND(FORSIDE!$B$8&gt;=17,FORSIDE!$F$8&gt;=8,FORSIDE!$B$5&gt;=9),"S4079","")</f>
        <v/>
      </c>
      <c r="B4080" t="str">
        <f>IF(AND(FORSIDE!$B$8&gt;=17,FORSIDE!$F$8&gt;=8,FORSIDE!$B$5&gt;=9),"2034 -&gt; 2045","")</f>
        <v/>
      </c>
      <c r="C4080" t="str">
        <f>FORSIDE!$C$3</f>
        <v>S355, Stål / VFHUP 140x140x8.0</v>
      </c>
    </row>
    <row r="4081" spans="1:3" x14ac:dyDescent="0.3">
      <c r="A4081" t="str">
        <f>IF(AND(FORSIDE!$B$8&gt;=17,FORSIDE!$F$8&gt;=8,FORSIDE!$B$5&gt;=10),"S4080","")</f>
        <v/>
      </c>
      <c r="B4081" t="str">
        <f>IF(AND(FORSIDE!$B$8&gt;=17,FORSIDE!$F$8&gt;=8,FORSIDE!$B$5&gt;=10),"2035 -&gt; 2046","")</f>
        <v/>
      </c>
      <c r="C4081" t="str">
        <f>FORSIDE!$C$3</f>
        <v>S355, Stål / VFHUP 140x140x8.0</v>
      </c>
    </row>
    <row r="4082" spans="1:3" x14ac:dyDescent="0.3">
      <c r="A4082" t="str">
        <f>IF(AND(FORSIDE!$B$8&gt;=18,FORSIDE!$F$8&gt;=8,FORSIDE!$B$5&gt;=1),"S4081","")</f>
        <v/>
      </c>
      <c r="B4082" t="str">
        <f>IF(AND(FORSIDE!$B$8&gt;=18,FORSIDE!$F$8&gt;=8,FORSIDE!$B$5&gt;=1),"2037 -&gt; 2048","")</f>
        <v/>
      </c>
      <c r="C4082" t="str">
        <f>FORSIDE!$C$3</f>
        <v>S355, Stål / VFHUP 140x140x8.0</v>
      </c>
    </row>
    <row r="4083" spans="1:3" x14ac:dyDescent="0.3">
      <c r="A4083" t="str">
        <f>IF(AND(FORSIDE!$B$8&gt;=18,FORSIDE!$F$8&gt;=8,FORSIDE!$B$5&gt;=2),"S4082","")</f>
        <v/>
      </c>
      <c r="B4083" t="str">
        <f>IF(AND(FORSIDE!$B$8&gt;=18,FORSIDE!$F$8&gt;=8,FORSIDE!$B$5&gt;=2),"2038 -&gt; 2049","")</f>
        <v/>
      </c>
      <c r="C4083" t="str">
        <f>FORSIDE!$C$3</f>
        <v>S355, Stål / VFHUP 140x140x8.0</v>
      </c>
    </row>
    <row r="4084" spans="1:3" x14ac:dyDescent="0.3">
      <c r="A4084" t="str">
        <f>IF(AND(FORSIDE!$B$8&gt;=18,FORSIDE!$F$8&gt;=8,FORSIDE!$B$5&gt;=3),"S4083","")</f>
        <v/>
      </c>
      <c r="B4084" t="str">
        <f>IF(AND(FORSIDE!$B$8&gt;=18,FORSIDE!$F$8&gt;=8,FORSIDE!$B$5&gt;=3),"2039 -&gt; 2050","")</f>
        <v/>
      </c>
      <c r="C4084" t="str">
        <f>FORSIDE!$C$3</f>
        <v>S355, Stål / VFHUP 140x140x8.0</v>
      </c>
    </row>
    <row r="4085" spans="1:3" x14ac:dyDescent="0.3">
      <c r="A4085" t="str">
        <f>IF(AND(FORSIDE!$B$8&gt;=18,FORSIDE!$F$8&gt;=8,FORSIDE!$B$5&gt;=4),"S4084","")</f>
        <v/>
      </c>
      <c r="B4085" t="str">
        <f>IF(AND(FORSIDE!$B$8&gt;=18,FORSIDE!$F$8&gt;=8,FORSIDE!$B$5&gt;=4),"2040 -&gt; 2051","")</f>
        <v/>
      </c>
      <c r="C4085" t="str">
        <f>FORSIDE!$C$3</f>
        <v>S355, Stål / VFHUP 140x140x8.0</v>
      </c>
    </row>
    <row r="4086" spans="1:3" x14ac:dyDescent="0.3">
      <c r="A4086" t="str">
        <f>IF(AND(FORSIDE!$B$8&gt;=18,FORSIDE!$F$8&gt;=8,FORSIDE!$B$5&gt;=5),"S4085","")</f>
        <v/>
      </c>
      <c r="B4086" t="str">
        <f>IF(AND(FORSIDE!$B$8&gt;=18,FORSIDE!$F$8&gt;=8,FORSIDE!$B$5&gt;=5),"2041 -&gt; 2052","")</f>
        <v/>
      </c>
      <c r="C4086" t="str">
        <f>FORSIDE!$C$3</f>
        <v>S355, Stål / VFHUP 140x140x8.0</v>
      </c>
    </row>
    <row r="4087" spans="1:3" x14ac:dyDescent="0.3">
      <c r="A4087" t="str">
        <f>IF(AND(FORSIDE!$B$8&gt;=18,FORSIDE!$F$8&gt;=8,FORSIDE!$B$5&gt;=6),"S4086","")</f>
        <v/>
      </c>
      <c r="B4087" t="str">
        <f>IF(AND(FORSIDE!$B$8&gt;=18,FORSIDE!$F$8&gt;=8,FORSIDE!$B$5&gt;=6),"2042 -&gt; 2053","")</f>
        <v/>
      </c>
      <c r="C4087" t="str">
        <f>FORSIDE!$C$3</f>
        <v>S355, Stål / VFHUP 140x140x8.0</v>
      </c>
    </row>
    <row r="4088" spans="1:3" x14ac:dyDescent="0.3">
      <c r="A4088" t="str">
        <f>IF(AND(FORSIDE!$B$8&gt;=18,FORSIDE!$F$8&gt;=8,FORSIDE!$B$5&gt;=7),"S4087","")</f>
        <v/>
      </c>
      <c r="B4088" t="str">
        <f>IF(AND(FORSIDE!$B$8&gt;=18,FORSIDE!$F$8&gt;=8,FORSIDE!$B$5&gt;=7),"2043 -&gt; 2054","")</f>
        <v/>
      </c>
      <c r="C4088" t="str">
        <f>FORSIDE!$C$3</f>
        <v>S355, Stål / VFHUP 140x140x8.0</v>
      </c>
    </row>
    <row r="4089" spans="1:3" x14ac:dyDescent="0.3">
      <c r="A4089" t="str">
        <f>IF(AND(FORSIDE!$B$8&gt;=18,FORSIDE!$F$8&gt;=8,FORSIDE!$B$5&gt;=8),"S4088","")</f>
        <v/>
      </c>
      <c r="B4089" t="str">
        <f>IF(AND(FORSIDE!$B$8&gt;=18,FORSIDE!$F$8&gt;=8,FORSIDE!$B$5&gt;=8),"2044 -&gt; 2055","")</f>
        <v/>
      </c>
      <c r="C4089" t="str">
        <f>FORSIDE!$C$3</f>
        <v>S355, Stål / VFHUP 140x140x8.0</v>
      </c>
    </row>
    <row r="4090" spans="1:3" x14ac:dyDescent="0.3">
      <c r="A4090" t="str">
        <f>IF(AND(FORSIDE!$B$8&gt;=18,FORSIDE!$F$8&gt;=8,FORSIDE!$B$5&gt;=9),"S4089","")</f>
        <v/>
      </c>
      <c r="B4090" t="str">
        <f>IF(AND(FORSIDE!$B$8&gt;=18,FORSIDE!$F$8&gt;=8,FORSIDE!$B$5&gt;=9),"2045 -&gt; 2056","")</f>
        <v/>
      </c>
      <c r="C4090" t="str">
        <f>FORSIDE!$C$3</f>
        <v>S355, Stål / VFHUP 140x140x8.0</v>
      </c>
    </row>
    <row r="4091" spans="1:3" x14ac:dyDescent="0.3">
      <c r="A4091" t="str">
        <f>IF(AND(FORSIDE!$B$8&gt;=18,FORSIDE!$F$8&gt;=8,FORSIDE!$B$5&gt;=10),"S4090","")</f>
        <v/>
      </c>
      <c r="B4091" t="str">
        <f>IF(AND(FORSIDE!$B$8&gt;=18,FORSIDE!$F$8&gt;=8,FORSIDE!$B$5&gt;=10),"2046 -&gt; 2057","")</f>
        <v/>
      </c>
      <c r="C4091" t="str">
        <f>FORSIDE!$C$3</f>
        <v>S355, Stål / VFHUP 140x140x8.0</v>
      </c>
    </row>
    <row r="4092" spans="1:3" x14ac:dyDescent="0.3">
      <c r="A4092" t="str">
        <f>IF(AND(FORSIDE!$B$8&gt;=19,FORSIDE!$F$8&gt;=8,FORSIDE!$B$5&gt;=1),"S4091","")</f>
        <v/>
      </c>
      <c r="B4092" t="str">
        <f>IF(AND(FORSIDE!$B$8&gt;=19,FORSIDE!$F$8&gt;=8,FORSIDE!$B$5&gt;=1),"2048 -&gt; 2059","")</f>
        <v/>
      </c>
      <c r="C4092" t="str">
        <f>FORSIDE!$C$3</f>
        <v>S355, Stål / VFHUP 140x140x8.0</v>
      </c>
    </row>
    <row r="4093" spans="1:3" x14ac:dyDescent="0.3">
      <c r="A4093" t="str">
        <f>IF(AND(FORSIDE!$B$8&gt;=19,FORSIDE!$F$8&gt;=8,FORSIDE!$B$5&gt;=2),"S4092","")</f>
        <v/>
      </c>
      <c r="B4093" t="str">
        <f>IF(AND(FORSIDE!$B$8&gt;=19,FORSIDE!$F$8&gt;=8,FORSIDE!$B$5&gt;=2),"2049 -&gt; 2060","")</f>
        <v/>
      </c>
      <c r="C4093" t="str">
        <f>FORSIDE!$C$3</f>
        <v>S355, Stål / VFHUP 140x140x8.0</v>
      </c>
    </row>
    <row r="4094" spans="1:3" x14ac:dyDescent="0.3">
      <c r="A4094" t="str">
        <f>IF(AND(FORSIDE!$B$8&gt;=19,FORSIDE!$F$8&gt;=8,FORSIDE!$B$5&gt;=3),"S4093","")</f>
        <v/>
      </c>
      <c r="B4094" t="str">
        <f>IF(AND(FORSIDE!$B$8&gt;=19,FORSIDE!$F$8&gt;=8,FORSIDE!$B$5&gt;=3),"2050 -&gt; 2061","")</f>
        <v/>
      </c>
      <c r="C4094" t="str">
        <f>FORSIDE!$C$3</f>
        <v>S355, Stål / VFHUP 140x140x8.0</v>
      </c>
    </row>
    <row r="4095" spans="1:3" x14ac:dyDescent="0.3">
      <c r="A4095" t="str">
        <f>IF(AND(FORSIDE!$B$8&gt;=19,FORSIDE!$F$8&gt;=8,FORSIDE!$B$5&gt;=4),"S4094","")</f>
        <v/>
      </c>
      <c r="B4095" t="str">
        <f>IF(AND(FORSIDE!$B$8&gt;=19,FORSIDE!$F$8&gt;=8,FORSIDE!$B$5&gt;=4),"2051 -&gt; 2062","")</f>
        <v/>
      </c>
      <c r="C4095" t="str">
        <f>FORSIDE!$C$3</f>
        <v>S355, Stål / VFHUP 140x140x8.0</v>
      </c>
    </row>
    <row r="4096" spans="1:3" x14ac:dyDescent="0.3">
      <c r="A4096" t="str">
        <f>IF(AND(FORSIDE!$B$8&gt;=19,FORSIDE!$F$8&gt;=8,FORSIDE!$B$5&gt;=5),"S4095","")</f>
        <v/>
      </c>
      <c r="B4096" t="str">
        <f>IF(AND(FORSIDE!$B$8&gt;=19,FORSIDE!$F$8&gt;=8,FORSIDE!$B$5&gt;=5),"2052 -&gt; 2063","")</f>
        <v/>
      </c>
      <c r="C4096" t="str">
        <f>FORSIDE!$C$3</f>
        <v>S355, Stål / VFHUP 140x140x8.0</v>
      </c>
    </row>
    <row r="4097" spans="1:3" x14ac:dyDescent="0.3">
      <c r="A4097" t="str">
        <f>IF(AND(FORSIDE!$B$8&gt;=19,FORSIDE!$F$8&gt;=8,FORSIDE!$B$5&gt;=6),"S4096","")</f>
        <v/>
      </c>
      <c r="B4097" t="str">
        <f>IF(AND(FORSIDE!$B$8&gt;=19,FORSIDE!$F$8&gt;=8,FORSIDE!$B$5&gt;=6),"2053 -&gt; 2064","")</f>
        <v/>
      </c>
      <c r="C4097" t="str">
        <f>FORSIDE!$C$3</f>
        <v>S355, Stål / VFHUP 140x140x8.0</v>
      </c>
    </row>
    <row r="4098" spans="1:3" x14ac:dyDescent="0.3">
      <c r="A4098" t="str">
        <f>IF(AND(FORSIDE!$B$8&gt;=19,FORSIDE!$F$8&gt;=8,FORSIDE!$B$5&gt;=7),"S4097","")</f>
        <v/>
      </c>
      <c r="B4098" t="str">
        <f>IF(AND(FORSIDE!$B$8&gt;=19,FORSIDE!$F$8&gt;=8,FORSIDE!$B$5&gt;=7),"2054 -&gt; 2065","")</f>
        <v/>
      </c>
      <c r="C4098" t="str">
        <f>FORSIDE!$C$3</f>
        <v>S355, Stål / VFHUP 140x140x8.0</v>
      </c>
    </row>
    <row r="4099" spans="1:3" x14ac:dyDescent="0.3">
      <c r="A4099" t="str">
        <f>IF(AND(FORSIDE!$B$8&gt;=19,FORSIDE!$F$8&gt;=8,FORSIDE!$B$5&gt;=8),"S4098","")</f>
        <v/>
      </c>
      <c r="B4099" t="str">
        <f>IF(AND(FORSIDE!$B$8&gt;=19,FORSIDE!$F$8&gt;=8,FORSIDE!$B$5&gt;=8),"2055 -&gt; 2066","")</f>
        <v/>
      </c>
      <c r="C4099" t="str">
        <f>FORSIDE!$C$3</f>
        <v>S355, Stål / VFHUP 140x140x8.0</v>
      </c>
    </row>
    <row r="4100" spans="1:3" x14ac:dyDescent="0.3">
      <c r="A4100" t="str">
        <f>IF(AND(FORSIDE!$B$8&gt;=19,FORSIDE!$F$8&gt;=8,FORSIDE!$B$5&gt;=9),"S4099","")</f>
        <v/>
      </c>
      <c r="B4100" t="str">
        <f>IF(AND(FORSIDE!$B$8&gt;=19,FORSIDE!$F$8&gt;=8,FORSIDE!$B$5&gt;=9),"2056 -&gt; 2067","")</f>
        <v/>
      </c>
      <c r="C4100" t="str">
        <f>FORSIDE!$C$3</f>
        <v>S355, Stål / VFHUP 140x140x8.0</v>
      </c>
    </row>
    <row r="4101" spans="1:3" x14ac:dyDescent="0.3">
      <c r="A4101" t="str">
        <f>IF(AND(FORSIDE!$B$8&gt;=19,FORSIDE!$F$8&gt;=8,FORSIDE!$B$5&gt;=10),"S4100","")</f>
        <v/>
      </c>
      <c r="B4101" t="str">
        <f>IF(AND(FORSIDE!$B$8&gt;=19,FORSIDE!$F$8&gt;=8,FORSIDE!$B$5&gt;=10),"2057 -&gt; 2068","")</f>
        <v/>
      </c>
      <c r="C4101" t="str">
        <f>FORSIDE!$C$3</f>
        <v>S355, Stål / VFHUP 140x140x8.0</v>
      </c>
    </row>
    <row r="4102" spans="1:3" x14ac:dyDescent="0.3">
      <c r="A4102" t="str">
        <f>IF(AND(FORSIDE!$B$8&gt;=20,FORSIDE!$F$8&gt;=8,FORSIDE!$B$5&gt;=1),"S4101","")</f>
        <v/>
      </c>
      <c r="B4102" t="str">
        <f>IF(AND(FORSIDE!$B$8&gt;=20,FORSIDE!$F$8&gt;=8,FORSIDE!$B$5&gt;=1),"2059 -&gt; 2070","")</f>
        <v/>
      </c>
      <c r="C4102" t="str">
        <f>FORSIDE!$C$3</f>
        <v>S355, Stål / VFHUP 140x140x8.0</v>
      </c>
    </row>
    <row r="4103" spans="1:3" x14ac:dyDescent="0.3">
      <c r="A4103" t="str">
        <f>IF(AND(FORSIDE!$B$8&gt;=20,FORSIDE!$F$8&gt;=8,FORSIDE!$B$5&gt;=2),"S4102","")</f>
        <v/>
      </c>
      <c r="B4103" t="str">
        <f>IF(AND(FORSIDE!$B$8&gt;=20,FORSIDE!$F$8&gt;=8,FORSIDE!$B$5&gt;=2),"2060 -&gt; 2071","")</f>
        <v/>
      </c>
      <c r="C4103" t="str">
        <f>FORSIDE!$C$3</f>
        <v>S355, Stål / VFHUP 140x140x8.0</v>
      </c>
    </row>
    <row r="4104" spans="1:3" x14ac:dyDescent="0.3">
      <c r="A4104" t="str">
        <f>IF(AND(FORSIDE!$B$8&gt;=20,FORSIDE!$F$8&gt;=8,FORSIDE!$B$5&gt;=3),"S4103","")</f>
        <v/>
      </c>
      <c r="B4104" t="str">
        <f>IF(AND(FORSIDE!$B$8&gt;=20,FORSIDE!$F$8&gt;=8,FORSIDE!$B$5&gt;=3),"2061 -&gt; 2072","")</f>
        <v/>
      </c>
      <c r="C4104" t="str">
        <f>FORSIDE!$C$3</f>
        <v>S355, Stål / VFHUP 140x140x8.0</v>
      </c>
    </row>
    <row r="4105" spans="1:3" x14ac:dyDescent="0.3">
      <c r="A4105" t="str">
        <f>IF(AND(FORSIDE!$B$8&gt;=20,FORSIDE!$F$8&gt;=8,FORSIDE!$B$5&gt;=4),"S4104","")</f>
        <v/>
      </c>
      <c r="B4105" t="str">
        <f>IF(AND(FORSIDE!$B$8&gt;=20,FORSIDE!$F$8&gt;=8,FORSIDE!$B$5&gt;=4),"2062 -&gt; 2073","")</f>
        <v/>
      </c>
      <c r="C4105" t="str">
        <f>FORSIDE!$C$3</f>
        <v>S355, Stål / VFHUP 140x140x8.0</v>
      </c>
    </row>
    <row r="4106" spans="1:3" x14ac:dyDescent="0.3">
      <c r="A4106" t="str">
        <f>IF(AND(FORSIDE!$B$8&gt;=20,FORSIDE!$F$8&gt;=8,FORSIDE!$B$5&gt;=5),"S4105","")</f>
        <v/>
      </c>
      <c r="B4106" t="str">
        <f>IF(AND(FORSIDE!$B$8&gt;=20,FORSIDE!$F$8&gt;=8,FORSIDE!$B$5&gt;=5),"2063 -&gt; 2074","")</f>
        <v/>
      </c>
      <c r="C4106" t="str">
        <f>FORSIDE!$C$3</f>
        <v>S355, Stål / VFHUP 140x140x8.0</v>
      </c>
    </row>
    <row r="4107" spans="1:3" x14ac:dyDescent="0.3">
      <c r="A4107" t="str">
        <f>IF(AND(FORSIDE!$B$8&gt;=20,FORSIDE!$F$8&gt;=8,FORSIDE!$B$5&gt;=6),"S4106","")</f>
        <v/>
      </c>
      <c r="B4107" t="str">
        <f>IF(AND(FORSIDE!$B$8&gt;=20,FORSIDE!$F$8&gt;=8,FORSIDE!$B$5&gt;=6),"2064 -&gt; 2075","")</f>
        <v/>
      </c>
      <c r="C4107" t="str">
        <f>FORSIDE!$C$3</f>
        <v>S355, Stål / VFHUP 140x140x8.0</v>
      </c>
    </row>
    <row r="4108" spans="1:3" x14ac:dyDescent="0.3">
      <c r="A4108" t="str">
        <f>IF(AND(FORSIDE!$B$8&gt;=20,FORSIDE!$F$8&gt;=8,FORSIDE!$B$5&gt;=7),"S4107","")</f>
        <v/>
      </c>
      <c r="B4108" t="str">
        <f>IF(AND(FORSIDE!$B$8&gt;=20,FORSIDE!$F$8&gt;=8,FORSIDE!$B$5&gt;=7),"2065 -&gt; 2076","")</f>
        <v/>
      </c>
      <c r="C4108" t="str">
        <f>FORSIDE!$C$3</f>
        <v>S355, Stål / VFHUP 140x140x8.0</v>
      </c>
    </row>
    <row r="4109" spans="1:3" x14ac:dyDescent="0.3">
      <c r="A4109" t="str">
        <f>IF(AND(FORSIDE!$B$8&gt;=20,FORSIDE!$F$8&gt;=8,FORSIDE!$B$5&gt;=8),"S4108","")</f>
        <v/>
      </c>
      <c r="B4109" t="str">
        <f>IF(AND(FORSIDE!$B$8&gt;=20,FORSIDE!$F$8&gt;=8,FORSIDE!$B$5&gt;=8),"2066 -&gt; 2077","")</f>
        <v/>
      </c>
      <c r="C4109" t="str">
        <f>FORSIDE!$C$3</f>
        <v>S355, Stål / VFHUP 140x140x8.0</v>
      </c>
    </row>
    <row r="4110" spans="1:3" x14ac:dyDescent="0.3">
      <c r="A4110" t="str">
        <f>IF(AND(FORSIDE!$B$8&gt;=20,FORSIDE!$F$8&gt;=8,FORSIDE!$B$5&gt;=9),"S4109","")</f>
        <v/>
      </c>
      <c r="B4110" t="str">
        <f>IF(AND(FORSIDE!$B$8&gt;=20,FORSIDE!$F$8&gt;=8,FORSIDE!$B$5&gt;=9),"2067 -&gt; 2078","")</f>
        <v/>
      </c>
      <c r="C4110" t="str">
        <f>FORSIDE!$C$3</f>
        <v>S355, Stål / VFHUP 140x140x8.0</v>
      </c>
    </row>
    <row r="4111" spans="1:3" x14ac:dyDescent="0.3">
      <c r="A4111" t="str">
        <f>IF(AND(FORSIDE!$B$8&gt;=20,FORSIDE!$F$8&gt;=8,FORSIDE!$B$5&gt;=10),"S4110","")</f>
        <v/>
      </c>
      <c r="B4111" t="str">
        <f>IF(AND(FORSIDE!$B$8&gt;=20,FORSIDE!$F$8&gt;=8,FORSIDE!$B$5&gt;=10),"2068 -&gt; 2079","")</f>
        <v/>
      </c>
      <c r="C4111" t="str">
        <f>FORSIDE!$C$3</f>
        <v>S355, Stål / VFHUP 140x140x8.0</v>
      </c>
    </row>
    <row r="4112" spans="1:3" x14ac:dyDescent="0.3">
      <c r="A4112" t="str">
        <f>IF(AND(FORSIDE!$B$8&gt;=1,FORSIDE!$F$8&gt;=9,FORSIDE!$B$5&gt;=1),"S4111","")</f>
        <v/>
      </c>
      <c r="B4112" t="str">
        <f>IF(AND(FORSIDE!$B$8&gt;=1,FORSIDE!$F$8&gt;=9,FORSIDE!$B$5&gt;=1),"2081 -&gt; 2092","")</f>
        <v/>
      </c>
      <c r="C4112" t="str">
        <f>FORSIDE!$C$3</f>
        <v>S355, Stål / VFHUP 140x140x8.0</v>
      </c>
    </row>
    <row r="4113" spans="1:3" x14ac:dyDescent="0.3">
      <c r="A4113" t="str">
        <f>IF(AND(FORSIDE!$B$8&gt;=1,FORSIDE!$F$8&gt;=9,FORSIDE!$B$5&gt;=2),"S4112","")</f>
        <v/>
      </c>
      <c r="B4113" t="str">
        <f>IF(AND(FORSIDE!$B$8&gt;=1,FORSIDE!$F$8&gt;=9,FORSIDE!$B$5&gt;=2),"2082 -&gt; 2093","")</f>
        <v/>
      </c>
      <c r="C4113" t="str">
        <f>FORSIDE!$C$3</f>
        <v>S355, Stål / VFHUP 140x140x8.0</v>
      </c>
    </row>
    <row r="4114" spans="1:3" x14ac:dyDescent="0.3">
      <c r="A4114" t="str">
        <f>IF(AND(FORSIDE!$B$8&gt;=1,FORSIDE!$F$8&gt;=9,FORSIDE!$B$5&gt;=3),"S4113","")</f>
        <v/>
      </c>
      <c r="B4114" t="str">
        <f>IF(AND(FORSIDE!$B$8&gt;=1,FORSIDE!$F$8&gt;=9,FORSIDE!$B$5&gt;=3),"2083 -&gt; 2094","")</f>
        <v/>
      </c>
      <c r="C4114" t="str">
        <f>FORSIDE!$C$3</f>
        <v>S355, Stål / VFHUP 140x140x8.0</v>
      </c>
    </row>
    <row r="4115" spans="1:3" x14ac:dyDescent="0.3">
      <c r="A4115" t="str">
        <f>IF(AND(FORSIDE!$B$8&gt;=1,FORSIDE!$F$8&gt;=9,FORSIDE!$B$5&gt;=4),"S4114","")</f>
        <v/>
      </c>
      <c r="B4115" t="str">
        <f>IF(AND(FORSIDE!$B$8&gt;=1,FORSIDE!$F$8&gt;=9,FORSIDE!$B$5&gt;=4),"2084 -&gt; 2095","")</f>
        <v/>
      </c>
      <c r="C4115" t="str">
        <f>FORSIDE!$C$3</f>
        <v>S355, Stål / VFHUP 140x140x8.0</v>
      </c>
    </row>
    <row r="4116" spans="1:3" x14ac:dyDescent="0.3">
      <c r="A4116" t="str">
        <f>IF(AND(FORSIDE!$B$8&gt;=1,FORSIDE!$F$8&gt;=9,FORSIDE!$B$5&gt;=5),"S4115","")</f>
        <v/>
      </c>
      <c r="B4116" t="str">
        <f>IF(AND(FORSIDE!$B$8&gt;=1,FORSIDE!$F$8&gt;=9,FORSIDE!$B$5&gt;=5),"2085 -&gt; 2096","")</f>
        <v/>
      </c>
      <c r="C4116" t="str">
        <f>FORSIDE!$C$3</f>
        <v>S355, Stål / VFHUP 140x140x8.0</v>
      </c>
    </row>
    <row r="4117" spans="1:3" x14ac:dyDescent="0.3">
      <c r="A4117" t="str">
        <f>IF(AND(FORSIDE!$B$8&gt;=1,FORSIDE!$F$8&gt;=9,FORSIDE!$B$5&gt;=6),"S4116","")</f>
        <v/>
      </c>
      <c r="B4117" t="str">
        <f>IF(AND(FORSIDE!$B$8&gt;=1,FORSIDE!$F$8&gt;=9,FORSIDE!$B$5&gt;=6),"2086 -&gt; 2097","")</f>
        <v/>
      </c>
      <c r="C4117" t="str">
        <f>FORSIDE!$C$3</f>
        <v>S355, Stål / VFHUP 140x140x8.0</v>
      </c>
    </row>
    <row r="4118" spans="1:3" x14ac:dyDescent="0.3">
      <c r="A4118" t="str">
        <f>IF(AND(FORSIDE!$B$8&gt;=1,FORSIDE!$F$8&gt;=9,FORSIDE!$B$5&gt;=7),"S4117","")</f>
        <v/>
      </c>
      <c r="B4118" t="str">
        <f>IF(AND(FORSIDE!$B$8&gt;=1,FORSIDE!$F$8&gt;=9,FORSIDE!$B$5&gt;=7),"2087 -&gt; 2098","")</f>
        <v/>
      </c>
      <c r="C4118" t="str">
        <f>FORSIDE!$C$3</f>
        <v>S355, Stål / VFHUP 140x140x8.0</v>
      </c>
    </row>
    <row r="4119" spans="1:3" x14ac:dyDescent="0.3">
      <c r="A4119" t="str">
        <f>IF(AND(FORSIDE!$B$8&gt;=1,FORSIDE!$F$8&gt;=9,FORSIDE!$B$5&gt;=8),"S4118","")</f>
        <v/>
      </c>
      <c r="B4119" t="str">
        <f>IF(AND(FORSIDE!$B$8&gt;=1,FORSIDE!$F$8&gt;=9,FORSIDE!$B$5&gt;=8),"2088 -&gt; 2099","")</f>
        <v/>
      </c>
      <c r="C4119" t="str">
        <f>FORSIDE!$C$3</f>
        <v>S355, Stål / VFHUP 140x140x8.0</v>
      </c>
    </row>
    <row r="4120" spans="1:3" x14ac:dyDescent="0.3">
      <c r="A4120" t="str">
        <f>IF(AND(FORSIDE!$B$8&gt;=1,FORSIDE!$F$8&gt;=9,FORSIDE!$B$5&gt;=9),"S4119","")</f>
        <v/>
      </c>
      <c r="B4120" t="str">
        <f>IF(AND(FORSIDE!$B$8&gt;=1,FORSIDE!$F$8&gt;=9,FORSIDE!$B$5&gt;=9),"2089 -&gt; 2100","")</f>
        <v/>
      </c>
      <c r="C4120" t="str">
        <f>FORSIDE!$C$3</f>
        <v>S355, Stål / VFHUP 140x140x8.0</v>
      </c>
    </row>
    <row r="4121" spans="1:3" x14ac:dyDescent="0.3">
      <c r="A4121" t="str">
        <f>IF(AND(FORSIDE!$B$8&gt;=1,FORSIDE!$F$8&gt;=9,FORSIDE!$B$5&gt;=10),"S4120","")</f>
        <v/>
      </c>
      <c r="B4121" t="str">
        <f>IF(AND(FORSIDE!$B$8&gt;=1,FORSIDE!$F$8&gt;=9,FORSIDE!$B$5&gt;=10),"2090 -&gt; 2101","")</f>
        <v/>
      </c>
      <c r="C4121" t="str">
        <f>FORSIDE!$C$3</f>
        <v>S355, Stål / VFHUP 140x140x8.0</v>
      </c>
    </row>
    <row r="4122" spans="1:3" x14ac:dyDescent="0.3">
      <c r="A4122" t="str">
        <f>IF(AND(FORSIDE!$B$8&gt;=2,FORSIDE!$F$8&gt;=9,FORSIDE!$B$5&gt;=1),"S4121","")</f>
        <v/>
      </c>
      <c r="B4122" t="str">
        <f>IF(AND(FORSIDE!$B$8&gt;=2,FORSIDE!$F$8&gt;=9,FORSIDE!$B$5&gt;=1),"2092 -&gt; 2103","")</f>
        <v/>
      </c>
      <c r="C4122" t="str">
        <f>FORSIDE!$C$3</f>
        <v>S355, Stål / VFHUP 140x140x8.0</v>
      </c>
    </row>
    <row r="4123" spans="1:3" x14ac:dyDescent="0.3">
      <c r="A4123" t="str">
        <f>IF(AND(FORSIDE!$B$8&gt;=2,FORSIDE!$F$8&gt;=9,FORSIDE!$B$5&gt;=2),"S4122","")</f>
        <v/>
      </c>
      <c r="B4123" t="str">
        <f>IF(AND(FORSIDE!$B$8&gt;=2,FORSIDE!$F$8&gt;=9,FORSIDE!$B$5&gt;=2),"2093 -&gt; 2104","")</f>
        <v/>
      </c>
      <c r="C4123" t="str">
        <f>FORSIDE!$C$3</f>
        <v>S355, Stål / VFHUP 140x140x8.0</v>
      </c>
    </row>
    <row r="4124" spans="1:3" x14ac:dyDescent="0.3">
      <c r="A4124" t="str">
        <f>IF(AND(FORSIDE!$B$8&gt;=2,FORSIDE!$F$8&gt;=9,FORSIDE!$B$5&gt;=3),"S4123","")</f>
        <v/>
      </c>
      <c r="B4124" t="str">
        <f>IF(AND(FORSIDE!$B$8&gt;=2,FORSIDE!$F$8&gt;=9,FORSIDE!$B$5&gt;=3),"2094 -&gt; 2105","")</f>
        <v/>
      </c>
      <c r="C4124" t="str">
        <f>FORSIDE!$C$3</f>
        <v>S355, Stål / VFHUP 140x140x8.0</v>
      </c>
    </row>
    <row r="4125" spans="1:3" x14ac:dyDescent="0.3">
      <c r="A4125" t="str">
        <f>IF(AND(FORSIDE!$B$8&gt;=2,FORSIDE!$F$8&gt;=9,FORSIDE!$B$5&gt;=4),"S4124","")</f>
        <v/>
      </c>
      <c r="B4125" t="str">
        <f>IF(AND(FORSIDE!$B$8&gt;=2,FORSIDE!$F$8&gt;=9,FORSIDE!$B$5&gt;=4),"2095 -&gt; 2106","")</f>
        <v/>
      </c>
      <c r="C4125" t="str">
        <f>FORSIDE!$C$3</f>
        <v>S355, Stål / VFHUP 140x140x8.0</v>
      </c>
    </row>
    <row r="4126" spans="1:3" x14ac:dyDescent="0.3">
      <c r="A4126" t="str">
        <f>IF(AND(FORSIDE!$B$8&gt;=2,FORSIDE!$F$8&gt;=9,FORSIDE!$B$5&gt;=5),"S4125","")</f>
        <v/>
      </c>
      <c r="B4126" t="str">
        <f>IF(AND(FORSIDE!$B$8&gt;=2,FORSIDE!$F$8&gt;=9,FORSIDE!$B$5&gt;=5),"2096 -&gt; 2107","")</f>
        <v/>
      </c>
      <c r="C4126" t="str">
        <f>FORSIDE!$C$3</f>
        <v>S355, Stål / VFHUP 140x140x8.0</v>
      </c>
    </row>
    <row r="4127" spans="1:3" x14ac:dyDescent="0.3">
      <c r="A4127" t="str">
        <f>IF(AND(FORSIDE!$B$8&gt;=2,FORSIDE!$F$8&gt;=9,FORSIDE!$B$5&gt;=6),"S4126","")</f>
        <v/>
      </c>
      <c r="B4127" t="str">
        <f>IF(AND(FORSIDE!$B$8&gt;=2,FORSIDE!$F$8&gt;=9,FORSIDE!$B$5&gt;=6),"2097 -&gt; 2108","")</f>
        <v/>
      </c>
      <c r="C4127" t="str">
        <f>FORSIDE!$C$3</f>
        <v>S355, Stål / VFHUP 140x140x8.0</v>
      </c>
    </row>
    <row r="4128" spans="1:3" x14ac:dyDescent="0.3">
      <c r="A4128" t="str">
        <f>IF(AND(FORSIDE!$B$8&gt;=2,FORSIDE!$F$8&gt;=9,FORSIDE!$B$5&gt;=7),"S4127","")</f>
        <v/>
      </c>
      <c r="B4128" t="str">
        <f>IF(AND(FORSIDE!$B$8&gt;=2,FORSIDE!$F$8&gt;=9,FORSIDE!$B$5&gt;=7),"2098 -&gt; 2109","")</f>
        <v/>
      </c>
      <c r="C4128" t="str">
        <f>FORSIDE!$C$3</f>
        <v>S355, Stål / VFHUP 140x140x8.0</v>
      </c>
    </row>
    <row r="4129" spans="1:3" x14ac:dyDescent="0.3">
      <c r="A4129" t="str">
        <f>IF(AND(FORSIDE!$B$8&gt;=2,FORSIDE!$F$8&gt;=9,FORSIDE!$B$5&gt;=8),"S4128","")</f>
        <v/>
      </c>
      <c r="B4129" t="str">
        <f>IF(AND(FORSIDE!$B$8&gt;=2,FORSIDE!$F$8&gt;=9,FORSIDE!$B$5&gt;=8),"2099 -&gt; 2110","")</f>
        <v/>
      </c>
      <c r="C4129" t="str">
        <f>FORSIDE!$C$3</f>
        <v>S355, Stål / VFHUP 140x140x8.0</v>
      </c>
    </row>
    <row r="4130" spans="1:3" x14ac:dyDescent="0.3">
      <c r="A4130" t="str">
        <f>IF(AND(FORSIDE!$B$8&gt;=2,FORSIDE!$F$8&gt;=9,FORSIDE!$B$5&gt;=9),"S4129","")</f>
        <v/>
      </c>
      <c r="B4130" t="str">
        <f>IF(AND(FORSIDE!$B$8&gt;=2,FORSIDE!$F$8&gt;=9,FORSIDE!$B$5&gt;=9),"2100 -&gt; 2111","")</f>
        <v/>
      </c>
      <c r="C4130" t="str">
        <f>FORSIDE!$C$3</f>
        <v>S355, Stål / VFHUP 140x140x8.0</v>
      </c>
    </row>
    <row r="4131" spans="1:3" x14ac:dyDescent="0.3">
      <c r="A4131" t="str">
        <f>IF(AND(FORSIDE!$B$8&gt;=2,FORSIDE!$F$8&gt;=9,FORSIDE!$B$5&gt;=10),"S4130","")</f>
        <v/>
      </c>
      <c r="B4131" t="str">
        <f>IF(AND(FORSIDE!$B$8&gt;=2,FORSIDE!$F$8&gt;=9,FORSIDE!$B$5&gt;=10),"2101 -&gt; 2112","")</f>
        <v/>
      </c>
      <c r="C4131" t="str">
        <f>FORSIDE!$C$3</f>
        <v>S355, Stål / VFHUP 140x140x8.0</v>
      </c>
    </row>
    <row r="4132" spans="1:3" x14ac:dyDescent="0.3">
      <c r="A4132" t="str">
        <f>IF(AND(FORSIDE!$B$8&gt;=3,FORSIDE!$F$8&gt;=9,FORSIDE!$B$5&gt;=1),"S4131","")</f>
        <v/>
      </c>
      <c r="B4132" t="str">
        <f>IF(AND(FORSIDE!$B$8&gt;=3,FORSIDE!$F$8&gt;=9,FORSIDE!$B$5&gt;=1),"2103 -&gt; 2114","")</f>
        <v/>
      </c>
      <c r="C4132" t="str">
        <f>FORSIDE!$C$3</f>
        <v>S355, Stål / VFHUP 140x140x8.0</v>
      </c>
    </row>
    <row r="4133" spans="1:3" x14ac:dyDescent="0.3">
      <c r="A4133" t="str">
        <f>IF(AND(FORSIDE!$B$8&gt;=3,FORSIDE!$F$8&gt;=9,FORSIDE!$B$5&gt;=2),"S4132","")</f>
        <v/>
      </c>
      <c r="B4133" t="str">
        <f>IF(AND(FORSIDE!$B$8&gt;=3,FORSIDE!$F$8&gt;=9,FORSIDE!$B$5&gt;=2),"2104 -&gt; 2115","")</f>
        <v/>
      </c>
      <c r="C4133" t="str">
        <f>FORSIDE!$C$3</f>
        <v>S355, Stål / VFHUP 140x140x8.0</v>
      </c>
    </row>
    <row r="4134" spans="1:3" x14ac:dyDescent="0.3">
      <c r="A4134" t="str">
        <f>IF(AND(FORSIDE!$B$8&gt;=3,FORSIDE!$F$8&gt;=9,FORSIDE!$B$5&gt;=3),"S4133","")</f>
        <v/>
      </c>
      <c r="B4134" t="str">
        <f>IF(AND(FORSIDE!$B$8&gt;=3,FORSIDE!$F$8&gt;=9,FORSIDE!$B$5&gt;=3),"2105 -&gt; 2116","")</f>
        <v/>
      </c>
      <c r="C4134" t="str">
        <f>FORSIDE!$C$3</f>
        <v>S355, Stål / VFHUP 140x140x8.0</v>
      </c>
    </row>
    <row r="4135" spans="1:3" x14ac:dyDescent="0.3">
      <c r="A4135" t="str">
        <f>IF(AND(FORSIDE!$B$8&gt;=3,FORSIDE!$F$8&gt;=9,FORSIDE!$B$5&gt;=4),"S4134","")</f>
        <v/>
      </c>
      <c r="B4135" t="str">
        <f>IF(AND(FORSIDE!$B$8&gt;=3,FORSIDE!$F$8&gt;=9,FORSIDE!$B$5&gt;=4),"2106 -&gt; 2117","")</f>
        <v/>
      </c>
      <c r="C4135" t="str">
        <f>FORSIDE!$C$3</f>
        <v>S355, Stål / VFHUP 140x140x8.0</v>
      </c>
    </row>
    <row r="4136" spans="1:3" x14ac:dyDescent="0.3">
      <c r="A4136" t="str">
        <f>IF(AND(FORSIDE!$B$8&gt;=3,FORSIDE!$F$8&gt;=9,FORSIDE!$B$5&gt;=5),"S4135","")</f>
        <v/>
      </c>
      <c r="B4136" t="str">
        <f>IF(AND(FORSIDE!$B$8&gt;=3,FORSIDE!$F$8&gt;=9,FORSIDE!$B$5&gt;=5),"2107 -&gt; 2118","")</f>
        <v/>
      </c>
      <c r="C4136" t="str">
        <f>FORSIDE!$C$3</f>
        <v>S355, Stål / VFHUP 140x140x8.0</v>
      </c>
    </row>
    <row r="4137" spans="1:3" x14ac:dyDescent="0.3">
      <c r="A4137" t="str">
        <f>IF(AND(FORSIDE!$B$8&gt;=3,FORSIDE!$F$8&gt;=9,FORSIDE!$B$5&gt;=6),"S4136","")</f>
        <v/>
      </c>
      <c r="B4137" t="str">
        <f>IF(AND(FORSIDE!$B$8&gt;=3,FORSIDE!$F$8&gt;=9,FORSIDE!$B$5&gt;=6),"2108 -&gt; 2119","")</f>
        <v/>
      </c>
      <c r="C4137" t="str">
        <f>FORSIDE!$C$3</f>
        <v>S355, Stål / VFHUP 140x140x8.0</v>
      </c>
    </row>
    <row r="4138" spans="1:3" x14ac:dyDescent="0.3">
      <c r="A4138" t="str">
        <f>IF(AND(FORSIDE!$B$8&gt;=3,FORSIDE!$F$8&gt;=9,FORSIDE!$B$5&gt;=7),"S4137","")</f>
        <v/>
      </c>
      <c r="B4138" t="str">
        <f>IF(AND(FORSIDE!$B$8&gt;=3,FORSIDE!$F$8&gt;=9,FORSIDE!$B$5&gt;=7),"2109 -&gt; 2120","")</f>
        <v/>
      </c>
      <c r="C4138" t="str">
        <f>FORSIDE!$C$3</f>
        <v>S355, Stål / VFHUP 140x140x8.0</v>
      </c>
    </row>
    <row r="4139" spans="1:3" x14ac:dyDescent="0.3">
      <c r="A4139" t="str">
        <f>IF(AND(FORSIDE!$B$8&gt;=3,FORSIDE!$F$8&gt;=9,FORSIDE!$B$5&gt;=8),"S4138","")</f>
        <v/>
      </c>
      <c r="B4139" t="str">
        <f>IF(AND(FORSIDE!$B$8&gt;=3,FORSIDE!$F$8&gt;=9,FORSIDE!$B$5&gt;=8),"2110 -&gt; 2121","")</f>
        <v/>
      </c>
      <c r="C4139" t="str">
        <f>FORSIDE!$C$3</f>
        <v>S355, Stål / VFHUP 140x140x8.0</v>
      </c>
    </row>
    <row r="4140" spans="1:3" x14ac:dyDescent="0.3">
      <c r="A4140" t="str">
        <f>IF(AND(FORSIDE!$B$8&gt;=3,FORSIDE!$F$8&gt;=9,FORSIDE!$B$5&gt;=9),"S4139","")</f>
        <v/>
      </c>
      <c r="B4140" t="str">
        <f>IF(AND(FORSIDE!$B$8&gt;=3,FORSIDE!$F$8&gt;=9,FORSIDE!$B$5&gt;=9),"2111 -&gt; 2122","")</f>
        <v/>
      </c>
      <c r="C4140" t="str">
        <f>FORSIDE!$C$3</f>
        <v>S355, Stål / VFHUP 140x140x8.0</v>
      </c>
    </row>
    <row r="4141" spans="1:3" x14ac:dyDescent="0.3">
      <c r="A4141" t="str">
        <f>IF(AND(FORSIDE!$B$8&gt;=3,FORSIDE!$F$8&gt;=9,FORSIDE!$B$5&gt;=10),"S4140","")</f>
        <v/>
      </c>
      <c r="B4141" t="str">
        <f>IF(AND(FORSIDE!$B$8&gt;=3,FORSIDE!$F$8&gt;=9,FORSIDE!$B$5&gt;=10),"2112 -&gt; 2123","")</f>
        <v/>
      </c>
      <c r="C4141" t="str">
        <f>FORSIDE!$C$3</f>
        <v>S355, Stål / VFHUP 140x140x8.0</v>
      </c>
    </row>
    <row r="4142" spans="1:3" x14ac:dyDescent="0.3">
      <c r="A4142" t="str">
        <f>IF(AND(FORSIDE!$B$8&gt;=4,FORSIDE!$F$8&gt;=9,FORSIDE!$B$5&gt;=1),"S4141","")</f>
        <v/>
      </c>
      <c r="B4142" t="str">
        <f>IF(AND(FORSIDE!$B$8&gt;=4,FORSIDE!$F$8&gt;=9,FORSIDE!$B$5&gt;=1),"2114 -&gt; 2125","")</f>
        <v/>
      </c>
      <c r="C4142" t="str">
        <f>FORSIDE!$C$3</f>
        <v>S355, Stål / VFHUP 140x140x8.0</v>
      </c>
    </row>
    <row r="4143" spans="1:3" x14ac:dyDescent="0.3">
      <c r="A4143" t="str">
        <f>IF(AND(FORSIDE!$B$8&gt;=4,FORSIDE!$F$8&gt;=9,FORSIDE!$B$5&gt;=2),"S4142","")</f>
        <v/>
      </c>
      <c r="B4143" t="str">
        <f>IF(AND(FORSIDE!$B$8&gt;=4,FORSIDE!$F$8&gt;=9,FORSIDE!$B$5&gt;=2),"2115 -&gt; 2126","")</f>
        <v/>
      </c>
      <c r="C4143" t="str">
        <f>FORSIDE!$C$3</f>
        <v>S355, Stål / VFHUP 140x140x8.0</v>
      </c>
    </row>
    <row r="4144" spans="1:3" x14ac:dyDescent="0.3">
      <c r="A4144" t="str">
        <f>IF(AND(FORSIDE!$B$8&gt;=4,FORSIDE!$F$8&gt;=9,FORSIDE!$B$5&gt;=3),"S4143","")</f>
        <v/>
      </c>
      <c r="B4144" t="str">
        <f>IF(AND(FORSIDE!$B$8&gt;=4,FORSIDE!$F$8&gt;=9,FORSIDE!$B$5&gt;=3),"2116 -&gt; 2127","")</f>
        <v/>
      </c>
      <c r="C4144" t="str">
        <f>FORSIDE!$C$3</f>
        <v>S355, Stål / VFHUP 140x140x8.0</v>
      </c>
    </row>
    <row r="4145" spans="1:3" x14ac:dyDescent="0.3">
      <c r="A4145" t="str">
        <f>IF(AND(FORSIDE!$B$8&gt;=4,FORSIDE!$F$8&gt;=9,FORSIDE!$B$5&gt;=4),"S4144","")</f>
        <v/>
      </c>
      <c r="B4145" t="str">
        <f>IF(AND(FORSIDE!$B$8&gt;=4,FORSIDE!$F$8&gt;=9,FORSIDE!$B$5&gt;=4),"2117 -&gt; 2128","")</f>
        <v/>
      </c>
      <c r="C4145" t="str">
        <f>FORSIDE!$C$3</f>
        <v>S355, Stål / VFHUP 140x140x8.0</v>
      </c>
    </row>
    <row r="4146" spans="1:3" x14ac:dyDescent="0.3">
      <c r="A4146" t="str">
        <f>IF(AND(FORSIDE!$B$8&gt;=4,FORSIDE!$F$8&gt;=9,FORSIDE!$B$5&gt;=5),"S4145","")</f>
        <v/>
      </c>
      <c r="B4146" t="str">
        <f>IF(AND(FORSIDE!$B$8&gt;=4,FORSIDE!$F$8&gt;=9,FORSIDE!$B$5&gt;=5),"2118 -&gt; 2129","")</f>
        <v/>
      </c>
      <c r="C4146" t="str">
        <f>FORSIDE!$C$3</f>
        <v>S355, Stål / VFHUP 140x140x8.0</v>
      </c>
    </row>
    <row r="4147" spans="1:3" x14ac:dyDescent="0.3">
      <c r="A4147" t="str">
        <f>IF(AND(FORSIDE!$B$8&gt;=4,FORSIDE!$F$8&gt;=9,FORSIDE!$B$5&gt;=6),"S4146","")</f>
        <v/>
      </c>
      <c r="B4147" t="str">
        <f>IF(AND(FORSIDE!$B$8&gt;=4,FORSIDE!$F$8&gt;=9,FORSIDE!$B$5&gt;=6),"2119 -&gt; 2130","")</f>
        <v/>
      </c>
      <c r="C4147" t="str">
        <f>FORSIDE!$C$3</f>
        <v>S355, Stål / VFHUP 140x140x8.0</v>
      </c>
    </row>
    <row r="4148" spans="1:3" x14ac:dyDescent="0.3">
      <c r="A4148" t="str">
        <f>IF(AND(FORSIDE!$B$8&gt;=4,FORSIDE!$F$8&gt;=9,FORSIDE!$B$5&gt;=7),"S4147","")</f>
        <v/>
      </c>
      <c r="B4148" t="str">
        <f>IF(AND(FORSIDE!$B$8&gt;=4,FORSIDE!$F$8&gt;=9,FORSIDE!$B$5&gt;=7),"2120 -&gt; 2131","")</f>
        <v/>
      </c>
      <c r="C4148" t="str">
        <f>FORSIDE!$C$3</f>
        <v>S355, Stål / VFHUP 140x140x8.0</v>
      </c>
    </row>
    <row r="4149" spans="1:3" x14ac:dyDescent="0.3">
      <c r="A4149" t="str">
        <f>IF(AND(FORSIDE!$B$8&gt;=4,FORSIDE!$F$8&gt;=9,FORSIDE!$B$5&gt;=8),"S4148","")</f>
        <v/>
      </c>
      <c r="B4149" t="str">
        <f>IF(AND(FORSIDE!$B$8&gt;=4,FORSIDE!$F$8&gt;=9,FORSIDE!$B$5&gt;=8),"2121 -&gt; 2132","")</f>
        <v/>
      </c>
      <c r="C4149" t="str">
        <f>FORSIDE!$C$3</f>
        <v>S355, Stål / VFHUP 140x140x8.0</v>
      </c>
    </row>
    <row r="4150" spans="1:3" x14ac:dyDescent="0.3">
      <c r="A4150" t="str">
        <f>IF(AND(FORSIDE!$B$8&gt;=4,FORSIDE!$F$8&gt;=9,FORSIDE!$B$5&gt;=9),"S4149","")</f>
        <v/>
      </c>
      <c r="B4150" t="str">
        <f>IF(AND(FORSIDE!$B$8&gt;=4,FORSIDE!$F$8&gt;=9,FORSIDE!$B$5&gt;=9),"2122 -&gt; 2133","")</f>
        <v/>
      </c>
      <c r="C4150" t="str">
        <f>FORSIDE!$C$3</f>
        <v>S355, Stål / VFHUP 140x140x8.0</v>
      </c>
    </row>
    <row r="4151" spans="1:3" x14ac:dyDescent="0.3">
      <c r="A4151" t="str">
        <f>IF(AND(FORSIDE!$B$8&gt;=4,FORSIDE!$F$8&gt;=9,FORSIDE!$B$5&gt;=10),"S4150","")</f>
        <v/>
      </c>
      <c r="B4151" t="str">
        <f>IF(AND(FORSIDE!$B$8&gt;=4,FORSIDE!$F$8&gt;=9,FORSIDE!$B$5&gt;=10),"2123 -&gt; 2134","")</f>
        <v/>
      </c>
      <c r="C4151" t="str">
        <f>FORSIDE!$C$3</f>
        <v>S355, Stål / VFHUP 140x140x8.0</v>
      </c>
    </row>
    <row r="4152" spans="1:3" x14ac:dyDescent="0.3">
      <c r="A4152" t="str">
        <f>IF(AND(FORSIDE!$B$8&gt;=5,FORSIDE!$F$8&gt;=9,FORSIDE!$B$5&gt;=1),"S4151","")</f>
        <v/>
      </c>
      <c r="B4152" t="str">
        <f>IF(AND(FORSIDE!$B$8&gt;=5,FORSIDE!$F$8&gt;=9,FORSIDE!$B$5&gt;=1),"2125 -&gt; 2136","")</f>
        <v/>
      </c>
      <c r="C4152" t="str">
        <f>FORSIDE!$C$3</f>
        <v>S355, Stål / VFHUP 140x140x8.0</v>
      </c>
    </row>
    <row r="4153" spans="1:3" x14ac:dyDescent="0.3">
      <c r="A4153" t="str">
        <f>IF(AND(FORSIDE!$B$8&gt;=5,FORSIDE!$F$8&gt;=9,FORSIDE!$B$5&gt;=2),"S4152","")</f>
        <v/>
      </c>
      <c r="B4153" t="str">
        <f>IF(AND(FORSIDE!$B$8&gt;=5,FORSIDE!$F$8&gt;=9,FORSIDE!$B$5&gt;=2),"2126 -&gt; 2137","")</f>
        <v/>
      </c>
      <c r="C4153" t="str">
        <f>FORSIDE!$C$3</f>
        <v>S355, Stål / VFHUP 140x140x8.0</v>
      </c>
    </row>
    <row r="4154" spans="1:3" x14ac:dyDescent="0.3">
      <c r="A4154" t="str">
        <f>IF(AND(FORSIDE!$B$8&gt;=5,FORSIDE!$F$8&gt;=9,FORSIDE!$B$5&gt;=3),"S4153","")</f>
        <v/>
      </c>
      <c r="B4154" t="str">
        <f>IF(AND(FORSIDE!$B$8&gt;=5,FORSIDE!$F$8&gt;=9,FORSIDE!$B$5&gt;=3),"2127 -&gt; 2138","")</f>
        <v/>
      </c>
      <c r="C4154" t="str">
        <f>FORSIDE!$C$3</f>
        <v>S355, Stål / VFHUP 140x140x8.0</v>
      </c>
    </row>
    <row r="4155" spans="1:3" x14ac:dyDescent="0.3">
      <c r="A4155" t="str">
        <f>IF(AND(FORSIDE!$B$8&gt;=5,FORSIDE!$F$8&gt;=9,FORSIDE!$B$5&gt;=4),"S4154","")</f>
        <v/>
      </c>
      <c r="B4155" t="str">
        <f>IF(AND(FORSIDE!$B$8&gt;=5,FORSIDE!$F$8&gt;=9,FORSIDE!$B$5&gt;=4),"2128 -&gt; 2139","")</f>
        <v/>
      </c>
      <c r="C4155" t="str">
        <f>FORSIDE!$C$3</f>
        <v>S355, Stål / VFHUP 140x140x8.0</v>
      </c>
    </row>
    <row r="4156" spans="1:3" x14ac:dyDescent="0.3">
      <c r="A4156" t="str">
        <f>IF(AND(FORSIDE!$B$8&gt;=5,FORSIDE!$F$8&gt;=9,FORSIDE!$B$5&gt;=5),"S4155","")</f>
        <v/>
      </c>
      <c r="B4156" t="str">
        <f>IF(AND(FORSIDE!$B$8&gt;=5,FORSIDE!$F$8&gt;=9,FORSIDE!$B$5&gt;=5),"2129 -&gt; 2140","")</f>
        <v/>
      </c>
      <c r="C4156" t="str">
        <f>FORSIDE!$C$3</f>
        <v>S355, Stål / VFHUP 140x140x8.0</v>
      </c>
    </row>
    <row r="4157" spans="1:3" x14ac:dyDescent="0.3">
      <c r="A4157" t="str">
        <f>IF(AND(FORSIDE!$B$8&gt;=5,FORSIDE!$F$8&gt;=9,FORSIDE!$B$5&gt;=6),"S4156","")</f>
        <v/>
      </c>
      <c r="B4157" t="str">
        <f>IF(AND(FORSIDE!$B$8&gt;=5,FORSIDE!$F$8&gt;=9,FORSIDE!$B$5&gt;=6),"2130 -&gt; 2141","")</f>
        <v/>
      </c>
      <c r="C4157" t="str">
        <f>FORSIDE!$C$3</f>
        <v>S355, Stål / VFHUP 140x140x8.0</v>
      </c>
    </row>
    <row r="4158" spans="1:3" x14ac:dyDescent="0.3">
      <c r="A4158" t="str">
        <f>IF(AND(FORSIDE!$B$8&gt;=5,FORSIDE!$F$8&gt;=9,FORSIDE!$B$5&gt;=7),"S4157","")</f>
        <v/>
      </c>
      <c r="B4158" t="str">
        <f>IF(AND(FORSIDE!$B$8&gt;=5,FORSIDE!$F$8&gt;=9,FORSIDE!$B$5&gt;=7),"2131 -&gt; 2142","")</f>
        <v/>
      </c>
      <c r="C4158" t="str">
        <f>FORSIDE!$C$3</f>
        <v>S355, Stål / VFHUP 140x140x8.0</v>
      </c>
    </row>
    <row r="4159" spans="1:3" x14ac:dyDescent="0.3">
      <c r="A4159" t="str">
        <f>IF(AND(FORSIDE!$B$8&gt;=5,FORSIDE!$F$8&gt;=9,FORSIDE!$B$5&gt;=8),"S4158","")</f>
        <v/>
      </c>
      <c r="B4159" t="str">
        <f>IF(AND(FORSIDE!$B$8&gt;=5,FORSIDE!$F$8&gt;=9,FORSIDE!$B$5&gt;=8),"2132 -&gt; 2143","")</f>
        <v/>
      </c>
      <c r="C4159" t="str">
        <f>FORSIDE!$C$3</f>
        <v>S355, Stål / VFHUP 140x140x8.0</v>
      </c>
    </row>
    <row r="4160" spans="1:3" x14ac:dyDescent="0.3">
      <c r="A4160" t="str">
        <f>IF(AND(FORSIDE!$B$8&gt;=5,FORSIDE!$F$8&gt;=9,FORSIDE!$B$5&gt;=9),"S4159","")</f>
        <v/>
      </c>
      <c r="B4160" t="str">
        <f>IF(AND(FORSIDE!$B$8&gt;=5,FORSIDE!$F$8&gt;=9,FORSIDE!$B$5&gt;=9),"2133 -&gt; 2144","")</f>
        <v/>
      </c>
      <c r="C4160" t="str">
        <f>FORSIDE!$C$3</f>
        <v>S355, Stål / VFHUP 140x140x8.0</v>
      </c>
    </row>
    <row r="4161" spans="1:3" x14ac:dyDescent="0.3">
      <c r="A4161" t="str">
        <f>IF(AND(FORSIDE!$B$8&gt;=5,FORSIDE!$F$8&gt;=9,FORSIDE!$B$5&gt;=10),"S4160","")</f>
        <v/>
      </c>
      <c r="B4161" t="str">
        <f>IF(AND(FORSIDE!$B$8&gt;=5,FORSIDE!$F$8&gt;=9,FORSIDE!$B$5&gt;=10),"2134 -&gt; 2145","")</f>
        <v/>
      </c>
      <c r="C4161" t="str">
        <f>FORSIDE!$C$3</f>
        <v>S355, Stål / VFHUP 140x140x8.0</v>
      </c>
    </row>
    <row r="4162" spans="1:3" x14ac:dyDescent="0.3">
      <c r="A4162" t="str">
        <f>IF(AND(FORSIDE!$B$8&gt;=6,FORSIDE!$F$8&gt;=9,FORSIDE!$B$5&gt;=1),"S4161","")</f>
        <v/>
      </c>
      <c r="B4162" t="str">
        <f>IF(AND(FORSIDE!$B$8&gt;=6,FORSIDE!$F$8&gt;=9,FORSIDE!$B$5&gt;=1),"2136 -&gt; 2147","")</f>
        <v/>
      </c>
      <c r="C4162" t="str">
        <f>FORSIDE!$C$3</f>
        <v>S355, Stål / VFHUP 140x140x8.0</v>
      </c>
    </row>
    <row r="4163" spans="1:3" x14ac:dyDescent="0.3">
      <c r="A4163" t="str">
        <f>IF(AND(FORSIDE!$B$8&gt;=6,FORSIDE!$F$8&gt;=9,FORSIDE!$B$5&gt;=2),"S4162","")</f>
        <v/>
      </c>
      <c r="B4163" t="str">
        <f>IF(AND(FORSIDE!$B$8&gt;=6,FORSIDE!$F$8&gt;=9,FORSIDE!$B$5&gt;=2),"2137 -&gt; 2148","")</f>
        <v/>
      </c>
      <c r="C4163" t="str">
        <f>FORSIDE!$C$3</f>
        <v>S355, Stål / VFHUP 140x140x8.0</v>
      </c>
    </row>
    <row r="4164" spans="1:3" x14ac:dyDescent="0.3">
      <c r="A4164" t="str">
        <f>IF(AND(FORSIDE!$B$8&gt;=6,FORSIDE!$F$8&gt;=9,FORSIDE!$B$5&gt;=3),"S4163","")</f>
        <v/>
      </c>
      <c r="B4164" t="str">
        <f>IF(AND(FORSIDE!$B$8&gt;=6,FORSIDE!$F$8&gt;=9,FORSIDE!$B$5&gt;=3),"2138 -&gt; 2149","")</f>
        <v/>
      </c>
      <c r="C4164" t="str">
        <f>FORSIDE!$C$3</f>
        <v>S355, Stål / VFHUP 140x140x8.0</v>
      </c>
    </row>
    <row r="4165" spans="1:3" x14ac:dyDescent="0.3">
      <c r="A4165" t="str">
        <f>IF(AND(FORSIDE!$B$8&gt;=6,FORSIDE!$F$8&gt;=9,FORSIDE!$B$5&gt;=4),"S4164","")</f>
        <v/>
      </c>
      <c r="B4165" t="str">
        <f>IF(AND(FORSIDE!$B$8&gt;=6,FORSIDE!$F$8&gt;=9,FORSIDE!$B$5&gt;=4),"2139 -&gt; 2150","")</f>
        <v/>
      </c>
      <c r="C4165" t="str">
        <f>FORSIDE!$C$3</f>
        <v>S355, Stål / VFHUP 140x140x8.0</v>
      </c>
    </row>
    <row r="4166" spans="1:3" x14ac:dyDescent="0.3">
      <c r="A4166" t="str">
        <f>IF(AND(FORSIDE!$B$8&gt;=6,FORSIDE!$F$8&gt;=9,FORSIDE!$B$5&gt;=5),"S4165","")</f>
        <v/>
      </c>
      <c r="B4166" t="str">
        <f>IF(AND(FORSIDE!$B$8&gt;=6,FORSIDE!$F$8&gt;=9,FORSIDE!$B$5&gt;=5),"2140 -&gt; 2151","")</f>
        <v/>
      </c>
      <c r="C4166" t="str">
        <f>FORSIDE!$C$3</f>
        <v>S355, Stål / VFHUP 140x140x8.0</v>
      </c>
    </row>
    <row r="4167" spans="1:3" x14ac:dyDescent="0.3">
      <c r="A4167" t="str">
        <f>IF(AND(FORSIDE!$B$8&gt;=6,FORSIDE!$F$8&gt;=9,FORSIDE!$B$5&gt;=6),"S4166","")</f>
        <v/>
      </c>
      <c r="B4167" t="str">
        <f>IF(AND(FORSIDE!$B$8&gt;=6,FORSIDE!$F$8&gt;=9,FORSIDE!$B$5&gt;=6),"2141 -&gt; 2152","")</f>
        <v/>
      </c>
      <c r="C4167" t="str">
        <f>FORSIDE!$C$3</f>
        <v>S355, Stål / VFHUP 140x140x8.0</v>
      </c>
    </row>
    <row r="4168" spans="1:3" x14ac:dyDescent="0.3">
      <c r="A4168" t="str">
        <f>IF(AND(FORSIDE!$B$8&gt;=6,FORSIDE!$F$8&gt;=9,FORSIDE!$B$5&gt;=7),"S4167","")</f>
        <v/>
      </c>
      <c r="B4168" t="str">
        <f>IF(AND(FORSIDE!$B$8&gt;=6,FORSIDE!$F$8&gt;=9,FORSIDE!$B$5&gt;=7),"2142 -&gt; 2153","")</f>
        <v/>
      </c>
      <c r="C4168" t="str">
        <f>FORSIDE!$C$3</f>
        <v>S355, Stål / VFHUP 140x140x8.0</v>
      </c>
    </row>
    <row r="4169" spans="1:3" x14ac:dyDescent="0.3">
      <c r="A4169" t="str">
        <f>IF(AND(FORSIDE!$B$8&gt;=6,FORSIDE!$F$8&gt;=9,FORSIDE!$B$5&gt;=8),"S4168","")</f>
        <v/>
      </c>
      <c r="B4169" t="str">
        <f>IF(AND(FORSIDE!$B$8&gt;=6,FORSIDE!$F$8&gt;=9,FORSIDE!$B$5&gt;=8),"2143 -&gt; 2154","")</f>
        <v/>
      </c>
      <c r="C4169" t="str">
        <f>FORSIDE!$C$3</f>
        <v>S355, Stål / VFHUP 140x140x8.0</v>
      </c>
    </row>
    <row r="4170" spans="1:3" x14ac:dyDescent="0.3">
      <c r="A4170" t="str">
        <f>IF(AND(FORSIDE!$B$8&gt;=6,FORSIDE!$F$8&gt;=9,FORSIDE!$B$5&gt;=9),"S4169","")</f>
        <v/>
      </c>
      <c r="B4170" t="str">
        <f>IF(AND(FORSIDE!$B$8&gt;=6,FORSIDE!$F$8&gt;=9,FORSIDE!$B$5&gt;=9),"2144 -&gt; 2155","")</f>
        <v/>
      </c>
      <c r="C4170" t="str">
        <f>FORSIDE!$C$3</f>
        <v>S355, Stål / VFHUP 140x140x8.0</v>
      </c>
    </row>
    <row r="4171" spans="1:3" x14ac:dyDescent="0.3">
      <c r="A4171" t="str">
        <f>IF(AND(FORSIDE!$B$8&gt;=6,FORSIDE!$F$8&gt;=9,FORSIDE!$B$5&gt;=10),"S4170","")</f>
        <v/>
      </c>
      <c r="B4171" t="str">
        <f>IF(AND(FORSIDE!$B$8&gt;=6,FORSIDE!$F$8&gt;=9,FORSIDE!$B$5&gt;=10),"2145 -&gt; 2156","")</f>
        <v/>
      </c>
      <c r="C4171" t="str">
        <f>FORSIDE!$C$3</f>
        <v>S355, Stål / VFHUP 140x140x8.0</v>
      </c>
    </row>
    <row r="4172" spans="1:3" x14ac:dyDescent="0.3">
      <c r="A4172" t="str">
        <f>IF(AND(FORSIDE!$B$8&gt;=7,FORSIDE!$F$8&gt;=9,FORSIDE!$B$5&gt;=1),"S4171","")</f>
        <v/>
      </c>
      <c r="B4172" t="str">
        <f>IF(AND(FORSIDE!$B$8&gt;=7,FORSIDE!$F$8&gt;=9,FORSIDE!$B$5&gt;=1),"2147 -&gt; 2158","")</f>
        <v/>
      </c>
      <c r="C4172" t="str">
        <f>FORSIDE!$C$3</f>
        <v>S355, Stål / VFHUP 140x140x8.0</v>
      </c>
    </row>
    <row r="4173" spans="1:3" x14ac:dyDescent="0.3">
      <c r="A4173" t="str">
        <f>IF(AND(FORSIDE!$B$8&gt;=7,FORSIDE!$F$8&gt;=9,FORSIDE!$B$5&gt;=2),"S4172","")</f>
        <v/>
      </c>
      <c r="B4173" t="str">
        <f>IF(AND(FORSIDE!$B$8&gt;=7,FORSIDE!$F$8&gt;=9,FORSIDE!$B$5&gt;=2),"2148 -&gt; 2159","")</f>
        <v/>
      </c>
      <c r="C4173" t="str">
        <f>FORSIDE!$C$3</f>
        <v>S355, Stål / VFHUP 140x140x8.0</v>
      </c>
    </row>
    <row r="4174" spans="1:3" x14ac:dyDescent="0.3">
      <c r="A4174" t="str">
        <f>IF(AND(FORSIDE!$B$8&gt;=7,FORSIDE!$F$8&gt;=9,FORSIDE!$B$5&gt;=3),"S4173","")</f>
        <v/>
      </c>
      <c r="B4174" t="str">
        <f>IF(AND(FORSIDE!$B$8&gt;=7,FORSIDE!$F$8&gt;=9,FORSIDE!$B$5&gt;=3),"2149 -&gt; 2160","")</f>
        <v/>
      </c>
      <c r="C4174" t="str">
        <f>FORSIDE!$C$3</f>
        <v>S355, Stål / VFHUP 140x140x8.0</v>
      </c>
    </row>
    <row r="4175" spans="1:3" x14ac:dyDescent="0.3">
      <c r="A4175" t="str">
        <f>IF(AND(FORSIDE!$B$8&gt;=7,FORSIDE!$F$8&gt;=9,FORSIDE!$B$5&gt;=4),"S4174","")</f>
        <v/>
      </c>
      <c r="B4175" t="str">
        <f>IF(AND(FORSIDE!$B$8&gt;=7,FORSIDE!$F$8&gt;=9,FORSIDE!$B$5&gt;=4),"2150 -&gt; 2161","")</f>
        <v/>
      </c>
      <c r="C4175" t="str">
        <f>FORSIDE!$C$3</f>
        <v>S355, Stål / VFHUP 140x140x8.0</v>
      </c>
    </row>
    <row r="4176" spans="1:3" x14ac:dyDescent="0.3">
      <c r="A4176" t="str">
        <f>IF(AND(FORSIDE!$B$8&gt;=7,FORSIDE!$F$8&gt;=9,FORSIDE!$B$5&gt;=5),"S4175","")</f>
        <v/>
      </c>
      <c r="B4176" t="str">
        <f>IF(AND(FORSIDE!$B$8&gt;=7,FORSIDE!$F$8&gt;=9,FORSIDE!$B$5&gt;=5),"2151 -&gt; 2162","")</f>
        <v/>
      </c>
      <c r="C4176" t="str">
        <f>FORSIDE!$C$3</f>
        <v>S355, Stål / VFHUP 140x140x8.0</v>
      </c>
    </row>
    <row r="4177" spans="1:3" x14ac:dyDescent="0.3">
      <c r="A4177" t="str">
        <f>IF(AND(FORSIDE!$B$8&gt;=7,FORSIDE!$F$8&gt;=9,FORSIDE!$B$5&gt;=6),"S4176","")</f>
        <v/>
      </c>
      <c r="B4177" t="str">
        <f>IF(AND(FORSIDE!$B$8&gt;=7,FORSIDE!$F$8&gt;=9,FORSIDE!$B$5&gt;=6),"2152 -&gt; 2163","")</f>
        <v/>
      </c>
      <c r="C4177" t="str">
        <f>FORSIDE!$C$3</f>
        <v>S355, Stål / VFHUP 140x140x8.0</v>
      </c>
    </row>
    <row r="4178" spans="1:3" x14ac:dyDescent="0.3">
      <c r="A4178" t="str">
        <f>IF(AND(FORSIDE!$B$8&gt;=7,FORSIDE!$F$8&gt;=9,FORSIDE!$B$5&gt;=7),"S4177","")</f>
        <v/>
      </c>
      <c r="B4178" t="str">
        <f>IF(AND(FORSIDE!$B$8&gt;=7,FORSIDE!$F$8&gt;=9,FORSIDE!$B$5&gt;=7),"2153 -&gt; 2164","")</f>
        <v/>
      </c>
      <c r="C4178" t="str">
        <f>FORSIDE!$C$3</f>
        <v>S355, Stål / VFHUP 140x140x8.0</v>
      </c>
    </row>
    <row r="4179" spans="1:3" x14ac:dyDescent="0.3">
      <c r="A4179" t="str">
        <f>IF(AND(FORSIDE!$B$8&gt;=7,FORSIDE!$F$8&gt;=9,FORSIDE!$B$5&gt;=8),"S4178","")</f>
        <v/>
      </c>
      <c r="B4179" t="str">
        <f>IF(AND(FORSIDE!$B$8&gt;=7,FORSIDE!$F$8&gt;=9,FORSIDE!$B$5&gt;=8),"2154 -&gt; 2165","")</f>
        <v/>
      </c>
      <c r="C4179" t="str">
        <f>FORSIDE!$C$3</f>
        <v>S355, Stål / VFHUP 140x140x8.0</v>
      </c>
    </row>
    <row r="4180" spans="1:3" x14ac:dyDescent="0.3">
      <c r="A4180" t="str">
        <f>IF(AND(FORSIDE!$B$8&gt;=7,FORSIDE!$F$8&gt;=9,FORSIDE!$B$5&gt;=9),"S4179","")</f>
        <v/>
      </c>
      <c r="B4180" t="str">
        <f>IF(AND(FORSIDE!$B$8&gt;=7,FORSIDE!$F$8&gt;=9,FORSIDE!$B$5&gt;=9),"2155 -&gt; 2166","")</f>
        <v/>
      </c>
      <c r="C4180" t="str">
        <f>FORSIDE!$C$3</f>
        <v>S355, Stål / VFHUP 140x140x8.0</v>
      </c>
    </row>
    <row r="4181" spans="1:3" x14ac:dyDescent="0.3">
      <c r="A4181" t="str">
        <f>IF(AND(FORSIDE!$B$8&gt;=7,FORSIDE!$F$8&gt;=9,FORSIDE!$B$5&gt;=10),"S4180","")</f>
        <v/>
      </c>
      <c r="B4181" t="str">
        <f>IF(AND(FORSIDE!$B$8&gt;=7,FORSIDE!$F$8&gt;=9,FORSIDE!$B$5&gt;=10),"2156 -&gt; 2167","")</f>
        <v/>
      </c>
      <c r="C4181" t="str">
        <f>FORSIDE!$C$3</f>
        <v>S355, Stål / VFHUP 140x140x8.0</v>
      </c>
    </row>
    <row r="4182" spans="1:3" x14ac:dyDescent="0.3">
      <c r="A4182" t="str">
        <f>IF(AND(FORSIDE!$B$8&gt;=8,FORSIDE!$F$8&gt;=9,FORSIDE!$B$5&gt;=1),"S4181","")</f>
        <v/>
      </c>
      <c r="B4182" t="str">
        <f>IF(AND(FORSIDE!$B$8&gt;=8,FORSIDE!$F$8&gt;=9,FORSIDE!$B$5&gt;=1),"2158 -&gt; 2169","")</f>
        <v/>
      </c>
      <c r="C4182" t="str">
        <f>FORSIDE!$C$3</f>
        <v>S355, Stål / VFHUP 140x140x8.0</v>
      </c>
    </row>
    <row r="4183" spans="1:3" x14ac:dyDescent="0.3">
      <c r="A4183" t="str">
        <f>IF(AND(FORSIDE!$B$8&gt;=8,FORSIDE!$F$8&gt;=9,FORSIDE!$B$5&gt;=2),"S4182","")</f>
        <v/>
      </c>
      <c r="B4183" t="str">
        <f>IF(AND(FORSIDE!$B$8&gt;=8,FORSIDE!$F$8&gt;=9,FORSIDE!$B$5&gt;=2),"2159 -&gt; 2170","")</f>
        <v/>
      </c>
      <c r="C4183" t="str">
        <f>FORSIDE!$C$3</f>
        <v>S355, Stål / VFHUP 140x140x8.0</v>
      </c>
    </row>
    <row r="4184" spans="1:3" x14ac:dyDescent="0.3">
      <c r="A4184" t="str">
        <f>IF(AND(FORSIDE!$B$8&gt;=8,FORSIDE!$F$8&gt;=9,FORSIDE!$B$5&gt;=3),"S4183","")</f>
        <v/>
      </c>
      <c r="B4184" t="str">
        <f>IF(AND(FORSIDE!$B$8&gt;=8,FORSIDE!$F$8&gt;=9,FORSIDE!$B$5&gt;=3),"2160 -&gt; 2171","")</f>
        <v/>
      </c>
      <c r="C4184" t="str">
        <f>FORSIDE!$C$3</f>
        <v>S355, Stål / VFHUP 140x140x8.0</v>
      </c>
    </row>
    <row r="4185" spans="1:3" x14ac:dyDescent="0.3">
      <c r="A4185" t="str">
        <f>IF(AND(FORSIDE!$B$8&gt;=8,FORSIDE!$F$8&gt;=9,FORSIDE!$B$5&gt;=4),"S4184","")</f>
        <v/>
      </c>
      <c r="B4185" t="str">
        <f>IF(AND(FORSIDE!$B$8&gt;=8,FORSIDE!$F$8&gt;=9,FORSIDE!$B$5&gt;=4),"2161 -&gt; 2172","")</f>
        <v/>
      </c>
      <c r="C4185" t="str">
        <f>FORSIDE!$C$3</f>
        <v>S355, Stål / VFHUP 140x140x8.0</v>
      </c>
    </row>
    <row r="4186" spans="1:3" x14ac:dyDescent="0.3">
      <c r="A4186" t="str">
        <f>IF(AND(FORSIDE!$B$8&gt;=8,FORSIDE!$F$8&gt;=9,FORSIDE!$B$5&gt;=5),"S4185","")</f>
        <v/>
      </c>
      <c r="B4186" t="str">
        <f>IF(AND(FORSIDE!$B$8&gt;=8,FORSIDE!$F$8&gt;=9,FORSIDE!$B$5&gt;=5),"2162 -&gt; 2173","")</f>
        <v/>
      </c>
      <c r="C4186" t="str">
        <f>FORSIDE!$C$3</f>
        <v>S355, Stål / VFHUP 140x140x8.0</v>
      </c>
    </row>
    <row r="4187" spans="1:3" x14ac:dyDescent="0.3">
      <c r="A4187" t="str">
        <f>IF(AND(FORSIDE!$B$8&gt;=8,FORSIDE!$F$8&gt;=9,FORSIDE!$B$5&gt;=6),"S4186","")</f>
        <v/>
      </c>
      <c r="B4187" t="str">
        <f>IF(AND(FORSIDE!$B$8&gt;=8,FORSIDE!$F$8&gt;=9,FORSIDE!$B$5&gt;=6),"2163 -&gt; 2174","")</f>
        <v/>
      </c>
      <c r="C4187" t="str">
        <f>FORSIDE!$C$3</f>
        <v>S355, Stål / VFHUP 140x140x8.0</v>
      </c>
    </row>
    <row r="4188" spans="1:3" x14ac:dyDescent="0.3">
      <c r="A4188" t="str">
        <f>IF(AND(FORSIDE!$B$8&gt;=8,FORSIDE!$F$8&gt;=9,FORSIDE!$B$5&gt;=7),"S4187","")</f>
        <v/>
      </c>
      <c r="B4188" t="str">
        <f>IF(AND(FORSIDE!$B$8&gt;=8,FORSIDE!$F$8&gt;=9,FORSIDE!$B$5&gt;=7),"2164 -&gt; 2175","")</f>
        <v/>
      </c>
      <c r="C4188" t="str">
        <f>FORSIDE!$C$3</f>
        <v>S355, Stål / VFHUP 140x140x8.0</v>
      </c>
    </row>
    <row r="4189" spans="1:3" x14ac:dyDescent="0.3">
      <c r="A4189" t="str">
        <f>IF(AND(FORSIDE!$B$8&gt;=8,FORSIDE!$F$8&gt;=9,FORSIDE!$B$5&gt;=8),"S4188","")</f>
        <v/>
      </c>
      <c r="B4189" t="str">
        <f>IF(AND(FORSIDE!$B$8&gt;=8,FORSIDE!$F$8&gt;=9,FORSIDE!$B$5&gt;=8),"2165 -&gt; 2176","")</f>
        <v/>
      </c>
      <c r="C4189" t="str">
        <f>FORSIDE!$C$3</f>
        <v>S355, Stål / VFHUP 140x140x8.0</v>
      </c>
    </row>
    <row r="4190" spans="1:3" x14ac:dyDescent="0.3">
      <c r="A4190" t="str">
        <f>IF(AND(FORSIDE!$B$8&gt;=8,FORSIDE!$F$8&gt;=9,FORSIDE!$B$5&gt;=9),"S4189","")</f>
        <v/>
      </c>
      <c r="B4190" t="str">
        <f>IF(AND(FORSIDE!$B$8&gt;=8,FORSIDE!$F$8&gt;=9,FORSIDE!$B$5&gt;=9),"2166 -&gt; 2177","")</f>
        <v/>
      </c>
      <c r="C4190" t="str">
        <f>FORSIDE!$C$3</f>
        <v>S355, Stål / VFHUP 140x140x8.0</v>
      </c>
    </row>
    <row r="4191" spans="1:3" x14ac:dyDescent="0.3">
      <c r="A4191" t="str">
        <f>IF(AND(FORSIDE!$B$8&gt;=8,FORSIDE!$F$8&gt;=9,FORSIDE!$B$5&gt;=10),"S4190","")</f>
        <v/>
      </c>
      <c r="B4191" t="str">
        <f>IF(AND(FORSIDE!$B$8&gt;=8,FORSIDE!$F$8&gt;=9,FORSIDE!$B$5&gt;=10),"2167 -&gt; 2178","")</f>
        <v/>
      </c>
      <c r="C4191" t="str">
        <f>FORSIDE!$C$3</f>
        <v>S355, Stål / VFHUP 140x140x8.0</v>
      </c>
    </row>
    <row r="4192" spans="1:3" x14ac:dyDescent="0.3">
      <c r="A4192" t="str">
        <f>IF(AND(FORSIDE!$B$8&gt;=9,FORSIDE!$F$8&gt;=9,FORSIDE!$B$5&gt;=1),"S4191","")</f>
        <v/>
      </c>
      <c r="B4192" t="str">
        <f>IF(AND(FORSIDE!$B$8&gt;=9,FORSIDE!$F$8&gt;=9,FORSIDE!$B$5&gt;=1),"2169 -&gt; 2180","")</f>
        <v/>
      </c>
      <c r="C4192" t="str">
        <f>FORSIDE!$C$3</f>
        <v>S355, Stål / VFHUP 140x140x8.0</v>
      </c>
    </row>
    <row r="4193" spans="1:3" x14ac:dyDescent="0.3">
      <c r="A4193" t="str">
        <f>IF(AND(FORSIDE!$B$8&gt;=9,FORSIDE!$F$8&gt;=9,FORSIDE!$B$5&gt;=2),"S4192","")</f>
        <v/>
      </c>
      <c r="B4193" t="str">
        <f>IF(AND(FORSIDE!$B$8&gt;=9,FORSIDE!$F$8&gt;=9,FORSIDE!$B$5&gt;=2),"2170 -&gt; 2181","")</f>
        <v/>
      </c>
      <c r="C4193" t="str">
        <f>FORSIDE!$C$3</f>
        <v>S355, Stål / VFHUP 140x140x8.0</v>
      </c>
    </row>
    <row r="4194" spans="1:3" x14ac:dyDescent="0.3">
      <c r="A4194" t="str">
        <f>IF(AND(FORSIDE!$B$8&gt;=9,FORSIDE!$F$8&gt;=9,FORSIDE!$B$5&gt;=3),"S4193","")</f>
        <v/>
      </c>
      <c r="B4194" t="str">
        <f>IF(AND(FORSIDE!$B$8&gt;=9,FORSIDE!$F$8&gt;=9,FORSIDE!$B$5&gt;=3),"2171 -&gt; 2182","")</f>
        <v/>
      </c>
      <c r="C4194" t="str">
        <f>FORSIDE!$C$3</f>
        <v>S355, Stål / VFHUP 140x140x8.0</v>
      </c>
    </row>
    <row r="4195" spans="1:3" x14ac:dyDescent="0.3">
      <c r="A4195" t="str">
        <f>IF(AND(FORSIDE!$B$8&gt;=9,FORSIDE!$F$8&gt;=9,FORSIDE!$B$5&gt;=4),"S4194","")</f>
        <v/>
      </c>
      <c r="B4195" t="str">
        <f>IF(AND(FORSIDE!$B$8&gt;=9,FORSIDE!$F$8&gt;=9,FORSIDE!$B$5&gt;=4),"2172 -&gt; 2183","")</f>
        <v/>
      </c>
      <c r="C4195" t="str">
        <f>FORSIDE!$C$3</f>
        <v>S355, Stål / VFHUP 140x140x8.0</v>
      </c>
    </row>
    <row r="4196" spans="1:3" x14ac:dyDescent="0.3">
      <c r="A4196" t="str">
        <f>IF(AND(FORSIDE!$B$8&gt;=9,FORSIDE!$F$8&gt;=9,FORSIDE!$B$5&gt;=5),"S4195","")</f>
        <v/>
      </c>
      <c r="B4196" t="str">
        <f>IF(AND(FORSIDE!$B$8&gt;=9,FORSIDE!$F$8&gt;=9,FORSIDE!$B$5&gt;=5),"2173 -&gt; 2184","")</f>
        <v/>
      </c>
      <c r="C4196" t="str">
        <f>FORSIDE!$C$3</f>
        <v>S355, Stål / VFHUP 140x140x8.0</v>
      </c>
    </row>
    <row r="4197" spans="1:3" x14ac:dyDescent="0.3">
      <c r="A4197" t="str">
        <f>IF(AND(FORSIDE!$B$8&gt;=9,FORSIDE!$F$8&gt;=9,FORSIDE!$B$5&gt;=6),"S4196","")</f>
        <v/>
      </c>
      <c r="B4197" t="str">
        <f>IF(AND(FORSIDE!$B$8&gt;=9,FORSIDE!$F$8&gt;=9,FORSIDE!$B$5&gt;=6),"2174 -&gt; 2185","")</f>
        <v/>
      </c>
      <c r="C4197" t="str">
        <f>FORSIDE!$C$3</f>
        <v>S355, Stål / VFHUP 140x140x8.0</v>
      </c>
    </row>
    <row r="4198" spans="1:3" x14ac:dyDescent="0.3">
      <c r="A4198" t="str">
        <f>IF(AND(FORSIDE!$B$8&gt;=9,FORSIDE!$F$8&gt;=9,FORSIDE!$B$5&gt;=7),"S4197","")</f>
        <v/>
      </c>
      <c r="B4198" t="str">
        <f>IF(AND(FORSIDE!$B$8&gt;=9,FORSIDE!$F$8&gt;=9,FORSIDE!$B$5&gt;=7),"2175 -&gt; 2186","")</f>
        <v/>
      </c>
      <c r="C4198" t="str">
        <f>FORSIDE!$C$3</f>
        <v>S355, Stål / VFHUP 140x140x8.0</v>
      </c>
    </row>
    <row r="4199" spans="1:3" x14ac:dyDescent="0.3">
      <c r="A4199" t="str">
        <f>IF(AND(FORSIDE!$B$8&gt;=9,FORSIDE!$F$8&gt;=9,FORSIDE!$B$5&gt;=8),"S4198","")</f>
        <v/>
      </c>
      <c r="B4199" t="str">
        <f>IF(AND(FORSIDE!$B$8&gt;=9,FORSIDE!$F$8&gt;=9,FORSIDE!$B$5&gt;=8),"2176 -&gt; 2187","")</f>
        <v/>
      </c>
      <c r="C4199" t="str">
        <f>FORSIDE!$C$3</f>
        <v>S355, Stål / VFHUP 140x140x8.0</v>
      </c>
    </row>
    <row r="4200" spans="1:3" x14ac:dyDescent="0.3">
      <c r="A4200" t="str">
        <f>IF(AND(FORSIDE!$B$8&gt;=9,FORSIDE!$F$8&gt;=9,FORSIDE!$B$5&gt;=9),"S4199","")</f>
        <v/>
      </c>
      <c r="B4200" t="str">
        <f>IF(AND(FORSIDE!$B$8&gt;=9,FORSIDE!$F$8&gt;=9,FORSIDE!$B$5&gt;=9),"2177 -&gt; 2188","")</f>
        <v/>
      </c>
      <c r="C4200" t="str">
        <f>FORSIDE!$C$3</f>
        <v>S355, Stål / VFHUP 140x140x8.0</v>
      </c>
    </row>
    <row r="4201" spans="1:3" x14ac:dyDescent="0.3">
      <c r="A4201" t="str">
        <f>IF(AND(FORSIDE!$B$8&gt;=9,FORSIDE!$F$8&gt;=9,FORSIDE!$B$5&gt;=10),"S4200","")</f>
        <v/>
      </c>
      <c r="B4201" t="str">
        <f>IF(AND(FORSIDE!$B$8&gt;=9,FORSIDE!$F$8&gt;=9,FORSIDE!$B$5&gt;=10),"2178 -&gt; 2189","")</f>
        <v/>
      </c>
      <c r="C4201" t="str">
        <f>FORSIDE!$C$3</f>
        <v>S355, Stål / VFHUP 140x140x8.0</v>
      </c>
    </row>
    <row r="4202" spans="1:3" x14ac:dyDescent="0.3">
      <c r="A4202" t="str">
        <f>IF(AND(FORSIDE!$B$8&gt;=10,FORSIDE!$F$8&gt;=9,FORSIDE!$B$5&gt;=1),"S4201","")</f>
        <v/>
      </c>
      <c r="B4202" t="str">
        <f>IF(AND(FORSIDE!$B$8&gt;=10,FORSIDE!$F$8&gt;=9,FORSIDE!$B$5&gt;=1),"2180 -&gt; 2191","")</f>
        <v/>
      </c>
      <c r="C4202" t="str">
        <f>FORSIDE!$C$3</f>
        <v>S355, Stål / VFHUP 140x140x8.0</v>
      </c>
    </row>
    <row r="4203" spans="1:3" x14ac:dyDescent="0.3">
      <c r="A4203" t="str">
        <f>IF(AND(FORSIDE!$B$8&gt;=10,FORSIDE!$F$8&gt;=9,FORSIDE!$B$5&gt;=2),"S4202","")</f>
        <v/>
      </c>
      <c r="B4203" t="str">
        <f>IF(AND(FORSIDE!$B$8&gt;=10,FORSIDE!$F$8&gt;=9,FORSIDE!$B$5&gt;=2),"2181 -&gt; 2192","")</f>
        <v/>
      </c>
      <c r="C4203" t="str">
        <f>FORSIDE!$C$3</f>
        <v>S355, Stål / VFHUP 140x140x8.0</v>
      </c>
    </row>
    <row r="4204" spans="1:3" x14ac:dyDescent="0.3">
      <c r="A4204" t="str">
        <f>IF(AND(FORSIDE!$B$8&gt;=10,FORSIDE!$F$8&gt;=9,FORSIDE!$B$5&gt;=3),"S4203","")</f>
        <v/>
      </c>
      <c r="B4204" t="str">
        <f>IF(AND(FORSIDE!$B$8&gt;=10,FORSIDE!$F$8&gt;=9,FORSIDE!$B$5&gt;=3),"2182 -&gt; 2193","")</f>
        <v/>
      </c>
      <c r="C4204" t="str">
        <f>FORSIDE!$C$3</f>
        <v>S355, Stål / VFHUP 140x140x8.0</v>
      </c>
    </row>
    <row r="4205" spans="1:3" x14ac:dyDescent="0.3">
      <c r="A4205" t="str">
        <f>IF(AND(FORSIDE!$B$8&gt;=10,FORSIDE!$F$8&gt;=9,FORSIDE!$B$5&gt;=4),"S4204","")</f>
        <v/>
      </c>
      <c r="B4205" t="str">
        <f>IF(AND(FORSIDE!$B$8&gt;=10,FORSIDE!$F$8&gt;=9,FORSIDE!$B$5&gt;=4),"2183 -&gt; 2194","")</f>
        <v/>
      </c>
      <c r="C4205" t="str">
        <f>FORSIDE!$C$3</f>
        <v>S355, Stål / VFHUP 140x140x8.0</v>
      </c>
    </row>
    <row r="4206" spans="1:3" x14ac:dyDescent="0.3">
      <c r="A4206" t="str">
        <f>IF(AND(FORSIDE!$B$8&gt;=10,FORSIDE!$F$8&gt;=9,FORSIDE!$B$5&gt;=5),"S4205","")</f>
        <v/>
      </c>
      <c r="B4206" t="str">
        <f>IF(AND(FORSIDE!$B$8&gt;=10,FORSIDE!$F$8&gt;=9,FORSIDE!$B$5&gt;=5),"2184 -&gt; 2195","")</f>
        <v/>
      </c>
      <c r="C4206" t="str">
        <f>FORSIDE!$C$3</f>
        <v>S355, Stål / VFHUP 140x140x8.0</v>
      </c>
    </row>
    <row r="4207" spans="1:3" x14ac:dyDescent="0.3">
      <c r="A4207" t="str">
        <f>IF(AND(FORSIDE!$B$8&gt;=10,FORSIDE!$F$8&gt;=9,FORSIDE!$B$5&gt;=6),"S4206","")</f>
        <v/>
      </c>
      <c r="B4207" t="str">
        <f>IF(AND(FORSIDE!$B$8&gt;=10,FORSIDE!$F$8&gt;=9,FORSIDE!$B$5&gt;=6),"2185 -&gt; 2196","")</f>
        <v/>
      </c>
      <c r="C4207" t="str">
        <f>FORSIDE!$C$3</f>
        <v>S355, Stål / VFHUP 140x140x8.0</v>
      </c>
    </row>
    <row r="4208" spans="1:3" x14ac:dyDescent="0.3">
      <c r="A4208" t="str">
        <f>IF(AND(FORSIDE!$B$8&gt;=10,FORSIDE!$F$8&gt;=9,FORSIDE!$B$5&gt;=7),"S4207","")</f>
        <v/>
      </c>
      <c r="B4208" t="str">
        <f>IF(AND(FORSIDE!$B$8&gt;=10,FORSIDE!$F$8&gt;=9,FORSIDE!$B$5&gt;=7),"2186 -&gt; 2197","")</f>
        <v/>
      </c>
      <c r="C4208" t="str">
        <f>FORSIDE!$C$3</f>
        <v>S355, Stål / VFHUP 140x140x8.0</v>
      </c>
    </row>
    <row r="4209" spans="1:3" x14ac:dyDescent="0.3">
      <c r="A4209" t="str">
        <f>IF(AND(FORSIDE!$B$8&gt;=10,FORSIDE!$F$8&gt;=9,FORSIDE!$B$5&gt;=8),"S4208","")</f>
        <v/>
      </c>
      <c r="B4209" t="str">
        <f>IF(AND(FORSIDE!$B$8&gt;=10,FORSIDE!$F$8&gt;=9,FORSIDE!$B$5&gt;=8),"2187 -&gt; 2198","")</f>
        <v/>
      </c>
      <c r="C4209" t="str">
        <f>FORSIDE!$C$3</f>
        <v>S355, Stål / VFHUP 140x140x8.0</v>
      </c>
    </row>
    <row r="4210" spans="1:3" x14ac:dyDescent="0.3">
      <c r="A4210" t="str">
        <f>IF(AND(FORSIDE!$B$8&gt;=10,FORSIDE!$F$8&gt;=9,FORSIDE!$B$5&gt;=9),"S4209","")</f>
        <v/>
      </c>
      <c r="B4210" t="str">
        <f>IF(AND(FORSIDE!$B$8&gt;=10,FORSIDE!$F$8&gt;=9,FORSIDE!$B$5&gt;=9),"2188 -&gt; 2199","")</f>
        <v/>
      </c>
      <c r="C4210" t="str">
        <f>FORSIDE!$C$3</f>
        <v>S355, Stål / VFHUP 140x140x8.0</v>
      </c>
    </row>
    <row r="4211" spans="1:3" x14ac:dyDescent="0.3">
      <c r="A4211" t="str">
        <f>IF(AND(FORSIDE!$B$8&gt;=10,FORSIDE!$F$8&gt;=9,FORSIDE!$B$5&gt;=10),"S4210","")</f>
        <v/>
      </c>
      <c r="B4211" t="str">
        <f>IF(AND(FORSIDE!$B$8&gt;=10,FORSIDE!$F$8&gt;=9,FORSIDE!$B$5&gt;=10),"2189 -&gt; 2200","")</f>
        <v/>
      </c>
      <c r="C4211" t="str">
        <f>FORSIDE!$C$3</f>
        <v>S355, Stål / VFHUP 140x140x8.0</v>
      </c>
    </row>
    <row r="4212" spans="1:3" x14ac:dyDescent="0.3">
      <c r="A4212" t="str">
        <f>IF(AND(FORSIDE!$B$8&gt;=11,FORSIDE!$F$8&gt;=9,FORSIDE!$B$5&gt;=1),"S4211","")</f>
        <v/>
      </c>
      <c r="B4212" t="str">
        <f>IF(AND(FORSIDE!$B$8&gt;=11,FORSIDE!$F$8&gt;=9,FORSIDE!$B$5&gt;=1),"2191 -&gt; 2202","")</f>
        <v/>
      </c>
      <c r="C4212" t="str">
        <f>FORSIDE!$C$3</f>
        <v>S355, Stål / VFHUP 140x140x8.0</v>
      </c>
    </row>
    <row r="4213" spans="1:3" x14ac:dyDescent="0.3">
      <c r="A4213" t="str">
        <f>IF(AND(FORSIDE!$B$8&gt;=11,FORSIDE!$F$8&gt;=9,FORSIDE!$B$5&gt;=2),"S4212","")</f>
        <v/>
      </c>
      <c r="B4213" t="str">
        <f>IF(AND(FORSIDE!$B$8&gt;=11,FORSIDE!$F$8&gt;=9,FORSIDE!$B$5&gt;=2),"2192 -&gt; 2203","")</f>
        <v/>
      </c>
      <c r="C4213" t="str">
        <f>FORSIDE!$C$3</f>
        <v>S355, Stål / VFHUP 140x140x8.0</v>
      </c>
    </row>
    <row r="4214" spans="1:3" x14ac:dyDescent="0.3">
      <c r="A4214" t="str">
        <f>IF(AND(FORSIDE!$B$8&gt;=11,FORSIDE!$F$8&gt;=9,FORSIDE!$B$5&gt;=3),"S4213","")</f>
        <v/>
      </c>
      <c r="B4214" t="str">
        <f>IF(AND(FORSIDE!$B$8&gt;=11,FORSIDE!$F$8&gt;=9,FORSIDE!$B$5&gt;=3),"2193 -&gt; 2204","")</f>
        <v/>
      </c>
      <c r="C4214" t="str">
        <f>FORSIDE!$C$3</f>
        <v>S355, Stål / VFHUP 140x140x8.0</v>
      </c>
    </row>
    <row r="4215" spans="1:3" x14ac:dyDescent="0.3">
      <c r="A4215" t="str">
        <f>IF(AND(FORSIDE!$B$8&gt;=11,FORSIDE!$F$8&gt;=9,FORSIDE!$B$5&gt;=4),"S4214","")</f>
        <v/>
      </c>
      <c r="B4215" t="str">
        <f>IF(AND(FORSIDE!$B$8&gt;=11,FORSIDE!$F$8&gt;=9,FORSIDE!$B$5&gt;=4),"2194 -&gt; 2205","")</f>
        <v/>
      </c>
      <c r="C4215" t="str">
        <f>FORSIDE!$C$3</f>
        <v>S355, Stål / VFHUP 140x140x8.0</v>
      </c>
    </row>
    <row r="4216" spans="1:3" x14ac:dyDescent="0.3">
      <c r="A4216" t="str">
        <f>IF(AND(FORSIDE!$B$8&gt;=11,FORSIDE!$F$8&gt;=9,FORSIDE!$B$5&gt;=5),"S4215","")</f>
        <v/>
      </c>
      <c r="B4216" t="str">
        <f>IF(AND(FORSIDE!$B$8&gt;=11,FORSIDE!$F$8&gt;=9,FORSIDE!$B$5&gt;=5),"2195 -&gt; 2206","")</f>
        <v/>
      </c>
      <c r="C4216" t="str">
        <f>FORSIDE!$C$3</f>
        <v>S355, Stål / VFHUP 140x140x8.0</v>
      </c>
    </row>
    <row r="4217" spans="1:3" x14ac:dyDescent="0.3">
      <c r="A4217" t="str">
        <f>IF(AND(FORSIDE!$B$8&gt;=11,FORSIDE!$F$8&gt;=9,FORSIDE!$B$5&gt;=6),"S4216","")</f>
        <v/>
      </c>
      <c r="B4217" t="str">
        <f>IF(AND(FORSIDE!$B$8&gt;=11,FORSIDE!$F$8&gt;=9,FORSIDE!$B$5&gt;=6),"2196 -&gt; 2207","")</f>
        <v/>
      </c>
      <c r="C4217" t="str">
        <f>FORSIDE!$C$3</f>
        <v>S355, Stål / VFHUP 140x140x8.0</v>
      </c>
    </row>
    <row r="4218" spans="1:3" x14ac:dyDescent="0.3">
      <c r="A4218" t="str">
        <f>IF(AND(FORSIDE!$B$8&gt;=11,FORSIDE!$F$8&gt;=9,FORSIDE!$B$5&gt;=7),"S4217","")</f>
        <v/>
      </c>
      <c r="B4218" t="str">
        <f>IF(AND(FORSIDE!$B$8&gt;=11,FORSIDE!$F$8&gt;=9,FORSIDE!$B$5&gt;=7),"2197 -&gt; 2208","")</f>
        <v/>
      </c>
      <c r="C4218" t="str">
        <f>FORSIDE!$C$3</f>
        <v>S355, Stål / VFHUP 140x140x8.0</v>
      </c>
    </row>
    <row r="4219" spans="1:3" x14ac:dyDescent="0.3">
      <c r="A4219" t="str">
        <f>IF(AND(FORSIDE!$B$8&gt;=11,FORSIDE!$F$8&gt;=9,FORSIDE!$B$5&gt;=8),"S4218","")</f>
        <v/>
      </c>
      <c r="B4219" t="str">
        <f>IF(AND(FORSIDE!$B$8&gt;=11,FORSIDE!$F$8&gt;=9,FORSIDE!$B$5&gt;=8),"2198 -&gt; 2209","")</f>
        <v/>
      </c>
      <c r="C4219" t="str">
        <f>FORSIDE!$C$3</f>
        <v>S355, Stål / VFHUP 140x140x8.0</v>
      </c>
    </row>
    <row r="4220" spans="1:3" x14ac:dyDescent="0.3">
      <c r="A4220" t="str">
        <f>IF(AND(FORSIDE!$B$8&gt;=11,FORSIDE!$F$8&gt;=9,FORSIDE!$B$5&gt;=9),"S4219","")</f>
        <v/>
      </c>
      <c r="B4220" t="str">
        <f>IF(AND(FORSIDE!$B$8&gt;=11,FORSIDE!$F$8&gt;=9,FORSIDE!$B$5&gt;=9),"2199 -&gt; 2210","")</f>
        <v/>
      </c>
      <c r="C4220" t="str">
        <f>FORSIDE!$C$3</f>
        <v>S355, Stål / VFHUP 140x140x8.0</v>
      </c>
    </row>
    <row r="4221" spans="1:3" x14ac:dyDescent="0.3">
      <c r="A4221" t="str">
        <f>IF(AND(FORSIDE!$B$8&gt;=11,FORSIDE!$F$8&gt;=9,FORSIDE!$B$5&gt;=10),"S4220","")</f>
        <v/>
      </c>
      <c r="B4221" t="str">
        <f>IF(AND(FORSIDE!$B$8&gt;=11,FORSIDE!$F$8&gt;=9,FORSIDE!$B$5&gt;=10),"2200 -&gt; 2211","")</f>
        <v/>
      </c>
      <c r="C4221" t="str">
        <f>FORSIDE!$C$3</f>
        <v>S355, Stål / VFHUP 140x140x8.0</v>
      </c>
    </row>
    <row r="4222" spans="1:3" x14ac:dyDescent="0.3">
      <c r="A4222" t="str">
        <f>IF(AND(FORSIDE!$B$8&gt;=12,FORSIDE!$F$8&gt;=9,FORSIDE!$B$5&gt;=1),"S4221","")</f>
        <v/>
      </c>
      <c r="B4222" t="str">
        <f>IF(AND(FORSIDE!$B$8&gt;=12,FORSIDE!$F$8&gt;=9,FORSIDE!$B$5&gt;=1),"2202 -&gt; 2213","")</f>
        <v/>
      </c>
      <c r="C4222" t="str">
        <f>FORSIDE!$C$3</f>
        <v>S355, Stål / VFHUP 140x140x8.0</v>
      </c>
    </row>
    <row r="4223" spans="1:3" x14ac:dyDescent="0.3">
      <c r="A4223" t="str">
        <f>IF(AND(FORSIDE!$B$8&gt;=12,FORSIDE!$F$8&gt;=9,FORSIDE!$B$5&gt;=2),"S4222","")</f>
        <v/>
      </c>
      <c r="B4223" t="str">
        <f>IF(AND(FORSIDE!$B$8&gt;=12,FORSIDE!$F$8&gt;=9,FORSIDE!$B$5&gt;=2),"2203 -&gt; 2214","")</f>
        <v/>
      </c>
      <c r="C4223" t="str">
        <f>FORSIDE!$C$3</f>
        <v>S355, Stål / VFHUP 140x140x8.0</v>
      </c>
    </row>
    <row r="4224" spans="1:3" x14ac:dyDescent="0.3">
      <c r="A4224" t="str">
        <f>IF(AND(FORSIDE!$B$8&gt;=12,FORSIDE!$F$8&gt;=9,FORSIDE!$B$5&gt;=3),"S4223","")</f>
        <v/>
      </c>
      <c r="B4224" t="str">
        <f>IF(AND(FORSIDE!$B$8&gt;=12,FORSIDE!$F$8&gt;=9,FORSIDE!$B$5&gt;=3),"2204 -&gt; 2215","")</f>
        <v/>
      </c>
      <c r="C4224" t="str">
        <f>FORSIDE!$C$3</f>
        <v>S355, Stål / VFHUP 140x140x8.0</v>
      </c>
    </row>
    <row r="4225" spans="1:3" x14ac:dyDescent="0.3">
      <c r="A4225" t="str">
        <f>IF(AND(FORSIDE!$B$8&gt;=12,FORSIDE!$F$8&gt;=9,FORSIDE!$B$5&gt;=4),"S4224","")</f>
        <v/>
      </c>
      <c r="B4225" t="str">
        <f>IF(AND(FORSIDE!$B$8&gt;=12,FORSIDE!$F$8&gt;=9,FORSIDE!$B$5&gt;=4),"2205 -&gt; 2216","")</f>
        <v/>
      </c>
      <c r="C4225" t="str">
        <f>FORSIDE!$C$3</f>
        <v>S355, Stål / VFHUP 140x140x8.0</v>
      </c>
    </row>
    <row r="4226" spans="1:3" x14ac:dyDescent="0.3">
      <c r="A4226" t="str">
        <f>IF(AND(FORSIDE!$B$8&gt;=12,FORSIDE!$F$8&gt;=9,FORSIDE!$B$5&gt;=5),"S4225","")</f>
        <v/>
      </c>
      <c r="B4226" t="str">
        <f>IF(AND(FORSIDE!$B$8&gt;=12,FORSIDE!$F$8&gt;=9,FORSIDE!$B$5&gt;=5),"2206 -&gt; 2217","")</f>
        <v/>
      </c>
      <c r="C4226" t="str">
        <f>FORSIDE!$C$3</f>
        <v>S355, Stål / VFHUP 140x140x8.0</v>
      </c>
    </row>
    <row r="4227" spans="1:3" x14ac:dyDescent="0.3">
      <c r="A4227" t="str">
        <f>IF(AND(FORSIDE!$B$8&gt;=12,FORSIDE!$F$8&gt;=9,FORSIDE!$B$5&gt;=6),"S4226","")</f>
        <v/>
      </c>
      <c r="B4227" t="str">
        <f>IF(AND(FORSIDE!$B$8&gt;=12,FORSIDE!$F$8&gt;=9,FORSIDE!$B$5&gt;=6),"2207 -&gt; 2218","")</f>
        <v/>
      </c>
      <c r="C4227" t="str">
        <f>FORSIDE!$C$3</f>
        <v>S355, Stål / VFHUP 140x140x8.0</v>
      </c>
    </row>
    <row r="4228" spans="1:3" x14ac:dyDescent="0.3">
      <c r="A4228" t="str">
        <f>IF(AND(FORSIDE!$B$8&gt;=12,FORSIDE!$F$8&gt;=9,FORSIDE!$B$5&gt;=7),"S4227","")</f>
        <v/>
      </c>
      <c r="B4228" t="str">
        <f>IF(AND(FORSIDE!$B$8&gt;=12,FORSIDE!$F$8&gt;=9,FORSIDE!$B$5&gt;=7),"2208 -&gt; 2219","")</f>
        <v/>
      </c>
      <c r="C4228" t="str">
        <f>FORSIDE!$C$3</f>
        <v>S355, Stål / VFHUP 140x140x8.0</v>
      </c>
    </row>
    <row r="4229" spans="1:3" x14ac:dyDescent="0.3">
      <c r="A4229" t="str">
        <f>IF(AND(FORSIDE!$B$8&gt;=12,FORSIDE!$F$8&gt;=9,FORSIDE!$B$5&gt;=8),"S4228","")</f>
        <v/>
      </c>
      <c r="B4229" t="str">
        <f>IF(AND(FORSIDE!$B$8&gt;=12,FORSIDE!$F$8&gt;=9,FORSIDE!$B$5&gt;=8),"2209 -&gt; 2220","")</f>
        <v/>
      </c>
      <c r="C4229" t="str">
        <f>FORSIDE!$C$3</f>
        <v>S355, Stål / VFHUP 140x140x8.0</v>
      </c>
    </row>
    <row r="4230" spans="1:3" x14ac:dyDescent="0.3">
      <c r="A4230" t="str">
        <f>IF(AND(FORSIDE!$B$8&gt;=12,FORSIDE!$F$8&gt;=9,FORSIDE!$B$5&gt;=9),"S4229","")</f>
        <v/>
      </c>
      <c r="B4230" t="str">
        <f>IF(AND(FORSIDE!$B$8&gt;=12,FORSIDE!$F$8&gt;=9,FORSIDE!$B$5&gt;=9),"2210 -&gt; 2221","")</f>
        <v/>
      </c>
      <c r="C4230" t="str">
        <f>FORSIDE!$C$3</f>
        <v>S355, Stål / VFHUP 140x140x8.0</v>
      </c>
    </row>
    <row r="4231" spans="1:3" x14ac:dyDescent="0.3">
      <c r="A4231" t="str">
        <f>IF(AND(FORSIDE!$B$8&gt;=12,FORSIDE!$F$8&gt;=9,FORSIDE!$B$5&gt;=10),"S4230","")</f>
        <v/>
      </c>
      <c r="B4231" t="str">
        <f>IF(AND(FORSIDE!$B$8&gt;=12,FORSIDE!$F$8&gt;=9,FORSIDE!$B$5&gt;=10),"2211 -&gt; 2222","")</f>
        <v/>
      </c>
      <c r="C4231" t="str">
        <f>FORSIDE!$C$3</f>
        <v>S355, Stål / VFHUP 140x140x8.0</v>
      </c>
    </row>
    <row r="4232" spans="1:3" x14ac:dyDescent="0.3">
      <c r="A4232" t="str">
        <f>IF(AND(FORSIDE!$B$8&gt;=13,FORSIDE!$F$8&gt;=9,FORSIDE!$B$5&gt;=1),"S4231","")</f>
        <v/>
      </c>
      <c r="B4232" t="str">
        <f>IF(AND(FORSIDE!$B$8&gt;=13,FORSIDE!$F$8&gt;=9,FORSIDE!$B$5&gt;=1),"2213 -&gt; 2224","")</f>
        <v/>
      </c>
      <c r="C4232" t="str">
        <f>FORSIDE!$C$3</f>
        <v>S355, Stål / VFHUP 140x140x8.0</v>
      </c>
    </row>
    <row r="4233" spans="1:3" x14ac:dyDescent="0.3">
      <c r="A4233" t="str">
        <f>IF(AND(FORSIDE!$B$8&gt;=13,FORSIDE!$F$8&gt;=9,FORSIDE!$B$5&gt;=2),"S4232","")</f>
        <v/>
      </c>
      <c r="B4233" t="str">
        <f>IF(AND(FORSIDE!$B$8&gt;=13,FORSIDE!$F$8&gt;=9,FORSIDE!$B$5&gt;=2),"2214 -&gt; 2225","")</f>
        <v/>
      </c>
      <c r="C4233" t="str">
        <f>FORSIDE!$C$3</f>
        <v>S355, Stål / VFHUP 140x140x8.0</v>
      </c>
    </row>
    <row r="4234" spans="1:3" x14ac:dyDescent="0.3">
      <c r="A4234" t="str">
        <f>IF(AND(FORSIDE!$B$8&gt;=13,FORSIDE!$F$8&gt;=9,FORSIDE!$B$5&gt;=3),"S4233","")</f>
        <v/>
      </c>
      <c r="B4234" t="str">
        <f>IF(AND(FORSIDE!$B$8&gt;=13,FORSIDE!$F$8&gt;=9,FORSIDE!$B$5&gt;=3),"2215 -&gt; 2226","")</f>
        <v/>
      </c>
      <c r="C4234" t="str">
        <f>FORSIDE!$C$3</f>
        <v>S355, Stål / VFHUP 140x140x8.0</v>
      </c>
    </row>
    <row r="4235" spans="1:3" x14ac:dyDescent="0.3">
      <c r="A4235" t="str">
        <f>IF(AND(FORSIDE!$B$8&gt;=13,FORSIDE!$F$8&gt;=9,FORSIDE!$B$5&gt;=4),"S4234","")</f>
        <v/>
      </c>
      <c r="B4235" t="str">
        <f>IF(AND(FORSIDE!$B$8&gt;=13,FORSIDE!$F$8&gt;=9,FORSIDE!$B$5&gt;=4),"2216 -&gt; 2227","")</f>
        <v/>
      </c>
      <c r="C4235" t="str">
        <f>FORSIDE!$C$3</f>
        <v>S355, Stål / VFHUP 140x140x8.0</v>
      </c>
    </row>
    <row r="4236" spans="1:3" x14ac:dyDescent="0.3">
      <c r="A4236" t="str">
        <f>IF(AND(FORSIDE!$B$8&gt;=13,FORSIDE!$F$8&gt;=9,FORSIDE!$B$5&gt;=5),"S4235","")</f>
        <v/>
      </c>
      <c r="B4236" t="str">
        <f>IF(AND(FORSIDE!$B$8&gt;=13,FORSIDE!$F$8&gt;=9,FORSIDE!$B$5&gt;=5),"2217 -&gt; 2228","")</f>
        <v/>
      </c>
      <c r="C4236" t="str">
        <f>FORSIDE!$C$3</f>
        <v>S355, Stål / VFHUP 140x140x8.0</v>
      </c>
    </row>
    <row r="4237" spans="1:3" x14ac:dyDescent="0.3">
      <c r="A4237" t="str">
        <f>IF(AND(FORSIDE!$B$8&gt;=13,FORSIDE!$F$8&gt;=9,FORSIDE!$B$5&gt;=6),"S4236","")</f>
        <v/>
      </c>
      <c r="B4237" t="str">
        <f>IF(AND(FORSIDE!$B$8&gt;=13,FORSIDE!$F$8&gt;=9,FORSIDE!$B$5&gt;=6),"2218 -&gt; 2229","")</f>
        <v/>
      </c>
      <c r="C4237" t="str">
        <f>FORSIDE!$C$3</f>
        <v>S355, Stål / VFHUP 140x140x8.0</v>
      </c>
    </row>
    <row r="4238" spans="1:3" x14ac:dyDescent="0.3">
      <c r="A4238" t="str">
        <f>IF(AND(FORSIDE!$B$8&gt;=13,FORSIDE!$F$8&gt;=9,FORSIDE!$B$5&gt;=7),"S4237","")</f>
        <v/>
      </c>
      <c r="B4238" t="str">
        <f>IF(AND(FORSIDE!$B$8&gt;=13,FORSIDE!$F$8&gt;=9,FORSIDE!$B$5&gt;=7),"2219 -&gt; 2230","")</f>
        <v/>
      </c>
      <c r="C4238" t="str">
        <f>FORSIDE!$C$3</f>
        <v>S355, Stål / VFHUP 140x140x8.0</v>
      </c>
    </row>
    <row r="4239" spans="1:3" x14ac:dyDescent="0.3">
      <c r="A4239" t="str">
        <f>IF(AND(FORSIDE!$B$8&gt;=13,FORSIDE!$F$8&gt;=9,FORSIDE!$B$5&gt;=8),"S4238","")</f>
        <v/>
      </c>
      <c r="B4239" t="str">
        <f>IF(AND(FORSIDE!$B$8&gt;=13,FORSIDE!$F$8&gt;=9,FORSIDE!$B$5&gt;=8),"2220 -&gt; 2231","")</f>
        <v/>
      </c>
      <c r="C4239" t="str">
        <f>FORSIDE!$C$3</f>
        <v>S355, Stål / VFHUP 140x140x8.0</v>
      </c>
    </row>
    <row r="4240" spans="1:3" x14ac:dyDescent="0.3">
      <c r="A4240" t="str">
        <f>IF(AND(FORSIDE!$B$8&gt;=13,FORSIDE!$F$8&gt;=9,FORSIDE!$B$5&gt;=9),"S4239","")</f>
        <v/>
      </c>
      <c r="B4240" t="str">
        <f>IF(AND(FORSIDE!$B$8&gt;=13,FORSIDE!$F$8&gt;=9,FORSIDE!$B$5&gt;=9),"2221 -&gt; 2232","")</f>
        <v/>
      </c>
      <c r="C4240" t="str">
        <f>FORSIDE!$C$3</f>
        <v>S355, Stål / VFHUP 140x140x8.0</v>
      </c>
    </row>
    <row r="4241" spans="1:3" x14ac:dyDescent="0.3">
      <c r="A4241" t="str">
        <f>IF(AND(FORSIDE!$B$8&gt;=13,FORSIDE!$F$8&gt;=9,FORSIDE!$B$5&gt;=10),"S4240","")</f>
        <v/>
      </c>
      <c r="B4241" t="str">
        <f>IF(AND(FORSIDE!$B$8&gt;=13,FORSIDE!$F$8&gt;=9,FORSIDE!$B$5&gt;=10),"2222 -&gt; 2233","")</f>
        <v/>
      </c>
      <c r="C4241" t="str">
        <f>FORSIDE!$C$3</f>
        <v>S355, Stål / VFHUP 140x140x8.0</v>
      </c>
    </row>
    <row r="4242" spans="1:3" x14ac:dyDescent="0.3">
      <c r="A4242" t="str">
        <f>IF(AND(FORSIDE!$B$8&gt;=14,FORSIDE!$F$8&gt;=9,FORSIDE!$B$5&gt;=1),"S4241","")</f>
        <v/>
      </c>
      <c r="B4242" t="str">
        <f>IF(AND(FORSIDE!$B$8&gt;=14,FORSIDE!$F$8&gt;=9,FORSIDE!$B$5&gt;=1),"2224 -&gt; 2235","")</f>
        <v/>
      </c>
      <c r="C4242" t="str">
        <f>FORSIDE!$C$3</f>
        <v>S355, Stål / VFHUP 140x140x8.0</v>
      </c>
    </row>
    <row r="4243" spans="1:3" x14ac:dyDescent="0.3">
      <c r="A4243" t="str">
        <f>IF(AND(FORSIDE!$B$8&gt;=14,FORSIDE!$F$8&gt;=9,FORSIDE!$B$5&gt;=2),"S4242","")</f>
        <v/>
      </c>
      <c r="B4243" t="str">
        <f>IF(AND(FORSIDE!$B$8&gt;=14,FORSIDE!$F$8&gt;=9,FORSIDE!$B$5&gt;=2),"2225 -&gt; 2236","")</f>
        <v/>
      </c>
      <c r="C4243" t="str">
        <f>FORSIDE!$C$3</f>
        <v>S355, Stål / VFHUP 140x140x8.0</v>
      </c>
    </row>
    <row r="4244" spans="1:3" x14ac:dyDescent="0.3">
      <c r="A4244" t="str">
        <f>IF(AND(FORSIDE!$B$8&gt;=14,FORSIDE!$F$8&gt;=9,FORSIDE!$B$5&gt;=3),"S4243","")</f>
        <v/>
      </c>
      <c r="B4244" t="str">
        <f>IF(AND(FORSIDE!$B$8&gt;=14,FORSIDE!$F$8&gt;=9,FORSIDE!$B$5&gt;=3),"2226 -&gt; 2237","")</f>
        <v/>
      </c>
      <c r="C4244" t="str">
        <f>FORSIDE!$C$3</f>
        <v>S355, Stål / VFHUP 140x140x8.0</v>
      </c>
    </row>
    <row r="4245" spans="1:3" x14ac:dyDescent="0.3">
      <c r="A4245" t="str">
        <f>IF(AND(FORSIDE!$B$8&gt;=14,FORSIDE!$F$8&gt;=9,FORSIDE!$B$5&gt;=4),"S4244","")</f>
        <v/>
      </c>
      <c r="B4245" t="str">
        <f>IF(AND(FORSIDE!$B$8&gt;=14,FORSIDE!$F$8&gt;=9,FORSIDE!$B$5&gt;=4),"2227 -&gt; 2238","")</f>
        <v/>
      </c>
      <c r="C4245" t="str">
        <f>FORSIDE!$C$3</f>
        <v>S355, Stål / VFHUP 140x140x8.0</v>
      </c>
    </row>
    <row r="4246" spans="1:3" x14ac:dyDescent="0.3">
      <c r="A4246" t="str">
        <f>IF(AND(FORSIDE!$B$8&gt;=14,FORSIDE!$F$8&gt;=9,FORSIDE!$B$5&gt;=5),"S4245","")</f>
        <v/>
      </c>
      <c r="B4246" t="str">
        <f>IF(AND(FORSIDE!$B$8&gt;=14,FORSIDE!$F$8&gt;=9,FORSIDE!$B$5&gt;=5),"2228 -&gt; 2239","")</f>
        <v/>
      </c>
      <c r="C4246" t="str">
        <f>FORSIDE!$C$3</f>
        <v>S355, Stål / VFHUP 140x140x8.0</v>
      </c>
    </row>
    <row r="4247" spans="1:3" x14ac:dyDescent="0.3">
      <c r="A4247" t="str">
        <f>IF(AND(FORSIDE!$B$8&gt;=14,FORSIDE!$F$8&gt;=9,FORSIDE!$B$5&gt;=6),"S4246","")</f>
        <v/>
      </c>
      <c r="B4247" t="str">
        <f>IF(AND(FORSIDE!$B$8&gt;=14,FORSIDE!$F$8&gt;=9,FORSIDE!$B$5&gt;=6),"2229 -&gt; 2240","")</f>
        <v/>
      </c>
      <c r="C4247" t="str">
        <f>FORSIDE!$C$3</f>
        <v>S355, Stål / VFHUP 140x140x8.0</v>
      </c>
    </row>
    <row r="4248" spans="1:3" x14ac:dyDescent="0.3">
      <c r="A4248" t="str">
        <f>IF(AND(FORSIDE!$B$8&gt;=14,FORSIDE!$F$8&gt;=9,FORSIDE!$B$5&gt;=7),"S4247","")</f>
        <v/>
      </c>
      <c r="B4248" t="str">
        <f>IF(AND(FORSIDE!$B$8&gt;=14,FORSIDE!$F$8&gt;=9,FORSIDE!$B$5&gt;=7),"2230 -&gt; 2241","")</f>
        <v/>
      </c>
      <c r="C4248" t="str">
        <f>FORSIDE!$C$3</f>
        <v>S355, Stål / VFHUP 140x140x8.0</v>
      </c>
    </row>
    <row r="4249" spans="1:3" x14ac:dyDescent="0.3">
      <c r="A4249" t="str">
        <f>IF(AND(FORSIDE!$B$8&gt;=14,FORSIDE!$F$8&gt;=9,FORSIDE!$B$5&gt;=8),"S4248","")</f>
        <v/>
      </c>
      <c r="B4249" t="str">
        <f>IF(AND(FORSIDE!$B$8&gt;=14,FORSIDE!$F$8&gt;=9,FORSIDE!$B$5&gt;=8),"2231 -&gt; 2242","")</f>
        <v/>
      </c>
      <c r="C4249" t="str">
        <f>FORSIDE!$C$3</f>
        <v>S355, Stål / VFHUP 140x140x8.0</v>
      </c>
    </row>
    <row r="4250" spans="1:3" x14ac:dyDescent="0.3">
      <c r="A4250" t="str">
        <f>IF(AND(FORSIDE!$B$8&gt;=14,FORSIDE!$F$8&gt;=9,FORSIDE!$B$5&gt;=9),"S4249","")</f>
        <v/>
      </c>
      <c r="B4250" t="str">
        <f>IF(AND(FORSIDE!$B$8&gt;=14,FORSIDE!$F$8&gt;=9,FORSIDE!$B$5&gt;=9),"2232 -&gt; 2243","")</f>
        <v/>
      </c>
      <c r="C4250" t="str">
        <f>FORSIDE!$C$3</f>
        <v>S355, Stål / VFHUP 140x140x8.0</v>
      </c>
    </row>
    <row r="4251" spans="1:3" x14ac:dyDescent="0.3">
      <c r="A4251" t="str">
        <f>IF(AND(FORSIDE!$B$8&gt;=14,FORSIDE!$F$8&gt;=9,FORSIDE!$B$5&gt;=10),"S4250","")</f>
        <v/>
      </c>
      <c r="B4251" t="str">
        <f>IF(AND(FORSIDE!$B$8&gt;=14,FORSIDE!$F$8&gt;=9,FORSIDE!$B$5&gt;=10),"2233 -&gt; 2244","")</f>
        <v/>
      </c>
      <c r="C4251" t="str">
        <f>FORSIDE!$C$3</f>
        <v>S355, Stål / VFHUP 140x140x8.0</v>
      </c>
    </row>
    <row r="4252" spans="1:3" x14ac:dyDescent="0.3">
      <c r="A4252" t="str">
        <f>IF(AND(FORSIDE!$B$8&gt;=15,FORSIDE!$F$8&gt;=9,FORSIDE!$B$5&gt;=1),"S4251","")</f>
        <v/>
      </c>
      <c r="B4252" t="str">
        <f>IF(AND(FORSIDE!$B$8&gt;=15,FORSIDE!$F$8&gt;=9,FORSIDE!$B$5&gt;=1),"2235 -&gt; 2246","")</f>
        <v/>
      </c>
      <c r="C4252" t="str">
        <f>FORSIDE!$C$3</f>
        <v>S355, Stål / VFHUP 140x140x8.0</v>
      </c>
    </row>
    <row r="4253" spans="1:3" x14ac:dyDescent="0.3">
      <c r="A4253" t="str">
        <f>IF(AND(FORSIDE!$B$8&gt;=15,FORSIDE!$F$8&gt;=9,FORSIDE!$B$5&gt;=2),"S4252","")</f>
        <v/>
      </c>
      <c r="B4253" t="str">
        <f>IF(AND(FORSIDE!$B$8&gt;=15,FORSIDE!$F$8&gt;=9,FORSIDE!$B$5&gt;=2),"2236 -&gt; 2247","")</f>
        <v/>
      </c>
      <c r="C4253" t="str">
        <f>FORSIDE!$C$3</f>
        <v>S355, Stål / VFHUP 140x140x8.0</v>
      </c>
    </row>
    <row r="4254" spans="1:3" x14ac:dyDescent="0.3">
      <c r="A4254" t="str">
        <f>IF(AND(FORSIDE!$B$8&gt;=15,FORSIDE!$F$8&gt;=9,FORSIDE!$B$5&gt;=3),"S4253","")</f>
        <v/>
      </c>
      <c r="B4254" t="str">
        <f>IF(AND(FORSIDE!$B$8&gt;=15,FORSIDE!$F$8&gt;=9,FORSIDE!$B$5&gt;=3),"2237 -&gt; 2248","")</f>
        <v/>
      </c>
      <c r="C4254" t="str">
        <f>FORSIDE!$C$3</f>
        <v>S355, Stål / VFHUP 140x140x8.0</v>
      </c>
    </row>
    <row r="4255" spans="1:3" x14ac:dyDescent="0.3">
      <c r="A4255" t="str">
        <f>IF(AND(FORSIDE!$B$8&gt;=15,FORSIDE!$F$8&gt;=9,FORSIDE!$B$5&gt;=4),"S4254","")</f>
        <v/>
      </c>
      <c r="B4255" t="str">
        <f>IF(AND(FORSIDE!$B$8&gt;=15,FORSIDE!$F$8&gt;=9,FORSIDE!$B$5&gt;=4),"2238 -&gt; 2249","")</f>
        <v/>
      </c>
      <c r="C4255" t="str">
        <f>FORSIDE!$C$3</f>
        <v>S355, Stål / VFHUP 140x140x8.0</v>
      </c>
    </row>
    <row r="4256" spans="1:3" x14ac:dyDescent="0.3">
      <c r="A4256" t="str">
        <f>IF(AND(FORSIDE!$B$8&gt;=15,FORSIDE!$F$8&gt;=9,FORSIDE!$B$5&gt;=5),"S4255","")</f>
        <v/>
      </c>
      <c r="B4256" t="str">
        <f>IF(AND(FORSIDE!$B$8&gt;=15,FORSIDE!$F$8&gt;=9,FORSIDE!$B$5&gt;=5),"2239 -&gt; 2250","")</f>
        <v/>
      </c>
      <c r="C4256" t="str">
        <f>FORSIDE!$C$3</f>
        <v>S355, Stål / VFHUP 140x140x8.0</v>
      </c>
    </row>
    <row r="4257" spans="1:3" x14ac:dyDescent="0.3">
      <c r="A4257" t="str">
        <f>IF(AND(FORSIDE!$B$8&gt;=15,FORSIDE!$F$8&gt;=9,FORSIDE!$B$5&gt;=6),"S4256","")</f>
        <v/>
      </c>
      <c r="B4257" t="str">
        <f>IF(AND(FORSIDE!$B$8&gt;=15,FORSIDE!$F$8&gt;=9,FORSIDE!$B$5&gt;=6),"2240 -&gt; 2251","")</f>
        <v/>
      </c>
      <c r="C4257" t="str">
        <f>FORSIDE!$C$3</f>
        <v>S355, Stål / VFHUP 140x140x8.0</v>
      </c>
    </row>
    <row r="4258" spans="1:3" x14ac:dyDescent="0.3">
      <c r="A4258" t="str">
        <f>IF(AND(FORSIDE!$B$8&gt;=15,FORSIDE!$F$8&gt;=9,FORSIDE!$B$5&gt;=7),"S4257","")</f>
        <v/>
      </c>
      <c r="B4258" t="str">
        <f>IF(AND(FORSIDE!$B$8&gt;=15,FORSIDE!$F$8&gt;=9,FORSIDE!$B$5&gt;=7),"2241 -&gt; 2252","")</f>
        <v/>
      </c>
      <c r="C4258" t="str">
        <f>FORSIDE!$C$3</f>
        <v>S355, Stål / VFHUP 140x140x8.0</v>
      </c>
    </row>
    <row r="4259" spans="1:3" x14ac:dyDescent="0.3">
      <c r="A4259" t="str">
        <f>IF(AND(FORSIDE!$B$8&gt;=15,FORSIDE!$F$8&gt;=9,FORSIDE!$B$5&gt;=8),"S4258","")</f>
        <v/>
      </c>
      <c r="B4259" t="str">
        <f>IF(AND(FORSIDE!$B$8&gt;=15,FORSIDE!$F$8&gt;=9,FORSIDE!$B$5&gt;=8),"2242 -&gt; 2253","")</f>
        <v/>
      </c>
      <c r="C4259" t="str">
        <f>FORSIDE!$C$3</f>
        <v>S355, Stål / VFHUP 140x140x8.0</v>
      </c>
    </row>
    <row r="4260" spans="1:3" x14ac:dyDescent="0.3">
      <c r="A4260" t="str">
        <f>IF(AND(FORSIDE!$B$8&gt;=15,FORSIDE!$F$8&gt;=9,FORSIDE!$B$5&gt;=9),"S4259","")</f>
        <v/>
      </c>
      <c r="B4260" t="str">
        <f>IF(AND(FORSIDE!$B$8&gt;=15,FORSIDE!$F$8&gt;=9,FORSIDE!$B$5&gt;=9),"2243 -&gt; 2254","")</f>
        <v/>
      </c>
      <c r="C4260" t="str">
        <f>FORSIDE!$C$3</f>
        <v>S355, Stål / VFHUP 140x140x8.0</v>
      </c>
    </row>
    <row r="4261" spans="1:3" x14ac:dyDescent="0.3">
      <c r="A4261" t="str">
        <f>IF(AND(FORSIDE!$B$8&gt;=15,FORSIDE!$F$8&gt;=9,FORSIDE!$B$5&gt;=10),"S4260","")</f>
        <v/>
      </c>
      <c r="B4261" t="str">
        <f>IF(AND(FORSIDE!$B$8&gt;=15,FORSIDE!$F$8&gt;=9,FORSIDE!$B$5&gt;=10),"2244 -&gt; 2255","")</f>
        <v/>
      </c>
      <c r="C4261" t="str">
        <f>FORSIDE!$C$3</f>
        <v>S355, Stål / VFHUP 140x140x8.0</v>
      </c>
    </row>
    <row r="4262" spans="1:3" x14ac:dyDescent="0.3">
      <c r="A4262" t="str">
        <f>IF(AND(FORSIDE!$B$8&gt;=16,FORSIDE!$F$8&gt;=9,FORSIDE!$B$5&gt;=1),"S4261","")</f>
        <v/>
      </c>
      <c r="B4262" t="str">
        <f>IF(AND(FORSIDE!$B$8&gt;=16,FORSIDE!$F$8&gt;=9,FORSIDE!$B$5&gt;=1),"2246 -&gt; 2257","")</f>
        <v/>
      </c>
      <c r="C4262" t="str">
        <f>FORSIDE!$C$3</f>
        <v>S355, Stål / VFHUP 140x140x8.0</v>
      </c>
    </row>
    <row r="4263" spans="1:3" x14ac:dyDescent="0.3">
      <c r="A4263" t="str">
        <f>IF(AND(FORSIDE!$B$8&gt;=16,FORSIDE!$F$8&gt;=9,FORSIDE!$B$5&gt;=2),"S4262","")</f>
        <v/>
      </c>
      <c r="B4263" t="str">
        <f>IF(AND(FORSIDE!$B$8&gt;=16,FORSIDE!$F$8&gt;=9,FORSIDE!$B$5&gt;=2),"2247 -&gt; 2258","")</f>
        <v/>
      </c>
      <c r="C4263" t="str">
        <f>FORSIDE!$C$3</f>
        <v>S355, Stål / VFHUP 140x140x8.0</v>
      </c>
    </row>
    <row r="4264" spans="1:3" x14ac:dyDescent="0.3">
      <c r="A4264" t="str">
        <f>IF(AND(FORSIDE!$B$8&gt;=16,FORSIDE!$F$8&gt;=9,FORSIDE!$B$5&gt;=3),"S4263","")</f>
        <v/>
      </c>
      <c r="B4264" t="str">
        <f>IF(AND(FORSIDE!$B$8&gt;=16,FORSIDE!$F$8&gt;=9,FORSIDE!$B$5&gt;=3),"2248 -&gt; 2259","")</f>
        <v/>
      </c>
      <c r="C4264" t="str">
        <f>FORSIDE!$C$3</f>
        <v>S355, Stål / VFHUP 140x140x8.0</v>
      </c>
    </row>
    <row r="4265" spans="1:3" x14ac:dyDescent="0.3">
      <c r="A4265" t="str">
        <f>IF(AND(FORSIDE!$B$8&gt;=16,FORSIDE!$F$8&gt;=9,FORSIDE!$B$5&gt;=4),"S4264","")</f>
        <v/>
      </c>
      <c r="B4265" t="str">
        <f>IF(AND(FORSIDE!$B$8&gt;=16,FORSIDE!$F$8&gt;=9,FORSIDE!$B$5&gt;=4),"2249 -&gt; 2260","")</f>
        <v/>
      </c>
      <c r="C4265" t="str">
        <f>FORSIDE!$C$3</f>
        <v>S355, Stål / VFHUP 140x140x8.0</v>
      </c>
    </row>
    <row r="4266" spans="1:3" x14ac:dyDescent="0.3">
      <c r="A4266" t="str">
        <f>IF(AND(FORSIDE!$B$8&gt;=16,FORSIDE!$F$8&gt;=9,FORSIDE!$B$5&gt;=5),"S4265","")</f>
        <v/>
      </c>
      <c r="B4266" t="str">
        <f>IF(AND(FORSIDE!$B$8&gt;=16,FORSIDE!$F$8&gt;=9,FORSIDE!$B$5&gt;=5),"2250 -&gt; 2261","")</f>
        <v/>
      </c>
      <c r="C4266" t="str">
        <f>FORSIDE!$C$3</f>
        <v>S355, Stål / VFHUP 140x140x8.0</v>
      </c>
    </row>
    <row r="4267" spans="1:3" x14ac:dyDescent="0.3">
      <c r="A4267" t="str">
        <f>IF(AND(FORSIDE!$B$8&gt;=16,FORSIDE!$F$8&gt;=9,FORSIDE!$B$5&gt;=6),"S4266","")</f>
        <v/>
      </c>
      <c r="B4267" t="str">
        <f>IF(AND(FORSIDE!$B$8&gt;=16,FORSIDE!$F$8&gt;=9,FORSIDE!$B$5&gt;=6),"2251 -&gt; 2262","")</f>
        <v/>
      </c>
      <c r="C4267" t="str">
        <f>FORSIDE!$C$3</f>
        <v>S355, Stål / VFHUP 140x140x8.0</v>
      </c>
    </row>
    <row r="4268" spans="1:3" x14ac:dyDescent="0.3">
      <c r="A4268" t="str">
        <f>IF(AND(FORSIDE!$B$8&gt;=16,FORSIDE!$F$8&gt;=9,FORSIDE!$B$5&gt;=7),"S4267","")</f>
        <v/>
      </c>
      <c r="B4268" t="str">
        <f>IF(AND(FORSIDE!$B$8&gt;=16,FORSIDE!$F$8&gt;=9,FORSIDE!$B$5&gt;=7),"2252 -&gt; 2263","")</f>
        <v/>
      </c>
      <c r="C4268" t="str">
        <f>FORSIDE!$C$3</f>
        <v>S355, Stål / VFHUP 140x140x8.0</v>
      </c>
    </row>
    <row r="4269" spans="1:3" x14ac:dyDescent="0.3">
      <c r="A4269" t="str">
        <f>IF(AND(FORSIDE!$B$8&gt;=16,FORSIDE!$F$8&gt;=9,FORSIDE!$B$5&gt;=8),"S4268","")</f>
        <v/>
      </c>
      <c r="B4269" t="str">
        <f>IF(AND(FORSIDE!$B$8&gt;=16,FORSIDE!$F$8&gt;=9,FORSIDE!$B$5&gt;=8),"2253 -&gt; 2264","")</f>
        <v/>
      </c>
      <c r="C4269" t="str">
        <f>FORSIDE!$C$3</f>
        <v>S355, Stål / VFHUP 140x140x8.0</v>
      </c>
    </row>
    <row r="4270" spans="1:3" x14ac:dyDescent="0.3">
      <c r="A4270" t="str">
        <f>IF(AND(FORSIDE!$B$8&gt;=16,FORSIDE!$F$8&gt;=9,FORSIDE!$B$5&gt;=9),"S4269","")</f>
        <v/>
      </c>
      <c r="B4270" t="str">
        <f>IF(AND(FORSIDE!$B$8&gt;=16,FORSIDE!$F$8&gt;=9,FORSIDE!$B$5&gt;=9),"2254 -&gt; 2265","")</f>
        <v/>
      </c>
      <c r="C4270" t="str">
        <f>FORSIDE!$C$3</f>
        <v>S355, Stål / VFHUP 140x140x8.0</v>
      </c>
    </row>
    <row r="4271" spans="1:3" x14ac:dyDescent="0.3">
      <c r="A4271" t="str">
        <f>IF(AND(FORSIDE!$B$8&gt;=16,FORSIDE!$F$8&gt;=9,FORSIDE!$B$5&gt;=10),"S4270","")</f>
        <v/>
      </c>
      <c r="B4271" t="str">
        <f>IF(AND(FORSIDE!$B$8&gt;=16,FORSIDE!$F$8&gt;=9,FORSIDE!$B$5&gt;=10),"2255 -&gt; 2266","")</f>
        <v/>
      </c>
      <c r="C4271" t="str">
        <f>FORSIDE!$C$3</f>
        <v>S355, Stål / VFHUP 140x140x8.0</v>
      </c>
    </row>
    <row r="4272" spans="1:3" x14ac:dyDescent="0.3">
      <c r="A4272" t="str">
        <f>IF(AND(FORSIDE!$B$8&gt;=17,FORSIDE!$F$8&gt;=9,FORSIDE!$B$5&gt;=1),"S4271","")</f>
        <v/>
      </c>
      <c r="B4272" t="str">
        <f>IF(AND(FORSIDE!$B$8&gt;=17,FORSIDE!$F$8&gt;=9,FORSIDE!$B$5&gt;=1),"2257 -&gt; 2268","")</f>
        <v/>
      </c>
      <c r="C4272" t="str">
        <f>FORSIDE!$C$3</f>
        <v>S355, Stål / VFHUP 140x140x8.0</v>
      </c>
    </row>
    <row r="4273" spans="1:3" x14ac:dyDescent="0.3">
      <c r="A4273" t="str">
        <f>IF(AND(FORSIDE!$B$8&gt;=17,FORSIDE!$F$8&gt;=9,FORSIDE!$B$5&gt;=2),"S4272","")</f>
        <v/>
      </c>
      <c r="B4273" t="str">
        <f>IF(AND(FORSIDE!$B$8&gt;=17,FORSIDE!$F$8&gt;=9,FORSIDE!$B$5&gt;=2),"2258 -&gt; 2269","")</f>
        <v/>
      </c>
      <c r="C4273" t="str">
        <f>FORSIDE!$C$3</f>
        <v>S355, Stål / VFHUP 140x140x8.0</v>
      </c>
    </row>
    <row r="4274" spans="1:3" x14ac:dyDescent="0.3">
      <c r="A4274" t="str">
        <f>IF(AND(FORSIDE!$B$8&gt;=17,FORSIDE!$F$8&gt;=9,FORSIDE!$B$5&gt;=3),"S4273","")</f>
        <v/>
      </c>
      <c r="B4274" t="str">
        <f>IF(AND(FORSIDE!$B$8&gt;=17,FORSIDE!$F$8&gt;=9,FORSIDE!$B$5&gt;=3),"2259 -&gt; 2270","")</f>
        <v/>
      </c>
      <c r="C4274" t="str">
        <f>FORSIDE!$C$3</f>
        <v>S355, Stål / VFHUP 140x140x8.0</v>
      </c>
    </row>
    <row r="4275" spans="1:3" x14ac:dyDescent="0.3">
      <c r="A4275" t="str">
        <f>IF(AND(FORSIDE!$B$8&gt;=17,FORSIDE!$F$8&gt;=9,FORSIDE!$B$5&gt;=4),"S4274","")</f>
        <v/>
      </c>
      <c r="B4275" t="str">
        <f>IF(AND(FORSIDE!$B$8&gt;=17,FORSIDE!$F$8&gt;=9,FORSIDE!$B$5&gt;=4),"2260 -&gt; 2271","")</f>
        <v/>
      </c>
      <c r="C4275" t="str">
        <f>FORSIDE!$C$3</f>
        <v>S355, Stål / VFHUP 140x140x8.0</v>
      </c>
    </row>
    <row r="4276" spans="1:3" x14ac:dyDescent="0.3">
      <c r="A4276" t="str">
        <f>IF(AND(FORSIDE!$B$8&gt;=17,FORSIDE!$F$8&gt;=9,FORSIDE!$B$5&gt;=5),"S4275","")</f>
        <v/>
      </c>
      <c r="B4276" t="str">
        <f>IF(AND(FORSIDE!$B$8&gt;=17,FORSIDE!$F$8&gt;=9,FORSIDE!$B$5&gt;=5),"2261 -&gt; 2272","")</f>
        <v/>
      </c>
      <c r="C4276" t="str">
        <f>FORSIDE!$C$3</f>
        <v>S355, Stål / VFHUP 140x140x8.0</v>
      </c>
    </row>
    <row r="4277" spans="1:3" x14ac:dyDescent="0.3">
      <c r="A4277" t="str">
        <f>IF(AND(FORSIDE!$B$8&gt;=17,FORSIDE!$F$8&gt;=9,FORSIDE!$B$5&gt;=6),"S4276","")</f>
        <v/>
      </c>
      <c r="B4277" t="str">
        <f>IF(AND(FORSIDE!$B$8&gt;=17,FORSIDE!$F$8&gt;=9,FORSIDE!$B$5&gt;=6),"2262 -&gt; 2273","")</f>
        <v/>
      </c>
      <c r="C4277" t="str">
        <f>FORSIDE!$C$3</f>
        <v>S355, Stål / VFHUP 140x140x8.0</v>
      </c>
    </row>
    <row r="4278" spans="1:3" x14ac:dyDescent="0.3">
      <c r="A4278" t="str">
        <f>IF(AND(FORSIDE!$B$8&gt;=17,FORSIDE!$F$8&gt;=9,FORSIDE!$B$5&gt;=7),"S4277","")</f>
        <v/>
      </c>
      <c r="B4278" t="str">
        <f>IF(AND(FORSIDE!$B$8&gt;=17,FORSIDE!$F$8&gt;=9,FORSIDE!$B$5&gt;=7),"2263 -&gt; 2274","")</f>
        <v/>
      </c>
      <c r="C4278" t="str">
        <f>FORSIDE!$C$3</f>
        <v>S355, Stål / VFHUP 140x140x8.0</v>
      </c>
    </row>
    <row r="4279" spans="1:3" x14ac:dyDescent="0.3">
      <c r="A4279" t="str">
        <f>IF(AND(FORSIDE!$B$8&gt;=17,FORSIDE!$F$8&gt;=9,FORSIDE!$B$5&gt;=8),"S4278","")</f>
        <v/>
      </c>
      <c r="B4279" t="str">
        <f>IF(AND(FORSIDE!$B$8&gt;=17,FORSIDE!$F$8&gt;=9,FORSIDE!$B$5&gt;=8),"2264 -&gt; 2275","")</f>
        <v/>
      </c>
      <c r="C4279" t="str">
        <f>FORSIDE!$C$3</f>
        <v>S355, Stål / VFHUP 140x140x8.0</v>
      </c>
    </row>
    <row r="4280" spans="1:3" x14ac:dyDescent="0.3">
      <c r="A4280" t="str">
        <f>IF(AND(FORSIDE!$B$8&gt;=17,FORSIDE!$F$8&gt;=9,FORSIDE!$B$5&gt;=9),"S4279","")</f>
        <v/>
      </c>
      <c r="B4280" t="str">
        <f>IF(AND(FORSIDE!$B$8&gt;=17,FORSIDE!$F$8&gt;=9,FORSIDE!$B$5&gt;=9),"2265 -&gt; 2276","")</f>
        <v/>
      </c>
      <c r="C4280" t="str">
        <f>FORSIDE!$C$3</f>
        <v>S355, Stål / VFHUP 140x140x8.0</v>
      </c>
    </row>
    <row r="4281" spans="1:3" x14ac:dyDescent="0.3">
      <c r="A4281" t="str">
        <f>IF(AND(FORSIDE!$B$8&gt;=17,FORSIDE!$F$8&gt;=9,FORSIDE!$B$5&gt;=10),"S4280","")</f>
        <v/>
      </c>
      <c r="B4281" t="str">
        <f>IF(AND(FORSIDE!$B$8&gt;=17,FORSIDE!$F$8&gt;=9,FORSIDE!$B$5&gt;=10),"2266 -&gt; 2277","")</f>
        <v/>
      </c>
      <c r="C4281" t="str">
        <f>FORSIDE!$C$3</f>
        <v>S355, Stål / VFHUP 140x140x8.0</v>
      </c>
    </row>
    <row r="4282" spans="1:3" x14ac:dyDescent="0.3">
      <c r="A4282" t="str">
        <f>IF(AND(FORSIDE!$B$8&gt;=18,FORSIDE!$F$8&gt;=9,FORSIDE!$B$5&gt;=1),"S4281","")</f>
        <v/>
      </c>
      <c r="B4282" t="str">
        <f>IF(AND(FORSIDE!$B$8&gt;=18,FORSIDE!$F$8&gt;=9,FORSIDE!$B$5&gt;=1),"2268 -&gt; 2279","")</f>
        <v/>
      </c>
      <c r="C4282" t="str">
        <f>FORSIDE!$C$3</f>
        <v>S355, Stål / VFHUP 140x140x8.0</v>
      </c>
    </row>
    <row r="4283" spans="1:3" x14ac:dyDescent="0.3">
      <c r="A4283" t="str">
        <f>IF(AND(FORSIDE!$B$8&gt;=18,FORSIDE!$F$8&gt;=9,FORSIDE!$B$5&gt;=2),"S4282","")</f>
        <v/>
      </c>
      <c r="B4283" t="str">
        <f>IF(AND(FORSIDE!$B$8&gt;=18,FORSIDE!$F$8&gt;=9,FORSIDE!$B$5&gt;=2),"2269 -&gt; 2280","")</f>
        <v/>
      </c>
      <c r="C4283" t="str">
        <f>FORSIDE!$C$3</f>
        <v>S355, Stål / VFHUP 140x140x8.0</v>
      </c>
    </row>
    <row r="4284" spans="1:3" x14ac:dyDescent="0.3">
      <c r="A4284" t="str">
        <f>IF(AND(FORSIDE!$B$8&gt;=18,FORSIDE!$F$8&gt;=9,FORSIDE!$B$5&gt;=3),"S4283","")</f>
        <v/>
      </c>
      <c r="B4284" t="str">
        <f>IF(AND(FORSIDE!$B$8&gt;=18,FORSIDE!$F$8&gt;=9,FORSIDE!$B$5&gt;=3),"2270 -&gt; 2281","")</f>
        <v/>
      </c>
      <c r="C4284" t="str">
        <f>FORSIDE!$C$3</f>
        <v>S355, Stål / VFHUP 140x140x8.0</v>
      </c>
    </row>
    <row r="4285" spans="1:3" x14ac:dyDescent="0.3">
      <c r="A4285" t="str">
        <f>IF(AND(FORSIDE!$B$8&gt;=18,FORSIDE!$F$8&gt;=9,FORSIDE!$B$5&gt;=4),"S4284","")</f>
        <v/>
      </c>
      <c r="B4285" t="str">
        <f>IF(AND(FORSIDE!$B$8&gt;=18,FORSIDE!$F$8&gt;=9,FORSIDE!$B$5&gt;=4),"2271 -&gt; 2282","")</f>
        <v/>
      </c>
      <c r="C4285" t="str">
        <f>FORSIDE!$C$3</f>
        <v>S355, Stål / VFHUP 140x140x8.0</v>
      </c>
    </row>
    <row r="4286" spans="1:3" x14ac:dyDescent="0.3">
      <c r="A4286" t="str">
        <f>IF(AND(FORSIDE!$B$8&gt;=18,FORSIDE!$F$8&gt;=9,FORSIDE!$B$5&gt;=5),"S4285","")</f>
        <v/>
      </c>
      <c r="B4286" t="str">
        <f>IF(AND(FORSIDE!$B$8&gt;=18,FORSIDE!$F$8&gt;=9,FORSIDE!$B$5&gt;=5),"2272 -&gt; 2283","")</f>
        <v/>
      </c>
      <c r="C4286" t="str">
        <f>FORSIDE!$C$3</f>
        <v>S355, Stål / VFHUP 140x140x8.0</v>
      </c>
    </row>
    <row r="4287" spans="1:3" x14ac:dyDescent="0.3">
      <c r="A4287" t="str">
        <f>IF(AND(FORSIDE!$B$8&gt;=18,FORSIDE!$F$8&gt;=9,FORSIDE!$B$5&gt;=6),"S4286","")</f>
        <v/>
      </c>
      <c r="B4287" t="str">
        <f>IF(AND(FORSIDE!$B$8&gt;=18,FORSIDE!$F$8&gt;=9,FORSIDE!$B$5&gt;=6),"2273 -&gt; 2284","")</f>
        <v/>
      </c>
      <c r="C4287" t="str">
        <f>FORSIDE!$C$3</f>
        <v>S355, Stål / VFHUP 140x140x8.0</v>
      </c>
    </row>
    <row r="4288" spans="1:3" x14ac:dyDescent="0.3">
      <c r="A4288" t="str">
        <f>IF(AND(FORSIDE!$B$8&gt;=18,FORSIDE!$F$8&gt;=9,FORSIDE!$B$5&gt;=7),"S4287","")</f>
        <v/>
      </c>
      <c r="B4288" t="str">
        <f>IF(AND(FORSIDE!$B$8&gt;=18,FORSIDE!$F$8&gt;=9,FORSIDE!$B$5&gt;=7),"2274 -&gt; 2285","")</f>
        <v/>
      </c>
      <c r="C4288" t="str">
        <f>FORSIDE!$C$3</f>
        <v>S355, Stål / VFHUP 140x140x8.0</v>
      </c>
    </row>
    <row r="4289" spans="1:3" x14ac:dyDescent="0.3">
      <c r="A4289" t="str">
        <f>IF(AND(FORSIDE!$B$8&gt;=18,FORSIDE!$F$8&gt;=9,FORSIDE!$B$5&gt;=8),"S4288","")</f>
        <v/>
      </c>
      <c r="B4289" t="str">
        <f>IF(AND(FORSIDE!$B$8&gt;=18,FORSIDE!$F$8&gt;=9,FORSIDE!$B$5&gt;=8),"2275 -&gt; 2286","")</f>
        <v/>
      </c>
      <c r="C4289" t="str">
        <f>FORSIDE!$C$3</f>
        <v>S355, Stål / VFHUP 140x140x8.0</v>
      </c>
    </row>
    <row r="4290" spans="1:3" x14ac:dyDescent="0.3">
      <c r="A4290" t="str">
        <f>IF(AND(FORSIDE!$B$8&gt;=18,FORSIDE!$F$8&gt;=9,FORSIDE!$B$5&gt;=9),"S4289","")</f>
        <v/>
      </c>
      <c r="B4290" t="str">
        <f>IF(AND(FORSIDE!$B$8&gt;=18,FORSIDE!$F$8&gt;=9,FORSIDE!$B$5&gt;=9),"2276 -&gt; 2287","")</f>
        <v/>
      </c>
      <c r="C4290" t="str">
        <f>FORSIDE!$C$3</f>
        <v>S355, Stål / VFHUP 140x140x8.0</v>
      </c>
    </row>
    <row r="4291" spans="1:3" x14ac:dyDescent="0.3">
      <c r="A4291" t="str">
        <f>IF(AND(FORSIDE!$B$8&gt;=18,FORSIDE!$F$8&gt;=9,FORSIDE!$B$5&gt;=10),"S4290","")</f>
        <v/>
      </c>
      <c r="B4291" t="str">
        <f>IF(AND(FORSIDE!$B$8&gt;=18,FORSIDE!$F$8&gt;=9,FORSIDE!$B$5&gt;=10),"2277 -&gt; 2288","")</f>
        <v/>
      </c>
      <c r="C4291" t="str">
        <f>FORSIDE!$C$3</f>
        <v>S355, Stål / VFHUP 140x140x8.0</v>
      </c>
    </row>
    <row r="4292" spans="1:3" x14ac:dyDescent="0.3">
      <c r="A4292" t="str">
        <f>IF(AND(FORSIDE!$B$8&gt;=19,FORSIDE!$F$8&gt;=9,FORSIDE!$B$5&gt;=1),"S4291","")</f>
        <v/>
      </c>
      <c r="B4292" t="str">
        <f>IF(AND(FORSIDE!$B$8&gt;=19,FORSIDE!$F$8&gt;=9,FORSIDE!$B$5&gt;=1),"2279 -&gt; 2290","")</f>
        <v/>
      </c>
      <c r="C4292" t="str">
        <f>FORSIDE!$C$3</f>
        <v>S355, Stål / VFHUP 140x140x8.0</v>
      </c>
    </row>
    <row r="4293" spans="1:3" x14ac:dyDescent="0.3">
      <c r="A4293" t="str">
        <f>IF(AND(FORSIDE!$B$8&gt;=19,FORSIDE!$F$8&gt;=9,FORSIDE!$B$5&gt;=2),"S4292","")</f>
        <v/>
      </c>
      <c r="B4293" t="str">
        <f>IF(AND(FORSIDE!$B$8&gt;=19,FORSIDE!$F$8&gt;=9,FORSIDE!$B$5&gt;=2),"2280 -&gt; 2291","")</f>
        <v/>
      </c>
      <c r="C4293" t="str">
        <f>FORSIDE!$C$3</f>
        <v>S355, Stål / VFHUP 140x140x8.0</v>
      </c>
    </row>
    <row r="4294" spans="1:3" x14ac:dyDescent="0.3">
      <c r="A4294" t="str">
        <f>IF(AND(FORSIDE!$B$8&gt;=19,FORSIDE!$F$8&gt;=9,FORSIDE!$B$5&gt;=3),"S4293","")</f>
        <v/>
      </c>
      <c r="B4294" t="str">
        <f>IF(AND(FORSIDE!$B$8&gt;=19,FORSIDE!$F$8&gt;=9,FORSIDE!$B$5&gt;=3),"2281 -&gt; 2292","")</f>
        <v/>
      </c>
      <c r="C4294" t="str">
        <f>FORSIDE!$C$3</f>
        <v>S355, Stål / VFHUP 140x140x8.0</v>
      </c>
    </row>
    <row r="4295" spans="1:3" x14ac:dyDescent="0.3">
      <c r="A4295" t="str">
        <f>IF(AND(FORSIDE!$B$8&gt;=19,FORSIDE!$F$8&gt;=9,FORSIDE!$B$5&gt;=4),"S4294","")</f>
        <v/>
      </c>
      <c r="B4295" t="str">
        <f>IF(AND(FORSIDE!$B$8&gt;=19,FORSIDE!$F$8&gt;=9,FORSIDE!$B$5&gt;=4),"2282 -&gt; 2293","")</f>
        <v/>
      </c>
      <c r="C4295" t="str">
        <f>FORSIDE!$C$3</f>
        <v>S355, Stål / VFHUP 140x140x8.0</v>
      </c>
    </row>
    <row r="4296" spans="1:3" x14ac:dyDescent="0.3">
      <c r="A4296" t="str">
        <f>IF(AND(FORSIDE!$B$8&gt;=19,FORSIDE!$F$8&gt;=9,FORSIDE!$B$5&gt;=5),"S4295","")</f>
        <v/>
      </c>
      <c r="B4296" t="str">
        <f>IF(AND(FORSIDE!$B$8&gt;=19,FORSIDE!$F$8&gt;=9,FORSIDE!$B$5&gt;=5),"2283 -&gt; 2294","")</f>
        <v/>
      </c>
      <c r="C4296" t="str">
        <f>FORSIDE!$C$3</f>
        <v>S355, Stål / VFHUP 140x140x8.0</v>
      </c>
    </row>
    <row r="4297" spans="1:3" x14ac:dyDescent="0.3">
      <c r="A4297" t="str">
        <f>IF(AND(FORSIDE!$B$8&gt;=19,FORSIDE!$F$8&gt;=9,FORSIDE!$B$5&gt;=6),"S4296","")</f>
        <v/>
      </c>
      <c r="B4297" t="str">
        <f>IF(AND(FORSIDE!$B$8&gt;=19,FORSIDE!$F$8&gt;=9,FORSIDE!$B$5&gt;=6),"2284 -&gt; 2295","")</f>
        <v/>
      </c>
      <c r="C4297" t="str">
        <f>FORSIDE!$C$3</f>
        <v>S355, Stål / VFHUP 140x140x8.0</v>
      </c>
    </row>
    <row r="4298" spans="1:3" x14ac:dyDescent="0.3">
      <c r="A4298" t="str">
        <f>IF(AND(FORSIDE!$B$8&gt;=19,FORSIDE!$F$8&gt;=9,FORSIDE!$B$5&gt;=7),"S4297","")</f>
        <v/>
      </c>
      <c r="B4298" t="str">
        <f>IF(AND(FORSIDE!$B$8&gt;=19,FORSIDE!$F$8&gt;=9,FORSIDE!$B$5&gt;=7),"2285 -&gt; 2296","")</f>
        <v/>
      </c>
      <c r="C4298" t="str">
        <f>FORSIDE!$C$3</f>
        <v>S355, Stål / VFHUP 140x140x8.0</v>
      </c>
    </row>
    <row r="4299" spans="1:3" x14ac:dyDescent="0.3">
      <c r="A4299" t="str">
        <f>IF(AND(FORSIDE!$B$8&gt;=19,FORSIDE!$F$8&gt;=9,FORSIDE!$B$5&gt;=8),"S4298","")</f>
        <v/>
      </c>
      <c r="B4299" t="str">
        <f>IF(AND(FORSIDE!$B$8&gt;=19,FORSIDE!$F$8&gt;=9,FORSIDE!$B$5&gt;=8),"2286 -&gt; 2297","")</f>
        <v/>
      </c>
      <c r="C4299" t="str">
        <f>FORSIDE!$C$3</f>
        <v>S355, Stål / VFHUP 140x140x8.0</v>
      </c>
    </row>
    <row r="4300" spans="1:3" x14ac:dyDescent="0.3">
      <c r="A4300" t="str">
        <f>IF(AND(FORSIDE!$B$8&gt;=19,FORSIDE!$F$8&gt;=9,FORSIDE!$B$5&gt;=9),"S4299","")</f>
        <v/>
      </c>
      <c r="B4300" t="str">
        <f>IF(AND(FORSIDE!$B$8&gt;=19,FORSIDE!$F$8&gt;=9,FORSIDE!$B$5&gt;=9),"2287 -&gt; 2298","")</f>
        <v/>
      </c>
      <c r="C4300" t="str">
        <f>FORSIDE!$C$3</f>
        <v>S355, Stål / VFHUP 140x140x8.0</v>
      </c>
    </row>
    <row r="4301" spans="1:3" x14ac:dyDescent="0.3">
      <c r="A4301" t="str">
        <f>IF(AND(FORSIDE!$B$8&gt;=19,FORSIDE!$F$8&gt;=9,FORSIDE!$B$5&gt;=10),"S4300","")</f>
        <v/>
      </c>
      <c r="B4301" t="str">
        <f>IF(AND(FORSIDE!$B$8&gt;=19,FORSIDE!$F$8&gt;=9,FORSIDE!$B$5&gt;=10),"2288 -&gt; 2299","")</f>
        <v/>
      </c>
      <c r="C4301" t="str">
        <f>FORSIDE!$C$3</f>
        <v>S355, Stål / VFHUP 140x140x8.0</v>
      </c>
    </row>
    <row r="4302" spans="1:3" x14ac:dyDescent="0.3">
      <c r="A4302" t="str">
        <f>IF(AND(FORSIDE!$B$8&gt;=20,FORSIDE!$F$8&gt;=9,FORSIDE!$B$5&gt;=1),"S4301","")</f>
        <v/>
      </c>
      <c r="B4302" t="str">
        <f>IF(AND(FORSIDE!$B$8&gt;=20,FORSIDE!$F$8&gt;=9,FORSIDE!$B$5&gt;=1),"2290 -&gt; 2301","")</f>
        <v/>
      </c>
      <c r="C4302" t="str">
        <f>FORSIDE!$C$3</f>
        <v>S355, Stål / VFHUP 140x140x8.0</v>
      </c>
    </row>
    <row r="4303" spans="1:3" x14ac:dyDescent="0.3">
      <c r="A4303" t="str">
        <f>IF(AND(FORSIDE!$B$8&gt;=20,FORSIDE!$F$8&gt;=9,FORSIDE!$B$5&gt;=2),"S4302","")</f>
        <v/>
      </c>
      <c r="B4303" t="str">
        <f>IF(AND(FORSIDE!$B$8&gt;=20,FORSIDE!$F$8&gt;=9,FORSIDE!$B$5&gt;=2),"2291 -&gt; 2302","")</f>
        <v/>
      </c>
      <c r="C4303" t="str">
        <f>FORSIDE!$C$3</f>
        <v>S355, Stål / VFHUP 140x140x8.0</v>
      </c>
    </row>
    <row r="4304" spans="1:3" x14ac:dyDescent="0.3">
      <c r="A4304" t="str">
        <f>IF(AND(FORSIDE!$B$8&gt;=20,FORSIDE!$F$8&gt;=9,FORSIDE!$B$5&gt;=3),"S4303","")</f>
        <v/>
      </c>
      <c r="B4304" t="str">
        <f>IF(AND(FORSIDE!$B$8&gt;=20,FORSIDE!$F$8&gt;=9,FORSIDE!$B$5&gt;=3),"2292 -&gt; 2303","")</f>
        <v/>
      </c>
      <c r="C4304" t="str">
        <f>FORSIDE!$C$3</f>
        <v>S355, Stål / VFHUP 140x140x8.0</v>
      </c>
    </row>
    <row r="4305" spans="1:3" x14ac:dyDescent="0.3">
      <c r="A4305" t="str">
        <f>IF(AND(FORSIDE!$B$8&gt;=20,FORSIDE!$F$8&gt;=9,FORSIDE!$B$5&gt;=4),"S4304","")</f>
        <v/>
      </c>
      <c r="B4305" t="str">
        <f>IF(AND(FORSIDE!$B$8&gt;=20,FORSIDE!$F$8&gt;=9,FORSIDE!$B$5&gt;=4),"2293 -&gt; 2304","")</f>
        <v/>
      </c>
      <c r="C4305" t="str">
        <f>FORSIDE!$C$3</f>
        <v>S355, Stål / VFHUP 140x140x8.0</v>
      </c>
    </row>
    <row r="4306" spans="1:3" x14ac:dyDescent="0.3">
      <c r="A4306" t="str">
        <f>IF(AND(FORSIDE!$B$8&gt;=20,FORSIDE!$F$8&gt;=9,FORSIDE!$B$5&gt;=5),"S4305","")</f>
        <v/>
      </c>
      <c r="B4306" t="str">
        <f>IF(AND(FORSIDE!$B$8&gt;=20,FORSIDE!$F$8&gt;=9,FORSIDE!$B$5&gt;=5),"2294 -&gt; 2305","")</f>
        <v/>
      </c>
      <c r="C4306" t="str">
        <f>FORSIDE!$C$3</f>
        <v>S355, Stål / VFHUP 140x140x8.0</v>
      </c>
    </row>
    <row r="4307" spans="1:3" x14ac:dyDescent="0.3">
      <c r="A4307" t="str">
        <f>IF(AND(FORSIDE!$B$8&gt;=20,FORSIDE!$F$8&gt;=9,FORSIDE!$B$5&gt;=6),"S4306","")</f>
        <v/>
      </c>
      <c r="B4307" t="str">
        <f>IF(AND(FORSIDE!$B$8&gt;=20,FORSIDE!$F$8&gt;=9,FORSIDE!$B$5&gt;=6),"2295 -&gt; 2306","")</f>
        <v/>
      </c>
      <c r="C4307" t="str">
        <f>FORSIDE!$C$3</f>
        <v>S355, Stål / VFHUP 140x140x8.0</v>
      </c>
    </row>
    <row r="4308" spans="1:3" x14ac:dyDescent="0.3">
      <c r="A4308" t="str">
        <f>IF(AND(FORSIDE!$B$8&gt;=20,FORSIDE!$F$8&gt;=9,FORSIDE!$B$5&gt;=7),"S4307","")</f>
        <v/>
      </c>
      <c r="B4308" t="str">
        <f>IF(AND(FORSIDE!$B$8&gt;=20,FORSIDE!$F$8&gt;=9,FORSIDE!$B$5&gt;=7),"2296 -&gt; 2307","")</f>
        <v/>
      </c>
      <c r="C4308" t="str">
        <f>FORSIDE!$C$3</f>
        <v>S355, Stål / VFHUP 140x140x8.0</v>
      </c>
    </row>
    <row r="4309" spans="1:3" x14ac:dyDescent="0.3">
      <c r="A4309" t="str">
        <f>IF(AND(FORSIDE!$B$8&gt;=20,FORSIDE!$F$8&gt;=9,FORSIDE!$B$5&gt;=8),"S4308","")</f>
        <v/>
      </c>
      <c r="B4309" t="str">
        <f>IF(AND(FORSIDE!$B$8&gt;=20,FORSIDE!$F$8&gt;=9,FORSIDE!$B$5&gt;=8),"2297 -&gt; 2308","")</f>
        <v/>
      </c>
      <c r="C4309" t="str">
        <f>FORSIDE!$C$3</f>
        <v>S355, Stål / VFHUP 140x140x8.0</v>
      </c>
    </row>
    <row r="4310" spans="1:3" x14ac:dyDescent="0.3">
      <c r="A4310" t="str">
        <f>IF(AND(FORSIDE!$B$8&gt;=20,FORSIDE!$F$8&gt;=9,FORSIDE!$B$5&gt;=9),"S4309","")</f>
        <v/>
      </c>
      <c r="B4310" t="str">
        <f>IF(AND(FORSIDE!$B$8&gt;=20,FORSIDE!$F$8&gt;=9,FORSIDE!$B$5&gt;=9),"2298 -&gt; 2309","")</f>
        <v/>
      </c>
      <c r="C4310" t="str">
        <f>FORSIDE!$C$3</f>
        <v>S355, Stål / VFHUP 140x140x8.0</v>
      </c>
    </row>
    <row r="4311" spans="1:3" x14ac:dyDescent="0.3">
      <c r="A4311" t="str">
        <f>IF(AND(FORSIDE!$B$8&gt;=20,FORSIDE!$F$8&gt;=9,FORSIDE!$B$5&gt;=10),"S4310","")</f>
        <v/>
      </c>
      <c r="B4311" t="str">
        <f>IF(AND(FORSIDE!$B$8&gt;=20,FORSIDE!$F$8&gt;=9,FORSIDE!$B$5&gt;=10),"2299 -&gt; 2310","")</f>
        <v/>
      </c>
      <c r="C4311" t="str">
        <f>FORSIDE!$C$3</f>
        <v>S355, Stål / VFHUP 140x140x8.0</v>
      </c>
    </row>
    <row r="4312" spans="1:3" x14ac:dyDescent="0.3">
      <c r="A4312" t="str">
        <f>IF(AND(FORSIDE!$B$8&gt;=1,FORSIDE!$F$8&gt;=10,FORSIDE!$B$5&gt;=1),"S4311","")</f>
        <v/>
      </c>
      <c r="B4312" t="str">
        <f>IF(AND(FORSIDE!$B$8&gt;=1,FORSIDE!$F$8&gt;=10,FORSIDE!$B$5&gt;=1),"2312 -&gt; 2323","")</f>
        <v/>
      </c>
      <c r="C4312" t="str">
        <f>FORSIDE!$C$3</f>
        <v>S355, Stål / VFHUP 140x140x8.0</v>
      </c>
    </row>
    <row r="4313" spans="1:3" x14ac:dyDescent="0.3">
      <c r="A4313" t="str">
        <f>IF(AND(FORSIDE!$B$8&gt;=1,FORSIDE!$F$8&gt;=10,FORSIDE!$B$5&gt;=2),"S4312","")</f>
        <v/>
      </c>
      <c r="B4313" t="str">
        <f>IF(AND(FORSIDE!$B$8&gt;=1,FORSIDE!$F$8&gt;=10,FORSIDE!$B$5&gt;=2),"2313 -&gt; 2324","")</f>
        <v/>
      </c>
      <c r="C4313" t="str">
        <f>FORSIDE!$C$3</f>
        <v>S355, Stål / VFHUP 140x140x8.0</v>
      </c>
    </row>
    <row r="4314" spans="1:3" x14ac:dyDescent="0.3">
      <c r="A4314" t="str">
        <f>IF(AND(FORSIDE!$B$8&gt;=1,FORSIDE!$F$8&gt;=10,FORSIDE!$B$5&gt;=3),"S4313","")</f>
        <v/>
      </c>
      <c r="B4314" t="str">
        <f>IF(AND(FORSIDE!$B$8&gt;=1,FORSIDE!$F$8&gt;=10,FORSIDE!$B$5&gt;=3),"2314 -&gt; 2325","")</f>
        <v/>
      </c>
      <c r="C4314" t="str">
        <f>FORSIDE!$C$3</f>
        <v>S355, Stål / VFHUP 140x140x8.0</v>
      </c>
    </row>
    <row r="4315" spans="1:3" x14ac:dyDescent="0.3">
      <c r="A4315" t="str">
        <f>IF(AND(FORSIDE!$B$8&gt;=1,FORSIDE!$F$8&gt;=10,FORSIDE!$B$5&gt;=4),"S4314","")</f>
        <v/>
      </c>
      <c r="B4315" t="str">
        <f>IF(AND(FORSIDE!$B$8&gt;=1,FORSIDE!$F$8&gt;=10,FORSIDE!$B$5&gt;=4),"2315 -&gt; 2326","")</f>
        <v/>
      </c>
      <c r="C4315" t="str">
        <f>FORSIDE!$C$3</f>
        <v>S355, Stål / VFHUP 140x140x8.0</v>
      </c>
    </row>
    <row r="4316" spans="1:3" x14ac:dyDescent="0.3">
      <c r="A4316" t="str">
        <f>IF(AND(FORSIDE!$B$8&gt;=1,FORSIDE!$F$8&gt;=10,FORSIDE!$B$5&gt;=5),"S4315","")</f>
        <v/>
      </c>
      <c r="B4316" t="str">
        <f>IF(AND(FORSIDE!$B$8&gt;=1,FORSIDE!$F$8&gt;=10,FORSIDE!$B$5&gt;=5),"2316 -&gt; 2327","")</f>
        <v/>
      </c>
      <c r="C4316" t="str">
        <f>FORSIDE!$C$3</f>
        <v>S355, Stål / VFHUP 140x140x8.0</v>
      </c>
    </row>
    <row r="4317" spans="1:3" x14ac:dyDescent="0.3">
      <c r="A4317" t="str">
        <f>IF(AND(FORSIDE!$B$8&gt;=1,FORSIDE!$F$8&gt;=10,FORSIDE!$B$5&gt;=6),"S4316","")</f>
        <v/>
      </c>
      <c r="B4317" t="str">
        <f>IF(AND(FORSIDE!$B$8&gt;=1,FORSIDE!$F$8&gt;=10,FORSIDE!$B$5&gt;=6),"2317 -&gt; 2328","")</f>
        <v/>
      </c>
      <c r="C4317" t="str">
        <f>FORSIDE!$C$3</f>
        <v>S355, Stål / VFHUP 140x140x8.0</v>
      </c>
    </row>
    <row r="4318" spans="1:3" x14ac:dyDescent="0.3">
      <c r="A4318" t="str">
        <f>IF(AND(FORSIDE!$B$8&gt;=1,FORSIDE!$F$8&gt;=10,FORSIDE!$B$5&gt;=7),"S4317","")</f>
        <v/>
      </c>
      <c r="B4318" t="str">
        <f>IF(AND(FORSIDE!$B$8&gt;=1,FORSIDE!$F$8&gt;=10,FORSIDE!$B$5&gt;=7),"2318 -&gt; 2329","")</f>
        <v/>
      </c>
      <c r="C4318" t="str">
        <f>FORSIDE!$C$3</f>
        <v>S355, Stål / VFHUP 140x140x8.0</v>
      </c>
    </row>
    <row r="4319" spans="1:3" x14ac:dyDescent="0.3">
      <c r="A4319" t="str">
        <f>IF(AND(FORSIDE!$B$8&gt;=1,FORSIDE!$F$8&gt;=10,FORSIDE!$B$5&gt;=8),"S4318","")</f>
        <v/>
      </c>
      <c r="B4319" t="str">
        <f>IF(AND(FORSIDE!$B$8&gt;=1,FORSIDE!$F$8&gt;=10,FORSIDE!$B$5&gt;=8),"2319 -&gt; 2330","")</f>
        <v/>
      </c>
      <c r="C4319" t="str">
        <f>FORSIDE!$C$3</f>
        <v>S355, Stål / VFHUP 140x140x8.0</v>
      </c>
    </row>
    <row r="4320" spans="1:3" x14ac:dyDescent="0.3">
      <c r="A4320" t="str">
        <f>IF(AND(FORSIDE!$B$8&gt;=1,FORSIDE!$F$8&gt;=10,FORSIDE!$B$5&gt;=9),"S4319","")</f>
        <v/>
      </c>
      <c r="B4320" t="str">
        <f>IF(AND(FORSIDE!$B$8&gt;=1,FORSIDE!$F$8&gt;=10,FORSIDE!$B$5&gt;=9),"2320 -&gt; 2331","")</f>
        <v/>
      </c>
      <c r="C4320" t="str">
        <f>FORSIDE!$C$3</f>
        <v>S355, Stål / VFHUP 140x140x8.0</v>
      </c>
    </row>
    <row r="4321" spans="1:3" x14ac:dyDescent="0.3">
      <c r="A4321" t="str">
        <f>IF(AND(FORSIDE!$B$8&gt;=1,FORSIDE!$F$8&gt;=10,FORSIDE!$B$5&gt;=10),"S4320","")</f>
        <v/>
      </c>
      <c r="B4321" t="str">
        <f>IF(AND(FORSIDE!$B$8&gt;=1,FORSIDE!$F$8&gt;=10,FORSIDE!$B$5&gt;=10),"2321 -&gt; 2332","")</f>
        <v/>
      </c>
      <c r="C4321" t="str">
        <f>FORSIDE!$C$3</f>
        <v>S355, Stål / VFHUP 140x140x8.0</v>
      </c>
    </row>
    <row r="4322" spans="1:3" x14ac:dyDescent="0.3">
      <c r="A4322" t="str">
        <f>IF(AND(FORSIDE!$B$8&gt;=2,FORSIDE!$F$8&gt;=10,FORSIDE!$B$5&gt;=1),"S4321","")</f>
        <v/>
      </c>
      <c r="B4322" t="str">
        <f>IF(AND(FORSIDE!$B$8&gt;=2,FORSIDE!$F$8&gt;=10,FORSIDE!$B$5&gt;=1),"2323 -&gt; 2334","")</f>
        <v/>
      </c>
      <c r="C4322" t="str">
        <f>FORSIDE!$C$3</f>
        <v>S355, Stål / VFHUP 140x140x8.0</v>
      </c>
    </row>
    <row r="4323" spans="1:3" x14ac:dyDescent="0.3">
      <c r="A4323" t="str">
        <f>IF(AND(FORSIDE!$B$8&gt;=2,FORSIDE!$F$8&gt;=10,FORSIDE!$B$5&gt;=2),"S4322","")</f>
        <v/>
      </c>
      <c r="B4323" t="str">
        <f>IF(AND(FORSIDE!$B$8&gt;=2,FORSIDE!$F$8&gt;=10,FORSIDE!$B$5&gt;=2),"2324 -&gt; 2335","")</f>
        <v/>
      </c>
      <c r="C4323" t="str">
        <f>FORSIDE!$C$3</f>
        <v>S355, Stål / VFHUP 140x140x8.0</v>
      </c>
    </row>
    <row r="4324" spans="1:3" x14ac:dyDescent="0.3">
      <c r="A4324" t="str">
        <f>IF(AND(FORSIDE!$B$8&gt;=2,FORSIDE!$F$8&gt;=10,FORSIDE!$B$5&gt;=3),"S4323","")</f>
        <v/>
      </c>
      <c r="B4324" t="str">
        <f>IF(AND(FORSIDE!$B$8&gt;=2,FORSIDE!$F$8&gt;=10,FORSIDE!$B$5&gt;=3),"2325 -&gt; 2336","")</f>
        <v/>
      </c>
      <c r="C4324" t="str">
        <f>FORSIDE!$C$3</f>
        <v>S355, Stål / VFHUP 140x140x8.0</v>
      </c>
    </row>
    <row r="4325" spans="1:3" x14ac:dyDescent="0.3">
      <c r="A4325" t="str">
        <f>IF(AND(FORSIDE!$B$8&gt;=2,FORSIDE!$F$8&gt;=10,FORSIDE!$B$5&gt;=4),"S4324","")</f>
        <v/>
      </c>
      <c r="B4325" t="str">
        <f>IF(AND(FORSIDE!$B$8&gt;=2,FORSIDE!$F$8&gt;=10,FORSIDE!$B$5&gt;=4),"2326 -&gt; 2337","")</f>
        <v/>
      </c>
      <c r="C4325" t="str">
        <f>FORSIDE!$C$3</f>
        <v>S355, Stål / VFHUP 140x140x8.0</v>
      </c>
    </row>
    <row r="4326" spans="1:3" x14ac:dyDescent="0.3">
      <c r="A4326" t="str">
        <f>IF(AND(FORSIDE!$B$8&gt;=2,FORSIDE!$F$8&gt;=10,FORSIDE!$B$5&gt;=5),"S4325","")</f>
        <v/>
      </c>
      <c r="B4326" t="str">
        <f>IF(AND(FORSIDE!$B$8&gt;=2,FORSIDE!$F$8&gt;=10,FORSIDE!$B$5&gt;=5),"2327 -&gt; 2338","")</f>
        <v/>
      </c>
      <c r="C4326" t="str">
        <f>FORSIDE!$C$3</f>
        <v>S355, Stål / VFHUP 140x140x8.0</v>
      </c>
    </row>
    <row r="4327" spans="1:3" x14ac:dyDescent="0.3">
      <c r="A4327" t="str">
        <f>IF(AND(FORSIDE!$B$8&gt;=2,FORSIDE!$F$8&gt;=10,FORSIDE!$B$5&gt;=6),"S4326","")</f>
        <v/>
      </c>
      <c r="B4327" t="str">
        <f>IF(AND(FORSIDE!$B$8&gt;=2,FORSIDE!$F$8&gt;=10,FORSIDE!$B$5&gt;=6),"2328 -&gt; 2339","")</f>
        <v/>
      </c>
      <c r="C4327" t="str">
        <f>FORSIDE!$C$3</f>
        <v>S355, Stål / VFHUP 140x140x8.0</v>
      </c>
    </row>
    <row r="4328" spans="1:3" x14ac:dyDescent="0.3">
      <c r="A4328" t="str">
        <f>IF(AND(FORSIDE!$B$8&gt;=2,FORSIDE!$F$8&gt;=10,FORSIDE!$B$5&gt;=7),"S4327","")</f>
        <v/>
      </c>
      <c r="B4328" t="str">
        <f>IF(AND(FORSIDE!$B$8&gt;=2,FORSIDE!$F$8&gt;=10,FORSIDE!$B$5&gt;=7),"2329 -&gt; 2340","")</f>
        <v/>
      </c>
      <c r="C4328" t="str">
        <f>FORSIDE!$C$3</f>
        <v>S355, Stål / VFHUP 140x140x8.0</v>
      </c>
    </row>
    <row r="4329" spans="1:3" x14ac:dyDescent="0.3">
      <c r="A4329" t="str">
        <f>IF(AND(FORSIDE!$B$8&gt;=2,FORSIDE!$F$8&gt;=10,FORSIDE!$B$5&gt;=8),"S4328","")</f>
        <v/>
      </c>
      <c r="B4329" t="str">
        <f>IF(AND(FORSIDE!$B$8&gt;=2,FORSIDE!$F$8&gt;=10,FORSIDE!$B$5&gt;=8),"2330 -&gt; 2341","")</f>
        <v/>
      </c>
      <c r="C4329" t="str">
        <f>FORSIDE!$C$3</f>
        <v>S355, Stål / VFHUP 140x140x8.0</v>
      </c>
    </row>
    <row r="4330" spans="1:3" x14ac:dyDescent="0.3">
      <c r="A4330" t="str">
        <f>IF(AND(FORSIDE!$B$8&gt;=2,FORSIDE!$F$8&gt;=10,FORSIDE!$B$5&gt;=9),"S4329","")</f>
        <v/>
      </c>
      <c r="B4330" t="str">
        <f>IF(AND(FORSIDE!$B$8&gt;=2,FORSIDE!$F$8&gt;=10,FORSIDE!$B$5&gt;=9),"2331 -&gt; 2342","")</f>
        <v/>
      </c>
      <c r="C4330" t="str">
        <f>FORSIDE!$C$3</f>
        <v>S355, Stål / VFHUP 140x140x8.0</v>
      </c>
    </row>
    <row r="4331" spans="1:3" x14ac:dyDescent="0.3">
      <c r="A4331" t="str">
        <f>IF(AND(FORSIDE!$B$8&gt;=2,FORSIDE!$F$8&gt;=10,FORSIDE!$B$5&gt;=10),"S4330","")</f>
        <v/>
      </c>
      <c r="B4331" t="str">
        <f>IF(AND(FORSIDE!$B$8&gt;=2,FORSIDE!$F$8&gt;=10,FORSIDE!$B$5&gt;=10),"2332 -&gt; 2343","")</f>
        <v/>
      </c>
      <c r="C4331" t="str">
        <f>FORSIDE!$C$3</f>
        <v>S355, Stål / VFHUP 140x140x8.0</v>
      </c>
    </row>
    <row r="4332" spans="1:3" x14ac:dyDescent="0.3">
      <c r="A4332" t="str">
        <f>IF(AND(FORSIDE!$B$8&gt;=3,FORSIDE!$F$8&gt;=10,FORSIDE!$B$5&gt;=1),"S4331","")</f>
        <v/>
      </c>
      <c r="B4332" t="str">
        <f>IF(AND(FORSIDE!$B$8&gt;=3,FORSIDE!$F$8&gt;=10,FORSIDE!$B$5&gt;=1),"2334 -&gt; 2345","")</f>
        <v/>
      </c>
      <c r="C4332" t="str">
        <f>FORSIDE!$C$3</f>
        <v>S355, Stål / VFHUP 140x140x8.0</v>
      </c>
    </row>
    <row r="4333" spans="1:3" x14ac:dyDescent="0.3">
      <c r="A4333" t="str">
        <f>IF(AND(FORSIDE!$B$8&gt;=3,FORSIDE!$F$8&gt;=10,FORSIDE!$B$5&gt;=2),"S4332","")</f>
        <v/>
      </c>
      <c r="B4333" t="str">
        <f>IF(AND(FORSIDE!$B$8&gt;=3,FORSIDE!$F$8&gt;=10,FORSIDE!$B$5&gt;=2),"2335 -&gt; 2346","")</f>
        <v/>
      </c>
      <c r="C4333" t="str">
        <f>FORSIDE!$C$3</f>
        <v>S355, Stål / VFHUP 140x140x8.0</v>
      </c>
    </row>
    <row r="4334" spans="1:3" x14ac:dyDescent="0.3">
      <c r="A4334" t="str">
        <f>IF(AND(FORSIDE!$B$8&gt;=3,FORSIDE!$F$8&gt;=10,FORSIDE!$B$5&gt;=3),"S4333","")</f>
        <v/>
      </c>
      <c r="B4334" t="str">
        <f>IF(AND(FORSIDE!$B$8&gt;=3,FORSIDE!$F$8&gt;=10,FORSIDE!$B$5&gt;=3),"2336 -&gt; 2347","")</f>
        <v/>
      </c>
      <c r="C4334" t="str">
        <f>FORSIDE!$C$3</f>
        <v>S355, Stål / VFHUP 140x140x8.0</v>
      </c>
    </row>
    <row r="4335" spans="1:3" x14ac:dyDescent="0.3">
      <c r="A4335" t="str">
        <f>IF(AND(FORSIDE!$B$8&gt;=3,FORSIDE!$F$8&gt;=10,FORSIDE!$B$5&gt;=4),"S4334","")</f>
        <v/>
      </c>
      <c r="B4335" t="str">
        <f>IF(AND(FORSIDE!$B$8&gt;=3,FORSIDE!$F$8&gt;=10,FORSIDE!$B$5&gt;=4),"2337 -&gt; 2348","")</f>
        <v/>
      </c>
      <c r="C4335" t="str">
        <f>FORSIDE!$C$3</f>
        <v>S355, Stål / VFHUP 140x140x8.0</v>
      </c>
    </row>
    <row r="4336" spans="1:3" x14ac:dyDescent="0.3">
      <c r="A4336" t="str">
        <f>IF(AND(FORSIDE!$B$8&gt;=3,FORSIDE!$F$8&gt;=10,FORSIDE!$B$5&gt;=5),"S4335","")</f>
        <v/>
      </c>
      <c r="B4336" t="str">
        <f>IF(AND(FORSIDE!$B$8&gt;=3,FORSIDE!$F$8&gt;=10,FORSIDE!$B$5&gt;=5),"2338 -&gt; 2349","")</f>
        <v/>
      </c>
      <c r="C4336" t="str">
        <f>FORSIDE!$C$3</f>
        <v>S355, Stål / VFHUP 140x140x8.0</v>
      </c>
    </row>
    <row r="4337" spans="1:3" x14ac:dyDescent="0.3">
      <c r="A4337" t="str">
        <f>IF(AND(FORSIDE!$B$8&gt;=3,FORSIDE!$F$8&gt;=10,FORSIDE!$B$5&gt;=6),"S4336","")</f>
        <v/>
      </c>
      <c r="B4337" t="str">
        <f>IF(AND(FORSIDE!$B$8&gt;=3,FORSIDE!$F$8&gt;=10,FORSIDE!$B$5&gt;=6),"2339 -&gt; 2350","")</f>
        <v/>
      </c>
      <c r="C4337" t="str">
        <f>FORSIDE!$C$3</f>
        <v>S355, Stål / VFHUP 140x140x8.0</v>
      </c>
    </row>
    <row r="4338" spans="1:3" x14ac:dyDescent="0.3">
      <c r="A4338" t="str">
        <f>IF(AND(FORSIDE!$B$8&gt;=3,FORSIDE!$F$8&gt;=10,FORSIDE!$B$5&gt;=7),"S4337","")</f>
        <v/>
      </c>
      <c r="B4338" t="str">
        <f>IF(AND(FORSIDE!$B$8&gt;=3,FORSIDE!$F$8&gt;=10,FORSIDE!$B$5&gt;=7),"2340 -&gt; 2351","")</f>
        <v/>
      </c>
      <c r="C4338" t="str">
        <f>FORSIDE!$C$3</f>
        <v>S355, Stål / VFHUP 140x140x8.0</v>
      </c>
    </row>
    <row r="4339" spans="1:3" x14ac:dyDescent="0.3">
      <c r="A4339" t="str">
        <f>IF(AND(FORSIDE!$B$8&gt;=3,FORSIDE!$F$8&gt;=10,FORSIDE!$B$5&gt;=8),"S4338","")</f>
        <v/>
      </c>
      <c r="B4339" t="str">
        <f>IF(AND(FORSIDE!$B$8&gt;=3,FORSIDE!$F$8&gt;=10,FORSIDE!$B$5&gt;=8),"2341 -&gt; 2352","")</f>
        <v/>
      </c>
      <c r="C4339" t="str">
        <f>FORSIDE!$C$3</f>
        <v>S355, Stål / VFHUP 140x140x8.0</v>
      </c>
    </row>
    <row r="4340" spans="1:3" x14ac:dyDescent="0.3">
      <c r="A4340" t="str">
        <f>IF(AND(FORSIDE!$B$8&gt;=3,FORSIDE!$F$8&gt;=10,FORSIDE!$B$5&gt;=9),"S4339","")</f>
        <v/>
      </c>
      <c r="B4340" t="str">
        <f>IF(AND(FORSIDE!$B$8&gt;=3,FORSIDE!$F$8&gt;=10,FORSIDE!$B$5&gt;=9),"2342 -&gt; 2353","")</f>
        <v/>
      </c>
      <c r="C4340" t="str">
        <f>FORSIDE!$C$3</f>
        <v>S355, Stål / VFHUP 140x140x8.0</v>
      </c>
    </row>
    <row r="4341" spans="1:3" x14ac:dyDescent="0.3">
      <c r="A4341" t="str">
        <f>IF(AND(FORSIDE!$B$8&gt;=3,FORSIDE!$F$8&gt;=10,FORSIDE!$B$5&gt;=10),"S4340","")</f>
        <v/>
      </c>
      <c r="B4341" t="str">
        <f>IF(AND(FORSIDE!$B$8&gt;=3,FORSIDE!$F$8&gt;=10,FORSIDE!$B$5&gt;=10),"2343 -&gt; 2354","")</f>
        <v/>
      </c>
      <c r="C4341" t="str">
        <f>FORSIDE!$C$3</f>
        <v>S355, Stål / VFHUP 140x140x8.0</v>
      </c>
    </row>
    <row r="4342" spans="1:3" x14ac:dyDescent="0.3">
      <c r="A4342" t="str">
        <f>IF(AND(FORSIDE!$B$8&gt;=4,FORSIDE!$F$8&gt;=10,FORSIDE!$B$5&gt;=1),"S4341","")</f>
        <v/>
      </c>
      <c r="B4342" t="str">
        <f>IF(AND(FORSIDE!$B$8&gt;=4,FORSIDE!$F$8&gt;=10,FORSIDE!$B$5&gt;=1),"2345 -&gt; 2356","")</f>
        <v/>
      </c>
      <c r="C4342" t="str">
        <f>FORSIDE!$C$3</f>
        <v>S355, Stål / VFHUP 140x140x8.0</v>
      </c>
    </row>
    <row r="4343" spans="1:3" x14ac:dyDescent="0.3">
      <c r="A4343" t="str">
        <f>IF(AND(FORSIDE!$B$8&gt;=4,FORSIDE!$F$8&gt;=10,FORSIDE!$B$5&gt;=2),"S4342","")</f>
        <v/>
      </c>
      <c r="B4343" t="str">
        <f>IF(AND(FORSIDE!$B$8&gt;=4,FORSIDE!$F$8&gt;=10,FORSIDE!$B$5&gt;=2),"2346 -&gt; 2357","")</f>
        <v/>
      </c>
      <c r="C4343" t="str">
        <f>FORSIDE!$C$3</f>
        <v>S355, Stål / VFHUP 140x140x8.0</v>
      </c>
    </row>
    <row r="4344" spans="1:3" x14ac:dyDescent="0.3">
      <c r="A4344" t="str">
        <f>IF(AND(FORSIDE!$B$8&gt;=4,FORSIDE!$F$8&gt;=10,FORSIDE!$B$5&gt;=3),"S4343","")</f>
        <v/>
      </c>
      <c r="B4344" t="str">
        <f>IF(AND(FORSIDE!$B$8&gt;=4,FORSIDE!$F$8&gt;=10,FORSIDE!$B$5&gt;=3),"2347 -&gt; 2358","")</f>
        <v/>
      </c>
      <c r="C4344" t="str">
        <f>FORSIDE!$C$3</f>
        <v>S355, Stål / VFHUP 140x140x8.0</v>
      </c>
    </row>
    <row r="4345" spans="1:3" x14ac:dyDescent="0.3">
      <c r="A4345" t="str">
        <f>IF(AND(FORSIDE!$B$8&gt;=4,FORSIDE!$F$8&gt;=10,FORSIDE!$B$5&gt;=4),"S4344","")</f>
        <v/>
      </c>
      <c r="B4345" t="str">
        <f>IF(AND(FORSIDE!$B$8&gt;=4,FORSIDE!$F$8&gt;=10,FORSIDE!$B$5&gt;=4),"2348 -&gt; 2359","")</f>
        <v/>
      </c>
      <c r="C4345" t="str">
        <f>FORSIDE!$C$3</f>
        <v>S355, Stål / VFHUP 140x140x8.0</v>
      </c>
    </row>
    <row r="4346" spans="1:3" x14ac:dyDescent="0.3">
      <c r="A4346" t="str">
        <f>IF(AND(FORSIDE!$B$8&gt;=4,FORSIDE!$F$8&gt;=10,FORSIDE!$B$5&gt;=5),"S4345","")</f>
        <v/>
      </c>
      <c r="B4346" t="str">
        <f>IF(AND(FORSIDE!$B$8&gt;=4,FORSIDE!$F$8&gt;=10,FORSIDE!$B$5&gt;=5),"2349 -&gt; 2360","")</f>
        <v/>
      </c>
      <c r="C4346" t="str">
        <f>FORSIDE!$C$3</f>
        <v>S355, Stål / VFHUP 140x140x8.0</v>
      </c>
    </row>
    <row r="4347" spans="1:3" x14ac:dyDescent="0.3">
      <c r="A4347" t="str">
        <f>IF(AND(FORSIDE!$B$8&gt;=4,FORSIDE!$F$8&gt;=10,FORSIDE!$B$5&gt;=6),"S4346","")</f>
        <v/>
      </c>
      <c r="B4347" t="str">
        <f>IF(AND(FORSIDE!$B$8&gt;=4,FORSIDE!$F$8&gt;=10,FORSIDE!$B$5&gt;=6),"2350 -&gt; 2361","")</f>
        <v/>
      </c>
      <c r="C4347" t="str">
        <f>FORSIDE!$C$3</f>
        <v>S355, Stål / VFHUP 140x140x8.0</v>
      </c>
    </row>
    <row r="4348" spans="1:3" x14ac:dyDescent="0.3">
      <c r="A4348" t="str">
        <f>IF(AND(FORSIDE!$B$8&gt;=4,FORSIDE!$F$8&gt;=10,FORSIDE!$B$5&gt;=7),"S4347","")</f>
        <v/>
      </c>
      <c r="B4348" t="str">
        <f>IF(AND(FORSIDE!$B$8&gt;=4,FORSIDE!$F$8&gt;=10,FORSIDE!$B$5&gt;=7),"2351 -&gt; 2362","")</f>
        <v/>
      </c>
      <c r="C4348" t="str">
        <f>FORSIDE!$C$3</f>
        <v>S355, Stål / VFHUP 140x140x8.0</v>
      </c>
    </row>
    <row r="4349" spans="1:3" x14ac:dyDescent="0.3">
      <c r="A4349" t="str">
        <f>IF(AND(FORSIDE!$B$8&gt;=4,FORSIDE!$F$8&gt;=10,FORSIDE!$B$5&gt;=8),"S4348","")</f>
        <v/>
      </c>
      <c r="B4349" t="str">
        <f>IF(AND(FORSIDE!$B$8&gt;=4,FORSIDE!$F$8&gt;=10,FORSIDE!$B$5&gt;=8),"2352 -&gt; 2363","")</f>
        <v/>
      </c>
      <c r="C4349" t="str">
        <f>FORSIDE!$C$3</f>
        <v>S355, Stål / VFHUP 140x140x8.0</v>
      </c>
    </row>
    <row r="4350" spans="1:3" x14ac:dyDescent="0.3">
      <c r="A4350" t="str">
        <f>IF(AND(FORSIDE!$B$8&gt;=4,FORSIDE!$F$8&gt;=10,FORSIDE!$B$5&gt;=9),"S4349","")</f>
        <v/>
      </c>
      <c r="B4350" t="str">
        <f>IF(AND(FORSIDE!$B$8&gt;=4,FORSIDE!$F$8&gt;=10,FORSIDE!$B$5&gt;=9),"2353 -&gt; 2364","")</f>
        <v/>
      </c>
      <c r="C4350" t="str">
        <f>FORSIDE!$C$3</f>
        <v>S355, Stål / VFHUP 140x140x8.0</v>
      </c>
    </row>
    <row r="4351" spans="1:3" x14ac:dyDescent="0.3">
      <c r="A4351" t="str">
        <f>IF(AND(FORSIDE!$B$8&gt;=4,FORSIDE!$F$8&gt;=10,FORSIDE!$B$5&gt;=10),"S4350","")</f>
        <v/>
      </c>
      <c r="B4351" t="str">
        <f>IF(AND(FORSIDE!$B$8&gt;=4,FORSIDE!$F$8&gt;=10,FORSIDE!$B$5&gt;=10),"2354 -&gt; 2365","")</f>
        <v/>
      </c>
      <c r="C4351" t="str">
        <f>FORSIDE!$C$3</f>
        <v>S355, Stål / VFHUP 140x140x8.0</v>
      </c>
    </row>
    <row r="4352" spans="1:3" x14ac:dyDescent="0.3">
      <c r="A4352" t="str">
        <f>IF(AND(FORSIDE!$B$8&gt;=5,FORSIDE!$F$8&gt;=10,FORSIDE!$B$5&gt;=1),"S4351","")</f>
        <v/>
      </c>
      <c r="B4352" t="str">
        <f>IF(AND(FORSIDE!$B$8&gt;=5,FORSIDE!$F$8&gt;=10,FORSIDE!$B$5&gt;=1),"2356 -&gt; 2367","")</f>
        <v/>
      </c>
      <c r="C4352" t="str">
        <f>FORSIDE!$C$3</f>
        <v>S355, Stål / VFHUP 140x140x8.0</v>
      </c>
    </row>
    <row r="4353" spans="1:3" x14ac:dyDescent="0.3">
      <c r="A4353" t="str">
        <f>IF(AND(FORSIDE!$B$8&gt;=5,FORSIDE!$F$8&gt;=10,FORSIDE!$B$5&gt;=2),"S4352","")</f>
        <v/>
      </c>
      <c r="B4353" t="str">
        <f>IF(AND(FORSIDE!$B$8&gt;=5,FORSIDE!$F$8&gt;=10,FORSIDE!$B$5&gt;=2),"2357 -&gt; 2368","")</f>
        <v/>
      </c>
      <c r="C4353" t="str">
        <f>FORSIDE!$C$3</f>
        <v>S355, Stål / VFHUP 140x140x8.0</v>
      </c>
    </row>
    <row r="4354" spans="1:3" x14ac:dyDescent="0.3">
      <c r="A4354" t="str">
        <f>IF(AND(FORSIDE!$B$8&gt;=5,FORSIDE!$F$8&gt;=10,FORSIDE!$B$5&gt;=3),"S4353","")</f>
        <v/>
      </c>
      <c r="B4354" t="str">
        <f>IF(AND(FORSIDE!$B$8&gt;=5,FORSIDE!$F$8&gt;=10,FORSIDE!$B$5&gt;=3),"2358 -&gt; 2369","")</f>
        <v/>
      </c>
      <c r="C4354" t="str">
        <f>FORSIDE!$C$3</f>
        <v>S355, Stål / VFHUP 140x140x8.0</v>
      </c>
    </row>
    <row r="4355" spans="1:3" x14ac:dyDescent="0.3">
      <c r="A4355" t="str">
        <f>IF(AND(FORSIDE!$B$8&gt;=5,FORSIDE!$F$8&gt;=10,FORSIDE!$B$5&gt;=4),"S4354","")</f>
        <v/>
      </c>
      <c r="B4355" t="str">
        <f>IF(AND(FORSIDE!$B$8&gt;=5,FORSIDE!$F$8&gt;=10,FORSIDE!$B$5&gt;=4),"2359 -&gt; 2370","")</f>
        <v/>
      </c>
      <c r="C4355" t="str">
        <f>FORSIDE!$C$3</f>
        <v>S355, Stål / VFHUP 140x140x8.0</v>
      </c>
    </row>
    <row r="4356" spans="1:3" x14ac:dyDescent="0.3">
      <c r="A4356" t="str">
        <f>IF(AND(FORSIDE!$B$8&gt;=5,FORSIDE!$F$8&gt;=10,FORSIDE!$B$5&gt;=5),"S4355","")</f>
        <v/>
      </c>
      <c r="B4356" t="str">
        <f>IF(AND(FORSIDE!$B$8&gt;=5,FORSIDE!$F$8&gt;=10,FORSIDE!$B$5&gt;=5),"2360 -&gt; 2371","")</f>
        <v/>
      </c>
      <c r="C4356" t="str">
        <f>FORSIDE!$C$3</f>
        <v>S355, Stål / VFHUP 140x140x8.0</v>
      </c>
    </row>
    <row r="4357" spans="1:3" x14ac:dyDescent="0.3">
      <c r="A4357" t="str">
        <f>IF(AND(FORSIDE!$B$8&gt;=5,FORSIDE!$F$8&gt;=10,FORSIDE!$B$5&gt;=6),"S4356","")</f>
        <v/>
      </c>
      <c r="B4357" t="str">
        <f>IF(AND(FORSIDE!$B$8&gt;=5,FORSIDE!$F$8&gt;=10,FORSIDE!$B$5&gt;=6),"2361 -&gt; 2372","")</f>
        <v/>
      </c>
      <c r="C4357" t="str">
        <f>FORSIDE!$C$3</f>
        <v>S355, Stål / VFHUP 140x140x8.0</v>
      </c>
    </row>
    <row r="4358" spans="1:3" x14ac:dyDescent="0.3">
      <c r="A4358" t="str">
        <f>IF(AND(FORSIDE!$B$8&gt;=5,FORSIDE!$F$8&gt;=10,FORSIDE!$B$5&gt;=7),"S4357","")</f>
        <v/>
      </c>
      <c r="B4358" t="str">
        <f>IF(AND(FORSIDE!$B$8&gt;=5,FORSIDE!$F$8&gt;=10,FORSIDE!$B$5&gt;=7),"2362 -&gt; 2373","")</f>
        <v/>
      </c>
      <c r="C4358" t="str">
        <f>FORSIDE!$C$3</f>
        <v>S355, Stål / VFHUP 140x140x8.0</v>
      </c>
    </row>
    <row r="4359" spans="1:3" x14ac:dyDescent="0.3">
      <c r="A4359" t="str">
        <f>IF(AND(FORSIDE!$B$8&gt;=5,FORSIDE!$F$8&gt;=10,FORSIDE!$B$5&gt;=8),"S4358","")</f>
        <v/>
      </c>
      <c r="B4359" t="str">
        <f>IF(AND(FORSIDE!$B$8&gt;=5,FORSIDE!$F$8&gt;=10,FORSIDE!$B$5&gt;=8),"2363 -&gt; 2374","")</f>
        <v/>
      </c>
      <c r="C4359" t="str">
        <f>FORSIDE!$C$3</f>
        <v>S355, Stål / VFHUP 140x140x8.0</v>
      </c>
    </row>
    <row r="4360" spans="1:3" x14ac:dyDescent="0.3">
      <c r="A4360" t="str">
        <f>IF(AND(FORSIDE!$B$8&gt;=5,FORSIDE!$F$8&gt;=10,FORSIDE!$B$5&gt;=9),"S4359","")</f>
        <v/>
      </c>
      <c r="B4360" t="str">
        <f>IF(AND(FORSIDE!$B$8&gt;=5,FORSIDE!$F$8&gt;=10,FORSIDE!$B$5&gt;=9),"2364 -&gt; 2375","")</f>
        <v/>
      </c>
      <c r="C4360" t="str">
        <f>FORSIDE!$C$3</f>
        <v>S355, Stål / VFHUP 140x140x8.0</v>
      </c>
    </row>
    <row r="4361" spans="1:3" x14ac:dyDescent="0.3">
      <c r="A4361" t="str">
        <f>IF(AND(FORSIDE!$B$8&gt;=5,FORSIDE!$F$8&gt;=10,FORSIDE!$B$5&gt;=10),"S4360","")</f>
        <v/>
      </c>
      <c r="B4361" t="str">
        <f>IF(AND(FORSIDE!$B$8&gt;=5,FORSIDE!$F$8&gt;=10,FORSIDE!$B$5&gt;=10),"2365 -&gt; 2376","")</f>
        <v/>
      </c>
      <c r="C4361" t="str">
        <f>FORSIDE!$C$3</f>
        <v>S355, Stål / VFHUP 140x140x8.0</v>
      </c>
    </row>
    <row r="4362" spans="1:3" x14ac:dyDescent="0.3">
      <c r="A4362" t="str">
        <f>IF(AND(FORSIDE!$B$8&gt;=6,FORSIDE!$F$8&gt;=10,FORSIDE!$B$5&gt;=1),"S4361","")</f>
        <v/>
      </c>
      <c r="B4362" t="str">
        <f>IF(AND(FORSIDE!$B$8&gt;=6,FORSIDE!$F$8&gt;=10,FORSIDE!$B$5&gt;=1),"2367 -&gt; 2378","")</f>
        <v/>
      </c>
      <c r="C4362" t="str">
        <f>FORSIDE!$C$3</f>
        <v>S355, Stål / VFHUP 140x140x8.0</v>
      </c>
    </row>
    <row r="4363" spans="1:3" x14ac:dyDescent="0.3">
      <c r="A4363" t="str">
        <f>IF(AND(FORSIDE!$B$8&gt;=6,FORSIDE!$F$8&gt;=10,FORSIDE!$B$5&gt;=2),"S4362","")</f>
        <v/>
      </c>
      <c r="B4363" t="str">
        <f>IF(AND(FORSIDE!$B$8&gt;=6,FORSIDE!$F$8&gt;=10,FORSIDE!$B$5&gt;=2),"2368 -&gt; 2379","")</f>
        <v/>
      </c>
      <c r="C4363" t="str">
        <f>FORSIDE!$C$3</f>
        <v>S355, Stål / VFHUP 140x140x8.0</v>
      </c>
    </row>
    <row r="4364" spans="1:3" x14ac:dyDescent="0.3">
      <c r="A4364" t="str">
        <f>IF(AND(FORSIDE!$B$8&gt;=6,FORSIDE!$F$8&gt;=10,FORSIDE!$B$5&gt;=3),"S4363","")</f>
        <v/>
      </c>
      <c r="B4364" t="str">
        <f>IF(AND(FORSIDE!$B$8&gt;=6,FORSIDE!$F$8&gt;=10,FORSIDE!$B$5&gt;=3),"2369 -&gt; 2380","")</f>
        <v/>
      </c>
      <c r="C4364" t="str">
        <f>FORSIDE!$C$3</f>
        <v>S355, Stål / VFHUP 140x140x8.0</v>
      </c>
    </row>
    <row r="4365" spans="1:3" x14ac:dyDescent="0.3">
      <c r="A4365" t="str">
        <f>IF(AND(FORSIDE!$B$8&gt;=6,FORSIDE!$F$8&gt;=10,FORSIDE!$B$5&gt;=4),"S4364","")</f>
        <v/>
      </c>
      <c r="B4365" t="str">
        <f>IF(AND(FORSIDE!$B$8&gt;=6,FORSIDE!$F$8&gt;=10,FORSIDE!$B$5&gt;=4),"2370 -&gt; 2381","")</f>
        <v/>
      </c>
      <c r="C4365" t="str">
        <f>FORSIDE!$C$3</f>
        <v>S355, Stål / VFHUP 140x140x8.0</v>
      </c>
    </row>
    <row r="4366" spans="1:3" x14ac:dyDescent="0.3">
      <c r="A4366" t="str">
        <f>IF(AND(FORSIDE!$B$8&gt;=6,FORSIDE!$F$8&gt;=10,FORSIDE!$B$5&gt;=5),"S4365","")</f>
        <v/>
      </c>
      <c r="B4366" t="str">
        <f>IF(AND(FORSIDE!$B$8&gt;=6,FORSIDE!$F$8&gt;=10,FORSIDE!$B$5&gt;=5),"2371 -&gt; 2382","")</f>
        <v/>
      </c>
      <c r="C4366" t="str">
        <f>FORSIDE!$C$3</f>
        <v>S355, Stål / VFHUP 140x140x8.0</v>
      </c>
    </row>
    <row r="4367" spans="1:3" x14ac:dyDescent="0.3">
      <c r="A4367" t="str">
        <f>IF(AND(FORSIDE!$B$8&gt;=6,FORSIDE!$F$8&gt;=10,FORSIDE!$B$5&gt;=6),"S4366","")</f>
        <v/>
      </c>
      <c r="B4367" t="str">
        <f>IF(AND(FORSIDE!$B$8&gt;=6,FORSIDE!$F$8&gt;=10,FORSIDE!$B$5&gt;=6),"2372 -&gt; 2383","")</f>
        <v/>
      </c>
      <c r="C4367" t="str">
        <f>FORSIDE!$C$3</f>
        <v>S355, Stål / VFHUP 140x140x8.0</v>
      </c>
    </row>
    <row r="4368" spans="1:3" x14ac:dyDescent="0.3">
      <c r="A4368" t="str">
        <f>IF(AND(FORSIDE!$B$8&gt;=6,FORSIDE!$F$8&gt;=10,FORSIDE!$B$5&gt;=7),"S4367","")</f>
        <v/>
      </c>
      <c r="B4368" t="str">
        <f>IF(AND(FORSIDE!$B$8&gt;=6,FORSIDE!$F$8&gt;=10,FORSIDE!$B$5&gt;=7),"2373 -&gt; 2384","")</f>
        <v/>
      </c>
      <c r="C4368" t="str">
        <f>FORSIDE!$C$3</f>
        <v>S355, Stål / VFHUP 140x140x8.0</v>
      </c>
    </row>
    <row r="4369" spans="1:3" x14ac:dyDescent="0.3">
      <c r="A4369" t="str">
        <f>IF(AND(FORSIDE!$B$8&gt;=6,FORSIDE!$F$8&gt;=10,FORSIDE!$B$5&gt;=8),"S4368","")</f>
        <v/>
      </c>
      <c r="B4369" t="str">
        <f>IF(AND(FORSIDE!$B$8&gt;=6,FORSIDE!$F$8&gt;=10,FORSIDE!$B$5&gt;=8),"2374 -&gt; 2385","")</f>
        <v/>
      </c>
      <c r="C4369" t="str">
        <f>FORSIDE!$C$3</f>
        <v>S355, Stål / VFHUP 140x140x8.0</v>
      </c>
    </row>
    <row r="4370" spans="1:3" x14ac:dyDescent="0.3">
      <c r="A4370" t="str">
        <f>IF(AND(FORSIDE!$B$8&gt;=6,FORSIDE!$F$8&gt;=10,FORSIDE!$B$5&gt;=9),"S4369","")</f>
        <v/>
      </c>
      <c r="B4370" t="str">
        <f>IF(AND(FORSIDE!$B$8&gt;=6,FORSIDE!$F$8&gt;=10,FORSIDE!$B$5&gt;=9),"2375 -&gt; 2386","")</f>
        <v/>
      </c>
      <c r="C4370" t="str">
        <f>FORSIDE!$C$3</f>
        <v>S355, Stål / VFHUP 140x140x8.0</v>
      </c>
    </row>
    <row r="4371" spans="1:3" x14ac:dyDescent="0.3">
      <c r="A4371" t="str">
        <f>IF(AND(FORSIDE!$B$8&gt;=6,FORSIDE!$F$8&gt;=10,FORSIDE!$B$5&gt;=10),"S4370","")</f>
        <v/>
      </c>
      <c r="B4371" t="str">
        <f>IF(AND(FORSIDE!$B$8&gt;=6,FORSIDE!$F$8&gt;=10,FORSIDE!$B$5&gt;=10),"2376 -&gt; 2387","")</f>
        <v/>
      </c>
      <c r="C4371" t="str">
        <f>FORSIDE!$C$3</f>
        <v>S355, Stål / VFHUP 140x140x8.0</v>
      </c>
    </row>
    <row r="4372" spans="1:3" x14ac:dyDescent="0.3">
      <c r="A4372" t="str">
        <f>IF(AND(FORSIDE!$B$8&gt;=7,FORSIDE!$F$8&gt;=10,FORSIDE!$B$5&gt;=1),"S4371","")</f>
        <v/>
      </c>
      <c r="B4372" t="str">
        <f>IF(AND(FORSIDE!$B$8&gt;=7,FORSIDE!$F$8&gt;=10,FORSIDE!$B$5&gt;=1),"2378 -&gt; 2389","")</f>
        <v/>
      </c>
      <c r="C4372" t="str">
        <f>FORSIDE!$C$3</f>
        <v>S355, Stål / VFHUP 140x140x8.0</v>
      </c>
    </row>
    <row r="4373" spans="1:3" x14ac:dyDescent="0.3">
      <c r="A4373" t="str">
        <f>IF(AND(FORSIDE!$B$8&gt;=7,FORSIDE!$F$8&gt;=10,FORSIDE!$B$5&gt;=2),"S4372","")</f>
        <v/>
      </c>
      <c r="B4373" t="str">
        <f>IF(AND(FORSIDE!$B$8&gt;=7,FORSIDE!$F$8&gt;=10,FORSIDE!$B$5&gt;=2),"2379 -&gt; 2390","")</f>
        <v/>
      </c>
      <c r="C4373" t="str">
        <f>FORSIDE!$C$3</f>
        <v>S355, Stål / VFHUP 140x140x8.0</v>
      </c>
    </row>
    <row r="4374" spans="1:3" x14ac:dyDescent="0.3">
      <c r="A4374" t="str">
        <f>IF(AND(FORSIDE!$B$8&gt;=7,FORSIDE!$F$8&gt;=10,FORSIDE!$B$5&gt;=3),"S4373","")</f>
        <v/>
      </c>
      <c r="B4374" t="str">
        <f>IF(AND(FORSIDE!$B$8&gt;=7,FORSIDE!$F$8&gt;=10,FORSIDE!$B$5&gt;=3),"2380 -&gt; 2391","")</f>
        <v/>
      </c>
      <c r="C4374" t="str">
        <f>FORSIDE!$C$3</f>
        <v>S355, Stål / VFHUP 140x140x8.0</v>
      </c>
    </row>
    <row r="4375" spans="1:3" x14ac:dyDescent="0.3">
      <c r="A4375" t="str">
        <f>IF(AND(FORSIDE!$B$8&gt;=7,FORSIDE!$F$8&gt;=10,FORSIDE!$B$5&gt;=4),"S4374","")</f>
        <v/>
      </c>
      <c r="B4375" t="str">
        <f>IF(AND(FORSIDE!$B$8&gt;=7,FORSIDE!$F$8&gt;=10,FORSIDE!$B$5&gt;=4),"2381 -&gt; 2392","")</f>
        <v/>
      </c>
      <c r="C4375" t="str">
        <f>FORSIDE!$C$3</f>
        <v>S355, Stål / VFHUP 140x140x8.0</v>
      </c>
    </row>
    <row r="4376" spans="1:3" x14ac:dyDescent="0.3">
      <c r="A4376" t="str">
        <f>IF(AND(FORSIDE!$B$8&gt;=7,FORSIDE!$F$8&gt;=10,FORSIDE!$B$5&gt;=5),"S4375","")</f>
        <v/>
      </c>
      <c r="B4376" t="str">
        <f>IF(AND(FORSIDE!$B$8&gt;=7,FORSIDE!$F$8&gt;=10,FORSIDE!$B$5&gt;=5),"2382 -&gt; 2393","")</f>
        <v/>
      </c>
      <c r="C4376" t="str">
        <f>FORSIDE!$C$3</f>
        <v>S355, Stål / VFHUP 140x140x8.0</v>
      </c>
    </row>
    <row r="4377" spans="1:3" x14ac:dyDescent="0.3">
      <c r="A4377" t="str">
        <f>IF(AND(FORSIDE!$B$8&gt;=7,FORSIDE!$F$8&gt;=10,FORSIDE!$B$5&gt;=6),"S4376","")</f>
        <v/>
      </c>
      <c r="B4377" t="str">
        <f>IF(AND(FORSIDE!$B$8&gt;=7,FORSIDE!$F$8&gt;=10,FORSIDE!$B$5&gt;=6),"2383 -&gt; 2394","")</f>
        <v/>
      </c>
      <c r="C4377" t="str">
        <f>FORSIDE!$C$3</f>
        <v>S355, Stål / VFHUP 140x140x8.0</v>
      </c>
    </row>
    <row r="4378" spans="1:3" x14ac:dyDescent="0.3">
      <c r="A4378" t="str">
        <f>IF(AND(FORSIDE!$B$8&gt;=7,FORSIDE!$F$8&gt;=10,FORSIDE!$B$5&gt;=7),"S4377","")</f>
        <v/>
      </c>
      <c r="B4378" t="str">
        <f>IF(AND(FORSIDE!$B$8&gt;=7,FORSIDE!$F$8&gt;=10,FORSIDE!$B$5&gt;=7),"2384 -&gt; 2395","")</f>
        <v/>
      </c>
      <c r="C4378" t="str">
        <f>FORSIDE!$C$3</f>
        <v>S355, Stål / VFHUP 140x140x8.0</v>
      </c>
    </row>
    <row r="4379" spans="1:3" x14ac:dyDescent="0.3">
      <c r="A4379" t="str">
        <f>IF(AND(FORSIDE!$B$8&gt;=7,FORSIDE!$F$8&gt;=10,FORSIDE!$B$5&gt;=8),"S4378","")</f>
        <v/>
      </c>
      <c r="B4379" t="str">
        <f>IF(AND(FORSIDE!$B$8&gt;=7,FORSIDE!$F$8&gt;=10,FORSIDE!$B$5&gt;=8),"2385 -&gt; 2396","")</f>
        <v/>
      </c>
      <c r="C4379" t="str">
        <f>FORSIDE!$C$3</f>
        <v>S355, Stål / VFHUP 140x140x8.0</v>
      </c>
    </row>
    <row r="4380" spans="1:3" x14ac:dyDescent="0.3">
      <c r="A4380" t="str">
        <f>IF(AND(FORSIDE!$B$8&gt;=7,FORSIDE!$F$8&gt;=10,FORSIDE!$B$5&gt;=9),"S4379","")</f>
        <v/>
      </c>
      <c r="B4380" t="str">
        <f>IF(AND(FORSIDE!$B$8&gt;=7,FORSIDE!$F$8&gt;=10,FORSIDE!$B$5&gt;=9),"2386 -&gt; 2397","")</f>
        <v/>
      </c>
      <c r="C4380" t="str">
        <f>FORSIDE!$C$3</f>
        <v>S355, Stål / VFHUP 140x140x8.0</v>
      </c>
    </row>
    <row r="4381" spans="1:3" x14ac:dyDescent="0.3">
      <c r="A4381" t="str">
        <f>IF(AND(FORSIDE!$B$8&gt;=7,FORSIDE!$F$8&gt;=10,FORSIDE!$B$5&gt;=10),"S4380","")</f>
        <v/>
      </c>
      <c r="B4381" t="str">
        <f>IF(AND(FORSIDE!$B$8&gt;=7,FORSIDE!$F$8&gt;=10,FORSIDE!$B$5&gt;=10),"2387 -&gt; 2398","")</f>
        <v/>
      </c>
      <c r="C4381" t="str">
        <f>FORSIDE!$C$3</f>
        <v>S355, Stål / VFHUP 140x140x8.0</v>
      </c>
    </row>
    <row r="4382" spans="1:3" x14ac:dyDescent="0.3">
      <c r="A4382" t="str">
        <f>IF(AND(FORSIDE!$B$8&gt;=8,FORSIDE!$F$8&gt;=10,FORSIDE!$B$5&gt;=1),"S4381","")</f>
        <v/>
      </c>
      <c r="B4382" t="str">
        <f>IF(AND(FORSIDE!$B$8&gt;=8,FORSIDE!$F$8&gt;=10,FORSIDE!$B$5&gt;=1),"2389 -&gt; 2400","")</f>
        <v/>
      </c>
      <c r="C4382" t="str">
        <f>FORSIDE!$C$3</f>
        <v>S355, Stål / VFHUP 140x140x8.0</v>
      </c>
    </row>
    <row r="4383" spans="1:3" x14ac:dyDescent="0.3">
      <c r="A4383" t="str">
        <f>IF(AND(FORSIDE!$B$8&gt;=8,FORSIDE!$F$8&gt;=10,FORSIDE!$B$5&gt;=2),"S4382","")</f>
        <v/>
      </c>
      <c r="B4383" t="str">
        <f>IF(AND(FORSIDE!$B$8&gt;=8,FORSIDE!$F$8&gt;=10,FORSIDE!$B$5&gt;=2),"2390 -&gt; 2401","")</f>
        <v/>
      </c>
      <c r="C4383" t="str">
        <f>FORSIDE!$C$3</f>
        <v>S355, Stål / VFHUP 140x140x8.0</v>
      </c>
    </row>
    <row r="4384" spans="1:3" x14ac:dyDescent="0.3">
      <c r="A4384" t="str">
        <f>IF(AND(FORSIDE!$B$8&gt;=8,FORSIDE!$F$8&gt;=10,FORSIDE!$B$5&gt;=3),"S4383","")</f>
        <v/>
      </c>
      <c r="B4384" t="str">
        <f>IF(AND(FORSIDE!$B$8&gt;=8,FORSIDE!$F$8&gt;=10,FORSIDE!$B$5&gt;=3),"2391 -&gt; 2402","")</f>
        <v/>
      </c>
      <c r="C4384" t="str">
        <f>FORSIDE!$C$3</f>
        <v>S355, Stål / VFHUP 140x140x8.0</v>
      </c>
    </row>
    <row r="4385" spans="1:3" x14ac:dyDescent="0.3">
      <c r="A4385" t="str">
        <f>IF(AND(FORSIDE!$B$8&gt;=8,FORSIDE!$F$8&gt;=10,FORSIDE!$B$5&gt;=4),"S4384","")</f>
        <v/>
      </c>
      <c r="B4385" t="str">
        <f>IF(AND(FORSIDE!$B$8&gt;=8,FORSIDE!$F$8&gt;=10,FORSIDE!$B$5&gt;=4),"2392 -&gt; 2403","")</f>
        <v/>
      </c>
      <c r="C4385" t="str">
        <f>FORSIDE!$C$3</f>
        <v>S355, Stål / VFHUP 140x140x8.0</v>
      </c>
    </row>
    <row r="4386" spans="1:3" x14ac:dyDescent="0.3">
      <c r="A4386" t="str">
        <f>IF(AND(FORSIDE!$B$8&gt;=8,FORSIDE!$F$8&gt;=10,FORSIDE!$B$5&gt;=5),"S4385","")</f>
        <v/>
      </c>
      <c r="B4386" t="str">
        <f>IF(AND(FORSIDE!$B$8&gt;=8,FORSIDE!$F$8&gt;=10,FORSIDE!$B$5&gt;=5),"2393 -&gt; 2404","")</f>
        <v/>
      </c>
      <c r="C4386" t="str">
        <f>FORSIDE!$C$3</f>
        <v>S355, Stål / VFHUP 140x140x8.0</v>
      </c>
    </row>
    <row r="4387" spans="1:3" x14ac:dyDescent="0.3">
      <c r="A4387" t="str">
        <f>IF(AND(FORSIDE!$B$8&gt;=8,FORSIDE!$F$8&gt;=10,FORSIDE!$B$5&gt;=6),"S4386","")</f>
        <v/>
      </c>
      <c r="B4387" t="str">
        <f>IF(AND(FORSIDE!$B$8&gt;=8,FORSIDE!$F$8&gt;=10,FORSIDE!$B$5&gt;=6),"2394 -&gt; 2405","")</f>
        <v/>
      </c>
      <c r="C4387" t="str">
        <f>FORSIDE!$C$3</f>
        <v>S355, Stål / VFHUP 140x140x8.0</v>
      </c>
    </row>
    <row r="4388" spans="1:3" x14ac:dyDescent="0.3">
      <c r="A4388" t="str">
        <f>IF(AND(FORSIDE!$B$8&gt;=8,FORSIDE!$F$8&gt;=10,FORSIDE!$B$5&gt;=7),"S4387","")</f>
        <v/>
      </c>
      <c r="B4388" t="str">
        <f>IF(AND(FORSIDE!$B$8&gt;=8,FORSIDE!$F$8&gt;=10,FORSIDE!$B$5&gt;=7),"2395 -&gt; 2406","")</f>
        <v/>
      </c>
      <c r="C4388" t="str">
        <f>FORSIDE!$C$3</f>
        <v>S355, Stål / VFHUP 140x140x8.0</v>
      </c>
    </row>
    <row r="4389" spans="1:3" x14ac:dyDescent="0.3">
      <c r="A4389" t="str">
        <f>IF(AND(FORSIDE!$B$8&gt;=8,FORSIDE!$F$8&gt;=10,FORSIDE!$B$5&gt;=8),"S4388","")</f>
        <v/>
      </c>
      <c r="B4389" t="str">
        <f>IF(AND(FORSIDE!$B$8&gt;=8,FORSIDE!$F$8&gt;=10,FORSIDE!$B$5&gt;=8),"2396 -&gt; 2407","")</f>
        <v/>
      </c>
      <c r="C4389" t="str">
        <f>FORSIDE!$C$3</f>
        <v>S355, Stål / VFHUP 140x140x8.0</v>
      </c>
    </row>
    <row r="4390" spans="1:3" x14ac:dyDescent="0.3">
      <c r="A4390" t="str">
        <f>IF(AND(FORSIDE!$B$8&gt;=8,FORSIDE!$F$8&gt;=10,FORSIDE!$B$5&gt;=9),"S4389","")</f>
        <v/>
      </c>
      <c r="B4390" t="str">
        <f>IF(AND(FORSIDE!$B$8&gt;=8,FORSIDE!$F$8&gt;=10,FORSIDE!$B$5&gt;=9),"2397 -&gt; 2408","")</f>
        <v/>
      </c>
      <c r="C4390" t="str">
        <f>FORSIDE!$C$3</f>
        <v>S355, Stål / VFHUP 140x140x8.0</v>
      </c>
    </row>
    <row r="4391" spans="1:3" x14ac:dyDescent="0.3">
      <c r="A4391" t="str">
        <f>IF(AND(FORSIDE!$B$8&gt;=8,FORSIDE!$F$8&gt;=10,FORSIDE!$B$5&gt;=10),"S4390","")</f>
        <v/>
      </c>
      <c r="B4391" t="str">
        <f>IF(AND(FORSIDE!$B$8&gt;=8,FORSIDE!$F$8&gt;=10,FORSIDE!$B$5&gt;=10),"2398 -&gt; 2409","")</f>
        <v/>
      </c>
      <c r="C4391" t="str">
        <f>FORSIDE!$C$3</f>
        <v>S355, Stål / VFHUP 140x140x8.0</v>
      </c>
    </row>
    <row r="4392" spans="1:3" x14ac:dyDescent="0.3">
      <c r="A4392" t="str">
        <f>IF(AND(FORSIDE!$B$8&gt;=9,FORSIDE!$F$8&gt;=10,FORSIDE!$B$5&gt;=1),"S4391","")</f>
        <v/>
      </c>
      <c r="B4392" t="str">
        <f>IF(AND(FORSIDE!$B$8&gt;=9,FORSIDE!$F$8&gt;=10,FORSIDE!$B$5&gt;=1),"2400 -&gt; 2411","")</f>
        <v/>
      </c>
      <c r="C4392" t="str">
        <f>FORSIDE!$C$3</f>
        <v>S355, Stål / VFHUP 140x140x8.0</v>
      </c>
    </row>
    <row r="4393" spans="1:3" x14ac:dyDescent="0.3">
      <c r="A4393" t="str">
        <f>IF(AND(FORSIDE!$B$8&gt;=9,FORSIDE!$F$8&gt;=10,FORSIDE!$B$5&gt;=2),"S4392","")</f>
        <v/>
      </c>
      <c r="B4393" t="str">
        <f>IF(AND(FORSIDE!$B$8&gt;=9,FORSIDE!$F$8&gt;=10,FORSIDE!$B$5&gt;=2),"2401 -&gt; 2412","")</f>
        <v/>
      </c>
      <c r="C4393" t="str">
        <f>FORSIDE!$C$3</f>
        <v>S355, Stål / VFHUP 140x140x8.0</v>
      </c>
    </row>
    <row r="4394" spans="1:3" x14ac:dyDescent="0.3">
      <c r="A4394" t="str">
        <f>IF(AND(FORSIDE!$B$8&gt;=9,FORSIDE!$F$8&gt;=10,FORSIDE!$B$5&gt;=3),"S4393","")</f>
        <v/>
      </c>
      <c r="B4394" t="str">
        <f>IF(AND(FORSIDE!$B$8&gt;=9,FORSIDE!$F$8&gt;=10,FORSIDE!$B$5&gt;=3),"2402 -&gt; 2413","")</f>
        <v/>
      </c>
      <c r="C4394" t="str">
        <f>FORSIDE!$C$3</f>
        <v>S355, Stål / VFHUP 140x140x8.0</v>
      </c>
    </row>
    <row r="4395" spans="1:3" x14ac:dyDescent="0.3">
      <c r="A4395" t="str">
        <f>IF(AND(FORSIDE!$B$8&gt;=9,FORSIDE!$F$8&gt;=10,FORSIDE!$B$5&gt;=4),"S4394","")</f>
        <v/>
      </c>
      <c r="B4395" t="str">
        <f>IF(AND(FORSIDE!$B$8&gt;=9,FORSIDE!$F$8&gt;=10,FORSIDE!$B$5&gt;=4),"2403 -&gt; 2414","")</f>
        <v/>
      </c>
      <c r="C4395" t="str">
        <f>FORSIDE!$C$3</f>
        <v>S355, Stål / VFHUP 140x140x8.0</v>
      </c>
    </row>
    <row r="4396" spans="1:3" x14ac:dyDescent="0.3">
      <c r="A4396" t="str">
        <f>IF(AND(FORSIDE!$B$8&gt;=9,FORSIDE!$F$8&gt;=10,FORSIDE!$B$5&gt;=5),"S4395","")</f>
        <v/>
      </c>
      <c r="B4396" t="str">
        <f>IF(AND(FORSIDE!$B$8&gt;=9,FORSIDE!$F$8&gt;=10,FORSIDE!$B$5&gt;=5),"2404 -&gt; 2415","")</f>
        <v/>
      </c>
      <c r="C4396" t="str">
        <f>FORSIDE!$C$3</f>
        <v>S355, Stål / VFHUP 140x140x8.0</v>
      </c>
    </row>
    <row r="4397" spans="1:3" x14ac:dyDescent="0.3">
      <c r="A4397" t="str">
        <f>IF(AND(FORSIDE!$B$8&gt;=9,FORSIDE!$F$8&gt;=10,FORSIDE!$B$5&gt;=6),"S4396","")</f>
        <v/>
      </c>
      <c r="B4397" t="str">
        <f>IF(AND(FORSIDE!$B$8&gt;=9,FORSIDE!$F$8&gt;=10,FORSIDE!$B$5&gt;=6),"2405 -&gt; 2416","")</f>
        <v/>
      </c>
      <c r="C4397" t="str">
        <f>FORSIDE!$C$3</f>
        <v>S355, Stål / VFHUP 140x140x8.0</v>
      </c>
    </row>
    <row r="4398" spans="1:3" x14ac:dyDescent="0.3">
      <c r="A4398" t="str">
        <f>IF(AND(FORSIDE!$B$8&gt;=9,FORSIDE!$F$8&gt;=10,FORSIDE!$B$5&gt;=7),"S4397","")</f>
        <v/>
      </c>
      <c r="B4398" t="str">
        <f>IF(AND(FORSIDE!$B$8&gt;=9,FORSIDE!$F$8&gt;=10,FORSIDE!$B$5&gt;=7),"2406 -&gt; 2417","")</f>
        <v/>
      </c>
      <c r="C4398" t="str">
        <f>FORSIDE!$C$3</f>
        <v>S355, Stål / VFHUP 140x140x8.0</v>
      </c>
    </row>
    <row r="4399" spans="1:3" x14ac:dyDescent="0.3">
      <c r="A4399" t="str">
        <f>IF(AND(FORSIDE!$B$8&gt;=9,FORSIDE!$F$8&gt;=10,FORSIDE!$B$5&gt;=8),"S4398","")</f>
        <v/>
      </c>
      <c r="B4399" t="str">
        <f>IF(AND(FORSIDE!$B$8&gt;=9,FORSIDE!$F$8&gt;=10,FORSIDE!$B$5&gt;=8),"2407 -&gt; 2418","")</f>
        <v/>
      </c>
      <c r="C4399" t="str">
        <f>FORSIDE!$C$3</f>
        <v>S355, Stål / VFHUP 140x140x8.0</v>
      </c>
    </row>
    <row r="4400" spans="1:3" x14ac:dyDescent="0.3">
      <c r="A4400" t="str">
        <f>IF(AND(FORSIDE!$B$8&gt;=9,FORSIDE!$F$8&gt;=10,FORSIDE!$B$5&gt;=9),"S4399","")</f>
        <v/>
      </c>
      <c r="B4400" t="str">
        <f>IF(AND(FORSIDE!$B$8&gt;=9,FORSIDE!$F$8&gt;=10,FORSIDE!$B$5&gt;=9),"2408 -&gt; 2419","")</f>
        <v/>
      </c>
      <c r="C4400" t="str">
        <f>FORSIDE!$C$3</f>
        <v>S355, Stål / VFHUP 140x140x8.0</v>
      </c>
    </row>
    <row r="4401" spans="1:3" x14ac:dyDescent="0.3">
      <c r="A4401" t="str">
        <f>IF(AND(FORSIDE!$B$8&gt;=9,FORSIDE!$F$8&gt;=10,FORSIDE!$B$5&gt;=10),"S4400","")</f>
        <v/>
      </c>
      <c r="B4401" t="str">
        <f>IF(AND(FORSIDE!$B$8&gt;=9,FORSIDE!$F$8&gt;=10,FORSIDE!$B$5&gt;=10),"2409 -&gt; 2420","")</f>
        <v/>
      </c>
      <c r="C4401" t="str">
        <f>FORSIDE!$C$3</f>
        <v>S355, Stål / VFHUP 140x140x8.0</v>
      </c>
    </row>
    <row r="4402" spans="1:3" x14ac:dyDescent="0.3">
      <c r="A4402" t="str">
        <f>IF(AND(FORSIDE!$B$8&gt;=10,FORSIDE!$F$8&gt;=10,FORSIDE!$B$5&gt;=1),"S4401","")</f>
        <v/>
      </c>
      <c r="B4402" t="str">
        <f>IF(AND(FORSIDE!$B$8&gt;=10,FORSIDE!$F$8&gt;=10,FORSIDE!$B$5&gt;=1),"2411 -&gt; 2422","")</f>
        <v/>
      </c>
      <c r="C4402" t="str">
        <f>FORSIDE!$C$3</f>
        <v>S355, Stål / VFHUP 140x140x8.0</v>
      </c>
    </row>
    <row r="4403" spans="1:3" x14ac:dyDescent="0.3">
      <c r="A4403" t="str">
        <f>IF(AND(FORSIDE!$B$8&gt;=10,FORSIDE!$F$8&gt;=10,FORSIDE!$B$5&gt;=2),"S4402","")</f>
        <v/>
      </c>
      <c r="B4403" t="str">
        <f>IF(AND(FORSIDE!$B$8&gt;=10,FORSIDE!$F$8&gt;=10,FORSIDE!$B$5&gt;=2),"2412 -&gt; 2423","")</f>
        <v/>
      </c>
      <c r="C4403" t="str">
        <f>FORSIDE!$C$3</f>
        <v>S355, Stål / VFHUP 140x140x8.0</v>
      </c>
    </row>
    <row r="4404" spans="1:3" x14ac:dyDescent="0.3">
      <c r="A4404" t="str">
        <f>IF(AND(FORSIDE!$B$8&gt;=10,FORSIDE!$F$8&gt;=10,FORSIDE!$B$5&gt;=3),"S4403","")</f>
        <v/>
      </c>
      <c r="B4404" t="str">
        <f>IF(AND(FORSIDE!$B$8&gt;=10,FORSIDE!$F$8&gt;=10,FORSIDE!$B$5&gt;=3),"2413 -&gt; 2424","")</f>
        <v/>
      </c>
      <c r="C4404" t="str">
        <f>FORSIDE!$C$3</f>
        <v>S355, Stål / VFHUP 140x140x8.0</v>
      </c>
    </row>
    <row r="4405" spans="1:3" x14ac:dyDescent="0.3">
      <c r="A4405" t="str">
        <f>IF(AND(FORSIDE!$B$8&gt;=10,FORSIDE!$F$8&gt;=10,FORSIDE!$B$5&gt;=4),"S4404","")</f>
        <v/>
      </c>
      <c r="B4405" t="str">
        <f>IF(AND(FORSIDE!$B$8&gt;=10,FORSIDE!$F$8&gt;=10,FORSIDE!$B$5&gt;=4),"2414 -&gt; 2425","")</f>
        <v/>
      </c>
      <c r="C4405" t="str">
        <f>FORSIDE!$C$3</f>
        <v>S355, Stål / VFHUP 140x140x8.0</v>
      </c>
    </row>
    <row r="4406" spans="1:3" x14ac:dyDescent="0.3">
      <c r="A4406" t="str">
        <f>IF(AND(FORSIDE!$B$8&gt;=10,FORSIDE!$F$8&gt;=10,FORSIDE!$B$5&gt;=5),"S4405","")</f>
        <v/>
      </c>
      <c r="B4406" t="str">
        <f>IF(AND(FORSIDE!$B$8&gt;=10,FORSIDE!$F$8&gt;=10,FORSIDE!$B$5&gt;=5),"2415 -&gt; 2426","")</f>
        <v/>
      </c>
      <c r="C4406" t="str">
        <f>FORSIDE!$C$3</f>
        <v>S355, Stål / VFHUP 140x140x8.0</v>
      </c>
    </row>
    <row r="4407" spans="1:3" x14ac:dyDescent="0.3">
      <c r="A4407" t="str">
        <f>IF(AND(FORSIDE!$B$8&gt;=10,FORSIDE!$F$8&gt;=10,FORSIDE!$B$5&gt;=6),"S4406","")</f>
        <v/>
      </c>
      <c r="B4407" t="str">
        <f>IF(AND(FORSIDE!$B$8&gt;=10,FORSIDE!$F$8&gt;=10,FORSIDE!$B$5&gt;=6),"2416 -&gt; 2427","")</f>
        <v/>
      </c>
      <c r="C4407" t="str">
        <f>FORSIDE!$C$3</f>
        <v>S355, Stål / VFHUP 140x140x8.0</v>
      </c>
    </row>
    <row r="4408" spans="1:3" x14ac:dyDescent="0.3">
      <c r="A4408" t="str">
        <f>IF(AND(FORSIDE!$B$8&gt;=10,FORSIDE!$F$8&gt;=10,FORSIDE!$B$5&gt;=7),"S4407","")</f>
        <v/>
      </c>
      <c r="B4408" t="str">
        <f>IF(AND(FORSIDE!$B$8&gt;=10,FORSIDE!$F$8&gt;=10,FORSIDE!$B$5&gt;=7),"2417 -&gt; 2428","")</f>
        <v/>
      </c>
      <c r="C4408" t="str">
        <f>FORSIDE!$C$3</f>
        <v>S355, Stål / VFHUP 140x140x8.0</v>
      </c>
    </row>
    <row r="4409" spans="1:3" x14ac:dyDescent="0.3">
      <c r="A4409" t="str">
        <f>IF(AND(FORSIDE!$B$8&gt;=10,FORSIDE!$F$8&gt;=10,FORSIDE!$B$5&gt;=8),"S4408","")</f>
        <v/>
      </c>
      <c r="B4409" t="str">
        <f>IF(AND(FORSIDE!$B$8&gt;=10,FORSIDE!$F$8&gt;=10,FORSIDE!$B$5&gt;=8),"2418 -&gt; 2429","")</f>
        <v/>
      </c>
      <c r="C4409" t="str">
        <f>FORSIDE!$C$3</f>
        <v>S355, Stål / VFHUP 140x140x8.0</v>
      </c>
    </row>
    <row r="4410" spans="1:3" x14ac:dyDescent="0.3">
      <c r="A4410" t="str">
        <f>IF(AND(FORSIDE!$B$8&gt;=10,FORSIDE!$F$8&gt;=10,FORSIDE!$B$5&gt;=9),"S4409","")</f>
        <v/>
      </c>
      <c r="B4410" t="str">
        <f>IF(AND(FORSIDE!$B$8&gt;=10,FORSIDE!$F$8&gt;=10,FORSIDE!$B$5&gt;=9),"2419 -&gt; 2430","")</f>
        <v/>
      </c>
      <c r="C4410" t="str">
        <f>FORSIDE!$C$3</f>
        <v>S355, Stål / VFHUP 140x140x8.0</v>
      </c>
    </row>
    <row r="4411" spans="1:3" x14ac:dyDescent="0.3">
      <c r="A4411" t="str">
        <f>IF(AND(FORSIDE!$B$8&gt;=10,FORSIDE!$F$8&gt;=10,FORSIDE!$B$5&gt;=10),"S4410","")</f>
        <v/>
      </c>
      <c r="B4411" t="str">
        <f>IF(AND(FORSIDE!$B$8&gt;=10,FORSIDE!$F$8&gt;=10,FORSIDE!$B$5&gt;=10),"2420 -&gt; 2431","")</f>
        <v/>
      </c>
      <c r="C4411" t="str">
        <f>FORSIDE!$C$3</f>
        <v>S355, Stål / VFHUP 140x140x8.0</v>
      </c>
    </row>
    <row r="4412" spans="1:3" x14ac:dyDescent="0.3">
      <c r="A4412" t="str">
        <f>IF(AND(FORSIDE!$B$8&gt;=11,FORSIDE!$F$8&gt;=10,FORSIDE!$B$5&gt;=1),"S4411","")</f>
        <v/>
      </c>
      <c r="B4412" t="str">
        <f>IF(AND(FORSIDE!$B$8&gt;=11,FORSIDE!$F$8&gt;=10,FORSIDE!$B$5&gt;=1),"2422 -&gt; 2433","")</f>
        <v/>
      </c>
      <c r="C4412" t="str">
        <f>FORSIDE!$C$3</f>
        <v>S355, Stål / VFHUP 140x140x8.0</v>
      </c>
    </row>
    <row r="4413" spans="1:3" x14ac:dyDescent="0.3">
      <c r="A4413" t="str">
        <f>IF(AND(FORSIDE!$B$8&gt;=11,FORSIDE!$F$8&gt;=10,FORSIDE!$B$5&gt;=2),"S4412","")</f>
        <v/>
      </c>
      <c r="B4413" t="str">
        <f>IF(AND(FORSIDE!$B$8&gt;=11,FORSIDE!$F$8&gt;=10,FORSIDE!$B$5&gt;=2),"2423 -&gt; 2434","")</f>
        <v/>
      </c>
      <c r="C4413" t="str">
        <f>FORSIDE!$C$3</f>
        <v>S355, Stål / VFHUP 140x140x8.0</v>
      </c>
    </row>
    <row r="4414" spans="1:3" x14ac:dyDescent="0.3">
      <c r="A4414" t="str">
        <f>IF(AND(FORSIDE!$B$8&gt;=11,FORSIDE!$F$8&gt;=10,FORSIDE!$B$5&gt;=3),"S4413","")</f>
        <v/>
      </c>
      <c r="B4414" t="str">
        <f>IF(AND(FORSIDE!$B$8&gt;=11,FORSIDE!$F$8&gt;=10,FORSIDE!$B$5&gt;=3),"2424 -&gt; 2435","")</f>
        <v/>
      </c>
      <c r="C4414" t="str">
        <f>FORSIDE!$C$3</f>
        <v>S355, Stål / VFHUP 140x140x8.0</v>
      </c>
    </row>
    <row r="4415" spans="1:3" x14ac:dyDescent="0.3">
      <c r="A4415" t="str">
        <f>IF(AND(FORSIDE!$B$8&gt;=11,FORSIDE!$F$8&gt;=10,FORSIDE!$B$5&gt;=4),"S4414","")</f>
        <v/>
      </c>
      <c r="B4415" t="str">
        <f>IF(AND(FORSIDE!$B$8&gt;=11,FORSIDE!$F$8&gt;=10,FORSIDE!$B$5&gt;=4),"2425 -&gt; 2436","")</f>
        <v/>
      </c>
      <c r="C4415" t="str">
        <f>FORSIDE!$C$3</f>
        <v>S355, Stål / VFHUP 140x140x8.0</v>
      </c>
    </row>
    <row r="4416" spans="1:3" x14ac:dyDescent="0.3">
      <c r="A4416" t="str">
        <f>IF(AND(FORSIDE!$B$8&gt;=11,FORSIDE!$F$8&gt;=10,FORSIDE!$B$5&gt;=5),"S4415","")</f>
        <v/>
      </c>
      <c r="B4416" t="str">
        <f>IF(AND(FORSIDE!$B$8&gt;=11,FORSIDE!$F$8&gt;=10,FORSIDE!$B$5&gt;=5),"2426 -&gt; 2437","")</f>
        <v/>
      </c>
      <c r="C4416" t="str">
        <f>FORSIDE!$C$3</f>
        <v>S355, Stål / VFHUP 140x140x8.0</v>
      </c>
    </row>
    <row r="4417" spans="1:3" x14ac:dyDescent="0.3">
      <c r="A4417" t="str">
        <f>IF(AND(FORSIDE!$B$8&gt;=11,FORSIDE!$F$8&gt;=10,FORSIDE!$B$5&gt;=6),"S4416","")</f>
        <v/>
      </c>
      <c r="B4417" t="str">
        <f>IF(AND(FORSIDE!$B$8&gt;=11,FORSIDE!$F$8&gt;=10,FORSIDE!$B$5&gt;=6),"2427 -&gt; 2438","")</f>
        <v/>
      </c>
      <c r="C4417" t="str">
        <f>FORSIDE!$C$3</f>
        <v>S355, Stål / VFHUP 140x140x8.0</v>
      </c>
    </row>
    <row r="4418" spans="1:3" x14ac:dyDescent="0.3">
      <c r="A4418" t="str">
        <f>IF(AND(FORSIDE!$B$8&gt;=11,FORSIDE!$F$8&gt;=10,FORSIDE!$B$5&gt;=7),"S4417","")</f>
        <v/>
      </c>
      <c r="B4418" t="str">
        <f>IF(AND(FORSIDE!$B$8&gt;=11,FORSIDE!$F$8&gt;=10,FORSIDE!$B$5&gt;=7),"2428 -&gt; 2439","")</f>
        <v/>
      </c>
      <c r="C4418" t="str">
        <f>FORSIDE!$C$3</f>
        <v>S355, Stål / VFHUP 140x140x8.0</v>
      </c>
    </row>
    <row r="4419" spans="1:3" x14ac:dyDescent="0.3">
      <c r="A4419" t="str">
        <f>IF(AND(FORSIDE!$B$8&gt;=11,FORSIDE!$F$8&gt;=10,FORSIDE!$B$5&gt;=8),"S4418","")</f>
        <v/>
      </c>
      <c r="B4419" t="str">
        <f>IF(AND(FORSIDE!$B$8&gt;=11,FORSIDE!$F$8&gt;=10,FORSIDE!$B$5&gt;=8),"2429 -&gt; 2440","")</f>
        <v/>
      </c>
      <c r="C4419" t="str">
        <f>FORSIDE!$C$3</f>
        <v>S355, Stål / VFHUP 140x140x8.0</v>
      </c>
    </row>
    <row r="4420" spans="1:3" x14ac:dyDescent="0.3">
      <c r="A4420" t="str">
        <f>IF(AND(FORSIDE!$B$8&gt;=11,FORSIDE!$F$8&gt;=10,FORSIDE!$B$5&gt;=9),"S4419","")</f>
        <v/>
      </c>
      <c r="B4420" t="str">
        <f>IF(AND(FORSIDE!$B$8&gt;=11,FORSIDE!$F$8&gt;=10,FORSIDE!$B$5&gt;=9),"2430 -&gt; 2441","")</f>
        <v/>
      </c>
      <c r="C4420" t="str">
        <f>FORSIDE!$C$3</f>
        <v>S355, Stål / VFHUP 140x140x8.0</v>
      </c>
    </row>
    <row r="4421" spans="1:3" x14ac:dyDescent="0.3">
      <c r="A4421" t="str">
        <f>IF(AND(FORSIDE!$B$8&gt;=11,FORSIDE!$F$8&gt;=10,FORSIDE!$B$5&gt;=10),"S4420","")</f>
        <v/>
      </c>
      <c r="B4421" t="str">
        <f>IF(AND(FORSIDE!$B$8&gt;=11,FORSIDE!$F$8&gt;=10,FORSIDE!$B$5&gt;=10),"2431 -&gt; 2442","")</f>
        <v/>
      </c>
      <c r="C4421" t="str">
        <f>FORSIDE!$C$3</f>
        <v>S355, Stål / VFHUP 140x140x8.0</v>
      </c>
    </row>
    <row r="4422" spans="1:3" x14ac:dyDescent="0.3">
      <c r="A4422" t="str">
        <f>IF(AND(FORSIDE!$B$8&gt;=12,FORSIDE!$F$8&gt;=10,FORSIDE!$B$5&gt;=1),"S4421","")</f>
        <v/>
      </c>
      <c r="B4422" t="str">
        <f>IF(AND(FORSIDE!$B$8&gt;=12,FORSIDE!$F$8&gt;=10,FORSIDE!$B$5&gt;=1),"2433 -&gt; 2444","")</f>
        <v/>
      </c>
      <c r="C4422" t="str">
        <f>FORSIDE!$C$3</f>
        <v>S355, Stål / VFHUP 140x140x8.0</v>
      </c>
    </row>
    <row r="4423" spans="1:3" x14ac:dyDescent="0.3">
      <c r="A4423" t="str">
        <f>IF(AND(FORSIDE!$B$8&gt;=12,FORSIDE!$F$8&gt;=10,FORSIDE!$B$5&gt;=2),"S4422","")</f>
        <v/>
      </c>
      <c r="B4423" t="str">
        <f>IF(AND(FORSIDE!$B$8&gt;=12,FORSIDE!$F$8&gt;=10,FORSIDE!$B$5&gt;=2),"2434 -&gt; 2445","")</f>
        <v/>
      </c>
      <c r="C4423" t="str">
        <f>FORSIDE!$C$3</f>
        <v>S355, Stål / VFHUP 140x140x8.0</v>
      </c>
    </row>
    <row r="4424" spans="1:3" x14ac:dyDescent="0.3">
      <c r="A4424" t="str">
        <f>IF(AND(FORSIDE!$B$8&gt;=12,FORSIDE!$F$8&gt;=10,FORSIDE!$B$5&gt;=3),"S4423","")</f>
        <v/>
      </c>
      <c r="B4424" t="str">
        <f>IF(AND(FORSIDE!$B$8&gt;=12,FORSIDE!$F$8&gt;=10,FORSIDE!$B$5&gt;=3),"2435 -&gt; 2446","")</f>
        <v/>
      </c>
      <c r="C4424" t="str">
        <f>FORSIDE!$C$3</f>
        <v>S355, Stål / VFHUP 140x140x8.0</v>
      </c>
    </row>
    <row r="4425" spans="1:3" x14ac:dyDescent="0.3">
      <c r="A4425" t="str">
        <f>IF(AND(FORSIDE!$B$8&gt;=12,FORSIDE!$F$8&gt;=10,FORSIDE!$B$5&gt;=4),"S4424","")</f>
        <v/>
      </c>
      <c r="B4425" t="str">
        <f>IF(AND(FORSIDE!$B$8&gt;=12,FORSIDE!$F$8&gt;=10,FORSIDE!$B$5&gt;=4),"2436 -&gt; 2447","")</f>
        <v/>
      </c>
      <c r="C4425" t="str">
        <f>FORSIDE!$C$3</f>
        <v>S355, Stål / VFHUP 140x140x8.0</v>
      </c>
    </row>
    <row r="4426" spans="1:3" x14ac:dyDescent="0.3">
      <c r="A4426" t="str">
        <f>IF(AND(FORSIDE!$B$8&gt;=12,FORSIDE!$F$8&gt;=10,FORSIDE!$B$5&gt;=5),"S4425","")</f>
        <v/>
      </c>
      <c r="B4426" t="str">
        <f>IF(AND(FORSIDE!$B$8&gt;=12,FORSIDE!$F$8&gt;=10,FORSIDE!$B$5&gt;=5),"2437 -&gt; 2448","")</f>
        <v/>
      </c>
      <c r="C4426" t="str">
        <f>FORSIDE!$C$3</f>
        <v>S355, Stål / VFHUP 140x140x8.0</v>
      </c>
    </row>
    <row r="4427" spans="1:3" x14ac:dyDescent="0.3">
      <c r="A4427" t="str">
        <f>IF(AND(FORSIDE!$B$8&gt;=12,FORSIDE!$F$8&gt;=10,FORSIDE!$B$5&gt;=6),"S4426","")</f>
        <v/>
      </c>
      <c r="B4427" t="str">
        <f>IF(AND(FORSIDE!$B$8&gt;=12,FORSIDE!$F$8&gt;=10,FORSIDE!$B$5&gt;=6),"2438 -&gt; 2449","")</f>
        <v/>
      </c>
      <c r="C4427" t="str">
        <f>FORSIDE!$C$3</f>
        <v>S355, Stål / VFHUP 140x140x8.0</v>
      </c>
    </row>
    <row r="4428" spans="1:3" x14ac:dyDescent="0.3">
      <c r="A4428" t="str">
        <f>IF(AND(FORSIDE!$B$8&gt;=12,FORSIDE!$F$8&gt;=10,FORSIDE!$B$5&gt;=7),"S4427","")</f>
        <v/>
      </c>
      <c r="B4428" t="str">
        <f>IF(AND(FORSIDE!$B$8&gt;=12,FORSIDE!$F$8&gt;=10,FORSIDE!$B$5&gt;=7),"2439 -&gt; 2450","")</f>
        <v/>
      </c>
      <c r="C4428" t="str">
        <f>FORSIDE!$C$3</f>
        <v>S355, Stål / VFHUP 140x140x8.0</v>
      </c>
    </row>
    <row r="4429" spans="1:3" x14ac:dyDescent="0.3">
      <c r="A4429" t="str">
        <f>IF(AND(FORSIDE!$B$8&gt;=12,FORSIDE!$F$8&gt;=10,FORSIDE!$B$5&gt;=8),"S4428","")</f>
        <v/>
      </c>
      <c r="B4429" t="str">
        <f>IF(AND(FORSIDE!$B$8&gt;=12,FORSIDE!$F$8&gt;=10,FORSIDE!$B$5&gt;=8),"2440 -&gt; 2451","")</f>
        <v/>
      </c>
      <c r="C4429" t="str">
        <f>FORSIDE!$C$3</f>
        <v>S355, Stål / VFHUP 140x140x8.0</v>
      </c>
    </row>
    <row r="4430" spans="1:3" x14ac:dyDescent="0.3">
      <c r="A4430" t="str">
        <f>IF(AND(FORSIDE!$B$8&gt;=12,FORSIDE!$F$8&gt;=10,FORSIDE!$B$5&gt;=9),"S4429","")</f>
        <v/>
      </c>
      <c r="B4430" t="str">
        <f>IF(AND(FORSIDE!$B$8&gt;=12,FORSIDE!$F$8&gt;=10,FORSIDE!$B$5&gt;=9),"2441 -&gt; 2452","")</f>
        <v/>
      </c>
      <c r="C4430" t="str">
        <f>FORSIDE!$C$3</f>
        <v>S355, Stål / VFHUP 140x140x8.0</v>
      </c>
    </row>
    <row r="4431" spans="1:3" x14ac:dyDescent="0.3">
      <c r="A4431" t="str">
        <f>IF(AND(FORSIDE!$B$8&gt;=12,FORSIDE!$F$8&gt;=10,FORSIDE!$B$5&gt;=10),"S4430","")</f>
        <v/>
      </c>
      <c r="B4431" t="str">
        <f>IF(AND(FORSIDE!$B$8&gt;=12,FORSIDE!$F$8&gt;=10,FORSIDE!$B$5&gt;=10),"2442 -&gt; 2453","")</f>
        <v/>
      </c>
      <c r="C4431" t="str">
        <f>FORSIDE!$C$3</f>
        <v>S355, Stål / VFHUP 140x140x8.0</v>
      </c>
    </row>
    <row r="4432" spans="1:3" x14ac:dyDescent="0.3">
      <c r="A4432" t="str">
        <f>IF(AND(FORSIDE!$B$8&gt;=13,FORSIDE!$F$8&gt;=10,FORSIDE!$B$5&gt;=1),"S4431","")</f>
        <v/>
      </c>
      <c r="B4432" t="str">
        <f>IF(AND(FORSIDE!$B$8&gt;=13,FORSIDE!$F$8&gt;=10,FORSIDE!$B$5&gt;=1),"2444 -&gt; 2455","")</f>
        <v/>
      </c>
      <c r="C4432" t="str">
        <f>FORSIDE!$C$3</f>
        <v>S355, Stål / VFHUP 140x140x8.0</v>
      </c>
    </row>
    <row r="4433" spans="1:3" x14ac:dyDescent="0.3">
      <c r="A4433" t="str">
        <f>IF(AND(FORSIDE!$B$8&gt;=13,FORSIDE!$F$8&gt;=10,FORSIDE!$B$5&gt;=2),"S4432","")</f>
        <v/>
      </c>
      <c r="B4433" t="str">
        <f>IF(AND(FORSIDE!$B$8&gt;=13,FORSIDE!$F$8&gt;=10,FORSIDE!$B$5&gt;=2),"2445 -&gt; 2456","")</f>
        <v/>
      </c>
      <c r="C4433" t="str">
        <f>FORSIDE!$C$3</f>
        <v>S355, Stål / VFHUP 140x140x8.0</v>
      </c>
    </row>
    <row r="4434" spans="1:3" x14ac:dyDescent="0.3">
      <c r="A4434" t="str">
        <f>IF(AND(FORSIDE!$B$8&gt;=13,FORSIDE!$F$8&gt;=10,FORSIDE!$B$5&gt;=3),"S4433","")</f>
        <v/>
      </c>
      <c r="B4434" t="str">
        <f>IF(AND(FORSIDE!$B$8&gt;=13,FORSIDE!$F$8&gt;=10,FORSIDE!$B$5&gt;=3),"2446 -&gt; 2457","")</f>
        <v/>
      </c>
      <c r="C4434" t="str">
        <f>FORSIDE!$C$3</f>
        <v>S355, Stål / VFHUP 140x140x8.0</v>
      </c>
    </row>
    <row r="4435" spans="1:3" x14ac:dyDescent="0.3">
      <c r="A4435" t="str">
        <f>IF(AND(FORSIDE!$B$8&gt;=13,FORSIDE!$F$8&gt;=10,FORSIDE!$B$5&gt;=4),"S4434","")</f>
        <v/>
      </c>
      <c r="B4435" t="str">
        <f>IF(AND(FORSIDE!$B$8&gt;=13,FORSIDE!$F$8&gt;=10,FORSIDE!$B$5&gt;=4),"2447 -&gt; 2458","")</f>
        <v/>
      </c>
      <c r="C4435" t="str">
        <f>FORSIDE!$C$3</f>
        <v>S355, Stål / VFHUP 140x140x8.0</v>
      </c>
    </row>
    <row r="4436" spans="1:3" x14ac:dyDescent="0.3">
      <c r="A4436" t="str">
        <f>IF(AND(FORSIDE!$B$8&gt;=13,FORSIDE!$F$8&gt;=10,FORSIDE!$B$5&gt;=5),"S4435","")</f>
        <v/>
      </c>
      <c r="B4436" t="str">
        <f>IF(AND(FORSIDE!$B$8&gt;=13,FORSIDE!$F$8&gt;=10,FORSIDE!$B$5&gt;=5),"2448 -&gt; 2459","")</f>
        <v/>
      </c>
      <c r="C4436" t="str">
        <f>FORSIDE!$C$3</f>
        <v>S355, Stål / VFHUP 140x140x8.0</v>
      </c>
    </row>
    <row r="4437" spans="1:3" x14ac:dyDescent="0.3">
      <c r="A4437" t="str">
        <f>IF(AND(FORSIDE!$B$8&gt;=13,FORSIDE!$F$8&gt;=10,FORSIDE!$B$5&gt;=6),"S4436","")</f>
        <v/>
      </c>
      <c r="B4437" t="str">
        <f>IF(AND(FORSIDE!$B$8&gt;=13,FORSIDE!$F$8&gt;=10,FORSIDE!$B$5&gt;=6),"2449 -&gt; 2460","")</f>
        <v/>
      </c>
      <c r="C4437" t="str">
        <f>FORSIDE!$C$3</f>
        <v>S355, Stål / VFHUP 140x140x8.0</v>
      </c>
    </row>
    <row r="4438" spans="1:3" x14ac:dyDescent="0.3">
      <c r="A4438" t="str">
        <f>IF(AND(FORSIDE!$B$8&gt;=13,FORSIDE!$F$8&gt;=10,FORSIDE!$B$5&gt;=7),"S4437","")</f>
        <v/>
      </c>
      <c r="B4438" t="str">
        <f>IF(AND(FORSIDE!$B$8&gt;=13,FORSIDE!$F$8&gt;=10,FORSIDE!$B$5&gt;=7),"2450 -&gt; 2461","")</f>
        <v/>
      </c>
      <c r="C4438" t="str">
        <f>FORSIDE!$C$3</f>
        <v>S355, Stål / VFHUP 140x140x8.0</v>
      </c>
    </row>
    <row r="4439" spans="1:3" x14ac:dyDescent="0.3">
      <c r="A4439" t="str">
        <f>IF(AND(FORSIDE!$B$8&gt;=13,FORSIDE!$F$8&gt;=10,FORSIDE!$B$5&gt;=8),"S4438","")</f>
        <v/>
      </c>
      <c r="B4439" t="str">
        <f>IF(AND(FORSIDE!$B$8&gt;=13,FORSIDE!$F$8&gt;=10,FORSIDE!$B$5&gt;=8),"2451 -&gt; 2462","")</f>
        <v/>
      </c>
      <c r="C4439" t="str">
        <f>FORSIDE!$C$3</f>
        <v>S355, Stål / VFHUP 140x140x8.0</v>
      </c>
    </row>
    <row r="4440" spans="1:3" x14ac:dyDescent="0.3">
      <c r="A4440" t="str">
        <f>IF(AND(FORSIDE!$B$8&gt;=13,FORSIDE!$F$8&gt;=10,FORSIDE!$B$5&gt;=9),"S4439","")</f>
        <v/>
      </c>
      <c r="B4440" t="str">
        <f>IF(AND(FORSIDE!$B$8&gt;=13,FORSIDE!$F$8&gt;=10,FORSIDE!$B$5&gt;=9),"2452 -&gt; 2463","")</f>
        <v/>
      </c>
      <c r="C4440" t="str">
        <f>FORSIDE!$C$3</f>
        <v>S355, Stål / VFHUP 140x140x8.0</v>
      </c>
    </row>
    <row r="4441" spans="1:3" x14ac:dyDescent="0.3">
      <c r="A4441" t="str">
        <f>IF(AND(FORSIDE!$B$8&gt;=13,FORSIDE!$F$8&gt;=10,FORSIDE!$B$5&gt;=10),"S4440","")</f>
        <v/>
      </c>
      <c r="B4441" t="str">
        <f>IF(AND(FORSIDE!$B$8&gt;=13,FORSIDE!$F$8&gt;=10,FORSIDE!$B$5&gt;=10),"2453 -&gt; 2464","")</f>
        <v/>
      </c>
      <c r="C4441" t="str">
        <f>FORSIDE!$C$3</f>
        <v>S355, Stål / VFHUP 140x140x8.0</v>
      </c>
    </row>
    <row r="4442" spans="1:3" x14ac:dyDescent="0.3">
      <c r="A4442" t="str">
        <f>IF(AND(FORSIDE!$B$8&gt;=14,FORSIDE!$F$8&gt;=10,FORSIDE!$B$5&gt;=1),"S4441","")</f>
        <v/>
      </c>
      <c r="B4442" t="str">
        <f>IF(AND(FORSIDE!$B$8&gt;=14,FORSIDE!$F$8&gt;=10,FORSIDE!$B$5&gt;=1),"2455 -&gt; 2466","")</f>
        <v/>
      </c>
      <c r="C4442" t="str">
        <f>FORSIDE!$C$3</f>
        <v>S355, Stål / VFHUP 140x140x8.0</v>
      </c>
    </row>
    <row r="4443" spans="1:3" x14ac:dyDescent="0.3">
      <c r="A4443" t="str">
        <f>IF(AND(FORSIDE!$B$8&gt;=14,FORSIDE!$F$8&gt;=10,FORSIDE!$B$5&gt;=2),"S4442","")</f>
        <v/>
      </c>
      <c r="B4443" t="str">
        <f>IF(AND(FORSIDE!$B$8&gt;=14,FORSIDE!$F$8&gt;=10,FORSIDE!$B$5&gt;=2),"2456 -&gt; 2467","")</f>
        <v/>
      </c>
      <c r="C4443" t="str">
        <f>FORSIDE!$C$3</f>
        <v>S355, Stål / VFHUP 140x140x8.0</v>
      </c>
    </row>
    <row r="4444" spans="1:3" x14ac:dyDescent="0.3">
      <c r="A4444" t="str">
        <f>IF(AND(FORSIDE!$B$8&gt;=14,FORSIDE!$F$8&gt;=10,FORSIDE!$B$5&gt;=3),"S4443","")</f>
        <v/>
      </c>
      <c r="B4444" t="str">
        <f>IF(AND(FORSIDE!$B$8&gt;=14,FORSIDE!$F$8&gt;=10,FORSIDE!$B$5&gt;=3),"2457 -&gt; 2468","")</f>
        <v/>
      </c>
      <c r="C4444" t="str">
        <f>FORSIDE!$C$3</f>
        <v>S355, Stål / VFHUP 140x140x8.0</v>
      </c>
    </row>
    <row r="4445" spans="1:3" x14ac:dyDescent="0.3">
      <c r="A4445" t="str">
        <f>IF(AND(FORSIDE!$B$8&gt;=14,FORSIDE!$F$8&gt;=10,FORSIDE!$B$5&gt;=4),"S4444","")</f>
        <v/>
      </c>
      <c r="B4445" t="str">
        <f>IF(AND(FORSIDE!$B$8&gt;=14,FORSIDE!$F$8&gt;=10,FORSIDE!$B$5&gt;=4),"2458 -&gt; 2469","")</f>
        <v/>
      </c>
      <c r="C4445" t="str">
        <f>FORSIDE!$C$3</f>
        <v>S355, Stål / VFHUP 140x140x8.0</v>
      </c>
    </row>
    <row r="4446" spans="1:3" x14ac:dyDescent="0.3">
      <c r="A4446" t="str">
        <f>IF(AND(FORSIDE!$B$8&gt;=14,FORSIDE!$F$8&gt;=10,FORSIDE!$B$5&gt;=5),"S4445","")</f>
        <v/>
      </c>
      <c r="B4446" t="str">
        <f>IF(AND(FORSIDE!$B$8&gt;=14,FORSIDE!$F$8&gt;=10,FORSIDE!$B$5&gt;=5),"2459 -&gt; 2470","")</f>
        <v/>
      </c>
      <c r="C4446" t="str">
        <f>FORSIDE!$C$3</f>
        <v>S355, Stål / VFHUP 140x140x8.0</v>
      </c>
    </row>
    <row r="4447" spans="1:3" x14ac:dyDescent="0.3">
      <c r="A4447" t="str">
        <f>IF(AND(FORSIDE!$B$8&gt;=14,FORSIDE!$F$8&gt;=10,FORSIDE!$B$5&gt;=6),"S4446","")</f>
        <v/>
      </c>
      <c r="B4447" t="str">
        <f>IF(AND(FORSIDE!$B$8&gt;=14,FORSIDE!$F$8&gt;=10,FORSIDE!$B$5&gt;=6),"2460 -&gt; 2471","")</f>
        <v/>
      </c>
      <c r="C4447" t="str">
        <f>FORSIDE!$C$3</f>
        <v>S355, Stål / VFHUP 140x140x8.0</v>
      </c>
    </row>
    <row r="4448" spans="1:3" x14ac:dyDescent="0.3">
      <c r="A4448" t="str">
        <f>IF(AND(FORSIDE!$B$8&gt;=14,FORSIDE!$F$8&gt;=10,FORSIDE!$B$5&gt;=7),"S4447","")</f>
        <v/>
      </c>
      <c r="B4448" t="str">
        <f>IF(AND(FORSIDE!$B$8&gt;=14,FORSIDE!$F$8&gt;=10,FORSIDE!$B$5&gt;=7),"2461 -&gt; 2472","")</f>
        <v/>
      </c>
      <c r="C4448" t="str">
        <f>FORSIDE!$C$3</f>
        <v>S355, Stål / VFHUP 140x140x8.0</v>
      </c>
    </row>
    <row r="4449" spans="1:3" x14ac:dyDescent="0.3">
      <c r="A4449" t="str">
        <f>IF(AND(FORSIDE!$B$8&gt;=14,FORSIDE!$F$8&gt;=10,FORSIDE!$B$5&gt;=8),"S4448","")</f>
        <v/>
      </c>
      <c r="B4449" t="str">
        <f>IF(AND(FORSIDE!$B$8&gt;=14,FORSIDE!$F$8&gt;=10,FORSIDE!$B$5&gt;=8),"2462 -&gt; 2473","")</f>
        <v/>
      </c>
      <c r="C4449" t="str">
        <f>FORSIDE!$C$3</f>
        <v>S355, Stål / VFHUP 140x140x8.0</v>
      </c>
    </row>
    <row r="4450" spans="1:3" x14ac:dyDescent="0.3">
      <c r="A4450" t="str">
        <f>IF(AND(FORSIDE!$B$8&gt;=14,FORSIDE!$F$8&gt;=10,FORSIDE!$B$5&gt;=9),"S4449","")</f>
        <v/>
      </c>
      <c r="B4450" t="str">
        <f>IF(AND(FORSIDE!$B$8&gt;=14,FORSIDE!$F$8&gt;=10,FORSIDE!$B$5&gt;=9),"2463 -&gt; 2474","")</f>
        <v/>
      </c>
      <c r="C4450" t="str">
        <f>FORSIDE!$C$3</f>
        <v>S355, Stål / VFHUP 140x140x8.0</v>
      </c>
    </row>
    <row r="4451" spans="1:3" x14ac:dyDescent="0.3">
      <c r="A4451" t="str">
        <f>IF(AND(FORSIDE!$B$8&gt;=14,FORSIDE!$F$8&gt;=10,FORSIDE!$B$5&gt;=10),"S4450","")</f>
        <v/>
      </c>
      <c r="B4451" t="str">
        <f>IF(AND(FORSIDE!$B$8&gt;=14,FORSIDE!$F$8&gt;=10,FORSIDE!$B$5&gt;=10),"2464 -&gt; 2475","")</f>
        <v/>
      </c>
      <c r="C4451" t="str">
        <f>FORSIDE!$C$3</f>
        <v>S355, Stål / VFHUP 140x140x8.0</v>
      </c>
    </row>
    <row r="4452" spans="1:3" x14ac:dyDescent="0.3">
      <c r="A4452" t="str">
        <f>IF(AND(FORSIDE!$B$8&gt;=15,FORSIDE!$F$8&gt;=10,FORSIDE!$B$5&gt;=1),"S4451","")</f>
        <v/>
      </c>
      <c r="B4452" t="str">
        <f>IF(AND(FORSIDE!$B$8&gt;=15,FORSIDE!$F$8&gt;=10,FORSIDE!$B$5&gt;=1),"2466 -&gt; 2477","")</f>
        <v/>
      </c>
      <c r="C4452" t="str">
        <f>FORSIDE!$C$3</f>
        <v>S355, Stål / VFHUP 140x140x8.0</v>
      </c>
    </row>
    <row r="4453" spans="1:3" x14ac:dyDescent="0.3">
      <c r="A4453" t="str">
        <f>IF(AND(FORSIDE!$B$8&gt;=15,FORSIDE!$F$8&gt;=10,FORSIDE!$B$5&gt;=2),"S4452","")</f>
        <v/>
      </c>
      <c r="B4453" t="str">
        <f>IF(AND(FORSIDE!$B$8&gt;=15,FORSIDE!$F$8&gt;=10,FORSIDE!$B$5&gt;=2),"2467 -&gt; 2478","")</f>
        <v/>
      </c>
      <c r="C4453" t="str">
        <f>FORSIDE!$C$3</f>
        <v>S355, Stål / VFHUP 140x140x8.0</v>
      </c>
    </row>
    <row r="4454" spans="1:3" x14ac:dyDescent="0.3">
      <c r="A4454" t="str">
        <f>IF(AND(FORSIDE!$B$8&gt;=15,FORSIDE!$F$8&gt;=10,FORSIDE!$B$5&gt;=3),"S4453","")</f>
        <v/>
      </c>
      <c r="B4454" t="str">
        <f>IF(AND(FORSIDE!$B$8&gt;=15,FORSIDE!$F$8&gt;=10,FORSIDE!$B$5&gt;=3),"2468 -&gt; 2479","")</f>
        <v/>
      </c>
      <c r="C4454" t="str">
        <f>FORSIDE!$C$3</f>
        <v>S355, Stål / VFHUP 140x140x8.0</v>
      </c>
    </row>
    <row r="4455" spans="1:3" x14ac:dyDescent="0.3">
      <c r="A4455" t="str">
        <f>IF(AND(FORSIDE!$B$8&gt;=15,FORSIDE!$F$8&gt;=10,FORSIDE!$B$5&gt;=4),"S4454","")</f>
        <v/>
      </c>
      <c r="B4455" t="str">
        <f>IF(AND(FORSIDE!$B$8&gt;=15,FORSIDE!$F$8&gt;=10,FORSIDE!$B$5&gt;=4),"2469 -&gt; 2480","")</f>
        <v/>
      </c>
      <c r="C4455" t="str">
        <f>FORSIDE!$C$3</f>
        <v>S355, Stål / VFHUP 140x140x8.0</v>
      </c>
    </row>
    <row r="4456" spans="1:3" x14ac:dyDescent="0.3">
      <c r="A4456" t="str">
        <f>IF(AND(FORSIDE!$B$8&gt;=15,FORSIDE!$F$8&gt;=10,FORSIDE!$B$5&gt;=5),"S4455","")</f>
        <v/>
      </c>
      <c r="B4456" t="str">
        <f>IF(AND(FORSIDE!$B$8&gt;=15,FORSIDE!$F$8&gt;=10,FORSIDE!$B$5&gt;=5),"2470 -&gt; 2481","")</f>
        <v/>
      </c>
      <c r="C4456" t="str">
        <f>FORSIDE!$C$3</f>
        <v>S355, Stål / VFHUP 140x140x8.0</v>
      </c>
    </row>
    <row r="4457" spans="1:3" x14ac:dyDescent="0.3">
      <c r="A4457" t="str">
        <f>IF(AND(FORSIDE!$B$8&gt;=15,FORSIDE!$F$8&gt;=10,FORSIDE!$B$5&gt;=6),"S4456","")</f>
        <v/>
      </c>
      <c r="B4457" t="str">
        <f>IF(AND(FORSIDE!$B$8&gt;=15,FORSIDE!$F$8&gt;=10,FORSIDE!$B$5&gt;=6),"2471 -&gt; 2482","")</f>
        <v/>
      </c>
      <c r="C4457" t="str">
        <f>FORSIDE!$C$3</f>
        <v>S355, Stål / VFHUP 140x140x8.0</v>
      </c>
    </row>
    <row r="4458" spans="1:3" x14ac:dyDescent="0.3">
      <c r="A4458" t="str">
        <f>IF(AND(FORSIDE!$B$8&gt;=15,FORSIDE!$F$8&gt;=10,FORSIDE!$B$5&gt;=7),"S4457","")</f>
        <v/>
      </c>
      <c r="B4458" t="str">
        <f>IF(AND(FORSIDE!$B$8&gt;=15,FORSIDE!$F$8&gt;=10,FORSIDE!$B$5&gt;=7),"2472 -&gt; 2483","")</f>
        <v/>
      </c>
      <c r="C4458" t="str">
        <f>FORSIDE!$C$3</f>
        <v>S355, Stål / VFHUP 140x140x8.0</v>
      </c>
    </row>
    <row r="4459" spans="1:3" x14ac:dyDescent="0.3">
      <c r="A4459" t="str">
        <f>IF(AND(FORSIDE!$B$8&gt;=15,FORSIDE!$F$8&gt;=10,FORSIDE!$B$5&gt;=8),"S4458","")</f>
        <v/>
      </c>
      <c r="B4459" t="str">
        <f>IF(AND(FORSIDE!$B$8&gt;=15,FORSIDE!$F$8&gt;=10,FORSIDE!$B$5&gt;=8),"2473 -&gt; 2484","")</f>
        <v/>
      </c>
      <c r="C4459" t="str">
        <f>FORSIDE!$C$3</f>
        <v>S355, Stål / VFHUP 140x140x8.0</v>
      </c>
    </row>
    <row r="4460" spans="1:3" x14ac:dyDescent="0.3">
      <c r="A4460" t="str">
        <f>IF(AND(FORSIDE!$B$8&gt;=15,FORSIDE!$F$8&gt;=10,FORSIDE!$B$5&gt;=9),"S4459","")</f>
        <v/>
      </c>
      <c r="B4460" t="str">
        <f>IF(AND(FORSIDE!$B$8&gt;=15,FORSIDE!$F$8&gt;=10,FORSIDE!$B$5&gt;=9),"2474 -&gt; 2485","")</f>
        <v/>
      </c>
      <c r="C4460" t="str">
        <f>FORSIDE!$C$3</f>
        <v>S355, Stål / VFHUP 140x140x8.0</v>
      </c>
    </row>
    <row r="4461" spans="1:3" x14ac:dyDescent="0.3">
      <c r="A4461" t="str">
        <f>IF(AND(FORSIDE!$B$8&gt;=15,FORSIDE!$F$8&gt;=10,FORSIDE!$B$5&gt;=10),"S4460","")</f>
        <v/>
      </c>
      <c r="B4461" t="str">
        <f>IF(AND(FORSIDE!$B$8&gt;=15,FORSIDE!$F$8&gt;=10,FORSIDE!$B$5&gt;=10),"2475 -&gt; 2486","")</f>
        <v/>
      </c>
      <c r="C4461" t="str">
        <f>FORSIDE!$C$3</f>
        <v>S355, Stål / VFHUP 140x140x8.0</v>
      </c>
    </row>
    <row r="4462" spans="1:3" x14ac:dyDescent="0.3">
      <c r="A4462" t="str">
        <f>IF(AND(FORSIDE!$B$8&gt;=16,FORSIDE!$F$8&gt;=10,FORSIDE!$B$5&gt;=1),"S4461","")</f>
        <v/>
      </c>
      <c r="B4462" t="str">
        <f>IF(AND(FORSIDE!$B$8&gt;=16,FORSIDE!$F$8&gt;=10,FORSIDE!$B$5&gt;=1),"2477 -&gt; 2488","")</f>
        <v/>
      </c>
      <c r="C4462" t="str">
        <f>FORSIDE!$C$3</f>
        <v>S355, Stål / VFHUP 140x140x8.0</v>
      </c>
    </row>
    <row r="4463" spans="1:3" x14ac:dyDescent="0.3">
      <c r="A4463" t="str">
        <f>IF(AND(FORSIDE!$B$8&gt;=16,FORSIDE!$F$8&gt;=10,FORSIDE!$B$5&gt;=2),"S4462","")</f>
        <v/>
      </c>
      <c r="B4463" t="str">
        <f>IF(AND(FORSIDE!$B$8&gt;=16,FORSIDE!$F$8&gt;=10,FORSIDE!$B$5&gt;=2),"2478 -&gt; 2489","")</f>
        <v/>
      </c>
      <c r="C4463" t="str">
        <f>FORSIDE!$C$3</f>
        <v>S355, Stål / VFHUP 140x140x8.0</v>
      </c>
    </row>
    <row r="4464" spans="1:3" x14ac:dyDescent="0.3">
      <c r="A4464" t="str">
        <f>IF(AND(FORSIDE!$B$8&gt;=16,FORSIDE!$F$8&gt;=10,FORSIDE!$B$5&gt;=3),"S4463","")</f>
        <v/>
      </c>
      <c r="B4464" t="str">
        <f>IF(AND(FORSIDE!$B$8&gt;=16,FORSIDE!$F$8&gt;=10,FORSIDE!$B$5&gt;=3),"2479 -&gt; 2490","")</f>
        <v/>
      </c>
      <c r="C4464" t="str">
        <f>FORSIDE!$C$3</f>
        <v>S355, Stål / VFHUP 140x140x8.0</v>
      </c>
    </row>
    <row r="4465" spans="1:3" x14ac:dyDescent="0.3">
      <c r="A4465" t="str">
        <f>IF(AND(FORSIDE!$B$8&gt;=16,FORSIDE!$F$8&gt;=10,FORSIDE!$B$5&gt;=4),"S4464","")</f>
        <v/>
      </c>
      <c r="B4465" t="str">
        <f>IF(AND(FORSIDE!$B$8&gt;=16,FORSIDE!$F$8&gt;=10,FORSIDE!$B$5&gt;=4),"2480 -&gt; 2491","")</f>
        <v/>
      </c>
      <c r="C4465" t="str">
        <f>FORSIDE!$C$3</f>
        <v>S355, Stål / VFHUP 140x140x8.0</v>
      </c>
    </row>
    <row r="4466" spans="1:3" x14ac:dyDescent="0.3">
      <c r="A4466" t="str">
        <f>IF(AND(FORSIDE!$B$8&gt;=16,FORSIDE!$F$8&gt;=10,FORSIDE!$B$5&gt;=5),"S4465","")</f>
        <v/>
      </c>
      <c r="B4466" t="str">
        <f>IF(AND(FORSIDE!$B$8&gt;=16,FORSIDE!$F$8&gt;=10,FORSIDE!$B$5&gt;=5),"2481 -&gt; 2492","")</f>
        <v/>
      </c>
      <c r="C4466" t="str">
        <f>FORSIDE!$C$3</f>
        <v>S355, Stål / VFHUP 140x140x8.0</v>
      </c>
    </row>
    <row r="4467" spans="1:3" x14ac:dyDescent="0.3">
      <c r="A4467" t="str">
        <f>IF(AND(FORSIDE!$B$8&gt;=16,FORSIDE!$F$8&gt;=10,FORSIDE!$B$5&gt;=6),"S4466","")</f>
        <v/>
      </c>
      <c r="B4467" t="str">
        <f>IF(AND(FORSIDE!$B$8&gt;=16,FORSIDE!$F$8&gt;=10,FORSIDE!$B$5&gt;=6),"2482 -&gt; 2493","")</f>
        <v/>
      </c>
      <c r="C4467" t="str">
        <f>FORSIDE!$C$3</f>
        <v>S355, Stål / VFHUP 140x140x8.0</v>
      </c>
    </row>
    <row r="4468" spans="1:3" x14ac:dyDescent="0.3">
      <c r="A4468" t="str">
        <f>IF(AND(FORSIDE!$B$8&gt;=16,FORSIDE!$F$8&gt;=10,FORSIDE!$B$5&gt;=7),"S4467","")</f>
        <v/>
      </c>
      <c r="B4468" t="str">
        <f>IF(AND(FORSIDE!$B$8&gt;=16,FORSIDE!$F$8&gt;=10,FORSIDE!$B$5&gt;=7),"2483 -&gt; 2494","")</f>
        <v/>
      </c>
      <c r="C4468" t="str">
        <f>FORSIDE!$C$3</f>
        <v>S355, Stål / VFHUP 140x140x8.0</v>
      </c>
    </row>
    <row r="4469" spans="1:3" x14ac:dyDescent="0.3">
      <c r="A4469" t="str">
        <f>IF(AND(FORSIDE!$B$8&gt;=16,FORSIDE!$F$8&gt;=10,FORSIDE!$B$5&gt;=8),"S4468","")</f>
        <v/>
      </c>
      <c r="B4469" t="str">
        <f>IF(AND(FORSIDE!$B$8&gt;=16,FORSIDE!$F$8&gt;=10,FORSIDE!$B$5&gt;=8),"2484 -&gt; 2495","")</f>
        <v/>
      </c>
      <c r="C4469" t="str">
        <f>FORSIDE!$C$3</f>
        <v>S355, Stål / VFHUP 140x140x8.0</v>
      </c>
    </row>
    <row r="4470" spans="1:3" x14ac:dyDescent="0.3">
      <c r="A4470" t="str">
        <f>IF(AND(FORSIDE!$B$8&gt;=16,FORSIDE!$F$8&gt;=10,FORSIDE!$B$5&gt;=9),"S4469","")</f>
        <v/>
      </c>
      <c r="B4470" t="str">
        <f>IF(AND(FORSIDE!$B$8&gt;=16,FORSIDE!$F$8&gt;=10,FORSIDE!$B$5&gt;=9),"2485 -&gt; 2496","")</f>
        <v/>
      </c>
      <c r="C4470" t="str">
        <f>FORSIDE!$C$3</f>
        <v>S355, Stål / VFHUP 140x140x8.0</v>
      </c>
    </row>
    <row r="4471" spans="1:3" x14ac:dyDescent="0.3">
      <c r="A4471" t="str">
        <f>IF(AND(FORSIDE!$B$8&gt;=16,FORSIDE!$F$8&gt;=10,FORSIDE!$B$5&gt;=10),"S4470","")</f>
        <v/>
      </c>
      <c r="B4471" t="str">
        <f>IF(AND(FORSIDE!$B$8&gt;=16,FORSIDE!$F$8&gt;=10,FORSIDE!$B$5&gt;=10),"2486 -&gt; 2497","")</f>
        <v/>
      </c>
      <c r="C4471" t="str">
        <f>FORSIDE!$C$3</f>
        <v>S355, Stål / VFHUP 140x140x8.0</v>
      </c>
    </row>
    <row r="4472" spans="1:3" x14ac:dyDescent="0.3">
      <c r="A4472" t="str">
        <f>IF(AND(FORSIDE!$B$8&gt;=17,FORSIDE!$F$8&gt;=10,FORSIDE!$B$5&gt;=1),"S4471","")</f>
        <v/>
      </c>
      <c r="B4472" t="str">
        <f>IF(AND(FORSIDE!$B$8&gt;=17,FORSIDE!$F$8&gt;=10,FORSIDE!$B$5&gt;=1),"2488 -&gt; 2499","")</f>
        <v/>
      </c>
      <c r="C4472" t="str">
        <f>FORSIDE!$C$3</f>
        <v>S355, Stål / VFHUP 140x140x8.0</v>
      </c>
    </row>
    <row r="4473" spans="1:3" x14ac:dyDescent="0.3">
      <c r="A4473" t="str">
        <f>IF(AND(FORSIDE!$B$8&gt;=17,FORSIDE!$F$8&gt;=10,FORSIDE!$B$5&gt;=2),"S4472","")</f>
        <v/>
      </c>
      <c r="B4473" t="str">
        <f>IF(AND(FORSIDE!$B$8&gt;=17,FORSIDE!$F$8&gt;=10,FORSIDE!$B$5&gt;=2),"2489 -&gt; 2500","")</f>
        <v/>
      </c>
      <c r="C4473" t="str">
        <f>FORSIDE!$C$3</f>
        <v>S355, Stål / VFHUP 140x140x8.0</v>
      </c>
    </row>
    <row r="4474" spans="1:3" x14ac:dyDescent="0.3">
      <c r="A4474" t="str">
        <f>IF(AND(FORSIDE!$B$8&gt;=17,FORSIDE!$F$8&gt;=10,FORSIDE!$B$5&gt;=3),"S4473","")</f>
        <v/>
      </c>
      <c r="B4474" t="str">
        <f>IF(AND(FORSIDE!$B$8&gt;=17,FORSIDE!$F$8&gt;=10,FORSIDE!$B$5&gt;=3),"2490 -&gt; 2501","")</f>
        <v/>
      </c>
      <c r="C4474" t="str">
        <f>FORSIDE!$C$3</f>
        <v>S355, Stål / VFHUP 140x140x8.0</v>
      </c>
    </row>
    <row r="4475" spans="1:3" x14ac:dyDescent="0.3">
      <c r="A4475" t="str">
        <f>IF(AND(FORSIDE!$B$8&gt;=17,FORSIDE!$F$8&gt;=10,FORSIDE!$B$5&gt;=4),"S4474","")</f>
        <v/>
      </c>
      <c r="B4475" t="str">
        <f>IF(AND(FORSIDE!$B$8&gt;=17,FORSIDE!$F$8&gt;=10,FORSIDE!$B$5&gt;=4),"2491 -&gt; 2502","")</f>
        <v/>
      </c>
      <c r="C4475" t="str">
        <f>FORSIDE!$C$3</f>
        <v>S355, Stål / VFHUP 140x140x8.0</v>
      </c>
    </row>
    <row r="4476" spans="1:3" x14ac:dyDescent="0.3">
      <c r="A4476" t="str">
        <f>IF(AND(FORSIDE!$B$8&gt;=17,FORSIDE!$F$8&gt;=10,FORSIDE!$B$5&gt;=5),"S4475","")</f>
        <v/>
      </c>
      <c r="B4476" t="str">
        <f>IF(AND(FORSIDE!$B$8&gt;=17,FORSIDE!$F$8&gt;=10,FORSIDE!$B$5&gt;=5),"2492 -&gt; 2503","")</f>
        <v/>
      </c>
      <c r="C4476" t="str">
        <f>FORSIDE!$C$3</f>
        <v>S355, Stål / VFHUP 140x140x8.0</v>
      </c>
    </row>
    <row r="4477" spans="1:3" x14ac:dyDescent="0.3">
      <c r="A4477" t="str">
        <f>IF(AND(FORSIDE!$B$8&gt;=17,FORSIDE!$F$8&gt;=10,FORSIDE!$B$5&gt;=6),"S4476","")</f>
        <v/>
      </c>
      <c r="B4477" t="str">
        <f>IF(AND(FORSIDE!$B$8&gt;=17,FORSIDE!$F$8&gt;=10,FORSIDE!$B$5&gt;=6),"2493 -&gt; 2504","")</f>
        <v/>
      </c>
      <c r="C4477" t="str">
        <f>FORSIDE!$C$3</f>
        <v>S355, Stål / VFHUP 140x140x8.0</v>
      </c>
    </row>
    <row r="4478" spans="1:3" x14ac:dyDescent="0.3">
      <c r="A4478" t="str">
        <f>IF(AND(FORSIDE!$B$8&gt;=17,FORSIDE!$F$8&gt;=10,FORSIDE!$B$5&gt;=7),"S4477","")</f>
        <v/>
      </c>
      <c r="B4478" t="str">
        <f>IF(AND(FORSIDE!$B$8&gt;=17,FORSIDE!$F$8&gt;=10,FORSIDE!$B$5&gt;=7),"2494 -&gt; 2505","")</f>
        <v/>
      </c>
      <c r="C4478" t="str">
        <f>FORSIDE!$C$3</f>
        <v>S355, Stål / VFHUP 140x140x8.0</v>
      </c>
    </row>
    <row r="4479" spans="1:3" x14ac:dyDescent="0.3">
      <c r="A4479" t="str">
        <f>IF(AND(FORSIDE!$B$8&gt;=17,FORSIDE!$F$8&gt;=10,FORSIDE!$B$5&gt;=8),"S4478","")</f>
        <v/>
      </c>
      <c r="B4479" t="str">
        <f>IF(AND(FORSIDE!$B$8&gt;=17,FORSIDE!$F$8&gt;=10,FORSIDE!$B$5&gt;=8),"2495 -&gt; 2506","")</f>
        <v/>
      </c>
      <c r="C4479" t="str">
        <f>FORSIDE!$C$3</f>
        <v>S355, Stål / VFHUP 140x140x8.0</v>
      </c>
    </row>
    <row r="4480" spans="1:3" x14ac:dyDescent="0.3">
      <c r="A4480" t="str">
        <f>IF(AND(FORSIDE!$B$8&gt;=17,FORSIDE!$F$8&gt;=10,FORSIDE!$B$5&gt;=9),"S4479","")</f>
        <v/>
      </c>
      <c r="B4480" t="str">
        <f>IF(AND(FORSIDE!$B$8&gt;=17,FORSIDE!$F$8&gt;=10,FORSIDE!$B$5&gt;=9),"2496 -&gt; 2507","")</f>
        <v/>
      </c>
      <c r="C4480" t="str">
        <f>FORSIDE!$C$3</f>
        <v>S355, Stål / VFHUP 140x140x8.0</v>
      </c>
    </row>
    <row r="4481" spans="1:3" x14ac:dyDescent="0.3">
      <c r="A4481" t="str">
        <f>IF(AND(FORSIDE!$B$8&gt;=17,FORSIDE!$F$8&gt;=10,FORSIDE!$B$5&gt;=10),"S4480","")</f>
        <v/>
      </c>
      <c r="B4481" t="str">
        <f>IF(AND(FORSIDE!$B$8&gt;=17,FORSIDE!$F$8&gt;=10,FORSIDE!$B$5&gt;=10),"2497 -&gt; 2508","")</f>
        <v/>
      </c>
      <c r="C4481" t="str">
        <f>FORSIDE!$C$3</f>
        <v>S355, Stål / VFHUP 140x140x8.0</v>
      </c>
    </row>
    <row r="4482" spans="1:3" x14ac:dyDescent="0.3">
      <c r="A4482" t="str">
        <f>IF(AND(FORSIDE!$B$8&gt;=18,FORSIDE!$F$8&gt;=10,FORSIDE!$B$5&gt;=1),"S4481","")</f>
        <v/>
      </c>
      <c r="B4482" t="str">
        <f>IF(AND(FORSIDE!$B$8&gt;=18,FORSIDE!$F$8&gt;=10,FORSIDE!$B$5&gt;=1),"2499 -&gt; 2510","")</f>
        <v/>
      </c>
      <c r="C4482" t="str">
        <f>FORSIDE!$C$3</f>
        <v>S355, Stål / VFHUP 140x140x8.0</v>
      </c>
    </row>
    <row r="4483" spans="1:3" x14ac:dyDescent="0.3">
      <c r="A4483" t="str">
        <f>IF(AND(FORSIDE!$B$8&gt;=18,FORSIDE!$F$8&gt;=10,FORSIDE!$B$5&gt;=2),"S4482","")</f>
        <v/>
      </c>
      <c r="B4483" t="str">
        <f>IF(AND(FORSIDE!$B$8&gt;=18,FORSIDE!$F$8&gt;=10,FORSIDE!$B$5&gt;=2),"2500 -&gt; 2511","")</f>
        <v/>
      </c>
      <c r="C4483" t="str">
        <f>FORSIDE!$C$3</f>
        <v>S355, Stål / VFHUP 140x140x8.0</v>
      </c>
    </row>
    <row r="4484" spans="1:3" x14ac:dyDescent="0.3">
      <c r="A4484" t="str">
        <f>IF(AND(FORSIDE!$B$8&gt;=18,FORSIDE!$F$8&gt;=10,FORSIDE!$B$5&gt;=3),"S4483","")</f>
        <v/>
      </c>
      <c r="B4484" t="str">
        <f>IF(AND(FORSIDE!$B$8&gt;=18,FORSIDE!$F$8&gt;=10,FORSIDE!$B$5&gt;=3),"2501 -&gt; 2512","")</f>
        <v/>
      </c>
      <c r="C4484" t="str">
        <f>FORSIDE!$C$3</f>
        <v>S355, Stål / VFHUP 140x140x8.0</v>
      </c>
    </row>
    <row r="4485" spans="1:3" x14ac:dyDescent="0.3">
      <c r="A4485" t="str">
        <f>IF(AND(FORSIDE!$B$8&gt;=18,FORSIDE!$F$8&gt;=10,FORSIDE!$B$5&gt;=4),"S4484","")</f>
        <v/>
      </c>
      <c r="B4485" t="str">
        <f>IF(AND(FORSIDE!$B$8&gt;=18,FORSIDE!$F$8&gt;=10,FORSIDE!$B$5&gt;=4),"2502 -&gt; 2513","")</f>
        <v/>
      </c>
      <c r="C4485" t="str">
        <f>FORSIDE!$C$3</f>
        <v>S355, Stål / VFHUP 140x140x8.0</v>
      </c>
    </row>
    <row r="4486" spans="1:3" x14ac:dyDescent="0.3">
      <c r="A4486" t="str">
        <f>IF(AND(FORSIDE!$B$8&gt;=18,FORSIDE!$F$8&gt;=10,FORSIDE!$B$5&gt;=5),"S4485","")</f>
        <v/>
      </c>
      <c r="B4486" t="str">
        <f>IF(AND(FORSIDE!$B$8&gt;=18,FORSIDE!$F$8&gt;=10,FORSIDE!$B$5&gt;=5),"2503 -&gt; 2514","")</f>
        <v/>
      </c>
      <c r="C4486" t="str">
        <f>FORSIDE!$C$3</f>
        <v>S355, Stål / VFHUP 140x140x8.0</v>
      </c>
    </row>
    <row r="4487" spans="1:3" x14ac:dyDescent="0.3">
      <c r="A4487" t="str">
        <f>IF(AND(FORSIDE!$B$8&gt;=18,FORSIDE!$F$8&gt;=10,FORSIDE!$B$5&gt;=6),"S4486","")</f>
        <v/>
      </c>
      <c r="B4487" t="str">
        <f>IF(AND(FORSIDE!$B$8&gt;=18,FORSIDE!$F$8&gt;=10,FORSIDE!$B$5&gt;=6),"2504 -&gt; 2515","")</f>
        <v/>
      </c>
      <c r="C4487" t="str">
        <f>FORSIDE!$C$3</f>
        <v>S355, Stål / VFHUP 140x140x8.0</v>
      </c>
    </row>
    <row r="4488" spans="1:3" x14ac:dyDescent="0.3">
      <c r="A4488" t="str">
        <f>IF(AND(FORSIDE!$B$8&gt;=18,FORSIDE!$F$8&gt;=10,FORSIDE!$B$5&gt;=7),"S4487","")</f>
        <v/>
      </c>
      <c r="B4488" t="str">
        <f>IF(AND(FORSIDE!$B$8&gt;=18,FORSIDE!$F$8&gt;=10,FORSIDE!$B$5&gt;=7),"2505 -&gt; 2516","")</f>
        <v/>
      </c>
      <c r="C4488" t="str">
        <f>FORSIDE!$C$3</f>
        <v>S355, Stål / VFHUP 140x140x8.0</v>
      </c>
    </row>
    <row r="4489" spans="1:3" x14ac:dyDescent="0.3">
      <c r="A4489" t="str">
        <f>IF(AND(FORSIDE!$B$8&gt;=18,FORSIDE!$F$8&gt;=10,FORSIDE!$B$5&gt;=8),"S4488","")</f>
        <v/>
      </c>
      <c r="B4489" t="str">
        <f>IF(AND(FORSIDE!$B$8&gt;=18,FORSIDE!$F$8&gt;=10,FORSIDE!$B$5&gt;=8),"2506 -&gt; 2517","")</f>
        <v/>
      </c>
      <c r="C4489" t="str">
        <f>FORSIDE!$C$3</f>
        <v>S355, Stål / VFHUP 140x140x8.0</v>
      </c>
    </row>
    <row r="4490" spans="1:3" x14ac:dyDescent="0.3">
      <c r="A4490" t="str">
        <f>IF(AND(FORSIDE!$B$8&gt;=18,FORSIDE!$F$8&gt;=10,FORSIDE!$B$5&gt;=9),"S4489","")</f>
        <v/>
      </c>
      <c r="B4490" t="str">
        <f>IF(AND(FORSIDE!$B$8&gt;=18,FORSIDE!$F$8&gt;=10,FORSIDE!$B$5&gt;=9),"2507 -&gt; 2518","")</f>
        <v/>
      </c>
      <c r="C4490" t="str">
        <f>FORSIDE!$C$3</f>
        <v>S355, Stål / VFHUP 140x140x8.0</v>
      </c>
    </row>
    <row r="4491" spans="1:3" x14ac:dyDescent="0.3">
      <c r="A4491" t="str">
        <f>IF(AND(FORSIDE!$B$8&gt;=18,FORSIDE!$F$8&gt;=10,FORSIDE!$B$5&gt;=10),"S4490","")</f>
        <v/>
      </c>
      <c r="B4491" t="str">
        <f>IF(AND(FORSIDE!$B$8&gt;=18,FORSIDE!$F$8&gt;=10,FORSIDE!$B$5&gt;=10),"2508 -&gt; 2519","")</f>
        <v/>
      </c>
      <c r="C4491" t="str">
        <f>FORSIDE!$C$3</f>
        <v>S355, Stål / VFHUP 140x140x8.0</v>
      </c>
    </row>
    <row r="4492" spans="1:3" x14ac:dyDescent="0.3">
      <c r="A4492" t="str">
        <f>IF(AND(FORSIDE!$B$8&gt;=19,FORSIDE!$F$8&gt;=10,FORSIDE!$B$5&gt;=1),"S4491","")</f>
        <v/>
      </c>
      <c r="B4492" t="str">
        <f>IF(AND(FORSIDE!$B$8&gt;=19,FORSIDE!$F$8&gt;=10,FORSIDE!$B$5&gt;=1),"2510 -&gt; 2521","")</f>
        <v/>
      </c>
      <c r="C4492" t="str">
        <f>FORSIDE!$C$3</f>
        <v>S355, Stål / VFHUP 140x140x8.0</v>
      </c>
    </row>
    <row r="4493" spans="1:3" x14ac:dyDescent="0.3">
      <c r="A4493" t="str">
        <f>IF(AND(FORSIDE!$B$8&gt;=19,FORSIDE!$F$8&gt;=10,FORSIDE!$B$5&gt;=2),"S4492","")</f>
        <v/>
      </c>
      <c r="B4493" t="str">
        <f>IF(AND(FORSIDE!$B$8&gt;=19,FORSIDE!$F$8&gt;=10,FORSIDE!$B$5&gt;=2),"2511 -&gt; 2522","")</f>
        <v/>
      </c>
      <c r="C4493" t="str">
        <f>FORSIDE!$C$3</f>
        <v>S355, Stål / VFHUP 140x140x8.0</v>
      </c>
    </row>
    <row r="4494" spans="1:3" x14ac:dyDescent="0.3">
      <c r="A4494" t="str">
        <f>IF(AND(FORSIDE!$B$8&gt;=19,FORSIDE!$F$8&gt;=10,FORSIDE!$B$5&gt;=3),"S4493","")</f>
        <v/>
      </c>
      <c r="B4494" t="str">
        <f>IF(AND(FORSIDE!$B$8&gt;=19,FORSIDE!$F$8&gt;=10,FORSIDE!$B$5&gt;=3),"2512 -&gt; 2523","")</f>
        <v/>
      </c>
      <c r="C4494" t="str">
        <f>FORSIDE!$C$3</f>
        <v>S355, Stål / VFHUP 140x140x8.0</v>
      </c>
    </row>
    <row r="4495" spans="1:3" x14ac:dyDescent="0.3">
      <c r="A4495" t="str">
        <f>IF(AND(FORSIDE!$B$8&gt;=19,FORSIDE!$F$8&gt;=10,FORSIDE!$B$5&gt;=4),"S4494","")</f>
        <v/>
      </c>
      <c r="B4495" t="str">
        <f>IF(AND(FORSIDE!$B$8&gt;=19,FORSIDE!$F$8&gt;=10,FORSIDE!$B$5&gt;=4),"2513 -&gt; 2524","")</f>
        <v/>
      </c>
      <c r="C4495" t="str">
        <f>FORSIDE!$C$3</f>
        <v>S355, Stål / VFHUP 140x140x8.0</v>
      </c>
    </row>
    <row r="4496" spans="1:3" x14ac:dyDescent="0.3">
      <c r="A4496" t="str">
        <f>IF(AND(FORSIDE!$B$8&gt;=19,FORSIDE!$F$8&gt;=10,FORSIDE!$B$5&gt;=5),"S4495","")</f>
        <v/>
      </c>
      <c r="B4496" t="str">
        <f>IF(AND(FORSIDE!$B$8&gt;=19,FORSIDE!$F$8&gt;=10,FORSIDE!$B$5&gt;=5),"2514 -&gt; 2525","")</f>
        <v/>
      </c>
      <c r="C4496" t="str">
        <f>FORSIDE!$C$3</f>
        <v>S355, Stål / VFHUP 140x140x8.0</v>
      </c>
    </row>
    <row r="4497" spans="1:3" x14ac:dyDescent="0.3">
      <c r="A4497" t="str">
        <f>IF(AND(FORSIDE!$B$8&gt;=19,FORSIDE!$F$8&gt;=10,FORSIDE!$B$5&gt;=6),"S4496","")</f>
        <v/>
      </c>
      <c r="B4497" t="str">
        <f>IF(AND(FORSIDE!$B$8&gt;=19,FORSIDE!$F$8&gt;=10,FORSIDE!$B$5&gt;=6),"2515 -&gt; 2526","")</f>
        <v/>
      </c>
      <c r="C4497" t="str">
        <f>FORSIDE!$C$3</f>
        <v>S355, Stål / VFHUP 140x140x8.0</v>
      </c>
    </row>
    <row r="4498" spans="1:3" x14ac:dyDescent="0.3">
      <c r="A4498" t="str">
        <f>IF(AND(FORSIDE!$B$8&gt;=19,FORSIDE!$F$8&gt;=10,FORSIDE!$B$5&gt;=7),"S4497","")</f>
        <v/>
      </c>
      <c r="B4498" t="str">
        <f>IF(AND(FORSIDE!$B$8&gt;=19,FORSIDE!$F$8&gt;=10,FORSIDE!$B$5&gt;=7),"2516 -&gt; 2527","")</f>
        <v/>
      </c>
      <c r="C4498" t="str">
        <f>FORSIDE!$C$3</f>
        <v>S355, Stål / VFHUP 140x140x8.0</v>
      </c>
    </row>
    <row r="4499" spans="1:3" x14ac:dyDescent="0.3">
      <c r="A4499" t="str">
        <f>IF(AND(FORSIDE!$B$8&gt;=19,FORSIDE!$F$8&gt;=10,FORSIDE!$B$5&gt;=8),"S4498","")</f>
        <v/>
      </c>
      <c r="B4499" t="str">
        <f>IF(AND(FORSIDE!$B$8&gt;=19,FORSIDE!$F$8&gt;=10,FORSIDE!$B$5&gt;=8),"2517 -&gt; 2528","")</f>
        <v/>
      </c>
      <c r="C4499" t="str">
        <f>FORSIDE!$C$3</f>
        <v>S355, Stål / VFHUP 140x140x8.0</v>
      </c>
    </row>
    <row r="4500" spans="1:3" x14ac:dyDescent="0.3">
      <c r="A4500" t="str">
        <f>IF(AND(FORSIDE!$B$8&gt;=19,FORSIDE!$F$8&gt;=10,FORSIDE!$B$5&gt;=9),"S4499","")</f>
        <v/>
      </c>
      <c r="B4500" t="str">
        <f>IF(AND(FORSIDE!$B$8&gt;=19,FORSIDE!$F$8&gt;=10,FORSIDE!$B$5&gt;=9),"2518 -&gt; 2529","")</f>
        <v/>
      </c>
      <c r="C4500" t="str">
        <f>FORSIDE!$C$3</f>
        <v>S355, Stål / VFHUP 140x140x8.0</v>
      </c>
    </row>
    <row r="4501" spans="1:3" x14ac:dyDescent="0.3">
      <c r="A4501" t="str">
        <f>IF(AND(FORSIDE!$B$8&gt;=19,FORSIDE!$F$8&gt;=10,FORSIDE!$B$5&gt;=10),"S4500","")</f>
        <v/>
      </c>
      <c r="B4501" t="str">
        <f>IF(AND(FORSIDE!$B$8&gt;=19,FORSIDE!$F$8&gt;=10,FORSIDE!$B$5&gt;=10),"2519 -&gt; 2530","")</f>
        <v/>
      </c>
      <c r="C4501" t="str">
        <f>FORSIDE!$C$3</f>
        <v>S355, Stål / VFHUP 140x140x8.0</v>
      </c>
    </row>
    <row r="4502" spans="1:3" x14ac:dyDescent="0.3">
      <c r="A4502" t="str">
        <f>IF(AND(FORSIDE!$B$8&gt;=20,FORSIDE!$F$8&gt;=10,FORSIDE!$B$5&gt;=1),"S4501","")</f>
        <v/>
      </c>
      <c r="B4502" t="str">
        <f>IF(AND(FORSIDE!$B$8&gt;=20,FORSIDE!$F$8&gt;=10,FORSIDE!$B$5&gt;=1),"2521 -&gt; 2532","")</f>
        <v/>
      </c>
      <c r="C4502" t="str">
        <f>FORSIDE!$C$3</f>
        <v>S355, Stål / VFHUP 140x140x8.0</v>
      </c>
    </row>
    <row r="4503" spans="1:3" x14ac:dyDescent="0.3">
      <c r="A4503" t="str">
        <f>IF(AND(FORSIDE!$B$8&gt;=20,FORSIDE!$F$8&gt;=10,FORSIDE!$B$5&gt;=2),"S4502","")</f>
        <v/>
      </c>
      <c r="B4503" t="str">
        <f>IF(AND(FORSIDE!$B$8&gt;=20,FORSIDE!$F$8&gt;=10,FORSIDE!$B$5&gt;=2),"2522 -&gt; 2533","")</f>
        <v/>
      </c>
      <c r="C4503" t="str">
        <f>FORSIDE!$C$3</f>
        <v>S355, Stål / VFHUP 140x140x8.0</v>
      </c>
    </row>
    <row r="4504" spans="1:3" x14ac:dyDescent="0.3">
      <c r="A4504" t="str">
        <f>IF(AND(FORSIDE!$B$8&gt;=20,FORSIDE!$F$8&gt;=10,FORSIDE!$B$5&gt;=3),"S4503","")</f>
        <v/>
      </c>
      <c r="B4504" t="str">
        <f>IF(AND(FORSIDE!$B$8&gt;=20,FORSIDE!$F$8&gt;=10,FORSIDE!$B$5&gt;=3),"2523 -&gt; 2534","")</f>
        <v/>
      </c>
      <c r="C4504" t="str">
        <f>FORSIDE!$C$3</f>
        <v>S355, Stål / VFHUP 140x140x8.0</v>
      </c>
    </row>
    <row r="4505" spans="1:3" x14ac:dyDescent="0.3">
      <c r="A4505" t="str">
        <f>IF(AND(FORSIDE!$B$8&gt;=20,FORSIDE!$F$8&gt;=10,FORSIDE!$B$5&gt;=4),"S4504","")</f>
        <v/>
      </c>
      <c r="B4505" t="str">
        <f>IF(AND(FORSIDE!$B$8&gt;=20,FORSIDE!$F$8&gt;=10,FORSIDE!$B$5&gt;=4),"2524 -&gt; 2535","")</f>
        <v/>
      </c>
      <c r="C4505" t="str">
        <f>FORSIDE!$C$3</f>
        <v>S355, Stål / VFHUP 140x140x8.0</v>
      </c>
    </row>
    <row r="4506" spans="1:3" x14ac:dyDescent="0.3">
      <c r="A4506" t="str">
        <f>IF(AND(FORSIDE!$B$8&gt;=20,FORSIDE!$F$8&gt;=10,FORSIDE!$B$5&gt;=5),"S4505","")</f>
        <v/>
      </c>
      <c r="B4506" t="str">
        <f>IF(AND(FORSIDE!$B$8&gt;=20,FORSIDE!$F$8&gt;=10,FORSIDE!$B$5&gt;=5),"2525 -&gt; 2536","")</f>
        <v/>
      </c>
      <c r="C4506" t="str">
        <f>FORSIDE!$C$3</f>
        <v>S355, Stål / VFHUP 140x140x8.0</v>
      </c>
    </row>
    <row r="4507" spans="1:3" x14ac:dyDescent="0.3">
      <c r="A4507" t="str">
        <f>IF(AND(FORSIDE!$B$8&gt;=20,FORSIDE!$F$8&gt;=10,FORSIDE!$B$5&gt;=6),"S4506","")</f>
        <v/>
      </c>
      <c r="B4507" t="str">
        <f>IF(AND(FORSIDE!$B$8&gt;=20,FORSIDE!$F$8&gt;=10,FORSIDE!$B$5&gt;=6),"2526 -&gt; 2537","")</f>
        <v/>
      </c>
      <c r="C4507" t="str">
        <f>FORSIDE!$C$3</f>
        <v>S355, Stål / VFHUP 140x140x8.0</v>
      </c>
    </row>
    <row r="4508" spans="1:3" x14ac:dyDescent="0.3">
      <c r="A4508" t="str">
        <f>IF(AND(FORSIDE!$B$8&gt;=20,FORSIDE!$F$8&gt;=10,FORSIDE!$B$5&gt;=7),"S4507","")</f>
        <v/>
      </c>
      <c r="B4508" t="str">
        <f>IF(AND(FORSIDE!$B$8&gt;=20,FORSIDE!$F$8&gt;=10,FORSIDE!$B$5&gt;=7),"2527 -&gt; 2538","")</f>
        <v/>
      </c>
      <c r="C4508" t="str">
        <f>FORSIDE!$C$3</f>
        <v>S355, Stål / VFHUP 140x140x8.0</v>
      </c>
    </row>
    <row r="4509" spans="1:3" x14ac:dyDescent="0.3">
      <c r="A4509" t="str">
        <f>IF(AND(FORSIDE!$B$8&gt;=20,FORSIDE!$F$8&gt;=10,FORSIDE!$B$5&gt;=8),"S4508","")</f>
        <v/>
      </c>
      <c r="B4509" t="str">
        <f>IF(AND(FORSIDE!$B$8&gt;=20,FORSIDE!$F$8&gt;=10,FORSIDE!$B$5&gt;=8),"2528 -&gt; 2539","")</f>
        <v/>
      </c>
      <c r="C4509" t="str">
        <f>FORSIDE!$C$3</f>
        <v>S355, Stål / VFHUP 140x140x8.0</v>
      </c>
    </row>
    <row r="4510" spans="1:3" x14ac:dyDescent="0.3">
      <c r="A4510" t="str">
        <f>IF(AND(FORSIDE!$B$8&gt;=20,FORSIDE!$F$8&gt;=10,FORSIDE!$B$5&gt;=9),"S4509","")</f>
        <v/>
      </c>
      <c r="B4510" t="str">
        <f>IF(AND(FORSIDE!$B$8&gt;=20,FORSIDE!$F$8&gt;=10,FORSIDE!$B$5&gt;=9),"2529 -&gt; 2540","")</f>
        <v/>
      </c>
      <c r="C4510" t="str">
        <f>FORSIDE!$C$3</f>
        <v>S355, Stål / VFHUP 140x140x8.0</v>
      </c>
    </row>
    <row r="4511" spans="1:3" x14ac:dyDescent="0.3">
      <c r="A4511" t="str">
        <f>IF(AND(FORSIDE!$B$8&gt;=20,FORSIDE!$F$8&gt;=10,FORSIDE!$B$5&gt;=10),"S4510","")</f>
        <v/>
      </c>
      <c r="B4511" t="str">
        <f>IF(AND(FORSIDE!$B$8&gt;=20,FORSIDE!$F$8&gt;=10,FORSIDE!$B$5&gt;=10),"2530 -&gt; 2541","")</f>
        <v/>
      </c>
      <c r="C4511" t="str">
        <f>FORSIDE!$C$3</f>
        <v>S355, Stål / VFHUP 140x140x8.0</v>
      </c>
    </row>
    <row r="4512" spans="1:3" x14ac:dyDescent="0.3">
      <c r="A4512" t="str">
        <f>IF(AND(FORSIDE!$B$8&gt;=0,FORSIDE!$F$8&gt;=1,FORSIDE!$B$5&gt;=1),"S4511","")</f>
        <v>S4511</v>
      </c>
      <c r="B4512" t="str">
        <f>IF(AND(FORSIDE!$B$8&gt;=0,FORSIDE!$F$8&gt;=1,FORSIDE!$B$5&gt;=1),"2 -&gt; 233","")</f>
        <v>2 -&gt; 233</v>
      </c>
      <c r="C4512" t="str">
        <f>FORSIDE!$C$3</f>
        <v>S355, Stål / VFHUP 140x140x8.0</v>
      </c>
    </row>
    <row r="4513" spans="1:3" x14ac:dyDescent="0.3">
      <c r="A4513" t="str">
        <f>IF(AND(FORSIDE!$B$8&gt;=0,FORSIDE!$F$8&gt;=1,FORSIDE!$B$5&gt;=2),"S4512","")</f>
        <v>S4512</v>
      </c>
      <c r="B4513" t="str">
        <f>IF(AND(FORSIDE!$B$8&gt;=0,FORSIDE!$F$8&gt;=1,FORSIDE!$B$5&gt;=2),"3 -&gt; 234","")</f>
        <v>3 -&gt; 234</v>
      </c>
      <c r="C4513" t="str">
        <f>FORSIDE!$C$3</f>
        <v>S355, Stål / VFHUP 140x140x8.0</v>
      </c>
    </row>
    <row r="4514" spans="1:3" x14ac:dyDescent="0.3">
      <c r="A4514" t="str">
        <f>IF(AND(FORSIDE!$B$8&gt;=0,FORSIDE!$F$8&gt;=1,FORSIDE!$B$5&gt;=3),"S4513","")</f>
        <v>S4513</v>
      </c>
      <c r="B4514" t="str">
        <f>IF(AND(FORSIDE!$B$8&gt;=0,FORSIDE!$F$8&gt;=1,FORSIDE!$B$5&gt;=3),"4 -&gt; 235","")</f>
        <v>4 -&gt; 235</v>
      </c>
      <c r="C4514" t="str">
        <f>FORSIDE!$C$3</f>
        <v>S355, Stål / VFHUP 140x140x8.0</v>
      </c>
    </row>
    <row r="4515" spans="1:3" x14ac:dyDescent="0.3">
      <c r="A4515" t="str">
        <f>IF(AND(FORSIDE!$B$8&gt;=0,FORSIDE!$F$8&gt;=1,FORSIDE!$B$5&gt;=4),"S4514","")</f>
        <v>S4514</v>
      </c>
      <c r="B4515" t="str">
        <f>IF(AND(FORSIDE!$B$8&gt;=0,FORSIDE!$F$8&gt;=1,FORSIDE!$B$5&gt;=4),"5 -&gt; 236","")</f>
        <v>5 -&gt; 236</v>
      </c>
      <c r="C4515" t="str">
        <f>FORSIDE!$C$3</f>
        <v>S355, Stål / VFHUP 140x140x8.0</v>
      </c>
    </row>
    <row r="4516" spans="1:3" x14ac:dyDescent="0.3">
      <c r="A4516" t="str">
        <f>IF(AND(FORSIDE!$B$8&gt;=0,FORSIDE!$F$8&gt;=1,FORSIDE!$B$5&gt;=5),"S4515","")</f>
        <v>S4515</v>
      </c>
      <c r="B4516" t="str">
        <f>IF(AND(FORSIDE!$B$8&gt;=0,FORSIDE!$F$8&gt;=1,FORSIDE!$B$5&gt;=5),"6 -&gt; 237","")</f>
        <v>6 -&gt; 237</v>
      </c>
      <c r="C4516" t="str">
        <f>FORSIDE!$C$3</f>
        <v>S355, Stål / VFHUP 140x140x8.0</v>
      </c>
    </row>
    <row r="4517" spans="1:3" x14ac:dyDescent="0.3">
      <c r="A4517" t="str">
        <f>IF(AND(FORSIDE!$B$8&gt;=0,FORSIDE!$F$8&gt;=1,FORSIDE!$B$5&gt;=6),"S4516","")</f>
        <v>S4516</v>
      </c>
      <c r="B4517" t="str">
        <f>IF(AND(FORSIDE!$B$8&gt;=0,FORSIDE!$F$8&gt;=1,FORSIDE!$B$5&gt;=6),"7 -&gt; 238","")</f>
        <v>7 -&gt; 238</v>
      </c>
      <c r="C4517" t="str">
        <f>FORSIDE!$C$3</f>
        <v>S355, Stål / VFHUP 140x140x8.0</v>
      </c>
    </row>
    <row r="4518" spans="1:3" x14ac:dyDescent="0.3">
      <c r="A4518" t="str">
        <f>IF(AND(FORSIDE!$B$8&gt;=0,FORSIDE!$F$8&gt;=1,FORSIDE!$B$5&gt;=7),"S4517","")</f>
        <v/>
      </c>
      <c r="B4518" t="str">
        <f>IF(AND(FORSIDE!$B$8&gt;=0,FORSIDE!$F$8&gt;=1,FORSIDE!$B$5&gt;=7),"8 -&gt; 239","")</f>
        <v/>
      </c>
      <c r="C4518" t="str">
        <f>FORSIDE!$C$3</f>
        <v>S355, Stål / VFHUP 140x140x8.0</v>
      </c>
    </row>
    <row r="4519" spans="1:3" x14ac:dyDescent="0.3">
      <c r="A4519" t="str">
        <f>IF(AND(FORSIDE!$B$8&gt;=0,FORSIDE!$F$8&gt;=1,FORSIDE!$B$5&gt;=8),"S4518","")</f>
        <v/>
      </c>
      <c r="B4519" t="str">
        <f>IF(AND(FORSIDE!$B$8&gt;=0,FORSIDE!$F$8&gt;=1,FORSIDE!$B$5&gt;=8),"9 -&gt; 240","")</f>
        <v/>
      </c>
      <c r="C4519" t="str">
        <f>FORSIDE!$C$3</f>
        <v>S355, Stål / VFHUP 140x140x8.0</v>
      </c>
    </row>
    <row r="4520" spans="1:3" x14ac:dyDescent="0.3">
      <c r="A4520" t="str">
        <f>IF(AND(FORSIDE!$B$8&gt;=0,FORSIDE!$F$8&gt;=1,FORSIDE!$B$5&gt;=9),"S4519","")</f>
        <v/>
      </c>
      <c r="B4520" t="str">
        <f>IF(AND(FORSIDE!$B$8&gt;=0,FORSIDE!$F$8&gt;=1,FORSIDE!$B$5&gt;=9),"10 -&gt; 241","")</f>
        <v/>
      </c>
      <c r="C4520" t="str">
        <f>FORSIDE!$C$3</f>
        <v>S355, Stål / VFHUP 140x140x8.0</v>
      </c>
    </row>
    <row r="4521" spans="1:3" x14ac:dyDescent="0.3">
      <c r="A4521" t="str">
        <f>IF(AND(FORSIDE!$B$8&gt;=0,FORSIDE!$F$8&gt;=1,FORSIDE!$B$5&gt;=10),"S4520","")</f>
        <v/>
      </c>
      <c r="B4521" t="str">
        <f>IF(AND(FORSIDE!$B$8&gt;=0,FORSIDE!$F$8&gt;=1,FORSIDE!$B$5&gt;=10),"11 -&gt; 242","")</f>
        <v/>
      </c>
      <c r="C4521" t="str">
        <f>FORSIDE!$C$3</f>
        <v>S355, Stål / VFHUP 140x140x8.0</v>
      </c>
    </row>
    <row r="4522" spans="1:3" x14ac:dyDescent="0.3">
      <c r="A4522" t="str">
        <f>IF(AND(FORSIDE!$B$8&gt;=1,FORSIDE!$F$8&gt;=1,FORSIDE!$B$5&gt;=1),"S4521","")</f>
        <v>S4521</v>
      </c>
      <c r="B4522" t="str">
        <f>IF(AND(FORSIDE!$B$8&gt;=1,FORSIDE!$F$8&gt;=1,FORSIDE!$B$5&gt;=1),"13 -&gt; 244","")</f>
        <v>13 -&gt; 244</v>
      </c>
      <c r="C4522" t="str">
        <f>FORSIDE!$C$3</f>
        <v>S355, Stål / VFHUP 140x140x8.0</v>
      </c>
    </row>
    <row r="4523" spans="1:3" x14ac:dyDescent="0.3">
      <c r="A4523" t="str">
        <f>IF(AND(FORSIDE!$B$8&gt;=1,FORSIDE!$F$8&gt;=1,FORSIDE!$B$5&gt;=2),"S4522","")</f>
        <v>S4522</v>
      </c>
      <c r="B4523" t="str">
        <f>IF(AND(FORSIDE!$B$8&gt;=1,FORSIDE!$F$8&gt;=1,FORSIDE!$B$5&gt;=2),"14 -&gt; 245","")</f>
        <v>14 -&gt; 245</v>
      </c>
      <c r="C4523" t="str">
        <f>FORSIDE!$C$3</f>
        <v>S355, Stål / VFHUP 140x140x8.0</v>
      </c>
    </row>
    <row r="4524" spans="1:3" x14ac:dyDescent="0.3">
      <c r="A4524" t="str">
        <f>IF(AND(FORSIDE!$B$8&gt;=1,FORSIDE!$F$8&gt;=1,FORSIDE!$B$5&gt;=3),"S4523","")</f>
        <v>S4523</v>
      </c>
      <c r="B4524" t="str">
        <f>IF(AND(FORSIDE!$B$8&gt;=1,FORSIDE!$F$8&gt;=1,FORSIDE!$B$5&gt;=3),"15 -&gt; 246","")</f>
        <v>15 -&gt; 246</v>
      </c>
      <c r="C4524" t="str">
        <f>FORSIDE!$C$3</f>
        <v>S355, Stål / VFHUP 140x140x8.0</v>
      </c>
    </row>
    <row r="4525" spans="1:3" x14ac:dyDescent="0.3">
      <c r="A4525" t="str">
        <f>IF(AND(FORSIDE!$B$8&gt;=1,FORSIDE!$F$8&gt;=1,FORSIDE!$B$5&gt;=4),"S4524","")</f>
        <v>S4524</v>
      </c>
      <c r="B4525" t="str">
        <f>IF(AND(FORSIDE!$B$8&gt;=1,FORSIDE!$F$8&gt;=1,FORSIDE!$B$5&gt;=4),"16 -&gt; 247","")</f>
        <v>16 -&gt; 247</v>
      </c>
      <c r="C4525" t="str">
        <f>FORSIDE!$C$3</f>
        <v>S355, Stål / VFHUP 140x140x8.0</v>
      </c>
    </row>
    <row r="4526" spans="1:3" x14ac:dyDescent="0.3">
      <c r="A4526" t="str">
        <f>IF(AND(FORSIDE!$B$8&gt;=1,FORSIDE!$F$8&gt;=1,FORSIDE!$B$5&gt;=5),"S4525","")</f>
        <v>S4525</v>
      </c>
      <c r="B4526" t="str">
        <f>IF(AND(FORSIDE!$B$8&gt;=1,FORSIDE!$F$8&gt;=1,FORSIDE!$B$5&gt;=5),"17 -&gt; 248","")</f>
        <v>17 -&gt; 248</v>
      </c>
      <c r="C4526" t="str">
        <f>FORSIDE!$C$3</f>
        <v>S355, Stål / VFHUP 140x140x8.0</v>
      </c>
    </row>
    <row r="4527" spans="1:3" x14ac:dyDescent="0.3">
      <c r="A4527" t="str">
        <f>IF(AND(FORSIDE!$B$8&gt;=1,FORSIDE!$F$8&gt;=1,FORSIDE!$B$5&gt;=6),"S4526","")</f>
        <v>S4526</v>
      </c>
      <c r="B4527" t="str">
        <f>IF(AND(FORSIDE!$B$8&gt;=1,FORSIDE!$F$8&gt;=1,FORSIDE!$B$5&gt;=6),"18 -&gt; 249","")</f>
        <v>18 -&gt; 249</v>
      </c>
      <c r="C4527" t="str">
        <f>FORSIDE!$C$3</f>
        <v>S355, Stål / VFHUP 140x140x8.0</v>
      </c>
    </row>
    <row r="4528" spans="1:3" x14ac:dyDescent="0.3">
      <c r="A4528" t="str">
        <f>IF(AND(FORSIDE!$B$8&gt;=1,FORSIDE!$F$8&gt;=1,FORSIDE!$B$5&gt;=7),"S4527","")</f>
        <v/>
      </c>
      <c r="B4528" t="str">
        <f>IF(AND(FORSIDE!$B$8&gt;=1,FORSIDE!$F$8&gt;=1,FORSIDE!$B$5&gt;=7),"19 -&gt; 250","")</f>
        <v/>
      </c>
      <c r="C4528" t="str">
        <f>FORSIDE!$C$3</f>
        <v>S355, Stål / VFHUP 140x140x8.0</v>
      </c>
    </row>
    <row r="4529" spans="1:3" x14ac:dyDescent="0.3">
      <c r="A4529" t="str">
        <f>IF(AND(FORSIDE!$B$8&gt;=1,FORSIDE!$F$8&gt;=1,FORSIDE!$B$5&gt;=8),"S4528","")</f>
        <v/>
      </c>
      <c r="B4529" t="str">
        <f>IF(AND(FORSIDE!$B$8&gt;=1,FORSIDE!$F$8&gt;=1,FORSIDE!$B$5&gt;=8),"20 -&gt; 251","")</f>
        <v/>
      </c>
      <c r="C4529" t="str">
        <f>FORSIDE!$C$3</f>
        <v>S355, Stål / VFHUP 140x140x8.0</v>
      </c>
    </row>
    <row r="4530" spans="1:3" x14ac:dyDescent="0.3">
      <c r="A4530" t="str">
        <f>IF(AND(FORSIDE!$B$8&gt;=1,FORSIDE!$F$8&gt;=1,FORSIDE!$B$5&gt;=9),"S4529","")</f>
        <v/>
      </c>
      <c r="B4530" t="str">
        <f>IF(AND(FORSIDE!$B$8&gt;=1,FORSIDE!$F$8&gt;=1,FORSIDE!$B$5&gt;=9),"21 -&gt; 252","")</f>
        <v/>
      </c>
      <c r="C4530" t="str">
        <f>FORSIDE!$C$3</f>
        <v>S355, Stål / VFHUP 140x140x8.0</v>
      </c>
    </row>
    <row r="4531" spans="1:3" x14ac:dyDescent="0.3">
      <c r="A4531" t="str">
        <f>IF(AND(FORSIDE!$B$8&gt;=1,FORSIDE!$F$8&gt;=1,FORSIDE!$B$5&gt;=10),"S4530","")</f>
        <v/>
      </c>
      <c r="B4531" t="str">
        <f>IF(AND(FORSIDE!$B$8&gt;=1,FORSIDE!$F$8&gt;=1,FORSIDE!$B$5&gt;=10),"22 -&gt; 253","")</f>
        <v/>
      </c>
      <c r="C4531" t="str">
        <f>FORSIDE!$C$3</f>
        <v>S355, Stål / VFHUP 140x140x8.0</v>
      </c>
    </row>
    <row r="4532" spans="1:3" x14ac:dyDescent="0.3">
      <c r="A4532" t="str">
        <f>IF(AND(FORSIDE!$B$8&gt;=2,FORSIDE!$F$8&gt;=1,FORSIDE!$B$5&gt;=1),"S4531","")</f>
        <v>S4531</v>
      </c>
      <c r="B4532" t="str">
        <f>IF(AND(FORSIDE!$B$8&gt;=2,FORSIDE!$F$8&gt;=1,FORSIDE!$B$5&gt;=1),"24 -&gt; 255","")</f>
        <v>24 -&gt; 255</v>
      </c>
      <c r="C4532" t="str">
        <f>FORSIDE!$C$3</f>
        <v>S355, Stål / VFHUP 140x140x8.0</v>
      </c>
    </row>
    <row r="4533" spans="1:3" x14ac:dyDescent="0.3">
      <c r="A4533" t="str">
        <f>IF(AND(FORSIDE!$B$8&gt;=2,FORSIDE!$F$8&gt;=1,FORSIDE!$B$5&gt;=2),"S4532","")</f>
        <v>S4532</v>
      </c>
      <c r="B4533" t="str">
        <f>IF(AND(FORSIDE!$B$8&gt;=2,FORSIDE!$F$8&gt;=1,FORSIDE!$B$5&gt;=2),"25 -&gt; 256","")</f>
        <v>25 -&gt; 256</v>
      </c>
      <c r="C4533" t="str">
        <f>FORSIDE!$C$3</f>
        <v>S355, Stål / VFHUP 140x140x8.0</v>
      </c>
    </row>
    <row r="4534" spans="1:3" x14ac:dyDescent="0.3">
      <c r="A4534" t="str">
        <f>IF(AND(FORSIDE!$B$8&gt;=2,FORSIDE!$F$8&gt;=1,FORSIDE!$B$5&gt;=3),"S4533","")</f>
        <v>S4533</v>
      </c>
      <c r="B4534" t="str">
        <f>IF(AND(FORSIDE!$B$8&gt;=2,FORSIDE!$F$8&gt;=1,FORSIDE!$B$5&gt;=3),"26 -&gt; 257","")</f>
        <v>26 -&gt; 257</v>
      </c>
      <c r="C4534" t="str">
        <f>FORSIDE!$C$3</f>
        <v>S355, Stål / VFHUP 140x140x8.0</v>
      </c>
    </row>
    <row r="4535" spans="1:3" x14ac:dyDescent="0.3">
      <c r="A4535" t="str">
        <f>IF(AND(FORSIDE!$B$8&gt;=2,FORSIDE!$F$8&gt;=1,FORSIDE!$B$5&gt;=4),"S4534","")</f>
        <v>S4534</v>
      </c>
      <c r="B4535" t="str">
        <f>IF(AND(FORSIDE!$B$8&gt;=2,FORSIDE!$F$8&gt;=1,FORSIDE!$B$5&gt;=4),"27 -&gt; 258","")</f>
        <v>27 -&gt; 258</v>
      </c>
      <c r="C4535" t="str">
        <f>FORSIDE!$C$3</f>
        <v>S355, Stål / VFHUP 140x140x8.0</v>
      </c>
    </row>
    <row r="4536" spans="1:3" x14ac:dyDescent="0.3">
      <c r="A4536" t="str">
        <f>IF(AND(FORSIDE!$B$8&gt;=2,FORSIDE!$F$8&gt;=1,FORSIDE!$B$5&gt;=5),"S4535","")</f>
        <v>S4535</v>
      </c>
      <c r="B4536" t="str">
        <f>IF(AND(FORSIDE!$B$8&gt;=2,FORSIDE!$F$8&gt;=1,FORSIDE!$B$5&gt;=5),"28 -&gt; 259","")</f>
        <v>28 -&gt; 259</v>
      </c>
      <c r="C4536" t="str">
        <f>FORSIDE!$C$3</f>
        <v>S355, Stål / VFHUP 140x140x8.0</v>
      </c>
    </row>
    <row r="4537" spans="1:3" x14ac:dyDescent="0.3">
      <c r="A4537" t="str">
        <f>IF(AND(FORSIDE!$B$8&gt;=2,FORSIDE!$F$8&gt;=1,FORSIDE!$B$5&gt;=6),"S4536","")</f>
        <v>S4536</v>
      </c>
      <c r="B4537" t="str">
        <f>IF(AND(FORSIDE!$B$8&gt;=2,FORSIDE!$F$8&gt;=1,FORSIDE!$B$5&gt;=6),"29 -&gt; 260","")</f>
        <v>29 -&gt; 260</v>
      </c>
      <c r="C4537" t="str">
        <f>FORSIDE!$C$3</f>
        <v>S355, Stål / VFHUP 140x140x8.0</v>
      </c>
    </row>
    <row r="4538" spans="1:3" x14ac:dyDescent="0.3">
      <c r="A4538" t="str">
        <f>IF(AND(FORSIDE!$B$8&gt;=2,FORSIDE!$F$8&gt;=1,FORSIDE!$B$5&gt;=7),"S4537","")</f>
        <v/>
      </c>
      <c r="B4538" t="str">
        <f>IF(AND(FORSIDE!$B$8&gt;=2,FORSIDE!$F$8&gt;=1,FORSIDE!$B$5&gt;=7),"30 -&gt; 261","")</f>
        <v/>
      </c>
      <c r="C4538" t="str">
        <f>FORSIDE!$C$3</f>
        <v>S355, Stål / VFHUP 140x140x8.0</v>
      </c>
    </row>
    <row r="4539" spans="1:3" x14ac:dyDescent="0.3">
      <c r="A4539" t="str">
        <f>IF(AND(FORSIDE!$B$8&gt;=2,FORSIDE!$F$8&gt;=1,FORSIDE!$B$5&gt;=8),"S4538","")</f>
        <v/>
      </c>
      <c r="B4539" t="str">
        <f>IF(AND(FORSIDE!$B$8&gt;=2,FORSIDE!$F$8&gt;=1,FORSIDE!$B$5&gt;=8),"31 -&gt; 262","")</f>
        <v/>
      </c>
      <c r="C4539" t="str">
        <f>FORSIDE!$C$3</f>
        <v>S355, Stål / VFHUP 140x140x8.0</v>
      </c>
    </row>
    <row r="4540" spans="1:3" x14ac:dyDescent="0.3">
      <c r="A4540" t="str">
        <f>IF(AND(FORSIDE!$B$8&gt;=2,FORSIDE!$F$8&gt;=1,FORSIDE!$B$5&gt;=9),"S4539","")</f>
        <v/>
      </c>
      <c r="B4540" t="str">
        <f>IF(AND(FORSIDE!$B$8&gt;=2,FORSIDE!$F$8&gt;=1,FORSIDE!$B$5&gt;=9),"32 -&gt; 263","")</f>
        <v/>
      </c>
      <c r="C4540" t="str">
        <f>FORSIDE!$C$3</f>
        <v>S355, Stål / VFHUP 140x140x8.0</v>
      </c>
    </row>
    <row r="4541" spans="1:3" x14ac:dyDescent="0.3">
      <c r="A4541" t="str">
        <f>IF(AND(FORSIDE!$B$8&gt;=2,FORSIDE!$F$8&gt;=1,FORSIDE!$B$5&gt;=10),"S4540","")</f>
        <v/>
      </c>
      <c r="B4541" t="str">
        <f>IF(AND(FORSIDE!$B$8&gt;=2,FORSIDE!$F$8&gt;=1,FORSIDE!$B$5&gt;=10),"33 -&gt; 264","")</f>
        <v/>
      </c>
      <c r="C4541" t="str">
        <f>FORSIDE!$C$3</f>
        <v>S355, Stål / VFHUP 140x140x8.0</v>
      </c>
    </row>
    <row r="4542" spans="1:3" x14ac:dyDescent="0.3">
      <c r="A4542" t="str">
        <f>IF(AND(FORSIDE!$B$8&gt;=3,FORSIDE!$F$8&gt;=1,FORSIDE!$B$5&gt;=1),"S4541","")</f>
        <v>S4541</v>
      </c>
      <c r="B4542" t="str">
        <f>IF(AND(FORSIDE!$B$8&gt;=3,FORSIDE!$F$8&gt;=1,FORSIDE!$B$5&gt;=1),"35 -&gt; 266","")</f>
        <v>35 -&gt; 266</v>
      </c>
      <c r="C4542" t="str">
        <f>FORSIDE!$C$3</f>
        <v>S355, Stål / VFHUP 140x140x8.0</v>
      </c>
    </row>
    <row r="4543" spans="1:3" x14ac:dyDescent="0.3">
      <c r="A4543" t="str">
        <f>IF(AND(FORSIDE!$B$8&gt;=3,FORSIDE!$F$8&gt;=1,FORSIDE!$B$5&gt;=2),"S4542","")</f>
        <v>S4542</v>
      </c>
      <c r="B4543" t="str">
        <f>IF(AND(FORSIDE!$B$8&gt;=3,FORSIDE!$F$8&gt;=1,FORSIDE!$B$5&gt;=2),"36 -&gt; 267","")</f>
        <v>36 -&gt; 267</v>
      </c>
      <c r="C4543" t="str">
        <f>FORSIDE!$C$3</f>
        <v>S355, Stål / VFHUP 140x140x8.0</v>
      </c>
    </row>
    <row r="4544" spans="1:3" x14ac:dyDescent="0.3">
      <c r="A4544" t="str">
        <f>IF(AND(FORSIDE!$B$8&gt;=3,FORSIDE!$F$8&gt;=1,FORSIDE!$B$5&gt;=3),"S4543","")</f>
        <v>S4543</v>
      </c>
      <c r="B4544" t="str">
        <f>IF(AND(FORSIDE!$B$8&gt;=3,FORSIDE!$F$8&gt;=1,FORSIDE!$B$5&gt;=3),"37 -&gt; 268","")</f>
        <v>37 -&gt; 268</v>
      </c>
      <c r="C4544" t="str">
        <f>FORSIDE!$C$3</f>
        <v>S355, Stål / VFHUP 140x140x8.0</v>
      </c>
    </row>
    <row r="4545" spans="1:3" x14ac:dyDescent="0.3">
      <c r="A4545" t="str">
        <f>IF(AND(FORSIDE!$B$8&gt;=3,FORSIDE!$F$8&gt;=1,FORSIDE!$B$5&gt;=4),"S4544","")</f>
        <v>S4544</v>
      </c>
      <c r="B4545" t="str">
        <f>IF(AND(FORSIDE!$B$8&gt;=3,FORSIDE!$F$8&gt;=1,FORSIDE!$B$5&gt;=4),"38 -&gt; 269","")</f>
        <v>38 -&gt; 269</v>
      </c>
      <c r="C4545" t="str">
        <f>FORSIDE!$C$3</f>
        <v>S355, Stål / VFHUP 140x140x8.0</v>
      </c>
    </row>
    <row r="4546" spans="1:3" x14ac:dyDescent="0.3">
      <c r="A4546" t="str">
        <f>IF(AND(FORSIDE!$B$8&gt;=3,FORSIDE!$F$8&gt;=1,FORSIDE!$B$5&gt;=5),"S4545","")</f>
        <v>S4545</v>
      </c>
      <c r="B4546" t="str">
        <f>IF(AND(FORSIDE!$B$8&gt;=3,FORSIDE!$F$8&gt;=1,FORSIDE!$B$5&gt;=5),"39 -&gt; 270","")</f>
        <v>39 -&gt; 270</v>
      </c>
      <c r="C4546" t="str">
        <f>FORSIDE!$C$3</f>
        <v>S355, Stål / VFHUP 140x140x8.0</v>
      </c>
    </row>
    <row r="4547" spans="1:3" x14ac:dyDescent="0.3">
      <c r="A4547" t="str">
        <f>IF(AND(FORSIDE!$B$8&gt;=3,FORSIDE!$F$8&gt;=1,FORSIDE!$B$5&gt;=6),"S4546","")</f>
        <v>S4546</v>
      </c>
      <c r="B4547" t="str">
        <f>IF(AND(FORSIDE!$B$8&gt;=3,FORSIDE!$F$8&gt;=1,FORSIDE!$B$5&gt;=6),"40 -&gt; 271","")</f>
        <v>40 -&gt; 271</v>
      </c>
      <c r="C4547" t="str">
        <f>FORSIDE!$C$3</f>
        <v>S355, Stål / VFHUP 140x140x8.0</v>
      </c>
    </row>
    <row r="4548" spans="1:3" x14ac:dyDescent="0.3">
      <c r="A4548" t="str">
        <f>IF(AND(FORSIDE!$B$8&gt;=3,FORSIDE!$F$8&gt;=1,FORSIDE!$B$5&gt;=7),"S4547","")</f>
        <v/>
      </c>
      <c r="B4548" t="str">
        <f>IF(AND(FORSIDE!$B$8&gt;=3,FORSIDE!$F$8&gt;=1,FORSIDE!$B$5&gt;=7),"41 -&gt; 272","")</f>
        <v/>
      </c>
      <c r="C4548" t="str">
        <f>FORSIDE!$C$3</f>
        <v>S355, Stål / VFHUP 140x140x8.0</v>
      </c>
    </row>
    <row r="4549" spans="1:3" x14ac:dyDescent="0.3">
      <c r="A4549" t="str">
        <f>IF(AND(FORSIDE!$B$8&gt;=3,FORSIDE!$F$8&gt;=1,FORSIDE!$B$5&gt;=8),"S4548","")</f>
        <v/>
      </c>
      <c r="B4549" t="str">
        <f>IF(AND(FORSIDE!$B$8&gt;=3,FORSIDE!$F$8&gt;=1,FORSIDE!$B$5&gt;=8),"42 -&gt; 273","")</f>
        <v/>
      </c>
      <c r="C4549" t="str">
        <f>FORSIDE!$C$3</f>
        <v>S355, Stål / VFHUP 140x140x8.0</v>
      </c>
    </row>
    <row r="4550" spans="1:3" x14ac:dyDescent="0.3">
      <c r="A4550" t="str">
        <f>IF(AND(FORSIDE!$B$8&gt;=3,FORSIDE!$F$8&gt;=1,FORSIDE!$B$5&gt;=9),"S4549","")</f>
        <v/>
      </c>
      <c r="B4550" t="str">
        <f>IF(AND(FORSIDE!$B$8&gt;=3,FORSIDE!$F$8&gt;=1,FORSIDE!$B$5&gt;=9),"43 -&gt; 274","")</f>
        <v/>
      </c>
      <c r="C4550" t="str">
        <f>FORSIDE!$C$3</f>
        <v>S355, Stål / VFHUP 140x140x8.0</v>
      </c>
    </row>
    <row r="4551" spans="1:3" x14ac:dyDescent="0.3">
      <c r="A4551" t="str">
        <f>IF(AND(FORSIDE!$B$8&gt;=3,FORSIDE!$F$8&gt;=1,FORSIDE!$B$5&gt;=10),"S4550","")</f>
        <v/>
      </c>
      <c r="B4551" t="str">
        <f>IF(AND(FORSIDE!$B$8&gt;=3,FORSIDE!$F$8&gt;=1,FORSIDE!$B$5&gt;=10),"44 -&gt; 275","")</f>
        <v/>
      </c>
      <c r="C4551" t="str">
        <f>FORSIDE!$C$3</f>
        <v>S355, Stål / VFHUP 140x140x8.0</v>
      </c>
    </row>
    <row r="4552" spans="1:3" x14ac:dyDescent="0.3">
      <c r="A4552" t="str">
        <f>IF(AND(FORSIDE!$B$8&gt;=4,FORSIDE!$F$8&gt;=1,FORSIDE!$B$5&gt;=1),"S4551","")</f>
        <v>S4551</v>
      </c>
      <c r="B4552" t="str">
        <f>IF(AND(FORSIDE!$B$8&gt;=4,FORSIDE!$F$8&gt;=1,FORSIDE!$B$5&gt;=1),"46 -&gt; 277","")</f>
        <v>46 -&gt; 277</v>
      </c>
      <c r="C4552" t="str">
        <f>FORSIDE!$C$3</f>
        <v>S355, Stål / VFHUP 140x140x8.0</v>
      </c>
    </row>
    <row r="4553" spans="1:3" x14ac:dyDescent="0.3">
      <c r="A4553" t="str">
        <f>IF(AND(FORSIDE!$B$8&gt;=4,FORSIDE!$F$8&gt;=1,FORSIDE!$B$5&gt;=2),"S4552","")</f>
        <v>S4552</v>
      </c>
      <c r="B4553" t="str">
        <f>IF(AND(FORSIDE!$B$8&gt;=4,FORSIDE!$F$8&gt;=1,FORSIDE!$B$5&gt;=2),"47 -&gt; 278","")</f>
        <v>47 -&gt; 278</v>
      </c>
      <c r="C4553" t="str">
        <f>FORSIDE!$C$3</f>
        <v>S355, Stål / VFHUP 140x140x8.0</v>
      </c>
    </row>
    <row r="4554" spans="1:3" x14ac:dyDescent="0.3">
      <c r="A4554" t="str">
        <f>IF(AND(FORSIDE!$B$8&gt;=4,FORSIDE!$F$8&gt;=1,FORSIDE!$B$5&gt;=3),"S4553","")</f>
        <v>S4553</v>
      </c>
      <c r="B4554" t="str">
        <f>IF(AND(FORSIDE!$B$8&gt;=4,FORSIDE!$F$8&gt;=1,FORSIDE!$B$5&gt;=3),"48 -&gt; 279","")</f>
        <v>48 -&gt; 279</v>
      </c>
      <c r="C4554" t="str">
        <f>FORSIDE!$C$3</f>
        <v>S355, Stål / VFHUP 140x140x8.0</v>
      </c>
    </row>
    <row r="4555" spans="1:3" x14ac:dyDescent="0.3">
      <c r="A4555" t="str">
        <f>IF(AND(FORSIDE!$B$8&gt;=4,FORSIDE!$F$8&gt;=1,FORSIDE!$B$5&gt;=4),"S4554","")</f>
        <v>S4554</v>
      </c>
      <c r="B4555" t="str">
        <f>IF(AND(FORSIDE!$B$8&gt;=4,FORSIDE!$F$8&gt;=1,FORSIDE!$B$5&gt;=4),"49 -&gt; 280","")</f>
        <v>49 -&gt; 280</v>
      </c>
      <c r="C4555" t="str">
        <f>FORSIDE!$C$3</f>
        <v>S355, Stål / VFHUP 140x140x8.0</v>
      </c>
    </row>
    <row r="4556" spans="1:3" x14ac:dyDescent="0.3">
      <c r="A4556" t="str">
        <f>IF(AND(FORSIDE!$B$8&gt;=4,FORSIDE!$F$8&gt;=1,FORSIDE!$B$5&gt;=5),"S4555","")</f>
        <v>S4555</v>
      </c>
      <c r="B4556" t="str">
        <f>IF(AND(FORSIDE!$B$8&gt;=4,FORSIDE!$F$8&gt;=1,FORSIDE!$B$5&gt;=5),"50 -&gt; 281","")</f>
        <v>50 -&gt; 281</v>
      </c>
      <c r="C4556" t="str">
        <f>FORSIDE!$C$3</f>
        <v>S355, Stål / VFHUP 140x140x8.0</v>
      </c>
    </row>
    <row r="4557" spans="1:3" x14ac:dyDescent="0.3">
      <c r="A4557" t="str">
        <f>IF(AND(FORSIDE!$B$8&gt;=4,FORSIDE!$F$8&gt;=1,FORSIDE!$B$5&gt;=6),"S4556","")</f>
        <v>S4556</v>
      </c>
      <c r="B4557" t="str">
        <f>IF(AND(FORSIDE!$B$8&gt;=4,FORSIDE!$F$8&gt;=1,FORSIDE!$B$5&gt;=6),"51 -&gt; 282","")</f>
        <v>51 -&gt; 282</v>
      </c>
      <c r="C4557" t="str">
        <f>FORSIDE!$C$3</f>
        <v>S355, Stål / VFHUP 140x140x8.0</v>
      </c>
    </row>
    <row r="4558" spans="1:3" x14ac:dyDescent="0.3">
      <c r="A4558" t="str">
        <f>IF(AND(FORSIDE!$B$8&gt;=4,FORSIDE!$F$8&gt;=1,FORSIDE!$B$5&gt;=7),"S4557","")</f>
        <v/>
      </c>
      <c r="B4558" t="str">
        <f>IF(AND(FORSIDE!$B$8&gt;=4,FORSIDE!$F$8&gt;=1,FORSIDE!$B$5&gt;=7),"52 -&gt; 283","")</f>
        <v/>
      </c>
      <c r="C4558" t="str">
        <f>FORSIDE!$C$3</f>
        <v>S355, Stål / VFHUP 140x140x8.0</v>
      </c>
    </row>
    <row r="4559" spans="1:3" x14ac:dyDescent="0.3">
      <c r="A4559" t="str">
        <f>IF(AND(FORSIDE!$B$8&gt;=4,FORSIDE!$F$8&gt;=1,FORSIDE!$B$5&gt;=8),"S4558","")</f>
        <v/>
      </c>
      <c r="B4559" t="str">
        <f>IF(AND(FORSIDE!$B$8&gt;=4,FORSIDE!$F$8&gt;=1,FORSIDE!$B$5&gt;=8),"53 -&gt; 284","")</f>
        <v/>
      </c>
      <c r="C4559" t="str">
        <f>FORSIDE!$C$3</f>
        <v>S355, Stål / VFHUP 140x140x8.0</v>
      </c>
    </row>
    <row r="4560" spans="1:3" x14ac:dyDescent="0.3">
      <c r="A4560" t="str">
        <f>IF(AND(FORSIDE!$B$8&gt;=4,FORSIDE!$F$8&gt;=1,FORSIDE!$B$5&gt;=9),"S4559","")</f>
        <v/>
      </c>
      <c r="B4560" t="str">
        <f>IF(AND(FORSIDE!$B$8&gt;=4,FORSIDE!$F$8&gt;=1,FORSIDE!$B$5&gt;=9),"54 -&gt; 285","")</f>
        <v/>
      </c>
      <c r="C4560" t="str">
        <f>FORSIDE!$C$3</f>
        <v>S355, Stål / VFHUP 140x140x8.0</v>
      </c>
    </row>
    <row r="4561" spans="1:3" x14ac:dyDescent="0.3">
      <c r="A4561" t="str">
        <f>IF(AND(FORSIDE!$B$8&gt;=4,FORSIDE!$F$8&gt;=1,FORSIDE!$B$5&gt;=10),"S4560","")</f>
        <v/>
      </c>
      <c r="B4561" t="str">
        <f>IF(AND(FORSIDE!$B$8&gt;=4,FORSIDE!$F$8&gt;=1,FORSIDE!$B$5&gt;=10),"55 -&gt; 286","")</f>
        <v/>
      </c>
      <c r="C4561" t="str">
        <f>FORSIDE!$C$3</f>
        <v>S355, Stål / VFHUP 140x140x8.0</v>
      </c>
    </row>
    <row r="4562" spans="1:3" x14ac:dyDescent="0.3">
      <c r="A4562" t="str">
        <f>IF(AND(FORSIDE!$B$8&gt;=5,FORSIDE!$F$8&gt;=1,FORSIDE!$B$5&gt;=1),"S4561","")</f>
        <v/>
      </c>
      <c r="B4562" t="str">
        <f>IF(AND(FORSIDE!$B$8&gt;=5,FORSIDE!$F$8&gt;=1,FORSIDE!$B$5&gt;=1),"57 -&gt; 288","")</f>
        <v/>
      </c>
      <c r="C4562" t="str">
        <f>FORSIDE!$C$3</f>
        <v>S355, Stål / VFHUP 140x140x8.0</v>
      </c>
    </row>
    <row r="4563" spans="1:3" x14ac:dyDescent="0.3">
      <c r="A4563" t="str">
        <f>IF(AND(FORSIDE!$B$8&gt;=5,FORSIDE!$F$8&gt;=1,FORSIDE!$B$5&gt;=2),"S4562","")</f>
        <v/>
      </c>
      <c r="B4563" t="str">
        <f>IF(AND(FORSIDE!$B$8&gt;=5,FORSIDE!$F$8&gt;=1,FORSIDE!$B$5&gt;=2),"58 -&gt; 289","")</f>
        <v/>
      </c>
      <c r="C4563" t="str">
        <f>FORSIDE!$C$3</f>
        <v>S355, Stål / VFHUP 140x140x8.0</v>
      </c>
    </row>
    <row r="4564" spans="1:3" x14ac:dyDescent="0.3">
      <c r="A4564" t="str">
        <f>IF(AND(FORSIDE!$B$8&gt;=5,FORSIDE!$F$8&gt;=1,FORSIDE!$B$5&gt;=3),"S4563","")</f>
        <v/>
      </c>
      <c r="B4564" t="str">
        <f>IF(AND(FORSIDE!$B$8&gt;=5,FORSIDE!$F$8&gt;=1,FORSIDE!$B$5&gt;=3),"59 -&gt; 290","")</f>
        <v/>
      </c>
      <c r="C4564" t="str">
        <f>FORSIDE!$C$3</f>
        <v>S355, Stål / VFHUP 140x140x8.0</v>
      </c>
    </row>
    <row r="4565" spans="1:3" x14ac:dyDescent="0.3">
      <c r="A4565" t="str">
        <f>IF(AND(FORSIDE!$B$8&gt;=5,FORSIDE!$F$8&gt;=1,FORSIDE!$B$5&gt;=4),"S4564","")</f>
        <v/>
      </c>
      <c r="B4565" t="str">
        <f>IF(AND(FORSIDE!$B$8&gt;=5,FORSIDE!$F$8&gt;=1,FORSIDE!$B$5&gt;=4),"60 -&gt; 291","")</f>
        <v/>
      </c>
      <c r="C4565" t="str">
        <f>FORSIDE!$C$3</f>
        <v>S355, Stål / VFHUP 140x140x8.0</v>
      </c>
    </row>
    <row r="4566" spans="1:3" x14ac:dyDescent="0.3">
      <c r="A4566" t="str">
        <f>IF(AND(FORSIDE!$B$8&gt;=5,FORSIDE!$F$8&gt;=1,FORSIDE!$B$5&gt;=5),"S4565","")</f>
        <v/>
      </c>
      <c r="B4566" t="str">
        <f>IF(AND(FORSIDE!$B$8&gt;=5,FORSIDE!$F$8&gt;=1,FORSIDE!$B$5&gt;=5),"61 -&gt; 292","")</f>
        <v/>
      </c>
      <c r="C4566" t="str">
        <f>FORSIDE!$C$3</f>
        <v>S355, Stål / VFHUP 140x140x8.0</v>
      </c>
    </row>
    <row r="4567" spans="1:3" x14ac:dyDescent="0.3">
      <c r="A4567" t="str">
        <f>IF(AND(FORSIDE!$B$8&gt;=5,FORSIDE!$F$8&gt;=1,FORSIDE!$B$5&gt;=6),"S4566","")</f>
        <v/>
      </c>
      <c r="B4567" t="str">
        <f>IF(AND(FORSIDE!$B$8&gt;=5,FORSIDE!$F$8&gt;=1,FORSIDE!$B$5&gt;=6),"62 -&gt; 293","")</f>
        <v/>
      </c>
      <c r="C4567" t="str">
        <f>FORSIDE!$C$3</f>
        <v>S355, Stål / VFHUP 140x140x8.0</v>
      </c>
    </row>
    <row r="4568" spans="1:3" x14ac:dyDescent="0.3">
      <c r="A4568" t="str">
        <f>IF(AND(FORSIDE!$B$8&gt;=5,FORSIDE!$F$8&gt;=1,FORSIDE!$B$5&gt;=7),"S4567","")</f>
        <v/>
      </c>
      <c r="B4568" t="str">
        <f>IF(AND(FORSIDE!$B$8&gt;=5,FORSIDE!$F$8&gt;=1,FORSIDE!$B$5&gt;=7),"63 -&gt; 294","")</f>
        <v/>
      </c>
      <c r="C4568" t="str">
        <f>FORSIDE!$C$3</f>
        <v>S355, Stål / VFHUP 140x140x8.0</v>
      </c>
    </row>
    <row r="4569" spans="1:3" x14ac:dyDescent="0.3">
      <c r="A4569" t="str">
        <f>IF(AND(FORSIDE!$B$8&gt;=5,FORSIDE!$F$8&gt;=1,FORSIDE!$B$5&gt;=8),"S4568","")</f>
        <v/>
      </c>
      <c r="B4569" t="str">
        <f>IF(AND(FORSIDE!$B$8&gt;=5,FORSIDE!$F$8&gt;=1,FORSIDE!$B$5&gt;=8),"64 -&gt; 295","")</f>
        <v/>
      </c>
      <c r="C4569" t="str">
        <f>FORSIDE!$C$3</f>
        <v>S355, Stål / VFHUP 140x140x8.0</v>
      </c>
    </row>
    <row r="4570" spans="1:3" x14ac:dyDescent="0.3">
      <c r="A4570" t="str">
        <f>IF(AND(FORSIDE!$B$8&gt;=5,FORSIDE!$F$8&gt;=1,FORSIDE!$B$5&gt;=9),"S4569","")</f>
        <v/>
      </c>
      <c r="B4570" t="str">
        <f>IF(AND(FORSIDE!$B$8&gt;=5,FORSIDE!$F$8&gt;=1,FORSIDE!$B$5&gt;=9),"65 -&gt; 296","")</f>
        <v/>
      </c>
      <c r="C4570" t="str">
        <f>FORSIDE!$C$3</f>
        <v>S355, Stål / VFHUP 140x140x8.0</v>
      </c>
    </row>
    <row r="4571" spans="1:3" x14ac:dyDescent="0.3">
      <c r="A4571" t="str">
        <f>IF(AND(FORSIDE!$B$8&gt;=5,FORSIDE!$F$8&gt;=1,FORSIDE!$B$5&gt;=10),"S4570","")</f>
        <v/>
      </c>
      <c r="B4571" t="str">
        <f>IF(AND(FORSIDE!$B$8&gt;=5,FORSIDE!$F$8&gt;=1,FORSIDE!$B$5&gt;=10),"66 -&gt; 297","")</f>
        <v/>
      </c>
      <c r="C4571" t="str">
        <f>FORSIDE!$C$3</f>
        <v>S355, Stål / VFHUP 140x140x8.0</v>
      </c>
    </row>
    <row r="4572" spans="1:3" x14ac:dyDescent="0.3">
      <c r="A4572" t="str">
        <f>IF(AND(FORSIDE!$B$8&gt;=6,FORSIDE!$F$8&gt;=1,FORSIDE!$B$5&gt;=1),"S4571","")</f>
        <v/>
      </c>
      <c r="B4572" t="str">
        <f>IF(AND(FORSIDE!$B$8&gt;=6,FORSIDE!$F$8&gt;=1,FORSIDE!$B$5&gt;=1),"68 -&gt; 299","")</f>
        <v/>
      </c>
      <c r="C4572" t="str">
        <f>FORSIDE!$C$3</f>
        <v>S355, Stål / VFHUP 140x140x8.0</v>
      </c>
    </row>
    <row r="4573" spans="1:3" x14ac:dyDescent="0.3">
      <c r="A4573" t="str">
        <f>IF(AND(FORSIDE!$B$8&gt;=6,FORSIDE!$F$8&gt;=1,FORSIDE!$B$5&gt;=2),"S4572","")</f>
        <v/>
      </c>
      <c r="B4573" t="str">
        <f>IF(AND(FORSIDE!$B$8&gt;=6,FORSIDE!$F$8&gt;=1,FORSIDE!$B$5&gt;=2),"69 -&gt; 300","")</f>
        <v/>
      </c>
      <c r="C4573" t="str">
        <f>FORSIDE!$C$3</f>
        <v>S355, Stål / VFHUP 140x140x8.0</v>
      </c>
    </row>
    <row r="4574" spans="1:3" x14ac:dyDescent="0.3">
      <c r="A4574" t="str">
        <f>IF(AND(FORSIDE!$B$8&gt;=6,FORSIDE!$F$8&gt;=1,FORSIDE!$B$5&gt;=3),"S4573","")</f>
        <v/>
      </c>
      <c r="B4574" t="str">
        <f>IF(AND(FORSIDE!$B$8&gt;=6,FORSIDE!$F$8&gt;=1,FORSIDE!$B$5&gt;=3),"70 -&gt; 301","")</f>
        <v/>
      </c>
      <c r="C4574" t="str">
        <f>FORSIDE!$C$3</f>
        <v>S355, Stål / VFHUP 140x140x8.0</v>
      </c>
    </row>
    <row r="4575" spans="1:3" x14ac:dyDescent="0.3">
      <c r="A4575" t="str">
        <f>IF(AND(FORSIDE!$B$8&gt;=6,FORSIDE!$F$8&gt;=1,FORSIDE!$B$5&gt;=4),"S4574","")</f>
        <v/>
      </c>
      <c r="B4575" t="str">
        <f>IF(AND(FORSIDE!$B$8&gt;=6,FORSIDE!$F$8&gt;=1,FORSIDE!$B$5&gt;=4),"71 -&gt; 302","")</f>
        <v/>
      </c>
      <c r="C4575" t="str">
        <f>FORSIDE!$C$3</f>
        <v>S355, Stål / VFHUP 140x140x8.0</v>
      </c>
    </row>
    <row r="4576" spans="1:3" x14ac:dyDescent="0.3">
      <c r="A4576" t="str">
        <f>IF(AND(FORSIDE!$B$8&gt;=6,FORSIDE!$F$8&gt;=1,FORSIDE!$B$5&gt;=5),"S4575","")</f>
        <v/>
      </c>
      <c r="B4576" t="str">
        <f>IF(AND(FORSIDE!$B$8&gt;=6,FORSIDE!$F$8&gt;=1,FORSIDE!$B$5&gt;=5),"72 -&gt; 303","")</f>
        <v/>
      </c>
      <c r="C4576" t="str">
        <f>FORSIDE!$C$3</f>
        <v>S355, Stål / VFHUP 140x140x8.0</v>
      </c>
    </row>
    <row r="4577" spans="1:3" x14ac:dyDescent="0.3">
      <c r="A4577" t="str">
        <f>IF(AND(FORSIDE!$B$8&gt;=6,FORSIDE!$F$8&gt;=1,FORSIDE!$B$5&gt;=6),"S4576","")</f>
        <v/>
      </c>
      <c r="B4577" t="str">
        <f>IF(AND(FORSIDE!$B$8&gt;=6,FORSIDE!$F$8&gt;=1,FORSIDE!$B$5&gt;=6),"73 -&gt; 304","")</f>
        <v/>
      </c>
      <c r="C4577" t="str">
        <f>FORSIDE!$C$3</f>
        <v>S355, Stål / VFHUP 140x140x8.0</v>
      </c>
    </row>
    <row r="4578" spans="1:3" x14ac:dyDescent="0.3">
      <c r="A4578" t="str">
        <f>IF(AND(FORSIDE!$B$8&gt;=6,FORSIDE!$F$8&gt;=1,FORSIDE!$B$5&gt;=7),"S4577","")</f>
        <v/>
      </c>
      <c r="B4578" t="str">
        <f>IF(AND(FORSIDE!$B$8&gt;=6,FORSIDE!$F$8&gt;=1,FORSIDE!$B$5&gt;=7),"74 -&gt; 305","")</f>
        <v/>
      </c>
      <c r="C4578" t="str">
        <f>FORSIDE!$C$3</f>
        <v>S355, Stål / VFHUP 140x140x8.0</v>
      </c>
    </row>
    <row r="4579" spans="1:3" x14ac:dyDescent="0.3">
      <c r="A4579" t="str">
        <f>IF(AND(FORSIDE!$B$8&gt;=6,FORSIDE!$F$8&gt;=1,FORSIDE!$B$5&gt;=8),"S4578","")</f>
        <v/>
      </c>
      <c r="B4579" t="str">
        <f>IF(AND(FORSIDE!$B$8&gt;=6,FORSIDE!$F$8&gt;=1,FORSIDE!$B$5&gt;=8),"75 -&gt; 306","")</f>
        <v/>
      </c>
      <c r="C4579" t="str">
        <f>FORSIDE!$C$3</f>
        <v>S355, Stål / VFHUP 140x140x8.0</v>
      </c>
    </row>
    <row r="4580" spans="1:3" x14ac:dyDescent="0.3">
      <c r="A4580" t="str">
        <f>IF(AND(FORSIDE!$B$8&gt;=6,FORSIDE!$F$8&gt;=1,FORSIDE!$B$5&gt;=9),"S4579","")</f>
        <v/>
      </c>
      <c r="B4580" t="str">
        <f>IF(AND(FORSIDE!$B$8&gt;=6,FORSIDE!$F$8&gt;=1,FORSIDE!$B$5&gt;=9),"76 -&gt; 307","")</f>
        <v/>
      </c>
      <c r="C4580" t="str">
        <f>FORSIDE!$C$3</f>
        <v>S355, Stål / VFHUP 140x140x8.0</v>
      </c>
    </row>
    <row r="4581" spans="1:3" x14ac:dyDescent="0.3">
      <c r="A4581" t="str">
        <f>IF(AND(FORSIDE!$B$8&gt;=6,FORSIDE!$F$8&gt;=1,FORSIDE!$B$5&gt;=10),"S4580","")</f>
        <v/>
      </c>
      <c r="B4581" t="str">
        <f>IF(AND(FORSIDE!$B$8&gt;=6,FORSIDE!$F$8&gt;=1,FORSIDE!$B$5&gt;=10),"77 -&gt; 308","")</f>
        <v/>
      </c>
      <c r="C4581" t="str">
        <f>FORSIDE!$C$3</f>
        <v>S355, Stål / VFHUP 140x140x8.0</v>
      </c>
    </row>
    <row r="4582" spans="1:3" x14ac:dyDescent="0.3">
      <c r="A4582" t="str">
        <f>IF(AND(FORSIDE!$B$8&gt;=7,FORSIDE!$F$8&gt;=1,FORSIDE!$B$5&gt;=1),"S4581","")</f>
        <v/>
      </c>
      <c r="B4582" t="str">
        <f>IF(AND(FORSIDE!$B$8&gt;=7,FORSIDE!$F$8&gt;=1,FORSIDE!$B$5&gt;=1),"79 -&gt; 310","")</f>
        <v/>
      </c>
      <c r="C4582" t="str">
        <f>FORSIDE!$C$3</f>
        <v>S355, Stål / VFHUP 140x140x8.0</v>
      </c>
    </row>
    <row r="4583" spans="1:3" x14ac:dyDescent="0.3">
      <c r="A4583" t="str">
        <f>IF(AND(FORSIDE!$B$8&gt;=7,FORSIDE!$F$8&gt;=1,FORSIDE!$B$5&gt;=2),"S4582","")</f>
        <v/>
      </c>
      <c r="B4583" t="str">
        <f>IF(AND(FORSIDE!$B$8&gt;=7,FORSIDE!$F$8&gt;=1,FORSIDE!$B$5&gt;=2),"80 -&gt; 311","")</f>
        <v/>
      </c>
      <c r="C4583" t="str">
        <f>FORSIDE!$C$3</f>
        <v>S355, Stål / VFHUP 140x140x8.0</v>
      </c>
    </row>
    <row r="4584" spans="1:3" x14ac:dyDescent="0.3">
      <c r="A4584" t="str">
        <f>IF(AND(FORSIDE!$B$8&gt;=7,FORSIDE!$F$8&gt;=1,FORSIDE!$B$5&gt;=3),"S4583","")</f>
        <v/>
      </c>
      <c r="B4584" t="str">
        <f>IF(AND(FORSIDE!$B$8&gt;=7,FORSIDE!$F$8&gt;=1,FORSIDE!$B$5&gt;=3),"81 -&gt; 312","")</f>
        <v/>
      </c>
      <c r="C4584" t="str">
        <f>FORSIDE!$C$3</f>
        <v>S355, Stål / VFHUP 140x140x8.0</v>
      </c>
    </row>
    <row r="4585" spans="1:3" x14ac:dyDescent="0.3">
      <c r="A4585" t="str">
        <f>IF(AND(FORSIDE!$B$8&gt;=7,FORSIDE!$F$8&gt;=1,FORSIDE!$B$5&gt;=4),"S4584","")</f>
        <v/>
      </c>
      <c r="B4585" t="str">
        <f>IF(AND(FORSIDE!$B$8&gt;=7,FORSIDE!$F$8&gt;=1,FORSIDE!$B$5&gt;=4),"82 -&gt; 313","")</f>
        <v/>
      </c>
      <c r="C4585" t="str">
        <f>FORSIDE!$C$3</f>
        <v>S355, Stål / VFHUP 140x140x8.0</v>
      </c>
    </row>
    <row r="4586" spans="1:3" x14ac:dyDescent="0.3">
      <c r="A4586" t="str">
        <f>IF(AND(FORSIDE!$B$8&gt;=7,FORSIDE!$F$8&gt;=1,FORSIDE!$B$5&gt;=5),"S4585","")</f>
        <v/>
      </c>
      <c r="B4586" t="str">
        <f>IF(AND(FORSIDE!$B$8&gt;=7,FORSIDE!$F$8&gt;=1,FORSIDE!$B$5&gt;=5),"83 -&gt; 314","")</f>
        <v/>
      </c>
      <c r="C4586" t="str">
        <f>FORSIDE!$C$3</f>
        <v>S355, Stål / VFHUP 140x140x8.0</v>
      </c>
    </row>
    <row r="4587" spans="1:3" x14ac:dyDescent="0.3">
      <c r="A4587" t="str">
        <f>IF(AND(FORSIDE!$B$8&gt;=7,FORSIDE!$F$8&gt;=1,FORSIDE!$B$5&gt;=6),"S4586","")</f>
        <v/>
      </c>
      <c r="B4587" t="str">
        <f>IF(AND(FORSIDE!$B$8&gt;=7,FORSIDE!$F$8&gt;=1,FORSIDE!$B$5&gt;=6),"84 -&gt; 315","")</f>
        <v/>
      </c>
      <c r="C4587" t="str">
        <f>FORSIDE!$C$3</f>
        <v>S355, Stål / VFHUP 140x140x8.0</v>
      </c>
    </row>
    <row r="4588" spans="1:3" x14ac:dyDescent="0.3">
      <c r="A4588" t="str">
        <f>IF(AND(FORSIDE!$B$8&gt;=7,FORSIDE!$F$8&gt;=1,FORSIDE!$B$5&gt;=7),"S4587","")</f>
        <v/>
      </c>
      <c r="B4588" t="str">
        <f>IF(AND(FORSIDE!$B$8&gt;=7,FORSIDE!$F$8&gt;=1,FORSIDE!$B$5&gt;=7),"85 -&gt; 316","")</f>
        <v/>
      </c>
      <c r="C4588" t="str">
        <f>FORSIDE!$C$3</f>
        <v>S355, Stål / VFHUP 140x140x8.0</v>
      </c>
    </row>
    <row r="4589" spans="1:3" x14ac:dyDescent="0.3">
      <c r="A4589" t="str">
        <f>IF(AND(FORSIDE!$B$8&gt;=7,FORSIDE!$F$8&gt;=1,FORSIDE!$B$5&gt;=8),"S4588","")</f>
        <v/>
      </c>
      <c r="B4589" t="str">
        <f>IF(AND(FORSIDE!$B$8&gt;=7,FORSIDE!$F$8&gt;=1,FORSIDE!$B$5&gt;=8),"86 -&gt; 317","")</f>
        <v/>
      </c>
      <c r="C4589" t="str">
        <f>FORSIDE!$C$3</f>
        <v>S355, Stål / VFHUP 140x140x8.0</v>
      </c>
    </row>
    <row r="4590" spans="1:3" x14ac:dyDescent="0.3">
      <c r="A4590" t="str">
        <f>IF(AND(FORSIDE!$B$8&gt;=7,FORSIDE!$F$8&gt;=1,FORSIDE!$B$5&gt;=9),"S4589","")</f>
        <v/>
      </c>
      <c r="B4590" t="str">
        <f>IF(AND(FORSIDE!$B$8&gt;=7,FORSIDE!$F$8&gt;=1,FORSIDE!$B$5&gt;=9),"87 -&gt; 318","")</f>
        <v/>
      </c>
      <c r="C4590" t="str">
        <f>FORSIDE!$C$3</f>
        <v>S355, Stål / VFHUP 140x140x8.0</v>
      </c>
    </row>
    <row r="4591" spans="1:3" x14ac:dyDescent="0.3">
      <c r="A4591" t="str">
        <f>IF(AND(FORSIDE!$B$8&gt;=7,FORSIDE!$F$8&gt;=1,FORSIDE!$B$5&gt;=10),"S4590","")</f>
        <v/>
      </c>
      <c r="B4591" t="str">
        <f>IF(AND(FORSIDE!$B$8&gt;=7,FORSIDE!$F$8&gt;=1,FORSIDE!$B$5&gt;=10),"88 -&gt; 319","")</f>
        <v/>
      </c>
      <c r="C4591" t="str">
        <f>FORSIDE!$C$3</f>
        <v>S355, Stål / VFHUP 140x140x8.0</v>
      </c>
    </row>
    <row r="4592" spans="1:3" x14ac:dyDescent="0.3">
      <c r="A4592" t="str">
        <f>IF(AND(FORSIDE!$B$8&gt;=8,FORSIDE!$F$8&gt;=1,FORSIDE!$B$5&gt;=1),"S4591","")</f>
        <v/>
      </c>
      <c r="B4592" t="str">
        <f>IF(AND(FORSIDE!$B$8&gt;=8,FORSIDE!$F$8&gt;=1,FORSIDE!$B$5&gt;=1),"90 -&gt; 321","")</f>
        <v/>
      </c>
      <c r="C4592" t="str">
        <f>FORSIDE!$C$3</f>
        <v>S355, Stål / VFHUP 140x140x8.0</v>
      </c>
    </row>
    <row r="4593" spans="1:3" x14ac:dyDescent="0.3">
      <c r="A4593" t="str">
        <f>IF(AND(FORSIDE!$B$8&gt;=8,FORSIDE!$F$8&gt;=1,FORSIDE!$B$5&gt;=2),"S4592","")</f>
        <v/>
      </c>
      <c r="B4593" t="str">
        <f>IF(AND(FORSIDE!$B$8&gt;=8,FORSIDE!$F$8&gt;=1,FORSIDE!$B$5&gt;=2),"91 -&gt; 322","")</f>
        <v/>
      </c>
      <c r="C4593" t="str">
        <f>FORSIDE!$C$3</f>
        <v>S355, Stål / VFHUP 140x140x8.0</v>
      </c>
    </row>
    <row r="4594" spans="1:3" x14ac:dyDescent="0.3">
      <c r="A4594" t="str">
        <f>IF(AND(FORSIDE!$B$8&gt;=8,FORSIDE!$F$8&gt;=1,FORSIDE!$B$5&gt;=3),"S4593","")</f>
        <v/>
      </c>
      <c r="B4594" t="str">
        <f>IF(AND(FORSIDE!$B$8&gt;=8,FORSIDE!$F$8&gt;=1,FORSIDE!$B$5&gt;=3),"92 -&gt; 323","")</f>
        <v/>
      </c>
      <c r="C4594" t="str">
        <f>FORSIDE!$C$3</f>
        <v>S355, Stål / VFHUP 140x140x8.0</v>
      </c>
    </row>
    <row r="4595" spans="1:3" x14ac:dyDescent="0.3">
      <c r="A4595" t="str">
        <f>IF(AND(FORSIDE!$B$8&gt;=8,FORSIDE!$F$8&gt;=1,FORSIDE!$B$5&gt;=4),"S4594","")</f>
        <v/>
      </c>
      <c r="B4595" t="str">
        <f>IF(AND(FORSIDE!$B$8&gt;=8,FORSIDE!$F$8&gt;=1,FORSIDE!$B$5&gt;=4),"93 -&gt; 324","")</f>
        <v/>
      </c>
      <c r="C4595" t="str">
        <f>FORSIDE!$C$3</f>
        <v>S355, Stål / VFHUP 140x140x8.0</v>
      </c>
    </row>
    <row r="4596" spans="1:3" x14ac:dyDescent="0.3">
      <c r="A4596" t="str">
        <f>IF(AND(FORSIDE!$B$8&gt;=8,FORSIDE!$F$8&gt;=1,FORSIDE!$B$5&gt;=5),"S4595","")</f>
        <v/>
      </c>
      <c r="B4596" t="str">
        <f>IF(AND(FORSIDE!$B$8&gt;=8,FORSIDE!$F$8&gt;=1,FORSIDE!$B$5&gt;=5),"94 -&gt; 325","")</f>
        <v/>
      </c>
      <c r="C4596" t="str">
        <f>FORSIDE!$C$3</f>
        <v>S355, Stål / VFHUP 140x140x8.0</v>
      </c>
    </row>
    <row r="4597" spans="1:3" x14ac:dyDescent="0.3">
      <c r="A4597" t="str">
        <f>IF(AND(FORSIDE!$B$8&gt;=8,FORSIDE!$F$8&gt;=1,FORSIDE!$B$5&gt;=6),"S4596","")</f>
        <v/>
      </c>
      <c r="B4597" t="str">
        <f>IF(AND(FORSIDE!$B$8&gt;=8,FORSIDE!$F$8&gt;=1,FORSIDE!$B$5&gt;=6),"95 -&gt; 326","")</f>
        <v/>
      </c>
      <c r="C4597" t="str">
        <f>FORSIDE!$C$3</f>
        <v>S355, Stål / VFHUP 140x140x8.0</v>
      </c>
    </row>
    <row r="4598" spans="1:3" x14ac:dyDescent="0.3">
      <c r="A4598" t="str">
        <f>IF(AND(FORSIDE!$B$8&gt;=8,FORSIDE!$F$8&gt;=1,FORSIDE!$B$5&gt;=7),"S4597","")</f>
        <v/>
      </c>
      <c r="B4598" t="str">
        <f>IF(AND(FORSIDE!$B$8&gt;=8,FORSIDE!$F$8&gt;=1,FORSIDE!$B$5&gt;=7),"96 -&gt; 327","")</f>
        <v/>
      </c>
      <c r="C4598" t="str">
        <f>FORSIDE!$C$3</f>
        <v>S355, Stål / VFHUP 140x140x8.0</v>
      </c>
    </row>
    <row r="4599" spans="1:3" x14ac:dyDescent="0.3">
      <c r="A4599" t="str">
        <f>IF(AND(FORSIDE!$B$8&gt;=8,FORSIDE!$F$8&gt;=1,FORSIDE!$B$5&gt;=8),"S4598","")</f>
        <v/>
      </c>
      <c r="B4599" t="str">
        <f>IF(AND(FORSIDE!$B$8&gt;=8,FORSIDE!$F$8&gt;=1,FORSIDE!$B$5&gt;=8),"97 -&gt; 328","")</f>
        <v/>
      </c>
      <c r="C4599" t="str">
        <f>FORSIDE!$C$3</f>
        <v>S355, Stål / VFHUP 140x140x8.0</v>
      </c>
    </row>
    <row r="4600" spans="1:3" x14ac:dyDescent="0.3">
      <c r="A4600" t="str">
        <f>IF(AND(FORSIDE!$B$8&gt;=8,FORSIDE!$F$8&gt;=1,FORSIDE!$B$5&gt;=9),"S4599","")</f>
        <v/>
      </c>
      <c r="B4600" t="str">
        <f>IF(AND(FORSIDE!$B$8&gt;=8,FORSIDE!$F$8&gt;=1,FORSIDE!$B$5&gt;=9),"98 -&gt; 329","")</f>
        <v/>
      </c>
      <c r="C4600" t="str">
        <f>FORSIDE!$C$3</f>
        <v>S355, Stål / VFHUP 140x140x8.0</v>
      </c>
    </row>
    <row r="4601" spans="1:3" x14ac:dyDescent="0.3">
      <c r="A4601" t="str">
        <f>IF(AND(FORSIDE!$B$8&gt;=8,FORSIDE!$F$8&gt;=1,FORSIDE!$B$5&gt;=10),"S4600","")</f>
        <v/>
      </c>
      <c r="B4601" t="str">
        <f>IF(AND(FORSIDE!$B$8&gt;=8,FORSIDE!$F$8&gt;=1,FORSIDE!$B$5&gt;=10),"99 -&gt; 330","")</f>
        <v/>
      </c>
      <c r="C4601" t="str">
        <f>FORSIDE!$C$3</f>
        <v>S355, Stål / VFHUP 140x140x8.0</v>
      </c>
    </row>
    <row r="4602" spans="1:3" x14ac:dyDescent="0.3">
      <c r="A4602" t="str">
        <f>IF(AND(FORSIDE!$B$8&gt;=9,FORSIDE!$F$8&gt;=1,FORSIDE!$B$5&gt;=1),"S4601","")</f>
        <v/>
      </c>
      <c r="B4602" t="str">
        <f>IF(AND(FORSIDE!$B$8&gt;=9,FORSIDE!$F$8&gt;=1,FORSIDE!$B$5&gt;=1),"101 -&gt; 332","")</f>
        <v/>
      </c>
      <c r="C4602" t="str">
        <f>FORSIDE!$C$3</f>
        <v>S355, Stål / VFHUP 140x140x8.0</v>
      </c>
    </row>
    <row r="4603" spans="1:3" x14ac:dyDescent="0.3">
      <c r="A4603" t="str">
        <f>IF(AND(FORSIDE!$B$8&gt;=9,FORSIDE!$F$8&gt;=1,FORSIDE!$B$5&gt;=2),"S4602","")</f>
        <v/>
      </c>
      <c r="B4603" t="str">
        <f>IF(AND(FORSIDE!$B$8&gt;=9,FORSIDE!$F$8&gt;=1,FORSIDE!$B$5&gt;=2),"102 -&gt; 333","")</f>
        <v/>
      </c>
      <c r="C4603" t="str">
        <f>FORSIDE!$C$3</f>
        <v>S355, Stål / VFHUP 140x140x8.0</v>
      </c>
    </row>
    <row r="4604" spans="1:3" x14ac:dyDescent="0.3">
      <c r="A4604" t="str">
        <f>IF(AND(FORSIDE!$B$8&gt;=9,FORSIDE!$F$8&gt;=1,FORSIDE!$B$5&gt;=3),"S4603","")</f>
        <v/>
      </c>
      <c r="B4604" t="str">
        <f>IF(AND(FORSIDE!$B$8&gt;=9,FORSIDE!$F$8&gt;=1,FORSIDE!$B$5&gt;=3),"103 -&gt; 334","")</f>
        <v/>
      </c>
      <c r="C4604" t="str">
        <f>FORSIDE!$C$3</f>
        <v>S355, Stål / VFHUP 140x140x8.0</v>
      </c>
    </row>
    <row r="4605" spans="1:3" x14ac:dyDescent="0.3">
      <c r="A4605" t="str">
        <f>IF(AND(FORSIDE!$B$8&gt;=9,FORSIDE!$F$8&gt;=1,FORSIDE!$B$5&gt;=4),"S4604","")</f>
        <v/>
      </c>
      <c r="B4605" t="str">
        <f>IF(AND(FORSIDE!$B$8&gt;=9,FORSIDE!$F$8&gt;=1,FORSIDE!$B$5&gt;=4),"104 -&gt; 335","")</f>
        <v/>
      </c>
      <c r="C4605" t="str">
        <f>FORSIDE!$C$3</f>
        <v>S355, Stål / VFHUP 140x140x8.0</v>
      </c>
    </row>
    <row r="4606" spans="1:3" x14ac:dyDescent="0.3">
      <c r="A4606" t="str">
        <f>IF(AND(FORSIDE!$B$8&gt;=9,FORSIDE!$F$8&gt;=1,FORSIDE!$B$5&gt;=5),"S4605","")</f>
        <v/>
      </c>
      <c r="B4606" t="str">
        <f>IF(AND(FORSIDE!$B$8&gt;=9,FORSIDE!$F$8&gt;=1,FORSIDE!$B$5&gt;=5),"105 -&gt; 336","")</f>
        <v/>
      </c>
      <c r="C4606" t="str">
        <f>FORSIDE!$C$3</f>
        <v>S355, Stål / VFHUP 140x140x8.0</v>
      </c>
    </row>
    <row r="4607" spans="1:3" x14ac:dyDescent="0.3">
      <c r="A4607" t="str">
        <f>IF(AND(FORSIDE!$B$8&gt;=9,FORSIDE!$F$8&gt;=1,FORSIDE!$B$5&gt;=6),"S4606","")</f>
        <v/>
      </c>
      <c r="B4607" t="str">
        <f>IF(AND(FORSIDE!$B$8&gt;=9,FORSIDE!$F$8&gt;=1,FORSIDE!$B$5&gt;=6),"106 -&gt; 337","")</f>
        <v/>
      </c>
      <c r="C4607" t="str">
        <f>FORSIDE!$C$3</f>
        <v>S355, Stål / VFHUP 140x140x8.0</v>
      </c>
    </row>
    <row r="4608" spans="1:3" x14ac:dyDescent="0.3">
      <c r="A4608" t="str">
        <f>IF(AND(FORSIDE!$B$8&gt;=9,FORSIDE!$F$8&gt;=1,FORSIDE!$B$5&gt;=7),"S4607","")</f>
        <v/>
      </c>
      <c r="B4608" t="str">
        <f>IF(AND(FORSIDE!$B$8&gt;=9,FORSIDE!$F$8&gt;=1,FORSIDE!$B$5&gt;=7),"107 -&gt; 338","")</f>
        <v/>
      </c>
      <c r="C4608" t="str">
        <f>FORSIDE!$C$3</f>
        <v>S355, Stål / VFHUP 140x140x8.0</v>
      </c>
    </row>
    <row r="4609" spans="1:3" x14ac:dyDescent="0.3">
      <c r="A4609" t="str">
        <f>IF(AND(FORSIDE!$B$8&gt;=9,FORSIDE!$F$8&gt;=1,FORSIDE!$B$5&gt;=8),"S4608","")</f>
        <v/>
      </c>
      <c r="B4609" t="str">
        <f>IF(AND(FORSIDE!$B$8&gt;=9,FORSIDE!$F$8&gt;=1,FORSIDE!$B$5&gt;=8),"108 -&gt; 339","")</f>
        <v/>
      </c>
      <c r="C4609" t="str">
        <f>FORSIDE!$C$3</f>
        <v>S355, Stål / VFHUP 140x140x8.0</v>
      </c>
    </row>
    <row r="4610" spans="1:3" x14ac:dyDescent="0.3">
      <c r="A4610" t="str">
        <f>IF(AND(FORSIDE!$B$8&gt;=9,FORSIDE!$F$8&gt;=1,FORSIDE!$B$5&gt;=9),"S4609","")</f>
        <v/>
      </c>
      <c r="B4610" t="str">
        <f>IF(AND(FORSIDE!$B$8&gt;=9,FORSIDE!$F$8&gt;=1,FORSIDE!$B$5&gt;=9),"109 -&gt; 340","")</f>
        <v/>
      </c>
      <c r="C4610" t="str">
        <f>FORSIDE!$C$3</f>
        <v>S355, Stål / VFHUP 140x140x8.0</v>
      </c>
    </row>
    <row r="4611" spans="1:3" x14ac:dyDescent="0.3">
      <c r="A4611" t="str">
        <f>IF(AND(FORSIDE!$B$8&gt;=9,FORSIDE!$F$8&gt;=1,FORSIDE!$B$5&gt;=10),"S4610","")</f>
        <v/>
      </c>
      <c r="B4611" t="str">
        <f>IF(AND(FORSIDE!$B$8&gt;=9,FORSIDE!$F$8&gt;=1,FORSIDE!$B$5&gt;=10),"110 -&gt; 341","")</f>
        <v/>
      </c>
      <c r="C4611" t="str">
        <f>FORSIDE!$C$3</f>
        <v>S355, Stål / VFHUP 140x140x8.0</v>
      </c>
    </row>
    <row r="4612" spans="1:3" x14ac:dyDescent="0.3">
      <c r="A4612" t="str">
        <f>IF(AND(FORSIDE!$B$8&gt;=10,FORSIDE!$F$8&gt;=1,FORSIDE!$B$5&gt;=1),"S4611","")</f>
        <v/>
      </c>
      <c r="B4612" t="str">
        <f>IF(AND(FORSIDE!$B$8&gt;=10,FORSIDE!$F$8&gt;=1,FORSIDE!$B$5&gt;=1),"112 -&gt; 343","")</f>
        <v/>
      </c>
      <c r="C4612" t="str">
        <f>FORSIDE!$C$3</f>
        <v>S355, Stål / VFHUP 140x140x8.0</v>
      </c>
    </row>
    <row r="4613" spans="1:3" x14ac:dyDescent="0.3">
      <c r="A4613" t="str">
        <f>IF(AND(FORSIDE!$B$8&gt;=10,FORSIDE!$F$8&gt;=1,FORSIDE!$B$5&gt;=2),"S4612","")</f>
        <v/>
      </c>
      <c r="B4613" t="str">
        <f>IF(AND(FORSIDE!$B$8&gt;=10,FORSIDE!$F$8&gt;=1,FORSIDE!$B$5&gt;=2),"113 -&gt; 344","")</f>
        <v/>
      </c>
      <c r="C4613" t="str">
        <f>FORSIDE!$C$3</f>
        <v>S355, Stål / VFHUP 140x140x8.0</v>
      </c>
    </row>
    <row r="4614" spans="1:3" x14ac:dyDescent="0.3">
      <c r="A4614" t="str">
        <f>IF(AND(FORSIDE!$B$8&gt;=10,FORSIDE!$F$8&gt;=1,FORSIDE!$B$5&gt;=3),"S4613","")</f>
        <v/>
      </c>
      <c r="B4614" t="str">
        <f>IF(AND(FORSIDE!$B$8&gt;=10,FORSIDE!$F$8&gt;=1,FORSIDE!$B$5&gt;=3),"114 -&gt; 345","")</f>
        <v/>
      </c>
      <c r="C4614" t="str">
        <f>FORSIDE!$C$3</f>
        <v>S355, Stål / VFHUP 140x140x8.0</v>
      </c>
    </row>
    <row r="4615" spans="1:3" x14ac:dyDescent="0.3">
      <c r="A4615" t="str">
        <f>IF(AND(FORSIDE!$B$8&gt;=10,FORSIDE!$F$8&gt;=1,FORSIDE!$B$5&gt;=4),"S4614","")</f>
        <v/>
      </c>
      <c r="B4615" t="str">
        <f>IF(AND(FORSIDE!$B$8&gt;=10,FORSIDE!$F$8&gt;=1,FORSIDE!$B$5&gt;=4),"115 -&gt; 346","")</f>
        <v/>
      </c>
      <c r="C4615" t="str">
        <f>FORSIDE!$C$3</f>
        <v>S355, Stål / VFHUP 140x140x8.0</v>
      </c>
    </row>
    <row r="4616" spans="1:3" x14ac:dyDescent="0.3">
      <c r="A4616" t="str">
        <f>IF(AND(FORSIDE!$B$8&gt;=10,FORSIDE!$F$8&gt;=1,FORSIDE!$B$5&gt;=5),"S4615","")</f>
        <v/>
      </c>
      <c r="B4616" t="str">
        <f>IF(AND(FORSIDE!$B$8&gt;=10,FORSIDE!$F$8&gt;=1,FORSIDE!$B$5&gt;=5),"116 -&gt; 347","")</f>
        <v/>
      </c>
      <c r="C4616" t="str">
        <f>FORSIDE!$C$3</f>
        <v>S355, Stål / VFHUP 140x140x8.0</v>
      </c>
    </row>
    <row r="4617" spans="1:3" x14ac:dyDescent="0.3">
      <c r="A4617" t="str">
        <f>IF(AND(FORSIDE!$B$8&gt;=10,FORSIDE!$F$8&gt;=1,FORSIDE!$B$5&gt;=6),"S4616","")</f>
        <v/>
      </c>
      <c r="B4617" t="str">
        <f>IF(AND(FORSIDE!$B$8&gt;=10,FORSIDE!$F$8&gt;=1,FORSIDE!$B$5&gt;=6),"117 -&gt; 348","")</f>
        <v/>
      </c>
      <c r="C4617" t="str">
        <f>FORSIDE!$C$3</f>
        <v>S355, Stål / VFHUP 140x140x8.0</v>
      </c>
    </row>
    <row r="4618" spans="1:3" x14ac:dyDescent="0.3">
      <c r="A4618" t="str">
        <f>IF(AND(FORSIDE!$B$8&gt;=10,FORSIDE!$F$8&gt;=1,FORSIDE!$B$5&gt;=7),"S4617","")</f>
        <v/>
      </c>
      <c r="B4618" t="str">
        <f>IF(AND(FORSIDE!$B$8&gt;=10,FORSIDE!$F$8&gt;=1,FORSIDE!$B$5&gt;=7),"118 -&gt; 349","")</f>
        <v/>
      </c>
      <c r="C4618" t="str">
        <f>FORSIDE!$C$3</f>
        <v>S355, Stål / VFHUP 140x140x8.0</v>
      </c>
    </row>
    <row r="4619" spans="1:3" x14ac:dyDescent="0.3">
      <c r="A4619" t="str">
        <f>IF(AND(FORSIDE!$B$8&gt;=10,FORSIDE!$F$8&gt;=1,FORSIDE!$B$5&gt;=8),"S4618","")</f>
        <v/>
      </c>
      <c r="B4619" t="str">
        <f>IF(AND(FORSIDE!$B$8&gt;=10,FORSIDE!$F$8&gt;=1,FORSIDE!$B$5&gt;=8),"119 -&gt; 350","")</f>
        <v/>
      </c>
      <c r="C4619" t="str">
        <f>FORSIDE!$C$3</f>
        <v>S355, Stål / VFHUP 140x140x8.0</v>
      </c>
    </row>
    <row r="4620" spans="1:3" x14ac:dyDescent="0.3">
      <c r="A4620" t="str">
        <f>IF(AND(FORSIDE!$B$8&gt;=10,FORSIDE!$F$8&gt;=1,FORSIDE!$B$5&gt;=9),"S4619","")</f>
        <v/>
      </c>
      <c r="B4620" t="str">
        <f>IF(AND(FORSIDE!$B$8&gt;=10,FORSIDE!$F$8&gt;=1,FORSIDE!$B$5&gt;=9),"120 -&gt; 351","")</f>
        <v/>
      </c>
      <c r="C4620" t="str">
        <f>FORSIDE!$C$3</f>
        <v>S355, Stål / VFHUP 140x140x8.0</v>
      </c>
    </row>
    <row r="4621" spans="1:3" x14ac:dyDescent="0.3">
      <c r="A4621" t="str">
        <f>IF(AND(FORSIDE!$B$8&gt;=10,FORSIDE!$F$8&gt;=1,FORSIDE!$B$5&gt;=10),"S4620","")</f>
        <v/>
      </c>
      <c r="B4621" t="str">
        <f>IF(AND(FORSIDE!$B$8&gt;=10,FORSIDE!$F$8&gt;=1,FORSIDE!$B$5&gt;=10),"121 -&gt; 352","")</f>
        <v/>
      </c>
      <c r="C4621" t="str">
        <f>FORSIDE!$C$3</f>
        <v>S355, Stål / VFHUP 140x140x8.0</v>
      </c>
    </row>
    <row r="4622" spans="1:3" x14ac:dyDescent="0.3">
      <c r="A4622" t="str">
        <f>IF(AND(FORSIDE!$B$8&gt;=11,FORSIDE!$F$8&gt;=1,FORSIDE!$B$5&gt;=1),"S4621","")</f>
        <v/>
      </c>
      <c r="B4622" t="str">
        <f>IF(AND(FORSIDE!$B$8&gt;=11,FORSIDE!$F$8&gt;=1,FORSIDE!$B$5&gt;=1),"123 -&gt; 354","")</f>
        <v/>
      </c>
      <c r="C4622" t="str">
        <f>FORSIDE!$C$3</f>
        <v>S355, Stål / VFHUP 140x140x8.0</v>
      </c>
    </row>
    <row r="4623" spans="1:3" x14ac:dyDescent="0.3">
      <c r="A4623" t="str">
        <f>IF(AND(FORSIDE!$B$8&gt;=11,FORSIDE!$F$8&gt;=1,FORSIDE!$B$5&gt;=2),"S4622","")</f>
        <v/>
      </c>
      <c r="B4623" t="str">
        <f>IF(AND(FORSIDE!$B$8&gt;=11,FORSIDE!$F$8&gt;=1,FORSIDE!$B$5&gt;=2),"124 -&gt; 355","")</f>
        <v/>
      </c>
      <c r="C4623" t="str">
        <f>FORSIDE!$C$3</f>
        <v>S355, Stål / VFHUP 140x140x8.0</v>
      </c>
    </row>
    <row r="4624" spans="1:3" x14ac:dyDescent="0.3">
      <c r="A4624" t="str">
        <f>IF(AND(FORSIDE!$B$8&gt;=11,FORSIDE!$F$8&gt;=1,FORSIDE!$B$5&gt;=3),"S4623","")</f>
        <v/>
      </c>
      <c r="B4624" t="str">
        <f>IF(AND(FORSIDE!$B$8&gt;=11,FORSIDE!$F$8&gt;=1,FORSIDE!$B$5&gt;=3),"125 -&gt; 356","")</f>
        <v/>
      </c>
      <c r="C4624" t="str">
        <f>FORSIDE!$C$3</f>
        <v>S355, Stål / VFHUP 140x140x8.0</v>
      </c>
    </row>
    <row r="4625" spans="1:3" x14ac:dyDescent="0.3">
      <c r="A4625" t="str">
        <f>IF(AND(FORSIDE!$B$8&gt;=11,FORSIDE!$F$8&gt;=1,FORSIDE!$B$5&gt;=4),"S4624","")</f>
        <v/>
      </c>
      <c r="B4625" t="str">
        <f>IF(AND(FORSIDE!$B$8&gt;=11,FORSIDE!$F$8&gt;=1,FORSIDE!$B$5&gt;=4),"126 -&gt; 357","")</f>
        <v/>
      </c>
      <c r="C4625" t="str">
        <f>FORSIDE!$C$3</f>
        <v>S355, Stål / VFHUP 140x140x8.0</v>
      </c>
    </row>
    <row r="4626" spans="1:3" x14ac:dyDescent="0.3">
      <c r="A4626" t="str">
        <f>IF(AND(FORSIDE!$B$8&gt;=11,FORSIDE!$F$8&gt;=1,FORSIDE!$B$5&gt;=5),"S4625","")</f>
        <v/>
      </c>
      <c r="B4626" t="str">
        <f>IF(AND(FORSIDE!$B$8&gt;=11,FORSIDE!$F$8&gt;=1,FORSIDE!$B$5&gt;=5),"127 -&gt; 358","")</f>
        <v/>
      </c>
      <c r="C4626" t="str">
        <f>FORSIDE!$C$3</f>
        <v>S355, Stål / VFHUP 140x140x8.0</v>
      </c>
    </row>
    <row r="4627" spans="1:3" x14ac:dyDescent="0.3">
      <c r="A4627" t="str">
        <f>IF(AND(FORSIDE!$B$8&gt;=11,FORSIDE!$F$8&gt;=1,FORSIDE!$B$5&gt;=6),"S4626","")</f>
        <v/>
      </c>
      <c r="B4627" t="str">
        <f>IF(AND(FORSIDE!$B$8&gt;=11,FORSIDE!$F$8&gt;=1,FORSIDE!$B$5&gt;=6),"128 -&gt; 359","")</f>
        <v/>
      </c>
      <c r="C4627" t="str">
        <f>FORSIDE!$C$3</f>
        <v>S355, Stål / VFHUP 140x140x8.0</v>
      </c>
    </row>
    <row r="4628" spans="1:3" x14ac:dyDescent="0.3">
      <c r="A4628" t="str">
        <f>IF(AND(FORSIDE!$B$8&gt;=11,FORSIDE!$F$8&gt;=1,FORSIDE!$B$5&gt;=7),"S4627","")</f>
        <v/>
      </c>
      <c r="B4628" t="str">
        <f>IF(AND(FORSIDE!$B$8&gt;=11,FORSIDE!$F$8&gt;=1,FORSIDE!$B$5&gt;=7),"129 -&gt; 360","")</f>
        <v/>
      </c>
      <c r="C4628" t="str">
        <f>FORSIDE!$C$3</f>
        <v>S355, Stål / VFHUP 140x140x8.0</v>
      </c>
    </row>
    <row r="4629" spans="1:3" x14ac:dyDescent="0.3">
      <c r="A4629" t="str">
        <f>IF(AND(FORSIDE!$B$8&gt;=11,FORSIDE!$F$8&gt;=1,FORSIDE!$B$5&gt;=8),"S4628","")</f>
        <v/>
      </c>
      <c r="B4629" t="str">
        <f>IF(AND(FORSIDE!$B$8&gt;=11,FORSIDE!$F$8&gt;=1,FORSIDE!$B$5&gt;=8),"130 -&gt; 361","")</f>
        <v/>
      </c>
      <c r="C4629" t="str">
        <f>FORSIDE!$C$3</f>
        <v>S355, Stål / VFHUP 140x140x8.0</v>
      </c>
    </row>
    <row r="4630" spans="1:3" x14ac:dyDescent="0.3">
      <c r="A4630" t="str">
        <f>IF(AND(FORSIDE!$B$8&gt;=11,FORSIDE!$F$8&gt;=1,FORSIDE!$B$5&gt;=9),"S4629","")</f>
        <v/>
      </c>
      <c r="B4630" t="str">
        <f>IF(AND(FORSIDE!$B$8&gt;=11,FORSIDE!$F$8&gt;=1,FORSIDE!$B$5&gt;=9),"131 -&gt; 362","")</f>
        <v/>
      </c>
      <c r="C4630" t="str">
        <f>FORSIDE!$C$3</f>
        <v>S355, Stål / VFHUP 140x140x8.0</v>
      </c>
    </row>
    <row r="4631" spans="1:3" x14ac:dyDescent="0.3">
      <c r="A4631" t="str">
        <f>IF(AND(FORSIDE!$B$8&gt;=11,FORSIDE!$F$8&gt;=1,FORSIDE!$B$5&gt;=10),"S4630","")</f>
        <v/>
      </c>
      <c r="B4631" t="str">
        <f>IF(AND(FORSIDE!$B$8&gt;=11,FORSIDE!$F$8&gt;=1,FORSIDE!$B$5&gt;=10),"132 -&gt; 363","")</f>
        <v/>
      </c>
      <c r="C4631" t="str">
        <f>FORSIDE!$C$3</f>
        <v>S355, Stål / VFHUP 140x140x8.0</v>
      </c>
    </row>
    <row r="4632" spans="1:3" x14ac:dyDescent="0.3">
      <c r="A4632" t="str">
        <f>IF(AND(FORSIDE!$B$8&gt;=12,FORSIDE!$F$8&gt;=1,FORSIDE!$B$5&gt;=1),"S4631","")</f>
        <v/>
      </c>
      <c r="B4632" t="str">
        <f>IF(AND(FORSIDE!$B$8&gt;=12,FORSIDE!$F$8&gt;=1,FORSIDE!$B$5&gt;=1),"134 -&gt; 365","")</f>
        <v/>
      </c>
      <c r="C4632" t="str">
        <f>FORSIDE!$C$3</f>
        <v>S355, Stål / VFHUP 140x140x8.0</v>
      </c>
    </row>
    <row r="4633" spans="1:3" x14ac:dyDescent="0.3">
      <c r="A4633" t="str">
        <f>IF(AND(FORSIDE!$B$8&gt;=12,FORSIDE!$F$8&gt;=1,FORSIDE!$B$5&gt;=2),"S4632","")</f>
        <v/>
      </c>
      <c r="B4633" t="str">
        <f>IF(AND(FORSIDE!$B$8&gt;=12,FORSIDE!$F$8&gt;=1,FORSIDE!$B$5&gt;=2),"135 -&gt; 366","")</f>
        <v/>
      </c>
      <c r="C4633" t="str">
        <f>FORSIDE!$C$3</f>
        <v>S355, Stål / VFHUP 140x140x8.0</v>
      </c>
    </row>
    <row r="4634" spans="1:3" x14ac:dyDescent="0.3">
      <c r="A4634" t="str">
        <f>IF(AND(FORSIDE!$B$8&gt;=12,FORSIDE!$F$8&gt;=1,FORSIDE!$B$5&gt;=3),"S4633","")</f>
        <v/>
      </c>
      <c r="B4634" t="str">
        <f>IF(AND(FORSIDE!$B$8&gt;=12,FORSIDE!$F$8&gt;=1,FORSIDE!$B$5&gt;=3),"136 -&gt; 367","")</f>
        <v/>
      </c>
      <c r="C4634" t="str">
        <f>FORSIDE!$C$3</f>
        <v>S355, Stål / VFHUP 140x140x8.0</v>
      </c>
    </row>
    <row r="4635" spans="1:3" x14ac:dyDescent="0.3">
      <c r="A4635" t="str">
        <f>IF(AND(FORSIDE!$B$8&gt;=12,FORSIDE!$F$8&gt;=1,FORSIDE!$B$5&gt;=4),"S4634","")</f>
        <v/>
      </c>
      <c r="B4635" t="str">
        <f>IF(AND(FORSIDE!$B$8&gt;=12,FORSIDE!$F$8&gt;=1,FORSIDE!$B$5&gt;=4),"137 -&gt; 368","")</f>
        <v/>
      </c>
      <c r="C4635" t="str">
        <f>FORSIDE!$C$3</f>
        <v>S355, Stål / VFHUP 140x140x8.0</v>
      </c>
    </row>
    <row r="4636" spans="1:3" x14ac:dyDescent="0.3">
      <c r="A4636" t="str">
        <f>IF(AND(FORSIDE!$B$8&gt;=12,FORSIDE!$F$8&gt;=1,FORSIDE!$B$5&gt;=5),"S4635","")</f>
        <v/>
      </c>
      <c r="B4636" t="str">
        <f>IF(AND(FORSIDE!$B$8&gt;=12,FORSIDE!$F$8&gt;=1,FORSIDE!$B$5&gt;=5),"138 -&gt; 369","")</f>
        <v/>
      </c>
      <c r="C4636" t="str">
        <f>FORSIDE!$C$3</f>
        <v>S355, Stål / VFHUP 140x140x8.0</v>
      </c>
    </row>
    <row r="4637" spans="1:3" x14ac:dyDescent="0.3">
      <c r="A4637" t="str">
        <f>IF(AND(FORSIDE!$B$8&gt;=12,FORSIDE!$F$8&gt;=1,FORSIDE!$B$5&gt;=6),"S4636","")</f>
        <v/>
      </c>
      <c r="B4637" t="str">
        <f>IF(AND(FORSIDE!$B$8&gt;=12,FORSIDE!$F$8&gt;=1,FORSIDE!$B$5&gt;=6),"139 -&gt; 370","")</f>
        <v/>
      </c>
      <c r="C4637" t="str">
        <f>FORSIDE!$C$3</f>
        <v>S355, Stål / VFHUP 140x140x8.0</v>
      </c>
    </row>
    <row r="4638" spans="1:3" x14ac:dyDescent="0.3">
      <c r="A4638" t="str">
        <f>IF(AND(FORSIDE!$B$8&gt;=12,FORSIDE!$F$8&gt;=1,FORSIDE!$B$5&gt;=7),"S4637","")</f>
        <v/>
      </c>
      <c r="B4638" t="str">
        <f>IF(AND(FORSIDE!$B$8&gt;=12,FORSIDE!$F$8&gt;=1,FORSIDE!$B$5&gt;=7),"140 -&gt; 371","")</f>
        <v/>
      </c>
      <c r="C4638" t="str">
        <f>FORSIDE!$C$3</f>
        <v>S355, Stål / VFHUP 140x140x8.0</v>
      </c>
    </row>
    <row r="4639" spans="1:3" x14ac:dyDescent="0.3">
      <c r="A4639" t="str">
        <f>IF(AND(FORSIDE!$B$8&gt;=12,FORSIDE!$F$8&gt;=1,FORSIDE!$B$5&gt;=8),"S4638","")</f>
        <v/>
      </c>
      <c r="B4639" t="str">
        <f>IF(AND(FORSIDE!$B$8&gt;=12,FORSIDE!$F$8&gt;=1,FORSIDE!$B$5&gt;=8),"141 -&gt; 372","")</f>
        <v/>
      </c>
      <c r="C4639" t="str">
        <f>FORSIDE!$C$3</f>
        <v>S355, Stål / VFHUP 140x140x8.0</v>
      </c>
    </row>
    <row r="4640" spans="1:3" x14ac:dyDescent="0.3">
      <c r="A4640" t="str">
        <f>IF(AND(FORSIDE!$B$8&gt;=12,FORSIDE!$F$8&gt;=1,FORSIDE!$B$5&gt;=9),"S4639","")</f>
        <v/>
      </c>
      <c r="B4640" t="str">
        <f>IF(AND(FORSIDE!$B$8&gt;=12,FORSIDE!$F$8&gt;=1,FORSIDE!$B$5&gt;=9),"142 -&gt; 373","")</f>
        <v/>
      </c>
      <c r="C4640" t="str">
        <f>FORSIDE!$C$3</f>
        <v>S355, Stål / VFHUP 140x140x8.0</v>
      </c>
    </row>
    <row r="4641" spans="1:3" x14ac:dyDescent="0.3">
      <c r="A4641" t="str">
        <f>IF(AND(FORSIDE!$B$8&gt;=12,FORSIDE!$F$8&gt;=1,FORSIDE!$B$5&gt;=10),"S4640","")</f>
        <v/>
      </c>
      <c r="B4641" t="str">
        <f>IF(AND(FORSIDE!$B$8&gt;=12,FORSIDE!$F$8&gt;=1,FORSIDE!$B$5&gt;=10),"143 -&gt; 374","")</f>
        <v/>
      </c>
      <c r="C4641" t="str">
        <f>FORSIDE!$C$3</f>
        <v>S355, Stål / VFHUP 140x140x8.0</v>
      </c>
    </row>
    <row r="4642" spans="1:3" x14ac:dyDescent="0.3">
      <c r="A4642" t="str">
        <f>IF(AND(FORSIDE!$B$8&gt;=13,FORSIDE!$F$8&gt;=1,FORSIDE!$B$5&gt;=1),"S4641","")</f>
        <v/>
      </c>
      <c r="B4642" t="str">
        <f>IF(AND(FORSIDE!$B$8&gt;=13,FORSIDE!$F$8&gt;=1,FORSIDE!$B$5&gt;=1),"145 -&gt; 376","")</f>
        <v/>
      </c>
      <c r="C4642" t="str">
        <f>FORSIDE!$C$3</f>
        <v>S355, Stål / VFHUP 140x140x8.0</v>
      </c>
    </row>
    <row r="4643" spans="1:3" x14ac:dyDescent="0.3">
      <c r="A4643" t="str">
        <f>IF(AND(FORSIDE!$B$8&gt;=13,FORSIDE!$F$8&gt;=1,FORSIDE!$B$5&gt;=2),"S4642","")</f>
        <v/>
      </c>
      <c r="B4643" t="str">
        <f>IF(AND(FORSIDE!$B$8&gt;=13,FORSIDE!$F$8&gt;=1,FORSIDE!$B$5&gt;=2),"146 -&gt; 377","")</f>
        <v/>
      </c>
      <c r="C4643" t="str">
        <f>FORSIDE!$C$3</f>
        <v>S355, Stål / VFHUP 140x140x8.0</v>
      </c>
    </row>
    <row r="4644" spans="1:3" x14ac:dyDescent="0.3">
      <c r="A4644" t="str">
        <f>IF(AND(FORSIDE!$B$8&gt;=13,FORSIDE!$F$8&gt;=1,FORSIDE!$B$5&gt;=3),"S4643","")</f>
        <v/>
      </c>
      <c r="B4644" t="str">
        <f>IF(AND(FORSIDE!$B$8&gt;=13,FORSIDE!$F$8&gt;=1,FORSIDE!$B$5&gt;=3),"147 -&gt; 378","")</f>
        <v/>
      </c>
      <c r="C4644" t="str">
        <f>FORSIDE!$C$3</f>
        <v>S355, Stål / VFHUP 140x140x8.0</v>
      </c>
    </row>
    <row r="4645" spans="1:3" x14ac:dyDescent="0.3">
      <c r="A4645" t="str">
        <f>IF(AND(FORSIDE!$B$8&gt;=13,FORSIDE!$F$8&gt;=1,FORSIDE!$B$5&gt;=4),"S4644","")</f>
        <v/>
      </c>
      <c r="B4645" t="str">
        <f>IF(AND(FORSIDE!$B$8&gt;=13,FORSIDE!$F$8&gt;=1,FORSIDE!$B$5&gt;=4),"148 -&gt; 379","")</f>
        <v/>
      </c>
      <c r="C4645" t="str">
        <f>FORSIDE!$C$3</f>
        <v>S355, Stål / VFHUP 140x140x8.0</v>
      </c>
    </row>
    <row r="4646" spans="1:3" x14ac:dyDescent="0.3">
      <c r="A4646" t="str">
        <f>IF(AND(FORSIDE!$B$8&gt;=13,FORSIDE!$F$8&gt;=1,FORSIDE!$B$5&gt;=5),"S4645","")</f>
        <v/>
      </c>
      <c r="B4646" t="str">
        <f>IF(AND(FORSIDE!$B$8&gt;=13,FORSIDE!$F$8&gt;=1,FORSIDE!$B$5&gt;=5),"149 -&gt; 380","")</f>
        <v/>
      </c>
      <c r="C4646" t="str">
        <f>FORSIDE!$C$3</f>
        <v>S355, Stål / VFHUP 140x140x8.0</v>
      </c>
    </row>
    <row r="4647" spans="1:3" x14ac:dyDescent="0.3">
      <c r="A4647" t="str">
        <f>IF(AND(FORSIDE!$B$8&gt;=13,FORSIDE!$F$8&gt;=1,FORSIDE!$B$5&gt;=6),"S4646","")</f>
        <v/>
      </c>
      <c r="B4647" t="str">
        <f>IF(AND(FORSIDE!$B$8&gt;=13,FORSIDE!$F$8&gt;=1,FORSIDE!$B$5&gt;=6),"150 -&gt; 381","")</f>
        <v/>
      </c>
      <c r="C4647" t="str">
        <f>FORSIDE!$C$3</f>
        <v>S355, Stål / VFHUP 140x140x8.0</v>
      </c>
    </row>
    <row r="4648" spans="1:3" x14ac:dyDescent="0.3">
      <c r="A4648" t="str">
        <f>IF(AND(FORSIDE!$B$8&gt;=13,FORSIDE!$F$8&gt;=1,FORSIDE!$B$5&gt;=7),"S4647","")</f>
        <v/>
      </c>
      <c r="B4648" t="str">
        <f>IF(AND(FORSIDE!$B$8&gt;=13,FORSIDE!$F$8&gt;=1,FORSIDE!$B$5&gt;=7),"151 -&gt; 382","")</f>
        <v/>
      </c>
      <c r="C4648" t="str">
        <f>FORSIDE!$C$3</f>
        <v>S355, Stål / VFHUP 140x140x8.0</v>
      </c>
    </row>
    <row r="4649" spans="1:3" x14ac:dyDescent="0.3">
      <c r="A4649" t="str">
        <f>IF(AND(FORSIDE!$B$8&gt;=13,FORSIDE!$F$8&gt;=1,FORSIDE!$B$5&gt;=8),"S4648","")</f>
        <v/>
      </c>
      <c r="B4649" t="str">
        <f>IF(AND(FORSIDE!$B$8&gt;=13,FORSIDE!$F$8&gt;=1,FORSIDE!$B$5&gt;=8),"152 -&gt; 383","")</f>
        <v/>
      </c>
      <c r="C4649" t="str">
        <f>FORSIDE!$C$3</f>
        <v>S355, Stål / VFHUP 140x140x8.0</v>
      </c>
    </row>
    <row r="4650" spans="1:3" x14ac:dyDescent="0.3">
      <c r="A4650" t="str">
        <f>IF(AND(FORSIDE!$B$8&gt;=13,FORSIDE!$F$8&gt;=1,FORSIDE!$B$5&gt;=9),"S4649","")</f>
        <v/>
      </c>
      <c r="B4650" t="str">
        <f>IF(AND(FORSIDE!$B$8&gt;=13,FORSIDE!$F$8&gt;=1,FORSIDE!$B$5&gt;=9),"153 -&gt; 384","")</f>
        <v/>
      </c>
      <c r="C4650" t="str">
        <f>FORSIDE!$C$3</f>
        <v>S355, Stål / VFHUP 140x140x8.0</v>
      </c>
    </row>
    <row r="4651" spans="1:3" x14ac:dyDescent="0.3">
      <c r="A4651" t="str">
        <f>IF(AND(FORSIDE!$B$8&gt;=13,FORSIDE!$F$8&gt;=1,FORSIDE!$B$5&gt;=10),"S4650","")</f>
        <v/>
      </c>
      <c r="B4651" t="str">
        <f>IF(AND(FORSIDE!$B$8&gt;=13,FORSIDE!$F$8&gt;=1,FORSIDE!$B$5&gt;=10),"154 -&gt; 385","")</f>
        <v/>
      </c>
      <c r="C4651" t="str">
        <f>FORSIDE!$C$3</f>
        <v>S355, Stål / VFHUP 140x140x8.0</v>
      </c>
    </row>
    <row r="4652" spans="1:3" x14ac:dyDescent="0.3">
      <c r="A4652" t="str">
        <f>IF(AND(FORSIDE!$B$8&gt;=14,FORSIDE!$F$8&gt;=1,FORSIDE!$B$5&gt;=1),"S4651","")</f>
        <v/>
      </c>
      <c r="B4652" t="str">
        <f>IF(AND(FORSIDE!$B$8&gt;=14,FORSIDE!$F$8&gt;=1,FORSIDE!$B$5&gt;=1),"156 -&gt; 387","")</f>
        <v/>
      </c>
      <c r="C4652" t="str">
        <f>FORSIDE!$C$3</f>
        <v>S355, Stål / VFHUP 140x140x8.0</v>
      </c>
    </row>
    <row r="4653" spans="1:3" x14ac:dyDescent="0.3">
      <c r="A4653" t="str">
        <f>IF(AND(FORSIDE!$B$8&gt;=14,FORSIDE!$F$8&gt;=1,FORSIDE!$B$5&gt;=2),"S4652","")</f>
        <v/>
      </c>
      <c r="B4653" t="str">
        <f>IF(AND(FORSIDE!$B$8&gt;=14,FORSIDE!$F$8&gt;=1,FORSIDE!$B$5&gt;=2),"157 -&gt; 388","")</f>
        <v/>
      </c>
      <c r="C4653" t="str">
        <f>FORSIDE!$C$3</f>
        <v>S355, Stål / VFHUP 140x140x8.0</v>
      </c>
    </row>
    <row r="4654" spans="1:3" x14ac:dyDescent="0.3">
      <c r="A4654" t="str">
        <f>IF(AND(FORSIDE!$B$8&gt;=14,FORSIDE!$F$8&gt;=1,FORSIDE!$B$5&gt;=3),"S4653","")</f>
        <v/>
      </c>
      <c r="B4654" t="str">
        <f>IF(AND(FORSIDE!$B$8&gt;=14,FORSIDE!$F$8&gt;=1,FORSIDE!$B$5&gt;=3),"158 -&gt; 389","")</f>
        <v/>
      </c>
      <c r="C4654" t="str">
        <f>FORSIDE!$C$3</f>
        <v>S355, Stål / VFHUP 140x140x8.0</v>
      </c>
    </row>
    <row r="4655" spans="1:3" x14ac:dyDescent="0.3">
      <c r="A4655" t="str">
        <f>IF(AND(FORSIDE!$B$8&gt;=14,FORSIDE!$F$8&gt;=1,FORSIDE!$B$5&gt;=4),"S4654","")</f>
        <v/>
      </c>
      <c r="B4655" t="str">
        <f>IF(AND(FORSIDE!$B$8&gt;=14,FORSIDE!$F$8&gt;=1,FORSIDE!$B$5&gt;=4),"159 -&gt; 390","")</f>
        <v/>
      </c>
      <c r="C4655" t="str">
        <f>FORSIDE!$C$3</f>
        <v>S355, Stål / VFHUP 140x140x8.0</v>
      </c>
    </row>
    <row r="4656" spans="1:3" x14ac:dyDescent="0.3">
      <c r="A4656" t="str">
        <f>IF(AND(FORSIDE!$B$8&gt;=14,FORSIDE!$F$8&gt;=1,FORSIDE!$B$5&gt;=5),"S4655","")</f>
        <v/>
      </c>
      <c r="B4656" t="str">
        <f>IF(AND(FORSIDE!$B$8&gt;=14,FORSIDE!$F$8&gt;=1,FORSIDE!$B$5&gt;=5),"160 -&gt; 391","")</f>
        <v/>
      </c>
      <c r="C4656" t="str">
        <f>FORSIDE!$C$3</f>
        <v>S355, Stål / VFHUP 140x140x8.0</v>
      </c>
    </row>
    <row r="4657" spans="1:3" x14ac:dyDescent="0.3">
      <c r="A4657" t="str">
        <f>IF(AND(FORSIDE!$B$8&gt;=14,FORSIDE!$F$8&gt;=1,FORSIDE!$B$5&gt;=6),"S4656","")</f>
        <v/>
      </c>
      <c r="B4657" t="str">
        <f>IF(AND(FORSIDE!$B$8&gt;=14,FORSIDE!$F$8&gt;=1,FORSIDE!$B$5&gt;=6),"161 -&gt; 392","")</f>
        <v/>
      </c>
      <c r="C4657" t="str">
        <f>FORSIDE!$C$3</f>
        <v>S355, Stål / VFHUP 140x140x8.0</v>
      </c>
    </row>
    <row r="4658" spans="1:3" x14ac:dyDescent="0.3">
      <c r="A4658" t="str">
        <f>IF(AND(FORSIDE!$B$8&gt;=14,FORSIDE!$F$8&gt;=1,FORSIDE!$B$5&gt;=7),"S4657","")</f>
        <v/>
      </c>
      <c r="B4658" t="str">
        <f>IF(AND(FORSIDE!$B$8&gt;=14,FORSIDE!$F$8&gt;=1,FORSIDE!$B$5&gt;=7),"162 -&gt; 393","")</f>
        <v/>
      </c>
      <c r="C4658" t="str">
        <f>FORSIDE!$C$3</f>
        <v>S355, Stål / VFHUP 140x140x8.0</v>
      </c>
    </row>
    <row r="4659" spans="1:3" x14ac:dyDescent="0.3">
      <c r="A4659" t="str">
        <f>IF(AND(FORSIDE!$B$8&gt;=14,FORSIDE!$F$8&gt;=1,FORSIDE!$B$5&gt;=8),"S4658","")</f>
        <v/>
      </c>
      <c r="B4659" t="str">
        <f>IF(AND(FORSIDE!$B$8&gt;=14,FORSIDE!$F$8&gt;=1,FORSIDE!$B$5&gt;=8),"163 -&gt; 394","")</f>
        <v/>
      </c>
      <c r="C4659" t="str">
        <f>FORSIDE!$C$3</f>
        <v>S355, Stål / VFHUP 140x140x8.0</v>
      </c>
    </row>
    <row r="4660" spans="1:3" x14ac:dyDescent="0.3">
      <c r="A4660" t="str">
        <f>IF(AND(FORSIDE!$B$8&gt;=14,FORSIDE!$F$8&gt;=1,FORSIDE!$B$5&gt;=9),"S4659","")</f>
        <v/>
      </c>
      <c r="B4660" t="str">
        <f>IF(AND(FORSIDE!$B$8&gt;=14,FORSIDE!$F$8&gt;=1,FORSIDE!$B$5&gt;=9),"164 -&gt; 395","")</f>
        <v/>
      </c>
      <c r="C4660" t="str">
        <f>FORSIDE!$C$3</f>
        <v>S355, Stål / VFHUP 140x140x8.0</v>
      </c>
    </row>
    <row r="4661" spans="1:3" x14ac:dyDescent="0.3">
      <c r="A4661" t="str">
        <f>IF(AND(FORSIDE!$B$8&gt;=14,FORSIDE!$F$8&gt;=1,FORSIDE!$B$5&gt;=10),"S4660","")</f>
        <v/>
      </c>
      <c r="B4661" t="str">
        <f>IF(AND(FORSIDE!$B$8&gt;=14,FORSIDE!$F$8&gt;=1,FORSIDE!$B$5&gt;=10),"165 -&gt; 396","")</f>
        <v/>
      </c>
      <c r="C4661" t="str">
        <f>FORSIDE!$C$3</f>
        <v>S355, Stål / VFHUP 140x140x8.0</v>
      </c>
    </row>
    <row r="4662" spans="1:3" x14ac:dyDescent="0.3">
      <c r="A4662" t="str">
        <f>IF(AND(FORSIDE!$B$8&gt;=15,FORSIDE!$F$8&gt;=1,FORSIDE!$B$5&gt;=1),"S4661","")</f>
        <v/>
      </c>
      <c r="B4662" t="str">
        <f>IF(AND(FORSIDE!$B$8&gt;=15,FORSIDE!$F$8&gt;=1,FORSIDE!$B$5&gt;=1),"167 -&gt; 398","")</f>
        <v/>
      </c>
      <c r="C4662" t="str">
        <f>FORSIDE!$C$3</f>
        <v>S355, Stål / VFHUP 140x140x8.0</v>
      </c>
    </row>
    <row r="4663" spans="1:3" x14ac:dyDescent="0.3">
      <c r="A4663" t="str">
        <f>IF(AND(FORSIDE!$B$8&gt;=15,FORSIDE!$F$8&gt;=1,FORSIDE!$B$5&gt;=2),"S4662","")</f>
        <v/>
      </c>
      <c r="B4663" t="str">
        <f>IF(AND(FORSIDE!$B$8&gt;=15,FORSIDE!$F$8&gt;=1,FORSIDE!$B$5&gt;=2),"168 -&gt; 399","")</f>
        <v/>
      </c>
      <c r="C4663" t="str">
        <f>FORSIDE!$C$3</f>
        <v>S355, Stål / VFHUP 140x140x8.0</v>
      </c>
    </row>
    <row r="4664" spans="1:3" x14ac:dyDescent="0.3">
      <c r="A4664" t="str">
        <f>IF(AND(FORSIDE!$B$8&gt;=15,FORSIDE!$F$8&gt;=1,FORSIDE!$B$5&gt;=3),"S4663","")</f>
        <v/>
      </c>
      <c r="B4664" t="str">
        <f>IF(AND(FORSIDE!$B$8&gt;=15,FORSIDE!$F$8&gt;=1,FORSIDE!$B$5&gt;=3),"169 -&gt; 400","")</f>
        <v/>
      </c>
      <c r="C4664" t="str">
        <f>FORSIDE!$C$3</f>
        <v>S355, Stål / VFHUP 140x140x8.0</v>
      </c>
    </row>
    <row r="4665" spans="1:3" x14ac:dyDescent="0.3">
      <c r="A4665" t="str">
        <f>IF(AND(FORSIDE!$B$8&gt;=15,FORSIDE!$F$8&gt;=1,FORSIDE!$B$5&gt;=4),"S4664","")</f>
        <v/>
      </c>
      <c r="B4665" t="str">
        <f>IF(AND(FORSIDE!$B$8&gt;=15,FORSIDE!$F$8&gt;=1,FORSIDE!$B$5&gt;=4),"170 -&gt; 401","")</f>
        <v/>
      </c>
      <c r="C4665" t="str">
        <f>FORSIDE!$C$3</f>
        <v>S355, Stål / VFHUP 140x140x8.0</v>
      </c>
    </row>
    <row r="4666" spans="1:3" x14ac:dyDescent="0.3">
      <c r="A4666" t="str">
        <f>IF(AND(FORSIDE!$B$8&gt;=15,FORSIDE!$F$8&gt;=1,FORSIDE!$B$5&gt;=5),"S4665","")</f>
        <v/>
      </c>
      <c r="B4666" t="str">
        <f>IF(AND(FORSIDE!$B$8&gt;=15,FORSIDE!$F$8&gt;=1,FORSIDE!$B$5&gt;=5),"171 -&gt; 402","")</f>
        <v/>
      </c>
      <c r="C4666" t="str">
        <f>FORSIDE!$C$3</f>
        <v>S355, Stål / VFHUP 140x140x8.0</v>
      </c>
    </row>
    <row r="4667" spans="1:3" x14ac:dyDescent="0.3">
      <c r="A4667" t="str">
        <f>IF(AND(FORSIDE!$B$8&gt;=15,FORSIDE!$F$8&gt;=1,FORSIDE!$B$5&gt;=6),"S4666","")</f>
        <v/>
      </c>
      <c r="B4667" t="str">
        <f>IF(AND(FORSIDE!$B$8&gt;=15,FORSIDE!$F$8&gt;=1,FORSIDE!$B$5&gt;=6),"172 -&gt; 403","")</f>
        <v/>
      </c>
      <c r="C4667" t="str">
        <f>FORSIDE!$C$3</f>
        <v>S355, Stål / VFHUP 140x140x8.0</v>
      </c>
    </row>
    <row r="4668" spans="1:3" x14ac:dyDescent="0.3">
      <c r="A4668" t="str">
        <f>IF(AND(FORSIDE!$B$8&gt;=15,FORSIDE!$F$8&gt;=1,FORSIDE!$B$5&gt;=7),"S4667","")</f>
        <v/>
      </c>
      <c r="B4668" t="str">
        <f>IF(AND(FORSIDE!$B$8&gt;=15,FORSIDE!$F$8&gt;=1,FORSIDE!$B$5&gt;=7),"173 -&gt; 404","")</f>
        <v/>
      </c>
      <c r="C4668" t="str">
        <f>FORSIDE!$C$3</f>
        <v>S355, Stål / VFHUP 140x140x8.0</v>
      </c>
    </row>
    <row r="4669" spans="1:3" x14ac:dyDescent="0.3">
      <c r="A4669" t="str">
        <f>IF(AND(FORSIDE!$B$8&gt;=15,FORSIDE!$F$8&gt;=1,FORSIDE!$B$5&gt;=8),"S4668","")</f>
        <v/>
      </c>
      <c r="B4669" t="str">
        <f>IF(AND(FORSIDE!$B$8&gt;=15,FORSIDE!$F$8&gt;=1,FORSIDE!$B$5&gt;=8),"174 -&gt; 405","")</f>
        <v/>
      </c>
      <c r="C4669" t="str">
        <f>FORSIDE!$C$3</f>
        <v>S355, Stål / VFHUP 140x140x8.0</v>
      </c>
    </row>
    <row r="4670" spans="1:3" x14ac:dyDescent="0.3">
      <c r="A4670" t="str">
        <f>IF(AND(FORSIDE!$B$8&gt;=15,FORSIDE!$F$8&gt;=1,FORSIDE!$B$5&gt;=9),"S4669","")</f>
        <v/>
      </c>
      <c r="B4670" t="str">
        <f>IF(AND(FORSIDE!$B$8&gt;=15,FORSIDE!$F$8&gt;=1,FORSIDE!$B$5&gt;=9),"175 -&gt; 406","")</f>
        <v/>
      </c>
      <c r="C4670" t="str">
        <f>FORSIDE!$C$3</f>
        <v>S355, Stål / VFHUP 140x140x8.0</v>
      </c>
    </row>
    <row r="4671" spans="1:3" x14ac:dyDescent="0.3">
      <c r="A4671" t="str">
        <f>IF(AND(FORSIDE!$B$8&gt;=15,FORSIDE!$F$8&gt;=1,FORSIDE!$B$5&gt;=10),"S4670","")</f>
        <v/>
      </c>
      <c r="B4671" t="str">
        <f>IF(AND(FORSIDE!$B$8&gt;=15,FORSIDE!$F$8&gt;=1,FORSIDE!$B$5&gt;=10),"176 -&gt; 407","")</f>
        <v/>
      </c>
      <c r="C4671" t="str">
        <f>FORSIDE!$C$3</f>
        <v>S355, Stål / VFHUP 140x140x8.0</v>
      </c>
    </row>
    <row r="4672" spans="1:3" x14ac:dyDescent="0.3">
      <c r="A4672" t="str">
        <f>IF(AND(FORSIDE!$B$8&gt;=16,FORSIDE!$F$8&gt;=1,FORSIDE!$B$5&gt;=1),"S4671","")</f>
        <v/>
      </c>
      <c r="B4672" t="str">
        <f>IF(AND(FORSIDE!$B$8&gt;=16,FORSIDE!$F$8&gt;=1,FORSIDE!$B$5&gt;=1),"178 -&gt; 409","")</f>
        <v/>
      </c>
      <c r="C4672" t="str">
        <f>FORSIDE!$C$3</f>
        <v>S355, Stål / VFHUP 140x140x8.0</v>
      </c>
    </row>
    <row r="4673" spans="1:3" x14ac:dyDescent="0.3">
      <c r="A4673" t="str">
        <f>IF(AND(FORSIDE!$B$8&gt;=16,FORSIDE!$F$8&gt;=1,FORSIDE!$B$5&gt;=2),"S4672","")</f>
        <v/>
      </c>
      <c r="B4673" t="str">
        <f>IF(AND(FORSIDE!$B$8&gt;=16,FORSIDE!$F$8&gt;=1,FORSIDE!$B$5&gt;=2),"179 -&gt; 410","")</f>
        <v/>
      </c>
      <c r="C4673" t="str">
        <f>FORSIDE!$C$3</f>
        <v>S355, Stål / VFHUP 140x140x8.0</v>
      </c>
    </row>
    <row r="4674" spans="1:3" x14ac:dyDescent="0.3">
      <c r="A4674" t="str">
        <f>IF(AND(FORSIDE!$B$8&gt;=16,FORSIDE!$F$8&gt;=1,FORSIDE!$B$5&gt;=3),"S4673","")</f>
        <v/>
      </c>
      <c r="B4674" t="str">
        <f>IF(AND(FORSIDE!$B$8&gt;=16,FORSIDE!$F$8&gt;=1,FORSIDE!$B$5&gt;=3),"180 -&gt; 411","")</f>
        <v/>
      </c>
      <c r="C4674" t="str">
        <f>FORSIDE!$C$3</f>
        <v>S355, Stål / VFHUP 140x140x8.0</v>
      </c>
    </row>
    <row r="4675" spans="1:3" x14ac:dyDescent="0.3">
      <c r="A4675" t="str">
        <f>IF(AND(FORSIDE!$B$8&gt;=16,FORSIDE!$F$8&gt;=1,FORSIDE!$B$5&gt;=4),"S4674","")</f>
        <v/>
      </c>
      <c r="B4675" t="str">
        <f>IF(AND(FORSIDE!$B$8&gt;=16,FORSIDE!$F$8&gt;=1,FORSIDE!$B$5&gt;=4),"181 -&gt; 412","")</f>
        <v/>
      </c>
      <c r="C4675" t="str">
        <f>FORSIDE!$C$3</f>
        <v>S355, Stål / VFHUP 140x140x8.0</v>
      </c>
    </row>
    <row r="4676" spans="1:3" x14ac:dyDescent="0.3">
      <c r="A4676" t="str">
        <f>IF(AND(FORSIDE!$B$8&gt;=16,FORSIDE!$F$8&gt;=1,FORSIDE!$B$5&gt;=5),"S4675","")</f>
        <v/>
      </c>
      <c r="B4676" t="str">
        <f>IF(AND(FORSIDE!$B$8&gt;=16,FORSIDE!$F$8&gt;=1,FORSIDE!$B$5&gt;=5),"182 -&gt; 413","")</f>
        <v/>
      </c>
      <c r="C4676" t="str">
        <f>FORSIDE!$C$3</f>
        <v>S355, Stål / VFHUP 140x140x8.0</v>
      </c>
    </row>
    <row r="4677" spans="1:3" x14ac:dyDescent="0.3">
      <c r="A4677" t="str">
        <f>IF(AND(FORSIDE!$B$8&gt;=16,FORSIDE!$F$8&gt;=1,FORSIDE!$B$5&gt;=6),"S4676","")</f>
        <v/>
      </c>
      <c r="B4677" t="str">
        <f>IF(AND(FORSIDE!$B$8&gt;=16,FORSIDE!$F$8&gt;=1,FORSIDE!$B$5&gt;=6),"183 -&gt; 414","")</f>
        <v/>
      </c>
      <c r="C4677" t="str">
        <f>FORSIDE!$C$3</f>
        <v>S355, Stål / VFHUP 140x140x8.0</v>
      </c>
    </row>
    <row r="4678" spans="1:3" x14ac:dyDescent="0.3">
      <c r="A4678" t="str">
        <f>IF(AND(FORSIDE!$B$8&gt;=16,FORSIDE!$F$8&gt;=1,FORSIDE!$B$5&gt;=7),"S4677","")</f>
        <v/>
      </c>
      <c r="B4678" t="str">
        <f>IF(AND(FORSIDE!$B$8&gt;=16,FORSIDE!$F$8&gt;=1,FORSIDE!$B$5&gt;=7),"184 -&gt; 415","")</f>
        <v/>
      </c>
      <c r="C4678" t="str">
        <f>FORSIDE!$C$3</f>
        <v>S355, Stål / VFHUP 140x140x8.0</v>
      </c>
    </row>
    <row r="4679" spans="1:3" x14ac:dyDescent="0.3">
      <c r="A4679" t="str">
        <f>IF(AND(FORSIDE!$B$8&gt;=16,FORSIDE!$F$8&gt;=1,FORSIDE!$B$5&gt;=8),"S4678","")</f>
        <v/>
      </c>
      <c r="B4679" t="str">
        <f>IF(AND(FORSIDE!$B$8&gt;=16,FORSIDE!$F$8&gt;=1,FORSIDE!$B$5&gt;=8),"185 -&gt; 416","")</f>
        <v/>
      </c>
      <c r="C4679" t="str">
        <f>FORSIDE!$C$3</f>
        <v>S355, Stål / VFHUP 140x140x8.0</v>
      </c>
    </row>
    <row r="4680" spans="1:3" x14ac:dyDescent="0.3">
      <c r="A4680" t="str">
        <f>IF(AND(FORSIDE!$B$8&gt;=16,FORSIDE!$F$8&gt;=1,FORSIDE!$B$5&gt;=9),"S4679","")</f>
        <v/>
      </c>
      <c r="B4680" t="str">
        <f>IF(AND(FORSIDE!$B$8&gt;=16,FORSIDE!$F$8&gt;=1,FORSIDE!$B$5&gt;=9),"186 -&gt; 417","")</f>
        <v/>
      </c>
      <c r="C4680" t="str">
        <f>FORSIDE!$C$3</f>
        <v>S355, Stål / VFHUP 140x140x8.0</v>
      </c>
    </row>
    <row r="4681" spans="1:3" x14ac:dyDescent="0.3">
      <c r="A4681" t="str">
        <f>IF(AND(FORSIDE!$B$8&gt;=16,FORSIDE!$F$8&gt;=1,FORSIDE!$B$5&gt;=10),"S4680","")</f>
        <v/>
      </c>
      <c r="B4681" t="str">
        <f>IF(AND(FORSIDE!$B$8&gt;=16,FORSIDE!$F$8&gt;=1,FORSIDE!$B$5&gt;=10),"187 -&gt; 418","")</f>
        <v/>
      </c>
      <c r="C4681" t="str">
        <f>FORSIDE!$C$3</f>
        <v>S355, Stål / VFHUP 140x140x8.0</v>
      </c>
    </row>
    <row r="4682" spans="1:3" x14ac:dyDescent="0.3">
      <c r="A4682" t="str">
        <f>IF(AND(FORSIDE!$B$8&gt;=17,FORSIDE!$F$8&gt;=1,FORSIDE!$B$5&gt;=1),"S4681","")</f>
        <v/>
      </c>
      <c r="B4682" t="str">
        <f>IF(AND(FORSIDE!$B$8&gt;=17,FORSIDE!$F$8&gt;=1,FORSIDE!$B$5&gt;=1),"189 -&gt; 420","")</f>
        <v/>
      </c>
      <c r="C4682" t="str">
        <f>FORSIDE!$C$3</f>
        <v>S355, Stål / VFHUP 140x140x8.0</v>
      </c>
    </row>
    <row r="4683" spans="1:3" x14ac:dyDescent="0.3">
      <c r="A4683" t="str">
        <f>IF(AND(FORSIDE!$B$8&gt;=17,FORSIDE!$F$8&gt;=1,FORSIDE!$B$5&gt;=2),"S4682","")</f>
        <v/>
      </c>
      <c r="B4683" t="str">
        <f>IF(AND(FORSIDE!$B$8&gt;=17,FORSIDE!$F$8&gt;=1,FORSIDE!$B$5&gt;=2),"190 -&gt; 421","")</f>
        <v/>
      </c>
      <c r="C4683" t="str">
        <f>FORSIDE!$C$3</f>
        <v>S355, Stål / VFHUP 140x140x8.0</v>
      </c>
    </row>
    <row r="4684" spans="1:3" x14ac:dyDescent="0.3">
      <c r="A4684" t="str">
        <f>IF(AND(FORSIDE!$B$8&gt;=17,FORSIDE!$F$8&gt;=1,FORSIDE!$B$5&gt;=3),"S4683","")</f>
        <v/>
      </c>
      <c r="B4684" t="str">
        <f>IF(AND(FORSIDE!$B$8&gt;=17,FORSIDE!$F$8&gt;=1,FORSIDE!$B$5&gt;=3),"191 -&gt; 422","")</f>
        <v/>
      </c>
      <c r="C4684" t="str">
        <f>FORSIDE!$C$3</f>
        <v>S355, Stål / VFHUP 140x140x8.0</v>
      </c>
    </row>
    <row r="4685" spans="1:3" x14ac:dyDescent="0.3">
      <c r="A4685" t="str">
        <f>IF(AND(FORSIDE!$B$8&gt;=17,FORSIDE!$F$8&gt;=1,FORSIDE!$B$5&gt;=4),"S4684","")</f>
        <v/>
      </c>
      <c r="B4685" t="str">
        <f>IF(AND(FORSIDE!$B$8&gt;=17,FORSIDE!$F$8&gt;=1,FORSIDE!$B$5&gt;=4),"192 -&gt; 423","")</f>
        <v/>
      </c>
      <c r="C4685" t="str">
        <f>FORSIDE!$C$3</f>
        <v>S355, Stål / VFHUP 140x140x8.0</v>
      </c>
    </row>
    <row r="4686" spans="1:3" x14ac:dyDescent="0.3">
      <c r="A4686" t="str">
        <f>IF(AND(FORSIDE!$B$8&gt;=17,FORSIDE!$F$8&gt;=1,FORSIDE!$B$5&gt;=5),"S4685","")</f>
        <v/>
      </c>
      <c r="B4686" t="str">
        <f>IF(AND(FORSIDE!$B$8&gt;=17,FORSIDE!$F$8&gt;=1,FORSIDE!$B$5&gt;=5),"193 -&gt; 424","")</f>
        <v/>
      </c>
      <c r="C4686" t="str">
        <f>FORSIDE!$C$3</f>
        <v>S355, Stål / VFHUP 140x140x8.0</v>
      </c>
    </row>
    <row r="4687" spans="1:3" x14ac:dyDescent="0.3">
      <c r="A4687" t="str">
        <f>IF(AND(FORSIDE!$B$8&gt;=17,FORSIDE!$F$8&gt;=1,FORSIDE!$B$5&gt;=6),"S4686","")</f>
        <v/>
      </c>
      <c r="B4687" t="str">
        <f>IF(AND(FORSIDE!$B$8&gt;=17,FORSIDE!$F$8&gt;=1,FORSIDE!$B$5&gt;=6),"194 -&gt; 425","")</f>
        <v/>
      </c>
      <c r="C4687" t="str">
        <f>FORSIDE!$C$3</f>
        <v>S355, Stål / VFHUP 140x140x8.0</v>
      </c>
    </row>
    <row r="4688" spans="1:3" x14ac:dyDescent="0.3">
      <c r="A4688" t="str">
        <f>IF(AND(FORSIDE!$B$8&gt;=17,FORSIDE!$F$8&gt;=1,FORSIDE!$B$5&gt;=7),"S4687","")</f>
        <v/>
      </c>
      <c r="B4688" t="str">
        <f>IF(AND(FORSIDE!$B$8&gt;=17,FORSIDE!$F$8&gt;=1,FORSIDE!$B$5&gt;=7),"195 -&gt; 426","")</f>
        <v/>
      </c>
      <c r="C4688" t="str">
        <f>FORSIDE!$C$3</f>
        <v>S355, Stål / VFHUP 140x140x8.0</v>
      </c>
    </row>
    <row r="4689" spans="1:3" x14ac:dyDescent="0.3">
      <c r="A4689" t="str">
        <f>IF(AND(FORSIDE!$B$8&gt;=17,FORSIDE!$F$8&gt;=1,FORSIDE!$B$5&gt;=8),"S4688","")</f>
        <v/>
      </c>
      <c r="B4689" t="str">
        <f>IF(AND(FORSIDE!$B$8&gt;=17,FORSIDE!$F$8&gt;=1,FORSIDE!$B$5&gt;=8),"196 -&gt; 427","")</f>
        <v/>
      </c>
      <c r="C4689" t="str">
        <f>FORSIDE!$C$3</f>
        <v>S355, Stål / VFHUP 140x140x8.0</v>
      </c>
    </row>
    <row r="4690" spans="1:3" x14ac:dyDescent="0.3">
      <c r="A4690" t="str">
        <f>IF(AND(FORSIDE!$B$8&gt;=17,FORSIDE!$F$8&gt;=1,FORSIDE!$B$5&gt;=9),"S4689","")</f>
        <v/>
      </c>
      <c r="B4690" t="str">
        <f>IF(AND(FORSIDE!$B$8&gt;=17,FORSIDE!$F$8&gt;=1,FORSIDE!$B$5&gt;=9),"197 -&gt; 428","")</f>
        <v/>
      </c>
      <c r="C4690" t="str">
        <f>FORSIDE!$C$3</f>
        <v>S355, Stål / VFHUP 140x140x8.0</v>
      </c>
    </row>
    <row r="4691" spans="1:3" x14ac:dyDescent="0.3">
      <c r="A4691" t="str">
        <f>IF(AND(FORSIDE!$B$8&gt;=17,FORSIDE!$F$8&gt;=1,FORSIDE!$B$5&gt;=10),"S4690","")</f>
        <v/>
      </c>
      <c r="B4691" t="str">
        <f>IF(AND(FORSIDE!$B$8&gt;=17,FORSIDE!$F$8&gt;=1,FORSIDE!$B$5&gt;=10),"198 -&gt; 429","")</f>
        <v/>
      </c>
      <c r="C4691" t="str">
        <f>FORSIDE!$C$3</f>
        <v>S355, Stål / VFHUP 140x140x8.0</v>
      </c>
    </row>
    <row r="4692" spans="1:3" x14ac:dyDescent="0.3">
      <c r="A4692" t="str">
        <f>IF(AND(FORSIDE!$B$8&gt;=18,FORSIDE!$F$8&gt;=1,FORSIDE!$B$5&gt;=1),"S4691","")</f>
        <v/>
      </c>
      <c r="B4692" t="str">
        <f>IF(AND(FORSIDE!$B$8&gt;=18,FORSIDE!$F$8&gt;=1,FORSIDE!$B$5&gt;=1),"200 -&gt; 431","")</f>
        <v/>
      </c>
      <c r="C4692" t="str">
        <f>FORSIDE!$C$3</f>
        <v>S355, Stål / VFHUP 140x140x8.0</v>
      </c>
    </row>
    <row r="4693" spans="1:3" x14ac:dyDescent="0.3">
      <c r="A4693" t="str">
        <f>IF(AND(FORSIDE!$B$8&gt;=18,FORSIDE!$F$8&gt;=1,FORSIDE!$B$5&gt;=2),"S4692","")</f>
        <v/>
      </c>
      <c r="B4693" t="str">
        <f>IF(AND(FORSIDE!$B$8&gt;=18,FORSIDE!$F$8&gt;=1,FORSIDE!$B$5&gt;=2),"201 -&gt; 432","")</f>
        <v/>
      </c>
      <c r="C4693" t="str">
        <f>FORSIDE!$C$3</f>
        <v>S355, Stål / VFHUP 140x140x8.0</v>
      </c>
    </row>
    <row r="4694" spans="1:3" x14ac:dyDescent="0.3">
      <c r="A4694" t="str">
        <f>IF(AND(FORSIDE!$B$8&gt;=18,FORSIDE!$F$8&gt;=1,FORSIDE!$B$5&gt;=3),"S4693","")</f>
        <v/>
      </c>
      <c r="B4694" t="str">
        <f>IF(AND(FORSIDE!$B$8&gt;=18,FORSIDE!$F$8&gt;=1,FORSIDE!$B$5&gt;=3),"202 -&gt; 433","")</f>
        <v/>
      </c>
      <c r="C4694" t="str">
        <f>FORSIDE!$C$3</f>
        <v>S355, Stål / VFHUP 140x140x8.0</v>
      </c>
    </row>
    <row r="4695" spans="1:3" x14ac:dyDescent="0.3">
      <c r="A4695" t="str">
        <f>IF(AND(FORSIDE!$B$8&gt;=18,FORSIDE!$F$8&gt;=1,FORSIDE!$B$5&gt;=4),"S4694","")</f>
        <v/>
      </c>
      <c r="B4695" t="str">
        <f>IF(AND(FORSIDE!$B$8&gt;=18,FORSIDE!$F$8&gt;=1,FORSIDE!$B$5&gt;=4),"203 -&gt; 434","")</f>
        <v/>
      </c>
      <c r="C4695" t="str">
        <f>FORSIDE!$C$3</f>
        <v>S355, Stål / VFHUP 140x140x8.0</v>
      </c>
    </row>
    <row r="4696" spans="1:3" x14ac:dyDescent="0.3">
      <c r="A4696" t="str">
        <f>IF(AND(FORSIDE!$B$8&gt;=18,FORSIDE!$F$8&gt;=1,FORSIDE!$B$5&gt;=5),"S4695","")</f>
        <v/>
      </c>
      <c r="B4696" t="str">
        <f>IF(AND(FORSIDE!$B$8&gt;=18,FORSIDE!$F$8&gt;=1,FORSIDE!$B$5&gt;=5),"204 -&gt; 435","")</f>
        <v/>
      </c>
      <c r="C4696" t="str">
        <f>FORSIDE!$C$3</f>
        <v>S355, Stål / VFHUP 140x140x8.0</v>
      </c>
    </row>
    <row r="4697" spans="1:3" x14ac:dyDescent="0.3">
      <c r="A4697" t="str">
        <f>IF(AND(FORSIDE!$B$8&gt;=18,FORSIDE!$F$8&gt;=1,FORSIDE!$B$5&gt;=6),"S4696","")</f>
        <v/>
      </c>
      <c r="B4697" t="str">
        <f>IF(AND(FORSIDE!$B$8&gt;=18,FORSIDE!$F$8&gt;=1,FORSIDE!$B$5&gt;=6),"205 -&gt; 436","")</f>
        <v/>
      </c>
      <c r="C4697" t="str">
        <f>FORSIDE!$C$3</f>
        <v>S355, Stål / VFHUP 140x140x8.0</v>
      </c>
    </row>
    <row r="4698" spans="1:3" x14ac:dyDescent="0.3">
      <c r="A4698" t="str">
        <f>IF(AND(FORSIDE!$B$8&gt;=18,FORSIDE!$F$8&gt;=1,FORSIDE!$B$5&gt;=7),"S4697","")</f>
        <v/>
      </c>
      <c r="B4698" t="str">
        <f>IF(AND(FORSIDE!$B$8&gt;=18,FORSIDE!$F$8&gt;=1,FORSIDE!$B$5&gt;=7),"206 -&gt; 437","")</f>
        <v/>
      </c>
      <c r="C4698" t="str">
        <f>FORSIDE!$C$3</f>
        <v>S355, Stål / VFHUP 140x140x8.0</v>
      </c>
    </row>
    <row r="4699" spans="1:3" x14ac:dyDescent="0.3">
      <c r="A4699" t="str">
        <f>IF(AND(FORSIDE!$B$8&gt;=18,FORSIDE!$F$8&gt;=1,FORSIDE!$B$5&gt;=8),"S4698","")</f>
        <v/>
      </c>
      <c r="B4699" t="str">
        <f>IF(AND(FORSIDE!$B$8&gt;=18,FORSIDE!$F$8&gt;=1,FORSIDE!$B$5&gt;=8),"207 -&gt; 438","")</f>
        <v/>
      </c>
      <c r="C4699" t="str">
        <f>FORSIDE!$C$3</f>
        <v>S355, Stål / VFHUP 140x140x8.0</v>
      </c>
    </row>
    <row r="4700" spans="1:3" x14ac:dyDescent="0.3">
      <c r="A4700" t="str">
        <f>IF(AND(FORSIDE!$B$8&gt;=18,FORSIDE!$F$8&gt;=1,FORSIDE!$B$5&gt;=9),"S4699","")</f>
        <v/>
      </c>
      <c r="B4700" t="str">
        <f>IF(AND(FORSIDE!$B$8&gt;=18,FORSIDE!$F$8&gt;=1,FORSIDE!$B$5&gt;=9),"208 -&gt; 439","")</f>
        <v/>
      </c>
      <c r="C4700" t="str">
        <f>FORSIDE!$C$3</f>
        <v>S355, Stål / VFHUP 140x140x8.0</v>
      </c>
    </row>
    <row r="4701" spans="1:3" x14ac:dyDescent="0.3">
      <c r="A4701" t="str">
        <f>IF(AND(FORSIDE!$B$8&gt;=18,FORSIDE!$F$8&gt;=1,FORSIDE!$B$5&gt;=10),"S4700","")</f>
        <v/>
      </c>
      <c r="B4701" t="str">
        <f>IF(AND(FORSIDE!$B$8&gt;=18,FORSIDE!$F$8&gt;=1,FORSIDE!$B$5&gt;=10),"209 -&gt; 440","")</f>
        <v/>
      </c>
      <c r="C4701" t="str">
        <f>FORSIDE!$C$3</f>
        <v>S355, Stål / VFHUP 140x140x8.0</v>
      </c>
    </row>
    <row r="4702" spans="1:3" x14ac:dyDescent="0.3">
      <c r="A4702" t="str">
        <f>IF(AND(FORSIDE!$B$8&gt;=19,FORSIDE!$F$8&gt;=1,FORSIDE!$B$5&gt;=1),"S4701","")</f>
        <v/>
      </c>
      <c r="B4702" t="str">
        <f>IF(AND(FORSIDE!$B$8&gt;=19,FORSIDE!$F$8&gt;=1,FORSIDE!$B$5&gt;=1),"211 -&gt; 442","")</f>
        <v/>
      </c>
      <c r="C4702" t="str">
        <f>FORSIDE!$C$3</f>
        <v>S355, Stål / VFHUP 140x140x8.0</v>
      </c>
    </row>
    <row r="4703" spans="1:3" x14ac:dyDescent="0.3">
      <c r="A4703" t="str">
        <f>IF(AND(FORSIDE!$B$8&gt;=19,FORSIDE!$F$8&gt;=1,FORSIDE!$B$5&gt;=2),"S4702","")</f>
        <v/>
      </c>
      <c r="B4703" t="str">
        <f>IF(AND(FORSIDE!$B$8&gt;=19,FORSIDE!$F$8&gt;=1,FORSIDE!$B$5&gt;=2),"212 -&gt; 443","")</f>
        <v/>
      </c>
      <c r="C4703" t="str">
        <f>FORSIDE!$C$3</f>
        <v>S355, Stål / VFHUP 140x140x8.0</v>
      </c>
    </row>
    <row r="4704" spans="1:3" x14ac:dyDescent="0.3">
      <c r="A4704" t="str">
        <f>IF(AND(FORSIDE!$B$8&gt;=19,FORSIDE!$F$8&gt;=1,FORSIDE!$B$5&gt;=3),"S4703","")</f>
        <v/>
      </c>
      <c r="B4704" t="str">
        <f>IF(AND(FORSIDE!$B$8&gt;=19,FORSIDE!$F$8&gt;=1,FORSIDE!$B$5&gt;=3),"213 -&gt; 444","")</f>
        <v/>
      </c>
      <c r="C4704" t="str">
        <f>FORSIDE!$C$3</f>
        <v>S355, Stål / VFHUP 140x140x8.0</v>
      </c>
    </row>
    <row r="4705" spans="1:3" x14ac:dyDescent="0.3">
      <c r="A4705" t="str">
        <f>IF(AND(FORSIDE!$B$8&gt;=19,FORSIDE!$F$8&gt;=1,FORSIDE!$B$5&gt;=4),"S4704","")</f>
        <v/>
      </c>
      <c r="B4705" t="str">
        <f>IF(AND(FORSIDE!$B$8&gt;=19,FORSIDE!$F$8&gt;=1,FORSIDE!$B$5&gt;=4),"214 -&gt; 445","")</f>
        <v/>
      </c>
      <c r="C4705" t="str">
        <f>FORSIDE!$C$3</f>
        <v>S355, Stål / VFHUP 140x140x8.0</v>
      </c>
    </row>
    <row r="4706" spans="1:3" x14ac:dyDescent="0.3">
      <c r="A4706" t="str">
        <f>IF(AND(FORSIDE!$B$8&gt;=19,FORSIDE!$F$8&gt;=1,FORSIDE!$B$5&gt;=5),"S4705","")</f>
        <v/>
      </c>
      <c r="B4706" t="str">
        <f>IF(AND(FORSIDE!$B$8&gt;=19,FORSIDE!$F$8&gt;=1,FORSIDE!$B$5&gt;=5),"215 -&gt; 446","")</f>
        <v/>
      </c>
      <c r="C4706" t="str">
        <f>FORSIDE!$C$3</f>
        <v>S355, Stål / VFHUP 140x140x8.0</v>
      </c>
    </row>
    <row r="4707" spans="1:3" x14ac:dyDescent="0.3">
      <c r="A4707" t="str">
        <f>IF(AND(FORSIDE!$B$8&gt;=19,FORSIDE!$F$8&gt;=1,FORSIDE!$B$5&gt;=6),"S4706","")</f>
        <v/>
      </c>
      <c r="B4707" t="str">
        <f>IF(AND(FORSIDE!$B$8&gt;=19,FORSIDE!$F$8&gt;=1,FORSIDE!$B$5&gt;=6),"216 -&gt; 447","")</f>
        <v/>
      </c>
      <c r="C4707" t="str">
        <f>FORSIDE!$C$3</f>
        <v>S355, Stål / VFHUP 140x140x8.0</v>
      </c>
    </row>
    <row r="4708" spans="1:3" x14ac:dyDescent="0.3">
      <c r="A4708" t="str">
        <f>IF(AND(FORSIDE!$B$8&gt;=19,FORSIDE!$F$8&gt;=1,FORSIDE!$B$5&gt;=7),"S4707","")</f>
        <v/>
      </c>
      <c r="B4708" t="str">
        <f>IF(AND(FORSIDE!$B$8&gt;=19,FORSIDE!$F$8&gt;=1,FORSIDE!$B$5&gt;=7),"217 -&gt; 448","")</f>
        <v/>
      </c>
      <c r="C4708" t="str">
        <f>FORSIDE!$C$3</f>
        <v>S355, Stål / VFHUP 140x140x8.0</v>
      </c>
    </row>
    <row r="4709" spans="1:3" x14ac:dyDescent="0.3">
      <c r="A4709" t="str">
        <f>IF(AND(FORSIDE!$B$8&gt;=19,FORSIDE!$F$8&gt;=1,FORSIDE!$B$5&gt;=8),"S4708","")</f>
        <v/>
      </c>
      <c r="B4709" t="str">
        <f>IF(AND(FORSIDE!$B$8&gt;=19,FORSIDE!$F$8&gt;=1,FORSIDE!$B$5&gt;=8),"218 -&gt; 449","")</f>
        <v/>
      </c>
      <c r="C4709" t="str">
        <f>FORSIDE!$C$3</f>
        <v>S355, Stål / VFHUP 140x140x8.0</v>
      </c>
    </row>
    <row r="4710" spans="1:3" x14ac:dyDescent="0.3">
      <c r="A4710" t="str">
        <f>IF(AND(FORSIDE!$B$8&gt;=19,FORSIDE!$F$8&gt;=1,FORSIDE!$B$5&gt;=9),"S4709","")</f>
        <v/>
      </c>
      <c r="B4710" t="str">
        <f>IF(AND(FORSIDE!$B$8&gt;=19,FORSIDE!$F$8&gt;=1,FORSIDE!$B$5&gt;=9),"219 -&gt; 450","")</f>
        <v/>
      </c>
      <c r="C4710" t="str">
        <f>FORSIDE!$C$3</f>
        <v>S355, Stål / VFHUP 140x140x8.0</v>
      </c>
    </row>
    <row r="4711" spans="1:3" x14ac:dyDescent="0.3">
      <c r="A4711" t="str">
        <f>IF(AND(FORSIDE!$B$8&gt;=19,FORSIDE!$F$8&gt;=1,FORSIDE!$B$5&gt;=10),"S4710","")</f>
        <v/>
      </c>
      <c r="B4711" t="str">
        <f>IF(AND(FORSIDE!$B$8&gt;=19,FORSIDE!$F$8&gt;=1,FORSIDE!$B$5&gt;=10),"220 -&gt; 451","")</f>
        <v/>
      </c>
      <c r="C4711" t="str">
        <f>FORSIDE!$C$3</f>
        <v>S355, Stål / VFHUP 140x140x8.0</v>
      </c>
    </row>
    <row r="4712" spans="1:3" x14ac:dyDescent="0.3">
      <c r="A4712" t="str">
        <f>IF(AND(FORSIDE!$B$8&gt;=20,FORSIDE!$F$8&gt;=1,FORSIDE!$B$5&gt;=1),"S4711","")</f>
        <v/>
      </c>
      <c r="B4712" t="str">
        <f>IF(AND(FORSIDE!$B$8&gt;=20,FORSIDE!$F$8&gt;=1,FORSIDE!$B$5&gt;=1),"222 -&gt; 453","")</f>
        <v/>
      </c>
      <c r="C4712" t="str">
        <f>FORSIDE!$C$3</f>
        <v>S355, Stål / VFHUP 140x140x8.0</v>
      </c>
    </row>
    <row r="4713" spans="1:3" x14ac:dyDescent="0.3">
      <c r="A4713" t="str">
        <f>IF(AND(FORSIDE!$B$8&gt;=20,FORSIDE!$F$8&gt;=1,FORSIDE!$B$5&gt;=2),"S4712","")</f>
        <v/>
      </c>
      <c r="B4713" t="str">
        <f>IF(AND(FORSIDE!$B$8&gt;=20,FORSIDE!$F$8&gt;=1,FORSIDE!$B$5&gt;=2),"223 -&gt; 454","")</f>
        <v/>
      </c>
      <c r="C4713" t="str">
        <f>FORSIDE!$C$3</f>
        <v>S355, Stål / VFHUP 140x140x8.0</v>
      </c>
    </row>
    <row r="4714" spans="1:3" x14ac:dyDescent="0.3">
      <c r="A4714" t="str">
        <f>IF(AND(FORSIDE!$B$8&gt;=20,FORSIDE!$F$8&gt;=1,FORSIDE!$B$5&gt;=3),"S4713","")</f>
        <v/>
      </c>
      <c r="B4714" t="str">
        <f>IF(AND(FORSIDE!$B$8&gt;=20,FORSIDE!$F$8&gt;=1,FORSIDE!$B$5&gt;=3),"224 -&gt; 455","")</f>
        <v/>
      </c>
      <c r="C4714" t="str">
        <f>FORSIDE!$C$3</f>
        <v>S355, Stål / VFHUP 140x140x8.0</v>
      </c>
    </row>
    <row r="4715" spans="1:3" x14ac:dyDescent="0.3">
      <c r="A4715" t="str">
        <f>IF(AND(FORSIDE!$B$8&gt;=20,FORSIDE!$F$8&gt;=1,FORSIDE!$B$5&gt;=4),"S4714","")</f>
        <v/>
      </c>
      <c r="B4715" t="str">
        <f>IF(AND(FORSIDE!$B$8&gt;=20,FORSIDE!$F$8&gt;=1,FORSIDE!$B$5&gt;=4),"225 -&gt; 456","")</f>
        <v/>
      </c>
      <c r="C4715" t="str">
        <f>FORSIDE!$C$3</f>
        <v>S355, Stål / VFHUP 140x140x8.0</v>
      </c>
    </row>
    <row r="4716" spans="1:3" x14ac:dyDescent="0.3">
      <c r="A4716" t="str">
        <f>IF(AND(FORSIDE!$B$8&gt;=20,FORSIDE!$F$8&gt;=1,FORSIDE!$B$5&gt;=5),"S4715","")</f>
        <v/>
      </c>
      <c r="B4716" t="str">
        <f>IF(AND(FORSIDE!$B$8&gt;=20,FORSIDE!$F$8&gt;=1,FORSIDE!$B$5&gt;=5),"226 -&gt; 457","")</f>
        <v/>
      </c>
      <c r="C4716" t="str">
        <f>FORSIDE!$C$3</f>
        <v>S355, Stål / VFHUP 140x140x8.0</v>
      </c>
    </row>
    <row r="4717" spans="1:3" x14ac:dyDescent="0.3">
      <c r="A4717" t="str">
        <f>IF(AND(FORSIDE!$B$8&gt;=20,FORSIDE!$F$8&gt;=1,FORSIDE!$B$5&gt;=6),"S4716","")</f>
        <v/>
      </c>
      <c r="B4717" t="str">
        <f>IF(AND(FORSIDE!$B$8&gt;=20,FORSIDE!$F$8&gt;=1,FORSIDE!$B$5&gt;=6),"227 -&gt; 458","")</f>
        <v/>
      </c>
      <c r="C4717" t="str">
        <f>FORSIDE!$C$3</f>
        <v>S355, Stål / VFHUP 140x140x8.0</v>
      </c>
    </row>
    <row r="4718" spans="1:3" x14ac:dyDescent="0.3">
      <c r="A4718" t="str">
        <f>IF(AND(FORSIDE!$B$8&gt;=20,FORSIDE!$F$8&gt;=1,FORSIDE!$B$5&gt;=7),"S4717","")</f>
        <v/>
      </c>
      <c r="B4718" t="str">
        <f>IF(AND(FORSIDE!$B$8&gt;=20,FORSIDE!$F$8&gt;=1,FORSIDE!$B$5&gt;=7),"228 -&gt; 459","")</f>
        <v/>
      </c>
      <c r="C4718" t="str">
        <f>FORSIDE!$C$3</f>
        <v>S355, Stål / VFHUP 140x140x8.0</v>
      </c>
    </row>
    <row r="4719" spans="1:3" x14ac:dyDescent="0.3">
      <c r="A4719" t="str">
        <f>IF(AND(FORSIDE!$B$8&gt;=20,FORSIDE!$F$8&gt;=1,FORSIDE!$B$5&gt;=8),"S4718","")</f>
        <v/>
      </c>
      <c r="B4719" t="str">
        <f>IF(AND(FORSIDE!$B$8&gt;=20,FORSIDE!$F$8&gt;=1,FORSIDE!$B$5&gt;=8),"229 -&gt; 460","")</f>
        <v/>
      </c>
      <c r="C4719" t="str">
        <f>FORSIDE!$C$3</f>
        <v>S355, Stål / VFHUP 140x140x8.0</v>
      </c>
    </row>
    <row r="4720" spans="1:3" x14ac:dyDescent="0.3">
      <c r="A4720" t="str">
        <f>IF(AND(FORSIDE!$B$8&gt;=20,FORSIDE!$F$8&gt;=1,FORSIDE!$B$5&gt;=9),"S4719","")</f>
        <v/>
      </c>
      <c r="B4720" t="str">
        <f>IF(AND(FORSIDE!$B$8&gt;=20,FORSIDE!$F$8&gt;=1,FORSIDE!$B$5&gt;=9),"230 -&gt; 461","")</f>
        <v/>
      </c>
      <c r="C4720" t="str">
        <f>FORSIDE!$C$3</f>
        <v>S355, Stål / VFHUP 140x140x8.0</v>
      </c>
    </row>
    <row r="4721" spans="1:3" x14ac:dyDescent="0.3">
      <c r="A4721" t="str">
        <f>IF(AND(FORSIDE!$B$8&gt;=20,FORSIDE!$F$8&gt;=1,FORSIDE!$B$5&gt;=10),"S4720","")</f>
        <v/>
      </c>
      <c r="B4721" t="str">
        <f>IF(AND(FORSIDE!$B$8&gt;=20,FORSIDE!$F$8&gt;=1,FORSIDE!$B$5&gt;=10),"231 -&gt; 462","")</f>
        <v/>
      </c>
      <c r="C4721" t="str">
        <f>FORSIDE!$C$3</f>
        <v>S355, Stål / VFHUP 140x140x8.0</v>
      </c>
    </row>
    <row r="4722" spans="1:3" x14ac:dyDescent="0.3">
      <c r="A4722" t="str">
        <f>IF(AND(FORSIDE!$B$8&gt;=0,FORSIDE!$F$8&gt;=2,FORSIDE!$B$5&gt;=1),"S4721","")</f>
        <v>S4721</v>
      </c>
      <c r="B4722" t="str">
        <f>IF(AND(FORSIDE!$B$8&gt;=0,FORSIDE!$F$8&gt;=2,FORSIDE!$B$5&gt;=1),"233 -&gt; 464","")</f>
        <v>233 -&gt; 464</v>
      </c>
      <c r="C4722" t="str">
        <f>FORSIDE!$C$3</f>
        <v>S355, Stål / VFHUP 140x140x8.0</v>
      </c>
    </row>
    <row r="4723" spans="1:3" x14ac:dyDescent="0.3">
      <c r="A4723" t="str">
        <f>IF(AND(FORSIDE!$B$8&gt;=0,FORSIDE!$F$8&gt;=2,FORSIDE!$B$5&gt;=2),"S4722","")</f>
        <v>S4722</v>
      </c>
      <c r="B4723" t="str">
        <f>IF(AND(FORSIDE!$B$8&gt;=0,FORSIDE!$F$8&gt;=2,FORSIDE!$B$5&gt;=2),"234 -&gt; 465","")</f>
        <v>234 -&gt; 465</v>
      </c>
      <c r="C4723" t="str">
        <f>FORSIDE!$C$3</f>
        <v>S355, Stål / VFHUP 140x140x8.0</v>
      </c>
    </row>
    <row r="4724" spans="1:3" x14ac:dyDescent="0.3">
      <c r="A4724" t="str">
        <f>IF(AND(FORSIDE!$B$8&gt;=0,FORSIDE!$F$8&gt;=2,FORSIDE!$B$5&gt;=3),"S4723","")</f>
        <v>S4723</v>
      </c>
      <c r="B4724" t="str">
        <f>IF(AND(FORSIDE!$B$8&gt;=0,FORSIDE!$F$8&gt;=2,FORSIDE!$B$5&gt;=3),"235 -&gt; 466","")</f>
        <v>235 -&gt; 466</v>
      </c>
      <c r="C4724" t="str">
        <f>FORSIDE!$C$3</f>
        <v>S355, Stål / VFHUP 140x140x8.0</v>
      </c>
    </row>
    <row r="4725" spans="1:3" x14ac:dyDescent="0.3">
      <c r="A4725" t="str">
        <f>IF(AND(FORSIDE!$B$8&gt;=0,FORSIDE!$F$8&gt;=2,FORSIDE!$B$5&gt;=4),"S4724","")</f>
        <v>S4724</v>
      </c>
      <c r="B4725" t="str">
        <f>IF(AND(FORSIDE!$B$8&gt;=0,FORSIDE!$F$8&gt;=2,FORSIDE!$B$5&gt;=4),"236 -&gt; 467","")</f>
        <v>236 -&gt; 467</v>
      </c>
      <c r="C4725" t="str">
        <f>FORSIDE!$C$3</f>
        <v>S355, Stål / VFHUP 140x140x8.0</v>
      </c>
    </row>
    <row r="4726" spans="1:3" x14ac:dyDescent="0.3">
      <c r="A4726" t="str">
        <f>IF(AND(FORSIDE!$B$8&gt;=0,FORSIDE!$F$8&gt;=2,FORSIDE!$B$5&gt;=5),"S4725","")</f>
        <v>S4725</v>
      </c>
      <c r="B4726" t="str">
        <f>IF(AND(FORSIDE!$B$8&gt;=0,FORSIDE!$F$8&gt;=2,FORSIDE!$B$5&gt;=5),"237 -&gt; 468","")</f>
        <v>237 -&gt; 468</v>
      </c>
      <c r="C4726" t="str">
        <f>FORSIDE!$C$3</f>
        <v>S355, Stål / VFHUP 140x140x8.0</v>
      </c>
    </row>
    <row r="4727" spans="1:3" x14ac:dyDescent="0.3">
      <c r="A4727" t="str">
        <f>IF(AND(FORSIDE!$B$8&gt;=0,FORSIDE!$F$8&gt;=2,FORSIDE!$B$5&gt;=6),"S4726","")</f>
        <v>S4726</v>
      </c>
      <c r="B4727" t="str">
        <f>IF(AND(FORSIDE!$B$8&gt;=0,FORSIDE!$F$8&gt;=2,FORSIDE!$B$5&gt;=6),"238 -&gt; 469","")</f>
        <v>238 -&gt; 469</v>
      </c>
      <c r="C4727" t="str">
        <f>FORSIDE!$C$3</f>
        <v>S355, Stål / VFHUP 140x140x8.0</v>
      </c>
    </row>
    <row r="4728" spans="1:3" x14ac:dyDescent="0.3">
      <c r="A4728" t="str">
        <f>IF(AND(FORSIDE!$B$8&gt;=0,FORSIDE!$F$8&gt;=2,FORSIDE!$B$5&gt;=7),"S4727","")</f>
        <v/>
      </c>
      <c r="B4728" t="str">
        <f>IF(AND(FORSIDE!$B$8&gt;=0,FORSIDE!$F$8&gt;=2,FORSIDE!$B$5&gt;=7),"239 -&gt; 470","")</f>
        <v/>
      </c>
      <c r="C4728" t="str">
        <f>FORSIDE!$C$3</f>
        <v>S355, Stål / VFHUP 140x140x8.0</v>
      </c>
    </row>
    <row r="4729" spans="1:3" x14ac:dyDescent="0.3">
      <c r="A4729" t="str">
        <f>IF(AND(FORSIDE!$B$8&gt;=0,FORSIDE!$F$8&gt;=2,FORSIDE!$B$5&gt;=8),"S4728","")</f>
        <v/>
      </c>
      <c r="B4729" t="str">
        <f>IF(AND(FORSIDE!$B$8&gt;=0,FORSIDE!$F$8&gt;=2,FORSIDE!$B$5&gt;=8),"240 -&gt; 471","")</f>
        <v/>
      </c>
      <c r="C4729" t="str">
        <f>FORSIDE!$C$3</f>
        <v>S355, Stål / VFHUP 140x140x8.0</v>
      </c>
    </row>
    <row r="4730" spans="1:3" x14ac:dyDescent="0.3">
      <c r="A4730" t="str">
        <f>IF(AND(FORSIDE!$B$8&gt;=0,FORSIDE!$F$8&gt;=2,FORSIDE!$B$5&gt;=9),"S4729","")</f>
        <v/>
      </c>
      <c r="B4730" t="str">
        <f>IF(AND(FORSIDE!$B$8&gt;=0,FORSIDE!$F$8&gt;=2,FORSIDE!$B$5&gt;=9),"241 -&gt; 472","")</f>
        <v/>
      </c>
      <c r="C4730" t="str">
        <f>FORSIDE!$C$3</f>
        <v>S355, Stål / VFHUP 140x140x8.0</v>
      </c>
    </row>
    <row r="4731" spans="1:3" x14ac:dyDescent="0.3">
      <c r="A4731" t="str">
        <f>IF(AND(FORSIDE!$B$8&gt;=0,FORSIDE!$F$8&gt;=2,FORSIDE!$B$5&gt;=10),"S4730","")</f>
        <v/>
      </c>
      <c r="B4731" t="str">
        <f>IF(AND(FORSIDE!$B$8&gt;=0,FORSIDE!$F$8&gt;=2,FORSIDE!$B$5&gt;=10),"242 -&gt; 473","")</f>
        <v/>
      </c>
      <c r="C4731" t="str">
        <f>FORSIDE!$C$3</f>
        <v>S355, Stål / VFHUP 140x140x8.0</v>
      </c>
    </row>
    <row r="4732" spans="1:3" x14ac:dyDescent="0.3">
      <c r="A4732" t="str">
        <f>IF(AND(FORSIDE!$B$8&gt;=1,FORSIDE!$F$8&gt;=2,FORSIDE!$B$5&gt;=1),"S4731","")</f>
        <v>S4731</v>
      </c>
      <c r="B4732" t="str">
        <f>IF(AND(FORSIDE!$B$8&gt;=1,FORSIDE!$F$8&gt;=2,FORSIDE!$B$5&gt;=1),"244 -&gt; 475","")</f>
        <v>244 -&gt; 475</v>
      </c>
      <c r="C4732" t="str">
        <f>FORSIDE!$C$3</f>
        <v>S355, Stål / VFHUP 140x140x8.0</v>
      </c>
    </row>
    <row r="4733" spans="1:3" x14ac:dyDescent="0.3">
      <c r="A4733" t="str">
        <f>IF(AND(FORSIDE!$B$8&gt;=1,FORSIDE!$F$8&gt;=2,FORSIDE!$B$5&gt;=2),"S4732","")</f>
        <v>S4732</v>
      </c>
      <c r="B4733" t="str">
        <f>IF(AND(FORSIDE!$B$8&gt;=1,FORSIDE!$F$8&gt;=2,FORSIDE!$B$5&gt;=2),"245 -&gt; 476","")</f>
        <v>245 -&gt; 476</v>
      </c>
      <c r="C4733" t="str">
        <f>FORSIDE!$C$3</f>
        <v>S355, Stål / VFHUP 140x140x8.0</v>
      </c>
    </row>
    <row r="4734" spans="1:3" x14ac:dyDescent="0.3">
      <c r="A4734" t="str">
        <f>IF(AND(FORSIDE!$B$8&gt;=1,FORSIDE!$F$8&gt;=2,FORSIDE!$B$5&gt;=3),"S4733","")</f>
        <v>S4733</v>
      </c>
      <c r="B4734" t="str">
        <f>IF(AND(FORSIDE!$B$8&gt;=1,FORSIDE!$F$8&gt;=2,FORSIDE!$B$5&gt;=3),"246 -&gt; 477","")</f>
        <v>246 -&gt; 477</v>
      </c>
      <c r="C4734" t="str">
        <f>FORSIDE!$C$3</f>
        <v>S355, Stål / VFHUP 140x140x8.0</v>
      </c>
    </row>
    <row r="4735" spans="1:3" x14ac:dyDescent="0.3">
      <c r="A4735" t="str">
        <f>IF(AND(FORSIDE!$B$8&gt;=1,FORSIDE!$F$8&gt;=2,FORSIDE!$B$5&gt;=4),"S4734","")</f>
        <v>S4734</v>
      </c>
      <c r="B4735" t="str">
        <f>IF(AND(FORSIDE!$B$8&gt;=1,FORSIDE!$F$8&gt;=2,FORSIDE!$B$5&gt;=4),"247 -&gt; 478","")</f>
        <v>247 -&gt; 478</v>
      </c>
      <c r="C4735" t="str">
        <f>FORSIDE!$C$3</f>
        <v>S355, Stål / VFHUP 140x140x8.0</v>
      </c>
    </row>
    <row r="4736" spans="1:3" x14ac:dyDescent="0.3">
      <c r="A4736" t="str">
        <f>IF(AND(FORSIDE!$B$8&gt;=1,FORSIDE!$F$8&gt;=2,FORSIDE!$B$5&gt;=5),"S4735","")</f>
        <v>S4735</v>
      </c>
      <c r="B4736" t="str">
        <f>IF(AND(FORSIDE!$B$8&gt;=1,FORSIDE!$F$8&gt;=2,FORSIDE!$B$5&gt;=5),"248 -&gt; 479","")</f>
        <v>248 -&gt; 479</v>
      </c>
      <c r="C4736" t="str">
        <f>FORSIDE!$C$3</f>
        <v>S355, Stål / VFHUP 140x140x8.0</v>
      </c>
    </row>
    <row r="4737" spans="1:3" x14ac:dyDescent="0.3">
      <c r="A4737" t="str">
        <f>IF(AND(FORSIDE!$B$8&gt;=1,FORSIDE!$F$8&gt;=2,FORSIDE!$B$5&gt;=6),"S4736","")</f>
        <v>S4736</v>
      </c>
      <c r="B4737" t="str">
        <f>IF(AND(FORSIDE!$B$8&gt;=1,FORSIDE!$F$8&gt;=2,FORSIDE!$B$5&gt;=6),"249 -&gt; 480","")</f>
        <v>249 -&gt; 480</v>
      </c>
      <c r="C4737" t="str">
        <f>FORSIDE!$C$3</f>
        <v>S355, Stål / VFHUP 140x140x8.0</v>
      </c>
    </row>
    <row r="4738" spans="1:3" x14ac:dyDescent="0.3">
      <c r="A4738" t="str">
        <f>IF(AND(FORSIDE!$B$8&gt;=1,FORSIDE!$F$8&gt;=2,FORSIDE!$B$5&gt;=7),"S4737","")</f>
        <v/>
      </c>
      <c r="B4738" t="str">
        <f>IF(AND(FORSIDE!$B$8&gt;=1,FORSIDE!$F$8&gt;=2,FORSIDE!$B$5&gt;=7),"250 -&gt; 481","")</f>
        <v/>
      </c>
      <c r="C4738" t="str">
        <f>FORSIDE!$C$3</f>
        <v>S355, Stål / VFHUP 140x140x8.0</v>
      </c>
    </row>
    <row r="4739" spans="1:3" x14ac:dyDescent="0.3">
      <c r="A4739" t="str">
        <f>IF(AND(FORSIDE!$B$8&gt;=1,FORSIDE!$F$8&gt;=2,FORSIDE!$B$5&gt;=8),"S4738","")</f>
        <v/>
      </c>
      <c r="B4739" t="str">
        <f>IF(AND(FORSIDE!$B$8&gt;=1,FORSIDE!$F$8&gt;=2,FORSIDE!$B$5&gt;=8),"251 -&gt; 482","")</f>
        <v/>
      </c>
      <c r="C4739" t="str">
        <f>FORSIDE!$C$3</f>
        <v>S355, Stål / VFHUP 140x140x8.0</v>
      </c>
    </row>
    <row r="4740" spans="1:3" x14ac:dyDescent="0.3">
      <c r="A4740" t="str">
        <f>IF(AND(FORSIDE!$B$8&gt;=1,FORSIDE!$F$8&gt;=2,FORSIDE!$B$5&gt;=9),"S4739","")</f>
        <v/>
      </c>
      <c r="B4740" t="str">
        <f>IF(AND(FORSIDE!$B$8&gt;=1,FORSIDE!$F$8&gt;=2,FORSIDE!$B$5&gt;=9),"252 -&gt; 483","")</f>
        <v/>
      </c>
      <c r="C4740" t="str">
        <f>FORSIDE!$C$3</f>
        <v>S355, Stål / VFHUP 140x140x8.0</v>
      </c>
    </row>
    <row r="4741" spans="1:3" x14ac:dyDescent="0.3">
      <c r="A4741" t="str">
        <f>IF(AND(FORSIDE!$B$8&gt;=1,FORSIDE!$F$8&gt;=2,FORSIDE!$B$5&gt;=10),"S4740","")</f>
        <v/>
      </c>
      <c r="B4741" t="str">
        <f>IF(AND(FORSIDE!$B$8&gt;=1,FORSIDE!$F$8&gt;=2,FORSIDE!$B$5&gt;=10),"253 -&gt; 484","")</f>
        <v/>
      </c>
      <c r="C4741" t="str">
        <f>FORSIDE!$C$3</f>
        <v>S355, Stål / VFHUP 140x140x8.0</v>
      </c>
    </row>
    <row r="4742" spans="1:3" x14ac:dyDescent="0.3">
      <c r="A4742" t="str">
        <f>IF(AND(FORSIDE!$B$8&gt;=2,FORSIDE!$F$8&gt;=2,FORSIDE!$B$5&gt;=1),"S4741","")</f>
        <v>S4741</v>
      </c>
      <c r="B4742" t="str">
        <f>IF(AND(FORSIDE!$B$8&gt;=2,FORSIDE!$F$8&gt;=2,FORSIDE!$B$5&gt;=1),"255 -&gt; 486","")</f>
        <v>255 -&gt; 486</v>
      </c>
      <c r="C4742" t="str">
        <f>FORSIDE!$C$3</f>
        <v>S355, Stål / VFHUP 140x140x8.0</v>
      </c>
    </row>
    <row r="4743" spans="1:3" x14ac:dyDescent="0.3">
      <c r="A4743" t="str">
        <f>IF(AND(FORSIDE!$B$8&gt;=2,FORSIDE!$F$8&gt;=2,FORSIDE!$B$5&gt;=2),"S4742","")</f>
        <v>S4742</v>
      </c>
      <c r="B4743" t="str">
        <f>IF(AND(FORSIDE!$B$8&gt;=2,FORSIDE!$F$8&gt;=2,FORSIDE!$B$5&gt;=2),"256 -&gt; 487","")</f>
        <v>256 -&gt; 487</v>
      </c>
      <c r="C4743" t="str">
        <f>FORSIDE!$C$3</f>
        <v>S355, Stål / VFHUP 140x140x8.0</v>
      </c>
    </row>
    <row r="4744" spans="1:3" x14ac:dyDescent="0.3">
      <c r="A4744" t="str">
        <f>IF(AND(FORSIDE!$B$8&gt;=2,FORSIDE!$F$8&gt;=2,FORSIDE!$B$5&gt;=3),"S4743","")</f>
        <v>S4743</v>
      </c>
      <c r="B4744" t="str">
        <f>IF(AND(FORSIDE!$B$8&gt;=2,FORSIDE!$F$8&gt;=2,FORSIDE!$B$5&gt;=3),"257 -&gt; 488","")</f>
        <v>257 -&gt; 488</v>
      </c>
      <c r="C4744" t="str">
        <f>FORSIDE!$C$3</f>
        <v>S355, Stål / VFHUP 140x140x8.0</v>
      </c>
    </row>
    <row r="4745" spans="1:3" x14ac:dyDescent="0.3">
      <c r="A4745" t="str">
        <f>IF(AND(FORSIDE!$B$8&gt;=2,FORSIDE!$F$8&gt;=2,FORSIDE!$B$5&gt;=4),"S4744","")</f>
        <v>S4744</v>
      </c>
      <c r="B4745" t="str">
        <f>IF(AND(FORSIDE!$B$8&gt;=2,FORSIDE!$F$8&gt;=2,FORSIDE!$B$5&gt;=4),"258 -&gt; 489","")</f>
        <v>258 -&gt; 489</v>
      </c>
      <c r="C4745" t="str">
        <f>FORSIDE!$C$3</f>
        <v>S355, Stål / VFHUP 140x140x8.0</v>
      </c>
    </row>
    <row r="4746" spans="1:3" x14ac:dyDescent="0.3">
      <c r="A4746" t="str">
        <f>IF(AND(FORSIDE!$B$8&gt;=2,FORSIDE!$F$8&gt;=2,FORSIDE!$B$5&gt;=5),"S4745","")</f>
        <v>S4745</v>
      </c>
      <c r="B4746" t="str">
        <f>IF(AND(FORSIDE!$B$8&gt;=2,FORSIDE!$F$8&gt;=2,FORSIDE!$B$5&gt;=5),"259 -&gt; 490","")</f>
        <v>259 -&gt; 490</v>
      </c>
      <c r="C4746" t="str">
        <f>FORSIDE!$C$3</f>
        <v>S355, Stål / VFHUP 140x140x8.0</v>
      </c>
    </row>
    <row r="4747" spans="1:3" x14ac:dyDescent="0.3">
      <c r="A4747" t="str">
        <f>IF(AND(FORSIDE!$B$8&gt;=2,FORSIDE!$F$8&gt;=2,FORSIDE!$B$5&gt;=6),"S4746","")</f>
        <v>S4746</v>
      </c>
      <c r="B4747" t="str">
        <f>IF(AND(FORSIDE!$B$8&gt;=2,FORSIDE!$F$8&gt;=2,FORSIDE!$B$5&gt;=6),"260 -&gt; 491","")</f>
        <v>260 -&gt; 491</v>
      </c>
      <c r="C4747" t="str">
        <f>FORSIDE!$C$3</f>
        <v>S355, Stål / VFHUP 140x140x8.0</v>
      </c>
    </row>
    <row r="4748" spans="1:3" x14ac:dyDescent="0.3">
      <c r="A4748" t="str">
        <f>IF(AND(FORSIDE!$B$8&gt;=2,FORSIDE!$F$8&gt;=2,FORSIDE!$B$5&gt;=7),"S4747","")</f>
        <v/>
      </c>
      <c r="B4748" t="str">
        <f>IF(AND(FORSIDE!$B$8&gt;=2,FORSIDE!$F$8&gt;=2,FORSIDE!$B$5&gt;=7),"261 -&gt; 492","")</f>
        <v/>
      </c>
      <c r="C4748" t="str">
        <f>FORSIDE!$C$3</f>
        <v>S355, Stål / VFHUP 140x140x8.0</v>
      </c>
    </row>
    <row r="4749" spans="1:3" x14ac:dyDescent="0.3">
      <c r="A4749" t="str">
        <f>IF(AND(FORSIDE!$B$8&gt;=2,FORSIDE!$F$8&gt;=2,FORSIDE!$B$5&gt;=8),"S4748","")</f>
        <v/>
      </c>
      <c r="B4749" t="str">
        <f>IF(AND(FORSIDE!$B$8&gt;=2,FORSIDE!$F$8&gt;=2,FORSIDE!$B$5&gt;=8),"262 -&gt; 493","")</f>
        <v/>
      </c>
      <c r="C4749" t="str">
        <f>FORSIDE!$C$3</f>
        <v>S355, Stål / VFHUP 140x140x8.0</v>
      </c>
    </row>
    <row r="4750" spans="1:3" x14ac:dyDescent="0.3">
      <c r="A4750" t="str">
        <f>IF(AND(FORSIDE!$B$8&gt;=2,FORSIDE!$F$8&gt;=2,FORSIDE!$B$5&gt;=9),"S4749","")</f>
        <v/>
      </c>
      <c r="B4750" t="str">
        <f>IF(AND(FORSIDE!$B$8&gt;=2,FORSIDE!$F$8&gt;=2,FORSIDE!$B$5&gt;=9),"263 -&gt; 494","")</f>
        <v/>
      </c>
      <c r="C4750" t="str">
        <f>FORSIDE!$C$3</f>
        <v>S355, Stål / VFHUP 140x140x8.0</v>
      </c>
    </row>
    <row r="4751" spans="1:3" x14ac:dyDescent="0.3">
      <c r="A4751" t="str">
        <f>IF(AND(FORSIDE!$B$8&gt;=2,FORSIDE!$F$8&gt;=2,FORSIDE!$B$5&gt;=10),"S4750","")</f>
        <v/>
      </c>
      <c r="B4751" t="str">
        <f>IF(AND(FORSIDE!$B$8&gt;=2,FORSIDE!$F$8&gt;=2,FORSIDE!$B$5&gt;=10),"264 -&gt; 495","")</f>
        <v/>
      </c>
      <c r="C4751" t="str">
        <f>FORSIDE!$C$3</f>
        <v>S355, Stål / VFHUP 140x140x8.0</v>
      </c>
    </row>
    <row r="4752" spans="1:3" x14ac:dyDescent="0.3">
      <c r="A4752" t="str">
        <f>IF(AND(FORSIDE!$B$8&gt;=3,FORSIDE!$F$8&gt;=2,FORSIDE!$B$5&gt;=1),"S4751","")</f>
        <v>S4751</v>
      </c>
      <c r="B4752" t="str">
        <f>IF(AND(FORSIDE!$B$8&gt;=3,FORSIDE!$F$8&gt;=2,FORSIDE!$B$5&gt;=1),"266 -&gt; 497","")</f>
        <v>266 -&gt; 497</v>
      </c>
      <c r="C4752" t="str">
        <f>FORSIDE!$C$3</f>
        <v>S355, Stål / VFHUP 140x140x8.0</v>
      </c>
    </row>
    <row r="4753" spans="1:3" x14ac:dyDescent="0.3">
      <c r="A4753" t="str">
        <f>IF(AND(FORSIDE!$B$8&gt;=3,FORSIDE!$F$8&gt;=2,FORSIDE!$B$5&gt;=2),"S4752","")</f>
        <v>S4752</v>
      </c>
      <c r="B4753" t="str">
        <f>IF(AND(FORSIDE!$B$8&gt;=3,FORSIDE!$F$8&gt;=2,FORSIDE!$B$5&gt;=2),"267 -&gt; 498","")</f>
        <v>267 -&gt; 498</v>
      </c>
      <c r="C4753" t="str">
        <f>FORSIDE!$C$3</f>
        <v>S355, Stål / VFHUP 140x140x8.0</v>
      </c>
    </row>
    <row r="4754" spans="1:3" x14ac:dyDescent="0.3">
      <c r="A4754" t="str">
        <f>IF(AND(FORSIDE!$B$8&gt;=3,FORSIDE!$F$8&gt;=2,FORSIDE!$B$5&gt;=3),"S4753","")</f>
        <v>S4753</v>
      </c>
      <c r="B4754" t="str">
        <f>IF(AND(FORSIDE!$B$8&gt;=3,FORSIDE!$F$8&gt;=2,FORSIDE!$B$5&gt;=3),"268 -&gt; 499","")</f>
        <v>268 -&gt; 499</v>
      </c>
      <c r="C4754" t="str">
        <f>FORSIDE!$C$3</f>
        <v>S355, Stål / VFHUP 140x140x8.0</v>
      </c>
    </row>
    <row r="4755" spans="1:3" x14ac:dyDescent="0.3">
      <c r="A4755" t="str">
        <f>IF(AND(FORSIDE!$B$8&gt;=3,FORSIDE!$F$8&gt;=2,FORSIDE!$B$5&gt;=4),"S4754","")</f>
        <v>S4754</v>
      </c>
      <c r="B4755" t="str">
        <f>IF(AND(FORSIDE!$B$8&gt;=3,FORSIDE!$F$8&gt;=2,FORSIDE!$B$5&gt;=4),"269 -&gt; 500","")</f>
        <v>269 -&gt; 500</v>
      </c>
      <c r="C4755" t="str">
        <f>FORSIDE!$C$3</f>
        <v>S355, Stål / VFHUP 140x140x8.0</v>
      </c>
    </row>
    <row r="4756" spans="1:3" x14ac:dyDescent="0.3">
      <c r="A4756" t="str">
        <f>IF(AND(FORSIDE!$B$8&gt;=3,FORSIDE!$F$8&gt;=2,FORSIDE!$B$5&gt;=5),"S4755","")</f>
        <v>S4755</v>
      </c>
      <c r="B4756" t="str">
        <f>IF(AND(FORSIDE!$B$8&gt;=3,FORSIDE!$F$8&gt;=2,FORSIDE!$B$5&gt;=5),"270 -&gt; 501","")</f>
        <v>270 -&gt; 501</v>
      </c>
      <c r="C4756" t="str">
        <f>FORSIDE!$C$3</f>
        <v>S355, Stål / VFHUP 140x140x8.0</v>
      </c>
    </row>
    <row r="4757" spans="1:3" x14ac:dyDescent="0.3">
      <c r="A4757" t="str">
        <f>IF(AND(FORSIDE!$B$8&gt;=3,FORSIDE!$F$8&gt;=2,FORSIDE!$B$5&gt;=6),"S4756","")</f>
        <v>S4756</v>
      </c>
      <c r="B4757" t="str">
        <f>IF(AND(FORSIDE!$B$8&gt;=3,FORSIDE!$F$8&gt;=2,FORSIDE!$B$5&gt;=6),"271 -&gt; 502","")</f>
        <v>271 -&gt; 502</v>
      </c>
      <c r="C4757" t="str">
        <f>FORSIDE!$C$3</f>
        <v>S355, Stål / VFHUP 140x140x8.0</v>
      </c>
    </row>
    <row r="4758" spans="1:3" x14ac:dyDescent="0.3">
      <c r="A4758" t="str">
        <f>IF(AND(FORSIDE!$B$8&gt;=3,FORSIDE!$F$8&gt;=2,FORSIDE!$B$5&gt;=7),"S4757","")</f>
        <v/>
      </c>
      <c r="B4758" t="str">
        <f>IF(AND(FORSIDE!$B$8&gt;=3,FORSIDE!$F$8&gt;=2,FORSIDE!$B$5&gt;=7),"272 -&gt; 503","")</f>
        <v/>
      </c>
      <c r="C4758" t="str">
        <f>FORSIDE!$C$3</f>
        <v>S355, Stål / VFHUP 140x140x8.0</v>
      </c>
    </row>
    <row r="4759" spans="1:3" x14ac:dyDescent="0.3">
      <c r="A4759" t="str">
        <f>IF(AND(FORSIDE!$B$8&gt;=3,FORSIDE!$F$8&gt;=2,FORSIDE!$B$5&gt;=8),"S4758","")</f>
        <v/>
      </c>
      <c r="B4759" t="str">
        <f>IF(AND(FORSIDE!$B$8&gt;=3,FORSIDE!$F$8&gt;=2,FORSIDE!$B$5&gt;=8),"273 -&gt; 504","")</f>
        <v/>
      </c>
      <c r="C4759" t="str">
        <f>FORSIDE!$C$3</f>
        <v>S355, Stål / VFHUP 140x140x8.0</v>
      </c>
    </row>
    <row r="4760" spans="1:3" x14ac:dyDescent="0.3">
      <c r="A4760" t="str">
        <f>IF(AND(FORSIDE!$B$8&gt;=3,FORSIDE!$F$8&gt;=2,FORSIDE!$B$5&gt;=9),"S4759","")</f>
        <v/>
      </c>
      <c r="B4760" t="str">
        <f>IF(AND(FORSIDE!$B$8&gt;=3,FORSIDE!$F$8&gt;=2,FORSIDE!$B$5&gt;=9),"274 -&gt; 505","")</f>
        <v/>
      </c>
      <c r="C4760" t="str">
        <f>FORSIDE!$C$3</f>
        <v>S355, Stål / VFHUP 140x140x8.0</v>
      </c>
    </row>
    <row r="4761" spans="1:3" x14ac:dyDescent="0.3">
      <c r="A4761" t="str">
        <f>IF(AND(FORSIDE!$B$8&gt;=3,FORSIDE!$F$8&gt;=2,FORSIDE!$B$5&gt;=10),"S4760","")</f>
        <v/>
      </c>
      <c r="B4761" t="str">
        <f>IF(AND(FORSIDE!$B$8&gt;=3,FORSIDE!$F$8&gt;=2,FORSIDE!$B$5&gt;=10),"275 -&gt; 506","")</f>
        <v/>
      </c>
      <c r="C4761" t="str">
        <f>FORSIDE!$C$3</f>
        <v>S355, Stål / VFHUP 140x140x8.0</v>
      </c>
    </row>
    <row r="4762" spans="1:3" x14ac:dyDescent="0.3">
      <c r="A4762" t="str">
        <f>IF(AND(FORSIDE!$B$8&gt;=4,FORSIDE!$F$8&gt;=2,FORSIDE!$B$5&gt;=1),"S4761","")</f>
        <v>S4761</v>
      </c>
      <c r="B4762" t="str">
        <f>IF(AND(FORSIDE!$B$8&gt;=4,FORSIDE!$F$8&gt;=2,FORSIDE!$B$5&gt;=1),"277 -&gt; 508","")</f>
        <v>277 -&gt; 508</v>
      </c>
      <c r="C4762" t="str">
        <f>FORSIDE!$C$3</f>
        <v>S355, Stål / VFHUP 140x140x8.0</v>
      </c>
    </row>
    <row r="4763" spans="1:3" x14ac:dyDescent="0.3">
      <c r="A4763" t="str">
        <f>IF(AND(FORSIDE!$B$8&gt;=4,FORSIDE!$F$8&gt;=2,FORSIDE!$B$5&gt;=2),"S4762","")</f>
        <v>S4762</v>
      </c>
      <c r="B4763" t="str">
        <f>IF(AND(FORSIDE!$B$8&gt;=4,FORSIDE!$F$8&gt;=2,FORSIDE!$B$5&gt;=2),"278 -&gt; 509","")</f>
        <v>278 -&gt; 509</v>
      </c>
      <c r="C4763" t="str">
        <f>FORSIDE!$C$3</f>
        <v>S355, Stål / VFHUP 140x140x8.0</v>
      </c>
    </row>
    <row r="4764" spans="1:3" x14ac:dyDescent="0.3">
      <c r="A4764" t="str">
        <f>IF(AND(FORSIDE!$B$8&gt;=4,FORSIDE!$F$8&gt;=2,FORSIDE!$B$5&gt;=3),"S4763","")</f>
        <v>S4763</v>
      </c>
      <c r="B4764" t="str">
        <f>IF(AND(FORSIDE!$B$8&gt;=4,FORSIDE!$F$8&gt;=2,FORSIDE!$B$5&gt;=3),"279 -&gt; 510","")</f>
        <v>279 -&gt; 510</v>
      </c>
      <c r="C4764" t="str">
        <f>FORSIDE!$C$3</f>
        <v>S355, Stål / VFHUP 140x140x8.0</v>
      </c>
    </row>
    <row r="4765" spans="1:3" x14ac:dyDescent="0.3">
      <c r="A4765" t="str">
        <f>IF(AND(FORSIDE!$B$8&gt;=4,FORSIDE!$F$8&gt;=2,FORSIDE!$B$5&gt;=4),"S4764","")</f>
        <v>S4764</v>
      </c>
      <c r="B4765" t="str">
        <f>IF(AND(FORSIDE!$B$8&gt;=4,FORSIDE!$F$8&gt;=2,FORSIDE!$B$5&gt;=4),"280 -&gt; 511","")</f>
        <v>280 -&gt; 511</v>
      </c>
      <c r="C4765" t="str">
        <f>FORSIDE!$C$3</f>
        <v>S355, Stål / VFHUP 140x140x8.0</v>
      </c>
    </row>
    <row r="4766" spans="1:3" x14ac:dyDescent="0.3">
      <c r="A4766" t="str">
        <f>IF(AND(FORSIDE!$B$8&gt;=4,FORSIDE!$F$8&gt;=2,FORSIDE!$B$5&gt;=5),"S4765","")</f>
        <v>S4765</v>
      </c>
      <c r="B4766" t="str">
        <f>IF(AND(FORSIDE!$B$8&gt;=4,FORSIDE!$F$8&gt;=2,FORSIDE!$B$5&gt;=5),"281 -&gt; 512","")</f>
        <v>281 -&gt; 512</v>
      </c>
      <c r="C4766" t="str">
        <f>FORSIDE!$C$3</f>
        <v>S355, Stål / VFHUP 140x140x8.0</v>
      </c>
    </row>
    <row r="4767" spans="1:3" x14ac:dyDescent="0.3">
      <c r="A4767" t="str">
        <f>IF(AND(FORSIDE!$B$8&gt;=4,FORSIDE!$F$8&gt;=2,FORSIDE!$B$5&gt;=6),"S4766","")</f>
        <v>S4766</v>
      </c>
      <c r="B4767" t="str">
        <f>IF(AND(FORSIDE!$B$8&gt;=4,FORSIDE!$F$8&gt;=2,FORSIDE!$B$5&gt;=6),"282 -&gt; 513","")</f>
        <v>282 -&gt; 513</v>
      </c>
      <c r="C4767" t="str">
        <f>FORSIDE!$C$3</f>
        <v>S355, Stål / VFHUP 140x140x8.0</v>
      </c>
    </row>
    <row r="4768" spans="1:3" x14ac:dyDescent="0.3">
      <c r="A4768" t="str">
        <f>IF(AND(FORSIDE!$B$8&gt;=4,FORSIDE!$F$8&gt;=2,FORSIDE!$B$5&gt;=7),"S4767","")</f>
        <v/>
      </c>
      <c r="B4768" t="str">
        <f>IF(AND(FORSIDE!$B$8&gt;=4,FORSIDE!$F$8&gt;=2,FORSIDE!$B$5&gt;=7),"283 -&gt; 514","")</f>
        <v/>
      </c>
      <c r="C4768" t="str">
        <f>FORSIDE!$C$3</f>
        <v>S355, Stål / VFHUP 140x140x8.0</v>
      </c>
    </row>
    <row r="4769" spans="1:3" x14ac:dyDescent="0.3">
      <c r="A4769" t="str">
        <f>IF(AND(FORSIDE!$B$8&gt;=4,FORSIDE!$F$8&gt;=2,FORSIDE!$B$5&gt;=8),"S4768","")</f>
        <v/>
      </c>
      <c r="B4769" t="str">
        <f>IF(AND(FORSIDE!$B$8&gt;=4,FORSIDE!$F$8&gt;=2,FORSIDE!$B$5&gt;=8),"284 -&gt; 515","")</f>
        <v/>
      </c>
      <c r="C4769" t="str">
        <f>FORSIDE!$C$3</f>
        <v>S355, Stål / VFHUP 140x140x8.0</v>
      </c>
    </row>
    <row r="4770" spans="1:3" x14ac:dyDescent="0.3">
      <c r="A4770" t="str">
        <f>IF(AND(FORSIDE!$B$8&gt;=4,FORSIDE!$F$8&gt;=2,FORSIDE!$B$5&gt;=9),"S4769","")</f>
        <v/>
      </c>
      <c r="B4770" t="str">
        <f>IF(AND(FORSIDE!$B$8&gt;=4,FORSIDE!$F$8&gt;=2,FORSIDE!$B$5&gt;=9),"285 -&gt; 516","")</f>
        <v/>
      </c>
      <c r="C4770" t="str">
        <f>FORSIDE!$C$3</f>
        <v>S355, Stål / VFHUP 140x140x8.0</v>
      </c>
    </row>
    <row r="4771" spans="1:3" x14ac:dyDescent="0.3">
      <c r="A4771" t="str">
        <f>IF(AND(FORSIDE!$B$8&gt;=4,FORSIDE!$F$8&gt;=2,FORSIDE!$B$5&gt;=10),"S4770","")</f>
        <v/>
      </c>
      <c r="B4771" t="str">
        <f>IF(AND(FORSIDE!$B$8&gt;=4,FORSIDE!$F$8&gt;=2,FORSIDE!$B$5&gt;=10),"286 -&gt; 517","")</f>
        <v/>
      </c>
      <c r="C4771" t="str">
        <f>FORSIDE!$C$3</f>
        <v>S355, Stål / VFHUP 140x140x8.0</v>
      </c>
    </row>
    <row r="4772" spans="1:3" x14ac:dyDescent="0.3">
      <c r="A4772" t="str">
        <f>IF(AND(FORSIDE!$B$8&gt;=5,FORSIDE!$F$8&gt;=2,FORSIDE!$B$5&gt;=1),"S4771","")</f>
        <v/>
      </c>
      <c r="B4772" t="str">
        <f>IF(AND(FORSIDE!$B$8&gt;=5,FORSIDE!$F$8&gt;=2,FORSIDE!$B$5&gt;=1),"288 -&gt; 519","")</f>
        <v/>
      </c>
      <c r="C4772" t="str">
        <f>FORSIDE!$C$3</f>
        <v>S355, Stål / VFHUP 140x140x8.0</v>
      </c>
    </row>
    <row r="4773" spans="1:3" x14ac:dyDescent="0.3">
      <c r="A4773" t="str">
        <f>IF(AND(FORSIDE!$B$8&gt;=5,FORSIDE!$F$8&gt;=2,FORSIDE!$B$5&gt;=2),"S4772","")</f>
        <v/>
      </c>
      <c r="B4773" t="str">
        <f>IF(AND(FORSIDE!$B$8&gt;=5,FORSIDE!$F$8&gt;=2,FORSIDE!$B$5&gt;=2),"289 -&gt; 520","")</f>
        <v/>
      </c>
      <c r="C4773" t="str">
        <f>FORSIDE!$C$3</f>
        <v>S355, Stål / VFHUP 140x140x8.0</v>
      </c>
    </row>
    <row r="4774" spans="1:3" x14ac:dyDescent="0.3">
      <c r="A4774" t="str">
        <f>IF(AND(FORSIDE!$B$8&gt;=5,FORSIDE!$F$8&gt;=2,FORSIDE!$B$5&gt;=3),"S4773","")</f>
        <v/>
      </c>
      <c r="B4774" t="str">
        <f>IF(AND(FORSIDE!$B$8&gt;=5,FORSIDE!$F$8&gt;=2,FORSIDE!$B$5&gt;=3),"290 -&gt; 521","")</f>
        <v/>
      </c>
      <c r="C4774" t="str">
        <f>FORSIDE!$C$3</f>
        <v>S355, Stål / VFHUP 140x140x8.0</v>
      </c>
    </row>
    <row r="4775" spans="1:3" x14ac:dyDescent="0.3">
      <c r="A4775" t="str">
        <f>IF(AND(FORSIDE!$B$8&gt;=5,FORSIDE!$F$8&gt;=2,FORSIDE!$B$5&gt;=4),"S4774","")</f>
        <v/>
      </c>
      <c r="B4775" t="str">
        <f>IF(AND(FORSIDE!$B$8&gt;=5,FORSIDE!$F$8&gt;=2,FORSIDE!$B$5&gt;=4),"291 -&gt; 522","")</f>
        <v/>
      </c>
      <c r="C4775" t="str">
        <f>FORSIDE!$C$3</f>
        <v>S355, Stål / VFHUP 140x140x8.0</v>
      </c>
    </row>
    <row r="4776" spans="1:3" x14ac:dyDescent="0.3">
      <c r="A4776" t="str">
        <f>IF(AND(FORSIDE!$B$8&gt;=5,FORSIDE!$F$8&gt;=2,FORSIDE!$B$5&gt;=5),"S4775","")</f>
        <v/>
      </c>
      <c r="B4776" t="str">
        <f>IF(AND(FORSIDE!$B$8&gt;=5,FORSIDE!$F$8&gt;=2,FORSIDE!$B$5&gt;=5),"292 -&gt; 523","")</f>
        <v/>
      </c>
      <c r="C4776" t="str">
        <f>FORSIDE!$C$3</f>
        <v>S355, Stål / VFHUP 140x140x8.0</v>
      </c>
    </row>
    <row r="4777" spans="1:3" x14ac:dyDescent="0.3">
      <c r="A4777" t="str">
        <f>IF(AND(FORSIDE!$B$8&gt;=5,FORSIDE!$F$8&gt;=2,FORSIDE!$B$5&gt;=6),"S4776","")</f>
        <v/>
      </c>
      <c r="B4777" t="str">
        <f>IF(AND(FORSIDE!$B$8&gt;=5,FORSIDE!$F$8&gt;=2,FORSIDE!$B$5&gt;=6),"293 -&gt; 524","")</f>
        <v/>
      </c>
      <c r="C4777" t="str">
        <f>FORSIDE!$C$3</f>
        <v>S355, Stål / VFHUP 140x140x8.0</v>
      </c>
    </row>
    <row r="4778" spans="1:3" x14ac:dyDescent="0.3">
      <c r="A4778" t="str">
        <f>IF(AND(FORSIDE!$B$8&gt;=5,FORSIDE!$F$8&gt;=2,FORSIDE!$B$5&gt;=7),"S4777","")</f>
        <v/>
      </c>
      <c r="B4778" t="str">
        <f>IF(AND(FORSIDE!$B$8&gt;=5,FORSIDE!$F$8&gt;=2,FORSIDE!$B$5&gt;=7),"294 -&gt; 525","")</f>
        <v/>
      </c>
      <c r="C4778" t="str">
        <f>FORSIDE!$C$3</f>
        <v>S355, Stål / VFHUP 140x140x8.0</v>
      </c>
    </row>
    <row r="4779" spans="1:3" x14ac:dyDescent="0.3">
      <c r="A4779" t="str">
        <f>IF(AND(FORSIDE!$B$8&gt;=5,FORSIDE!$F$8&gt;=2,FORSIDE!$B$5&gt;=8),"S4778","")</f>
        <v/>
      </c>
      <c r="B4779" t="str">
        <f>IF(AND(FORSIDE!$B$8&gt;=5,FORSIDE!$F$8&gt;=2,FORSIDE!$B$5&gt;=8),"295 -&gt; 526","")</f>
        <v/>
      </c>
      <c r="C4779" t="str">
        <f>FORSIDE!$C$3</f>
        <v>S355, Stål / VFHUP 140x140x8.0</v>
      </c>
    </row>
    <row r="4780" spans="1:3" x14ac:dyDescent="0.3">
      <c r="A4780" t="str">
        <f>IF(AND(FORSIDE!$B$8&gt;=5,FORSIDE!$F$8&gt;=2,FORSIDE!$B$5&gt;=9),"S4779","")</f>
        <v/>
      </c>
      <c r="B4780" t="str">
        <f>IF(AND(FORSIDE!$B$8&gt;=5,FORSIDE!$F$8&gt;=2,FORSIDE!$B$5&gt;=9),"296 -&gt; 527","")</f>
        <v/>
      </c>
      <c r="C4780" t="str">
        <f>FORSIDE!$C$3</f>
        <v>S355, Stål / VFHUP 140x140x8.0</v>
      </c>
    </row>
    <row r="4781" spans="1:3" x14ac:dyDescent="0.3">
      <c r="A4781" t="str">
        <f>IF(AND(FORSIDE!$B$8&gt;=5,FORSIDE!$F$8&gt;=2,FORSIDE!$B$5&gt;=10),"S4780","")</f>
        <v/>
      </c>
      <c r="B4781" t="str">
        <f>IF(AND(FORSIDE!$B$8&gt;=5,FORSIDE!$F$8&gt;=2,FORSIDE!$B$5&gt;=10),"297 -&gt; 528","")</f>
        <v/>
      </c>
      <c r="C4781" t="str">
        <f>FORSIDE!$C$3</f>
        <v>S355, Stål / VFHUP 140x140x8.0</v>
      </c>
    </row>
    <row r="4782" spans="1:3" x14ac:dyDescent="0.3">
      <c r="A4782" t="str">
        <f>IF(AND(FORSIDE!$B$8&gt;=6,FORSIDE!$F$8&gt;=2,FORSIDE!$B$5&gt;=1),"S4781","")</f>
        <v/>
      </c>
      <c r="B4782" t="str">
        <f>IF(AND(FORSIDE!$B$8&gt;=6,FORSIDE!$F$8&gt;=2,FORSIDE!$B$5&gt;=1),"299 -&gt; 530","")</f>
        <v/>
      </c>
      <c r="C4782" t="str">
        <f>FORSIDE!$C$3</f>
        <v>S355, Stål / VFHUP 140x140x8.0</v>
      </c>
    </row>
    <row r="4783" spans="1:3" x14ac:dyDescent="0.3">
      <c r="A4783" t="str">
        <f>IF(AND(FORSIDE!$B$8&gt;=6,FORSIDE!$F$8&gt;=2,FORSIDE!$B$5&gt;=2),"S4782","")</f>
        <v/>
      </c>
      <c r="B4783" t="str">
        <f>IF(AND(FORSIDE!$B$8&gt;=6,FORSIDE!$F$8&gt;=2,FORSIDE!$B$5&gt;=2),"300 -&gt; 531","")</f>
        <v/>
      </c>
      <c r="C4783" t="str">
        <f>FORSIDE!$C$3</f>
        <v>S355, Stål / VFHUP 140x140x8.0</v>
      </c>
    </row>
    <row r="4784" spans="1:3" x14ac:dyDescent="0.3">
      <c r="A4784" t="str">
        <f>IF(AND(FORSIDE!$B$8&gt;=6,FORSIDE!$F$8&gt;=2,FORSIDE!$B$5&gt;=3),"S4783","")</f>
        <v/>
      </c>
      <c r="B4784" t="str">
        <f>IF(AND(FORSIDE!$B$8&gt;=6,FORSIDE!$F$8&gt;=2,FORSIDE!$B$5&gt;=3),"301 -&gt; 532","")</f>
        <v/>
      </c>
      <c r="C4784" t="str">
        <f>FORSIDE!$C$3</f>
        <v>S355, Stål / VFHUP 140x140x8.0</v>
      </c>
    </row>
    <row r="4785" spans="1:3" x14ac:dyDescent="0.3">
      <c r="A4785" t="str">
        <f>IF(AND(FORSIDE!$B$8&gt;=6,FORSIDE!$F$8&gt;=2,FORSIDE!$B$5&gt;=4),"S4784","")</f>
        <v/>
      </c>
      <c r="B4785" t="str">
        <f>IF(AND(FORSIDE!$B$8&gt;=6,FORSIDE!$F$8&gt;=2,FORSIDE!$B$5&gt;=4),"302 -&gt; 533","")</f>
        <v/>
      </c>
      <c r="C4785" t="str">
        <f>FORSIDE!$C$3</f>
        <v>S355, Stål / VFHUP 140x140x8.0</v>
      </c>
    </row>
    <row r="4786" spans="1:3" x14ac:dyDescent="0.3">
      <c r="A4786" t="str">
        <f>IF(AND(FORSIDE!$B$8&gt;=6,FORSIDE!$F$8&gt;=2,FORSIDE!$B$5&gt;=5),"S4785","")</f>
        <v/>
      </c>
      <c r="B4786" t="str">
        <f>IF(AND(FORSIDE!$B$8&gt;=6,FORSIDE!$F$8&gt;=2,FORSIDE!$B$5&gt;=5),"303 -&gt; 534","")</f>
        <v/>
      </c>
      <c r="C4786" t="str">
        <f>FORSIDE!$C$3</f>
        <v>S355, Stål / VFHUP 140x140x8.0</v>
      </c>
    </row>
    <row r="4787" spans="1:3" x14ac:dyDescent="0.3">
      <c r="A4787" t="str">
        <f>IF(AND(FORSIDE!$B$8&gt;=6,FORSIDE!$F$8&gt;=2,FORSIDE!$B$5&gt;=6),"S4786","")</f>
        <v/>
      </c>
      <c r="B4787" t="str">
        <f>IF(AND(FORSIDE!$B$8&gt;=6,FORSIDE!$F$8&gt;=2,FORSIDE!$B$5&gt;=6),"304 -&gt; 535","")</f>
        <v/>
      </c>
      <c r="C4787" t="str">
        <f>FORSIDE!$C$3</f>
        <v>S355, Stål / VFHUP 140x140x8.0</v>
      </c>
    </row>
    <row r="4788" spans="1:3" x14ac:dyDescent="0.3">
      <c r="A4788" t="str">
        <f>IF(AND(FORSIDE!$B$8&gt;=6,FORSIDE!$F$8&gt;=2,FORSIDE!$B$5&gt;=7),"S4787","")</f>
        <v/>
      </c>
      <c r="B4788" t="str">
        <f>IF(AND(FORSIDE!$B$8&gt;=6,FORSIDE!$F$8&gt;=2,FORSIDE!$B$5&gt;=7),"305 -&gt; 536","")</f>
        <v/>
      </c>
      <c r="C4788" t="str">
        <f>FORSIDE!$C$3</f>
        <v>S355, Stål / VFHUP 140x140x8.0</v>
      </c>
    </row>
    <row r="4789" spans="1:3" x14ac:dyDescent="0.3">
      <c r="A4789" t="str">
        <f>IF(AND(FORSIDE!$B$8&gt;=6,FORSIDE!$F$8&gt;=2,FORSIDE!$B$5&gt;=8),"S4788","")</f>
        <v/>
      </c>
      <c r="B4789" t="str">
        <f>IF(AND(FORSIDE!$B$8&gt;=6,FORSIDE!$F$8&gt;=2,FORSIDE!$B$5&gt;=8),"306 -&gt; 537","")</f>
        <v/>
      </c>
      <c r="C4789" t="str">
        <f>FORSIDE!$C$3</f>
        <v>S355, Stål / VFHUP 140x140x8.0</v>
      </c>
    </row>
    <row r="4790" spans="1:3" x14ac:dyDescent="0.3">
      <c r="A4790" t="str">
        <f>IF(AND(FORSIDE!$B$8&gt;=6,FORSIDE!$F$8&gt;=2,FORSIDE!$B$5&gt;=9),"S4789","")</f>
        <v/>
      </c>
      <c r="B4790" t="str">
        <f>IF(AND(FORSIDE!$B$8&gt;=6,FORSIDE!$F$8&gt;=2,FORSIDE!$B$5&gt;=9),"307 -&gt; 538","")</f>
        <v/>
      </c>
      <c r="C4790" t="str">
        <f>FORSIDE!$C$3</f>
        <v>S355, Stål / VFHUP 140x140x8.0</v>
      </c>
    </row>
    <row r="4791" spans="1:3" x14ac:dyDescent="0.3">
      <c r="A4791" t="str">
        <f>IF(AND(FORSIDE!$B$8&gt;=6,FORSIDE!$F$8&gt;=2,FORSIDE!$B$5&gt;=10),"S4790","")</f>
        <v/>
      </c>
      <c r="B4791" t="str">
        <f>IF(AND(FORSIDE!$B$8&gt;=6,FORSIDE!$F$8&gt;=2,FORSIDE!$B$5&gt;=10),"308 -&gt; 539","")</f>
        <v/>
      </c>
      <c r="C4791" t="str">
        <f>FORSIDE!$C$3</f>
        <v>S355, Stål / VFHUP 140x140x8.0</v>
      </c>
    </row>
    <row r="4792" spans="1:3" x14ac:dyDescent="0.3">
      <c r="A4792" t="str">
        <f>IF(AND(FORSIDE!$B$8&gt;=7,FORSIDE!$F$8&gt;=2,FORSIDE!$B$5&gt;=1),"S4791","")</f>
        <v/>
      </c>
      <c r="B4792" t="str">
        <f>IF(AND(FORSIDE!$B$8&gt;=7,FORSIDE!$F$8&gt;=2,FORSIDE!$B$5&gt;=1),"310 -&gt; 541","")</f>
        <v/>
      </c>
      <c r="C4792" t="str">
        <f>FORSIDE!$C$3</f>
        <v>S355, Stål / VFHUP 140x140x8.0</v>
      </c>
    </row>
    <row r="4793" spans="1:3" x14ac:dyDescent="0.3">
      <c r="A4793" t="str">
        <f>IF(AND(FORSIDE!$B$8&gt;=7,FORSIDE!$F$8&gt;=2,FORSIDE!$B$5&gt;=2),"S4792","")</f>
        <v/>
      </c>
      <c r="B4793" t="str">
        <f>IF(AND(FORSIDE!$B$8&gt;=7,FORSIDE!$F$8&gt;=2,FORSIDE!$B$5&gt;=2),"311 -&gt; 542","")</f>
        <v/>
      </c>
      <c r="C4793" t="str">
        <f>FORSIDE!$C$3</f>
        <v>S355, Stål / VFHUP 140x140x8.0</v>
      </c>
    </row>
    <row r="4794" spans="1:3" x14ac:dyDescent="0.3">
      <c r="A4794" t="str">
        <f>IF(AND(FORSIDE!$B$8&gt;=7,FORSIDE!$F$8&gt;=2,FORSIDE!$B$5&gt;=3),"S4793","")</f>
        <v/>
      </c>
      <c r="B4794" t="str">
        <f>IF(AND(FORSIDE!$B$8&gt;=7,FORSIDE!$F$8&gt;=2,FORSIDE!$B$5&gt;=3),"312 -&gt; 543","")</f>
        <v/>
      </c>
      <c r="C4794" t="str">
        <f>FORSIDE!$C$3</f>
        <v>S355, Stål / VFHUP 140x140x8.0</v>
      </c>
    </row>
    <row r="4795" spans="1:3" x14ac:dyDescent="0.3">
      <c r="A4795" t="str">
        <f>IF(AND(FORSIDE!$B$8&gt;=7,FORSIDE!$F$8&gt;=2,FORSIDE!$B$5&gt;=4),"S4794","")</f>
        <v/>
      </c>
      <c r="B4795" t="str">
        <f>IF(AND(FORSIDE!$B$8&gt;=7,FORSIDE!$F$8&gt;=2,FORSIDE!$B$5&gt;=4),"313 -&gt; 544","")</f>
        <v/>
      </c>
      <c r="C4795" t="str">
        <f>FORSIDE!$C$3</f>
        <v>S355, Stål / VFHUP 140x140x8.0</v>
      </c>
    </row>
    <row r="4796" spans="1:3" x14ac:dyDescent="0.3">
      <c r="A4796" t="str">
        <f>IF(AND(FORSIDE!$B$8&gt;=7,FORSIDE!$F$8&gt;=2,FORSIDE!$B$5&gt;=5),"S4795","")</f>
        <v/>
      </c>
      <c r="B4796" t="str">
        <f>IF(AND(FORSIDE!$B$8&gt;=7,FORSIDE!$F$8&gt;=2,FORSIDE!$B$5&gt;=5),"314 -&gt; 545","")</f>
        <v/>
      </c>
      <c r="C4796" t="str">
        <f>FORSIDE!$C$3</f>
        <v>S355, Stål / VFHUP 140x140x8.0</v>
      </c>
    </row>
    <row r="4797" spans="1:3" x14ac:dyDescent="0.3">
      <c r="A4797" t="str">
        <f>IF(AND(FORSIDE!$B$8&gt;=7,FORSIDE!$F$8&gt;=2,FORSIDE!$B$5&gt;=6),"S4796","")</f>
        <v/>
      </c>
      <c r="B4797" t="str">
        <f>IF(AND(FORSIDE!$B$8&gt;=7,FORSIDE!$F$8&gt;=2,FORSIDE!$B$5&gt;=6),"315 -&gt; 546","")</f>
        <v/>
      </c>
      <c r="C4797" t="str">
        <f>FORSIDE!$C$3</f>
        <v>S355, Stål / VFHUP 140x140x8.0</v>
      </c>
    </row>
    <row r="4798" spans="1:3" x14ac:dyDescent="0.3">
      <c r="A4798" t="str">
        <f>IF(AND(FORSIDE!$B$8&gt;=7,FORSIDE!$F$8&gt;=2,FORSIDE!$B$5&gt;=7),"S4797","")</f>
        <v/>
      </c>
      <c r="B4798" t="str">
        <f>IF(AND(FORSIDE!$B$8&gt;=7,FORSIDE!$F$8&gt;=2,FORSIDE!$B$5&gt;=7),"316 -&gt; 547","")</f>
        <v/>
      </c>
      <c r="C4798" t="str">
        <f>FORSIDE!$C$3</f>
        <v>S355, Stål / VFHUP 140x140x8.0</v>
      </c>
    </row>
    <row r="4799" spans="1:3" x14ac:dyDescent="0.3">
      <c r="A4799" t="str">
        <f>IF(AND(FORSIDE!$B$8&gt;=7,FORSIDE!$F$8&gt;=2,FORSIDE!$B$5&gt;=8),"S4798","")</f>
        <v/>
      </c>
      <c r="B4799" t="str">
        <f>IF(AND(FORSIDE!$B$8&gt;=7,FORSIDE!$F$8&gt;=2,FORSIDE!$B$5&gt;=8),"317 -&gt; 548","")</f>
        <v/>
      </c>
      <c r="C4799" t="str">
        <f>FORSIDE!$C$3</f>
        <v>S355, Stål / VFHUP 140x140x8.0</v>
      </c>
    </row>
    <row r="4800" spans="1:3" x14ac:dyDescent="0.3">
      <c r="A4800" t="str">
        <f>IF(AND(FORSIDE!$B$8&gt;=7,FORSIDE!$F$8&gt;=2,FORSIDE!$B$5&gt;=9),"S4799","")</f>
        <v/>
      </c>
      <c r="B4800" t="str">
        <f>IF(AND(FORSIDE!$B$8&gt;=7,FORSIDE!$F$8&gt;=2,FORSIDE!$B$5&gt;=9),"318 -&gt; 549","")</f>
        <v/>
      </c>
      <c r="C4800" t="str">
        <f>FORSIDE!$C$3</f>
        <v>S355, Stål / VFHUP 140x140x8.0</v>
      </c>
    </row>
    <row r="4801" spans="1:3" x14ac:dyDescent="0.3">
      <c r="A4801" t="str">
        <f>IF(AND(FORSIDE!$B$8&gt;=7,FORSIDE!$F$8&gt;=2,FORSIDE!$B$5&gt;=10),"S4800","")</f>
        <v/>
      </c>
      <c r="B4801" t="str">
        <f>IF(AND(FORSIDE!$B$8&gt;=7,FORSIDE!$F$8&gt;=2,FORSIDE!$B$5&gt;=10),"319 -&gt; 550","")</f>
        <v/>
      </c>
      <c r="C4801" t="str">
        <f>FORSIDE!$C$3</f>
        <v>S355, Stål / VFHUP 140x140x8.0</v>
      </c>
    </row>
    <row r="4802" spans="1:3" x14ac:dyDescent="0.3">
      <c r="A4802" t="str">
        <f>IF(AND(FORSIDE!$B$8&gt;=8,FORSIDE!$F$8&gt;=2,FORSIDE!$B$5&gt;=1),"S4801","")</f>
        <v/>
      </c>
      <c r="B4802" t="str">
        <f>IF(AND(FORSIDE!$B$8&gt;=8,FORSIDE!$F$8&gt;=2,FORSIDE!$B$5&gt;=1),"321 -&gt; 552","")</f>
        <v/>
      </c>
      <c r="C4802" t="str">
        <f>FORSIDE!$C$3</f>
        <v>S355, Stål / VFHUP 140x140x8.0</v>
      </c>
    </row>
    <row r="4803" spans="1:3" x14ac:dyDescent="0.3">
      <c r="A4803" t="str">
        <f>IF(AND(FORSIDE!$B$8&gt;=8,FORSIDE!$F$8&gt;=2,FORSIDE!$B$5&gt;=2),"S4802","")</f>
        <v/>
      </c>
      <c r="B4803" t="str">
        <f>IF(AND(FORSIDE!$B$8&gt;=8,FORSIDE!$F$8&gt;=2,FORSIDE!$B$5&gt;=2),"322 -&gt; 553","")</f>
        <v/>
      </c>
      <c r="C4803" t="str">
        <f>FORSIDE!$C$3</f>
        <v>S355, Stål / VFHUP 140x140x8.0</v>
      </c>
    </row>
    <row r="4804" spans="1:3" x14ac:dyDescent="0.3">
      <c r="A4804" t="str">
        <f>IF(AND(FORSIDE!$B$8&gt;=8,FORSIDE!$F$8&gt;=2,FORSIDE!$B$5&gt;=3),"S4803","")</f>
        <v/>
      </c>
      <c r="B4804" t="str">
        <f>IF(AND(FORSIDE!$B$8&gt;=8,FORSIDE!$F$8&gt;=2,FORSIDE!$B$5&gt;=3),"323 -&gt; 554","")</f>
        <v/>
      </c>
      <c r="C4804" t="str">
        <f>FORSIDE!$C$3</f>
        <v>S355, Stål / VFHUP 140x140x8.0</v>
      </c>
    </row>
    <row r="4805" spans="1:3" x14ac:dyDescent="0.3">
      <c r="A4805" t="str">
        <f>IF(AND(FORSIDE!$B$8&gt;=8,FORSIDE!$F$8&gt;=2,FORSIDE!$B$5&gt;=4),"S4804","")</f>
        <v/>
      </c>
      <c r="B4805" t="str">
        <f>IF(AND(FORSIDE!$B$8&gt;=8,FORSIDE!$F$8&gt;=2,FORSIDE!$B$5&gt;=4),"324 -&gt; 555","")</f>
        <v/>
      </c>
      <c r="C4805" t="str">
        <f>FORSIDE!$C$3</f>
        <v>S355, Stål / VFHUP 140x140x8.0</v>
      </c>
    </row>
    <row r="4806" spans="1:3" x14ac:dyDescent="0.3">
      <c r="A4806" t="str">
        <f>IF(AND(FORSIDE!$B$8&gt;=8,FORSIDE!$F$8&gt;=2,FORSIDE!$B$5&gt;=5),"S4805","")</f>
        <v/>
      </c>
      <c r="B4806" t="str">
        <f>IF(AND(FORSIDE!$B$8&gt;=8,FORSIDE!$F$8&gt;=2,FORSIDE!$B$5&gt;=5),"325 -&gt; 556","")</f>
        <v/>
      </c>
      <c r="C4806" t="str">
        <f>FORSIDE!$C$3</f>
        <v>S355, Stål / VFHUP 140x140x8.0</v>
      </c>
    </row>
    <row r="4807" spans="1:3" x14ac:dyDescent="0.3">
      <c r="A4807" t="str">
        <f>IF(AND(FORSIDE!$B$8&gt;=8,FORSIDE!$F$8&gt;=2,FORSIDE!$B$5&gt;=6),"S4806","")</f>
        <v/>
      </c>
      <c r="B4807" t="str">
        <f>IF(AND(FORSIDE!$B$8&gt;=8,FORSIDE!$F$8&gt;=2,FORSIDE!$B$5&gt;=6),"326 -&gt; 557","")</f>
        <v/>
      </c>
      <c r="C4807" t="str">
        <f>FORSIDE!$C$3</f>
        <v>S355, Stål / VFHUP 140x140x8.0</v>
      </c>
    </row>
    <row r="4808" spans="1:3" x14ac:dyDescent="0.3">
      <c r="A4808" t="str">
        <f>IF(AND(FORSIDE!$B$8&gt;=8,FORSIDE!$F$8&gt;=2,FORSIDE!$B$5&gt;=7),"S4807","")</f>
        <v/>
      </c>
      <c r="B4808" t="str">
        <f>IF(AND(FORSIDE!$B$8&gt;=8,FORSIDE!$F$8&gt;=2,FORSIDE!$B$5&gt;=7),"327 -&gt; 558","")</f>
        <v/>
      </c>
      <c r="C4808" t="str">
        <f>FORSIDE!$C$3</f>
        <v>S355, Stål / VFHUP 140x140x8.0</v>
      </c>
    </row>
    <row r="4809" spans="1:3" x14ac:dyDescent="0.3">
      <c r="A4809" t="str">
        <f>IF(AND(FORSIDE!$B$8&gt;=8,FORSIDE!$F$8&gt;=2,FORSIDE!$B$5&gt;=8),"S4808","")</f>
        <v/>
      </c>
      <c r="B4809" t="str">
        <f>IF(AND(FORSIDE!$B$8&gt;=8,FORSIDE!$F$8&gt;=2,FORSIDE!$B$5&gt;=8),"328 -&gt; 559","")</f>
        <v/>
      </c>
      <c r="C4809" t="str">
        <f>FORSIDE!$C$3</f>
        <v>S355, Stål / VFHUP 140x140x8.0</v>
      </c>
    </row>
    <row r="4810" spans="1:3" x14ac:dyDescent="0.3">
      <c r="A4810" t="str">
        <f>IF(AND(FORSIDE!$B$8&gt;=8,FORSIDE!$F$8&gt;=2,FORSIDE!$B$5&gt;=9),"S4809","")</f>
        <v/>
      </c>
      <c r="B4810" t="str">
        <f>IF(AND(FORSIDE!$B$8&gt;=8,FORSIDE!$F$8&gt;=2,FORSIDE!$B$5&gt;=9),"329 -&gt; 560","")</f>
        <v/>
      </c>
      <c r="C4810" t="str">
        <f>FORSIDE!$C$3</f>
        <v>S355, Stål / VFHUP 140x140x8.0</v>
      </c>
    </row>
    <row r="4811" spans="1:3" x14ac:dyDescent="0.3">
      <c r="A4811" t="str">
        <f>IF(AND(FORSIDE!$B$8&gt;=8,FORSIDE!$F$8&gt;=2,FORSIDE!$B$5&gt;=10),"S4810","")</f>
        <v/>
      </c>
      <c r="B4811" t="str">
        <f>IF(AND(FORSIDE!$B$8&gt;=8,FORSIDE!$F$8&gt;=2,FORSIDE!$B$5&gt;=10),"330 -&gt; 561","")</f>
        <v/>
      </c>
      <c r="C4811" t="str">
        <f>FORSIDE!$C$3</f>
        <v>S355, Stål / VFHUP 140x140x8.0</v>
      </c>
    </row>
    <row r="4812" spans="1:3" x14ac:dyDescent="0.3">
      <c r="A4812" t="str">
        <f>IF(AND(FORSIDE!$B$8&gt;=9,FORSIDE!$F$8&gt;=2,FORSIDE!$B$5&gt;=1),"S4811","")</f>
        <v/>
      </c>
      <c r="B4812" t="str">
        <f>IF(AND(FORSIDE!$B$8&gt;=9,FORSIDE!$F$8&gt;=2,FORSIDE!$B$5&gt;=1),"332 -&gt; 563","")</f>
        <v/>
      </c>
      <c r="C4812" t="str">
        <f>FORSIDE!$C$3</f>
        <v>S355, Stål / VFHUP 140x140x8.0</v>
      </c>
    </row>
    <row r="4813" spans="1:3" x14ac:dyDescent="0.3">
      <c r="A4813" t="str">
        <f>IF(AND(FORSIDE!$B$8&gt;=9,FORSIDE!$F$8&gt;=2,FORSIDE!$B$5&gt;=2),"S4812","")</f>
        <v/>
      </c>
      <c r="B4813" t="str">
        <f>IF(AND(FORSIDE!$B$8&gt;=9,FORSIDE!$F$8&gt;=2,FORSIDE!$B$5&gt;=2),"333 -&gt; 564","")</f>
        <v/>
      </c>
      <c r="C4813" t="str">
        <f>FORSIDE!$C$3</f>
        <v>S355, Stål / VFHUP 140x140x8.0</v>
      </c>
    </row>
    <row r="4814" spans="1:3" x14ac:dyDescent="0.3">
      <c r="A4814" t="str">
        <f>IF(AND(FORSIDE!$B$8&gt;=9,FORSIDE!$F$8&gt;=2,FORSIDE!$B$5&gt;=3),"S4813","")</f>
        <v/>
      </c>
      <c r="B4814" t="str">
        <f>IF(AND(FORSIDE!$B$8&gt;=9,FORSIDE!$F$8&gt;=2,FORSIDE!$B$5&gt;=3),"334 -&gt; 565","")</f>
        <v/>
      </c>
      <c r="C4814" t="str">
        <f>FORSIDE!$C$3</f>
        <v>S355, Stål / VFHUP 140x140x8.0</v>
      </c>
    </row>
    <row r="4815" spans="1:3" x14ac:dyDescent="0.3">
      <c r="A4815" t="str">
        <f>IF(AND(FORSIDE!$B$8&gt;=9,FORSIDE!$F$8&gt;=2,FORSIDE!$B$5&gt;=4),"S4814","")</f>
        <v/>
      </c>
      <c r="B4815" t="str">
        <f>IF(AND(FORSIDE!$B$8&gt;=9,FORSIDE!$F$8&gt;=2,FORSIDE!$B$5&gt;=4),"335 -&gt; 566","")</f>
        <v/>
      </c>
      <c r="C4815" t="str">
        <f>FORSIDE!$C$3</f>
        <v>S355, Stål / VFHUP 140x140x8.0</v>
      </c>
    </row>
    <row r="4816" spans="1:3" x14ac:dyDescent="0.3">
      <c r="A4816" t="str">
        <f>IF(AND(FORSIDE!$B$8&gt;=9,FORSIDE!$F$8&gt;=2,FORSIDE!$B$5&gt;=5),"S4815","")</f>
        <v/>
      </c>
      <c r="B4816" t="str">
        <f>IF(AND(FORSIDE!$B$8&gt;=9,FORSIDE!$F$8&gt;=2,FORSIDE!$B$5&gt;=5),"336 -&gt; 567","")</f>
        <v/>
      </c>
      <c r="C4816" t="str">
        <f>FORSIDE!$C$3</f>
        <v>S355, Stål / VFHUP 140x140x8.0</v>
      </c>
    </row>
    <row r="4817" spans="1:3" x14ac:dyDescent="0.3">
      <c r="A4817" t="str">
        <f>IF(AND(FORSIDE!$B$8&gt;=9,FORSIDE!$F$8&gt;=2,FORSIDE!$B$5&gt;=6),"S4816","")</f>
        <v/>
      </c>
      <c r="B4817" t="str">
        <f>IF(AND(FORSIDE!$B$8&gt;=9,FORSIDE!$F$8&gt;=2,FORSIDE!$B$5&gt;=6),"337 -&gt; 568","")</f>
        <v/>
      </c>
      <c r="C4817" t="str">
        <f>FORSIDE!$C$3</f>
        <v>S355, Stål / VFHUP 140x140x8.0</v>
      </c>
    </row>
    <row r="4818" spans="1:3" x14ac:dyDescent="0.3">
      <c r="A4818" t="str">
        <f>IF(AND(FORSIDE!$B$8&gt;=9,FORSIDE!$F$8&gt;=2,FORSIDE!$B$5&gt;=7),"S4817","")</f>
        <v/>
      </c>
      <c r="B4818" t="str">
        <f>IF(AND(FORSIDE!$B$8&gt;=9,FORSIDE!$F$8&gt;=2,FORSIDE!$B$5&gt;=7),"338 -&gt; 569","")</f>
        <v/>
      </c>
      <c r="C4818" t="str">
        <f>FORSIDE!$C$3</f>
        <v>S355, Stål / VFHUP 140x140x8.0</v>
      </c>
    </row>
    <row r="4819" spans="1:3" x14ac:dyDescent="0.3">
      <c r="A4819" t="str">
        <f>IF(AND(FORSIDE!$B$8&gt;=9,FORSIDE!$F$8&gt;=2,FORSIDE!$B$5&gt;=8),"S4818","")</f>
        <v/>
      </c>
      <c r="B4819" t="str">
        <f>IF(AND(FORSIDE!$B$8&gt;=9,FORSIDE!$F$8&gt;=2,FORSIDE!$B$5&gt;=8),"339 -&gt; 570","")</f>
        <v/>
      </c>
      <c r="C4819" t="str">
        <f>FORSIDE!$C$3</f>
        <v>S355, Stål / VFHUP 140x140x8.0</v>
      </c>
    </row>
    <row r="4820" spans="1:3" x14ac:dyDescent="0.3">
      <c r="A4820" t="str">
        <f>IF(AND(FORSIDE!$B$8&gt;=9,FORSIDE!$F$8&gt;=2,FORSIDE!$B$5&gt;=9),"S4819","")</f>
        <v/>
      </c>
      <c r="B4820" t="str">
        <f>IF(AND(FORSIDE!$B$8&gt;=9,FORSIDE!$F$8&gt;=2,FORSIDE!$B$5&gt;=9),"340 -&gt; 571","")</f>
        <v/>
      </c>
      <c r="C4820" t="str">
        <f>FORSIDE!$C$3</f>
        <v>S355, Stål / VFHUP 140x140x8.0</v>
      </c>
    </row>
    <row r="4821" spans="1:3" x14ac:dyDescent="0.3">
      <c r="A4821" t="str">
        <f>IF(AND(FORSIDE!$B$8&gt;=9,FORSIDE!$F$8&gt;=2,FORSIDE!$B$5&gt;=10),"S4820","")</f>
        <v/>
      </c>
      <c r="B4821" t="str">
        <f>IF(AND(FORSIDE!$B$8&gt;=9,FORSIDE!$F$8&gt;=2,FORSIDE!$B$5&gt;=10),"341 -&gt; 572","")</f>
        <v/>
      </c>
      <c r="C4821" t="str">
        <f>FORSIDE!$C$3</f>
        <v>S355, Stål / VFHUP 140x140x8.0</v>
      </c>
    </row>
    <row r="4822" spans="1:3" x14ac:dyDescent="0.3">
      <c r="A4822" t="str">
        <f>IF(AND(FORSIDE!$B$8&gt;=10,FORSIDE!$F$8&gt;=2,FORSIDE!$B$5&gt;=1),"S4821","")</f>
        <v/>
      </c>
      <c r="B4822" t="str">
        <f>IF(AND(FORSIDE!$B$8&gt;=10,FORSIDE!$F$8&gt;=2,FORSIDE!$B$5&gt;=1),"343 -&gt; 574","")</f>
        <v/>
      </c>
      <c r="C4822" t="str">
        <f>FORSIDE!$C$3</f>
        <v>S355, Stål / VFHUP 140x140x8.0</v>
      </c>
    </row>
    <row r="4823" spans="1:3" x14ac:dyDescent="0.3">
      <c r="A4823" t="str">
        <f>IF(AND(FORSIDE!$B$8&gt;=10,FORSIDE!$F$8&gt;=2,FORSIDE!$B$5&gt;=2),"S4822","")</f>
        <v/>
      </c>
      <c r="B4823" t="str">
        <f>IF(AND(FORSIDE!$B$8&gt;=10,FORSIDE!$F$8&gt;=2,FORSIDE!$B$5&gt;=2),"344 -&gt; 575","")</f>
        <v/>
      </c>
      <c r="C4823" t="str">
        <f>FORSIDE!$C$3</f>
        <v>S355, Stål / VFHUP 140x140x8.0</v>
      </c>
    </row>
    <row r="4824" spans="1:3" x14ac:dyDescent="0.3">
      <c r="A4824" t="str">
        <f>IF(AND(FORSIDE!$B$8&gt;=10,FORSIDE!$F$8&gt;=2,FORSIDE!$B$5&gt;=3),"S4823","")</f>
        <v/>
      </c>
      <c r="B4824" t="str">
        <f>IF(AND(FORSIDE!$B$8&gt;=10,FORSIDE!$F$8&gt;=2,FORSIDE!$B$5&gt;=3),"345 -&gt; 576","")</f>
        <v/>
      </c>
      <c r="C4824" t="str">
        <f>FORSIDE!$C$3</f>
        <v>S355, Stål / VFHUP 140x140x8.0</v>
      </c>
    </row>
    <row r="4825" spans="1:3" x14ac:dyDescent="0.3">
      <c r="A4825" t="str">
        <f>IF(AND(FORSIDE!$B$8&gt;=10,FORSIDE!$F$8&gt;=2,FORSIDE!$B$5&gt;=4),"S4824","")</f>
        <v/>
      </c>
      <c r="B4825" t="str">
        <f>IF(AND(FORSIDE!$B$8&gt;=10,FORSIDE!$F$8&gt;=2,FORSIDE!$B$5&gt;=4),"346 -&gt; 577","")</f>
        <v/>
      </c>
      <c r="C4825" t="str">
        <f>FORSIDE!$C$3</f>
        <v>S355, Stål / VFHUP 140x140x8.0</v>
      </c>
    </row>
    <row r="4826" spans="1:3" x14ac:dyDescent="0.3">
      <c r="A4826" t="str">
        <f>IF(AND(FORSIDE!$B$8&gt;=10,FORSIDE!$F$8&gt;=2,FORSIDE!$B$5&gt;=5),"S4825","")</f>
        <v/>
      </c>
      <c r="B4826" t="str">
        <f>IF(AND(FORSIDE!$B$8&gt;=10,FORSIDE!$F$8&gt;=2,FORSIDE!$B$5&gt;=5),"347 -&gt; 578","")</f>
        <v/>
      </c>
      <c r="C4826" t="str">
        <f>FORSIDE!$C$3</f>
        <v>S355, Stål / VFHUP 140x140x8.0</v>
      </c>
    </row>
    <row r="4827" spans="1:3" x14ac:dyDescent="0.3">
      <c r="A4827" t="str">
        <f>IF(AND(FORSIDE!$B$8&gt;=10,FORSIDE!$F$8&gt;=2,FORSIDE!$B$5&gt;=6),"S4826","")</f>
        <v/>
      </c>
      <c r="B4827" t="str">
        <f>IF(AND(FORSIDE!$B$8&gt;=10,FORSIDE!$F$8&gt;=2,FORSIDE!$B$5&gt;=6),"348 -&gt; 579","")</f>
        <v/>
      </c>
      <c r="C4827" t="str">
        <f>FORSIDE!$C$3</f>
        <v>S355, Stål / VFHUP 140x140x8.0</v>
      </c>
    </row>
    <row r="4828" spans="1:3" x14ac:dyDescent="0.3">
      <c r="A4828" t="str">
        <f>IF(AND(FORSIDE!$B$8&gt;=10,FORSIDE!$F$8&gt;=2,FORSIDE!$B$5&gt;=7),"S4827","")</f>
        <v/>
      </c>
      <c r="B4828" t="str">
        <f>IF(AND(FORSIDE!$B$8&gt;=10,FORSIDE!$F$8&gt;=2,FORSIDE!$B$5&gt;=7),"349 -&gt; 580","")</f>
        <v/>
      </c>
      <c r="C4828" t="str">
        <f>FORSIDE!$C$3</f>
        <v>S355, Stål / VFHUP 140x140x8.0</v>
      </c>
    </row>
    <row r="4829" spans="1:3" x14ac:dyDescent="0.3">
      <c r="A4829" t="str">
        <f>IF(AND(FORSIDE!$B$8&gt;=10,FORSIDE!$F$8&gt;=2,FORSIDE!$B$5&gt;=8),"S4828","")</f>
        <v/>
      </c>
      <c r="B4829" t="str">
        <f>IF(AND(FORSIDE!$B$8&gt;=10,FORSIDE!$F$8&gt;=2,FORSIDE!$B$5&gt;=8),"350 -&gt; 581","")</f>
        <v/>
      </c>
      <c r="C4829" t="str">
        <f>FORSIDE!$C$3</f>
        <v>S355, Stål / VFHUP 140x140x8.0</v>
      </c>
    </row>
    <row r="4830" spans="1:3" x14ac:dyDescent="0.3">
      <c r="A4830" t="str">
        <f>IF(AND(FORSIDE!$B$8&gt;=10,FORSIDE!$F$8&gt;=2,FORSIDE!$B$5&gt;=9),"S4829","")</f>
        <v/>
      </c>
      <c r="B4830" t="str">
        <f>IF(AND(FORSIDE!$B$8&gt;=10,FORSIDE!$F$8&gt;=2,FORSIDE!$B$5&gt;=9),"351 -&gt; 582","")</f>
        <v/>
      </c>
      <c r="C4830" t="str">
        <f>FORSIDE!$C$3</f>
        <v>S355, Stål / VFHUP 140x140x8.0</v>
      </c>
    </row>
    <row r="4831" spans="1:3" x14ac:dyDescent="0.3">
      <c r="A4831" t="str">
        <f>IF(AND(FORSIDE!$B$8&gt;=10,FORSIDE!$F$8&gt;=2,FORSIDE!$B$5&gt;=10),"S4830","")</f>
        <v/>
      </c>
      <c r="B4831" t="str">
        <f>IF(AND(FORSIDE!$B$8&gt;=10,FORSIDE!$F$8&gt;=2,FORSIDE!$B$5&gt;=10),"352 -&gt; 583","")</f>
        <v/>
      </c>
      <c r="C4831" t="str">
        <f>FORSIDE!$C$3</f>
        <v>S355, Stål / VFHUP 140x140x8.0</v>
      </c>
    </row>
    <row r="4832" spans="1:3" x14ac:dyDescent="0.3">
      <c r="A4832" t="str">
        <f>IF(AND(FORSIDE!$B$8&gt;=11,FORSIDE!$F$8&gt;=2,FORSIDE!$B$5&gt;=1),"S4831","")</f>
        <v/>
      </c>
      <c r="B4832" t="str">
        <f>IF(AND(FORSIDE!$B$8&gt;=11,FORSIDE!$F$8&gt;=2,FORSIDE!$B$5&gt;=1),"354 -&gt; 585","")</f>
        <v/>
      </c>
      <c r="C4832" t="str">
        <f>FORSIDE!$C$3</f>
        <v>S355, Stål / VFHUP 140x140x8.0</v>
      </c>
    </row>
    <row r="4833" spans="1:3" x14ac:dyDescent="0.3">
      <c r="A4833" t="str">
        <f>IF(AND(FORSIDE!$B$8&gt;=11,FORSIDE!$F$8&gt;=2,FORSIDE!$B$5&gt;=2),"S4832","")</f>
        <v/>
      </c>
      <c r="B4833" t="str">
        <f>IF(AND(FORSIDE!$B$8&gt;=11,FORSIDE!$F$8&gt;=2,FORSIDE!$B$5&gt;=2),"355 -&gt; 586","")</f>
        <v/>
      </c>
      <c r="C4833" t="str">
        <f>FORSIDE!$C$3</f>
        <v>S355, Stål / VFHUP 140x140x8.0</v>
      </c>
    </row>
    <row r="4834" spans="1:3" x14ac:dyDescent="0.3">
      <c r="A4834" t="str">
        <f>IF(AND(FORSIDE!$B$8&gt;=11,FORSIDE!$F$8&gt;=2,FORSIDE!$B$5&gt;=3),"S4833","")</f>
        <v/>
      </c>
      <c r="B4834" t="str">
        <f>IF(AND(FORSIDE!$B$8&gt;=11,FORSIDE!$F$8&gt;=2,FORSIDE!$B$5&gt;=3),"356 -&gt; 587","")</f>
        <v/>
      </c>
      <c r="C4834" t="str">
        <f>FORSIDE!$C$3</f>
        <v>S355, Stål / VFHUP 140x140x8.0</v>
      </c>
    </row>
    <row r="4835" spans="1:3" x14ac:dyDescent="0.3">
      <c r="A4835" t="str">
        <f>IF(AND(FORSIDE!$B$8&gt;=11,FORSIDE!$F$8&gt;=2,FORSIDE!$B$5&gt;=4),"S4834","")</f>
        <v/>
      </c>
      <c r="B4835" t="str">
        <f>IF(AND(FORSIDE!$B$8&gt;=11,FORSIDE!$F$8&gt;=2,FORSIDE!$B$5&gt;=4),"357 -&gt; 588","")</f>
        <v/>
      </c>
      <c r="C4835" t="str">
        <f>FORSIDE!$C$3</f>
        <v>S355, Stål / VFHUP 140x140x8.0</v>
      </c>
    </row>
    <row r="4836" spans="1:3" x14ac:dyDescent="0.3">
      <c r="A4836" t="str">
        <f>IF(AND(FORSIDE!$B$8&gt;=11,FORSIDE!$F$8&gt;=2,FORSIDE!$B$5&gt;=5),"S4835","")</f>
        <v/>
      </c>
      <c r="B4836" t="str">
        <f>IF(AND(FORSIDE!$B$8&gt;=11,FORSIDE!$F$8&gt;=2,FORSIDE!$B$5&gt;=5),"358 -&gt; 589","")</f>
        <v/>
      </c>
      <c r="C4836" t="str">
        <f>FORSIDE!$C$3</f>
        <v>S355, Stål / VFHUP 140x140x8.0</v>
      </c>
    </row>
    <row r="4837" spans="1:3" x14ac:dyDescent="0.3">
      <c r="A4837" t="str">
        <f>IF(AND(FORSIDE!$B$8&gt;=11,FORSIDE!$F$8&gt;=2,FORSIDE!$B$5&gt;=6),"S4836","")</f>
        <v/>
      </c>
      <c r="B4837" t="str">
        <f>IF(AND(FORSIDE!$B$8&gt;=11,FORSIDE!$F$8&gt;=2,FORSIDE!$B$5&gt;=6),"359 -&gt; 590","")</f>
        <v/>
      </c>
      <c r="C4837" t="str">
        <f>FORSIDE!$C$3</f>
        <v>S355, Stål / VFHUP 140x140x8.0</v>
      </c>
    </row>
    <row r="4838" spans="1:3" x14ac:dyDescent="0.3">
      <c r="A4838" t="str">
        <f>IF(AND(FORSIDE!$B$8&gt;=11,FORSIDE!$F$8&gt;=2,FORSIDE!$B$5&gt;=7),"S4837","")</f>
        <v/>
      </c>
      <c r="B4838" t="str">
        <f>IF(AND(FORSIDE!$B$8&gt;=11,FORSIDE!$F$8&gt;=2,FORSIDE!$B$5&gt;=7),"360 -&gt; 591","")</f>
        <v/>
      </c>
      <c r="C4838" t="str">
        <f>FORSIDE!$C$3</f>
        <v>S355, Stål / VFHUP 140x140x8.0</v>
      </c>
    </row>
    <row r="4839" spans="1:3" x14ac:dyDescent="0.3">
      <c r="A4839" t="str">
        <f>IF(AND(FORSIDE!$B$8&gt;=11,FORSIDE!$F$8&gt;=2,FORSIDE!$B$5&gt;=8),"S4838","")</f>
        <v/>
      </c>
      <c r="B4839" t="str">
        <f>IF(AND(FORSIDE!$B$8&gt;=11,FORSIDE!$F$8&gt;=2,FORSIDE!$B$5&gt;=8),"361 -&gt; 592","")</f>
        <v/>
      </c>
      <c r="C4839" t="str">
        <f>FORSIDE!$C$3</f>
        <v>S355, Stål / VFHUP 140x140x8.0</v>
      </c>
    </row>
    <row r="4840" spans="1:3" x14ac:dyDescent="0.3">
      <c r="A4840" t="str">
        <f>IF(AND(FORSIDE!$B$8&gt;=11,FORSIDE!$F$8&gt;=2,FORSIDE!$B$5&gt;=9),"S4839","")</f>
        <v/>
      </c>
      <c r="B4840" t="str">
        <f>IF(AND(FORSIDE!$B$8&gt;=11,FORSIDE!$F$8&gt;=2,FORSIDE!$B$5&gt;=9),"362 -&gt; 593","")</f>
        <v/>
      </c>
      <c r="C4840" t="str">
        <f>FORSIDE!$C$3</f>
        <v>S355, Stål / VFHUP 140x140x8.0</v>
      </c>
    </row>
    <row r="4841" spans="1:3" x14ac:dyDescent="0.3">
      <c r="A4841" t="str">
        <f>IF(AND(FORSIDE!$B$8&gt;=11,FORSIDE!$F$8&gt;=2,FORSIDE!$B$5&gt;=10),"S4840","")</f>
        <v/>
      </c>
      <c r="B4841" t="str">
        <f>IF(AND(FORSIDE!$B$8&gt;=11,FORSIDE!$F$8&gt;=2,FORSIDE!$B$5&gt;=10),"363 -&gt; 594","")</f>
        <v/>
      </c>
      <c r="C4841" t="str">
        <f>FORSIDE!$C$3</f>
        <v>S355, Stål / VFHUP 140x140x8.0</v>
      </c>
    </row>
    <row r="4842" spans="1:3" x14ac:dyDescent="0.3">
      <c r="A4842" t="str">
        <f>IF(AND(FORSIDE!$B$8&gt;=12,FORSIDE!$F$8&gt;=2,FORSIDE!$B$5&gt;=1),"S4841","")</f>
        <v/>
      </c>
      <c r="B4842" t="str">
        <f>IF(AND(FORSIDE!$B$8&gt;=12,FORSIDE!$F$8&gt;=2,FORSIDE!$B$5&gt;=1),"365 -&gt; 596","")</f>
        <v/>
      </c>
      <c r="C4842" t="str">
        <f>FORSIDE!$C$3</f>
        <v>S355, Stål / VFHUP 140x140x8.0</v>
      </c>
    </row>
    <row r="4843" spans="1:3" x14ac:dyDescent="0.3">
      <c r="A4843" t="str">
        <f>IF(AND(FORSIDE!$B$8&gt;=12,FORSIDE!$F$8&gt;=2,FORSIDE!$B$5&gt;=2),"S4842","")</f>
        <v/>
      </c>
      <c r="B4843" t="str">
        <f>IF(AND(FORSIDE!$B$8&gt;=12,FORSIDE!$F$8&gt;=2,FORSIDE!$B$5&gt;=2),"366 -&gt; 597","")</f>
        <v/>
      </c>
      <c r="C4843" t="str">
        <f>FORSIDE!$C$3</f>
        <v>S355, Stål / VFHUP 140x140x8.0</v>
      </c>
    </row>
    <row r="4844" spans="1:3" x14ac:dyDescent="0.3">
      <c r="A4844" t="str">
        <f>IF(AND(FORSIDE!$B$8&gt;=12,FORSIDE!$F$8&gt;=2,FORSIDE!$B$5&gt;=3),"S4843","")</f>
        <v/>
      </c>
      <c r="B4844" t="str">
        <f>IF(AND(FORSIDE!$B$8&gt;=12,FORSIDE!$F$8&gt;=2,FORSIDE!$B$5&gt;=3),"367 -&gt; 598","")</f>
        <v/>
      </c>
      <c r="C4844" t="str">
        <f>FORSIDE!$C$3</f>
        <v>S355, Stål / VFHUP 140x140x8.0</v>
      </c>
    </row>
    <row r="4845" spans="1:3" x14ac:dyDescent="0.3">
      <c r="A4845" t="str">
        <f>IF(AND(FORSIDE!$B$8&gt;=12,FORSIDE!$F$8&gt;=2,FORSIDE!$B$5&gt;=4),"S4844","")</f>
        <v/>
      </c>
      <c r="B4845" t="str">
        <f>IF(AND(FORSIDE!$B$8&gt;=12,FORSIDE!$F$8&gt;=2,FORSIDE!$B$5&gt;=4),"368 -&gt; 599","")</f>
        <v/>
      </c>
      <c r="C4845" t="str">
        <f>FORSIDE!$C$3</f>
        <v>S355, Stål / VFHUP 140x140x8.0</v>
      </c>
    </row>
    <row r="4846" spans="1:3" x14ac:dyDescent="0.3">
      <c r="A4846" t="str">
        <f>IF(AND(FORSIDE!$B$8&gt;=12,FORSIDE!$F$8&gt;=2,FORSIDE!$B$5&gt;=5),"S4845","")</f>
        <v/>
      </c>
      <c r="B4846" t="str">
        <f>IF(AND(FORSIDE!$B$8&gt;=12,FORSIDE!$F$8&gt;=2,FORSIDE!$B$5&gt;=5),"369 -&gt; 600","")</f>
        <v/>
      </c>
      <c r="C4846" t="str">
        <f>FORSIDE!$C$3</f>
        <v>S355, Stål / VFHUP 140x140x8.0</v>
      </c>
    </row>
    <row r="4847" spans="1:3" x14ac:dyDescent="0.3">
      <c r="A4847" t="str">
        <f>IF(AND(FORSIDE!$B$8&gt;=12,FORSIDE!$F$8&gt;=2,FORSIDE!$B$5&gt;=6),"S4846","")</f>
        <v/>
      </c>
      <c r="B4847" t="str">
        <f>IF(AND(FORSIDE!$B$8&gt;=12,FORSIDE!$F$8&gt;=2,FORSIDE!$B$5&gt;=6),"370 -&gt; 601","")</f>
        <v/>
      </c>
      <c r="C4847" t="str">
        <f>FORSIDE!$C$3</f>
        <v>S355, Stål / VFHUP 140x140x8.0</v>
      </c>
    </row>
    <row r="4848" spans="1:3" x14ac:dyDescent="0.3">
      <c r="A4848" t="str">
        <f>IF(AND(FORSIDE!$B$8&gt;=12,FORSIDE!$F$8&gt;=2,FORSIDE!$B$5&gt;=7),"S4847","")</f>
        <v/>
      </c>
      <c r="B4848" t="str">
        <f>IF(AND(FORSIDE!$B$8&gt;=12,FORSIDE!$F$8&gt;=2,FORSIDE!$B$5&gt;=7),"371 -&gt; 602","")</f>
        <v/>
      </c>
      <c r="C4848" t="str">
        <f>FORSIDE!$C$3</f>
        <v>S355, Stål / VFHUP 140x140x8.0</v>
      </c>
    </row>
    <row r="4849" spans="1:3" x14ac:dyDescent="0.3">
      <c r="A4849" t="str">
        <f>IF(AND(FORSIDE!$B$8&gt;=12,FORSIDE!$F$8&gt;=2,FORSIDE!$B$5&gt;=8),"S4848","")</f>
        <v/>
      </c>
      <c r="B4849" t="str">
        <f>IF(AND(FORSIDE!$B$8&gt;=12,FORSIDE!$F$8&gt;=2,FORSIDE!$B$5&gt;=8),"372 -&gt; 603","")</f>
        <v/>
      </c>
      <c r="C4849" t="str">
        <f>FORSIDE!$C$3</f>
        <v>S355, Stål / VFHUP 140x140x8.0</v>
      </c>
    </row>
    <row r="4850" spans="1:3" x14ac:dyDescent="0.3">
      <c r="A4850" t="str">
        <f>IF(AND(FORSIDE!$B$8&gt;=12,FORSIDE!$F$8&gt;=2,FORSIDE!$B$5&gt;=9),"S4849","")</f>
        <v/>
      </c>
      <c r="B4850" t="str">
        <f>IF(AND(FORSIDE!$B$8&gt;=12,FORSIDE!$F$8&gt;=2,FORSIDE!$B$5&gt;=9),"373 -&gt; 604","")</f>
        <v/>
      </c>
      <c r="C4850" t="str">
        <f>FORSIDE!$C$3</f>
        <v>S355, Stål / VFHUP 140x140x8.0</v>
      </c>
    </row>
    <row r="4851" spans="1:3" x14ac:dyDescent="0.3">
      <c r="A4851" t="str">
        <f>IF(AND(FORSIDE!$B$8&gt;=12,FORSIDE!$F$8&gt;=2,FORSIDE!$B$5&gt;=10),"S4850","")</f>
        <v/>
      </c>
      <c r="B4851" t="str">
        <f>IF(AND(FORSIDE!$B$8&gt;=12,FORSIDE!$F$8&gt;=2,FORSIDE!$B$5&gt;=10),"374 -&gt; 605","")</f>
        <v/>
      </c>
      <c r="C4851" t="str">
        <f>FORSIDE!$C$3</f>
        <v>S355, Stål / VFHUP 140x140x8.0</v>
      </c>
    </row>
    <row r="4852" spans="1:3" x14ac:dyDescent="0.3">
      <c r="A4852" t="str">
        <f>IF(AND(FORSIDE!$B$8&gt;=13,FORSIDE!$F$8&gt;=2,FORSIDE!$B$5&gt;=1),"S4851","")</f>
        <v/>
      </c>
      <c r="B4852" t="str">
        <f>IF(AND(FORSIDE!$B$8&gt;=13,FORSIDE!$F$8&gt;=2,FORSIDE!$B$5&gt;=1),"376 -&gt; 607","")</f>
        <v/>
      </c>
      <c r="C4852" t="str">
        <f>FORSIDE!$C$3</f>
        <v>S355, Stål / VFHUP 140x140x8.0</v>
      </c>
    </row>
    <row r="4853" spans="1:3" x14ac:dyDescent="0.3">
      <c r="A4853" t="str">
        <f>IF(AND(FORSIDE!$B$8&gt;=13,FORSIDE!$F$8&gt;=2,FORSIDE!$B$5&gt;=2),"S4852","")</f>
        <v/>
      </c>
      <c r="B4853" t="str">
        <f>IF(AND(FORSIDE!$B$8&gt;=13,FORSIDE!$F$8&gt;=2,FORSIDE!$B$5&gt;=2),"377 -&gt; 608","")</f>
        <v/>
      </c>
      <c r="C4853" t="str">
        <f>FORSIDE!$C$3</f>
        <v>S355, Stål / VFHUP 140x140x8.0</v>
      </c>
    </row>
    <row r="4854" spans="1:3" x14ac:dyDescent="0.3">
      <c r="A4854" t="str">
        <f>IF(AND(FORSIDE!$B$8&gt;=13,FORSIDE!$F$8&gt;=2,FORSIDE!$B$5&gt;=3),"S4853","")</f>
        <v/>
      </c>
      <c r="B4854" t="str">
        <f>IF(AND(FORSIDE!$B$8&gt;=13,FORSIDE!$F$8&gt;=2,FORSIDE!$B$5&gt;=3),"378 -&gt; 609","")</f>
        <v/>
      </c>
      <c r="C4854" t="str">
        <f>FORSIDE!$C$3</f>
        <v>S355, Stål / VFHUP 140x140x8.0</v>
      </c>
    </row>
    <row r="4855" spans="1:3" x14ac:dyDescent="0.3">
      <c r="A4855" t="str">
        <f>IF(AND(FORSIDE!$B$8&gt;=13,FORSIDE!$F$8&gt;=2,FORSIDE!$B$5&gt;=4),"S4854","")</f>
        <v/>
      </c>
      <c r="B4855" t="str">
        <f>IF(AND(FORSIDE!$B$8&gt;=13,FORSIDE!$F$8&gt;=2,FORSIDE!$B$5&gt;=4),"379 -&gt; 610","")</f>
        <v/>
      </c>
      <c r="C4855" t="str">
        <f>FORSIDE!$C$3</f>
        <v>S355, Stål / VFHUP 140x140x8.0</v>
      </c>
    </row>
    <row r="4856" spans="1:3" x14ac:dyDescent="0.3">
      <c r="A4856" t="str">
        <f>IF(AND(FORSIDE!$B$8&gt;=13,FORSIDE!$F$8&gt;=2,FORSIDE!$B$5&gt;=5),"S4855","")</f>
        <v/>
      </c>
      <c r="B4856" t="str">
        <f>IF(AND(FORSIDE!$B$8&gt;=13,FORSIDE!$F$8&gt;=2,FORSIDE!$B$5&gt;=5),"380 -&gt; 611","")</f>
        <v/>
      </c>
      <c r="C4856" t="str">
        <f>FORSIDE!$C$3</f>
        <v>S355, Stål / VFHUP 140x140x8.0</v>
      </c>
    </row>
    <row r="4857" spans="1:3" x14ac:dyDescent="0.3">
      <c r="A4857" t="str">
        <f>IF(AND(FORSIDE!$B$8&gt;=13,FORSIDE!$F$8&gt;=2,FORSIDE!$B$5&gt;=6),"S4856","")</f>
        <v/>
      </c>
      <c r="B4857" t="str">
        <f>IF(AND(FORSIDE!$B$8&gt;=13,FORSIDE!$F$8&gt;=2,FORSIDE!$B$5&gt;=6),"381 -&gt; 612","")</f>
        <v/>
      </c>
      <c r="C4857" t="str">
        <f>FORSIDE!$C$3</f>
        <v>S355, Stål / VFHUP 140x140x8.0</v>
      </c>
    </row>
    <row r="4858" spans="1:3" x14ac:dyDescent="0.3">
      <c r="A4858" t="str">
        <f>IF(AND(FORSIDE!$B$8&gt;=13,FORSIDE!$F$8&gt;=2,FORSIDE!$B$5&gt;=7),"S4857","")</f>
        <v/>
      </c>
      <c r="B4858" t="str">
        <f>IF(AND(FORSIDE!$B$8&gt;=13,FORSIDE!$F$8&gt;=2,FORSIDE!$B$5&gt;=7),"382 -&gt; 613","")</f>
        <v/>
      </c>
      <c r="C4858" t="str">
        <f>FORSIDE!$C$3</f>
        <v>S355, Stål / VFHUP 140x140x8.0</v>
      </c>
    </row>
    <row r="4859" spans="1:3" x14ac:dyDescent="0.3">
      <c r="A4859" t="str">
        <f>IF(AND(FORSIDE!$B$8&gt;=13,FORSIDE!$F$8&gt;=2,FORSIDE!$B$5&gt;=8),"S4858","")</f>
        <v/>
      </c>
      <c r="B4859" t="str">
        <f>IF(AND(FORSIDE!$B$8&gt;=13,FORSIDE!$F$8&gt;=2,FORSIDE!$B$5&gt;=8),"383 -&gt; 614","")</f>
        <v/>
      </c>
      <c r="C4859" t="str">
        <f>FORSIDE!$C$3</f>
        <v>S355, Stål / VFHUP 140x140x8.0</v>
      </c>
    </row>
    <row r="4860" spans="1:3" x14ac:dyDescent="0.3">
      <c r="A4860" t="str">
        <f>IF(AND(FORSIDE!$B$8&gt;=13,FORSIDE!$F$8&gt;=2,FORSIDE!$B$5&gt;=9),"S4859","")</f>
        <v/>
      </c>
      <c r="B4860" t="str">
        <f>IF(AND(FORSIDE!$B$8&gt;=13,FORSIDE!$F$8&gt;=2,FORSIDE!$B$5&gt;=9),"384 -&gt; 615","")</f>
        <v/>
      </c>
      <c r="C4860" t="str">
        <f>FORSIDE!$C$3</f>
        <v>S355, Stål / VFHUP 140x140x8.0</v>
      </c>
    </row>
    <row r="4861" spans="1:3" x14ac:dyDescent="0.3">
      <c r="A4861" t="str">
        <f>IF(AND(FORSIDE!$B$8&gt;=13,FORSIDE!$F$8&gt;=2,FORSIDE!$B$5&gt;=10),"S4860","")</f>
        <v/>
      </c>
      <c r="B4861" t="str">
        <f>IF(AND(FORSIDE!$B$8&gt;=13,FORSIDE!$F$8&gt;=2,FORSIDE!$B$5&gt;=10),"385 -&gt; 616","")</f>
        <v/>
      </c>
      <c r="C4861" t="str">
        <f>FORSIDE!$C$3</f>
        <v>S355, Stål / VFHUP 140x140x8.0</v>
      </c>
    </row>
    <row r="4862" spans="1:3" x14ac:dyDescent="0.3">
      <c r="A4862" t="str">
        <f>IF(AND(FORSIDE!$B$8&gt;=14,FORSIDE!$F$8&gt;=2,FORSIDE!$B$5&gt;=1),"S4861","")</f>
        <v/>
      </c>
      <c r="B4862" t="str">
        <f>IF(AND(FORSIDE!$B$8&gt;=14,FORSIDE!$F$8&gt;=2,FORSIDE!$B$5&gt;=1),"387 -&gt; 618","")</f>
        <v/>
      </c>
      <c r="C4862" t="str">
        <f>FORSIDE!$C$3</f>
        <v>S355, Stål / VFHUP 140x140x8.0</v>
      </c>
    </row>
    <row r="4863" spans="1:3" x14ac:dyDescent="0.3">
      <c r="A4863" t="str">
        <f>IF(AND(FORSIDE!$B$8&gt;=14,FORSIDE!$F$8&gt;=2,FORSIDE!$B$5&gt;=2),"S4862","")</f>
        <v/>
      </c>
      <c r="B4863" t="str">
        <f>IF(AND(FORSIDE!$B$8&gt;=14,FORSIDE!$F$8&gt;=2,FORSIDE!$B$5&gt;=2),"388 -&gt; 619","")</f>
        <v/>
      </c>
      <c r="C4863" t="str">
        <f>FORSIDE!$C$3</f>
        <v>S355, Stål / VFHUP 140x140x8.0</v>
      </c>
    </row>
    <row r="4864" spans="1:3" x14ac:dyDescent="0.3">
      <c r="A4864" t="str">
        <f>IF(AND(FORSIDE!$B$8&gt;=14,FORSIDE!$F$8&gt;=2,FORSIDE!$B$5&gt;=3),"S4863","")</f>
        <v/>
      </c>
      <c r="B4864" t="str">
        <f>IF(AND(FORSIDE!$B$8&gt;=14,FORSIDE!$F$8&gt;=2,FORSIDE!$B$5&gt;=3),"389 -&gt; 620","")</f>
        <v/>
      </c>
      <c r="C4864" t="str">
        <f>FORSIDE!$C$3</f>
        <v>S355, Stål / VFHUP 140x140x8.0</v>
      </c>
    </row>
    <row r="4865" spans="1:3" x14ac:dyDescent="0.3">
      <c r="A4865" t="str">
        <f>IF(AND(FORSIDE!$B$8&gt;=14,FORSIDE!$F$8&gt;=2,FORSIDE!$B$5&gt;=4),"S4864","")</f>
        <v/>
      </c>
      <c r="B4865" t="str">
        <f>IF(AND(FORSIDE!$B$8&gt;=14,FORSIDE!$F$8&gt;=2,FORSIDE!$B$5&gt;=4),"390 -&gt; 621","")</f>
        <v/>
      </c>
      <c r="C4865" t="str">
        <f>FORSIDE!$C$3</f>
        <v>S355, Stål / VFHUP 140x140x8.0</v>
      </c>
    </row>
    <row r="4866" spans="1:3" x14ac:dyDescent="0.3">
      <c r="A4866" t="str">
        <f>IF(AND(FORSIDE!$B$8&gt;=14,FORSIDE!$F$8&gt;=2,FORSIDE!$B$5&gt;=5),"S4865","")</f>
        <v/>
      </c>
      <c r="B4866" t="str">
        <f>IF(AND(FORSIDE!$B$8&gt;=14,FORSIDE!$F$8&gt;=2,FORSIDE!$B$5&gt;=5),"391 -&gt; 622","")</f>
        <v/>
      </c>
      <c r="C4866" t="str">
        <f>FORSIDE!$C$3</f>
        <v>S355, Stål / VFHUP 140x140x8.0</v>
      </c>
    </row>
    <row r="4867" spans="1:3" x14ac:dyDescent="0.3">
      <c r="A4867" t="str">
        <f>IF(AND(FORSIDE!$B$8&gt;=14,FORSIDE!$F$8&gt;=2,FORSIDE!$B$5&gt;=6),"S4866","")</f>
        <v/>
      </c>
      <c r="B4867" t="str">
        <f>IF(AND(FORSIDE!$B$8&gt;=14,FORSIDE!$F$8&gt;=2,FORSIDE!$B$5&gt;=6),"392 -&gt; 623","")</f>
        <v/>
      </c>
      <c r="C4867" t="str">
        <f>FORSIDE!$C$3</f>
        <v>S355, Stål / VFHUP 140x140x8.0</v>
      </c>
    </row>
    <row r="4868" spans="1:3" x14ac:dyDescent="0.3">
      <c r="A4868" t="str">
        <f>IF(AND(FORSIDE!$B$8&gt;=14,FORSIDE!$F$8&gt;=2,FORSIDE!$B$5&gt;=7),"S4867","")</f>
        <v/>
      </c>
      <c r="B4868" t="str">
        <f>IF(AND(FORSIDE!$B$8&gt;=14,FORSIDE!$F$8&gt;=2,FORSIDE!$B$5&gt;=7),"393 -&gt; 624","")</f>
        <v/>
      </c>
      <c r="C4868" t="str">
        <f>FORSIDE!$C$3</f>
        <v>S355, Stål / VFHUP 140x140x8.0</v>
      </c>
    </row>
    <row r="4869" spans="1:3" x14ac:dyDescent="0.3">
      <c r="A4869" t="str">
        <f>IF(AND(FORSIDE!$B$8&gt;=14,FORSIDE!$F$8&gt;=2,FORSIDE!$B$5&gt;=8),"S4868","")</f>
        <v/>
      </c>
      <c r="B4869" t="str">
        <f>IF(AND(FORSIDE!$B$8&gt;=14,FORSIDE!$F$8&gt;=2,FORSIDE!$B$5&gt;=8),"394 -&gt; 625","")</f>
        <v/>
      </c>
      <c r="C4869" t="str">
        <f>FORSIDE!$C$3</f>
        <v>S355, Stål / VFHUP 140x140x8.0</v>
      </c>
    </row>
    <row r="4870" spans="1:3" x14ac:dyDescent="0.3">
      <c r="A4870" t="str">
        <f>IF(AND(FORSIDE!$B$8&gt;=14,FORSIDE!$F$8&gt;=2,FORSIDE!$B$5&gt;=9),"S4869","")</f>
        <v/>
      </c>
      <c r="B4870" t="str">
        <f>IF(AND(FORSIDE!$B$8&gt;=14,FORSIDE!$F$8&gt;=2,FORSIDE!$B$5&gt;=9),"395 -&gt; 626","")</f>
        <v/>
      </c>
      <c r="C4870" t="str">
        <f>FORSIDE!$C$3</f>
        <v>S355, Stål / VFHUP 140x140x8.0</v>
      </c>
    </row>
    <row r="4871" spans="1:3" x14ac:dyDescent="0.3">
      <c r="A4871" t="str">
        <f>IF(AND(FORSIDE!$B$8&gt;=14,FORSIDE!$F$8&gt;=2,FORSIDE!$B$5&gt;=10),"S4870","")</f>
        <v/>
      </c>
      <c r="B4871" t="str">
        <f>IF(AND(FORSIDE!$B$8&gt;=14,FORSIDE!$F$8&gt;=2,FORSIDE!$B$5&gt;=10),"396 -&gt; 627","")</f>
        <v/>
      </c>
      <c r="C4871" t="str">
        <f>FORSIDE!$C$3</f>
        <v>S355, Stål / VFHUP 140x140x8.0</v>
      </c>
    </row>
    <row r="4872" spans="1:3" x14ac:dyDescent="0.3">
      <c r="A4872" t="str">
        <f>IF(AND(FORSIDE!$B$8&gt;=15,FORSIDE!$F$8&gt;=2,FORSIDE!$B$5&gt;=1),"S4871","")</f>
        <v/>
      </c>
      <c r="B4872" t="str">
        <f>IF(AND(FORSIDE!$B$8&gt;=15,FORSIDE!$F$8&gt;=2,FORSIDE!$B$5&gt;=1),"398 -&gt; 629","")</f>
        <v/>
      </c>
      <c r="C4872" t="str">
        <f>FORSIDE!$C$3</f>
        <v>S355, Stål / VFHUP 140x140x8.0</v>
      </c>
    </row>
    <row r="4873" spans="1:3" x14ac:dyDescent="0.3">
      <c r="A4873" t="str">
        <f>IF(AND(FORSIDE!$B$8&gt;=15,FORSIDE!$F$8&gt;=2,FORSIDE!$B$5&gt;=2),"S4872","")</f>
        <v/>
      </c>
      <c r="B4873" t="str">
        <f>IF(AND(FORSIDE!$B$8&gt;=15,FORSIDE!$F$8&gt;=2,FORSIDE!$B$5&gt;=2),"399 -&gt; 630","")</f>
        <v/>
      </c>
      <c r="C4873" t="str">
        <f>FORSIDE!$C$3</f>
        <v>S355, Stål / VFHUP 140x140x8.0</v>
      </c>
    </row>
    <row r="4874" spans="1:3" x14ac:dyDescent="0.3">
      <c r="A4874" t="str">
        <f>IF(AND(FORSIDE!$B$8&gt;=15,FORSIDE!$F$8&gt;=2,FORSIDE!$B$5&gt;=3),"S4873","")</f>
        <v/>
      </c>
      <c r="B4874" t="str">
        <f>IF(AND(FORSIDE!$B$8&gt;=15,FORSIDE!$F$8&gt;=2,FORSIDE!$B$5&gt;=3),"400 -&gt; 631","")</f>
        <v/>
      </c>
      <c r="C4874" t="str">
        <f>FORSIDE!$C$3</f>
        <v>S355, Stål / VFHUP 140x140x8.0</v>
      </c>
    </row>
    <row r="4875" spans="1:3" x14ac:dyDescent="0.3">
      <c r="A4875" t="str">
        <f>IF(AND(FORSIDE!$B$8&gt;=15,FORSIDE!$F$8&gt;=2,FORSIDE!$B$5&gt;=4),"S4874","")</f>
        <v/>
      </c>
      <c r="B4875" t="str">
        <f>IF(AND(FORSIDE!$B$8&gt;=15,FORSIDE!$F$8&gt;=2,FORSIDE!$B$5&gt;=4),"401 -&gt; 632","")</f>
        <v/>
      </c>
      <c r="C4875" t="str">
        <f>FORSIDE!$C$3</f>
        <v>S355, Stål / VFHUP 140x140x8.0</v>
      </c>
    </row>
    <row r="4876" spans="1:3" x14ac:dyDescent="0.3">
      <c r="A4876" t="str">
        <f>IF(AND(FORSIDE!$B$8&gt;=15,FORSIDE!$F$8&gt;=2,FORSIDE!$B$5&gt;=5),"S4875","")</f>
        <v/>
      </c>
      <c r="B4876" t="str">
        <f>IF(AND(FORSIDE!$B$8&gt;=15,FORSIDE!$F$8&gt;=2,FORSIDE!$B$5&gt;=5),"402 -&gt; 633","")</f>
        <v/>
      </c>
      <c r="C4876" t="str">
        <f>FORSIDE!$C$3</f>
        <v>S355, Stål / VFHUP 140x140x8.0</v>
      </c>
    </row>
    <row r="4877" spans="1:3" x14ac:dyDescent="0.3">
      <c r="A4877" t="str">
        <f>IF(AND(FORSIDE!$B$8&gt;=15,FORSIDE!$F$8&gt;=2,FORSIDE!$B$5&gt;=6),"S4876","")</f>
        <v/>
      </c>
      <c r="B4877" t="str">
        <f>IF(AND(FORSIDE!$B$8&gt;=15,FORSIDE!$F$8&gt;=2,FORSIDE!$B$5&gt;=6),"403 -&gt; 634","")</f>
        <v/>
      </c>
      <c r="C4877" t="str">
        <f>FORSIDE!$C$3</f>
        <v>S355, Stål / VFHUP 140x140x8.0</v>
      </c>
    </row>
    <row r="4878" spans="1:3" x14ac:dyDescent="0.3">
      <c r="A4878" t="str">
        <f>IF(AND(FORSIDE!$B$8&gt;=15,FORSIDE!$F$8&gt;=2,FORSIDE!$B$5&gt;=7),"S4877","")</f>
        <v/>
      </c>
      <c r="B4878" t="str">
        <f>IF(AND(FORSIDE!$B$8&gt;=15,FORSIDE!$F$8&gt;=2,FORSIDE!$B$5&gt;=7),"404 -&gt; 635","")</f>
        <v/>
      </c>
      <c r="C4878" t="str">
        <f>FORSIDE!$C$3</f>
        <v>S355, Stål / VFHUP 140x140x8.0</v>
      </c>
    </row>
    <row r="4879" spans="1:3" x14ac:dyDescent="0.3">
      <c r="A4879" t="str">
        <f>IF(AND(FORSIDE!$B$8&gt;=15,FORSIDE!$F$8&gt;=2,FORSIDE!$B$5&gt;=8),"S4878","")</f>
        <v/>
      </c>
      <c r="B4879" t="str">
        <f>IF(AND(FORSIDE!$B$8&gt;=15,FORSIDE!$F$8&gt;=2,FORSIDE!$B$5&gt;=8),"405 -&gt; 636","")</f>
        <v/>
      </c>
      <c r="C4879" t="str">
        <f>FORSIDE!$C$3</f>
        <v>S355, Stål / VFHUP 140x140x8.0</v>
      </c>
    </row>
    <row r="4880" spans="1:3" x14ac:dyDescent="0.3">
      <c r="A4880" t="str">
        <f>IF(AND(FORSIDE!$B$8&gt;=15,FORSIDE!$F$8&gt;=2,FORSIDE!$B$5&gt;=9),"S4879","")</f>
        <v/>
      </c>
      <c r="B4880" t="str">
        <f>IF(AND(FORSIDE!$B$8&gt;=15,FORSIDE!$F$8&gt;=2,FORSIDE!$B$5&gt;=9),"406 -&gt; 637","")</f>
        <v/>
      </c>
      <c r="C4880" t="str">
        <f>FORSIDE!$C$3</f>
        <v>S355, Stål / VFHUP 140x140x8.0</v>
      </c>
    </row>
    <row r="4881" spans="1:3" x14ac:dyDescent="0.3">
      <c r="A4881" t="str">
        <f>IF(AND(FORSIDE!$B$8&gt;=15,FORSIDE!$F$8&gt;=2,FORSIDE!$B$5&gt;=10),"S4880","")</f>
        <v/>
      </c>
      <c r="B4881" t="str">
        <f>IF(AND(FORSIDE!$B$8&gt;=15,FORSIDE!$F$8&gt;=2,FORSIDE!$B$5&gt;=10),"407 -&gt; 638","")</f>
        <v/>
      </c>
      <c r="C4881" t="str">
        <f>FORSIDE!$C$3</f>
        <v>S355, Stål / VFHUP 140x140x8.0</v>
      </c>
    </row>
    <row r="4882" spans="1:3" x14ac:dyDescent="0.3">
      <c r="A4882" t="str">
        <f>IF(AND(FORSIDE!$B$8&gt;=16,FORSIDE!$F$8&gt;=2,FORSIDE!$B$5&gt;=1),"S4881","")</f>
        <v/>
      </c>
      <c r="B4882" t="str">
        <f>IF(AND(FORSIDE!$B$8&gt;=16,FORSIDE!$F$8&gt;=2,FORSIDE!$B$5&gt;=1),"409 -&gt; 640","")</f>
        <v/>
      </c>
      <c r="C4882" t="str">
        <f>FORSIDE!$C$3</f>
        <v>S355, Stål / VFHUP 140x140x8.0</v>
      </c>
    </row>
    <row r="4883" spans="1:3" x14ac:dyDescent="0.3">
      <c r="A4883" t="str">
        <f>IF(AND(FORSIDE!$B$8&gt;=16,FORSIDE!$F$8&gt;=2,FORSIDE!$B$5&gt;=2),"S4882","")</f>
        <v/>
      </c>
      <c r="B4883" t="str">
        <f>IF(AND(FORSIDE!$B$8&gt;=16,FORSIDE!$F$8&gt;=2,FORSIDE!$B$5&gt;=2),"410 -&gt; 641","")</f>
        <v/>
      </c>
      <c r="C4883" t="str">
        <f>FORSIDE!$C$3</f>
        <v>S355, Stål / VFHUP 140x140x8.0</v>
      </c>
    </row>
    <row r="4884" spans="1:3" x14ac:dyDescent="0.3">
      <c r="A4884" t="str">
        <f>IF(AND(FORSIDE!$B$8&gt;=16,FORSIDE!$F$8&gt;=2,FORSIDE!$B$5&gt;=3),"S4883","")</f>
        <v/>
      </c>
      <c r="B4884" t="str">
        <f>IF(AND(FORSIDE!$B$8&gt;=16,FORSIDE!$F$8&gt;=2,FORSIDE!$B$5&gt;=3),"411 -&gt; 642","")</f>
        <v/>
      </c>
      <c r="C4884" t="str">
        <f>FORSIDE!$C$3</f>
        <v>S355, Stål / VFHUP 140x140x8.0</v>
      </c>
    </row>
    <row r="4885" spans="1:3" x14ac:dyDescent="0.3">
      <c r="A4885" t="str">
        <f>IF(AND(FORSIDE!$B$8&gt;=16,FORSIDE!$F$8&gt;=2,FORSIDE!$B$5&gt;=4),"S4884","")</f>
        <v/>
      </c>
      <c r="B4885" t="str">
        <f>IF(AND(FORSIDE!$B$8&gt;=16,FORSIDE!$F$8&gt;=2,FORSIDE!$B$5&gt;=4),"412 -&gt; 643","")</f>
        <v/>
      </c>
      <c r="C4885" t="str">
        <f>FORSIDE!$C$3</f>
        <v>S355, Stål / VFHUP 140x140x8.0</v>
      </c>
    </row>
    <row r="4886" spans="1:3" x14ac:dyDescent="0.3">
      <c r="A4886" t="str">
        <f>IF(AND(FORSIDE!$B$8&gt;=16,FORSIDE!$F$8&gt;=2,FORSIDE!$B$5&gt;=5),"S4885","")</f>
        <v/>
      </c>
      <c r="B4886" t="str">
        <f>IF(AND(FORSIDE!$B$8&gt;=16,FORSIDE!$F$8&gt;=2,FORSIDE!$B$5&gt;=5),"413 -&gt; 644","")</f>
        <v/>
      </c>
      <c r="C4886" t="str">
        <f>FORSIDE!$C$3</f>
        <v>S355, Stål / VFHUP 140x140x8.0</v>
      </c>
    </row>
    <row r="4887" spans="1:3" x14ac:dyDescent="0.3">
      <c r="A4887" t="str">
        <f>IF(AND(FORSIDE!$B$8&gt;=16,FORSIDE!$F$8&gt;=2,FORSIDE!$B$5&gt;=6),"S4886","")</f>
        <v/>
      </c>
      <c r="B4887" t="str">
        <f>IF(AND(FORSIDE!$B$8&gt;=16,FORSIDE!$F$8&gt;=2,FORSIDE!$B$5&gt;=6),"414 -&gt; 645","")</f>
        <v/>
      </c>
      <c r="C4887" t="str">
        <f>FORSIDE!$C$3</f>
        <v>S355, Stål / VFHUP 140x140x8.0</v>
      </c>
    </row>
    <row r="4888" spans="1:3" x14ac:dyDescent="0.3">
      <c r="A4888" t="str">
        <f>IF(AND(FORSIDE!$B$8&gt;=16,FORSIDE!$F$8&gt;=2,FORSIDE!$B$5&gt;=7),"S4887","")</f>
        <v/>
      </c>
      <c r="B4888" t="str">
        <f>IF(AND(FORSIDE!$B$8&gt;=16,FORSIDE!$F$8&gt;=2,FORSIDE!$B$5&gt;=7),"415 -&gt; 646","")</f>
        <v/>
      </c>
      <c r="C4888" t="str">
        <f>FORSIDE!$C$3</f>
        <v>S355, Stål / VFHUP 140x140x8.0</v>
      </c>
    </row>
    <row r="4889" spans="1:3" x14ac:dyDescent="0.3">
      <c r="A4889" t="str">
        <f>IF(AND(FORSIDE!$B$8&gt;=16,FORSIDE!$F$8&gt;=2,FORSIDE!$B$5&gt;=8),"S4888","")</f>
        <v/>
      </c>
      <c r="B4889" t="str">
        <f>IF(AND(FORSIDE!$B$8&gt;=16,FORSIDE!$F$8&gt;=2,FORSIDE!$B$5&gt;=8),"416 -&gt; 647","")</f>
        <v/>
      </c>
      <c r="C4889" t="str">
        <f>FORSIDE!$C$3</f>
        <v>S355, Stål / VFHUP 140x140x8.0</v>
      </c>
    </row>
    <row r="4890" spans="1:3" x14ac:dyDescent="0.3">
      <c r="A4890" t="str">
        <f>IF(AND(FORSIDE!$B$8&gt;=16,FORSIDE!$F$8&gt;=2,FORSIDE!$B$5&gt;=9),"S4889","")</f>
        <v/>
      </c>
      <c r="B4890" t="str">
        <f>IF(AND(FORSIDE!$B$8&gt;=16,FORSIDE!$F$8&gt;=2,FORSIDE!$B$5&gt;=9),"417 -&gt; 648","")</f>
        <v/>
      </c>
      <c r="C4890" t="str">
        <f>FORSIDE!$C$3</f>
        <v>S355, Stål / VFHUP 140x140x8.0</v>
      </c>
    </row>
    <row r="4891" spans="1:3" x14ac:dyDescent="0.3">
      <c r="A4891" t="str">
        <f>IF(AND(FORSIDE!$B$8&gt;=16,FORSIDE!$F$8&gt;=2,FORSIDE!$B$5&gt;=10),"S4890","")</f>
        <v/>
      </c>
      <c r="B4891" t="str">
        <f>IF(AND(FORSIDE!$B$8&gt;=16,FORSIDE!$F$8&gt;=2,FORSIDE!$B$5&gt;=10),"418 -&gt; 649","")</f>
        <v/>
      </c>
      <c r="C4891" t="str">
        <f>FORSIDE!$C$3</f>
        <v>S355, Stål / VFHUP 140x140x8.0</v>
      </c>
    </row>
    <row r="4892" spans="1:3" x14ac:dyDescent="0.3">
      <c r="A4892" t="str">
        <f>IF(AND(FORSIDE!$B$8&gt;=17,FORSIDE!$F$8&gt;=2,FORSIDE!$B$5&gt;=1),"S4891","")</f>
        <v/>
      </c>
      <c r="B4892" t="str">
        <f>IF(AND(FORSIDE!$B$8&gt;=17,FORSIDE!$F$8&gt;=2,FORSIDE!$B$5&gt;=1),"420 -&gt; 651","")</f>
        <v/>
      </c>
      <c r="C4892" t="str">
        <f>FORSIDE!$C$3</f>
        <v>S355, Stål / VFHUP 140x140x8.0</v>
      </c>
    </row>
    <row r="4893" spans="1:3" x14ac:dyDescent="0.3">
      <c r="A4893" t="str">
        <f>IF(AND(FORSIDE!$B$8&gt;=17,FORSIDE!$F$8&gt;=2,FORSIDE!$B$5&gt;=2),"S4892","")</f>
        <v/>
      </c>
      <c r="B4893" t="str">
        <f>IF(AND(FORSIDE!$B$8&gt;=17,FORSIDE!$F$8&gt;=2,FORSIDE!$B$5&gt;=2),"421 -&gt; 652","")</f>
        <v/>
      </c>
      <c r="C4893" t="str">
        <f>FORSIDE!$C$3</f>
        <v>S355, Stål / VFHUP 140x140x8.0</v>
      </c>
    </row>
    <row r="4894" spans="1:3" x14ac:dyDescent="0.3">
      <c r="A4894" t="str">
        <f>IF(AND(FORSIDE!$B$8&gt;=17,FORSIDE!$F$8&gt;=2,FORSIDE!$B$5&gt;=3),"S4893","")</f>
        <v/>
      </c>
      <c r="B4894" t="str">
        <f>IF(AND(FORSIDE!$B$8&gt;=17,FORSIDE!$F$8&gt;=2,FORSIDE!$B$5&gt;=3),"422 -&gt; 653","")</f>
        <v/>
      </c>
      <c r="C4894" t="str">
        <f>FORSIDE!$C$3</f>
        <v>S355, Stål / VFHUP 140x140x8.0</v>
      </c>
    </row>
    <row r="4895" spans="1:3" x14ac:dyDescent="0.3">
      <c r="A4895" t="str">
        <f>IF(AND(FORSIDE!$B$8&gt;=17,FORSIDE!$F$8&gt;=2,FORSIDE!$B$5&gt;=4),"S4894","")</f>
        <v/>
      </c>
      <c r="B4895" t="str">
        <f>IF(AND(FORSIDE!$B$8&gt;=17,FORSIDE!$F$8&gt;=2,FORSIDE!$B$5&gt;=4),"423 -&gt; 654","")</f>
        <v/>
      </c>
      <c r="C4895" t="str">
        <f>FORSIDE!$C$3</f>
        <v>S355, Stål / VFHUP 140x140x8.0</v>
      </c>
    </row>
    <row r="4896" spans="1:3" x14ac:dyDescent="0.3">
      <c r="A4896" t="str">
        <f>IF(AND(FORSIDE!$B$8&gt;=17,FORSIDE!$F$8&gt;=2,FORSIDE!$B$5&gt;=5),"S4895","")</f>
        <v/>
      </c>
      <c r="B4896" t="str">
        <f>IF(AND(FORSIDE!$B$8&gt;=17,FORSIDE!$F$8&gt;=2,FORSIDE!$B$5&gt;=5),"424 -&gt; 655","")</f>
        <v/>
      </c>
      <c r="C4896" t="str">
        <f>FORSIDE!$C$3</f>
        <v>S355, Stål / VFHUP 140x140x8.0</v>
      </c>
    </row>
    <row r="4897" spans="1:3" x14ac:dyDescent="0.3">
      <c r="A4897" t="str">
        <f>IF(AND(FORSIDE!$B$8&gt;=17,FORSIDE!$F$8&gt;=2,FORSIDE!$B$5&gt;=6),"S4896","")</f>
        <v/>
      </c>
      <c r="B4897" t="str">
        <f>IF(AND(FORSIDE!$B$8&gt;=17,FORSIDE!$F$8&gt;=2,FORSIDE!$B$5&gt;=6),"425 -&gt; 656","")</f>
        <v/>
      </c>
      <c r="C4897" t="str">
        <f>FORSIDE!$C$3</f>
        <v>S355, Stål / VFHUP 140x140x8.0</v>
      </c>
    </row>
    <row r="4898" spans="1:3" x14ac:dyDescent="0.3">
      <c r="A4898" t="str">
        <f>IF(AND(FORSIDE!$B$8&gt;=17,FORSIDE!$F$8&gt;=2,FORSIDE!$B$5&gt;=7),"S4897","")</f>
        <v/>
      </c>
      <c r="B4898" t="str">
        <f>IF(AND(FORSIDE!$B$8&gt;=17,FORSIDE!$F$8&gt;=2,FORSIDE!$B$5&gt;=7),"426 -&gt; 657","")</f>
        <v/>
      </c>
      <c r="C4898" t="str">
        <f>FORSIDE!$C$3</f>
        <v>S355, Stål / VFHUP 140x140x8.0</v>
      </c>
    </row>
    <row r="4899" spans="1:3" x14ac:dyDescent="0.3">
      <c r="A4899" t="str">
        <f>IF(AND(FORSIDE!$B$8&gt;=17,FORSIDE!$F$8&gt;=2,FORSIDE!$B$5&gt;=8),"S4898","")</f>
        <v/>
      </c>
      <c r="B4899" t="str">
        <f>IF(AND(FORSIDE!$B$8&gt;=17,FORSIDE!$F$8&gt;=2,FORSIDE!$B$5&gt;=8),"427 -&gt; 658","")</f>
        <v/>
      </c>
      <c r="C4899" t="str">
        <f>FORSIDE!$C$3</f>
        <v>S355, Stål / VFHUP 140x140x8.0</v>
      </c>
    </row>
    <row r="4900" spans="1:3" x14ac:dyDescent="0.3">
      <c r="A4900" t="str">
        <f>IF(AND(FORSIDE!$B$8&gt;=17,FORSIDE!$F$8&gt;=2,FORSIDE!$B$5&gt;=9),"S4899","")</f>
        <v/>
      </c>
      <c r="B4900" t="str">
        <f>IF(AND(FORSIDE!$B$8&gt;=17,FORSIDE!$F$8&gt;=2,FORSIDE!$B$5&gt;=9),"428 -&gt; 659","")</f>
        <v/>
      </c>
      <c r="C4900" t="str">
        <f>FORSIDE!$C$3</f>
        <v>S355, Stål / VFHUP 140x140x8.0</v>
      </c>
    </row>
    <row r="4901" spans="1:3" x14ac:dyDescent="0.3">
      <c r="A4901" t="str">
        <f>IF(AND(FORSIDE!$B$8&gt;=17,FORSIDE!$F$8&gt;=2,FORSIDE!$B$5&gt;=10),"S4900","")</f>
        <v/>
      </c>
      <c r="B4901" t="str">
        <f>IF(AND(FORSIDE!$B$8&gt;=17,FORSIDE!$F$8&gt;=2,FORSIDE!$B$5&gt;=10),"429 -&gt; 660","")</f>
        <v/>
      </c>
      <c r="C4901" t="str">
        <f>FORSIDE!$C$3</f>
        <v>S355, Stål / VFHUP 140x140x8.0</v>
      </c>
    </row>
    <row r="4902" spans="1:3" x14ac:dyDescent="0.3">
      <c r="A4902" t="str">
        <f>IF(AND(FORSIDE!$B$8&gt;=18,FORSIDE!$F$8&gt;=2,FORSIDE!$B$5&gt;=1),"S4901","")</f>
        <v/>
      </c>
      <c r="B4902" t="str">
        <f>IF(AND(FORSIDE!$B$8&gt;=18,FORSIDE!$F$8&gt;=2,FORSIDE!$B$5&gt;=1),"431 -&gt; 662","")</f>
        <v/>
      </c>
      <c r="C4902" t="str">
        <f>FORSIDE!$C$3</f>
        <v>S355, Stål / VFHUP 140x140x8.0</v>
      </c>
    </row>
    <row r="4903" spans="1:3" x14ac:dyDescent="0.3">
      <c r="A4903" t="str">
        <f>IF(AND(FORSIDE!$B$8&gt;=18,FORSIDE!$F$8&gt;=2,FORSIDE!$B$5&gt;=2),"S4902","")</f>
        <v/>
      </c>
      <c r="B4903" t="str">
        <f>IF(AND(FORSIDE!$B$8&gt;=18,FORSIDE!$F$8&gt;=2,FORSIDE!$B$5&gt;=2),"432 -&gt; 663","")</f>
        <v/>
      </c>
      <c r="C4903" t="str">
        <f>FORSIDE!$C$3</f>
        <v>S355, Stål / VFHUP 140x140x8.0</v>
      </c>
    </row>
    <row r="4904" spans="1:3" x14ac:dyDescent="0.3">
      <c r="A4904" t="str">
        <f>IF(AND(FORSIDE!$B$8&gt;=18,FORSIDE!$F$8&gt;=2,FORSIDE!$B$5&gt;=3),"S4903","")</f>
        <v/>
      </c>
      <c r="B4904" t="str">
        <f>IF(AND(FORSIDE!$B$8&gt;=18,FORSIDE!$F$8&gt;=2,FORSIDE!$B$5&gt;=3),"433 -&gt; 664","")</f>
        <v/>
      </c>
      <c r="C4904" t="str">
        <f>FORSIDE!$C$3</f>
        <v>S355, Stål / VFHUP 140x140x8.0</v>
      </c>
    </row>
    <row r="4905" spans="1:3" x14ac:dyDescent="0.3">
      <c r="A4905" t="str">
        <f>IF(AND(FORSIDE!$B$8&gt;=18,FORSIDE!$F$8&gt;=2,FORSIDE!$B$5&gt;=4),"S4904","")</f>
        <v/>
      </c>
      <c r="B4905" t="str">
        <f>IF(AND(FORSIDE!$B$8&gt;=18,FORSIDE!$F$8&gt;=2,FORSIDE!$B$5&gt;=4),"434 -&gt; 665","")</f>
        <v/>
      </c>
      <c r="C4905" t="str">
        <f>FORSIDE!$C$3</f>
        <v>S355, Stål / VFHUP 140x140x8.0</v>
      </c>
    </row>
    <row r="4906" spans="1:3" x14ac:dyDescent="0.3">
      <c r="A4906" t="str">
        <f>IF(AND(FORSIDE!$B$8&gt;=18,FORSIDE!$F$8&gt;=2,FORSIDE!$B$5&gt;=5),"S4905","")</f>
        <v/>
      </c>
      <c r="B4906" t="str">
        <f>IF(AND(FORSIDE!$B$8&gt;=18,FORSIDE!$F$8&gt;=2,FORSIDE!$B$5&gt;=5),"435 -&gt; 666","")</f>
        <v/>
      </c>
      <c r="C4906" t="str">
        <f>FORSIDE!$C$3</f>
        <v>S355, Stål / VFHUP 140x140x8.0</v>
      </c>
    </row>
    <row r="4907" spans="1:3" x14ac:dyDescent="0.3">
      <c r="A4907" t="str">
        <f>IF(AND(FORSIDE!$B$8&gt;=18,FORSIDE!$F$8&gt;=2,FORSIDE!$B$5&gt;=6),"S4906","")</f>
        <v/>
      </c>
      <c r="B4907" t="str">
        <f>IF(AND(FORSIDE!$B$8&gt;=18,FORSIDE!$F$8&gt;=2,FORSIDE!$B$5&gt;=6),"436 -&gt; 667","")</f>
        <v/>
      </c>
      <c r="C4907" t="str">
        <f>FORSIDE!$C$3</f>
        <v>S355, Stål / VFHUP 140x140x8.0</v>
      </c>
    </row>
    <row r="4908" spans="1:3" x14ac:dyDescent="0.3">
      <c r="A4908" t="str">
        <f>IF(AND(FORSIDE!$B$8&gt;=18,FORSIDE!$F$8&gt;=2,FORSIDE!$B$5&gt;=7),"S4907","")</f>
        <v/>
      </c>
      <c r="B4908" t="str">
        <f>IF(AND(FORSIDE!$B$8&gt;=18,FORSIDE!$F$8&gt;=2,FORSIDE!$B$5&gt;=7),"437 -&gt; 668","")</f>
        <v/>
      </c>
      <c r="C4908" t="str">
        <f>FORSIDE!$C$3</f>
        <v>S355, Stål / VFHUP 140x140x8.0</v>
      </c>
    </row>
    <row r="4909" spans="1:3" x14ac:dyDescent="0.3">
      <c r="A4909" t="str">
        <f>IF(AND(FORSIDE!$B$8&gt;=18,FORSIDE!$F$8&gt;=2,FORSIDE!$B$5&gt;=8),"S4908","")</f>
        <v/>
      </c>
      <c r="B4909" t="str">
        <f>IF(AND(FORSIDE!$B$8&gt;=18,FORSIDE!$F$8&gt;=2,FORSIDE!$B$5&gt;=8),"438 -&gt; 669","")</f>
        <v/>
      </c>
      <c r="C4909" t="str">
        <f>FORSIDE!$C$3</f>
        <v>S355, Stål / VFHUP 140x140x8.0</v>
      </c>
    </row>
    <row r="4910" spans="1:3" x14ac:dyDescent="0.3">
      <c r="A4910" t="str">
        <f>IF(AND(FORSIDE!$B$8&gt;=18,FORSIDE!$F$8&gt;=2,FORSIDE!$B$5&gt;=9),"S4909","")</f>
        <v/>
      </c>
      <c r="B4910" t="str">
        <f>IF(AND(FORSIDE!$B$8&gt;=18,FORSIDE!$F$8&gt;=2,FORSIDE!$B$5&gt;=9),"439 -&gt; 670","")</f>
        <v/>
      </c>
      <c r="C4910" t="str">
        <f>FORSIDE!$C$3</f>
        <v>S355, Stål / VFHUP 140x140x8.0</v>
      </c>
    </row>
    <row r="4911" spans="1:3" x14ac:dyDescent="0.3">
      <c r="A4911" t="str">
        <f>IF(AND(FORSIDE!$B$8&gt;=18,FORSIDE!$F$8&gt;=2,FORSIDE!$B$5&gt;=10),"S4910","")</f>
        <v/>
      </c>
      <c r="B4911" t="str">
        <f>IF(AND(FORSIDE!$B$8&gt;=18,FORSIDE!$F$8&gt;=2,FORSIDE!$B$5&gt;=10),"440 -&gt; 671","")</f>
        <v/>
      </c>
      <c r="C4911" t="str">
        <f>FORSIDE!$C$3</f>
        <v>S355, Stål / VFHUP 140x140x8.0</v>
      </c>
    </row>
    <row r="4912" spans="1:3" x14ac:dyDescent="0.3">
      <c r="A4912" t="str">
        <f>IF(AND(FORSIDE!$B$8&gt;=19,FORSIDE!$F$8&gt;=2,FORSIDE!$B$5&gt;=1),"S4911","")</f>
        <v/>
      </c>
      <c r="B4912" t="str">
        <f>IF(AND(FORSIDE!$B$8&gt;=19,FORSIDE!$F$8&gt;=2,FORSIDE!$B$5&gt;=1),"442 -&gt; 673","")</f>
        <v/>
      </c>
      <c r="C4912" t="str">
        <f>FORSIDE!$C$3</f>
        <v>S355, Stål / VFHUP 140x140x8.0</v>
      </c>
    </row>
    <row r="4913" spans="1:3" x14ac:dyDescent="0.3">
      <c r="A4913" t="str">
        <f>IF(AND(FORSIDE!$B$8&gt;=19,FORSIDE!$F$8&gt;=2,FORSIDE!$B$5&gt;=2),"S4912","")</f>
        <v/>
      </c>
      <c r="B4913" t="str">
        <f>IF(AND(FORSIDE!$B$8&gt;=19,FORSIDE!$F$8&gt;=2,FORSIDE!$B$5&gt;=2),"443 -&gt; 674","")</f>
        <v/>
      </c>
      <c r="C4913" t="str">
        <f>FORSIDE!$C$3</f>
        <v>S355, Stål / VFHUP 140x140x8.0</v>
      </c>
    </row>
    <row r="4914" spans="1:3" x14ac:dyDescent="0.3">
      <c r="A4914" t="str">
        <f>IF(AND(FORSIDE!$B$8&gt;=19,FORSIDE!$F$8&gt;=2,FORSIDE!$B$5&gt;=3),"S4913","")</f>
        <v/>
      </c>
      <c r="B4914" t="str">
        <f>IF(AND(FORSIDE!$B$8&gt;=19,FORSIDE!$F$8&gt;=2,FORSIDE!$B$5&gt;=3),"444 -&gt; 675","")</f>
        <v/>
      </c>
      <c r="C4914" t="str">
        <f>FORSIDE!$C$3</f>
        <v>S355, Stål / VFHUP 140x140x8.0</v>
      </c>
    </row>
    <row r="4915" spans="1:3" x14ac:dyDescent="0.3">
      <c r="A4915" t="str">
        <f>IF(AND(FORSIDE!$B$8&gt;=19,FORSIDE!$F$8&gt;=2,FORSIDE!$B$5&gt;=4),"S4914","")</f>
        <v/>
      </c>
      <c r="B4915" t="str">
        <f>IF(AND(FORSIDE!$B$8&gt;=19,FORSIDE!$F$8&gt;=2,FORSIDE!$B$5&gt;=4),"445 -&gt; 676","")</f>
        <v/>
      </c>
      <c r="C4915" t="str">
        <f>FORSIDE!$C$3</f>
        <v>S355, Stål / VFHUP 140x140x8.0</v>
      </c>
    </row>
    <row r="4916" spans="1:3" x14ac:dyDescent="0.3">
      <c r="A4916" t="str">
        <f>IF(AND(FORSIDE!$B$8&gt;=19,FORSIDE!$F$8&gt;=2,FORSIDE!$B$5&gt;=5),"S4915","")</f>
        <v/>
      </c>
      <c r="B4916" t="str">
        <f>IF(AND(FORSIDE!$B$8&gt;=19,FORSIDE!$F$8&gt;=2,FORSIDE!$B$5&gt;=5),"446 -&gt; 677","")</f>
        <v/>
      </c>
      <c r="C4916" t="str">
        <f>FORSIDE!$C$3</f>
        <v>S355, Stål / VFHUP 140x140x8.0</v>
      </c>
    </row>
    <row r="4917" spans="1:3" x14ac:dyDescent="0.3">
      <c r="A4917" t="str">
        <f>IF(AND(FORSIDE!$B$8&gt;=19,FORSIDE!$F$8&gt;=2,FORSIDE!$B$5&gt;=6),"S4916","")</f>
        <v/>
      </c>
      <c r="B4917" t="str">
        <f>IF(AND(FORSIDE!$B$8&gt;=19,FORSIDE!$F$8&gt;=2,FORSIDE!$B$5&gt;=6),"447 -&gt; 678","")</f>
        <v/>
      </c>
      <c r="C4917" t="str">
        <f>FORSIDE!$C$3</f>
        <v>S355, Stål / VFHUP 140x140x8.0</v>
      </c>
    </row>
    <row r="4918" spans="1:3" x14ac:dyDescent="0.3">
      <c r="A4918" t="str">
        <f>IF(AND(FORSIDE!$B$8&gt;=19,FORSIDE!$F$8&gt;=2,FORSIDE!$B$5&gt;=7),"S4917","")</f>
        <v/>
      </c>
      <c r="B4918" t="str">
        <f>IF(AND(FORSIDE!$B$8&gt;=19,FORSIDE!$F$8&gt;=2,FORSIDE!$B$5&gt;=7),"448 -&gt; 679","")</f>
        <v/>
      </c>
      <c r="C4918" t="str">
        <f>FORSIDE!$C$3</f>
        <v>S355, Stål / VFHUP 140x140x8.0</v>
      </c>
    </row>
    <row r="4919" spans="1:3" x14ac:dyDescent="0.3">
      <c r="A4919" t="str">
        <f>IF(AND(FORSIDE!$B$8&gt;=19,FORSIDE!$F$8&gt;=2,FORSIDE!$B$5&gt;=8),"S4918","")</f>
        <v/>
      </c>
      <c r="B4919" t="str">
        <f>IF(AND(FORSIDE!$B$8&gt;=19,FORSIDE!$F$8&gt;=2,FORSIDE!$B$5&gt;=8),"449 -&gt; 680","")</f>
        <v/>
      </c>
      <c r="C4919" t="str">
        <f>FORSIDE!$C$3</f>
        <v>S355, Stål / VFHUP 140x140x8.0</v>
      </c>
    </row>
    <row r="4920" spans="1:3" x14ac:dyDescent="0.3">
      <c r="A4920" t="str">
        <f>IF(AND(FORSIDE!$B$8&gt;=19,FORSIDE!$F$8&gt;=2,FORSIDE!$B$5&gt;=9),"S4919","")</f>
        <v/>
      </c>
      <c r="B4920" t="str">
        <f>IF(AND(FORSIDE!$B$8&gt;=19,FORSIDE!$F$8&gt;=2,FORSIDE!$B$5&gt;=9),"450 -&gt; 681","")</f>
        <v/>
      </c>
      <c r="C4920" t="str">
        <f>FORSIDE!$C$3</f>
        <v>S355, Stål / VFHUP 140x140x8.0</v>
      </c>
    </row>
    <row r="4921" spans="1:3" x14ac:dyDescent="0.3">
      <c r="A4921" t="str">
        <f>IF(AND(FORSIDE!$B$8&gt;=19,FORSIDE!$F$8&gt;=2,FORSIDE!$B$5&gt;=10),"S4920","")</f>
        <v/>
      </c>
      <c r="B4921" t="str">
        <f>IF(AND(FORSIDE!$B$8&gt;=19,FORSIDE!$F$8&gt;=2,FORSIDE!$B$5&gt;=10),"451 -&gt; 682","")</f>
        <v/>
      </c>
      <c r="C4921" t="str">
        <f>FORSIDE!$C$3</f>
        <v>S355, Stål / VFHUP 140x140x8.0</v>
      </c>
    </row>
    <row r="4922" spans="1:3" x14ac:dyDescent="0.3">
      <c r="A4922" t="str">
        <f>IF(AND(FORSIDE!$B$8&gt;=20,FORSIDE!$F$8&gt;=2,FORSIDE!$B$5&gt;=1),"S4921","")</f>
        <v/>
      </c>
      <c r="B4922" t="str">
        <f>IF(AND(FORSIDE!$B$8&gt;=20,FORSIDE!$F$8&gt;=2,FORSIDE!$B$5&gt;=1),"453 -&gt; 684","")</f>
        <v/>
      </c>
      <c r="C4922" t="str">
        <f>FORSIDE!$C$3</f>
        <v>S355, Stål / VFHUP 140x140x8.0</v>
      </c>
    </row>
    <row r="4923" spans="1:3" x14ac:dyDescent="0.3">
      <c r="A4923" t="str">
        <f>IF(AND(FORSIDE!$B$8&gt;=20,FORSIDE!$F$8&gt;=2,FORSIDE!$B$5&gt;=2),"S4922","")</f>
        <v/>
      </c>
      <c r="B4923" t="str">
        <f>IF(AND(FORSIDE!$B$8&gt;=20,FORSIDE!$F$8&gt;=2,FORSIDE!$B$5&gt;=2),"454 -&gt; 685","")</f>
        <v/>
      </c>
      <c r="C4923" t="str">
        <f>FORSIDE!$C$3</f>
        <v>S355, Stål / VFHUP 140x140x8.0</v>
      </c>
    </row>
    <row r="4924" spans="1:3" x14ac:dyDescent="0.3">
      <c r="A4924" t="str">
        <f>IF(AND(FORSIDE!$B$8&gt;=20,FORSIDE!$F$8&gt;=2,FORSIDE!$B$5&gt;=3),"S4923","")</f>
        <v/>
      </c>
      <c r="B4924" t="str">
        <f>IF(AND(FORSIDE!$B$8&gt;=20,FORSIDE!$F$8&gt;=2,FORSIDE!$B$5&gt;=3),"455 -&gt; 686","")</f>
        <v/>
      </c>
      <c r="C4924" t="str">
        <f>FORSIDE!$C$3</f>
        <v>S355, Stål / VFHUP 140x140x8.0</v>
      </c>
    </row>
    <row r="4925" spans="1:3" x14ac:dyDescent="0.3">
      <c r="A4925" t="str">
        <f>IF(AND(FORSIDE!$B$8&gt;=20,FORSIDE!$F$8&gt;=2,FORSIDE!$B$5&gt;=4),"S4924","")</f>
        <v/>
      </c>
      <c r="B4925" t="str">
        <f>IF(AND(FORSIDE!$B$8&gt;=20,FORSIDE!$F$8&gt;=2,FORSIDE!$B$5&gt;=4),"456 -&gt; 687","")</f>
        <v/>
      </c>
      <c r="C4925" t="str">
        <f>FORSIDE!$C$3</f>
        <v>S355, Stål / VFHUP 140x140x8.0</v>
      </c>
    </row>
    <row r="4926" spans="1:3" x14ac:dyDescent="0.3">
      <c r="A4926" t="str">
        <f>IF(AND(FORSIDE!$B$8&gt;=20,FORSIDE!$F$8&gt;=2,FORSIDE!$B$5&gt;=5),"S4925","")</f>
        <v/>
      </c>
      <c r="B4926" t="str">
        <f>IF(AND(FORSIDE!$B$8&gt;=20,FORSIDE!$F$8&gt;=2,FORSIDE!$B$5&gt;=5),"457 -&gt; 688","")</f>
        <v/>
      </c>
      <c r="C4926" t="str">
        <f>FORSIDE!$C$3</f>
        <v>S355, Stål / VFHUP 140x140x8.0</v>
      </c>
    </row>
    <row r="4927" spans="1:3" x14ac:dyDescent="0.3">
      <c r="A4927" t="str">
        <f>IF(AND(FORSIDE!$B$8&gt;=20,FORSIDE!$F$8&gt;=2,FORSIDE!$B$5&gt;=6),"S4926","")</f>
        <v/>
      </c>
      <c r="B4927" t="str">
        <f>IF(AND(FORSIDE!$B$8&gt;=20,FORSIDE!$F$8&gt;=2,FORSIDE!$B$5&gt;=6),"458 -&gt; 689","")</f>
        <v/>
      </c>
      <c r="C4927" t="str">
        <f>FORSIDE!$C$3</f>
        <v>S355, Stål / VFHUP 140x140x8.0</v>
      </c>
    </row>
    <row r="4928" spans="1:3" x14ac:dyDescent="0.3">
      <c r="A4928" t="str">
        <f>IF(AND(FORSIDE!$B$8&gt;=20,FORSIDE!$F$8&gt;=2,FORSIDE!$B$5&gt;=7),"S4927","")</f>
        <v/>
      </c>
      <c r="B4928" t="str">
        <f>IF(AND(FORSIDE!$B$8&gt;=20,FORSIDE!$F$8&gt;=2,FORSIDE!$B$5&gt;=7),"459 -&gt; 690","")</f>
        <v/>
      </c>
      <c r="C4928" t="str">
        <f>FORSIDE!$C$3</f>
        <v>S355, Stål / VFHUP 140x140x8.0</v>
      </c>
    </row>
    <row r="4929" spans="1:3" x14ac:dyDescent="0.3">
      <c r="A4929" t="str">
        <f>IF(AND(FORSIDE!$B$8&gt;=20,FORSIDE!$F$8&gt;=2,FORSIDE!$B$5&gt;=8),"S4928","")</f>
        <v/>
      </c>
      <c r="B4929" t="str">
        <f>IF(AND(FORSIDE!$B$8&gt;=20,FORSIDE!$F$8&gt;=2,FORSIDE!$B$5&gt;=8),"460 -&gt; 691","")</f>
        <v/>
      </c>
      <c r="C4929" t="str">
        <f>FORSIDE!$C$3</f>
        <v>S355, Stål / VFHUP 140x140x8.0</v>
      </c>
    </row>
    <row r="4930" spans="1:3" x14ac:dyDescent="0.3">
      <c r="A4930" t="str">
        <f>IF(AND(FORSIDE!$B$8&gt;=20,FORSIDE!$F$8&gt;=2,FORSIDE!$B$5&gt;=9),"S4929","")</f>
        <v/>
      </c>
      <c r="B4930" t="str">
        <f>IF(AND(FORSIDE!$B$8&gt;=20,FORSIDE!$F$8&gt;=2,FORSIDE!$B$5&gt;=9),"461 -&gt; 692","")</f>
        <v/>
      </c>
      <c r="C4930" t="str">
        <f>FORSIDE!$C$3</f>
        <v>S355, Stål / VFHUP 140x140x8.0</v>
      </c>
    </row>
    <row r="4931" spans="1:3" x14ac:dyDescent="0.3">
      <c r="A4931" t="str">
        <f>IF(AND(FORSIDE!$B$8&gt;=20,FORSIDE!$F$8&gt;=2,FORSIDE!$B$5&gt;=10),"S4930","")</f>
        <v/>
      </c>
      <c r="B4931" t="str">
        <f>IF(AND(FORSIDE!$B$8&gt;=20,FORSIDE!$F$8&gt;=2,FORSIDE!$B$5&gt;=10),"462 -&gt; 693","")</f>
        <v/>
      </c>
      <c r="C4931" t="str">
        <f>FORSIDE!$C$3</f>
        <v>S355, Stål / VFHUP 140x140x8.0</v>
      </c>
    </row>
    <row r="4932" spans="1:3" x14ac:dyDescent="0.3">
      <c r="A4932" t="str">
        <f>IF(AND(FORSIDE!$B$8&gt;=0,FORSIDE!$F$8&gt;=3,FORSIDE!$B$5&gt;=1),"S4931","")</f>
        <v/>
      </c>
      <c r="B4932" t="str">
        <f>IF(AND(FORSIDE!$B$8&gt;=0,FORSIDE!$F$8&gt;=3,FORSIDE!$B$5&gt;=1),"464 -&gt; 695","")</f>
        <v/>
      </c>
      <c r="C4932" t="str">
        <f>FORSIDE!$C$3</f>
        <v>S355, Stål / VFHUP 140x140x8.0</v>
      </c>
    </row>
    <row r="4933" spans="1:3" x14ac:dyDescent="0.3">
      <c r="A4933" t="str">
        <f>IF(AND(FORSIDE!$B$8&gt;=0,FORSIDE!$F$8&gt;=3,FORSIDE!$B$5&gt;=2),"S4932","")</f>
        <v/>
      </c>
      <c r="B4933" t="str">
        <f>IF(AND(FORSIDE!$B$8&gt;=0,FORSIDE!$F$8&gt;=3,FORSIDE!$B$5&gt;=2),"465 -&gt; 696","")</f>
        <v/>
      </c>
      <c r="C4933" t="str">
        <f>FORSIDE!$C$3</f>
        <v>S355, Stål / VFHUP 140x140x8.0</v>
      </c>
    </row>
    <row r="4934" spans="1:3" x14ac:dyDescent="0.3">
      <c r="A4934" t="str">
        <f>IF(AND(FORSIDE!$B$8&gt;=0,FORSIDE!$F$8&gt;=3,FORSIDE!$B$5&gt;=3),"S4933","")</f>
        <v/>
      </c>
      <c r="B4934" t="str">
        <f>IF(AND(FORSIDE!$B$8&gt;=0,FORSIDE!$F$8&gt;=3,FORSIDE!$B$5&gt;=3),"466 -&gt; 697","")</f>
        <v/>
      </c>
      <c r="C4934" t="str">
        <f>FORSIDE!$C$3</f>
        <v>S355, Stål / VFHUP 140x140x8.0</v>
      </c>
    </row>
    <row r="4935" spans="1:3" x14ac:dyDescent="0.3">
      <c r="A4935" t="str">
        <f>IF(AND(FORSIDE!$B$8&gt;=0,FORSIDE!$F$8&gt;=3,FORSIDE!$B$5&gt;=4),"S4934","")</f>
        <v/>
      </c>
      <c r="B4935" t="str">
        <f>IF(AND(FORSIDE!$B$8&gt;=0,FORSIDE!$F$8&gt;=3,FORSIDE!$B$5&gt;=4),"467 -&gt; 698","")</f>
        <v/>
      </c>
      <c r="C4935" t="str">
        <f>FORSIDE!$C$3</f>
        <v>S355, Stål / VFHUP 140x140x8.0</v>
      </c>
    </row>
    <row r="4936" spans="1:3" x14ac:dyDescent="0.3">
      <c r="A4936" t="str">
        <f>IF(AND(FORSIDE!$B$8&gt;=0,FORSIDE!$F$8&gt;=3,FORSIDE!$B$5&gt;=5),"S4935","")</f>
        <v/>
      </c>
      <c r="B4936" t="str">
        <f>IF(AND(FORSIDE!$B$8&gt;=0,FORSIDE!$F$8&gt;=3,FORSIDE!$B$5&gt;=5),"468 -&gt; 699","")</f>
        <v/>
      </c>
      <c r="C4936" t="str">
        <f>FORSIDE!$C$3</f>
        <v>S355, Stål / VFHUP 140x140x8.0</v>
      </c>
    </row>
    <row r="4937" spans="1:3" x14ac:dyDescent="0.3">
      <c r="A4937" t="str">
        <f>IF(AND(FORSIDE!$B$8&gt;=0,FORSIDE!$F$8&gt;=3,FORSIDE!$B$5&gt;=6),"S4936","")</f>
        <v/>
      </c>
      <c r="B4937" t="str">
        <f>IF(AND(FORSIDE!$B$8&gt;=0,FORSIDE!$F$8&gt;=3,FORSIDE!$B$5&gt;=6),"469 -&gt; 700","")</f>
        <v/>
      </c>
      <c r="C4937" t="str">
        <f>FORSIDE!$C$3</f>
        <v>S355, Stål / VFHUP 140x140x8.0</v>
      </c>
    </row>
    <row r="4938" spans="1:3" x14ac:dyDescent="0.3">
      <c r="A4938" t="str">
        <f>IF(AND(FORSIDE!$B$8&gt;=0,FORSIDE!$F$8&gt;=3,FORSIDE!$B$5&gt;=7),"S4937","")</f>
        <v/>
      </c>
      <c r="B4938" t="str">
        <f>IF(AND(FORSIDE!$B$8&gt;=0,FORSIDE!$F$8&gt;=3,FORSIDE!$B$5&gt;=7),"470 -&gt; 701","")</f>
        <v/>
      </c>
      <c r="C4938" t="str">
        <f>FORSIDE!$C$3</f>
        <v>S355, Stål / VFHUP 140x140x8.0</v>
      </c>
    </row>
    <row r="4939" spans="1:3" x14ac:dyDescent="0.3">
      <c r="A4939" t="str">
        <f>IF(AND(FORSIDE!$B$8&gt;=0,FORSIDE!$F$8&gt;=3,FORSIDE!$B$5&gt;=8),"S4938","")</f>
        <v/>
      </c>
      <c r="B4939" t="str">
        <f>IF(AND(FORSIDE!$B$8&gt;=0,FORSIDE!$F$8&gt;=3,FORSIDE!$B$5&gt;=8),"471 -&gt; 702","")</f>
        <v/>
      </c>
      <c r="C4939" t="str">
        <f>FORSIDE!$C$3</f>
        <v>S355, Stål / VFHUP 140x140x8.0</v>
      </c>
    </row>
    <row r="4940" spans="1:3" x14ac:dyDescent="0.3">
      <c r="A4940" t="str">
        <f>IF(AND(FORSIDE!$B$8&gt;=0,FORSIDE!$F$8&gt;=3,FORSIDE!$B$5&gt;=9),"S4939","")</f>
        <v/>
      </c>
      <c r="B4940" t="str">
        <f>IF(AND(FORSIDE!$B$8&gt;=0,FORSIDE!$F$8&gt;=3,FORSIDE!$B$5&gt;=9),"472 -&gt; 703","")</f>
        <v/>
      </c>
      <c r="C4940" t="str">
        <f>FORSIDE!$C$3</f>
        <v>S355, Stål / VFHUP 140x140x8.0</v>
      </c>
    </row>
    <row r="4941" spans="1:3" x14ac:dyDescent="0.3">
      <c r="A4941" t="str">
        <f>IF(AND(FORSIDE!$B$8&gt;=0,FORSIDE!$F$8&gt;=3,FORSIDE!$B$5&gt;=10),"S4940","")</f>
        <v/>
      </c>
      <c r="B4941" t="str">
        <f>IF(AND(FORSIDE!$B$8&gt;=0,FORSIDE!$F$8&gt;=3,FORSIDE!$B$5&gt;=10),"473 -&gt; 704","")</f>
        <v/>
      </c>
      <c r="C4941" t="str">
        <f>FORSIDE!$C$3</f>
        <v>S355, Stål / VFHUP 140x140x8.0</v>
      </c>
    </row>
    <row r="4942" spans="1:3" x14ac:dyDescent="0.3">
      <c r="A4942" t="str">
        <f>IF(AND(FORSIDE!$B$8&gt;=1,FORSIDE!$F$8&gt;=3,FORSIDE!$B$5&gt;=1),"S4941","")</f>
        <v/>
      </c>
      <c r="B4942" t="str">
        <f>IF(AND(FORSIDE!$B$8&gt;=1,FORSIDE!$F$8&gt;=3,FORSIDE!$B$5&gt;=1),"475 -&gt; 706","")</f>
        <v/>
      </c>
      <c r="C4942" t="str">
        <f>FORSIDE!$C$3</f>
        <v>S355, Stål / VFHUP 140x140x8.0</v>
      </c>
    </row>
    <row r="4943" spans="1:3" x14ac:dyDescent="0.3">
      <c r="A4943" t="str">
        <f>IF(AND(FORSIDE!$B$8&gt;=1,FORSIDE!$F$8&gt;=3,FORSIDE!$B$5&gt;=2),"S4942","")</f>
        <v/>
      </c>
      <c r="B4943" t="str">
        <f>IF(AND(FORSIDE!$B$8&gt;=1,FORSIDE!$F$8&gt;=3,FORSIDE!$B$5&gt;=2),"476 -&gt; 707","")</f>
        <v/>
      </c>
      <c r="C4943" t="str">
        <f>FORSIDE!$C$3</f>
        <v>S355, Stål / VFHUP 140x140x8.0</v>
      </c>
    </row>
    <row r="4944" spans="1:3" x14ac:dyDescent="0.3">
      <c r="A4944" t="str">
        <f>IF(AND(FORSIDE!$B$8&gt;=1,FORSIDE!$F$8&gt;=3,FORSIDE!$B$5&gt;=3),"S4943","")</f>
        <v/>
      </c>
      <c r="B4944" t="str">
        <f>IF(AND(FORSIDE!$B$8&gt;=1,FORSIDE!$F$8&gt;=3,FORSIDE!$B$5&gt;=3),"477 -&gt; 708","")</f>
        <v/>
      </c>
      <c r="C4944" t="str">
        <f>FORSIDE!$C$3</f>
        <v>S355, Stål / VFHUP 140x140x8.0</v>
      </c>
    </row>
    <row r="4945" spans="1:3" x14ac:dyDescent="0.3">
      <c r="A4945" t="str">
        <f>IF(AND(FORSIDE!$B$8&gt;=1,FORSIDE!$F$8&gt;=3,FORSIDE!$B$5&gt;=4),"S4944","")</f>
        <v/>
      </c>
      <c r="B4945" t="str">
        <f>IF(AND(FORSIDE!$B$8&gt;=1,FORSIDE!$F$8&gt;=3,FORSIDE!$B$5&gt;=4),"478 -&gt; 709","")</f>
        <v/>
      </c>
      <c r="C4945" t="str">
        <f>FORSIDE!$C$3</f>
        <v>S355, Stål / VFHUP 140x140x8.0</v>
      </c>
    </row>
    <row r="4946" spans="1:3" x14ac:dyDescent="0.3">
      <c r="A4946" t="str">
        <f>IF(AND(FORSIDE!$B$8&gt;=1,FORSIDE!$F$8&gt;=3,FORSIDE!$B$5&gt;=5),"S4945","")</f>
        <v/>
      </c>
      <c r="B4946" t="str">
        <f>IF(AND(FORSIDE!$B$8&gt;=1,FORSIDE!$F$8&gt;=3,FORSIDE!$B$5&gt;=5),"479 -&gt; 710","")</f>
        <v/>
      </c>
      <c r="C4946" t="str">
        <f>FORSIDE!$C$3</f>
        <v>S355, Stål / VFHUP 140x140x8.0</v>
      </c>
    </row>
    <row r="4947" spans="1:3" x14ac:dyDescent="0.3">
      <c r="A4947" t="str">
        <f>IF(AND(FORSIDE!$B$8&gt;=1,FORSIDE!$F$8&gt;=3,FORSIDE!$B$5&gt;=6),"S4946","")</f>
        <v/>
      </c>
      <c r="B4947" t="str">
        <f>IF(AND(FORSIDE!$B$8&gt;=1,FORSIDE!$F$8&gt;=3,FORSIDE!$B$5&gt;=6),"480 -&gt; 711","")</f>
        <v/>
      </c>
      <c r="C4947" t="str">
        <f>FORSIDE!$C$3</f>
        <v>S355, Stål / VFHUP 140x140x8.0</v>
      </c>
    </row>
    <row r="4948" spans="1:3" x14ac:dyDescent="0.3">
      <c r="A4948" t="str">
        <f>IF(AND(FORSIDE!$B$8&gt;=1,FORSIDE!$F$8&gt;=3,FORSIDE!$B$5&gt;=7),"S4947","")</f>
        <v/>
      </c>
      <c r="B4948" t="str">
        <f>IF(AND(FORSIDE!$B$8&gt;=1,FORSIDE!$F$8&gt;=3,FORSIDE!$B$5&gt;=7),"481 -&gt; 712","")</f>
        <v/>
      </c>
      <c r="C4948" t="str">
        <f>FORSIDE!$C$3</f>
        <v>S355, Stål / VFHUP 140x140x8.0</v>
      </c>
    </row>
    <row r="4949" spans="1:3" x14ac:dyDescent="0.3">
      <c r="A4949" t="str">
        <f>IF(AND(FORSIDE!$B$8&gt;=1,FORSIDE!$F$8&gt;=3,FORSIDE!$B$5&gt;=8),"S4948","")</f>
        <v/>
      </c>
      <c r="B4949" t="str">
        <f>IF(AND(FORSIDE!$B$8&gt;=1,FORSIDE!$F$8&gt;=3,FORSIDE!$B$5&gt;=8),"482 -&gt; 713","")</f>
        <v/>
      </c>
      <c r="C4949" t="str">
        <f>FORSIDE!$C$3</f>
        <v>S355, Stål / VFHUP 140x140x8.0</v>
      </c>
    </row>
    <row r="4950" spans="1:3" x14ac:dyDescent="0.3">
      <c r="A4950" t="str">
        <f>IF(AND(FORSIDE!$B$8&gt;=1,FORSIDE!$F$8&gt;=3,FORSIDE!$B$5&gt;=9),"S4949","")</f>
        <v/>
      </c>
      <c r="B4950" t="str">
        <f>IF(AND(FORSIDE!$B$8&gt;=1,FORSIDE!$F$8&gt;=3,FORSIDE!$B$5&gt;=9),"483 -&gt; 714","")</f>
        <v/>
      </c>
      <c r="C4950" t="str">
        <f>FORSIDE!$C$3</f>
        <v>S355, Stål / VFHUP 140x140x8.0</v>
      </c>
    </row>
    <row r="4951" spans="1:3" x14ac:dyDescent="0.3">
      <c r="A4951" t="str">
        <f>IF(AND(FORSIDE!$B$8&gt;=1,FORSIDE!$F$8&gt;=3,FORSIDE!$B$5&gt;=10),"S4950","")</f>
        <v/>
      </c>
      <c r="B4951" t="str">
        <f>IF(AND(FORSIDE!$B$8&gt;=1,FORSIDE!$F$8&gt;=3,FORSIDE!$B$5&gt;=10),"484 -&gt; 715","")</f>
        <v/>
      </c>
      <c r="C4951" t="str">
        <f>FORSIDE!$C$3</f>
        <v>S355, Stål / VFHUP 140x140x8.0</v>
      </c>
    </row>
    <row r="4952" spans="1:3" x14ac:dyDescent="0.3">
      <c r="A4952" t="str">
        <f>IF(AND(FORSIDE!$B$8&gt;=2,FORSIDE!$F$8&gt;=3,FORSIDE!$B$5&gt;=1),"S4951","")</f>
        <v/>
      </c>
      <c r="B4952" t="str">
        <f>IF(AND(FORSIDE!$B$8&gt;=2,FORSIDE!$F$8&gt;=3,FORSIDE!$B$5&gt;=1),"486 -&gt; 717","")</f>
        <v/>
      </c>
      <c r="C4952" t="str">
        <f>FORSIDE!$C$3</f>
        <v>S355, Stål / VFHUP 140x140x8.0</v>
      </c>
    </row>
    <row r="4953" spans="1:3" x14ac:dyDescent="0.3">
      <c r="A4953" t="str">
        <f>IF(AND(FORSIDE!$B$8&gt;=2,FORSIDE!$F$8&gt;=3,FORSIDE!$B$5&gt;=2),"S4952","")</f>
        <v/>
      </c>
      <c r="B4953" t="str">
        <f>IF(AND(FORSIDE!$B$8&gt;=2,FORSIDE!$F$8&gt;=3,FORSIDE!$B$5&gt;=2),"487 -&gt; 718","")</f>
        <v/>
      </c>
      <c r="C4953" t="str">
        <f>FORSIDE!$C$3</f>
        <v>S355, Stål / VFHUP 140x140x8.0</v>
      </c>
    </row>
    <row r="4954" spans="1:3" x14ac:dyDescent="0.3">
      <c r="A4954" t="str">
        <f>IF(AND(FORSIDE!$B$8&gt;=2,FORSIDE!$F$8&gt;=3,FORSIDE!$B$5&gt;=3),"S4953","")</f>
        <v/>
      </c>
      <c r="B4954" t="str">
        <f>IF(AND(FORSIDE!$B$8&gt;=2,FORSIDE!$F$8&gt;=3,FORSIDE!$B$5&gt;=3),"488 -&gt; 719","")</f>
        <v/>
      </c>
      <c r="C4954" t="str">
        <f>FORSIDE!$C$3</f>
        <v>S355, Stål / VFHUP 140x140x8.0</v>
      </c>
    </row>
    <row r="4955" spans="1:3" x14ac:dyDescent="0.3">
      <c r="A4955" t="str">
        <f>IF(AND(FORSIDE!$B$8&gt;=2,FORSIDE!$F$8&gt;=3,FORSIDE!$B$5&gt;=4),"S4954","")</f>
        <v/>
      </c>
      <c r="B4955" t="str">
        <f>IF(AND(FORSIDE!$B$8&gt;=2,FORSIDE!$F$8&gt;=3,FORSIDE!$B$5&gt;=4),"489 -&gt; 720","")</f>
        <v/>
      </c>
      <c r="C4955" t="str">
        <f>FORSIDE!$C$3</f>
        <v>S355, Stål / VFHUP 140x140x8.0</v>
      </c>
    </row>
    <row r="4956" spans="1:3" x14ac:dyDescent="0.3">
      <c r="A4956" t="str">
        <f>IF(AND(FORSIDE!$B$8&gt;=2,FORSIDE!$F$8&gt;=3,FORSIDE!$B$5&gt;=5),"S4955","")</f>
        <v/>
      </c>
      <c r="B4956" t="str">
        <f>IF(AND(FORSIDE!$B$8&gt;=2,FORSIDE!$F$8&gt;=3,FORSIDE!$B$5&gt;=5),"490 -&gt; 721","")</f>
        <v/>
      </c>
      <c r="C4956" t="str">
        <f>FORSIDE!$C$3</f>
        <v>S355, Stål / VFHUP 140x140x8.0</v>
      </c>
    </row>
    <row r="4957" spans="1:3" x14ac:dyDescent="0.3">
      <c r="A4957" t="str">
        <f>IF(AND(FORSIDE!$B$8&gt;=2,FORSIDE!$F$8&gt;=3,FORSIDE!$B$5&gt;=6),"S4956","")</f>
        <v/>
      </c>
      <c r="B4957" t="str">
        <f>IF(AND(FORSIDE!$B$8&gt;=2,FORSIDE!$F$8&gt;=3,FORSIDE!$B$5&gt;=6),"491 -&gt; 722","")</f>
        <v/>
      </c>
      <c r="C4957" t="str">
        <f>FORSIDE!$C$3</f>
        <v>S355, Stål / VFHUP 140x140x8.0</v>
      </c>
    </row>
    <row r="4958" spans="1:3" x14ac:dyDescent="0.3">
      <c r="A4958" t="str">
        <f>IF(AND(FORSIDE!$B$8&gt;=2,FORSIDE!$F$8&gt;=3,FORSIDE!$B$5&gt;=7),"S4957","")</f>
        <v/>
      </c>
      <c r="B4958" t="str">
        <f>IF(AND(FORSIDE!$B$8&gt;=2,FORSIDE!$F$8&gt;=3,FORSIDE!$B$5&gt;=7),"492 -&gt; 723","")</f>
        <v/>
      </c>
      <c r="C4958" t="str">
        <f>FORSIDE!$C$3</f>
        <v>S355, Stål / VFHUP 140x140x8.0</v>
      </c>
    </row>
    <row r="4959" spans="1:3" x14ac:dyDescent="0.3">
      <c r="A4959" t="str">
        <f>IF(AND(FORSIDE!$B$8&gt;=2,FORSIDE!$F$8&gt;=3,FORSIDE!$B$5&gt;=8),"S4958","")</f>
        <v/>
      </c>
      <c r="B4959" t="str">
        <f>IF(AND(FORSIDE!$B$8&gt;=2,FORSIDE!$F$8&gt;=3,FORSIDE!$B$5&gt;=8),"493 -&gt; 724","")</f>
        <v/>
      </c>
      <c r="C4959" t="str">
        <f>FORSIDE!$C$3</f>
        <v>S355, Stål / VFHUP 140x140x8.0</v>
      </c>
    </row>
    <row r="4960" spans="1:3" x14ac:dyDescent="0.3">
      <c r="A4960" t="str">
        <f>IF(AND(FORSIDE!$B$8&gt;=2,FORSIDE!$F$8&gt;=3,FORSIDE!$B$5&gt;=9),"S4959","")</f>
        <v/>
      </c>
      <c r="B4960" t="str">
        <f>IF(AND(FORSIDE!$B$8&gt;=2,FORSIDE!$F$8&gt;=3,FORSIDE!$B$5&gt;=9),"494 -&gt; 725","")</f>
        <v/>
      </c>
      <c r="C4960" t="str">
        <f>FORSIDE!$C$3</f>
        <v>S355, Stål / VFHUP 140x140x8.0</v>
      </c>
    </row>
    <row r="4961" spans="1:3" x14ac:dyDescent="0.3">
      <c r="A4961" t="str">
        <f>IF(AND(FORSIDE!$B$8&gt;=2,FORSIDE!$F$8&gt;=3,FORSIDE!$B$5&gt;=10),"S4960","")</f>
        <v/>
      </c>
      <c r="B4961" t="str">
        <f>IF(AND(FORSIDE!$B$8&gt;=2,FORSIDE!$F$8&gt;=3,FORSIDE!$B$5&gt;=10),"495 -&gt; 726","")</f>
        <v/>
      </c>
      <c r="C4961" t="str">
        <f>FORSIDE!$C$3</f>
        <v>S355, Stål / VFHUP 140x140x8.0</v>
      </c>
    </row>
    <row r="4962" spans="1:3" x14ac:dyDescent="0.3">
      <c r="A4962" t="str">
        <f>IF(AND(FORSIDE!$B$8&gt;=3,FORSIDE!$F$8&gt;=3,FORSIDE!$B$5&gt;=1),"S4961","")</f>
        <v/>
      </c>
      <c r="B4962" t="str">
        <f>IF(AND(FORSIDE!$B$8&gt;=3,FORSIDE!$F$8&gt;=3,FORSIDE!$B$5&gt;=1),"497 -&gt; 728","")</f>
        <v/>
      </c>
      <c r="C4962" t="str">
        <f>FORSIDE!$C$3</f>
        <v>S355, Stål / VFHUP 140x140x8.0</v>
      </c>
    </row>
    <row r="4963" spans="1:3" x14ac:dyDescent="0.3">
      <c r="A4963" t="str">
        <f>IF(AND(FORSIDE!$B$8&gt;=3,FORSIDE!$F$8&gt;=3,FORSIDE!$B$5&gt;=2),"S4962","")</f>
        <v/>
      </c>
      <c r="B4963" t="str">
        <f>IF(AND(FORSIDE!$B$8&gt;=3,FORSIDE!$F$8&gt;=3,FORSIDE!$B$5&gt;=2),"498 -&gt; 729","")</f>
        <v/>
      </c>
      <c r="C4963" t="str">
        <f>FORSIDE!$C$3</f>
        <v>S355, Stål / VFHUP 140x140x8.0</v>
      </c>
    </row>
    <row r="4964" spans="1:3" x14ac:dyDescent="0.3">
      <c r="A4964" t="str">
        <f>IF(AND(FORSIDE!$B$8&gt;=3,FORSIDE!$F$8&gt;=3,FORSIDE!$B$5&gt;=3),"S4963","")</f>
        <v/>
      </c>
      <c r="B4964" t="str">
        <f>IF(AND(FORSIDE!$B$8&gt;=3,FORSIDE!$F$8&gt;=3,FORSIDE!$B$5&gt;=3),"499 -&gt; 730","")</f>
        <v/>
      </c>
      <c r="C4964" t="str">
        <f>FORSIDE!$C$3</f>
        <v>S355, Stål / VFHUP 140x140x8.0</v>
      </c>
    </row>
    <row r="4965" spans="1:3" x14ac:dyDescent="0.3">
      <c r="A4965" t="str">
        <f>IF(AND(FORSIDE!$B$8&gt;=3,FORSIDE!$F$8&gt;=3,FORSIDE!$B$5&gt;=4),"S4964","")</f>
        <v/>
      </c>
      <c r="B4965" t="str">
        <f>IF(AND(FORSIDE!$B$8&gt;=3,FORSIDE!$F$8&gt;=3,FORSIDE!$B$5&gt;=4),"500 -&gt; 731","")</f>
        <v/>
      </c>
      <c r="C4965" t="str">
        <f>FORSIDE!$C$3</f>
        <v>S355, Stål / VFHUP 140x140x8.0</v>
      </c>
    </row>
    <row r="4966" spans="1:3" x14ac:dyDescent="0.3">
      <c r="A4966" t="str">
        <f>IF(AND(FORSIDE!$B$8&gt;=3,FORSIDE!$F$8&gt;=3,FORSIDE!$B$5&gt;=5),"S4965","")</f>
        <v/>
      </c>
      <c r="B4966" t="str">
        <f>IF(AND(FORSIDE!$B$8&gt;=3,FORSIDE!$F$8&gt;=3,FORSIDE!$B$5&gt;=5),"501 -&gt; 732","")</f>
        <v/>
      </c>
      <c r="C4966" t="str">
        <f>FORSIDE!$C$3</f>
        <v>S355, Stål / VFHUP 140x140x8.0</v>
      </c>
    </row>
    <row r="4967" spans="1:3" x14ac:dyDescent="0.3">
      <c r="A4967" t="str">
        <f>IF(AND(FORSIDE!$B$8&gt;=3,FORSIDE!$F$8&gt;=3,FORSIDE!$B$5&gt;=6),"S4966","")</f>
        <v/>
      </c>
      <c r="B4967" t="str">
        <f>IF(AND(FORSIDE!$B$8&gt;=3,FORSIDE!$F$8&gt;=3,FORSIDE!$B$5&gt;=6),"502 -&gt; 733","")</f>
        <v/>
      </c>
      <c r="C4967" t="str">
        <f>FORSIDE!$C$3</f>
        <v>S355, Stål / VFHUP 140x140x8.0</v>
      </c>
    </row>
    <row r="4968" spans="1:3" x14ac:dyDescent="0.3">
      <c r="A4968" t="str">
        <f>IF(AND(FORSIDE!$B$8&gt;=3,FORSIDE!$F$8&gt;=3,FORSIDE!$B$5&gt;=7),"S4967","")</f>
        <v/>
      </c>
      <c r="B4968" t="str">
        <f>IF(AND(FORSIDE!$B$8&gt;=3,FORSIDE!$F$8&gt;=3,FORSIDE!$B$5&gt;=7),"503 -&gt; 734","")</f>
        <v/>
      </c>
      <c r="C4968" t="str">
        <f>FORSIDE!$C$3</f>
        <v>S355, Stål / VFHUP 140x140x8.0</v>
      </c>
    </row>
    <row r="4969" spans="1:3" x14ac:dyDescent="0.3">
      <c r="A4969" t="str">
        <f>IF(AND(FORSIDE!$B$8&gt;=3,FORSIDE!$F$8&gt;=3,FORSIDE!$B$5&gt;=8),"S4968","")</f>
        <v/>
      </c>
      <c r="B4969" t="str">
        <f>IF(AND(FORSIDE!$B$8&gt;=3,FORSIDE!$F$8&gt;=3,FORSIDE!$B$5&gt;=8),"504 -&gt; 735","")</f>
        <v/>
      </c>
      <c r="C4969" t="str">
        <f>FORSIDE!$C$3</f>
        <v>S355, Stål / VFHUP 140x140x8.0</v>
      </c>
    </row>
    <row r="4970" spans="1:3" x14ac:dyDescent="0.3">
      <c r="A4970" t="str">
        <f>IF(AND(FORSIDE!$B$8&gt;=3,FORSIDE!$F$8&gt;=3,FORSIDE!$B$5&gt;=9),"S4969","")</f>
        <v/>
      </c>
      <c r="B4970" t="str">
        <f>IF(AND(FORSIDE!$B$8&gt;=3,FORSIDE!$F$8&gt;=3,FORSIDE!$B$5&gt;=9),"505 -&gt; 736","")</f>
        <v/>
      </c>
      <c r="C4970" t="str">
        <f>FORSIDE!$C$3</f>
        <v>S355, Stål / VFHUP 140x140x8.0</v>
      </c>
    </row>
    <row r="4971" spans="1:3" x14ac:dyDescent="0.3">
      <c r="A4971" t="str">
        <f>IF(AND(FORSIDE!$B$8&gt;=3,FORSIDE!$F$8&gt;=3,FORSIDE!$B$5&gt;=10),"S4970","")</f>
        <v/>
      </c>
      <c r="B4971" t="str">
        <f>IF(AND(FORSIDE!$B$8&gt;=3,FORSIDE!$F$8&gt;=3,FORSIDE!$B$5&gt;=10),"506 -&gt; 737","")</f>
        <v/>
      </c>
      <c r="C4971" t="str">
        <f>FORSIDE!$C$3</f>
        <v>S355, Stål / VFHUP 140x140x8.0</v>
      </c>
    </row>
    <row r="4972" spans="1:3" x14ac:dyDescent="0.3">
      <c r="A4972" t="str">
        <f>IF(AND(FORSIDE!$B$8&gt;=4,FORSIDE!$F$8&gt;=3,FORSIDE!$B$5&gt;=1),"S4971","")</f>
        <v/>
      </c>
      <c r="B4972" t="str">
        <f>IF(AND(FORSIDE!$B$8&gt;=4,FORSIDE!$F$8&gt;=3,FORSIDE!$B$5&gt;=1),"508 -&gt; 739","")</f>
        <v/>
      </c>
      <c r="C4972" t="str">
        <f>FORSIDE!$C$3</f>
        <v>S355, Stål / VFHUP 140x140x8.0</v>
      </c>
    </row>
    <row r="4973" spans="1:3" x14ac:dyDescent="0.3">
      <c r="A4973" t="str">
        <f>IF(AND(FORSIDE!$B$8&gt;=4,FORSIDE!$F$8&gt;=3,FORSIDE!$B$5&gt;=2),"S4972","")</f>
        <v/>
      </c>
      <c r="B4973" t="str">
        <f>IF(AND(FORSIDE!$B$8&gt;=4,FORSIDE!$F$8&gt;=3,FORSIDE!$B$5&gt;=2),"509 -&gt; 740","")</f>
        <v/>
      </c>
      <c r="C4973" t="str">
        <f>FORSIDE!$C$3</f>
        <v>S355, Stål / VFHUP 140x140x8.0</v>
      </c>
    </row>
    <row r="4974" spans="1:3" x14ac:dyDescent="0.3">
      <c r="A4974" t="str">
        <f>IF(AND(FORSIDE!$B$8&gt;=4,FORSIDE!$F$8&gt;=3,FORSIDE!$B$5&gt;=3),"S4973","")</f>
        <v/>
      </c>
      <c r="B4974" t="str">
        <f>IF(AND(FORSIDE!$B$8&gt;=4,FORSIDE!$F$8&gt;=3,FORSIDE!$B$5&gt;=3),"510 -&gt; 741","")</f>
        <v/>
      </c>
      <c r="C4974" t="str">
        <f>FORSIDE!$C$3</f>
        <v>S355, Stål / VFHUP 140x140x8.0</v>
      </c>
    </row>
    <row r="4975" spans="1:3" x14ac:dyDescent="0.3">
      <c r="A4975" t="str">
        <f>IF(AND(FORSIDE!$B$8&gt;=4,FORSIDE!$F$8&gt;=3,FORSIDE!$B$5&gt;=4),"S4974","")</f>
        <v/>
      </c>
      <c r="B4975" t="str">
        <f>IF(AND(FORSIDE!$B$8&gt;=4,FORSIDE!$F$8&gt;=3,FORSIDE!$B$5&gt;=4),"511 -&gt; 742","")</f>
        <v/>
      </c>
      <c r="C4975" t="str">
        <f>FORSIDE!$C$3</f>
        <v>S355, Stål / VFHUP 140x140x8.0</v>
      </c>
    </row>
    <row r="4976" spans="1:3" x14ac:dyDescent="0.3">
      <c r="A4976" t="str">
        <f>IF(AND(FORSIDE!$B$8&gt;=4,FORSIDE!$F$8&gt;=3,FORSIDE!$B$5&gt;=5),"S4975","")</f>
        <v/>
      </c>
      <c r="B4976" t="str">
        <f>IF(AND(FORSIDE!$B$8&gt;=4,FORSIDE!$F$8&gt;=3,FORSIDE!$B$5&gt;=5),"512 -&gt; 743","")</f>
        <v/>
      </c>
      <c r="C4976" t="str">
        <f>FORSIDE!$C$3</f>
        <v>S355, Stål / VFHUP 140x140x8.0</v>
      </c>
    </row>
    <row r="4977" spans="1:3" x14ac:dyDescent="0.3">
      <c r="A4977" t="str">
        <f>IF(AND(FORSIDE!$B$8&gt;=4,FORSIDE!$F$8&gt;=3,FORSIDE!$B$5&gt;=6),"S4976","")</f>
        <v/>
      </c>
      <c r="B4977" t="str">
        <f>IF(AND(FORSIDE!$B$8&gt;=4,FORSIDE!$F$8&gt;=3,FORSIDE!$B$5&gt;=6),"513 -&gt; 744","")</f>
        <v/>
      </c>
      <c r="C4977" t="str">
        <f>FORSIDE!$C$3</f>
        <v>S355, Stål / VFHUP 140x140x8.0</v>
      </c>
    </row>
    <row r="4978" spans="1:3" x14ac:dyDescent="0.3">
      <c r="A4978" t="str">
        <f>IF(AND(FORSIDE!$B$8&gt;=4,FORSIDE!$F$8&gt;=3,FORSIDE!$B$5&gt;=7),"S4977","")</f>
        <v/>
      </c>
      <c r="B4978" t="str">
        <f>IF(AND(FORSIDE!$B$8&gt;=4,FORSIDE!$F$8&gt;=3,FORSIDE!$B$5&gt;=7),"514 -&gt; 745","")</f>
        <v/>
      </c>
      <c r="C4978" t="str">
        <f>FORSIDE!$C$3</f>
        <v>S355, Stål / VFHUP 140x140x8.0</v>
      </c>
    </row>
    <row r="4979" spans="1:3" x14ac:dyDescent="0.3">
      <c r="A4979" t="str">
        <f>IF(AND(FORSIDE!$B$8&gt;=4,FORSIDE!$F$8&gt;=3,FORSIDE!$B$5&gt;=8),"S4978","")</f>
        <v/>
      </c>
      <c r="B4979" t="str">
        <f>IF(AND(FORSIDE!$B$8&gt;=4,FORSIDE!$F$8&gt;=3,FORSIDE!$B$5&gt;=8),"515 -&gt; 746","")</f>
        <v/>
      </c>
      <c r="C4979" t="str">
        <f>FORSIDE!$C$3</f>
        <v>S355, Stål / VFHUP 140x140x8.0</v>
      </c>
    </row>
    <row r="4980" spans="1:3" x14ac:dyDescent="0.3">
      <c r="A4980" t="str">
        <f>IF(AND(FORSIDE!$B$8&gt;=4,FORSIDE!$F$8&gt;=3,FORSIDE!$B$5&gt;=9),"S4979","")</f>
        <v/>
      </c>
      <c r="B4980" t="str">
        <f>IF(AND(FORSIDE!$B$8&gt;=4,FORSIDE!$F$8&gt;=3,FORSIDE!$B$5&gt;=9),"516 -&gt; 747","")</f>
        <v/>
      </c>
      <c r="C4980" t="str">
        <f>FORSIDE!$C$3</f>
        <v>S355, Stål / VFHUP 140x140x8.0</v>
      </c>
    </row>
    <row r="4981" spans="1:3" x14ac:dyDescent="0.3">
      <c r="A4981" t="str">
        <f>IF(AND(FORSIDE!$B$8&gt;=4,FORSIDE!$F$8&gt;=3,FORSIDE!$B$5&gt;=10),"S4980","")</f>
        <v/>
      </c>
      <c r="B4981" t="str">
        <f>IF(AND(FORSIDE!$B$8&gt;=4,FORSIDE!$F$8&gt;=3,FORSIDE!$B$5&gt;=10),"517 -&gt; 748","")</f>
        <v/>
      </c>
      <c r="C4981" t="str">
        <f>FORSIDE!$C$3</f>
        <v>S355, Stål / VFHUP 140x140x8.0</v>
      </c>
    </row>
    <row r="4982" spans="1:3" x14ac:dyDescent="0.3">
      <c r="A4982" t="str">
        <f>IF(AND(FORSIDE!$B$8&gt;=5,FORSIDE!$F$8&gt;=3,FORSIDE!$B$5&gt;=1),"S4981","")</f>
        <v/>
      </c>
      <c r="B4982" t="str">
        <f>IF(AND(FORSIDE!$B$8&gt;=5,FORSIDE!$F$8&gt;=3,FORSIDE!$B$5&gt;=1),"519 -&gt; 750","")</f>
        <v/>
      </c>
      <c r="C4982" t="str">
        <f>FORSIDE!$C$3</f>
        <v>S355, Stål / VFHUP 140x140x8.0</v>
      </c>
    </row>
    <row r="4983" spans="1:3" x14ac:dyDescent="0.3">
      <c r="A4983" t="str">
        <f>IF(AND(FORSIDE!$B$8&gt;=5,FORSIDE!$F$8&gt;=3,FORSIDE!$B$5&gt;=2),"S4982","")</f>
        <v/>
      </c>
      <c r="B4983" t="str">
        <f>IF(AND(FORSIDE!$B$8&gt;=5,FORSIDE!$F$8&gt;=3,FORSIDE!$B$5&gt;=2),"520 -&gt; 751","")</f>
        <v/>
      </c>
      <c r="C4983" t="str">
        <f>FORSIDE!$C$3</f>
        <v>S355, Stål / VFHUP 140x140x8.0</v>
      </c>
    </row>
    <row r="4984" spans="1:3" x14ac:dyDescent="0.3">
      <c r="A4984" t="str">
        <f>IF(AND(FORSIDE!$B$8&gt;=5,FORSIDE!$F$8&gt;=3,FORSIDE!$B$5&gt;=3),"S4983","")</f>
        <v/>
      </c>
      <c r="B4984" t="str">
        <f>IF(AND(FORSIDE!$B$8&gt;=5,FORSIDE!$F$8&gt;=3,FORSIDE!$B$5&gt;=3),"521 -&gt; 752","")</f>
        <v/>
      </c>
      <c r="C4984" t="str">
        <f>FORSIDE!$C$3</f>
        <v>S355, Stål / VFHUP 140x140x8.0</v>
      </c>
    </row>
    <row r="4985" spans="1:3" x14ac:dyDescent="0.3">
      <c r="A4985" t="str">
        <f>IF(AND(FORSIDE!$B$8&gt;=5,FORSIDE!$F$8&gt;=3,FORSIDE!$B$5&gt;=4),"S4984","")</f>
        <v/>
      </c>
      <c r="B4985" t="str">
        <f>IF(AND(FORSIDE!$B$8&gt;=5,FORSIDE!$F$8&gt;=3,FORSIDE!$B$5&gt;=4),"522 -&gt; 753","")</f>
        <v/>
      </c>
      <c r="C4985" t="str">
        <f>FORSIDE!$C$3</f>
        <v>S355, Stål / VFHUP 140x140x8.0</v>
      </c>
    </row>
    <row r="4986" spans="1:3" x14ac:dyDescent="0.3">
      <c r="A4986" t="str">
        <f>IF(AND(FORSIDE!$B$8&gt;=5,FORSIDE!$F$8&gt;=3,FORSIDE!$B$5&gt;=5),"S4985","")</f>
        <v/>
      </c>
      <c r="B4986" t="str">
        <f>IF(AND(FORSIDE!$B$8&gt;=5,FORSIDE!$F$8&gt;=3,FORSIDE!$B$5&gt;=5),"523 -&gt; 754","")</f>
        <v/>
      </c>
      <c r="C4986" t="str">
        <f>FORSIDE!$C$3</f>
        <v>S355, Stål / VFHUP 140x140x8.0</v>
      </c>
    </row>
    <row r="4987" spans="1:3" x14ac:dyDescent="0.3">
      <c r="A4987" t="str">
        <f>IF(AND(FORSIDE!$B$8&gt;=5,FORSIDE!$F$8&gt;=3,FORSIDE!$B$5&gt;=6),"S4986","")</f>
        <v/>
      </c>
      <c r="B4987" t="str">
        <f>IF(AND(FORSIDE!$B$8&gt;=5,FORSIDE!$F$8&gt;=3,FORSIDE!$B$5&gt;=6),"524 -&gt; 755","")</f>
        <v/>
      </c>
      <c r="C4987" t="str">
        <f>FORSIDE!$C$3</f>
        <v>S355, Stål / VFHUP 140x140x8.0</v>
      </c>
    </row>
    <row r="4988" spans="1:3" x14ac:dyDescent="0.3">
      <c r="A4988" t="str">
        <f>IF(AND(FORSIDE!$B$8&gt;=5,FORSIDE!$F$8&gt;=3,FORSIDE!$B$5&gt;=7),"S4987","")</f>
        <v/>
      </c>
      <c r="B4988" t="str">
        <f>IF(AND(FORSIDE!$B$8&gt;=5,FORSIDE!$F$8&gt;=3,FORSIDE!$B$5&gt;=7),"525 -&gt; 756","")</f>
        <v/>
      </c>
      <c r="C4988" t="str">
        <f>FORSIDE!$C$3</f>
        <v>S355, Stål / VFHUP 140x140x8.0</v>
      </c>
    </row>
    <row r="4989" spans="1:3" x14ac:dyDescent="0.3">
      <c r="A4989" t="str">
        <f>IF(AND(FORSIDE!$B$8&gt;=5,FORSIDE!$F$8&gt;=3,FORSIDE!$B$5&gt;=8),"S4988","")</f>
        <v/>
      </c>
      <c r="B4989" t="str">
        <f>IF(AND(FORSIDE!$B$8&gt;=5,FORSIDE!$F$8&gt;=3,FORSIDE!$B$5&gt;=8),"526 -&gt; 757","")</f>
        <v/>
      </c>
      <c r="C4989" t="str">
        <f>FORSIDE!$C$3</f>
        <v>S355, Stål / VFHUP 140x140x8.0</v>
      </c>
    </row>
    <row r="4990" spans="1:3" x14ac:dyDescent="0.3">
      <c r="A4990" t="str">
        <f>IF(AND(FORSIDE!$B$8&gt;=5,FORSIDE!$F$8&gt;=3,FORSIDE!$B$5&gt;=9),"S4989","")</f>
        <v/>
      </c>
      <c r="B4990" t="str">
        <f>IF(AND(FORSIDE!$B$8&gt;=5,FORSIDE!$F$8&gt;=3,FORSIDE!$B$5&gt;=9),"527 -&gt; 758","")</f>
        <v/>
      </c>
      <c r="C4990" t="str">
        <f>FORSIDE!$C$3</f>
        <v>S355, Stål / VFHUP 140x140x8.0</v>
      </c>
    </row>
    <row r="4991" spans="1:3" x14ac:dyDescent="0.3">
      <c r="A4991" t="str">
        <f>IF(AND(FORSIDE!$B$8&gt;=5,FORSIDE!$F$8&gt;=3,FORSIDE!$B$5&gt;=10),"S4990","")</f>
        <v/>
      </c>
      <c r="B4991" t="str">
        <f>IF(AND(FORSIDE!$B$8&gt;=5,FORSIDE!$F$8&gt;=3,FORSIDE!$B$5&gt;=10),"528 -&gt; 759","")</f>
        <v/>
      </c>
      <c r="C4991" t="str">
        <f>FORSIDE!$C$3</f>
        <v>S355, Stål / VFHUP 140x140x8.0</v>
      </c>
    </row>
    <row r="4992" spans="1:3" x14ac:dyDescent="0.3">
      <c r="A4992" t="str">
        <f>IF(AND(FORSIDE!$B$8&gt;=6,FORSIDE!$F$8&gt;=3,FORSIDE!$B$5&gt;=1),"S4991","")</f>
        <v/>
      </c>
      <c r="B4992" t="str">
        <f>IF(AND(FORSIDE!$B$8&gt;=6,FORSIDE!$F$8&gt;=3,FORSIDE!$B$5&gt;=1),"530 -&gt; 761","")</f>
        <v/>
      </c>
      <c r="C4992" t="str">
        <f>FORSIDE!$C$3</f>
        <v>S355, Stål / VFHUP 140x140x8.0</v>
      </c>
    </row>
    <row r="4993" spans="1:3" x14ac:dyDescent="0.3">
      <c r="A4993" t="str">
        <f>IF(AND(FORSIDE!$B$8&gt;=6,FORSIDE!$F$8&gt;=3,FORSIDE!$B$5&gt;=2),"S4992","")</f>
        <v/>
      </c>
      <c r="B4993" t="str">
        <f>IF(AND(FORSIDE!$B$8&gt;=6,FORSIDE!$F$8&gt;=3,FORSIDE!$B$5&gt;=2),"531 -&gt; 762","")</f>
        <v/>
      </c>
      <c r="C4993" t="str">
        <f>FORSIDE!$C$3</f>
        <v>S355, Stål / VFHUP 140x140x8.0</v>
      </c>
    </row>
    <row r="4994" spans="1:3" x14ac:dyDescent="0.3">
      <c r="A4994" t="str">
        <f>IF(AND(FORSIDE!$B$8&gt;=6,FORSIDE!$F$8&gt;=3,FORSIDE!$B$5&gt;=3),"S4993","")</f>
        <v/>
      </c>
      <c r="B4994" t="str">
        <f>IF(AND(FORSIDE!$B$8&gt;=6,FORSIDE!$F$8&gt;=3,FORSIDE!$B$5&gt;=3),"532 -&gt; 763","")</f>
        <v/>
      </c>
      <c r="C4994" t="str">
        <f>FORSIDE!$C$3</f>
        <v>S355, Stål / VFHUP 140x140x8.0</v>
      </c>
    </row>
    <row r="4995" spans="1:3" x14ac:dyDescent="0.3">
      <c r="A4995" t="str">
        <f>IF(AND(FORSIDE!$B$8&gt;=6,FORSIDE!$F$8&gt;=3,FORSIDE!$B$5&gt;=4),"S4994","")</f>
        <v/>
      </c>
      <c r="B4995" t="str">
        <f>IF(AND(FORSIDE!$B$8&gt;=6,FORSIDE!$F$8&gt;=3,FORSIDE!$B$5&gt;=4),"533 -&gt; 764","")</f>
        <v/>
      </c>
      <c r="C4995" t="str">
        <f>FORSIDE!$C$3</f>
        <v>S355, Stål / VFHUP 140x140x8.0</v>
      </c>
    </row>
    <row r="4996" spans="1:3" x14ac:dyDescent="0.3">
      <c r="A4996" t="str">
        <f>IF(AND(FORSIDE!$B$8&gt;=6,FORSIDE!$F$8&gt;=3,FORSIDE!$B$5&gt;=5),"S4995","")</f>
        <v/>
      </c>
      <c r="B4996" t="str">
        <f>IF(AND(FORSIDE!$B$8&gt;=6,FORSIDE!$F$8&gt;=3,FORSIDE!$B$5&gt;=5),"534 -&gt; 765","")</f>
        <v/>
      </c>
      <c r="C4996" t="str">
        <f>FORSIDE!$C$3</f>
        <v>S355, Stål / VFHUP 140x140x8.0</v>
      </c>
    </row>
    <row r="4997" spans="1:3" x14ac:dyDescent="0.3">
      <c r="A4997" t="str">
        <f>IF(AND(FORSIDE!$B$8&gt;=6,FORSIDE!$F$8&gt;=3,FORSIDE!$B$5&gt;=6),"S4996","")</f>
        <v/>
      </c>
      <c r="B4997" t="str">
        <f>IF(AND(FORSIDE!$B$8&gt;=6,FORSIDE!$F$8&gt;=3,FORSIDE!$B$5&gt;=6),"535 -&gt; 766","")</f>
        <v/>
      </c>
      <c r="C4997" t="str">
        <f>FORSIDE!$C$3</f>
        <v>S355, Stål / VFHUP 140x140x8.0</v>
      </c>
    </row>
    <row r="4998" spans="1:3" x14ac:dyDescent="0.3">
      <c r="A4998" t="str">
        <f>IF(AND(FORSIDE!$B$8&gt;=6,FORSIDE!$F$8&gt;=3,FORSIDE!$B$5&gt;=7),"S4997","")</f>
        <v/>
      </c>
      <c r="B4998" t="str">
        <f>IF(AND(FORSIDE!$B$8&gt;=6,FORSIDE!$F$8&gt;=3,FORSIDE!$B$5&gt;=7),"536 -&gt; 767","")</f>
        <v/>
      </c>
      <c r="C4998" t="str">
        <f>FORSIDE!$C$3</f>
        <v>S355, Stål / VFHUP 140x140x8.0</v>
      </c>
    </row>
    <row r="4999" spans="1:3" x14ac:dyDescent="0.3">
      <c r="A4999" t="str">
        <f>IF(AND(FORSIDE!$B$8&gt;=6,FORSIDE!$F$8&gt;=3,FORSIDE!$B$5&gt;=8),"S4998","")</f>
        <v/>
      </c>
      <c r="B4999" t="str">
        <f>IF(AND(FORSIDE!$B$8&gt;=6,FORSIDE!$F$8&gt;=3,FORSIDE!$B$5&gt;=8),"537 -&gt; 768","")</f>
        <v/>
      </c>
      <c r="C4999" t="str">
        <f>FORSIDE!$C$3</f>
        <v>S355, Stål / VFHUP 140x140x8.0</v>
      </c>
    </row>
    <row r="5000" spans="1:3" x14ac:dyDescent="0.3">
      <c r="A5000" t="str">
        <f>IF(AND(FORSIDE!$B$8&gt;=6,FORSIDE!$F$8&gt;=3,FORSIDE!$B$5&gt;=9),"S4999","")</f>
        <v/>
      </c>
      <c r="B5000" t="str">
        <f>IF(AND(FORSIDE!$B$8&gt;=6,FORSIDE!$F$8&gt;=3,FORSIDE!$B$5&gt;=9),"538 -&gt; 769","")</f>
        <v/>
      </c>
      <c r="C5000" t="str">
        <f>FORSIDE!$C$3</f>
        <v>S355, Stål / VFHUP 140x140x8.0</v>
      </c>
    </row>
    <row r="5001" spans="1:3" x14ac:dyDescent="0.3">
      <c r="A5001" t="str">
        <f>IF(AND(FORSIDE!$B$8&gt;=6,FORSIDE!$F$8&gt;=3,FORSIDE!$B$5&gt;=10),"S5000","")</f>
        <v/>
      </c>
      <c r="B5001" t="str">
        <f>IF(AND(FORSIDE!$B$8&gt;=6,FORSIDE!$F$8&gt;=3,FORSIDE!$B$5&gt;=10),"539 -&gt; 770","")</f>
        <v/>
      </c>
      <c r="C5001" t="str">
        <f>FORSIDE!$C$3</f>
        <v>S355, Stål / VFHUP 140x140x8.0</v>
      </c>
    </row>
    <row r="5002" spans="1:3" x14ac:dyDescent="0.3">
      <c r="A5002" t="str">
        <f>IF(AND(FORSIDE!$B$8&gt;=7,FORSIDE!$F$8&gt;=3,FORSIDE!$B$5&gt;=1),"S5001","")</f>
        <v/>
      </c>
      <c r="B5002" t="str">
        <f>IF(AND(FORSIDE!$B$8&gt;=7,FORSIDE!$F$8&gt;=3,FORSIDE!$B$5&gt;=1),"541 -&gt; 772","")</f>
        <v/>
      </c>
      <c r="C5002" t="str">
        <f>FORSIDE!$C$3</f>
        <v>S355, Stål / VFHUP 140x140x8.0</v>
      </c>
    </row>
    <row r="5003" spans="1:3" x14ac:dyDescent="0.3">
      <c r="A5003" t="str">
        <f>IF(AND(FORSIDE!$B$8&gt;=7,FORSIDE!$F$8&gt;=3,FORSIDE!$B$5&gt;=2),"S5002","")</f>
        <v/>
      </c>
      <c r="B5003" t="str">
        <f>IF(AND(FORSIDE!$B$8&gt;=7,FORSIDE!$F$8&gt;=3,FORSIDE!$B$5&gt;=2),"542 -&gt; 773","")</f>
        <v/>
      </c>
      <c r="C5003" t="str">
        <f>FORSIDE!$C$3</f>
        <v>S355, Stål / VFHUP 140x140x8.0</v>
      </c>
    </row>
    <row r="5004" spans="1:3" x14ac:dyDescent="0.3">
      <c r="A5004" t="str">
        <f>IF(AND(FORSIDE!$B$8&gt;=7,FORSIDE!$F$8&gt;=3,FORSIDE!$B$5&gt;=3),"S5003","")</f>
        <v/>
      </c>
      <c r="B5004" t="str">
        <f>IF(AND(FORSIDE!$B$8&gt;=7,FORSIDE!$F$8&gt;=3,FORSIDE!$B$5&gt;=3),"543 -&gt; 774","")</f>
        <v/>
      </c>
      <c r="C5004" t="str">
        <f>FORSIDE!$C$3</f>
        <v>S355, Stål / VFHUP 140x140x8.0</v>
      </c>
    </row>
    <row r="5005" spans="1:3" x14ac:dyDescent="0.3">
      <c r="A5005" t="str">
        <f>IF(AND(FORSIDE!$B$8&gt;=7,FORSIDE!$F$8&gt;=3,FORSIDE!$B$5&gt;=4),"S5004","")</f>
        <v/>
      </c>
      <c r="B5005" t="str">
        <f>IF(AND(FORSIDE!$B$8&gt;=7,FORSIDE!$F$8&gt;=3,FORSIDE!$B$5&gt;=4),"544 -&gt; 775","")</f>
        <v/>
      </c>
      <c r="C5005" t="str">
        <f>FORSIDE!$C$3</f>
        <v>S355, Stål / VFHUP 140x140x8.0</v>
      </c>
    </row>
    <row r="5006" spans="1:3" x14ac:dyDescent="0.3">
      <c r="A5006" t="str">
        <f>IF(AND(FORSIDE!$B$8&gt;=7,FORSIDE!$F$8&gt;=3,FORSIDE!$B$5&gt;=5),"S5005","")</f>
        <v/>
      </c>
      <c r="B5006" t="str">
        <f>IF(AND(FORSIDE!$B$8&gt;=7,FORSIDE!$F$8&gt;=3,FORSIDE!$B$5&gt;=5),"545 -&gt; 776","")</f>
        <v/>
      </c>
      <c r="C5006" t="str">
        <f>FORSIDE!$C$3</f>
        <v>S355, Stål / VFHUP 140x140x8.0</v>
      </c>
    </row>
    <row r="5007" spans="1:3" x14ac:dyDescent="0.3">
      <c r="A5007" t="str">
        <f>IF(AND(FORSIDE!$B$8&gt;=7,FORSIDE!$F$8&gt;=3,FORSIDE!$B$5&gt;=6),"S5006","")</f>
        <v/>
      </c>
      <c r="B5007" t="str">
        <f>IF(AND(FORSIDE!$B$8&gt;=7,FORSIDE!$F$8&gt;=3,FORSIDE!$B$5&gt;=6),"546 -&gt; 777","")</f>
        <v/>
      </c>
      <c r="C5007" t="str">
        <f>FORSIDE!$C$3</f>
        <v>S355, Stål / VFHUP 140x140x8.0</v>
      </c>
    </row>
    <row r="5008" spans="1:3" x14ac:dyDescent="0.3">
      <c r="A5008" t="str">
        <f>IF(AND(FORSIDE!$B$8&gt;=7,FORSIDE!$F$8&gt;=3,FORSIDE!$B$5&gt;=7),"S5007","")</f>
        <v/>
      </c>
      <c r="B5008" t="str">
        <f>IF(AND(FORSIDE!$B$8&gt;=7,FORSIDE!$F$8&gt;=3,FORSIDE!$B$5&gt;=7),"547 -&gt; 778","")</f>
        <v/>
      </c>
      <c r="C5008" t="str">
        <f>FORSIDE!$C$3</f>
        <v>S355, Stål / VFHUP 140x140x8.0</v>
      </c>
    </row>
    <row r="5009" spans="1:3" x14ac:dyDescent="0.3">
      <c r="A5009" t="str">
        <f>IF(AND(FORSIDE!$B$8&gt;=7,FORSIDE!$F$8&gt;=3,FORSIDE!$B$5&gt;=8),"S5008","")</f>
        <v/>
      </c>
      <c r="B5009" t="str">
        <f>IF(AND(FORSIDE!$B$8&gt;=7,FORSIDE!$F$8&gt;=3,FORSIDE!$B$5&gt;=8),"548 -&gt; 779","")</f>
        <v/>
      </c>
      <c r="C5009" t="str">
        <f>FORSIDE!$C$3</f>
        <v>S355, Stål / VFHUP 140x140x8.0</v>
      </c>
    </row>
    <row r="5010" spans="1:3" x14ac:dyDescent="0.3">
      <c r="A5010" t="str">
        <f>IF(AND(FORSIDE!$B$8&gt;=7,FORSIDE!$F$8&gt;=3,FORSIDE!$B$5&gt;=9),"S5009","")</f>
        <v/>
      </c>
      <c r="B5010" t="str">
        <f>IF(AND(FORSIDE!$B$8&gt;=7,FORSIDE!$F$8&gt;=3,FORSIDE!$B$5&gt;=9),"549 -&gt; 780","")</f>
        <v/>
      </c>
      <c r="C5010" t="str">
        <f>FORSIDE!$C$3</f>
        <v>S355, Stål / VFHUP 140x140x8.0</v>
      </c>
    </row>
    <row r="5011" spans="1:3" x14ac:dyDescent="0.3">
      <c r="A5011" t="str">
        <f>IF(AND(FORSIDE!$B$8&gt;=7,FORSIDE!$F$8&gt;=3,FORSIDE!$B$5&gt;=10),"S5010","")</f>
        <v/>
      </c>
      <c r="B5011" t="str">
        <f>IF(AND(FORSIDE!$B$8&gt;=7,FORSIDE!$F$8&gt;=3,FORSIDE!$B$5&gt;=10),"550 -&gt; 781","")</f>
        <v/>
      </c>
      <c r="C5011" t="str">
        <f>FORSIDE!$C$3</f>
        <v>S355, Stål / VFHUP 140x140x8.0</v>
      </c>
    </row>
    <row r="5012" spans="1:3" x14ac:dyDescent="0.3">
      <c r="A5012" t="str">
        <f>IF(AND(FORSIDE!$B$8&gt;=8,FORSIDE!$F$8&gt;=3,FORSIDE!$B$5&gt;=1),"S5011","")</f>
        <v/>
      </c>
      <c r="B5012" t="str">
        <f>IF(AND(FORSIDE!$B$8&gt;=8,FORSIDE!$F$8&gt;=3,FORSIDE!$B$5&gt;=1),"552 -&gt; 783","")</f>
        <v/>
      </c>
      <c r="C5012" t="str">
        <f>FORSIDE!$C$3</f>
        <v>S355, Stål / VFHUP 140x140x8.0</v>
      </c>
    </row>
    <row r="5013" spans="1:3" x14ac:dyDescent="0.3">
      <c r="A5013" t="str">
        <f>IF(AND(FORSIDE!$B$8&gt;=8,FORSIDE!$F$8&gt;=3,FORSIDE!$B$5&gt;=2),"S5012","")</f>
        <v/>
      </c>
      <c r="B5013" t="str">
        <f>IF(AND(FORSIDE!$B$8&gt;=8,FORSIDE!$F$8&gt;=3,FORSIDE!$B$5&gt;=2),"553 -&gt; 784","")</f>
        <v/>
      </c>
      <c r="C5013" t="str">
        <f>FORSIDE!$C$3</f>
        <v>S355, Stål / VFHUP 140x140x8.0</v>
      </c>
    </row>
    <row r="5014" spans="1:3" x14ac:dyDescent="0.3">
      <c r="A5014" t="str">
        <f>IF(AND(FORSIDE!$B$8&gt;=8,FORSIDE!$F$8&gt;=3,FORSIDE!$B$5&gt;=3),"S5013","")</f>
        <v/>
      </c>
      <c r="B5014" t="str">
        <f>IF(AND(FORSIDE!$B$8&gt;=8,FORSIDE!$F$8&gt;=3,FORSIDE!$B$5&gt;=3),"554 -&gt; 785","")</f>
        <v/>
      </c>
      <c r="C5014" t="str">
        <f>FORSIDE!$C$3</f>
        <v>S355, Stål / VFHUP 140x140x8.0</v>
      </c>
    </row>
    <row r="5015" spans="1:3" x14ac:dyDescent="0.3">
      <c r="A5015" t="str">
        <f>IF(AND(FORSIDE!$B$8&gt;=8,FORSIDE!$F$8&gt;=3,FORSIDE!$B$5&gt;=4),"S5014","")</f>
        <v/>
      </c>
      <c r="B5015" t="str">
        <f>IF(AND(FORSIDE!$B$8&gt;=8,FORSIDE!$F$8&gt;=3,FORSIDE!$B$5&gt;=4),"555 -&gt; 786","")</f>
        <v/>
      </c>
      <c r="C5015" t="str">
        <f>FORSIDE!$C$3</f>
        <v>S355, Stål / VFHUP 140x140x8.0</v>
      </c>
    </row>
    <row r="5016" spans="1:3" x14ac:dyDescent="0.3">
      <c r="A5016" t="str">
        <f>IF(AND(FORSIDE!$B$8&gt;=8,FORSIDE!$F$8&gt;=3,FORSIDE!$B$5&gt;=5),"S5015","")</f>
        <v/>
      </c>
      <c r="B5016" t="str">
        <f>IF(AND(FORSIDE!$B$8&gt;=8,FORSIDE!$F$8&gt;=3,FORSIDE!$B$5&gt;=5),"556 -&gt; 787","")</f>
        <v/>
      </c>
      <c r="C5016" t="str">
        <f>FORSIDE!$C$3</f>
        <v>S355, Stål / VFHUP 140x140x8.0</v>
      </c>
    </row>
    <row r="5017" spans="1:3" x14ac:dyDescent="0.3">
      <c r="A5017" t="str">
        <f>IF(AND(FORSIDE!$B$8&gt;=8,FORSIDE!$F$8&gt;=3,FORSIDE!$B$5&gt;=6),"S5016","")</f>
        <v/>
      </c>
      <c r="B5017" t="str">
        <f>IF(AND(FORSIDE!$B$8&gt;=8,FORSIDE!$F$8&gt;=3,FORSIDE!$B$5&gt;=6),"557 -&gt; 788","")</f>
        <v/>
      </c>
      <c r="C5017" t="str">
        <f>FORSIDE!$C$3</f>
        <v>S355, Stål / VFHUP 140x140x8.0</v>
      </c>
    </row>
    <row r="5018" spans="1:3" x14ac:dyDescent="0.3">
      <c r="A5018" t="str">
        <f>IF(AND(FORSIDE!$B$8&gt;=8,FORSIDE!$F$8&gt;=3,FORSIDE!$B$5&gt;=7),"S5017","")</f>
        <v/>
      </c>
      <c r="B5018" t="str">
        <f>IF(AND(FORSIDE!$B$8&gt;=8,FORSIDE!$F$8&gt;=3,FORSIDE!$B$5&gt;=7),"558 -&gt; 789","")</f>
        <v/>
      </c>
      <c r="C5018" t="str">
        <f>FORSIDE!$C$3</f>
        <v>S355, Stål / VFHUP 140x140x8.0</v>
      </c>
    </row>
    <row r="5019" spans="1:3" x14ac:dyDescent="0.3">
      <c r="A5019" t="str">
        <f>IF(AND(FORSIDE!$B$8&gt;=8,FORSIDE!$F$8&gt;=3,FORSIDE!$B$5&gt;=8),"S5018","")</f>
        <v/>
      </c>
      <c r="B5019" t="str">
        <f>IF(AND(FORSIDE!$B$8&gt;=8,FORSIDE!$F$8&gt;=3,FORSIDE!$B$5&gt;=8),"559 -&gt; 790","")</f>
        <v/>
      </c>
      <c r="C5019" t="str">
        <f>FORSIDE!$C$3</f>
        <v>S355, Stål / VFHUP 140x140x8.0</v>
      </c>
    </row>
    <row r="5020" spans="1:3" x14ac:dyDescent="0.3">
      <c r="A5020" t="str">
        <f>IF(AND(FORSIDE!$B$8&gt;=8,FORSIDE!$F$8&gt;=3,FORSIDE!$B$5&gt;=9),"S5019","")</f>
        <v/>
      </c>
      <c r="B5020" t="str">
        <f>IF(AND(FORSIDE!$B$8&gt;=8,FORSIDE!$F$8&gt;=3,FORSIDE!$B$5&gt;=9),"560 -&gt; 791","")</f>
        <v/>
      </c>
      <c r="C5020" t="str">
        <f>FORSIDE!$C$3</f>
        <v>S355, Stål / VFHUP 140x140x8.0</v>
      </c>
    </row>
    <row r="5021" spans="1:3" x14ac:dyDescent="0.3">
      <c r="A5021" t="str">
        <f>IF(AND(FORSIDE!$B$8&gt;=8,FORSIDE!$F$8&gt;=3,FORSIDE!$B$5&gt;=10),"S5020","")</f>
        <v/>
      </c>
      <c r="B5021" t="str">
        <f>IF(AND(FORSIDE!$B$8&gt;=8,FORSIDE!$F$8&gt;=3,FORSIDE!$B$5&gt;=10),"561 -&gt; 792","")</f>
        <v/>
      </c>
      <c r="C5021" t="str">
        <f>FORSIDE!$C$3</f>
        <v>S355, Stål / VFHUP 140x140x8.0</v>
      </c>
    </row>
    <row r="5022" spans="1:3" x14ac:dyDescent="0.3">
      <c r="A5022" t="str">
        <f>IF(AND(FORSIDE!$B$8&gt;=9,FORSIDE!$F$8&gt;=3,FORSIDE!$B$5&gt;=1),"S5021","")</f>
        <v/>
      </c>
      <c r="B5022" t="str">
        <f>IF(AND(FORSIDE!$B$8&gt;=9,FORSIDE!$F$8&gt;=3,FORSIDE!$B$5&gt;=1),"563 -&gt; 794","")</f>
        <v/>
      </c>
      <c r="C5022" t="str">
        <f>FORSIDE!$C$3</f>
        <v>S355, Stål / VFHUP 140x140x8.0</v>
      </c>
    </row>
    <row r="5023" spans="1:3" x14ac:dyDescent="0.3">
      <c r="A5023" t="str">
        <f>IF(AND(FORSIDE!$B$8&gt;=9,FORSIDE!$F$8&gt;=3,FORSIDE!$B$5&gt;=2),"S5022","")</f>
        <v/>
      </c>
      <c r="B5023" t="str">
        <f>IF(AND(FORSIDE!$B$8&gt;=9,FORSIDE!$F$8&gt;=3,FORSIDE!$B$5&gt;=2),"564 -&gt; 795","")</f>
        <v/>
      </c>
      <c r="C5023" t="str">
        <f>FORSIDE!$C$3</f>
        <v>S355, Stål / VFHUP 140x140x8.0</v>
      </c>
    </row>
    <row r="5024" spans="1:3" x14ac:dyDescent="0.3">
      <c r="A5024" t="str">
        <f>IF(AND(FORSIDE!$B$8&gt;=9,FORSIDE!$F$8&gt;=3,FORSIDE!$B$5&gt;=3),"S5023","")</f>
        <v/>
      </c>
      <c r="B5024" t="str">
        <f>IF(AND(FORSIDE!$B$8&gt;=9,FORSIDE!$F$8&gt;=3,FORSIDE!$B$5&gt;=3),"565 -&gt; 796","")</f>
        <v/>
      </c>
      <c r="C5024" t="str">
        <f>FORSIDE!$C$3</f>
        <v>S355, Stål / VFHUP 140x140x8.0</v>
      </c>
    </row>
    <row r="5025" spans="1:3" x14ac:dyDescent="0.3">
      <c r="A5025" t="str">
        <f>IF(AND(FORSIDE!$B$8&gt;=9,FORSIDE!$F$8&gt;=3,FORSIDE!$B$5&gt;=4),"S5024","")</f>
        <v/>
      </c>
      <c r="B5025" t="str">
        <f>IF(AND(FORSIDE!$B$8&gt;=9,FORSIDE!$F$8&gt;=3,FORSIDE!$B$5&gt;=4),"566 -&gt; 797","")</f>
        <v/>
      </c>
      <c r="C5025" t="str">
        <f>FORSIDE!$C$3</f>
        <v>S355, Stål / VFHUP 140x140x8.0</v>
      </c>
    </row>
    <row r="5026" spans="1:3" x14ac:dyDescent="0.3">
      <c r="A5026" t="str">
        <f>IF(AND(FORSIDE!$B$8&gt;=9,FORSIDE!$F$8&gt;=3,FORSIDE!$B$5&gt;=5),"S5025","")</f>
        <v/>
      </c>
      <c r="B5026" t="str">
        <f>IF(AND(FORSIDE!$B$8&gt;=9,FORSIDE!$F$8&gt;=3,FORSIDE!$B$5&gt;=5),"567 -&gt; 798","")</f>
        <v/>
      </c>
      <c r="C5026" t="str">
        <f>FORSIDE!$C$3</f>
        <v>S355, Stål / VFHUP 140x140x8.0</v>
      </c>
    </row>
    <row r="5027" spans="1:3" x14ac:dyDescent="0.3">
      <c r="A5027" t="str">
        <f>IF(AND(FORSIDE!$B$8&gt;=9,FORSIDE!$F$8&gt;=3,FORSIDE!$B$5&gt;=6),"S5026","")</f>
        <v/>
      </c>
      <c r="B5027" t="str">
        <f>IF(AND(FORSIDE!$B$8&gt;=9,FORSIDE!$F$8&gt;=3,FORSIDE!$B$5&gt;=6),"568 -&gt; 799","")</f>
        <v/>
      </c>
      <c r="C5027" t="str">
        <f>FORSIDE!$C$3</f>
        <v>S355, Stål / VFHUP 140x140x8.0</v>
      </c>
    </row>
    <row r="5028" spans="1:3" x14ac:dyDescent="0.3">
      <c r="A5028" t="str">
        <f>IF(AND(FORSIDE!$B$8&gt;=9,FORSIDE!$F$8&gt;=3,FORSIDE!$B$5&gt;=7),"S5027","")</f>
        <v/>
      </c>
      <c r="B5028" t="str">
        <f>IF(AND(FORSIDE!$B$8&gt;=9,FORSIDE!$F$8&gt;=3,FORSIDE!$B$5&gt;=7),"569 -&gt; 800","")</f>
        <v/>
      </c>
      <c r="C5028" t="str">
        <f>FORSIDE!$C$3</f>
        <v>S355, Stål / VFHUP 140x140x8.0</v>
      </c>
    </row>
    <row r="5029" spans="1:3" x14ac:dyDescent="0.3">
      <c r="A5029" t="str">
        <f>IF(AND(FORSIDE!$B$8&gt;=9,FORSIDE!$F$8&gt;=3,FORSIDE!$B$5&gt;=8),"S5028","")</f>
        <v/>
      </c>
      <c r="B5029" t="str">
        <f>IF(AND(FORSIDE!$B$8&gt;=9,FORSIDE!$F$8&gt;=3,FORSIDE!$B$5&gt;=8),"570 -&gt; 801","")</f>
        <v/>
      </c>
      <c r="C5029" t="str">
        <f>FORSIDE!$C$3</f>
        <v>S355, Stål / VFHUP 140x140x8.0</v>
      </c>
    </row>
    <row r="5030" spans="1:3" x14ac:dyDescent="0.3">
      <c r="A5030" t="str">
        <f>IF(AND(FORSIDE!$B$8&gt;=9,FORSIDE!$F$8&gt;=3,FORSIDE!$B$5&gt;=9),"S5029","")</f>
        <v/>
      </c>
      <c r="B5030" t="str">
        <f>IF(AND(FORSIDE!$B$8&gt;=9,FORSIDE!$F$8&gt;=3,FORSIDE!$B$5&gt;=9),"571 -&gt; 802","")</f>
        <v/>
      </c>
      <c r="C5030" t="str">
        <f>FORSIDE!$C$3</f>
        <v>S355, Stål / VFHUP 140x140x8.0</v>
      </c>
    </row>
    <row r="5031" spans="1:3" x14ac:dyDescent="0.3">
      <c r="A5031" t="str">
        <f>IF(AND(FORSIDE!$B$8&gt;=9,FORSIDE!$F$8&gt;=3,FORSIDE!$B$5&gt;=10),"S5030","")</f>
        <v/>
      </c>
      <c r="B5031" t="str">
        <f>IF(AND(FORSIDE!$B$8&gt;=9,FORSIDE!$F$8&gt;=3,FORSIDE!$B$5&gt;=10),"572 -&gt; 803","")</f>
        <v/>
      </c>
      <c r="C5031" t="str">
        <f>FORSIDE!$C$3</f>
        <v>S355, Stål / VFHUP 140x140x8.0</v>
      </c>
    </row>
    <row r="5032" spans="1:3" x14ac:dyDescent="0.3">
      <c r="A5032" t="str">
        <f>IF(AND(FORSIDE!$B$8&gt;=10,FORSIDE!$F$8&gt;=3,FORSIDE!$B$5&gt;=1),"S5031","")</f>
        <v/>
      </c>
      <c r="B5032" t="str">
        <f>IF(AND(FORSIDE!$B$8&gt;=10,FORSIDE!$F$8&gt;=3,FORSIDE!$B$5&gt;=1),"574 -&gt; 805","")</f>
        <v/>
      </c>
      <c r="C5032" t="str">
        <f>FORSIDE!$C$3</f>
        <v>S355, Stål / VFHUP 140x140x8.0</v>
      </c>
    </row>
    <row r="5033" spans="1:3" x14ac:dyDescent="0.3">
      <c r="A5033" t="str">
        <f>IF(AND(FORSIDE!$B$8&gt;=10,FORSIDE!$F$8&gt;=3,FORSIDE!$B$5&gt;=2),"S5032","")</f>
        <v/>
      </c>
      <c r="B5033" t="str">
        <f>IF(AND(FORSIDE!$B$8&gt;=10,FORSIDE!$F$8&gt;=3,FORSIDE!$B$5&gt;=2),"575 -&gt; 806","")</f>
        <v/>
      </c>
      <c r="C5033" t="str">
        <f>FORSIDE!$C$3</f>
        <v>S355, Stål / VFHUP 140x140x8.0</v>
      </c>
    </row>
    <row r="5034" spans="1:3" x14ac:dyDescent="0.3">
      <c r="A5034" t="str">
        <f>IF(AND(FORSIDE!$B$8&gt;=10,FORSIDE!$F$8&gt;=3,FORSIDE!$B$5&gt;=3),"S5033","")</f>
        <v/>
      </c>
      <c r="B5034" t="str">
        <f>IF(AND(FORSIDE!$B$8&gt;=10,FORSIDE!$F$8&gt;=3,FORSIDE!$B$5&gt;=3),"576 -&gt; 807","")</f>
        <v/>
      </c>
      <c r="C5034" t="str">
        <f>FORSIDE!$C$3</f>
        <v>S355, Stål / VFHUP 140x140x8.0</v>
      </c>
    </row>
    <row r="5035" spans="1:3" x14ac:dyDescent="0.3">
      <c r="A5035" t="str">
        <f>IF(AND(FORSIDE!$B$8&gt;=10,FORSIDE!$F$8&gt;=3,FORSIDE!$B$5&gt;=4),"S5034","")</f>
        <v/>
      </c>
      <c r="B5035" t="str">
        <f>IF(AND(FORSIDE!$B$8&gt;=10,FORSIDE!$F$8&gt;=3,FORSIDE!$B$5&gt;=4),"577 -&gt; 808","")</f>
        <v/>
      </c>
      <c r="C5035" t="str">
        <f>FORSIDE!$C$3</f>
        <v>S355, Stål / VFHUP 140x140x8.0</v>
      </c>
    </row>
    <row r="5036" spans="1:3" x14ac:dyDescent="0.3">
      <c r="A5036" t="str">
        <f>IF(AND(FORSIDE!$B$8&gt;=10,FORSIDE!$F$8&gt;=3,FORSIDE!$B$5&gt;=5),"S5035","")</f>
        <v/>
      </c>
      <c r="B5036" t="str">
        <f>IF(AND(FORSIDE!$B$8&gt;=10,FORSIDE!$F$8&gt;=3,FORSIDE!$B$5&gt;=5),"578 -&gt; 809","")</f>
        <v/>
      </c>
      <c r="C5036" t="str">
        <f>FORSIDE!$C$3</f>
        <v>S355, Stål / VFHUP 140x140x8.0</v>
      </c>
    </row>
    <row r="5037" spans="1:3" x14ac:dyDescent="0.3">
      <c r="A5037" t="str">
        <f>IF(AND(FORSIDE!$B$8&gt;=10,FORSIDE!$F$8&gt;=3,FORSIDE!$B$5&gt;=6),"S5036","")</f>
        <v/>
      </c>
      <c r="B5037" t="str">
        <f>IF(AND(FORSIDE!$B$8&gt;=10,FORSIDE!$F$8&gt;=3,FORSIDE!$B$5&gt;=6),"579 -&gt; 810","")</f>
        <v/>
      </c>
      <c r="C5037" t="str">
        <f>FORSIDE!$C$3</f>
        <v>S355, Stål / VFHUP 140x140x8.0</v>
      </c>
    </row>
    <row r="5038" spans="1:3" x14ac:dyDescent="0.3">
      <c r="A5038" t="str">
        <f>IF(AND(FORSIDE!$B$8&gt;=10,FORSIDE!$F$8&gt;=3,FORSIDE!$B$5&gt;=7),"S5037","")</f>
        <v/>
      </c>
      <c r="B5038" t="str">
        <f>IF(AND(FORSIDE!$B$8&gt;=10,FORSIDE!$F$8&gt;=3,FORSIDE!$B$5&gt;=7),"580 -&gt; 811","")</f>
        <v/>
      </c>
      <c r="C5038" t="str">
        <f>FORSIDE!$C$3</f>
        <v>S355, Stål / VFHUP 140x140x8.0</v>
      </c>
    </row>
    <row r="5039" spans="1:3" x14ac:dyDescent="0.3">
      <c r="A5039" t="str">
        <f>IF(AND(FORSIDE!$B$8&gt;=10,FORSIDE!$F$8&gt;=3,FORSIDE!$B$5&gt;=8),"S5038","")</f>
        <v/>
      </c>
      <c r="B5039" t="str">
        <f>IF(AND(FORSIDE!$B$8&gt;=10,FORSIDE!$F$8&gt;=3,FORSIDE!$B$5&gt;=8),"581 -&gt; 812","")</f>
        <v/>
      </c>
      <c r="C5039" t="str">
        <f>FORSIDE!$C$3</f>
        <v>S355, Stål / VFHUP 140x140x8.0</v>
      </c>
    </row>
    <row r="5040" spans="1:3" x14ac:dyDescent="0.3">
      <c r="A5040" t="str">
        <f>IF(AND(FORSIDE!$B$8&gt;=10,FORSIDE!$F$8&gt;=3,FORSIDE!$B$5&gt;=9),"S5039","")</f>
        <v/>
      </c>
      <c r="B5040" t="str">
        <f>IF(AND(FORSIDE!$B$8&gt;=10,FORSIDE!$F$8&gt;=3,FORSIDE!$B$5&gt;=9),"582 -&gt; 813","")</f>
        <v/>
      </c>
      <c r="C5040" t="str">
        <f>FORSIDE!$C$3</f>
        <v>S355, Stål / VFHUP 140x140x8.0</v>
      </c>
    </row>
    <row r="5041" spans="1:3" x14ac:dyDescent="0.3">
      <c r="A5041" t="str">
        <f>IF(AND(FORSIDE!$B$8&gt;=10,FORSIDE!$F$8&gt;=3,FORSIDE!$B$5&gt;=10),"S5040","")</f>
        <v/>
      </c>
      <c r="B5041" t="str">
        <f>IF(AND(FORSIDE!$B$8&gt;=10,FORSIDE!$F$8&gt;=3,FORSIDE!$B$5&gt;=10),"583 -&gt; 814","")</f>
        <v/>
      </c>
      <c r="C5041" t="str">
        <f>FORSIDE!$C$3</f>
        <v>S355, Stål / VFHUP 140x140x8.0</v>
      </c>
    </row>
    <row r="5042" spans="1:3" x14ac:dyDescent="0.3">
      <c r="A5042" t="str">
        <f>IF(AND(FORSIDE!$B$8&gt;=11,FORSIDE!$F$8&gt;=3,FORSIDE!$B$5&gt;=1),"S5041","")</f>
        <v/>
      </c>
      <c r="B5042" t="str">
        <f>IF(AND(FORSIDE!$B$8&gt;=11,FORSIDE!$F$8&gt;=3,FORSIDE!$B$5&gt;=1),"585 -&gt; 816","")</f>
        <v/>
      </c>
      <c r="C5042" t="str">
        <f>FORSIDE!$C$3</f>
        <v>S355, Stål / VFHUP 140x140x8.0</v>
      </c>
    </row>
    <row r="5043" spans="1:3" x14ac:dyDescent="0.3">
      <c r="A5043" t="str">
        <f>IF(AND(FORSIDE!$B$8&gt;=11,FORSIDE!$F$8&gt;=3,FORSIDE!$B$5&gt;=2),"S5042","")</f>
        <v/>
      </c>
      <c r="B5043" t="str">
        <f>IF(AND(FORSIDE!$B$8&gt;=11,FORSIDE!$F$8&gt;=3,FORSIDE!$B$5&gt;=2),"586 -&gt; 817","")</f>
        <v/>
      </c>
      <c r="C5043" t="str">
        <f>FORSIDE!$C$3</f>
        <v>S355, Stål / VFHUP 140x140x8.0</v>
      </c>
    </row>
    <row r="5044" spans="1:3" x14ac:dyDescent="0.3">
      <c r="A5044" t="str">
        <f>IF(AND(FORSIDE!$B$8&gt;=11,FORSIDE!$F$8&gt;=3,FORSIDE!$B$5&gt;=3),"S5043","")</f>
        <v/>
      </c>
      <c r="B5044" t="str">
        <f>IF(AND(FORSIDE!$B$8&gt;=11,FORSIDE!$F$8&gt;=3,FORSIDE!$B$5&gt;=3),"587 -&gt; 818","")</f>
        <v/>
      </c>
      <c r="C5044" t="str">
        <f>FORSIDE!$C$3</f>
        <v>S355, Stål / VFHUP 140x140x8.0</v>
      </c>
    </row>
    <row r="5045" spans="1:3" x14ac:dyDescent="0.3">
      <c r="A5045" t="str">
        <f>IF(AND(FORSIDE!$B$8&gt;=11,FORSIDE!$F$8&gt;=3,FORSIDE!$B$5&gt;=4),"S5044","")</f>
        <v/>
      </c>
      <c r="B5045" t="str">
        <f>IF(AND(FORSIDE!$B$8&gt;=11,FORSIDE!$F$8&gt;=3,FORSIDE!$B$5&gt;=4),"588 -&gt; 819","")</f>
        <v/>
      </c>
      <c r="C5045" t="str">
        <f>FORSIDE!$C$3</f>
        <v>S355, Stål / VFHUP 140x140x8.0</v>
      </c>
    </row>
    <row r="5046" spans="1:3" x14ac:dyDescent="0.3">
      <c r="A5046" t="str">
        <f>IF(AND(FORSIDE!$B$8&gt;=11,FORSIDE!$F$8&gt;=3,FORSIDE!$B$5&gt;=5),"S5045","")</f>
        <v/>
      </c>
      <c r="B5046" t="str">
        <f>IF(AND(FORSIDE!$B$8&gt;=11,FORSIDE!$F$8&gt;=3,FORSIDE!$B$5&gt;=5),"589 -&gt; 820","")</f>
        <v/>
      </c>
      <c r="C5046" t="str">
        <f>FORSIDE!$C$3</f>
        <v>S355, Stål / VFHUP 140x140x8.0</v>
      </c>
    </row>
    <row r="5047" spans="1:3" x14ac:dyDescent="0.3">
      <c r="A5047" t="str">
        <f>IF(AND(FORSIDE!$B$8&gt;=11,FORSIDE!$F$8&gt;=3,FORSIDE!$B$5&gt;=6),"S5046","")</f>
        <v/>
      </c>
      <c r="B5047" t="str">
        <f>IF(AND(FORSIDE!$B$8&gt;=11,FORSIDE!$F$8&gt;=3,FORSIDE!$B$5&gt;=6),"590 -&gt; 821","")</f>
        <v/>
      </c>
      <c r="C5047" t="str">
        <f>FORSIDE!$C$3</f>
        <v>S355, Stål / VFHUP 140x140x8.0</v>
      </c>
    </row>
    <row r="5048" spans="1:3" x14ac:dyDescent="0.3">
      <c r="A5048" t="str">
        <f>IF(AND(FORSIDE!$B$8&gt;=11,FORSIDE!$F$8&gt;=3,FORSIDE!$B$5&gt;=7),"S5047","")</f>
        <v/>
      </c>
      <c r="B5048" t="str">
        <f>IF(AND(FORSIDE!$B$8&gt;=11,FORSIDE!$F$8&gt;=3,FORSIDE!$B$5&gt;=7),"591 -&gt; 822","")</f>
        <v/>
      </c>
      <c r="C5048" t="str">
        <f>FORSIDE!$C$3</f>
        <v>S355, Stål / VFHUP 140x140x8.0</v>
      </c>
    </row>
    <row r="5049" spans="1:3" x14ac:dyDescent="0.3">
      <c r="A5049" t="str">
        <f>IF(AND(FORSIDE!$B$8&gt;=11,FORSIDE!$F$8&gt;=3,FORSIDE!$B$5&gt;=8),"S5048","")</f>
        <v/>
      </c>
      <c r="B5049" t="str">
        <f>IF(AND(FORSIDE!$B$8&gt;=11,FORSIDE!$F$8&gt;=3,FORSIDE!$B$5&gt;=8),"592 -&gt; 823","")</f>
        <v/>
      </c>
      <c r="C5049" t="str">
        <f>FORSIDE!$C$3</f>
        <v>S355, Stål / VFHUP 140x140x8.0</v>
      </c>
    </row>
    <row r="5050" spans="1:3" x14ac:dyDescent="0.3">
      <c r="A5050" t="str">
        <f>IF(AND(FORSIDE!$B$8&gt;=11,FORSIDE!$F$8&gt;=3,FORSIDE!$B$5&gt;=9),"S5049","")</f>
        <v/>
      </c>
      <c r="B5050" t="str">
        <f>IF(AND(FORSIDE!$B$8&gt;=11,FORSIDE!$F$8&gt;=3,FORSIDE!$B$5&gt;=9),"593 -&gt; 824","")</f>
        <v/>
      </c>
      <c r="C5050" t="str">
        <f>FORSIDE!$C$3</f>
        <v>S355, Stål / VFHUP 140x140x8.0</v>
      </c>
    </row>
    <row r="5051" spans="1:3" x14ac:dyDescent="0.3">
      <c r="A5051" t="str">
        <f>IF(AND(FORSIDE!$B$8&gt;=11,FORSIDE!$F$8&gt;=3,FORSIDE!$B$5&gt;=10),"S5050","")</f>
        <v/>
      </c>
      <c r="B5051" t="str">
        <f>IF(AND(FORSIDE!$B$8&gt;=11,FORSIDE!$F$8&gt;=3,FORSIDE!$B$5&gt;=10),"594 -&gt; 825","")</f>
        <v/>
      </c>
      <c r="C5051" t="str">
        <f>FORSIDE!$C$3</f>
        <v>S355, Stål / VFHUP 140x140x8.0</v>
      </c>
    </row>
    <row r="5052" spans="1:3" x14ac:dyDescent="0.3">
      <c r="A5052" t="str">
        <f>IF(AND(FORSIDE!$B$8&gt;=12,FORSIDE!$F$8&gt;=3,FORSIDE!$B$5&gt;=1),"S5051","")</f>
        <v/>
      </c>
      <c r="B5052" t="str">
        <f>IF(AND(FORSIDE!$B$8&gt;=12,FORSIDE!$F$8&gt;=3,FORSIDE!$B$5&gt;=1),"596 -&gt; 827","")</f>
        <v/>
      </c>
      <c r="C5052" t="str">
        <f>FORSIDE!$C$3</f>
        <v>S355, Stål / VFHUP 140x140x8.0</v>
      </c>
    </row>
    <row r="5053" spans="1:3" x14ac:dyDescent="0.3">
      <c r="A5053" t="str">
        <f>IF(AND(FORSIDE!$B$8&gt;=12,FORSIDE!$F$8&gt;=3,FORSIDE!$B$5&gt;=2),"S5052","")</f>
        <v/>
      </c>
      <c r="B5053" t="str">
        <f>IF(AND(FORSIDE!$B$8&gt;=12,FORSIDE!$F$8&gt;=3,FORSIDE!$B$5&gt;=2),"597 -&gt; 828","")</f>
        <v/>
      </c>
      <c r="C5053" t="str">
        <f>FORSIDE!$C$3</f>
        <v>S355, Stål / VFHUP 140x140x8.0</v>
      </c>
    </row>
    <row r="5054" spans="1:3" x14ac:dyDescent="0.3">
      <c r="A5054" t="str">
        <f>IF(AND(FORSIDE!$B$8&gt;=12,FORSIDE!$F$8&gt;=3,FORSIDE!$B$5&gt;=3),"S5053","")</f>
        <v/>
      </c>
      <c r="B5054" t="str">
        <f>IF(AND(FORSIDE!$B$8&gt;=12,FORSIDE!$F$8&gt;=3,FORSIDE!$B$5&gt;=3),"598 -&gt; 829","")</f>
        <v/>
      </c>
      <c r="C5054" t="str">
        <f>FORSIDE!$C$3</f>
        <v>S355, Stål / VFHUP 140x140x8.0</v>
      </c>
    </row>
    <row r="5055" spans="1:3" x14ac:dyDescent="0.3">
      <c r="A5055" t="str">
        <f>IF(AND(FORSIDE!$B$8&gt;=12,FORSIDE!$F$8&gt;=3,FORSIDE!$B$5&gt;=4),"S5054","")</f>
        <v/>
      </c>
      <c r="B5055" t="str">
        <f>IF(AND(FORSIDE!$B$8&gt;=12,FORSIDE!$F$8&gt;=3,FORSIDE!$B$5&gt;=4),"599 -&gt; 830","")</f>
        <v/>
      </c>
      <c r="C5055" t="str">
        <f>FORSIDE!$C$3</f>
        <v>S355, Stål / VFHUP 140x140x8.0</v>
      </c>
    </row>
    <row r="5056" spans="1:3" x14ac:dyDescent="0.3">
      <c r="A5056" t="str">
        <f>IF(AND(FORSIDE!$B$8&gt;=12,FORSIDE!$F$8&gt;=3,FORSIDE!$B$5&gt;=5),"S5055","")</f>
        <v/>
      </c>
      <c r="B5056" t="str">
        <f>IF(AND(FORSIDE!$B$8&gt;=12,FORSIDE!$F$8&gt;=3,FORSIDE!$B$5&gt;=5),"600 -&gt; 831","")</f>
        <v/>
      </c>
      <c r="C5056" t="str">
        <f>FORSIDE!$C$3</f>
        <v>S355, Stål / VFHUP 140x140x8.0</v>
      </c>
    </row>
    <row r="5057" spans="1:3" x14ac:dyDescent="0.3">
      <c r="A5057" t="str">
        <f>IF(AND(FORSIDE!$B$8&gt;=12,FORSIDE!$F$8&gt;=3,FORSIDE!$B$5&gt;=6),"S5056","")</f>
        <v/>
      </c>
      <c r="B5057" t="str">
        <f>IF(AND(FORSIDE!$B$8&gt;=12,FORSIDE!$F$8&gt;=3,FORSIDE!$B$5&gt;=6),"601 -&gt; 832","")</f>
        <v/>
      </c>
      <c r="C5057" t="str">
        <f>FORSIDE!$C$3</f>
        <v>S355, Stål / VFHUP 140x140x8.0</v>
      </c>
    </row>
    <row r="5058" spans="1:3" x14ac:dyDescent="0.3">
      <c r="A5058" t="str">
        <f>IF(AND(FORSIDE!$B$8&gt;=12,FORSIDE!$F$8&gt;=3,FORSIDE!$B$5&gt;=7),"S5057","")</f>
        <v/>
      </c>
      <c r="B5058" t="str">
        <f>IF(AND(FORSIDE!$B$8&gt;=12,FORSIDE!$F$8&gt;=3,FORSIDE!$B$5&gt;=7),"602 -&gt; 833","")</f>
        <v/>
      </c>
      <c r="C5058" t="str">
        <f>FORSIDE!$C$3</f>
        <v>S355, Stål / VFHUP 140x140x8.0</v>
      </c>
    </row>
    <row r="5059" spans="1:3" x14ac:dyDescent="0.3">
      <c r="A5059" t="str">
        <f>IF(AND(FORSIDE!$B$8&gt;=12,FORSIDE!$F$8&gt;=3,FORSIDE!$B$5&gt;=8),"S5058","")</f>
        <v/>
      </c>
      <c r="B5059" t="str">
        <f>IF(AND(FORSIDE!$B$8&gt;=12,FORSIDE!$F$8&gt;=3,FORSIDE!$B$5&gt;=8),"603 -&gt; 834","")</f>
        <v/>
      </c>
      <c r="C5059" t="str">
        <f>FORSIDE!$C$3</f>
        <v>S355, Stål / VFHUP 140x140x8.0</v>
      </c>
    </row>
    <row r="5060" spans="1:3" x14ac:dyDescent="0.3">
      <c r="A5060" t="str">
        <f>IF(AND(FORSIDE!$B$8&gt;=12,FORSIDE!$F$8&gt;=3,FORSIDE!$B$5&gt;=9),"S5059","")</f>
        <v/>
      </c>
      <c r="B5060" t="str">
        <f>IF(AND(FORSIDE!$B$8&gt;=12,FORSIDE!$F$8&gt;=3,FORSIDE!$B$5&gt;=9),"604 -&gt; 835","")</f>
        <v/>
      </c>
      <c r="C5060" t="str">
        <f>FORSIDE!$C$3</f>
        <v>S355, Stål / VFHUP 140x140x8.0</v>
      </c>
    </row>
    <row r="5061" spans="1:3" x14ac:dyDescent="0.3">
      <c r="A5061" t="str">
        <f>IF(AND(FORSIDE!$B$8&gt;=12,FORSIDE!$F$8&gt;=3,FORSIDE!$B$5&gt;=10),"S5060","")</f>
        <v/>
      </c>
      <c r="B5061" t="str">
        <f>IF(AND(FORSIDE!$B$8&gt;=12,FORSIDE!$F$8&gt;=3,FORSIDE!$B$5&gt;=10),"605 -&gt; 836","")</f>
        <v/>
      </c>
      <c r="C5061" t="str">
        <f>FORSIDE!$C$3</f>
        <v>S355, Stål / VFHUP 140x140x8.0</v>
      </c>
    </row>
    <row r="5062" spans="1:3" x14ac:dyDescent="0.3">
      <c r="A5062" t="str">
        <f>IF(AND(FORSIDE!$B$8&gt;=13,FORSIDE!$F$8&gt;=3,FORSIDE!$B$5&gt;=1),"S5061","")</f>
        <v/>
      </c>
      <c r="B5062" t="str">
        <f>IF(AND(FORSIDE!$B$8&gt;=13,FORSIDE!$F$8&gt;=3,FORSIDE!$B$5&gt;=1),"607 -&gt; 838","")</f>
        <v/>
      </c>
      <c r="C5062" t="str">
        <f>FORSIDE!$C$3</f>
        <v>S355, Stål / VFHUP 140x140x8.0</v>
      </c>
    </row>
    <row r="5063" spans="1:3" x14ac:dyDescent="0.3">
      <c r="A5063" t="str">
        <f>IF(AND(FORSIDE!$B$8&gt;=13,FORSIDE!$F$8&gt;=3,FORSIDE!$B$5&gt;=2),"S5062","")</f>
        <v/>
      </c>
      <c r="B5063" t="str">
        <f>IF(AND(FORSIDE!$B$8&gt;=13,FORSIDE!$F$8&gt;=3,FORSIDE!$B$5&gt;=2),"608 -&gt; 839","")</f>
        <v/>
      </c>
      <c r="C5063" t="str">
        <f>FORSIDE!$C$3</f>
        <v>S355, Stål / VFHUP 140x140x8.0</v>
      </c>
    </row>
    <row r="5064" spans="1:3" x14ac:dyDescent="0.3">
      <c r="A5064" t="str">
        <f>IF(AND(FORSIDE!$B$8&gt;=13,FORSIDE!$F$8&gt;=3,FORSIDE!$B$5&gt;=3),"S5063","")</f>
        <v/>
      </c>
      <c r="B5064" t="str">
        <f>IF(AND(FORSIDE!$B$8&gt;=13,FORSIDE!$F$8&gt;=3,FORSIDE!$B$5&gt;=3),"609 -&gt; 840","")</f>
        <v/>
      </c>
      <c r="C5064" t="str">
        <f>FORSIDE!$C$3</f>
        <v>S355, Stål / VFHUP 140x140x8.0</v>
      </c>
    </row>
    <row r="5065" spans="1:3" x14ac:dyDescent="0.3">
      <c r="A5065" t="str">
        <f>IF(AND(FORSIDE!$B$8&gt;=13,FORSIDE!$F$8&gt;=3,FORSIDE!$B$5&gt;=4),"S5064","")</f>
        <v/>
      </c>
      <c r="B5065" t="str">
        <f>IF(AND(FORSIDE!$B$8&gt;=13,FORSIDE!$F$8&gt;=3,FORSIDE!$B$5&gt;=4),"610 -&gt; 841","")</f>
        <v/>
      </c>
      <c r="C5065" t="str">
        <f>FORSIDE!$C$3</f>
        <v>S355, Stål / VFHUP 140x140x8.0</v>
      </c>
    </row>
    <row r="5066" spans="1:3" x14ac:dyDescent="0.3">
      <c r="A5066" t="str">
        <f>IF(AND(FORSIDE!$B$8&gt;=13,FORSIDE!$F$8&gt;=3,FORSIDE!$B$5&gt;=5),"S5065","")</f>
        <v/>
      </c>
      <c r="B5066" t="str">
        <f>IF(AND(FORSIDE!$B$8&gt;=13,FORSIDE!$F$8&gt;=3,FORSIDE!$B$5&gt;=5),"611 -&gt; 842","")</f>
        <v/>
      </c>
      <c r="C5066" t="str">
        <f>FORSIDE!$C$3</f>
        <v>S355, Stål / VFHUP 140x140x8.0</v>
      </c>
    </row>
    <row r="5067" spans="1:3" x14ac:dyDescent="0.3">
      <c r="A5067" t="str">
        <f>IF(AND(FORSIDE!$B$8&gt;=13,FORSIDE!$F$8&gt;=3,FORSIDE!$B$5&gt;=6),"S5066","")</f>
        <v/>
      </c>
      <c r="B5067" t="str">
        <f>IF(AND(FORSIDE!$B$8&gt;=13,FORSIDE!$F$8&gt;=3,FORSIDE!$B$5&gt;=6),"612 -&gt; 843","")</f>
        <v/>
      </c>
      <c r="C5067" t="str">
        <f>FORSIDE!$C$3</f>
        <v>S355, Stål / VFHUP 140x140x8.0</v>
      </c>
    </row>
    <row r="5068" spans="1:3" x14ac:dyDescent="0.3">
      <c r="A5068" t="str">
        <f>IF(AND(FORSIDE!$B$8&gt;=13,FORSIDE!$F$8&gt;=3,FORSIDE!$B$5&gt;=7),"S5067","")</f>
        <v/>
      </c>
      <c r="B5068" t="str">
        <f>IF(AND(FORSIDE!$B$8&gt;=13,FORSIDE!$F$8&gt;=3,FORSIDE!$B$5&gt;=7),"613 -&gt; 844","")</f>
        <v/>
      </c>
      <c r="C5068" t="str">
        <f>FORSIDE!$C$3</f>
        <v>S355, Stål / VFHUP 140x140x8.0</v>
      </c>
    </row>
    <row r="5069" spans="1:3" x14ac:dyDescent="0.3">
      <c r="A5069" t="str">
        <f>IF(AND(FORSIDE!$B$8&gt;=13,FORSIDE!$F$8&gt;=3,FORSIDE!$B$5&gt;=8),"S5068","")</f>
        <v/>
      </c>
      <c r="B5069" t="str">
        <f>IF(AND(FORSIDE!$B$8&gt;=13,FORSIDE!$F$8&gt;=3,FORSIDE!$B$5&gt;=8),"614 -&gt; 845","")</f>
        <v/>
      </c>
      <c r="C5069" t="str">
        <f>FORSIDE!$C$3</f>
        <v>S355, Stål / VFHUP 140x140x8.0</v>
      </c>
    </row>
    <row r="5070" spans="1:3" x14ac:dyDescent="0.3">
      <c r="A5070" t="str">
        <f>IF(AND(FORSIDE!$B$8&gt;=13,FORSIDE!$F$8&gt;=3,FORSIDE!$B$5&gt;=9),"S5069","")</f>
        <v/>
      </c>
      <c r="B5070" t="str">
        <f>IF(AND(FORSIDE!$B$8&gt;=13,FORSIDE!$F$8&gt;=3,FORSIDE!$B$5&gt;=9),"615 -&gt; 846","")</f>
        <v/>
      </c>
      <c r="C5070" t="str">
        <f>FORSIDE!$C$3</f>
        <v>S355, Stål / VFHUP 140x140x8.0</v>
      </c>
    </row>
    <row r="5071" spans="1:3" x14ac:dyDescent="0.3">
      <c r="A5071" t="str">
        <f>IF(AND(FORSIDE!$B$8&gt;=13,FORSIDE!$F$8&gt;=3,FORSIDE!$B$5&gt;=10),"S5070","")</f>
        <v/>
      </c>
      <c r="B5071" t="str">
        <f>IF(AND(FORSIDE!$B$8&gt;=13,FORSIDE!$F$8&gt;=3,FORSIDE!$B$5&gt;=10),"616 -&gt; 847","")</f>
        <v/>
      </c>
      <c r="C5071" t="str">
        <f>FORSIDE!$C$3</f>
        <v>S355, Stål / VFHUP 140x140x8.0</v>
      </c>
    </row>
    <row r="5072" spans="1:3" x14ac:dyDescent="0.3">
      <c r="A5072" t="str">
        <f>IF(AND(FORSIDE!$B$8&gt;=14,FORSIDE!$F$8&gt;=3,FORSIDE!$B$5&gt;=1),"S5071","")</f>
        <v/>
      </c>
      <c r="B5072" t="str">
        <f>IF(AND(FORSIDE!$B$8&gt;=14,FORSIDE!$F$8&gt;=3,FORSIDE!$B$5&gt;=1),"618 -&gt; 849","")</f>
        <v/>
      </c>
      <c r="C5072" t="str">
        <f>FORSIDE!$C$3</f>
        <v>S355, Stål / VFHUP 140x140x8.0</v>
      </c>
    </row>
    <row r="5073" spans="1:3" x14ac:dyDescent="0.3">
      <c r="A5073" t="str">
        <f>IF(AND(FORSIDE!$B$8&gt;=14,FORSIDE!$F$8&gt;=3,FORSIDE!$B$5&gt;=2),"S5072","")</f>
        <v/>
      </c>
      <c r="B5073" t="str">
        <f>IF(AND(FORSIDE!$B$8&gt;=14,FORSIDE!$F$8&gt;=3,FORSIDE!$B$5&gt;=2),"619 -&gt; 850","")</f>
        <v/>
      </c>
      <c r="C5073" t="str">
        <f>FORSIDE!$C$3</f>
        <v>S355, Stål / VFHUP 140x140x8.0</v>
      </c>
    </row>
    <row r="5074" spans="1:3" x14ac:dyDescent="0.3">
      <c r="A5074" t="str">
        <f>IF(AND(FORSIDE!$B$8&gt;=14,FORSIDE!$F$8&gt;=3,FORSIDE!$B$5&gt;=3),"S5073","")</f>
        <v/>
      </c>
      <c r="B5074" t="str">
        <f>IF(AND(FORSIDE!$B$8&gt;=14,FORSIDE!$F$8&gt;=3,FORSIDE!$B$5&gt;=3),"620 -&gt; 851","")</f>
        <v/>
      </c>
      <c r="C5074" t="str">
        <f>FORSIDE!$C$3</f>
        <v>S355, Stål / VFHUP 140x140x8.0</v>
      </c>
    </row>
    <row r="5075" spans="1:3" x14ac:dyDescent="0.3">
      <c r="A5075" t="str">
        <f>IF(AND(FORSIDE!$B$8&gt;=14,FORSIDE!$F$8&gt;=3,FORSIDE!$B$5&gt;=4),"S5074","")</f>
        <v/>
      </c>
      <c r="B5075" t="str">
        <f>IF(AND(FORSIDE!$B$8&gt;=14,FORSIDE!$F$8&gt;=3,FORSIDE!$B$5&gt;=4),"621 -&gt; 852","")</f>
        <v/>
      </c>
      <c r="C5075" t="str">
        <f>FORSIDE!$C$3</f>
        <v>S355, Stål / VFHUP 140x140x8.0</v>
      </c>
    </row>
    <row r="5076" spans="1:3" x14ac:dyDescent="0.3">
      <c r="A5076" t="str">
        <f>IF(AND(FORSIDE!$B$8&gt;=14,FORSIDE!$F$8&gt;=3,FORSIDE!$B$5&gt;=5),"S5075","")</f>
        <v/>
      </c>
      <c r="B5076" t="str">
        <f>IF(AND(FORSIDE!$B$8&gt;=14,FORSIDE!$F$8&gt;=3,FORSIDE!$B$5&gt;=5),"622 -&gt; 853","")</f>
        <v/>
      </c>
      <c r="C5076" t="str">
        <f>FORSIDE!$C$3</f>
        <v>S355, Stål / VFHUP 140x140x8.0</v>
      </c>
    </row>
    <row r="5077" spans="1:3" x14ac:dyDescent="0.3">
      <c r="A5077" t="str">
        <f>IF(AND(FORSIDE!$B$8&gt;=14,FORSIDE!$F$8&gt;=3,FORSIDE!$B$5&gt;=6),"S5076","")</f>
        <v/>
      </c>
      <c r="B5077" t="str">
        <f>IF(AND(FORSIDE!$B$8&gt;=14,FORSIDE!$F$8&gt;=3,FORSIDE!$B$5&gt;=6),"623 -&gt; 854","")</f>
        <v/>
      </c>
      <c r="C5077" t="str">
        <f>FORSIDE!$C$3</f>
        <v>S355, Stål / VFHUP 140x140x8.0</v>
      </c>
    </row>
    <row r="5078" spans="1:3" x14ac:dyDescent="0.3">
      <c r="A5078" t="str">
        <f>IF(AND(FORSIDE!$B$8&gt;=14,FORSIDE!$F$8&gt;=3,FORSIDE!$B$5&gt;=7),"S5077","")</f>
        <v/>
      </c>
      <c r="B5078" t="str">
        <f>IF(AND(FORSIDE!$B$8&gt;=14,FORSIDE!$F$8&gt;=3,FORSIDE!$B$5&gt;=7),"624 -&gt; 855","")</f>
        <v/>
      </c>
      <c r="C5078" t="str">
        <f>FORSIDE!$C$3</f>
        <v>S355, Stål / VFHUP 140x140x8.0</v>
      </c>
    </row>
    <row r="5079" spans="1:3" x14ac:dyDescent="0.3">
      <c r="A5079" t="str">
        <f>IF(AND(FORSIDE!$B$8&gt;=14,FORSIDE!$F$8&gt;=3,FORSIDE!$B$5&gt;=8),"S5078","")</f>
        <v/>
      </c>
      <c r="B5079" t="str">
        <f>IF(AND(FORSIDE!$B$8&gt;=14,FORSIDE!$F$8&gt;=3,FORSIDE!$B$5&gt;=8),"625 -&gt; 856","")</f>
        <v/>
      </c>
      <c r="C5079" t="str">
        <f>FORSIDE!$C$3</f>
        <v>S355, Stål / VFHUP 140x140x8.0</v>
      </c>
    </row>
    <row r="5080" spans="1:3" x14ac:dyDescent="0.3">
      <c r="A5080" t="str">
        <f>IF(AND(FORSIDE!$B$8&gt;=14,FORSIDE!$F$8&gt;=3,FORSIDE!$B$5&gt;=9),"S5079","")</f>
        <v/>
      </c>
      <c r="B5080" t="str">
        <f>IF(AND(FORSIDE!$B$8&gt;=14,FORSIDE!$F$8&gt;=3,FORSIDE!$B$5&gt;=9),"626 -&gt; 857","")</f>
        <v/>
      </c>
      <c r="C5080" t="str">
        <f>FORSIDE!$C$3</f>
        <v>S355, Stål / VFHUP 140x140x8.0</v>
      </c>
    </row>
    <row r="5081" spans="1:3" x14ac:dyDescent="0.3">
      <c r="A5081" t="str">
        <f>IF(AND(FORSIDE!$B$8&gt;=14,FORSIDE!$F$8&gt;=3,FORSIDE!$B$5&gt;=10),"S5080","")</f>
        <v/>
      </c>
      <c r="B5081" t="str">
        <f>IF(AND(FORSIDE!$B$8&gt;=14,FORSIDE!$F$8&gt;=3,FORSIDE!$B$5&gt;=10),"627 -&gt; 858","")</f>
        <v/>
      </c>
      <c r="C5081" t="str">
        <f>FORSIDE!$C$3</f>
        <v>S355, Stål / VFHUP 140x140x8.0</v>
      </c>
    </row>
    <row r="5082" spans="1:3" x14ac:dyDescent="0.3">
      <c r="A5082" t="str">
        <f>IF(AND(FORSIDE!$B$8&gt;=15,FORSIDE!$F$8&gt;=3,FORSIDE!$B$5&gt;=1),"S5081","")</f>
        <v/>
      </c>
      <c r="B5082" t="str">
        <f>IF(AND(FORSIDE!$B$8&gt;=15,FORSIDE!$F$8&gt;=3,FORSIDE!$B$5&gt;=1),"629 -&gt; 860","")</f>
        <v/>
      </c>
      <c r="C5082" t="str">
        <f>FORSIDE!$C$3</f>
        <v>S355, Stål / VFHUP 140x140x8.0</v>
      </c>
    </row>
    <row r="5083" spans="1:3" x14ac:dyDescent="0.3">
      <c r="A5083" t="str">
        <f>IF(AND(FORSIDE!$B$8&gt;=15,FORSIDE!$F$8&gt;=3,FORSIDE!$B$5&gt;=2),"S5082","")</f>
        <v/>
      </c>
      <c r="B5083" t="str">
        <f>IF(AND(FORSIDE!$B$8&gt;=15,FORSIDE!$F$8&gt;=3,FORSIDE!$B$5&gt;=2),"630 -&gt; 861","")</f>
        <v/>
      </c>
      <c r="C5083" t="str">
        <f>FORSIDE!$C$3</f>
        <v>S355, Stål / VFHUP 140x140x8.0</v>
      </c>
    </row>
    <row r="5084" spans="1:3" x14ac:dyDescent="0.3">
      <c r="A5084" t="str">
        <f>IF(AND(FORSIDE!$B$8&gt;=15,FORSIDE!$F$8&gt;=3,FORSIDE!$B$5&gt;=3),"S5083","")</f>
        <v/>
      </c>
      <c r="B5084" t="str">
        <f>IF(AND(FORSIDE!$B$8&gt;=15,FORSIDE!$F$8&gt;=3,FORSIDE!$B$5&gt;=3),"631 -&gt; 862","")</f>
        <v/>
      </c>
      <c r="C5084" t="str">
        <f>FORSIDE!$C$3</f>
        <v>S355, Stål / VFHUP 140x140x8.0</v>
      </c>
    </row>
    <row r="5085" spans="1:3" x14ac:dyDescent="0.3">
      <c r="A5085" t="str">
        <f>IF(AND(FORSIDE!$B$8&gt;=15,FORSIDE!$F$8&gt;=3,FORSIDE!$B$5&gt;=4),"S5084","")</f>
        <v/>
      </c>
      <c r="B5085" t="str">
        <f>IF(AND(FORSIDE!$B$8&gt;=15,FORSIDE!$F$8&gt;=3,FORSIDE!$B$5&gt;=4),"632 -&gt; 863","")</f>
        <v/>
      </c>
      <c r="C5085" t="str">
        <f>FORSIDE!$C$3</f>
        <v>S355, Stål / VFHUP 140x140x8.0</v>
      </c>
    </row>
    <row r="5086" spans="1:3" x14ac:dyDescent="0.3">
      <c r="A5086" t="str">
        <f>IF(AND(FORSIDE!$B$8&gt;=15,FORSIDE!$F$8&gt;=3,FORSIDE!$B$5&gt;=5),"S5085","")</f>
        <v/>
      </c>
      <c r="B5086" t="str">
        <f>IF(AND(FORSIDE!$B$8&gt;=15,FORSIDE!$F$8&gt;=3,FORSIDE!$B$5&gt;=5),"633 -&gt; 864","")</f>
        <v/>
      </c>
      <c r="C5086" t="str">
        <f>FORSIDE!$C$3</f>
        <v>S355, Stål / VFHUP 140x140x8.0</v>
      </c>
    </row>
    <row r="5087" spans="1:3" x14ac:dyDescent="0.3">
      <c r="A5087" t="str">
        <f>IF(AND(FORSIDE!$B$8&gt;=15,FORSIDE!$F$8&gt;=3,FORSIDE!$B$5&gt;=6),"S5086","")</f>
        <v/>
      </c>
      <c r="B5087" t="str">
        <f>IF(AND(FORSIDE!$B$8&gt;=15,FORSIDE!$F$8&gt;=3,FORSIDE!$B$5&gt;=6),"634 -&gt; 865","")</f>
        <v/>
      </c>
      <c r="C5087" t="str">
        <f>FORSIDE!$C$3</f>
        <v>S355, Stål / VFHUP 140x140x8.0</v>
      </c>
    </row>
    <row r="5088" spans="1:3" x14ac:dyDescent="0.3">
      <c r="A5088" t="str">
        <f>IF(AND(FORSIDE!$B$8&gt;=15,FORSIDE!$F$8&gt;=3,FORSIDE!$B$5&gt;=7),"S5087","")</f>
        <v/>
      </c>
      <c r="B5088" t="str">
        <f>IF(AND(FORSIDE!$B$8&gt;=15,FORSIDE!$F$8&gt;=3,FORSIDE!$B$5&gt;=7),"635 -&gt; 866","")</f>
        <v/>
      </c>
      <c r="C5088" t="str">
        <f>FORSIDE!$C$3</f>
        <v>S355, Stål / VFHUP 140x140x8.0</v>
      </c>
    </row>
    <row r="5089" spans="1:3" x14ac:dyDescent="0.3">
      <c r="A5089" t="str">
        <f>IF(AND(FORSIDE!$B$8&gt;=15,FORSIDE!$F$8&gt;=3,FORSIDE!$B$5&gt;=8),"S5088","")</f>
        <v/>
      </c>
      <c r="B5089" t="str">
        <f>IF(AND(FORSIDE!$B$8&gt;=15,FORSIDE!$F$8&gt;=3,FORSIDE!$B$5&gt;=8),"636 -&gt; 867","")</f>
        <v/>
      </c>
      <c r="C5089" t="str">
        <f>FORSIDE!$C$3</f>
        <v>S355, Stål / VFHUP 140x140x8.0</v>
      </c>
    </row>
    <row r="5090" spans="1:3" x14ac:dyDescent="0.3">
      <c r="A5090" t="str">
        <f>IF(AND(FORSIDE!$B$8&gt;=15,FORSIDE!$F$8&gt;=3,FORSIDE!$B$5&gt;=9),"S5089","")</f>
        <v/>
      </c>
      <c r="B5090" t="str">
        <f>IF(AND(FORSIDE!$B$8&gt;=15,FORSIDE!$F$8&gt;=3,FORSIDE!$B$5&gt;=9),"637 -&gt; 868","")</f>
        <v/>
      </c>
      <c r="C5090" t="str">
        <f>FORSIDE!$C$3</f>
        <v>S355, Stål / VFHUP 140x140x8.0</v>
      </c>
    </row>
    <row r="5091" spans="1:3" x14ac:dyDescent="0.3">
      <c r="A5091" t="str">
        <f>IF(AND(FORSIDE!$B$8&gt;=15,FORSIDE!$F$8&gt;=3,FORSIDE!$B$5&gt;=10),"S5090","")</f>
        <v/>
      </c>
      <c r="B5091" t="str">
        <f>IF(AND(FORSIDE!$B$8&gt;=15,FORSIDE!$F$8&gt;=3,FORSIDE!$B$5&gt;=10),"638 -&gt; 869","")</f>
        <v/>
      </c>
      <c r="C5091" t="str">
        <f>FORSIDE!$C$3</f>
        <v>S355, Stål / VFHUP 140x140x8.0</v>
      </c>
    </row>
    <row r="5092" spans="1:3" x14ac:dyDescent="0.3">
      <c r="A5092" t="str">
        <f>IF(AND(FORSIDE!$B$8&gt;=16,FORSIDE!$F$8&gt;=3,FORSIDE!$B$5&gt;=1),"S5091","")</f>
        <v/>
      </c>
      <c r="B5092" t="str">
        <f>IF(AND(FORSIDE!$B$8&gt;=16,FORSIDE!$F$8&gt;=3,FORSIDE!$B$5&gt;=1),"640 -&gt; 871","")</f>
        <v/>
      </c>
      <c r="C5092" t="str">
        <f>FORSIDE!$C$3</f>
        <v>S355, Stål / VFHUP 140x140x8.0</v>
      </c>
    </row>
    <row r="5093" spans="1:3" x14ac:dyDescent="0.3">
      <c r="A5093" t="str">
        <f>IF(AND(FORSIDE!$B$8&gt;=16,FORSIDE!$F$8&gt;=3,FORSIDE!$B$5&gt;=2),"S5092","")</f>
        <v/>
      </c>
      <c r="B5093" t="str">
        <f>IF(AND(FORSIDE!$B$8&gt;=16,FORSIDE!$F$8&gt;=3,FORSIDE!$B$5&gt;=2),"641 -&gt; 872","")</f>
        <v/>
      </c>
      <c r="C5093" t="str">
        <f>FORSIDE!$C$3</f>
        <v>S355, Stål / VFHUP 140x140x8.0</v>
      </c>
    </row>
    <row r="5094" spans="1:3" x14ac:dyDescent="0.3">
      <c r="A5094" t="str">
        <f>IF(AND(FORSIDE!$B$8&gt;=16,FORSIDE!$F$8&gt;=3,FORSIDE!$B$5&gt;=3),"S5093","")</f>
        <v/>
      </c>
      <c r="B5094" t="str">
        <f>IF(AND(FORSIDE!$B$8&gt;=16,FORSIDE!$F$8&gt;=3,FORSIDE!$B$5&gt;=3),"642 -&gt; 873","")</f>
        <v/>
      </c>
      <c r="C5094" t="str">
        <f>FORSIDE!$C$3</f>
        <v>S355, Stål / VFHUP 140x140x8.0</v>
      </c>
    </row>
    <row r="5095" spans="1:3" x14ac:dyDescent="0.3">
      <c r="A5095" t="str">
        <f>IF(AND(FORSIDE!$B$8&gt;=16,FORSIDE!$F$8&gt;=3,FORSIDE!$B$5&gt;=4),"S5094","")</f>
        <v/>
      </c>
      <c r="B5095" t="str">
        <f>IF(AND(FORSIDE!$B$8&gt;=16,FORSIDE!$F$8&gt;=3,FORSIDE!$B$5&gt;=4),"643 -&gt; 874","")</f>
        <v/>
      </c>
      <c r="C5095" t="str">
        <f>FORSIDE!$C$3</f>
        <v>S355, Stål / VFHUP 140x140x8.0</v>
      </c>
    </row>
    <row r="5096" spans="1:3" x14ac:dyDescent="0.3">
      <c r="A5096" t="str">
        <f>IF(AND(FORSIDE!$B$8&gt;=16,FORSIDE!$F$8&gt;=3,FORSIDE!$B$5&gt;=5),"S5095","")</f>
        <v/>
      </c>
      <c r="B5096" t="str">
        <f>IF(AND(FORSIDE!$B$8&gt;=16,FORSIDE!$F$8&gt;=3,FORSIDE!$B$5&gt;=5),"644 -&gt; 875","")</f>
        <v/>
      </c>
      <c r="C5096" t="str">
        <f>FORSIDE!$C$3</f>
        <v>S355, Stål / VFHUP 140x140x8.0</v>
      </c>
    </row>
    <row r="5097" spans="1:3" x14ac:dyDescent="0.3">
      <c r="A5097" t="str">
        <f>IF(AND(FORSIDE!$B$8&gt;=16,FORSIDE!$F$8&gt;=3,FORSIDE!$B$5&gt;=6),"S5096","")</f>
        <v/>
      </c>
      <c r="B5097" t="str">
        <f>IF(AND(FORSIDE!$B$8&gt;=16,FORSIDE!$F$8&gt;=3,FORSIDE!$B$5&gt;=6),"645 -&gt; 876","")</f>
        <v/>
      </c>
      <c r="C5097" t="str">
        <f>FORSIDE!$C$3</f>
        <v>S355, Stål / VFHUP 140x140x8.0</v>
      </c>
    </row>
    <row r="5098" spans="1:3" x14ac:dyDescent="0.3">
      <c r="A5098" t="str">
        <f>IF(AND(FORSIDE!$B$8&gt;=16,FORSIDE!$F$8&gt;=3,FORSIDE!$B$5&gt;=7),"S5097","")</f>
        <v/>
      </c>
      <c r="B5098" t="str">
        <f>IF(AND(FORSIDE!$B$8&gt;=16,FORSIDE!$F$8&gt;=3,FORSIDE!$B$5&gt;=7),"646 -&gt; 877","")</f>
        <v/>
      </c>
      <c r="C5098" t="str">
        <f>FORSIDE!$C$3</f>
        <v>S355, Stål / VFHUP 140x140x8.0</v>
      </c>
    </row>
    <row r="5099" spans="1:3" x14ac:dyDescent="0.3">
      <c r="A5099" t="str">
        <f>IF(AND(FORSIDE!$B$8&gt;=16,FORSIDE!$F$8&gt;=3,FORSIDE!$B$5&gt;=8),"S5098","")</f>
        <v/>
      </c>
      <c r="B5099" t="str">
        <f>IF(AND(FORSIDE!$B$8&gt;=16,FORSIDE!$F$8&gt;=3,FORSIDE!$B$5&gt;=8),"647 -&gt; 878","")</f>
        <v/>
      </c>
      <c r="C5099" t="str">
        <f>FORSIDE!$C$3</f>
        <v>S355, Stål / VFHUP 140x140x8.0</v>
      </c>
    </row>
    <row r="5100" spans="1:3" x14ac:dyDescent="0.3">
      <c r="A5100" t="str">
        <f>IF(AND(FORSIDE!$B$8&gt;=16,FORSIDE!$F$8&gt;=3,FORSIDE!$B$5&gt;=9),"S5099","")</f>
        <v/>
      </c>
      <c r="B5100" t="str">
        <f>IF(AND(FORSIDE!$B$8&gt;=16,FORSIDE!$F$8&gt;=3,FORSIDE!$B$5&gt;=9),"648 -&gt; 879","")</f>
        <v/>
      </c>
      <c r="C5100" t="str">
        <f>FORSIDE!$C$3</f>
        <v>S355, Stål / VFHUP 140x140x8.0</v>
      </c>
    </row>
    <row r="5101" spans="1:3" x14ac:dyDescent="0.3">
      <c r="A5101" t="str">
        <f>IF(AND(FORSIDE!$B$8&gt;=16,FORSIDE!$F$8&gt;=3,FORSIDE!$B$5&gt;=10),"S5100","")</f>
        <v/>
      </c>
      <c r="B5101" t="str">
        <f>IF(AND(FORSIDE!$B$8&gt;=16,FORSIDE!$F$8&gt;=3,FORSIDE!$B$5&gt;=10),"649 -&gt; 880","")</f>
        <v/>
      </c>
      <c r="C5101" t="str">
        <f>FORSIDE!$C$3</f>
        <v>S355, Stål / VFHUP 140x140x8.0</v>
      </c>
    </row>
    <row r="5102" spans="1:3" x14ac:dyDescent="0.3">
      <c r="A5102" t="str">
        <f>IF(AND(FORSIDE!$B$8&gt;=17,FORSIDE!$F$8&gt;=3,FORSIDE!$B$5&gt;=1),"S5101","")</f>
        <v/>
      </c>
      <c r="B5102" t="str">
        <f>IF(AND(FORSIDE!$B$8&gt;=17,FORSIDE!$F$8&gt;=3,FORSIDE!$B$5&gt;=1),"651 -&gt; 882","")</f>
        <v/>
      </c>
      <c r="C5102" t="str">
        <f>FORSIDE!$C$3</f>
        <v>S355, Stål / VFHUP 140x140x8.0</v>
      </c>
    </row>
    <row r="5103" spans="1:3" x14ac:dyDescent="0.3">
      <c r="A5103" t="str">
        <f>IF(AND(FORSIDE!$B$8&gt;=17,FORSIDE!$F$8&gt;=3,FORSIDE!$B$5&gt;=2),"S5102","")</f>
        <v/>
      </c>
      <c r="B5103" t="str">
        <f>IF(AND(FORSIDE!$B$8&gt;=17,FORSIDE!$F$8&gt;=3,FORSIDE!$B$5&gt;=2),"652 -&gt; 883","")</f>
        <v/>
      </c>
      <c r="C5103" t="str">
        <f>FORSIDE!$C$3</f>
        <v>S355, Stål / VFHUP 140x140x8.0</v>
      </c>
    </row>
    <row r="5104" spans="1:3" x14ac:dyDescent="0.3">
      <c r="A5104" t="str">
        <f>IF(AND(FORSIDE!$B$8&gt;=17,FORSIDE!$F$8&gt;=3,FORSIDE!$B$5&gt;=3),"S5103","")</f>
        <v/>
      </c>
      <c r="B5104" t="str">
        <f>IF(AND(FORSIDE!$B$8&gt;=17,FORSIDE!$F$8&gt;=3,FORSIDE!$B$5&gt;=3),"653 -&gt; 884","")</f>
        <v/>
      </c>
      <c r="C5104" t="str">
        <f>FORSIDE!$C$3</f>
        <v>S355, Stål / VFHUP 140x140x8.0</v>
      </c>
    </row>
    <row r="5105" spans="1:3" x14ac:dyDescent="0.3">
      <c r="A5105" t="str">
        <f>IF(AND(FORSIDE!$B$8&gt;=17,FORSIDE!$F$8&gt;=3,FORSIDE!$B$5&gt;=4),"S5104","")</f>
        <v/>
      </c>
      <c r="B5105" t="str">
        <f>IF(AND(FORSIDE!$B$8&gt;=17,FORSIDE!$F$8&gt;=3,FORSIDE!$B$5&gt;=4),"654 -&gt; 885","")</f>
        <v/>
      </c>
      <c r="C5105" t="str">
        <f>FORSIDE!$C$3</f>
        <v>S355, Stål / VFHUP 140x140x8.0</v>
      </c>
    </row>
    <row r="5106" spans="1:3" x14ac:dyDescent="0.3">
      <c r="A5106" t="str">
        <f>IF(AND(FORSIDE!$B$8&gt;=17,FORSIDE!$F$8&gt;=3,FORSIDE!$B$5&gt;=5),"S5105","")</f>
        <v/>
      </c>
      <c r="B5106" t="str">
        <f>IF(AND(FORSIDE!$B$8&gt;=17,FORSIDE!$F$8&gt;=3,FORSIDE!$B$5&gt;=5),"655 -&gt; 886","")</f>
        <v/>
      </c>
      <c r="C5106" t="str">
        <f>FORSIDE!$C$3</f>
        <v>S355, Stål / VFHUP 140x140x8.0</v>
      </c>
    </row>
    <row r="5107" spans="1:3" x14ac:dyDescent="0.3">
      <c r="A5107" t="str">
        <f>IF(AND(FORSIDE!$B$8&gt;=17,FORSIDE!$F$8&gt;=3,FORSIDE!$B$5&gt;=6),"S5106","")</f>
        <v/>
      </c>
      <c r="B5107" t="str">
        <f>IF(AND(FORSIDE!$B$8&gt;=17,FORSIDE!$F$8&gt;=3,FORSIDE!$B$5&gt;=6),"656 -&gt; 887","")</f>
        <v/>
      </c>
      <c r="C5107" t="str">
        <f>FORSIDE!$C$3</f>
        <v>S355, Stål / VFHUP 140x140x8.0</v>
      </c>
    </row>
    <row r="5108" spans="1:3" x14ac:dyDescent="0.3">
      <c r="A5108" t="str">
        <f>IF(AND(FORSIDE!$B$8&gt;=17,FORSIDE!$F$8&gt;=3,FORSIDE!$B$5&gt;=7),"S5107","")</f>
        <v/>
      </c>
      <c r="B5108" t="str">
        <f>IF(AND(FORSIDE!$B$8&gt;=17,FORSIDE!$F$8&gt;=3,FORSIDE!$B$5&gt;=7),"657 -&gt; 888","")</f>
        <v/>
      </c>
      <c r="C5108" t="str">
        <f>FORSIDE!$C$3</f>
        <v>S355, Stål / VFHUP 140x140x8.0</v>
      </c>
    </row>
    <row r="5109" spans="1:3" x14ac:dyDescent="0.3">
      <c r="A5109" t="str">
        <f>IF(AND(FORSIDE!$B$8&gt;=17,FORSIDE!$F$8&gt;=3,FORSIDE!$B$5&gt;=8),"S5108","")</f>
        <v/>
      </c>
      <c r="B5109" t="str">
        <f>IF(AND(FORSIDE!$B$8&gt;=17,FORSIDE!$F$8&gt;=3,FORSIDE!$B$5&gt;=8),"658 -&gt; 889","")</f>
        <v/>
      </c>
      <c r="C5109" t="str">
        <f>FORSIDE!$C$3</f>
        <v>S355, Stål / VFHUP 140x140x8.0</v>
      </c>
    </row>
    <row r="5110" spans="1:3" x14ac:dyDescent="0.3">
      <c r="A5110" t="str">
        <f>IF(AND(FORSIDE!$B$8&gt;=17,FORSIDE!$F$8&gt;=3,FORSIDE!$B$5&gt;=9),"S5109","")</f>
        <v/>
      </c>
      <c r="B5110" t="str">
        <f>IF(AND(FORSIDE!$B$8&gt;=17,FORSIDE!$F$8&gt;=3,FORSIDE!$B$5&gt;=9),"659 -&gt; 890","")</f>
        <v/>
      </c>
      <c r="C5110" t="str">
        <f>FORSIDE!$C$3</f>
        <v>S355, Stål / VFHUP 140x140x8.0</v>
      </c>
    </row>
    <row r="5111" spans="1:3" x14ac:dyDescent="0.3">
      <c r="A5111" t="str">
        <f>IF(AND(FORSIDE!$B$8&gt;=17,FORSIDE!$F$8&gt;=3,FORSIDE!$B$5&gt;=10),"S5110","")</f>
        <v/>
      </c>
      <c r="B5111" t="str">
        <f>IF(AND(FORSIDE!$B$8&gt;=17,FORSIDE!$F$8&gt;=3,FORSIDE!$B$5&gt;=10),"660 -&gt; 891","")</f>
        <v/>
      </c>
      <c r="C5111" t="str">
        <f>FORSIDE!$C$3</f>
        <v>S355, Stål / VFHUP 140x140x8.0</v>
      </c>
    </row>
    <row r="5112" spans="1:3" x14ac:dyDescent="0.3">
      <c r="A5112" t="str">
        <f>IF(AND(FORSIDE!$B$8&gt;=18,FORSIDE!$F$8&gt;=3,FORSIDE!$B$5&gt;=1),"S5111","")</f>
        <v/>
      </c>
      <c r="B5112" t="str">
        <f>IF(AND(FORSIDE!$B$8&gt;=18,FORSIDE!$F$8&gt;=3,FORSIDE!$B$5&gt;=1),"662 -&gt; 893","")</f>
        <v/>
      </c>
      <c r="C5112" t="str">
        <f>FORSIDE!$C$3</f>
        <v>S355, Stål / VFHUP 140x140x8.0</v>
      </c>
    </row>
    <row r="5113" spans="1:3" x14ac:dyDescent="0.3">
      <c r="A5113" t="str">
        <f>IF(AND(FORSIDE!$B$8&gt;=18,FORSIDE!$F$8&gt;=3,FORSIDE!$B$5&gt;=2),"S5112","")</f>
        <v/>
      </c>
      <c r="B5113" t="str">
        <f>IF(AND(FORSIDE!$B$8&gt;=18,FORSIDE!$F$8&gt;=3,FORSIDE!$B$5&gt;=2),"663 -&gt; 894","")</f>
        <v/>
      </c>
      <c r="C5113" t="str">
        <f>FORSIDE!$C$3</f>
        <v>S355, Stål / VFHUP 140x140x8.0</v>
      </c>
    </row>
    <row r="5114" spans="1:3" x14ac:dyDescent="0.3">
      <c r="A5114" t="str">
        <f>IF(AND(FORSIDE!$B$8&gt;=18,FORSIDE!$F$8&gt;=3,FORSIDE!$B$5&gt;=3),"S5113","")</f>
        <v/>
      </c>
      <c r="B5114" t="str">
        <f>IF(AND(FORSIDE!$B$8&gt;=18,FORSIDE!$F$8&gt;=3,FORSIDE!$B$5&gt;=3),"664 -&gt; 895","")</f>
        <v/>
      </c>
      <c r="C5114" t="str">
        <f>FORSIDE!$C$3</f>
        <v>S355, Stål / VFHUP 140x140x8.0</v>
      </c>
    </row>
    <row r="5115" spans="1:3" x14ac:dyDescent="0.3">
      <c r="A5115" t="str">
        <f>IF(AND(FORSIDE!$B$8&gt;=18,FORSIDE!$F$8&gt;=3,FORSIDE!$B$5&gt;=4),"S5114","")</f>
        <v/>
      </c>
      <c r="B5115" t="str">
        <f>IF(AND(FORSIDE!$B$8&gt;=18,FORSIDE!$F$8&gt;=3,FORSIDE!$B$5&gt;=4),"665 -&gt; 896","")</f>
        <v/>
      </c>
      <c r="C5115" t="str">
        <f>FORSIDE!$C$3</f>
        <v>S355, Stål / VFHUP 140x140x8.0</v>
      </c>
    </row>
    <row r="5116" spans="1:3" x14ac:dyDescent="0.3">
      <c r="A5116" t="str">
        <f>IF(AND(FORSIDE!$B$8&gt;=18,FORSIDE!$F$8&gt;=3,FORSIDE!$B$5&gt;=5),"S5115","")</f>
        <v/>
      </c>
      <c r="B5116" t="str">
        <f>IF(AND(FORSIDE!$B$8&gt;=18,FORSIDE!$F$8&gt;=3,FORSIDE!$B$5&gt;=5),"666 -&gt; 897","")</f>
        <v/>
      </c>
      <c r="C5116" t="str">
        <f>FORSIDE!$C$3</f>
        <v>S355, Stål / VFHUP 140x140x8.0</v>
      </c>
    </row>
    <row r="5117" spans="1:3" x14ac:dyDescent="0.3">
      <c r="A5117" t="str">
        <f>IF(AND(FORSIDE!$B$8&gt;=18,FORSIDE!$F$8&gt;=3,FORSIDE!$B$5&gt;=6),"S5116","")</f>
        <v/>
      </c>
      <c r="B5117" t="str">
        <f>IF(AND(FORSIDE!$B$8&gt;=18,FORSIDE!$F$8&gt;=3,FORSIDE!$B$5&gt;=6),"667 -&gt; 898","")</f>
        <v/>
      </c>
      <c r="C5117" t="str">
        <f>FORSIDE!$C$3</f>
        <v>S355, Stål / VFHUP 140x140x8.0</v>
      </c>
    </row>
    <row r="5118" spans="1:3" x14ac:dyDescent="0.3">
      <c r="A5118" t="str">
        <f>IF(AND(FORSIDE!$B$8&gt;=18,FORSIDE!$F$8&gt;=3,FORSIDE!$B$5&gt;=7),"S5117","")</f>
        <v/>
      </c>
      <c r="B5118" t="str">
        <f>IF(AND(FORSIDE!$B$8&gt;=18,FORSIDE!$F$8&gt;=3,FORSIDE!$B$5&gt;=7),"668 -&gt; 899","")</f>
        <v/>
      </c>
      <c r="C5118" t="str">
        <f>FORSIDE!$C$3</f>
        <v>S355, Stål / VFHUP 140x140x8.0</v>
      </c>
    </row>
    <row r="5119" spans="1:3" x14ac:dyDescent="0.3">
      <c r="A5119" t="str">
        <f>IF(AND(FORSIDE!$B$8&gt;=18,FORSIDE!$F$8&gt;=3,FORSIDE!$B$5&gt;=8),"S5118","")</f>
        <v/>
      </c>
      <c r="B5119" t="str">
        <f>IF(AND(FORSIDE!$B$8&gt;=18,FORSIDE!$F$8&gt;=3,FORSIDE!$B$5&gt;=8),"669 -&gt; 900","")</f>
        <v/>
      </c>
      <c r="C5119" t="str">
        <f>FORSIDE!$C$3</f>
        <v>S355, Stål / VFHUP 140x140x8.0</v>
      </c>
    </row>
    <row r="5120" spans="1:3" x14ac:dyDescent="0.3">
      <c r="A5120" t="str">
        <f>IF(AND(FORSIDE!$B$8&gt;=18,FORSIDE!$F$8&gt;=3,FORSIDE!$B$5&gt;=9),"S5119","")</f>
        <v/>
      </c>
      <c r="B5120" t="str">
        <f>IF(AND(FORSIDE!$B$8&gt;=18,FORSIDE!$F$8&gt;=3,FORSIDE!$B$5&gt;=9),"670 -&gt; 901","")</f>
        <v/>
      </c>
      <c r="C5120" t="str">
        <f>FORSIDE!$C$3</f>
        <v>S355, Stål / VFHUP 140x140x8.0</v>
      </c>
    </row>
    <row r="5121" spans="1:3" x14ac:dyDescent="0.3">
      <c r="A5121" t="str">
        <f>IF(AND(FORSIDE!$B$8&gt;=18,FORSIDE!$F$8&gt;=3,FORSIDE!$B$5&gt;=10),"S5120","")</f>
        <v/>
      </c>
      <c r="B5121" t="str">
        <f>IF(AND(FORSIDE!$B$8&gt;=18,FORSIDE!$F$8&gt;=3,FORSIDE!$B$5&gt;=10),"671 -&gt; 902","")</f>
        <v/>
      </c>
      <c r="C5121" t="str">
        <f>FORSIDE!$C$3</f>
        <v>S355, Stål / VFHUP 140x140x8.0</v>
      </c>
    </row>
    <row r="5122" spans="1:3" x14ac:dyDescent="0.3">
      <c r="A5122" t="str">
        <f>IF(AND(FORSIDE!$B$8&gt;=19,FORSIDE!$F$8&gt;=3,FORSIDE!$B$5&gt;=1),"S5121","")</f>
        <v/>
      </c>
      <c r="B5122" t="str">
        <f>IF(AND(FORSIDE!$B$8&gt;=19,FORSIDE!$F$8&gt;=3,FORSIDE!$B$5&gt;=1),"673 -&gt; 904","")</f>
        <v/>
      </c>
      <c r="C5122" t="str">
        <f>FORSIDE!$C$3</f>
        <v>S355, Stål / VFHUP 140x140x8.0</v>
      </c>
    </row>
    <row r="5123" spans="1:3" x14ac:dyDescent="0.3">
      <c r="A5123" t="str">
        <f>IF(AND(FORSIDE!$B$8&gt;=19,FORSIDE!$F$8&gt;=3,FORSIDE!$B$5&gt;=2),"S5122","")</f>
        <v/>
      </c>
      <c r="B5123" t="str">
        <f>IF(AND(FORSIDE!$B$8&gt;=19,FORSIDE!$F$8&gt;=3,FORSIDE!$B$5&gt;=2),"674 -&gt; 905","")</f>
        <v/>
      </c>
      <c r="C5123" t="str">
        <f>FORSIDE!$C$3</f>
        <v>S355, Stål / VFHUP 140x140x8.0</v>
      </c>
    </row>
    <row r="5124" spans="1:3" x14ac:dyDescent="0.3">
      <c r="A5124" t="str">
        <f>IF(AND(FORSIDE!$B$8&gt;=19,FORSIDE!$F$8&gt;=3,FORSIDE!$B$5&gt;=3),"S5123","")</f>
        <v/>
      </c>
      <c r="B5124" t="str">
        <f>IF(AND(FORSIDE!$B$8&gt;=19,FORSIDE!$F$8&gt;=3,FORSIDE!$B$5&gt;=3),"675 -&gt; 906","")</f>
        <v/>
      </c>
      <c r="C5124" t="str">
        <f>FORSIDE!$C$3</f>
        <v>S355, Stål / VFHUP 140x140x8.0</v>
      </c>
    </row>
    <row r="5125" spans="1:3" x14ac:dyDescent="0.3">
      <c r="A5125" t="str">
        <f>IF(AND(FORSIDE!$B$8&gt;=19,FORSIDE!$F$8&gt;=3,FORSIDE!$B$5&gt;=4),"S5124","")</f>
        <v/>
      </c>
      <c r="B5125" t="str">
        <f>IF(AND(FORSIDE!$B$8&gt;=19,FORSIDE!$F$8&gt;=3,FORSIDE!$B$5&gt;=4),"676 -&gt; 907","")</f>
        <v/>
      </c>
      <c r="C5125" t="str">
        <f>FORSIDE!$C$3</f>
        <v>S355, Stål / VFHUP 140x140x8.0</v>
      </c>
    </row>
    <row r="5126" spans="1:3" x14ac:dyDescent="0.3">
      <c r="A5126" t="str">
        <f>IF(AND(FORSIDE!$B$8&gt;=19,FORSIDE!$F$8&gt;=3,FORSIDE!$B$5&gt;=5),"S5125","")</f>
        <v/>
      </c>
      <c r="B5126" t="str">
        <f>IF(AND(FORSIDE!$B$8&gt;=19,FORSIDE!$F$8&gt;=3,FORSIDE!$B$5&gt;=5),"677 -&gt; 908","")</f>
        <v/>
      </c>
      <c r="C5126" t="str">
        <f>FORSIDE!$C$3</f>
        <v>S355, Stål / VFHUP 140x140x8.0</v>
      </c>
    </row>
    <row r="5127" spans="1:3" x14ac:dyDescent="0.3">
      <c r="A5127" t="str">
        <f>IF(AND(FORSIDE!$B$8&gt;=19,FORSIDE!$F$8&gt;=3,FORSIDE!$B$5&gt;=6),"S5126","")</f>
        <v/>
      </c>
      <c r="B5127" t="str">
        <f>IF(AND(FORSIDE!$B$8&gt;=19,FORSIDE!$F$8&gt;=3,FORSIDE!$B$5&gt;=6),"678 -&gt; 909","")</f>
        <v/>
      </c>
      <c r="C5127" t="str">
        <f>FORSIDE!$C$3</f>
        <v>S355, Stål / VFHUP 140x140x8.0</v>
      </c>
    </row>
    <row r="5128" spans="1:3" x14ac:dyDescent="0.3">
      <c r="A5128" t="str">
        <f>IF(AND(FORSIDE!$B$8&gt;=19,FORSIDE!$F$8&gt;=3,FORSIDE!$B$5&gt;=7),"S5127","")</f>
        <v/>
      </c>
      <c r="B5128" t="str">
        <f>IF(AND(FORSIDE!$B$8&gt;=19,FORSIDE!$F$8&gt;=3,FORSIDE!$B$5&gt;=7),"679 -&gt; 910","")</f>
        <v/>
      </c>
      <c r="C5128" t="str">
        <f>FORSIDE!$C$3</f>
        <v>S355, Stål / VFHUP 140x140x8.0</v>
      </c>
    </row>
    <row r="5129" spans="1:3" x14ac:dyDescent="0.3">
      <c r="A5129" t="str">
        <f>IF(AND(FORSIDE!$B$8&gt;=19,FORSIDE!$F$8&gt;=3,FORSIDE!$B$5&gt;=8),"S5128","")</f>
        <v/>
      </c>
      <c r="B5129" t="str">
        <f>IF(AND(FORSIDE!$B$8&gt;=19,FORSIDE!$F$8&gt;=3,FORSIDE!$B$5&gt;=8),"680 -&gt; 911","")</f>
        <v/>
      </c>
      <c r="C5129" t="str">
        <f>FORSIDE!$C$3</f>
        <v>S355, Stål / VFHUP 140x140x8.0</v>
      </c>
    </row>
    <row r="5130" spans="1:3" x14ac:dyDescent="0.3">
      <c r="A5130" t="str">
        <f>IF(AND(FORSIDE!$B$8&gt;=19,FORSIDE!$F$8&gt;=3,FORSIDE!$B$5&gt;=9),"S5129","")</f>
        <v/>
      </c>
      <c r="B5130" t="str">
        <f>IF(AND(FORSIDE!$B$8&gt;=19,FORSIDE!$F$8&gt;=3,FORSIDE!$B$5&gt;=9),"681 -&gt; 912","")</f>
        <v/>
      </c>
      <c r="C5130" t="str">
        <f>FORSIDE!$C$3</f>
        <v>S355, Stål / VFHUP 140x140x8.0</v>
      </c>
    </row>
    <row r="5131" spans="1:3" x14ac:dyDescent="0.3">
      <c r="A5131" t="str">
        <f>IF(AND(FORSIDE!$B$8&gt;=19,FORSIDE!$F$8&gt;=3,FORSIDE!$B$5&gt;=10),"S5130","")</f>
        <v/>
      </c>
      <c r="B5131" t="str">
        <f>IF(AND(FORSIDE!$B$8&gt;=19,FORSIDE!$F$8&gt;=3,FORSIDE!$B$5&gt;=10),"682 -&gt; 913","")</f>
        <v/>
      </c>
      <c r="C5131" t="str">
        <f>FORSIDE!$C$3</f>
        <v>S355, Stål / VFHUP 140x140x8.0</v>
      </c>
    </row>
    <row r="5132" spans="1:3" x14ac:dyDescent="0.3">
      <c r="A5132" t="str">
        <f>IF(AND(FORSIDE!$B$8&gt;=20,FORSIDE!$F$8&gt;=3,FORSIDE!$B$5&gt;=1),"S5131","")</f>
        <v/>
      </c>
      <c r="B5132" t="str">
        <f>IF(AND(FORSIDE!$B$8&gt;=20,FORSIDE!$F$8&gt;=3,FORSIDE!$B$5&gt;=1),"684 -&gt; 915","")</f>
        <v/>
      </c>
      <c r="C5132" t="str">
        <f>FORSIDE!$C$3</f>
        <v>S355, Stål / VFHUP 140x140x8.0</v>
      </c>
    </row>
    <row r="5133" spans="1:3" x14ac:dyDescent="0.3">
      <c r="A5133" t="str">
        <f>IF(AND(FORSIDE!$B$8&gt;=20,FORSIDE!$F$8&gt;=3,FORSIDE!$B$5&gt;=2),"S5132","")</f>
        <v/>
      </c>
      <c r="B5133" t="str">
        <f>IF(AND(FORSIDE!$B$8&gt;=20,FORSIDE!$F$8&gt;=3,FORSIDE!$B$5&gt;=2),"685 -&gt; 916","")</f>
        <v/>
      </c>
      <c r="C5133" t="str">
        <f>FORSIDE!$C$3</f>
        <v>S355, Stål / VFHUP 140x140x8.0</v>
      </c>
    </row>
    <row r="5134" spans="1:3" x14ac:dyDescent="0.3">
      <c r="A5134" t="str">
        <f>IF(AND(FORSIDE!$B$8&gt;=20,FORSIDE!$F$8&gt;=3,FORSIDE!$B$5&gt;=3),"S5133","")</f>
        <v/>
      </c>
      <c r="B5134" t="str">
        <f>IF(AND(FORSIDE!$B$8&gt;=20,FORSIDE!$F$8&gt;=3,FORSIDE!$B$5&gt;=3),"686 -&gt; 917","")</f>
        <v/>
      </c>
      <c r="C5134" t="str">
        <f>FORSIDE!$C$3</f>
        <v>S355, Stål / VFHUP 140x140x8.0</v>
      </c>
    </row>
    <row r="5135" spans="1:3" x14ac:dyDescent="0.3">
      <c r="A5135" t="str">
        <f>IF(AND(FORSIDE!$B$8&gt;=20,FORSIDE!$F$8&gt;=3,FORSIDE!$B$5&gt;=4),"S5134","")</f>
        <v/>
      </c>
      <c r="B5135" t="str">
        <f>IF(AND(FORSIDE!$B$8&gt;=20,FORSIDE!$F$8&gt;=3,FORSIDE!$B$5&gt;=4),"687 -&gt; 918","")</f>
        <v/>
      </c>
      <c r="C5135" t="str">
        <f>FORSIDE!$C$3</f>
        <v>S355, Stål / VFHUP 140x140x8.0</v>
      </c>
    </row>
    <row r="5136" spans="1:3" x14ac:dyDescent="0.3">
      <c r="A5136" t="str">
        <f>IF(AND(FORSIDE!$B$8&gt;=20,FORSIDE!$F$8&gt;=3,FORSIDE!$B$5&gt;=5),"S5135","")</f>
        <v/>
      </c>
      <c r="B5136" t="str">
        <f>IF(AND(FORSIDE!$B$8&gt;=20,FORSIDE!$F$8&gt;=3,FORSIDE!$B$5&gt;=5),"688 -&gt; 919","")</f>
        <v/>
      </c>
      <c r="C5136" t="str">
        <f>FORSIDE!$C$3</f>
        <v>S355, Stål / VFHUP 140x140x8.0</v>
      </c>
    </row>
    <row r="5137" spans="1:3" x14ac:dyDescent="0.3">
      <c r="A5137" t="str">
        <f>IF(AND(FORSIDE!$B$8&gt;=20,FORSIDE!$F$8&gt;=3,FORSIDE!$B$5&gt;=6),"S5136","")</f>
        <v/>
      </c>
      <c r="B5137" t="str">
        <f>IF(AND(FORSIDE!$B$8&gt;=20,FORSIDE!$F$8&gt;=3,FORSIDE!$B$5&gt;=6),"689 -&gt; 920","")</f>
        <v/>
      </c>
      <c r="C5137" t="str">
        <f>FORSIDE!$C$3</f>
        <v>S355, Stål / VFHUP 140x140x8.0</v>
      </c>
    </row>
    <row r="5138" spans="1:3" x14ac:dyDescent="0.3">
      <c r="A5138" t="str">
        <f>IF(AND(FORSIDE!$B$8&gt;=20,FORSIDE!$F$8&gt;=3,FORSIDE!$B$5&gt;=7),"S5137","")</f>
        <v/>
      </c>
      <c r="B5138" t="str">
        <f>IF(AND(FORSIDE!$B$8&gt;=20,FORSIDE!$F$8&gt;=3,FORSIDE!$B$5&gt;=7),"690 -&gt; 921","")</f>
        <v/>
      </c>
      <c r="C5138" t="str">
        <f>FORSIDE!$C$3</f>
        <v>S355, Stål / VFHUP 140x140x8.0</v>
      </c>
    </row>
    <row r="5139" spans="1:3" x14ac:dyDescent="0.3">
      <c r="A5139" t="str">
        <f>IF(AND(FORSIDE!$B$8&gt;=20,FORSIDE!$F$8&gt;=3,FORSIDE!$B$5&gt;=8),"S5138","")</f>
        <v/>
      </c>
      <c r="B5139" t="str">
        <f>IF(AND(FORSIDE!$B$8&gt;=20,FORSIDE!$F$8&gt;=3,FORSIDE!$B$5&gt;=8),"691 -&gt; 922","")</f>
        <v/>
      </c>
      <c r="C5139" t="str">
        <f>FORSIDE!$C$3</f>
        <v>S355, Stål / VFHUP 140x140x8.0</v>
      </c>
    </row>
    <row r="5140" spans="1:3" x14ac:dyDescent="0.3">
      <c r="A5140" t="str">
        <f>IF(AND(FORSIDE!$B$8&gt;=20,FORSIDE!$F$8&gt;=3,FORSIDE!$B$5&gt;=9),"S5139","")</f>
        <v/>
      </c>
      <c r="B5140" t="str">
        <f>IF(AND(FORSIDE!$B$8&gt;=20,FORSIDE!$F$8&gt;=3,FORSIDE!$B$5&gt;=9),"692 -&gt; 923","")</f>
        <v/>
      </c>
      <c r="C5140" t="str">
        <f>FORSIDE!$C$3</f>
        <v>S355, Stål / VFHUP 140x140x8.0</v>
      </c>
    </row>
    <row r="5141" spans="1:3" x14ac:dyDescent="0.3">
      <c r="A5141" t="str">
        <f>IF(AND(FORSIDE!$B$8&gt;=20,FORSIDE!$F$8&gt;=3,FORSIDE!$B$5&gt;=10),"S5140","")</f>
        <v/>
      </c>
      <c r="B5141" t="str">
        <f>IF(AND(FORSIDE!$B$8&gt;=20,FORSIDE!$F$8&gt;=3,FORSIDE!$B$5&gt;=10),"693 -&gt; 924","")</f>
        <v/>
      </c>
      <c r="C5141" t="str">
        <f>FORSIDE!$C$3</f>
        <v>S355, Stål / VFHUP 140x140x8.0</v>
      </c>
    </row>
    <row r="5142" spans="1:3" x14ac:dyDescent="0.3">
      <c r="A5142" t="str">
        <f>IF(AND(FORSIDE!$B$8&gt;=0,FORSIDE!$F$8&gt;=4,FORSIDE!$B$5&gt;=1),"S5141","")</f>
        <v/>
      </c>
      <c r="B5142" t="str">
        <f>IF(AND(FORSIDE!$B$8&gt;=0,FORSIDE!$F$8&gt;=4,FORSIDE!$B$5&gt;=1),"695 -&gt; 926","")</f>
        <v/>
      </c>
      <c r="C5142" t="str">
        <f>FORSIDE!$C$3</f>
        <v>S355, Stål / VFHUP 140x140x8.0</v>
      </c>
    </row>
    <row r="5143" spans="1:3" x14ac:dyDescent="0.3">
      <c r="A5143" t="str">
        <f>IF(AND(FORSIDE!$B$8&gt;=0,FORSIDE!$F$8&gt;=4,FORSIDE!$B$5&gt;=2),"S5142","")</f>
        <v/>
      </c>
      <c r="B5143" t="str">
        <f>IF(AND(FORSIDE!$B$8&gt;=0,FORSIDE!$F$8&gt;=4,FORSIDE!$B$5&gt;=2),"696 -&gt; 927","")</f>
        <v/>
      </c>
      <c r="C5143" t="str">
        <f>FORSIDE!$C$3</f>
        <v>S355, Stål / VFHUP 140x140x8.0</v>
      </c>
    </row>
    <row r="5144" spans="1:3" x14ac:dyDescent="0.3">
      <c r="A5144" t="str">
        <f>IF(AND(FORSIDE!$B$8&gt;=0,FORSIDE!$F$8&gt;=4,FORSIDE!$B$5&gt;=3),"S5143","")</f>
        <v/>
      </c>
      <c r="B5144" t="str">
        <f>IF(AND(FORSIDE!$B$8&gt;=0,FORSIDE!$F$8&gt;=4,FORSIDE!$B$5&gt;=3),"697 -&gt; 928","")</f>
        <v/>
      </c>
      <c r="C5144" t="str">
        <f>FORSIDE!$C$3</f>
        <v>S355, Stål / VFHUP 140x140x8.0</v>
      </c>
    </row>
    <row r="5145" spans="1:3" x14ac:dyDescent="0.3">
      <c r="A5145" t="str">
        <f>IF(AND(FORSIDE!$B$8&gt;=0,FORSIDE!$F$8&gt;=4,FORSIDE!$B$5&gt;=4),"S5144","")</f>
        <v/>
      </c>
      <c r="B5145" t="str">
        <f>IF(AND(FORSIDE!$B$8&gt;=0,FORSIDE!$F$8&gt;=4,FORSIDE!$B$5&gt;=4),"698 -&gt; 929","")</f>
        <v/>
      </c>
      <c r="C5145" t="str">
        <f>FORSIDE!$C$3</f>
        <v>S355, Stål / VFHUP 140x140x8.0</v>
      </c>
    </row>
    <row r="5146" spans="1:3" x14ac:dyDescent="0.3">
      <c r="A5146" t="str">
        <f>IF(AND(FORSIDE!$B$8&gt;=0,FORSIDE!$F$8&gt;=4,FORSIDE!$B$5&gt;=5),"S5145","")</f>
        <v/>
      </c>
      <c r="B5146" t="str">
        <f>IF(AND(FORSIDE!$B$8&gt;=0,FORSIDE!$F$8&gt;=4,FORSIDE!$B$5&gt;=5),"699 -&gt; 930","")</f>
        <v/>
      </c>
      <c r="C5146" t="str">
        <f>FORSIDE!$C$3</f>
        <v>S355, Stål / VFHUP 140x140x8.0</v>
      </c>
    </row>
    <row r="5147" spans="1:3" x14ac:dyDescent="0.3">
      <c r="A5147" t="str">
        <f>IF(AND(FORSIDE!$B$8&gt;=0,FORSIDE!$F$8&gt;=4,FORSIDE!$B$5&gt;=6),"S5146","")</f>
        <v/>
      </c>
      <c r="B5147" t="str">
        <f>IF(AND(FORSIDE!$B$8&gt;=0,FORSIDE!$F$8&gt;=4,FORSIDE!$B$5&gt;=6),"700 -&gt; 931","")</f>
        <v/>
      </c>
      <c r="C5147" t="str">
        <f>FORSIDE!$C$3</f>
        <v>S355, Stål / VFHUP 140x140x8.0</v>
      </c>
    </row>
    <row r="5148" spans="1:3" x14ac:dyDescent="0.3">
      <c r="A5148" t="str">
        <f>IF(AND(FORSIDE!$B$8&gt;=0,FORSIDE!$F$8&gt;=4,FORSIDE!$B$5&gt;=7),"S5147","")</f>
        <v/>
      </c>
      <c r="B5148" t="str">
        <f>IF(AND(FORSIDE!$B$8&gt;=0,FORSIDE!$F$8&gt;=4,FORSIDE!$B$5&gt;=7),"701 -&gt; 932","")</f>
        <v/>
      </c>
      <c r="C5148" t="str">
        <f>FORSIDE!$C$3</f>
        <v>S355, Stål / VFHUP 140x140x8.0</v>
      </c>
    </row>
    <row r="5149" spans="1:3" x14ac:dyDescent="0.3">
      <c r="A5149" t="str">
        <f>IF(AND(FORSIDE!$B$8&gt;=0,FORSIDE!$F$8&gt;=4,FORSIDE!$B$5&gt;=8),"S5148","")</f>
        <v/>
      </c>
      <c r="B5149" t="str">
        <f>IF(AND(FORSIDE!$B$8&gt;=0,FORSIDE!$F$8&gt;=4,FORSIDE!$B$5&gt;=8),"702 -&gt; 933","")</f>
        <v/>
      </c>
      <c r="C5149" t="str">
        <f>FORSIDE!$C$3</f>
        <v>S355, Stål / VFHUP 140x140x8.0</v>
      </c>
    </row>
    <row r="5150" spans="1:3" x14ac:dyDescent="0.3">
      <c r="A5150" t="str">
        <f>IF(AND(FORSIDE!$B$8&gt;=0,FORSIDE!$F$8&gt;=4,FORSIDE!$B$5&gt;=9),"S5149","")</f>
        <v/>
      </c>
      <c r="B5150" t="str">
        <f>IF(AND(FORSIDE!$B$8&gt;=0,FORSIDE!$F$8&gt;=4,FORSIDE!$B$5&gt;=9),"703 -&gt; 934","")</f>
        <v/>
      </c>
      <c r="C5150" t="str">
        <f>FORSIDE!$C$3</f>
        <v>S355, Stål / VFHUP 140x140x8.0</v>
      </c>
    </row>
    <row r="5151" spans="1:3" x14ac:dyDescent="0.3">
      <c r="A5151" t="str">
        <f>IF(AND(FORSIDE!$B$8&gt;=0,FORSIDE!$F$8&gt;=4,FORSIDE!$B$5&gt;=10),"S5150","")</f>
        <v/>
      </c>
      <c r="B5151" t="str">
        <f>IF(AND(FORSIDE!$B$8&gt;=0,FORSIDE!$F$8&gt;=4,FORSIDE!$B$5&gt;=10),"704 -&gt; 935","")</f>
        <v/>
      </c>
      <c r="C5151" t="str">
        <f>FORSIDE!$C$3</f>
        <v>S355, Stål / VFHUP 140x140x8.0</v>
      </c>
    </row>
    <row r="5152" spans="1:3" x14ac:dyDescent="0.3">
      <c r="A5152" t="str">
        <f>IF(AND(FORSIDE!$B$8&gt;=1,FORSIDE!$F$8&gt;=4,FORSIDE!$B$5&gt;=1),"S5151","")</f>
        <v/>
      </c>
      <c r="B5152" t="str">
        <f>IF(AND(FORSIDE!$B$8&gt;=1,FORSIDE!$F$8&gt;=4,FORSIDE!$B$5&gt;=1),"706 -&gt; 937","")</f>
        <v/>
      </c>
      <c r="C5152" t="str">
        <f>FORSIDE!$C$3</f>
        <v>S355, Stål / VFHUP 140x140x8.0</v>
      </c>
    </row>
    <row r="5153" spans="1:3" x14ac:dyDescent="0.3">
      <c r="A5153" t="str">
        <f>IF(AND(FORSIDE!$B$8&gt;=1,FORSIDE!$F$8&gt;=4,FORSIDE!$B$5&gt;=2),"S5152","")</f>
        <v/>
      </c>
      <c r="B5153" t="str">
        <f>IF(AND(FORSIDE!$B$8&gt;=1,FORSIDE!$F$8&gt;=4,FORSIDE!$B$5&gt;=2),"707 -&gt; 938","")</f>
        <v/>
      </c>
      <c r="C5153" t="str">
        <f>FORSIDE!$C$3</f>
        <v>S355, Stål / VFHUP 140x140x8.0</v>
      </c>
    </row>
    <row r="5154" spans="1:3" x14ac:dyDescent="0.3">
      <c r="A5154" t="str">
        <f>IF(AND(FORSIDE!$B$8&gt;=1,FORSIDE!$F$8&gt;=4,FORSIDE!$B$5&gt;=3),"S5153","")</f>
        <v/>
      </c>
      <c r="B5154" t="str">
        <f>IF(AND(FORSIDE!$B$8&gt;=1,FORSIDE!$F$8&gt;=4,FORSIDE!$B$5&gt;=3),"708 -&gt; 939","")</f>
        <v/>
      </c>
      <c r="C5154" t="str">
        <f>FORSIDE!$C$3</f>
        <v>S355, Stål / VFHUP 140x140x8.0</v>
      </c>
    </row>
    <row r="5155" spans="1:3" x14ac:dyDescent="0.3">
      <c r="A5155" t="str">
        <f>IF(AND(FORSIDE!$B$8&gt;=1,FORSIDE!$F$8&gt;=4,FORSIDE!$B$5&gt;=4),"S5154","")</f>
        <v/>
      </c>
      <c r="B5155" t="str">
        <f>IF(AND(FORSIDE!$B$8&gt;=1,FORSIDE!$F$8&gt;=4,FORSIDE!$B$5&gt;=4),"709 -&gt; 940","")</f>
        <v/>
      </c>
      <c r="C5155" t="str">
        <f>FORSIDE!$C$3</f>
        <v>S355, Stål / VFHUP 140x140x8.0</v>
      </c>
    </row>
    <row r="5156" spans="1:3" x14ac:dyDescent="0.3">
      <c r="A5156" t="str">
        <f>IF(AND(FORSIDE!$B$8&gt;=1,FORSIDE!$F$8&gt;=4,FORSIDE!$B$5&gt;=5),"S5155","")</f>
        <v/>
      </c>
      <c r="B5156" t="str">
        <f>IF(AND(FORSIDE!$B$8&gt;=1,FORSIDE!$F$8&gt;=4,FORSIDE!$B$5&gt;=5),"710 -&gt; 941","")</f>
        <v/>
      </c>
      <c r="C5156" t="str">
        <f>FORSIDE!$C$3</f>
        <v>S355, Stål / VFHUP 140x140x8.0</v>
      </c>
    </row>
    <row r="5157" spans="1:3" x14ac:dyDescent="0.3">
      <c r="A5157" t="str">
        <f>IF(AND(FORSIDE!$B$8&gt;=1,FORSIDE!$F$8&gt;=4,FORSIDE!$B$5&gt;=6),"S5156","")</f>
        <v/>
      </c>
      <c r="B5157" t="str">
        <f>IF(AND(FORSIDE!$B$8&gt;=1,FORSIDE!$F$8&gt;=4,FORSIDE!$B$5&gt;=6),"711 -&gt; 942","")</f>
        <v/>
      </c>
      <c r="C5157" t="str">
        <f>FORSIDE!$C$3</f>
        <v>S355, Stål / VFHUP 140x140x8.0</v>
      </c>
    </row>
    <row r="5158" spans="1:3" x14ac:dyDescent="0.3">
      <c r="A5158" t="str">
        <f>IF(AND(FORSIDE!$B$8&gt;=1,FORSIDE!$F$8&gt;=4,FORSIDE!$B$5&gt;=7),"S5157","")</f>
        <v/>
      </c>
      <c r="B5158" t="str">
        <f>IF(AND(FORSIDE!$B$8&gt;=1,FORSIDE!$F$8&gt;=4,FORSIDE!$B$5&gt;=7),"712 -&gt; 943","")</f>
        <v/>
      </c>
      <c r="C5158" t="str">
        <f>FORSIDE!$C$3</f>
        <v>S355, Stål / VFHUP 140x140x8.0</v>
      </c>
    </row>
    <row r="5159" spans="1:3" x14ac:dyDescent="0.3">
      <c r="A5159" t="str">
        <f>IF(AND(FORSIDE!$B$8&gt;=1,FORSIDE!$F$8&gt;=4,FORSIDE!$B$5&gt;=8),"S5158","")</f>
        <v/>
      </c>
      <c r="B5159" t="str">
        <f>IF(AND(FORSIDE!$B$8&gt;=1,FORSIDE!$F$8&gt;=4,FORSIDE!$B$5&gt;=8),"713 -&gt; 944","")</f>
        <v/>
      </c>
      <c r="C5159" t="str">
        <f>FORSIDE!$C$3</f>
        <v>S355, Stål / VFHUP 140x140x8.0</v>
      </c>
    </row>
    <row r="5160" spans="1:3" x14ac:dyDescent="0.3">
      <c r="A5160" t="str">
        <f>IF(AND(FORSIDE!$B$8&gt;=1,FORSIDE!$F$8&gt;=4,FORSIDE!$B$5&gt;=9),"S5159","")</f>
        <v/>
      </c>
      <c r="B5160" t="str">
        <f>IF(AND(FORSIDE!$B$8&gt;=1,FORSIDE!$F$8&gt;=4,FORSIDE!$B$5&gt;=9),"714 -&gt; 945","")</f>
        <v/>
      </c>
      <c r="C5160" t="str">
        <f>FORSIDE!$C$3</f>
        <v>S355, Stål / VFHUP 140x140x8.0</v>
      </c>
    </row>
    <row r="5161" spans="1:3" x14ac:dyDescent="0.3">
      <c r="A5161" t="str">
        <f>IF(AND(FORSIDE!$B$8&gt;=1,FORSIDE!$F$8&gt;=4,FORSIDE!$B$5&gt;=10),"S5160","")</f>
        <v/>
      </c>
      <c r="B5161" t="str">
        <f>IF(AND(FORSIDE!$B$8&gt;=1,FORSIDE!$F$8&gt;=4,FORSIDE!$B$5&gt;=10),"715 -&gt; 946","")</f>
        <v/>
      </c>
      <c r="C5161" t="str">
        <f>FORSIDE!$C$3</f>
        <v>S355, Stål / VFHUP 140x140x8.0</v>
      </c>
    </row>
    <row r="5162" spans="1:3" x14ac:dyDescent="0.3">
      <c r="A5162" t="str">
        <f>IF(AND(FORSIDE!$B$8&gt;=2,FORSIDE!$F$8&gt;=4,FORSIDE!$B$5&gt;=1),"S5161","")</f>
        <v/>
      </c>
      <c r="B5162" t="str">
        <f>IF(AND(FORSIDE!$B$8&gt;=2,FORSIDE!$F$8&gt;=4,FORSIDE!$B$5&gt;=1),"717 -&gt; 948","")</f>
        <v/>
      </c>
      <c r="C5162" t="str">
        <f>FORSIDE!$C$3</f>
        <v>S355, Stål / VFHUP 140x140x8.0</v>
      </c>
    </row>
    <row r="5163" spans="1:3" x14ac:dyDescent="0.3">
      <c r="A5163" t="str">
        <f>IF(AND(FORSIDE!$B$8&gt;=2,FORSIDE!$F$8&gt;=4,FORSIDE!$B$5&gt;=2),"S5162","")</f>
        <v/>
      </c>
      <c r="B5163" t="str">
        <f>IF(AND(FORSIDE!$B$8&gt;=2,FORSIDE!$F$8&gt;=4,FORSIDE!$B$5&gt;=2),"718 -&gt; 949","")</f>
        <v/>
      </c>
      <c r="C5163" t="str">
        <f>FORSIDE!$C$3</f>
        <v>S355, Stål / VFHUP 140x140x8.0</v>
      </c>
    </row>
    <row r="5164" spans="1:3" x14ac:dyDescent="0.3">
      <c r="A5164" t="str">
        <f>IF(AND(FORSIDE!$B$8&gt;=2,FORSIDE!$F$8&gt;=4,FORSIDE!$B$5&gt;=3),"S5163","")</f>
        <v/>
      </c>
      <c r="B5164" t="str">
        <f>IF(AND(FORSIDE!$B$8&gt;=2,FORSIDE!$F$8&gt;=4,FORSIDE!$B$5&gt;=3),"719 -&gt; 950","")</f>
        <v/>
      </c>
      <c r="C5164" t="str">
        <f>FORSIDE!$C$3</f>
        <v>S355, Stål / VFHUP 140x140x8.0</v>
      </c>
    </row>
    <row r="5165" spans="1:3" x14ac:dyDescent="0.3">
      <c r="A5165" t="str">
        <f>IF(AND(FORSIDE!$B$8&gt;=2,FORSIDE!$F$8&gt;=4,FORSIDE!$B$5&gt;=4),"S5164","")</f>
        <v/>
      </c>
      <c r="B5165" t="str">
        <f>IF(AND(FORSIDE!$B$8&gt;=2,FORSIDE!$F$8&gt;=4,FORSIDE!$B$5&gt;=4),"720 -&gt; 951","")</f>
        <v/>
      </c>
      <c r="C5165" t="str">
        <f>FORSIDE!$C$3</f>
        <v>S355, Stål / VFHUP 140x140x8.0</v>
      </c>
    </row>
    <row r="5166" spans="1:3" x14ac:dyDescent="0.3">
      <c r="A5166" t="str">
        <f>IF(AND(FORSIDE!$B$8&gt;=2,FORSIDE!$F$8&gt;=4,FORSIDE!$B$5&gt;=5),"S5165","")</f>
        <v/>
      </c>
      <c r="B5166" t="str">
        <f>IF(AND(FORSIDE!$B$8&gt;=2,FORSIDE!$F$8&gt;=4,FORSIDE!$B$5&gt;=5),"721 -&gt; 952","")</f>
        <v/>
      </c>
      <c r="C5166" t="str">
        <f>FORSIDE!$C$3</f>
        <v>S355, Stål / VFHUP 140x140x8.0</v>
      </c>
    </row>
    <row r="5167" spans="1:3" x14ac:dyDescent="0.3">
      <c r="A5167" t="str">
        <f>IF(AND(FORSIDE!$B$8&gt;=2,FORSIDE!$F$8&gt;=4,FORSIDE!$B$5&gt;=6),"S5166","")</f>
        <v/>
      </c>
      <c r="B5167" t="str">
        <f>IF(AND(FORSIDE!$B$8&gt;=2,FORSIDE!$F$8&gt;=4,FORSIDE!$B$5&gt;=6),"722 -&gt; 953","")</f>
        <v/>
      </c>
      <c r="C5167" t="str">
        <f>FORSIDE!$C$3</f>
        <v>S355, Stål / VFHUP 140x140x8.0</v>
      </c>
    </row>
    <row r="5168" spans="1:3" x14ac:dyDescent="0.3">
      <c r="A5168" t="str">
        <f>IF(AND(FORSIDE!$B$8&gt;=2,FORSIDE!$F$8&gt;=4,FORSIDE!$B$5&gt;=7),"S5167","")</f>
        <v/>
      </c>
      <c r="B5168" t="str">
        <f>IF(AND(FORSIDE!$B$8&gt;=2,FORSIDE!$F$8&gt;=4,FORSIDE!$B$5&gt;=7),"723 -&gt; 954","")</f>
        <v/>
      </c>
      <c r="C5168" t="str">
        <f>FORSIDE!$C$3</f>
        <v>S355, Stål / VFHUP 140x140x8.0</v>
      </c>
    </row>
    <row r="5169" spans="1:3" x14ac:dyDescent="0.3">
      <c r="A5169" t="str">
        <f>IF(AND(FORSIDE!$B$8&gt;=2,FORSIDE!$F$8&gt;=4,FORSIDE!$B$5&gt;=8),"S5168","")</f>
        <v/>
      </c>
      <c r="B5169" t="str">
        <f>IF(AND(FORSIDE!$B$8&gt;=2,FORSIDE!$F$8&gt;=4,FORSIDE!$B$5&gt;=8),"724 -&gt; 955","")</f>
        <v/>
      </c>
      <c r="C5169" t="str">
        <f>FORSIDE!$C$3</f>
        <v>S355, Stål / VFHUP 140x140x8.0</v>
      </c>
    </row>
    <row r="5170" spans="1:3" x14ac:dyDescent="0.3">
      <c r="A5170" t="str">
        <f>IF(AND(FORSIDE!$B$8&gt;=2,FORSIDE!$F$8&gt;=4,FORSIDE!$B$5&gt;=9),"S5169","")</f>
        <v/>
      </c>
      <c r="B5170" t="str">
        <f>IF(AND(FORSIDE!$B$8&gt;=2,FORSIDE!$F$8&gt;=4,FORSIDE!$B$5&gt;=9),"725 -&gt; 956","")</f>
        <v/>
      </c>
      <c r="C5170" t="str">
        <f>FORSIDE!$C$3</f>
        <v>S355, Stål / VFHUP 140x140x8.0</v>
      </c>
    </row>
    <row r="5171" spans="1:3" x14ac:dyDescent="0.3">
      <c r="A5171" t="str">
        <f>IF(AND(FORSIDE!$B$8&gt;=2,FORSIDE!$F$8&gt;=4,FORSIDE!$B$5&gt;=10),"S5170","")</f>
        <v/>
      </c>
      <c r="B5171" t="str">
        <f>IF(AND(FORSIDE!$B$8&gt;=2,FORSIDE!$F$8&gt;=4,FORSIDE!$B$5&gt;=10),"726 -&gt; 957","")</f>
        <v/>
      </c>
      <c r="C5171" t="str">
        <f>FORSIDE!$C$3</f>
        <v>S355, Stål / VFHUP 140x140x8.0</v>
      </c>
    </row>
    <row r="5172" spans="1:3" x14ac:dyDescent="0.3">
      <c r="A5172" t="str">
        <f>IF(AND(FORSIDE!$B$8&gt;=3,FORSIDE!$F$8&gt;=4,FORSIDE!$B$5&gt;=1),"S5171","")</f>
        <v/>
      </c>
      <c r="B5172" t="str">
        <f>IF(AND(FORSIDE!$B$8&gt;=3,FORSIDE!$F$8&gt;=4,FORSIDE!$B$5&gt;=1),"728 -&gt; 959","")</f>
        <v/>
      </c>
      <c r="C5172" t="str">
        <f>FORSIDE!$C$3</f>
        <v>S355, Stål / VFHUP 140x140x8.0</v>
      </c>
    </row>
    <row r="5173" spans="1:3" x14ac:dyDescent="0.3">
      <c r="A5173" t="str">
        <f>IF(AND(FORSIDE!$B$8&gt;=3,FORSIDE!$F$8&gt;=4,FORSIDE!$B$5&gt;=2),"S5172","")</f>
        <v/>
      </c>
      <c r="B5173" t="str">
        <f>IF(AND(FORSIDE!$B$8&gt;=3,FORSIDE!$F$8&gt;=4,FORSIDE!$B$5&gt;=2),"729 -&gt; 960","")</f>
        <v/>
      </c>
      <c r="C5173" t="str">
        <f>FORSIDE!$C$3</f>
        <v>S355, Stål / VFHUP 140x140x8.0</v>
      </c>
    </row>
    <row r="5174" spans="1:3" x14ac:dyDescent="0.3">
      <c r="A5174" t="str">
        <f>IF(AND(FORSIDE!$B$8&gt;=3,FORSIDE!$F$8&gt;=4,FORSIDE!$B$5&gt;=3),"S5173","")</f>
        <v/>
      </c>
      <c r="B5174" t="str">
        <f>IF(AND(FORSIDE!$B$8&gt;=3,FORSIDE!$F$8&gt;=4,FORSIDE!$B$5&gt;=3),"730 -&gt; 961","")</f>
        <v/>
      </c>
      <c r="C5174" t="str">
        <f>FORSIDE!$C$3</f>
        <v>S355, Stål / VFHUP 140x140x8.0</v>
      </c>
    </row>
    <row r="5175" spans="1:3" x14ac:dyDescent="0.3">
      <c r="A5175" t="str">
        <f>IF(AND(FORSIDE!$B$8&gt;=3,FORSIDE!$F$8&gt;=4,FORSIDE!$B$5&gt;=4),"S5174","")</f>
        <v/>
      </c>
      <c r="B5175" t="str">
        <f>IF(AND(FORSIDE!$B$8&gt;=3,FORSIDE!$F$8&gt;=4,FORSIDE!$B$5&gt;=4),"731 -&gt; 962","")</f>
        <v/>
      </c>
      <c r="C5175" t="str">
        <f>FORSIDE!$C$3</f>
        <v>S355, Stål / VFHUP 140x140x8.0</v>
      </c>
    </row>
    <row r="5176" spans="1:3" x14ac:dyDescent="0.3">
      <c r="A5176" t="str">
        <f>IF(AND(FORSIDE!$B$8&gt;=3,FORSIDE!$F$8&gt;=4,FORSIDE!$B$5&gt;=5),"S5175","")</f>
        <v/>
      </c>
      <c r="B5176" t="str">
        <f>IF(AND(FORSIDE!$B$8&gt;=3,FORSIDE!$F$8&gt;=4,FORSIDE!$B$5&gt;=5),"732 -&gt; 963","")</f>
        <v/>
      </c>
      <c r="C5176" t="str">
        <f>FORSIDE!$C$3</f>
        <v>S355, Stål / VFHUP 140x140x8.0</v>
      </c>
    </row>
    <row r="5177" spans="1:3" x14ac:dyDescent="0.3">
      <c r="A5177" t="str">
        <f>IF(AND(FORSIDE!$B$8&gt;=3,FORSIDE!$F$8&gt;=4,FORSIDE!$B$5&gt;=6),"S5176","")</f>
        <v/>
      </c>
      <c r="B5177" t="str">
        <f>IF(AND(FORSIDE!$B$8&gt;=3,FORSIDE!$F$8&gt;=4,FORSIDE!$B$5&gt;=6),"733 -&gt; 964","")</f>
        <v/>
      </c>
      <c r="C5177" t="str">
        <f>FORSIDE!$C$3</f>
        <v>S355, Stål / VFHUP 140x140x8.0</v>
      </c>
    </row>
    <row r="5178" spans="1:3" x14ac:dyDescent="0.3">
      <c r="A5178" t="str">
        <f>IF(AND(FORSIDE!$B$8&gt;=3,FORSIDE!$F$8&gt;=4,FORSIDE!$B$5&gt;=7),"S5177","")</f>
        <v/>
      </c>
      <c r="B5178" t="str">
        <f>IF(AND(FORSIDE!$B$8&gt;=3,FORSIDE!$F$8&gt;=4,FORSIDE!$B$5&gt;=7),"734 -&gt; 965","")</f>
        <v/>
      </c>
      <c r="C5178" t="str">
        <f>FORSIDE!$C$3</f>
        <v>S355, Stål / VFHUP 140x140x8.0</v>
      </c>
    </row>
    <row r="5179" spans="1:3" x14ac:dyDescent="0.3">
      <c r="A5179" t="str">
        <f>IF(AND(FORSIDE!$B$8&gt;=3,FORSIDE!$F$8&gt;=4,FORSIDE!$B$5&gt;=8),"S5178","")</f>
        <v/>
      </c>
      <c r="B5179" t="str">
        <f>IF(AND(FORSIDE!$B$8&gt;=3,FORSIDE!$F$8&gt;=4,FORSIDE!$B$5&gt;=8),"735 -&gt; 966","")</f>
        <v/>
      </c>
      <c r="C5179" t="str">
        <f>FORSIDE!$C$3</f>
        <v>S355, Stål / VFHUP 140x140x8.0</v>
      </c>
    </row>
    <row r="5180" spans="1:3" x14ac:dyDescent="0.3">
      <c r="A5180" t="str">
        <f>IF(AND(FORSIDE!$B$8&gt;=3,FORSIDE!$F$8&gt;=4,FORSIDE!$B$5&gt;=9),"S5179","")</f>
        <v/>
      </c>
      <c r="B5180" t="str">
        <f>IF(AND(FORSIDE!$B$8&gt;=3,FORSIDE!$F$8&gt;=4,FORSIDE!$B$5&gt;=9),"736 -&gt; 967","")</f>
        <v/>
      </c>
      <c r="C5180" t="str">
        <f>FORSIDE!$C$3</f>
        <v>S355, Stål / VFHUP 140x140x8.0</v>
      </c>
    </row>
    <row r="5181" spans="1:3" x14ac:dyDescent="0.3">
      <c r="A5181" t="str">
        <f>IF(AND(FORSIDE!$B$8&gt;=3,FORSIDE!$F$8&gt;=4,FORSIDE!$B$5&gt;=10),"S5180","")</f>
        <v/>
      </c>
      <c r="B5181" t="str">
        <f>IF(AND(FORSIDE!$B$8&gt;=3,FORSIDE!$F$8&gt;=4,FORSIDE!$B$5&gt;=10),"737 -&gt; 968","")</f>
        <v/>
      </c>
      <c r="C5181" t="str">
        <f>FORSIDE!$C$3</f>
        <v>S355, Stål / VFHUP 140x140x8.0</v>
      </c>
    </row>
    <row r="5182" spans="1:3" x14ac:dyDescent="0.3">
      <c r="A5182" t="str">
        <f>IF(AND(FORSIDE!$B$8&gt;=4,FORSIDE!$F$8&gt;=4,FORSIDE!$B$5&gt;=1),"S5181","")</f>
        <v/>
      </c>
      <c r="B5182" t="str">
        <f>IF(AND(FORSIDE!$B$8&gt;=4,FORSIDE!$F$8&gt;=4,FORSIDE!$B$5&gt;=1),"739 -&gt; 970","")</f>
        <v/>
      </c>
      <c r="C5182" t="str">
        <f>FORSIDE!$C$3</f>
        <v>S355, Stål / VFHUP 140x140x8.0</v>
      </c>
    </row>
    <row r="5183" spans="1:3" x14ac:dyDescent="0.3">
      <c r="A5183" t="str">
        <f>IF(AND(FORSIDE!$B$8&gt;=4,FORSIDE!$F$8&gt;=4,FORSIDE!$B$5&gt;=2),"S5182","")</f>
        <v/>
      </c>
      <c r="B5183" t="str">
        <f>IF(AND(FORSIDE!$B$8&gt;=4,FORSIDE!$F$8&gt;=4,FORSIDE!$B$5&gt;=2),"740 -&gt; 971","")</f>
        <v/>
      </c>
      <c r="C5183" t="str">
        <f>FORSIDE!$C$3</f>
        <v>S355, Stål / VFHUP 140x140x8.0</v>
      </c>
    </row>
    <row r="5184" spans="1:3" x14ac:dyDescent="0.3">
      <c r="A5184" t="str">
        <f>IF(AND(FORSIDE!$B$8&gt;=4,FORSIDE!$F$8&gt;=4,FORSIDE!$B$5&gt;=3),"S5183","")</f>
        <v/>
      </c>
      <c r="B5184" t="str">
        <f>IF(AND(FORSIDE!$B$8&gt;=4,FORSIDE!$F$8&gt;=4,FORSIDE!$B$5&gt;=3),"741 -&gt; 972","")</f>
        <v/>
      </c>
      <c r="C5184" t="str">
        <f>FORSIDE!$C$3</f>
        <v>S355, Stål / VFHUP 140x140x8.0</v>
      </c>
    </row>
    <row r="5185" spans="1:3" x14ac:dyDescent="0.3">
      <c r="A5185" t="str">
        <f>IF(AND(FORSIDE!$B$8&gt;=4,FORSIDE!$F$8&gt;=4,FORSIDE!$B$5&gt;=4),"S5184","")</f>
        <v/>
      </c>
      <c r="B5185" t="str">
        <f>IF(AND(FORSIDE!$B$8&gt;=4,FORSIDE!$F$8&gt;=4,FORSIDE!$B$5&gt;=4),"742 -&gt; 973","")</f>
        <v/>
      </c>
      <c r="C5185" t="str">
        <f>FORSIDE!$C$3</f>
        <v>S355, Stål / VFHUP 140x140x8.0</v>
      </c>
    </row>
    <row r="5186" spans="1:3" x14ac:dyDescent="0.3">
      <c r="A5186" t="str">
        <f>IF(AND(FORSIDE!$B$8&gt;=4,FORSIDE!$F$8&gt;=4,FORSIDE!$B$5&gt;=5),"S5185","")</f>
        <v/>
      </c>
      <c r="B5186" t="str">
        <f>IF(AND(FORSIDE!$B$8&gt;=4,FORSIDE!$F$8&gt;=4,FORSIDE!$B$5&gt;=5),"743 -&gt; 974","")</f>
        <v/>
      </c>
      <c r="C5186" t="str">
        <f>FORSIDE!$C$3</f>
        <v>S355, Stål / VFHUP 140x140x8.0</v>
      </c>
    </row>
    <row r="5187" spans="1:3" x14ac:dyDescent="0.3">
      <c r="A5187" t="str">
        <f>IF(AND(FORSIDE!$B$8&gt;=4,FORSIDE!$F$8&gt;=4,FORSIDE!$B$5&gt;=6),"S5186","")</f>
        <v/>
      </c>
      <c r="B5187" t="str">
        <f>IF(AND(FORSIDE!$B$8&gt;=4,FORSIDE!$F$8&gt;=4,FORSIDE!$B$5&gt;=6),"744 -&gt; 975","")</f>
        <v/>
      </c>
      <c r="C5187" t="str">
        <f>FORSIDE!$C$3</f>
        <v>S355, Stål / VFHUP 140x140x8.0</v>
      </c>
    </row>
    <row r="5188" spans="1:3" x14ac:dyDescent="0.3">
      <c r="A5188" t="str">
        <f>IF(AND(FORSIDE!$B$8&gt;=4,FORSIDE!$F$8&gt;=4,FORSIDE!$B$5&gt;=7),"S5187","")</f>
        <v/>
      </c>
      <c r="B5188" t="str">
        <f>IF(AND(FORSIDE!$B$8&gt;=4,FORSIDE!$F$8&gt;=4,FORSIDE!$B$5&gt;=7),"745 -&gt; 976","")</f>
        <v/>
      </c>
      <c r="C5188" t="str">
        <f>FORSIDE!$C$3</f>
        <v>S355, Stål / VFHUP 140x140x8.0</v>
      </c>
    </row>
    <row r="5189" spans="1:3" x14ac:dyDescent="0.3">
      <c r="A5189" t="str">
        <f>IF(AND(FORSIDE!$B$8&gt;=4,FORSIDE!$F$8&gt;=4,FORSIDE!$B$5&gt;=8),"S5188","")</f>
        <v/>
      </c>
      <c r="B5189" t="str">
        <f>IF(AND(FORSIDE!$B$8&gt;=4,FORSIDE!$F$8&gt;=4,FORSIDE!$B$5&gt;=8),"746 -&gt; 977","")</f>
        <v/>
      </c>
      <c r="C5189" t="str">
        <f>FORSIDE!$C$3</f>
        <v>S355, Stål / VFHUP 140x140x8.0</v>
      </c>
    </row>
    <row r="5190" spans="1:3" x14ac:dyDescent="0.3">
      <c r="A5190" t="str">
        <f>IF(AND(FORSIDE!$B$8&gt;=4,FORSIDE!$F$8&gt;=4,FORSIDE!$B$5&gt;=9),"S5189","")</f>
        <v/>
      </c>
      <c r="B5190" t="str">
        <f>IF(AND(FORSIDE!$B$8&gt;=4,FORSIDE!$F$8&gt;=4,FORSIDE!$B$5&gt;=9),"747 -&gt; 978","")</f>
        <v/>
      </c>
      <c r="C5190" t="str">
        <f>FORSIDE!$C$3</f>
        <v>S355, Stål / VFHUP 140x140x8.0</v>
      </c>
    </row>
    <row r="5191" spans="1:3" x14ac:dyDescent="0.3">
      <c r="A5191" t="str">
        <f>IF(AND(FORSIDE!$B$8&gt;=4,FORSIDE!$F$8&gt;=4,FORSIDE!$B$5&gt;=10),"S5190","")</f>
        <v/>
      </c>
      <c r="B5191" t="str">
        <f>IF(AND(FORSIDE!$B$8&gt;=4,FORSIDE!$F$8&gt;=4,FORSIDE!$B$5&gt;=10),"748 -&gt; 979","")</f>
        <v/>
      </c>
      <c r="C5191" t="str">
        <f>FORSIDE!$C$3</f>
        <v>S355, Stål / VFHUP 140x140x8.0</v>
      </c>
    </row>
    <row r="5192" spans="1:3" x14ac:dyDescent="0.3">
      <c r="A5192" t="str">
        <f>IF(AND(FORSIDE!$B$8&gt;=5,FORSIDE!$F$8&gt;=4,FORSIDE!$B$5&gt;=1),"S5191","")</f>
        <v/>
      </c>
      <c r="B5192" t="str">
        <f>IF(AND(FORSIDE!$B$8&gt;=5,FORSIDE!$F$8&gt;=4,FORSIDE!$B$5&gt;=1),"750 -&gt; 981","")</f>
        <v/>
      </c>
      <c r="C5192" t="str">
        <f>FORSIDE!$C$3</f>
        <v>S355, Stål / VFHUP 140x140x8.0</v>
      </c>
    </row>
    <row r="5193" spans="1:3" x14ac:dyDescent="0.3">
      <c r="A5193" t="str">
        <f>IF(AND(FORSIDE!$B$8&gt;=5,FORSIDE!$F$8&gt;=4,FORSIDE!$B$5&gt;=2),"S5192","")</f>
        <v/>
      </c>
      <c r="B5193" t="str">
        <f>IF(AND(FORSIDE!$B$8&gt;=5,FORSIDE!$F$8&gt;=4,FORSIDE!$B$5&gt;=2),"751 -&gt; 982","")</f>
        <v/>
      </c>
      <c r="C5193" t="str">
        <f>FORSIDE!$C$3</f>
        <v>S355, Stål / VFHUP 140x140x8.0</v>
      </c>
    </row>
    <row r="5194" spans="1:3" x14ac:dyDescent="0.3">
      <c r="A5194" t="str">
        <f>IF(AND(FORSIDE!$B$8&gt;=5,FORSIDE!$F$8&gt;=4,FORSIDE!$B$5&gt;=3),"S5193","")</f>
        <v/>
      </c>
      <c r="B5194" t="str">
        <f>IF(AND(FORSIDE!$B$8&gt;=5,FORSIDE!$F$8&gt;=4,FORSIDE!$B$5&gt;=3),"752 -&gt; 983","")</f>
        <v/>
      </c>
      <c r="C5194" t="str">
        <f>FORSIDE!$C$3</f>
        <v>S355, Stål / VFHUP 140x140x8.0</v>
      </c>
    </row>
    <row r="5195" spans="1:3" x14ac:dyDescent="0.3">
      <c r="A5195" t="str">
        <f>IF(AND(FORSIDE!$B$8&gt;=5,FORSIDE!$F$8&gt;=4,FORSIDE!$B$5&gt;=4),"S5194","")</f>
        <v/>
      </c>
      <c r="B5195" t="str">
        <f>IF(AND(FORSIDE!$B$8&gt;=5,FORSIDE!$F$8&gt;=4,FORSIDE!$B$5&gt;=4),"753 -&gt; 984","")</f>
        <v/>
      </c>
      <c r="C5195" t="str">
        <f>FORSIDE!$C$3</f>
        <v>S355, Stål / VFHUP 140x140x8.0</v>
      </c>
    </row>
    <row r="5196" spans="1:3" x14ac:dyDescent="0.3">
      <c r="A5196" t="str">
        <f>IF(AND(FORSIDE!$B$8&gt;=5,FORSIDE!$F$8&gt;=4,FORSIDE!$B$5&gt;=5),"S5195","")</f>
        <v/>
      </c>
      <c r="B5196" t="str">
        <f>IF(AND(FORSIDE!$B$8&gt;=5,FORSIDE!$F$8&gt;=4,FORSIDE!$B$5&gt;=5),"754 -&gt; 985","")</f>
        <v/>
      </c>
      <c r="C5196" t="str">
        <f>FORSIDE!$C$3</f>
        <v>S355, Stål / VFHUP 140x140x8.0</v>
      </c>
    </row>
    <row r="5197" spans="1:3" x14ac:dyDescent="0.3">
      <c r="A5197" t="str">
        <f>IF(AND(FORSIDE!$B$8&gt;=5,FORSIDE!$F$8&gt;=4,FORSIDE!$B$5&gt;=6),"S5196","")</f>
        <v/>
      </c>
      <c r="B5197" t="str">
        <f>IF(AND(FORSIDE!$B$8&gt;=5,FORSIDE!$F$8&gt;=4,FORSIDE!$B$5&gt;=6),"755 -&gt; 986","")</f>
        <v/>
      </c>
      <c r="C5197" t="str">
        <f>FORSIDE!$C$3</f>
        <v>S355, Stål / VFHUP 140x140x8.0</v>
      </c>
    </row>
    <row r="5198" spans="1:3" x14ac:dyDescent="0.3">
      <c r="A5198" t="str">
        <f>IF(AND(FORSIDE!$B$8&gt;=5,FORSIDE!$F$8&gt;=4,FORSIDE!$B$5&gt;=7),"S5197","")</f>
        <v/>
      </c>
      <c r="B5198" t="str">
        <f>IF(AND(FORSIDE!$B$8&gt;=5,FORSIDE!$F$8&gt;=4,FORSIDE!$B$5&gt;=7),"756 -&gt; 987","")</f>
        <v/>
      </c>
      <c r="C5198" t="str">
        <f>FORSIDE!$C$3</f>
        <v>S355, Stål / VFHUP 140x140x8.0</v>
      </c>
    </row>
    <row r="5199" spans="1:3" x14ac:dyDescent="0.3">
      <c r="A5199" t="str">
        <f>IF(AND(FORSIDE!$B$8&gt;=5,FORSIDE!$F$8&gt;=4,FORSIDE!$B$5&gt;=8),"S5198","")</f>
        <v/>
      </c>
      <c r="B5199" t="str">
        <f>IF(AND(FORSIDE!$B$8&gt;=5,FORSIDE!$F$8&gt;=4,FORSIDE!$B$5&gt;=8),"757 -&gt; 988","")</f>
        <v/>
      </c>
      <c r="C5199" t="str">
        <f>FORSIDE!$C$3</f>
        <v>S355, Stål / VFHUP 140x140x8.0</v>
      </c>
    </row>
    <row r="5200" spans="1:3" x14ac:dyDescent="0.3">
      <c r="A5200" t="str">
        <f>IF(AND(FORSIDE!$B$8&gt;=5,FORSIDE!$F$8&gt;=4,FORSIDE!$B$5&gt;=9),"S5199","")</f>
        <v/>
      </c>
      <c r="B5200" t="str">
        <f>IF(AND(FORSIDE!$B$8&gt;=5,FORSIDE!$F$8&gt;=4,FORSIDE!$B$5&gt;=9),"758 -&gt; 989","")</f>
        <v/>
      </c>
      <c r="C5200" t="str">
        <f>FORSIDE!$C$3</f>
        <v>S355, Stål / VFHUP 140x140x8.0</v>
      </c>
    </row>
    <row r="5201" spans="1:3" x14ac:dyDescent="0.3">
      <c r="A5201" t="str">
        <f>IF(AND(FORSIDE!$B$8&gt;=5,FORSIDE!$F$8&gt;=4,FORSIDE!$B$5&gt;=10),"S5200","")</f>
        <v/>
      </c>
      <c r="B5201" t="str">
        <f>IF(AND(FORSIDE!$B$8&gt;=5,FORSIDE!$F$8&gt;=4,FORSIDE!$B$5&gt;=10),"759 -&gt; 990","")</f>
        <v/>
      </c>
      <c r="C5201" t="str">
        <f>FORSIDE!$C$3</f>
        <v>S355, Stål / VFHUP 140x140x8.0</v>
      </c>
    </row>
    <row r="5202" spans="1:3" x14ac:dyDescent="0.3">
      <c r="A5202" t="str">
        <f>IF(AND(FORSIDE!$B$8&gt;=6,FORSIDE!$F$8&gt;=4,FORSIDE!$B$5&gt;=1),"S5201","")</f>
        <v/>
      </c>
      <c r="B5202" t="str">
        <f>IF(AND(FORSIDE!$B$8&gt;=6,FORSIDE!$F$8&gt;=4,FORSIDE!$B$5&gt;=1),"761 -&gt; 992","")</f>
        <v/>
      </c>
      <c r="C5202" t="str">
        <f>FORSIDE!$C$3</f>
        <v>S355, Stål / VFHUP 140x140x8.0</v>
      </c>
    </row>
    <row r="5203" spans="1:3" x14ac:dyDescent="0.3">
      <c r="A5203" t="str">
        <f>IF(AND(FORSIDE!$B$8&gt;=6,FORSIDE!$F$8&gt;=4,FORSIDE!$B$5&gt;=2),"S5202","")</f>
        <v/>
      </c>
      <c r="B5203" t="str">
        <f>IF(AND(FORSIDE!$B$8&gt;=6,FORSIDE!$F$8&gt;=4,FORSIDE!$B$5&gt;=2),"762 -&gt; 993","")</f>
        <v/>
      </c>
      <c r="C5203" t="str">
        <f>FORSIDE!$C$3</f>
        <v>S355, Stål / VFHUP 140x140x8.0</v>
      </c>
    </row>
    <row r="5204" spans="1:3" x14ac:dyDescent="0.3">
      <c r="A5204" t="str">
        <f>IF(AND(FORSIDE!$B$8&gt;=6,FORSIDE!$F$8&gt;=4,FORSIDE!$B$5&gt;=3),"S5203","")</f>
        <v/>
      </c>
      <c r="B5204" t="str">
        <f>IF(AND(FORSIDE!$B$8&gt;=6,FORSIDE!$F$8&gt;=4,FORSIDE!$B$5&gt;=3),"763 -&gt; 994","")</f>
        <v/>
      </c>
      <c r="C5204" t="str">
        <f>FORSIDE!$C$3</f>
        <v>S355, Stål / VFHUP 140x140x8.0</v>
      </c>
    </row>
    <row r="5205" spans="1:3" x14ac:dyDescent="0.3">
      <c r="A5205" t="str">
        <f>IF(AND(FORSIDE!$B$8&gt;=6,FORSIDE!$F$8&gt;=4,FORSIDE!$B$5&gt;=4),"S5204","")</f>
        <v/>
      </c>
      <c r="B5205" t="str">
        <f>IF(AND(FORSIDE!$B$8&gt;=6,FORSIDE!$F$8&gt;=4,FORSIDE!$B$5&gt;=4),"764 -&gt; 995","")</f>
        <v/>
      </c>
      <c r="C5205" t="str">
        <f>FORSIDE!$C$3</f>
        <v>S355, Stål / VFHUP 140x140x8.0</v>
      </c>
    </row>
    <row r="5206" spans="1:3" x14ac:dyDescent="0.3">
      <c r="A5206" t="str">
        <f>IF(AND(FORSIDE!$B$8&gt;=6,FORSIDE!$F$8&gt;=4,FORSIDE!$B$5&gt;=5),"S5205","")</f>
        <v/>
      </c>
      <c r="B5206" t="str">
        <f>IF(AND(FORSIDE!$B$8&gt;=6,FORSIDE!$F$8&gt;=4,FORSIDE!$B$5&gt;=5),"765 -&gt; 996","")</f>
        <v/>
      </c>
      <c r="C5206" t="str">
        <f>FORSIDE!$C$3</f>
        <v>S355, Stål / VFHUP 140x140x8.0</v>
      </c>
    </row>
    <row r="5207" spans="1:3" x14ac:dyDescent="0.3">
      <c r="A5207" t="str">
        <f>IF(AND(FORSIDE!$B$8&gt;=6,FORSIDE!$F$8&gt;=4,FORSIDE!$B$5&gt;=6),"S5206","")</f>
        <v/>
      </c>
      <c r="B5207" t="str">
        <f>IF(AND(FORSIDE!$B$8&gt;=6,FORSIDE!$F$8&gt;=4,FORSIDE!$B$5&gt;=6),"766 -&gt; 997","")</f>
        <v/>
      </c>
      <c r="C5207" t="str">
        <f>FORSIDE!$C$3</f>
        <v>S355, Stål / VFHUP 140x140x8.0</v>
      </c>
    </row>
    <row r="5208" spans="1:3" x14ac:dyDescent="0.3">
      <c r="A5208" t="str">
        <f>IF(AND(FORSIDE!$B$8&gt;=6,FORSIDE!$F$8&gt;=4,FORSIDE!$B$5&gt;=7),"S5207","")</f>
        <v/>
      </c>
      <c r="B5208" t="str">
        <f>IF(AND(FORSIDE!$B$8&gt;=6,FORSIDE!$F$8&gt;=4,FORSIDE!$B$5&gt;=7),"767 -&gt; 998","")</f>
        <v/>
      </c>
      <c r="C5208" t="str">
        <f>FORSIDE!$C$3</f>
        <v>S355, Stål / VFHUP 140x140x8.0</v>
      </c>
    </row>
    <row r="5209" spans="1:3" x14ac:dyDescent="0.3">
      <c r="A5209" t="str">
        <f>IF(AND(FORSIDE!$B$8&gt;=6,FORSIDE!$F$8&gt;=4,FORSIDE!$B$5&gt;=8),"S5208","")</f>
        <v/>
      </c>
      <c r="B5209" t="str">
        <f>IF(AND(FORSIDE!$B$8&gt;=6,FORSIDE!$F$8&gt;=4,FORSIDE!$B$5&gt;=8),"768 -&gt; 999","")</f>
        <v/>
      </c>
      <c r="C5209" t="str">
        <f>FORSIDE!$C$3</f>
        <v>S355, Stål / VFHUP 140x140x8.0</v>
      </c>
    </row>
    <row r="5210" spans="1:3" x14ac:dyDescent="0.3">
      <c r="A5210" t="str">
        <f>IF(AND(FORSIDE!$B$8&gt;=6,FORSIDE!$F$8&gt;=4,FORSIDE!$B$5&gt;=9),"S5209","")</f>
        <v/>
      </c>
      <c r="B5210" t="str">
        <f>IF(AND(FORSIDE!$B$8&gt;=6,FORSIDE!$F$8&gt;=4,FORSIDE!$B$5&gt;=9),"769 -&gt; 1000","")</f>
        <v/>
      </c>
      <c r="C5210" t="str">
        <f>FORSIDE!$C$3</f>
        <v>S355, Stål / VFHUP 140x140x8.0</v>
      </c>
    </row>
    <row r="5211" spans="1:3" x14ac:dyDescent="0.3">
      <c r="A5211" t="str">
        <f>IF(AND(FORSIDE!$B$8&gt;=6,FORSIDE!$F$8&gt;=4,FORSIDE!$B$5&gt;=10),"S5210","")</f>
        <v/>
      </c>
      <c r="B5211" t="str">
        <f>IF(AND(FORSIDE!$B$8&gt;=6,FORSIDE!$F$8&gt;=4,FORSIDE!$B$5&gt;=10),"770 -&gt; 1001","")</f>
        <v/>
      </c>
      <c r="C5211" t="str">
        <f>FORSIDE!$C$3</f>
        <v>S355, Stål / VFHUP 140x140x8.0</v>
      </c>
    </row>
    <row r="5212" spans="1:3" x14ac:dyDescent="0.3">
      <c r="A5212" t="str">
        <f>IF(AND(FORSIDE!$B$8&gt;=7,FORSIDE!$F$8&gt;=4,FORSIDE!$B$5&gt;=1),"S5211","")</f>
        <v/>
      </c>
      <c r="B5212" t="str">
        <f>IF(AND(FORSIDE!$B$8&gt;=7,FORSIDE!$F$8&gt;=4,FORSIDE!$B$5&gt;=1),"772 -&gt; 1003","")</f>
        <v/>
      </c>
      <c r="C5212" t="str">
        <f>FORSIDE!$C$3</f>
        <v>S355, Stål / VFHUP 140x140x8.0</v>
      </c>
    </row>
    <row r="5213" spans="1:3" x14ac:dyDescent="0.3">
      <c r="A5213" t="str">
        <f>IF(AND(FORSIDE!$B$8&gt;=7,FORSIDE!$F$8&gt;=4,FORSIDE!$B$5&gt;=2),"S5212","")</f>
        <v/>
      </c>
      <c r="B5213" t="str">
        <f>IF(AND(FORSIDE!$B$8&gt;=7,FORSIDE!$F$8&gt;=4,FORSIDE!$B$5&gt;=2),"773 -&gt; 1004","")</f>
        <v/>
      </c>
      <c r="C5213" t="str">
        <f>FORSIDE!$C$3</f>
        <v>S355, Stål / VFHUP 140x140x8.0</v>
      </c>
    </row>
    <row r="5214" spans="1:3" x14ac:dyDescent="0.3">
      <c r="A5214" t="str">
        <f>IF(AND(FORSIDE!$B$8&gt;=7,FORSIDE!$F$8&gt;=4,FORSIDE!$B$5&gt;=3),"S5213","")</f>
        <v/>
      </c>
      <c r="B5214" t="str">
        <f>IF(AND(FORSIDE!$B$8&gt;=7,FORSIDE!$F$8&gt;=4,FORSIDE!$B$5&gt;=3),"774 -&gt; 1005","")</f>
        <v/>
      </c>
      <c r="C5214" t="str">
        <f>FORSIDE!$C$3</f>
        <v>S355, Stål / VFHUP 140x140x8.0</v>
      </c>
    </row>
    <row r="5215" spans="1:3" x14ac:dyDescent="0.3">
      <c r="A5215" t="str">
        <f>IF(AND(FORSIDE!$B$8&gt;=7,FORSIDE!$F$8&gt;=4,FORSIDE!$B$5&gt;=4),"S5214","")</f>
        <v/>
      </c>
      <c r="B5215" t="str">
        <f>IF(AND(FORSIDE!$B$8&gt;=7,FORSIDE!$F$8&gt;=4,FORSIDE!$B$5&gt;=4),"775 -&gt; 1006","")</f>
        <v/>
      </c>
      <c r="C5215" t="str">
        <f>FORSIDE!$C$3</f>
        <v>S355, Stål / VFHUP 140x140x8.0</v>
      </c>
    </row>
    <row r="5216" spans="1:3" x14ac:dyDescent="0.3">
      <c r="A5216" t="str">
        <f>IF(AND(FORSIDE!$B$8&gt;=7,FORSIDE!$F$8&gt;=4,FORSIDE!$B$5&gt;=5),"S5215","")</f>
        <v/>
      </c>
      <c r="B5216" t="str">
        <f>IF(AND(FORSIDE!$B$8&gt;=7,FORSIDE!$F$8&gt;=4,FORSIDE!$B$5&gt;=5),"776 -&gt; 1007","")</f>
        <v/>
      </c>
      <c r="C5216" t="str">
        <f>FORSIDE!$C$3</f>
        <v>S355, Stål / VFHUP 140x140x8.0</v>
      </c>
    </row>
    <row r="5217" spans="1:3" x14ac:dyDescent="0.3">
      <c r="A5217" t="str">
        <f>IF(AND(FORSIDE!$B$8&gt;=7,FORSIDE!$F$8&gt;=4,FORSIDE!$B$5&gt;=6),"S5216","")</f>
        <v/>
      </c>
      <c r="B5217" t="str">
        <f>IF(AND(FORSIDE!$B$8&gt;=7,FORSIDE!$F$8&gt;=4,FORSIDE!$B$5&gt;=6),"777 -&gt; 1008","")</f>
        <v/>
      </c>
      <c r="C5217" t="str">
        <f>FORSIDE!$C$3</f>
        <v>S355, Stål / VFHUP 140x140x8.0</v>
      </c>
    </row>
    <row r="5218" spans="1:3" x14ac:dyDescent="0.3">
      <c r="A5218" t="str">
        <f>IF(AND(FORSIDE!$B$8&gt;=7,FORSIDE!$F$8&gt;=4,FORSIDE!$B$5&gt;=7),"S5217","")</f>
        <v/>
      </c>
      <c r="B5218" t="str">
        <f>IF(AND(FORSIDE!$B$8&gt;=7,FORSIDE!$F$8&gt;=4,FORSIDE!$B$5&gt;=7),"778 -&gt; 1009","")</f>
        <v/>
      </c>
      <c r="C5218" t="str">
        <f>FORSIDE!$C$3</f>
        <v>S355, Stål / VFHUP 140x140x8.0</v>
      </c>
    </row>
    <row r="5219" spans="1:3" x14ac:dyDescent="0.3">
      <c r="A5219" t="str">
        <f>IF(AND(FORSIDE!$B$8&gt;=7,FORSIDE!$F$8&gt;=4,FORSIDE!$B$5&gt;=8),"S5218","")</f>
        <v/>
      </c>
      <c r="B5219" t="str">
        <f>IF(AND(FORSIDE!$B$8&gt;=7,FORSIDE!$F$8&gt;=4,FORSIDE!$B$5&gt;=8),"779 -&gt; 1010","")</f>
        <v/>
      </c>
      <c r="C5219" t="str">
        <f>FORSIDE!$C$3</f>
        <v>S355, Stål / VFHUP 140x140x8.0</v>
      </c>
    </row>
    <row r="5220" spans="1:3" x14ac:dyDescent="0.3">
      <c r="A5220" t="str">
        <f>IF(AND(FORSIDE!$B$8&gt;=7,FORSIDE!$F$8&gt;=4,FORSIDE!$B$5&gt;=9),"S5219","")</f>
        <v/>
      </c>
      <c r="B5220" t="str">
        <f>IF(AND(FORSIDE!$B$8&gt;=7,FORSIDE!$F$8&gt;=4,FORSIDE!$B$5&gt;=9),"780 -&gt; 1011","")</f>
        <v/>
      </c>
      <c r="C5220" t="str">
        <f>FORSIDE!$C$3</f>
        <v>S355, Stål / VFHUP 140x140x8.0</v>
      </c>
    </row>
    <row r="5221" spans="1:3" x14ac:dyDescent="0.3">
      <c r="A5221" t="str">
        <f>IF(AND(FORSIDE!$B$8&gt;=7,FORSIDE!$F$8&gt;=4,FORSIDE!$B$5&gt;=10),"S5220","")</f>
        <v/>
      </c>
      <c r="B5221" t="str">
        <f>IF(AND(FORSIDE!$B$8&gt;=7,FORSIDE!$F$8&gt;=4,FORSIDE!$B$5&gt;=10),"781 -&gt; 1012","")</f>
        <v/>
      </c>
      <c r="C5221" t="str">
        <f>FORSIDE!$C$3</f>
        <v>S355, Stål / VFHUP 140x140x8.0</v>
      </c>
    </row>
    <row r="5222" spans="1:3" x14ac:dyDescent="0.3">
      <c r="A5222" t="str">
        <f>IF(AND(FORSIDE!$B$8&gt;=8,FORSIDE!$F$8&gt;=4,FORSIDE!$B$5&gt;=1),"S5221","")</f>
        <v/>
      </c>
      <c r="B5222" t="str">
        <f>IF(AND(FORSIDE!$B$8&gt;=8,FORSIDE!$F$8&gt;=4,FORSIDE!$B$5&gt;=1),"783 -&gt; 1014","")</f>
        <v/>
      </c>
      <c r="C5222" t="str">
        <f>FORSIDE!$C$3</f>
        <v>S355, Stål / VFHUP 140x140x8.0</v>
      </c>
    </row>
    <row r="5223" spans="1:3" x14ac:dyDescent="0.3">
      <c r="A5223" t="str">
        <f>IF(AND(FORSIDE!$B$8&gt;=8,FORSIDE!$F$8&gt;=4,FORSIDE!$B$5&gt;=2),"S5222","")</f>
        <v/>
      </c>
      <c r="B5223" t="str">
        <f>IF(AND(FORSIDE!$B$8&gt;=8,FORSIDE!$F$8&gt;=4,FORSIDE!$B$5&gt;=2),"784 -&gt; 1015","")</f>
        <v/>
      </c>
      <c r="C5223" t="str">
        <f>FORSIDE!$C$3</f>
        <v>S355, Stål / VFHUP 140x140x8.0</v>
      </c>
    </row>
    <row r="5224" spans="1:3" x14ac:dyDescent="0.3">
      <c r="A5224" t="str">
        <f>IF(AND(FORSIDE!$B$8&gt;=8,FORSIDE!$F$8&gt;=4,FORSIDE!$B$5&gt;=3),"S5223","")</f>
        <v/>
      </c>
      <c r="B5224" t="str">
        <f>IF(AND(FORSIDE!$B$8&gt;=8,FORSIDE!$F$8&gt;=4,FORSIDE!$B$5&gt;=3),"785 -&gt; 1016","")</f>
        <v/>
      </c>
      <c r="C5224" t="str">
        <f>FORSIDE!$C$3</f>
        <v>S355, Stål / VFHUP 140x140x8.0</v>
      </c>
    </row>
    <row r="5225" spans="1:3" x14ac:dyDescent="0.3">
      <c r="A5225" t="str">
        <f>IF(AND(FORSIDE!$B$8&gt;=8,FORSIDE!$F$8&gt;=4,FORSIDE!$B$5&gt;=4),"S5224","")</f>
        <v/>
      </c>
      <c r="B5225" t="str">
        <f>IF(AND(FORSIDE!$B$8&gt;=8,FORSIDE!$F$8&gt;=4,FORSIDE!$B$5&gt;=4),"786 -&gt; 1017","")</f>
        <v/>
      </c>
      <c r="C5225" t="str">
        <f>FORSIDE!$C$3</f>
        <v>S355, Stål / VFHUP 140x140x8.0</v>
      </c>
    </row>
    <row r="5226" spans="1:3" x14ac:dyDescent="0.3">
      <c r="A5226" t="str">
        <f>IF(AND(FORSIDE!$B$8&gt;=8,FORSIDE!$F$8&gt;=4,FORSIDE!$B$5&gt;=5),"S5225","")</f>
        <v/>
      </c>
      <c r="B5226" t="str">
        <f>IF(AND(FORSIDE!$B$8&gt;=8,FORSIDE!$F$8&gt;=4,FORSIDE!$B$5&gt;=5),"787 -&gt; 1018","")</f>
        <v/>
      </c>
      <c r="C5226" t="str">
        <f>FORSIDE!$C$3</f>
        <v>S355, Stål / VFHUP 140x140x8.0</v>
      </c>
    </row>
    <row r="5227" spans="1:3" x14ac:dyDescent="0.3">
      <c r="A5227" t="str">
        <f>IF(AND(FORSIDE!$B$8&gt;=8,FORSIDE!$F$8&gt;=4,FORSIDE!$B$5&gt;=6),"S5226","")</f>
        <v/>
      </c>
      <c r="B5227" t="str">
        <f>IF(AND(FORSIDE!$B$8&gt;=8,FORSIDE!$F$8&gt;=4,FORSIDE!$B$5&gt;=6),"788 -&gt; 1019","")</f>
        <v/>
      </c>
      <c r="C5227" t="str">
        <f>FORSIDE!$C$3</f>
        <v>S355, Stål / VFHUP 140x140x8.0</v>
      </c>
    </row>
    <row r="5228" spans="1:3" x14ac:dyDescent="0.3">
      <c r="A5228" t="str">
        <f>IF(AND(FORSIDE!$B$8&gt;=8,FORSIDE!$F$8&gt;=4,FORSIDE!$B$5&gt;=7),"S5227","")</f>
        <v/>
      </c>
      <c r="B5228" t="str">
        <f>IF(AND(FORSIDE!$B$8&gt;=8,FORSIDE!$F$8&gt;=4,FORSIDE!$B$5&gt;=7),"789 -&gt; 1020","")</f>
        <v/>
      </c>
      <c r="C5228" t="str">
        <f>FORSIDE!$C$3</f>
        <v>S355, Stål / VFHUP 140x140x8.0</v>
      </c>
    </row>
    <row r="5229" spans="1:3" x14ac:dyDescent="0.3">
      <c r="A5229" t="str">
        <f>IF(AND(FORSIDE!$B$8&gt;=8,FORSIDE!$F$8&gt;=4,FORSIDE!$B$5&gt;=8),"S5228","")</f>
        <v/>
      </c>
      <c r="B5229" t="str">
        <f>IF(AND(FORSIDE!$B$8&gt;=8,FORSIDE!$F$8&gt;=4,FORSIDE!$B$5&gt;=8),"790 -&gt; 1021","")</f>
        <v/>
      </c>
      <c r="C5229" t="str">
        <f>FORSIDE!$C$3</f>
        <v>S355, Stål / VFHUP 140x140x8.0</v>
      </c>
    </row>
    <row r="5230" spans="1:3" x14ac:dyDescent="0.3">
      <c r="A5230" t="str">
        <f>IF(AND(FORSIDE!$B$8&gt;=8,FORSIDE!$F$8&gt;=4,FORSIDE!$B$5&gt;=9),"S5229","")</f>
        <v/>
      </c>
      <c r="B5230" t="str">
        <f>IF(AND(FORSIDE!$B$8&gt;=8,FORSIDE!$F$8&gt;=4,FORSIDE!$B$5&gt;=9),"791 -&gt; 1022","")</f>
        <v/>
      </c>
      <c r="C5230" t="str">
        <f>FORSIDE!$C$3</f>
        <v>S355, Stål / VFHUP 140x140x8.0</v>
      </c>
    </row>
    <row r="5231" spans="1:3" x14ac:dyDescent="0.3">
      <c r="A5231" t="str">
        <f>IF(AND(FORSIDE!$B$8&gt;=8,FORSIDE!$F$8&gt;=4,FORSIDE!$B$5&gt;=10),"S5230","")</f>
        <v/>
      </c>
      <c r="B5231" t="str">
        <f>IF(AND(FORSIDE!$B$8&gt;=8,FORSIDE!$F$8&gt;=4,FORSIDE!$B$5&gt;=10),"792 -&gt; 1023","")</f>
        <v/>
      </c>
      <c r="C5231" t="str">
        <f>FORSIDE!$C$3</f>
        <v>S355, Stål / VFHUP 140x140x8.0</v>
      </c>
    </row>
    <row r="5232" spans="1:3" x14ac:dyDescent="0.3">
      <c r="A5232" t="str">
        <f>IF(AND(FORSIDE!$B$8&gt;=9,FORSIDE!$F$8&gt;=4,FORSIDE!$B$5&gt;=1),"S5231","")</f>
        <v/>
      </c>
      <c r="B5232" t="str">
        <f>IF(AND(FORSIDE!$B$8&gt;=9,FORSIDE!$F$8&gt;=4,FORSIDE!$B$5&gt;=1),"794 -&gt; 1025","")</f>
        <v/>
      </c>
      <c r="C5232" t="str">
        <f>FORSIDE!$C$3</f>
        <v>S355, Stål / VFHUP 140x140x8.0</v>
      </c>
    </row>
    <row r="5233" spans="1:3" x14ac:dyDescent="0.3">
      <c r="A5233" t="str">
        <f>IF(AND(FORSIDE!$B$8&gt;=9,FORSIDE!$F$8&gt;=4,FORSIDE!$B$5&gt;=2),"S5232","")</f>
        <v/>
      </c>
      <c r="B5233" t="str">
        <f>IF(AND(FORSIDE!$B$8&gt;=9,FORSIDE!$F$8&gt;=4,FORSIDE!$B$5&gt;=2),"795 -&gt; 1026","")</f>
        <v/>
      </c>
      <c r="C5233" t="str">
        <f>FORSIDE!$C$3</f>
        <v>S355, Stål / VFHUP 140x140x8.0</v>
      </c>
    </row>
    <row r="5234" spans="1:3" x14ac:dyDescent="0.3">
      <c r="A5234" t="str">
        <f>IF(AND(FORSIDE!$B$8&gt;=9,FORSIDE!$F$8&gt;=4,FORSIDE!$B$5&gt;=3),"S5233","")</f>
        <v/>
      </c>
      <c r="B5234" t="str">
        <f>IF(AND(FORSIDE!$B$8&gt;=9,FORSIDE!$F$8&gt;=4,FORSIDE!$B$5&gt;=3),"796 -&gt; 1027","")</f>
        <v/>
      </c>
      <c r="C5234" t="str">
        <f>FORSIDE!$C$3</f>
        <v>S355, Stål / VFHUP 140x140x8.0</v>
      </c>
    </row>
    <row r="5235" spans="1:3" x14ac:dyDescent="0.3">
      <c r="A5235" t="str">
        <f>IF(AND(FORSIDE!$B$8&gt;=9,FORSIDE!$F$8&gt;=4,FORSIDE!$B$5&gt;=4),"S5234","")</f>
        <v/>
      </c>
      <c r="B5235" t="str">
        <f>IF(AND(FORSIDE!$B$8&gt;=9,FORSIDE!$F$8&gt;=4,FORSIDE!$B$5&gt;=4),"797 -&gt; 1028","")</f>
        <v/>
      </c>
      <c r="C5235" t="str">
        <f>FORSIDE!$C$3</f>
        <v>S355, Stål / VFHUP 140x140x8.0</v>
      </c>
    </row>
    <row r="5236" spans="1:3" x14ac:dyDescent="0.3">
      <c r="A5236" t="str">
        <f>IF(AND(FORSIDE!$B$8&gt;=9,FORSIDE!$F$8&gt;=4,FORSIDE!$B$5&gt;=5),"S5235","")</f>
        <v/>
      </c>
      <c r="B5236" t="str">
        <f>IF(AND(FORSIDE!$B$8&gt;=9,FORSIDE!$F$8&gt;=4,FORSIDE!$B$5&gt;=5),"798 -&gt; 1029","")</f>
        <v/>
      </c>
      <c r="C5236" t="str">
        <f>FORSIDE!$C$3</f>
        <v>S355, Stål / VFHUP 140x140x8.0</v>
      </c>
    </row>
    <row r="5237" spans="1:3" x14ac:dyDescent="0.3">
      <c r="A5237" t="str">
        <f>IF(AND(FORSIDE!$B$8&gt;=9,FORSIDE!$F$8&gt;=4,FORSIDE!$B$5&gt;=6),"S5236","")</f>
        <v/>
      </c>
      <c r="B5237" t="str">
        <f>IF(AND(FORSIDE!$B$8&gt;=9,FORSIDE!$F$8&gt;=4,FORSIDE!$B$5&gt;=6),"799 -&gt; 1030","")</f>
        <v/>
      </c>
      <c r="C5237" t="str">
        <f>FORSIDE!$C$3</f>
        <v>S355, Stål / VFHUP 140x140x8.0</v>
      </c>
    </row>
    <row r="5238" spans="1:3" x14ac:dyDescent="0.3">
      <c r="A5238" t="str">
        <f>IF(AND(FORSIDE!$B$8&gt;=9,FORSIDE!$F$8&gt;=4,FORSIDE!$B$5&gt;=7),"S5237","")</f>
        <v/>
      </c>
      <c r="B5238" t="str">
        <f>IF(AND(FORSIDE!$B$8&gt;=9,FORSIDE!$F$8&gt;=4,FORSIDE!$B$5&gt;=7),"800 -&gt; 1031","")</f>
        <v/>
      </c>
      <c r="C5238" t="str">
        <f>FORSIDE!$C$3</f>
        <v>S355, Stål / VFHUP 140x140x8.0</v>
      </c>
    </row>
    <row r="5239" spans="1:3" x14ac:dyDescent="0.3">
      <c r="A5239" t="str">
        <f>IF(AND(FORSIDE!$B$8&gt;=9,FORSIDE!$F$8&gt;=4,FORSIDE!$B$5&gt;=8),"S5238","")</f>
        <v/>
      </c>
      <c r="B5239" t="str">
        <f>IF(AND(FORSIDE!$B$8&gt;=9,FORSIDE!$F$8&gt;=4,FORSIDE!$B$5&gt;=8),"801 -&gt; 1032","")</f>
        <v/>
      </c>
      <c r="C5239" t="str">
        <f>FORSIDE!$C$3</f>
        <v>S355, Stål / VFHUP 140x140x8.0</v>
      </c>
    </row>
    <row r="5240" spans="1:3" x14ac:dyDescent="0.3">
      <c r="A5240" t="str">
        <f>IF(AND(FORSIDE!$B$8&gt;=9,FORSIDE!$F$8&gt;=4,FORSIDE!$B$5&gt;=9),"S5239","")</f>
        <v/>
      </c>
      <c r="B5240" t="str">
        <f>IF(AND(FORSIDE!$B$8&gt;=9,FORSIDE!$F$8&gt;=4,FORSIDE!$B$5&gt;=9),"802 -&gt; 1033","")</f>
        <v/>
      </c>
      <c r="C5240" t="str">
        <f>FORSIDE!$C$3</f>
        <v>S355, Stål / VFHUP 140x140x8.0</v>
      </c>
    </row>
    <row r="5241" spans="1:3" x14ac:dyDescent="0.3">
      <c r="A5241" t="str">
        <f>IF(AND(FORSIDE!$B$8&gt;=9,FORSIDE!$F$8&gt;=4,FORSIDE!$B$5&gt;=10),"S5240","")</f>
        <v/>
      </c>
      <c r="B5241" t="str">
        <f>IF(AND(FORSIDE!$B$8&gt;=9,FORSIDE!$F$8&gt;=4,FORSIDE!$B$5&gt;=10),"803 -&gt; 1034","")</f>
        <v/>
      </c>
      <c r="C5241" t="str">
        <f>FORSIDE!$C$3</f>
        <v>S355, Stål / VFHUP 140x140x8.0</v>
      </c>
    </row>
    <row r="5242" spans="1:3" x14ac:dyDescent="0.3">
      <c r="A5242" t="str">
        <f>IF(AND(FORSIDE!$B$8&gt;=10,FORSIDE!$F$8&gt;=4,FORSIDE!$B$5&gt;=1),"S5241","")</f>
        <v/>
      </c>
      <c r="B5242" t="str">
        <f>IF(AND(FORSIDE!$B$8&gt;=10,FORSIDE!$F$8&gt;=4,FORSIDE!$B$5&gt;=1),"805 -&gt; 1036","")</f>
        <v/>
      </c>
      <c r="C5242" t="str">
        <f>FORSIDE!$C$3</f>
        <v>S355, Stål / VFHUP 140x140x8.0</v>
      </c>
    </row>
    <row r="5243" spans="1:3" x14ac:dyDescent="0.3">
      <c r="A5243" t="str">
        <f>IF(AND(FORSIDE!$B$8&gt;=10,FORSIDE!$F$8&gt;=4,FORSIDE!$B$5&gt;=2),"S5242","")</f>
        <v/>
      </c>
      <c r="B5243" t="str">
        <f>IF(AND(FORSIDE!$B$8&gt;=10,FORSIDE!$F$8&gt;=4,FORSIDE!$B$5&gt;=2),"806 -&gt; 1037","")</f>
        <v/>
      </c>
      <c r="C5243" t="str">
        <f>FORSIDE!$C$3</f>
        <v>S355, Stål / VFHUP 140x140x8.0</v>
      </c>
    </row>
    <row r="5244" spans="1:3" x14ac:dyDescent="0.3">
      <c r="A5244" t="str">
        <f>IF(AND(FORSIDE!$B$8&gt;=10,FORSIDE!$F$8&gt;=4,FORSIDE!$B$5&gt;=3),"S5243","")</f>
        <v/>
      </c>
      <c r="B5244" t="str">
        <f>IF(AND(FORSIDE!$B$8&gt;=10,FORSIDE!$F$8&gt;=4,FORSIDE!$B$5&gt;=3),"807 -&gt; 1038","")</f>
        <v/>
      </c>
      <c r="C5244" t="str">
        <f>FORSIDE!$C$3</f>
        <v>S355, Stål / VFHUP 140x140x8.0</v>
      </c>
    </row>
    <row r="5245" spans="1:3" x14ac:dyDescent="0.3">
      <c r="A5245" t="str">
        <f>IF(AND(FORSIDE!$B$8&gt;=10,FORSIDE!$F$8&gt;=4,FORSIDE!$B$5&gt;=4),"S5244","")</f>
        <v/>
      </c>
      <c r="B5245" t="str">
        <f>IF(AND(FORSIDE!$B$8&gt;=10,FORSIDE!$F$8&gt;=4,FORSIDE!$B$5&gt;=4),"808 -&gt; 1039","")</f>
        <v/>
      </c>
      <c r="C5245" t="str">
        <f>FORSIDE!$C$3</f>
        <v>S355, Stål / VFHUP 140x140x8.0</v>
      </c>
    </row>
    <row r="5246" spans="1:3" x14ac:dyDescent="0.3">
      <c r="A5246" t="str">
        <f>IF(AND(FORSIDE!$B$8&gt;=10,FORSIDE!$F$8&gt;=4,FORSIDE!$B$5&gt;=5),"S5245","")</f>
        <v/>
      </c>
      <c r="B5246" t="str">
        <f>IF(AND(FORSIDE!$B$8&gt;=10,FORSIDE!$F$8&gt;=4,FORSIDE!$B$5&gt;=5),"809 -&gt; 1040","")</f>
        <v/>
      </c>
      <c r="C5246" t="str">
        <f>FORSIDE!$C$3</f>
        <v>S355, Stål / VFHUP 140x140x8.0</v>
      </c>
    </row>
    <row r="5247" spans="1:3" x14ac:dyDescent="0.3">
      <c r="A5247" t="str">
        <f>IF(AND(FORSIDE!$B$8&gt;=10,FORSIDE!$F$8&gt;=4,FORSIDE!$B$5&gt;=6),"S5246","")</f>
        <v/>
      </c>
      <c r="B5247" t="str">
        <f>IF(AND(FORSIDE!$B$8&gt;=10,FORSIDE!$F$8&gt;=4,FORSIDE!$B$5&gt;=6),"810 -&gt; 1041","")</f>
        <v/>
      </c>
      <c r="C5247" t="str">
        <f>FORSIDE!$C$3</f>
        <v>S355, Stål / VFHUP 140x140x8.0</v>
      </c>
    </row>
    <row r="5248" spans="1:3" x14ac:dyDescent="0.3">
      <c r="A5248" t="str">
        <f>IF(AND(FORSIDE!$B$8&gt;=10,FORSIDE!$F$8&gt;=4,FORSIDE!$B$5&gt;=7),"S5247","")</f>
        <v/>
      </c>
      <c r="B5248" t="str">
        <f>IF(AND(FORSIDE!$B$8&gt;=10,FORSIDE!$F$8&gt;=4,FORSIDE!$B$5&gt;=7),"811 -&gt; 1042","")</f>
        <v/>
      </c>
      <c r="C5248" t="str">
        <f>FORSIDE!$C$3</f>
        <v>S355, Stål / VFHUP 140x140x8.0</v>
      </c>
    </row>
    <row r="5249" spans="1:3" x14ac:dyDescent="0.3">
      <c r="A5249" t="str">
        <f>IF(AND(FORSIDE!$B$8&gt;=10,FORSIDE!$F$8&gt;=4,FORSIDE!$B$5&gt;=8),"S5248","")</f>
        <v/>
      </c>
      <c r="B5249" t="str">
        <f>IF(AND(FORSIDE!$B$8&gt;=10,FORSIDE!$F$8&gt;=4,FORSIDE!$B$5&gt;=8),"812 -&gt; 1043","")</f>
        <v/>
      </c>
      <c r="C5249" t="str">
        <f>FORSIDE!$C$3</f>
        <v>S355, Stål / VFHUP 140x140x8.0</v>
      </c>
    </row>
    <row r="5250" spans="1:3" x14ac:dyDescent="0.3">
      <c r="A5250" t="str">
        <f>IF(AND(FORSIDE!$B$8&gt;=10,FORSIDE!$F$8&gt;=4,FORSIDE!$B$5&gt;=9),"S5249","")</f>
        <v/>
      </c>
      <c r="B5250" t="str">
        <f>IF(AND(FORSIDE!$B$8&gt;=10,FORSIDE!$F$8&gt;=4,FORSIDE!$B$5&gt;=9),"813 -&gt; 1044","")</f>
        <v/>
      </c>
      <c r="C5250" t="str">
        <f>FORSIDE!$C$3</f>
        <v>S355, Stål / VFHUP 140x140x8.0</v>
      </c>
    </row>
    <row r="5251" spans="1:3" x14ac:dyDescent="0.3">
      <c r="A5251" t="str">
        <f>IF(AND(FORSIDE!$B$8&gt;=10,FORSIDE!$F$8&gt;=4,FORSIDE!$B$5&gt;=10),"S5250","")</f>
        <v/>
      </c>
      <c r="B5251" t="str">
        <f>IF(AND(FORSIDE!$B$8&gt;=10,FORSIDE!$F$8&gt;=4,FORSIDE!$B$5&gt;=10),"814 -&gt; 1045","")</f>
        <v/>
      </c>
      <c r="C5251" t="str">
        <f>FORSIDE!$C$3</f>
        <v>S355, Stål / VFHUP 140x140x8.0</v>
      </c>
    </row>
    <row r="5252" spans="1:3" x14ac:dyDescent="0.3">
      <c r="A5252" t="str">
        <f>IF(AND(FORSIDE!$B$8&gt;=11,FORSIDE!$F$8&gt;=4,FORSIDE!$B$5&gt;=1),"S5251","")</f>
        <v/>
      </c>
      <c r="B5252" t="str">
        <f>IF(AND(FORSIDE!$B$8&gt;=11,FORSIDE!$F$8&gt;=4,FORSIDE!$B$5&gt;=1),"816 -&gt; 1047","")</f>
        <v/>
      </c>
      <c r="C5252" t="str">
        <f>FORSIDE!$C$3</f>
        <v>S355, Stål / VFHUP 140x140x8.0</v>
      </c>
    </row>
    <row r="5253" spans="1:3" x14ac:dyDescent="0.3">
      <c r="A5253" t="str">
        <f>IF(AND(FORSIDE!$B$8&gt;=11,FORSIDE!$F$8&gt;=4,FORSIDE!$B$5&gt;=2),"S5252","")</f>
        <v/>
      </c>
      <c r="B5253" t="str">
        <f>IF(AND(FORSIDE!$B$8&gt;=11,FORSIDE!$F$8&gt;=4,FORSIDE!$B$5&gt;=2),"817 -&gt; 1048","")</f>
        <v/>
      </c>
      <c r="C5253" t="str">
        <f>FORSIDE!$C$3</f>
        <v>S355, Stål / VFHUP 140x140x8.0</v>
      </c>
    </row>
    <row r="5254" spans="1:3" x14ac:dyDescent="0.3">
      <c r="A5254" t="str">
        <f>IF(AND(FORSIDE!$B$8&gt;=11,FORSIDE!$F$8&gt;=4,FORSIDE!$B$5&gt;=3),"S5253","")</f>
        <v/>
      </c>
      <c r="B5254" t="str">
        <f>IF(AND(FORSIDE!$B$8&gt;=11,FORSIDE!$F$8&gt;=4,FORSIDE!$B$5&gt;=3),"818 -&gt; 1049","")</f>
        <v/>
      </c>
      <c r="C5254" t="str">
        <f>FORSIDE!$C$3</f>
        <v>S355, Stål / VFHUP 140x140x8.0</v>
      </c>
    </row>
    <row r="5255" spans="1:3" x14ac:dyDescent="0.3">
      <c r="A5255" t="str">
        <f>IF(AND(FORSIDE!$B$8&gt;=11,FORSIDE!$F$8&gt;=4,FORSIDE!$B$5&gt;=4),"S5254","")</f>
        <v/>
      </c>
      <c r="B5255" t="str">
        <f>IF(AND(FORSIDE!$B$8&gt;=11,FORSIDE!$F$8&gt;=4,FORSIDE!$B$5&gt;=4),"819 -&gt; 1050","")</f>
        <v/>
      </c>
      <c r="C5255" t="str">
        <f>FORSIDE!$C$3</f>
        <v>S355, Stål / VFHUP 140x140x8.0</v>
      </c>
    </row>
    <row r="5256" spans="1:3" x14ac:dyDescent="0.3">
      <c r="A5256" t="str">
        <f>IF(AND(FORSIDE!$B$8&gt;=11,FORSIDE!$F$8&gt;=4,FORSIDE!$B$5&gt;=5),"S5255","")</f>
        <v/>
      </c>
      <c r="B5256" t="str">
        <f>IF(AND(FORSIDE!$B$8&gt;=11,FORSIDE!$F$8&gt;=4,FORSIDE!$B$5&gt;=5),"820 -&gt; 1051","")</f>
        <v/>
      </c>
      <c r="C5256" t="str">
        <f>FORSIDE!$C$3</f>
        <v>S355, Stål / VFHUP 140x140x8.0</v>
      </c>
    </row>
    <row r="5257" spans="1:3" x14ac:dyDescent="0.3">
      <c r="A5257" t="str">
        <f>IF(AND(FORSIDE!$B$8&gt;=11,FORSIDE!$F$8&gt;=4,FORSIDE!$B$5&gt;=6),"S5256","")</f>
        <v/>
      </c>
      <c r="B5257" t="str">
        <f>IF(AND(FORSIDE!$B$8&gt;=11,FORSIDE!$F$8&gt;=4,FORSIDE!$B$5&gt;=6),"821 -&gt; 1052","")</f>
        <v/>
      </c>
      <c r="C5257" t="str">
        <f>FORSIDE!$C$3</f>
        <v>S355, Stål / VFHUP 140x140x8.0</v>
      </c>
    </row>
    <row r="5258" spans="1:3" x14ac:dyDescent="0.3">
      <c r="A5258" t="str">
        <f>IF(AND(FORSIDE!$B$8&gt;=11,FORSIDE!$F$8&gt;=4,FORSIDE!$B$5&gt;=7),"S5257","")</f>
        <v/>
      </c>
      <c r="B5258" t="str">
        <f>IF(AND(FORSIDE!$B$8&gt;=11,FORSIDE!$F$8&gt;=4,FORSIDE!$B$5&gt;=7),"822 -&gt; 1053","")</f>
        <v/>
      </c>
      <c r="C5258" t="str">
        <f>FORSIDE!$C$3</f>
        <v>S355, Stål / VFHUP 140x140x8.0</v>
      </c>
    </row>
    <row r="5259" spans="1:3" x14ac:dyDescent="0.3">
      <c r="A5259" t="str">
        <f>IF(AND(FORSIDE!$B$8&gt;=11,FORSIDE!$F$8&gt;=4,FORSIDE!$B$5&gt;=8),"S5258","")</f>
        <v/>
      </c>
      <c r="B5259" t="str">
        <f>IF(AND(FORSIDE!$B$8&gt;=11,FORSIDE!$F$8&gt;=4,FORSIDE!$B$5&gt;=8),"823 -&gt; 1054","")</f>
        <v/>
      </c>
      <c r="C5259" t="str">
        <f>FORSIDE!$C$3</f>
        <v>S355, Stål / VFHUP 140x140x8.0</v>
      </c>
    </row>
    <row r="5260" spans="1:3" x14ac:dyDescent="0.3">
      <c r="A5260" t="str">
        <f>IF(AND(FORSIDE!$B$8&gt;=11,FORSIDE!$F$8&gt;=4,FORSIDE!$B$5&gt;=9),"S5259","")</f>
        <v/>
      </c>
      <c r="B5260" t="str">
        <f>IF(AND(FORSIDE!$B$8&gt;=11,FORSIDE!$F$8&gt;=4,FORSIDE!$B$5&gt;=9),"824 -&gt; 1055","")</f>
        <v/>
      </c>
      <c r="C5260" t="str">
        <f>FORSIDE!$C$3</f>
        <v>S355, Stål / VFHUP 140x140x8.0</v>
      </c>
    </row>
    <row r="5261" spans="1:3" x14ac:dyDescent="0.3">
      <c r="A5261" t="str">
        <f>IF(AND(FORSIDE!$B$8&gt;=11,FORSIDE!$F$8&gt;=4,FORSIDE!$B$5&gt;=10),"S5260","")</f>
        <v/>
      </c>
      <c r="B5261" t="str">
        <f>IF(AND(FORSIDE!$B$8&gt;=11,FORSIDE!$F$8&gt;=4,FORSIDE!$B$5&gt;=10),"825 -&gt; 1056","")</f>
        <v/>
      </c>
      <c r="C5261" t="str">
        <f>FORSIDE!$C$3</f>
        <v>S355, Stål / VFHUP 140x140x8.0</v>
      </c>
    </row>
    <row r="5262" spans="1:3" x14ac:dyDescent="0.3">
      <c r="A5262" t="str">
        <f>IF(AND(FORSIDE!$B$8&gt;=12,FORSIDE!$F$8&gt;=4,FORSIDE!$B$5&gt;=1),"S5261","")</f>
        <v/>
      </c>
      <c r="B5262" t="str">
        <f>IF(AND(FORSIDE!$B$8&gt;=12,FORSIDE!$F$8&gt;=4,FORSIDE!$B$5&gt;=1),"827 -&gt; 1058","")</f>
        <v/>
      </c>
      <c r="C5262" t="str">
        <f>FORSIDE!$C$3</f>
        <v>S355, Stål / VFHUP 140x140x8.0</v>
      </c>
    </row>
    <row r="5263" spans="1:3" x14ac:dyDescent="0.3">
      <c r="A5263" t="str">
        <f>IF(AND(FORSIDE!$B$8&gt;=12,FORSIDE!$F$8&gt;=4,FORSIDE!$B$5&gt;=2),"S5262","")</f>
        <v/>
      </c>
      <c r="B5263" t="str">
        <f>IF(AND(FORSIDE!$B$8&gt;=12,FORSIDE!$F$8&gt;=4,FORSIDE!$B$5&gt;=2),"828 -&gt; 1059","")</f>
        <v/>
      </c>
      <c r="C5263" t="str">
        <f>FORSIDE!$C$3</f>
        <v>S355, Stål / VFHUP 140x140x8.0</v>
      </c>
    </row>
    <row r="5264" spans="1:3" x14ac:dyDescent="0.3">
      <c r="A5264" t="str">
        <f>IF(AND(FORSIDE!$B$8&gt;=12,FORSIDE!$F$8&gt;=4,FORSIDE!$B$5&gt;=3),"S5263","")</f>
        <v/>
      </c>
      <c r="B5264" t="str">
        <f>IF(AND(FORSIDE!$B$8&gt;=12,FORSIDE!$F$8&gt;=4,FORSIDE!$B$5&gt;=3),"829 -&gt; 1060","")</f>
        <v/>
      </c>
      <c r="C5264" t="str">
        <f>FORSIDE!$C$3</f>
        <v>S355, Stål / VFHUP 140x140x8.0</v>
      </c>
    </row>
    <row r="5265" spans="1:3" x14ac:dyDescent="0.3">
      <c r="A5265" t="str">
        <f>IF(AND(FORSIDE!$B$8&gt;=12,FORSIDE!$F$8&gt;=4,FORSIDE!$B$5&gt;=4),"S5264","")</f>
        <v/>
      </c>
      <c r="B5265" t="str">
        <f>IF(AND(FORSIDE!$B$8&gt;=12,FORSIDE!$F$8&gt;=4,FORSIDE!$B$5&gt;=4),"830 -&gt; 1061","")</f>
        <v/>
      </c>
      <c r="C5265" t="str">
        <f>FORSIDE!$C$3</f>
        <v>S355, Stål / VFHUP 140x140x8.0</v>
      </c>
    </row>
    <row r="5266" spans="1:3" x14ac:dyDescent="0.3">
      <c r="A5266" t="str">
        <f>IF(AND(FORSIDE!$B$8&gt;=12,FORSIDE!$F$8&gt;=4,FORSIDE!$B$5&gt;=5),"S5265","")</f>
        <v/>
      </c>
      <c r="B5266" t="str">
        <f>IF(AND(FORSIDE!$B$8&gt;=12,FORSIDE!$F$8&gt;=4,FORSIDE!$B$5&gt;=5),"831 -&gt; 1062","")</f>
        <v/>
      </c>
      <c r="C5266" t="str">
        <f>FORSIDE!$C$3</f>
        <v>S355, Stål / VFHUP 140x140x8.0</v>
      </c>
    </row>
    <row r="5267" spans="1:3" x14ac:dyDescent="0.3">
      <c r="A5267" t="str">
        <f>IF(AND(FORSIDE!$B$8&gt;=12,FORSIDE!$F$8&gt;=4,FORSIDE!$B$5&gt;=6),"S5266","")</f>
        <v/>
      </c>
      <c r="B5267" t="str">
        <f>IF(AND(FORSIDE!$B$8&gt;=12,FORSIDE!$F$8&gt;=4,FORSIDE!$B$5&gt;=6),"832 -&gt; 1063","")</f>
        <v/>
      </c>
      <c r="C5267" t="str">
        <f>FORSIDE!$C$3</f>
        <v>S355, Stål / VFHUP 140x140x8.0</v>
      </c>
    </row>
    <row r="5268" spans="1:3" x14ac:dyDescent="0.3">
      <c r="A5268" t="str">
        <f>IF(AND(FORSIDE!$B$8&gt;=12,FORSIDE!$F$8&gt;=4,FORSIDE!$B$5&gt;=7),"S5267","")</f>
        <v/>
      </c>
      <c r="B5268" t="str">
        <f>IF(AND(FORSIDE!$B$8&gt;=12,FORSIDE!$F$8&gt;=4,FORSIDE!$B$5&gt;=7),"833 -&gt; 1064","")</f>
        <v/>
      </c>
      <c r="C5268" t="str">
        <f>FORSIDE!$C$3</f>
        <v>S355, Stål / VFHUP 140x140x8.0</v>
      </c>
    </row>
    <row r="5269" spans="1:3" x14ac:dyDescent="0.3">
      <c r="A5269" t="str">
        <f>IF(AND(FORSIDE!$B$8&gt;=12,FORSIDE!$F$8&gt;=4,FORSIDE!$B$5&gt;=8),"S5268","")</f>
        <v/>
      </c>
      <c r="B5269" t="str">
        <f>IF(AND(FORSIDE!$B$8&gt;=12,FORSIDE!$F$8&gt;=4,FORSIDE!$B$5&gt;=8),"834 -&gt; 1065","")</f>
        <v/>
      </c>
      <c r="C5269" t="str">
        <f>FORSIDE!$C$3</f>
        <v>S355, Stål / VFHUP 140x140x8.0</v>
      </c>
    </row>
    <row r="5270" spans="1:3" x14ac:dyDescent="0.3">
      <c r="A5270" t="str">
        <f>IF(AND(FORSIDE!$B$8&gt;=12,FORSIDE!$F$8&gt;=4,FORSIDE!$B$5&gt;=9),"S5269","")</f>
        <v/>
      </c>
      <c r="B5270" t="str">
        <f>IF(AND(FORSIDE!$B$8&gt;=12,FORSIDE!$F$8&gt;=4,FORSIDE!$B$5&gt;=9),"835 -&gt; 1066","")</f>
        <v/>
      </c>
      <c r="C5270" t="str">
        <f>FORSIDE!$C$3</f>
        <v>S355, Stål / VFHUP 140x140x8.0</v>
      </c>
    </row>
    <row r="5271" spans="1:3" x14ac:dyDescent="0.3">
      <c r="A5271" t="str">
        <f>IF(AND(FORSIDE!$B$8&gt;=12,FORSIDE!$F$8&gt;=4,FORSIDE!$B$5&gt;=10),"S5270","")</f>
        <v/>
      </c>
      <c r="B5271" t="str">
        <f>IF(AND(FORSIDE!$B$8&gt;=12,FORSIDE!$F$8&gt;=4,FORSIDE!$B$5&gt;=10),"836 -&gt; 1067","")</f>
        <v/>
      </c>
      <c r="C5271" t="str">
        <f>FORSIDE!$C$3</f>
        <v>S355, Stål / VFHUP 140x140x8.0</v>
      </c>
    </row>
    <row r="5272" spans="1:3" x14ac:dyDescent="0.3">
      <c r="A5272" t="str">
        <f>IF(AND(FORSIDE!$B$8&gt;=13,FORSIDE!$F$8&gt;=4,FORSIDE!$B$5&gt;=1),"S5271","")</f>
        <v/>
      </c>
      <c r="B5272" t="str">
        <f>IF(AND(FORSIDE!$B$8&gt;=13,FORSIDE!$F$8&gt;=4,FORSIDE!$B$5&gt;=1),"838 -&gt; 1069","")</f>
        <v/>
      </c>
      <c r="C5272" t="str">
        <f>FORSIDE!$C$3</f>
        <v>S355, Stål / VFHUP 140x140x8.0</v>
      </c>
    </row>
    <row r="5273" spans="1:3" x14ac:dyDescent="0.3">
      <c r="A5273" t="str">
        <f>IF(AND(FORSIDE!$B$8&gt;=13,FORSIDE!$F$8&gt;=4,FORSIDE!$B$5&gt;=2),"S5272","")</f>
        <v/>
      </c>
      <c r="B5273" t="str">
        <f>IF(AND(FORSIDE!$B$8&gt;=13,FORSIDE!$F$8&gt;=4,FORSIDE!$B$5&gt;=2),"839 -&gt; 1070","")</f>
        <v/>
      </c>
      <c r="C5273" t="str">
        <f>FORSIDE!$C$3</f>
        <v>S355, Stål / VFHUP 140x140x8.0</v>
      </c>
    </row>
    <row r="5274" spans="1:3" x14ac:dyDescent="0.3">
      <c r="A5274" t="str">
        <f>IF(AND(FORSIDE!$B$8&gt;=13,FORSIDE!$F$8&gt;=4,FORSIDE!$B$5&gt;=3),"S5273","")</f>
        <v/>
      </c>
      <c r="B5274" t="str">
        <f>IF(AND(FORSIDE!$B$8&gt;=13,FORSIDE!$F$8&gt;=4,FORSIDE!$B$5&gt;=3),"840 -&gt; 1071","")</f>
        <v/>
      </c>
      <c r="C5274" t="str">
        <f>FORSIDE!$C$3</f>
        <v>S355, Stål / VFHUP 140x140x8.0</v>
      </c>
    </row>
    <row r="5275" spans="1:3" x14ac:dyDescent="0.3">
      <c r="A5275" t="str">
        <f>IF(AND(FORSIDE!$B$8&gt;=13,FORSIDE!$F$8&gt;=4,FORSIDE!$B$5&gt;=4),"S5274","")</f>
        <v/>
      </c>
      <c r="B5275" t="str">
        <f>IF(AND(FORSIDE!$B$8&gt;=13,FORSIDE!$F$8&gt;=4,FORSIDE!$B$5&gt;=4),"841 -&gt; 1072","")</f>
        <v/>
      </c>
      <c r="C5275" t="str">
        <f>FORSIDE!$C$3</f>
        <v>S355, Stål / VFHUP 140x140x8.0</v>
      </c>
    </row>
    <row r="5276" spans="1:3" x14ac:dyDescent="0.3">
      <c r="A5276" t="str">
        <f>IF(AND(FORSIDE!$B$8&gt;=13,FORSIDE!$F$8&gt;=4,FORSIDE!$B$5&gt;=5),"S5275","")</f>
        <v/>
      </c>
      <c r="B5276" t="str">
        <f>IF(AND(FORSIDE!$B$8&gt;=13,FORSIDE!$F$8&gt;=4,FORSIDE!$B$5&gt;=5),"842 -&gt; 1073","")</f>
        <v/>
      </c>
      <c r="C5276" t="str">
        <f>FORSIDE!$C$3</f>
        <v>S355, Stål / VFHUP 140x140x8.0</v>
      </c>
    </row>
    <row r="5277" spans="1:3" x14ac:dyDescent="0.3">
      <c r="A5277" t="str">
        <f>IF(AND(FORSIDE!$B$8&gt;=13,FORSIDE!$F$8&gt;=4,FORSIDE!$B$5&gt;=6),"S5276","")</f>
        <v/>
      </c>
      <c r="B5277" t="str">
        <f>IF(AND(FORSIDE!$B$8&gt;=13,FORSIDE!$F$8&gt;=4,FORSIDE!$B$5&gt;=6),"843 -&gt; 1074","")</f>
        <v/>
      </c>
      <c r="C5277" t="str">
        <f>FORSIDE!$C$3</f>
        <v>S355, Stål / VFHUP 140x140x8.0</v>
      </c>
    </row>
    <row r="5278" spans="1:3" x14ac:dyDescent="0.3">
      <c r="A5278" t="str">
        <f>IF(AND(FORSIDE!$B$8&gt;=13,FORSIDE!$F$8&gt;=4,FORSIDE!$B$5&gt;=7),"S5277","")</f>
        <v/>
      </c>
      <c r="B5278" t="str">
        <f>IF(AND(FORSIDE!$B$8&gt;=13,FORSIDE!$F$8&gt;=4,FORSIDE!$B$5&gt;=7),"844 -&gt; 1075","")</f>
        <v/>
      </c>
      <c r="C5278" t="str">
        <f>FORSIDE!$C$3</f>
        <v>S355, Stål / VFHUP 140x140x8.0</v>
      </c>
    </row>
    <row r="5279" spans="1:3" x14ac:dyDescent="0.3">
      <c r="A5279" t="str">
        <f>IF(AND(FORSIDE!$B$8&gt;=13,FORSIDE!$F$8&gt;=4,FORSIDE!$B$5&gt;=8),"S5278","")</f>
        <v/>
      </c>
      <c r="B5279" t="str">
        <f>IF(AND(FORSIDE!$B$8&gt;=13,FORSIDE!$F$8&gt;=4,FORSIDE!$B$5&gt;=8),"845 -&gt; 1076","")</f>
        <v/>
      </c>
      <c r="C5279" t="str">
        <f>FORSIDE!$C$3</f>
        <v>S355, Stål / VFHUP 140x140x8.0</v>
      </c>
    </row>
    <row r="5280" spans="1:3" x14ac:dyDescent="0.3">
      <c r="A5280" t="str">
        <f>IF(AND(FORSIDE!$B$8&gt;=13,FORSIDE!$F$8&gt;=4,FORSIDE!$B$5&gt;=9),"S5279","")</f>
        <v/>
      </c>
      <c r="B5280" t="str">
        <f>IF(AND(FORSIDE!$B$8&gt;=13,FORSIDE!$F$8&gt;=4,FORSIDE!$B$5&gt;=9),"846 -&gt; 1077","")</f>
        <v/>
      </c>
      <c r="C5280" t="str">
        <f>FORSIDE!$C$3</f>
        <v>S355, Stål / VFHUP 140x140x8.0</v>
      </c>
    </row>
    <row r="5281" spans="1:3" x14ac:dyDescent="0.3">
      <c r="A5281" t="str">
        <f>IF(AND(FORSIDE!$B$8&gt;=13,FORSIDE!$F$8&gt;=4,FORSIDE!$B$5&gt;=10),"S5280","")</f>
        <v/>
      </c>
      <c r="B5281" t="str">
        <f>IF(AND(FORSIDE!$B$8&gt;=13,FORSIDE!$F$8&gt;=4,FORSIDE!$B$5&gt;=10),"847 -&gt; 1078","")</f>
        <v/>
      </c>
      <c r="C5281" t="str">
        <f>FORSIDE!$C$3</f>
        <v>S355, Stål / VFHUP 140x140x8.0</v>
      </c>
    </row>
    <row r="5282" spans="1:3" x14ac:dyDescent="0.3">
      <c r="A5282" t="str">
        <f>IF(AND(FORSIDE!$B$8&gt;=14,FORSIDE!$F$8&gt;=4,FORSIDE!$B$5&gt;=1),"S5281","")</f>
        <v/>
      </c>
      <c r="B5282" t="str">
        <f>IF(AND(FORSIDE!$B$8&gt;=14,FORSIDE!$F$8&gt;=4,FORSIDE!$B$5&gt;=1),"849 -&gt; 1080","")</f>
        <v/>
      </c>
      <c r="C5282" t="str">
        <f>FORSIDE!$C$3</f>
        <v>S355, Stål / VFHUP 140x140x8.0</v>
      </c>
    </row>
    <row r="5283" spans="1:3" x14ac:dyDescent="0.3">
      <c r="A5283" t="str">
        <f>IF(AND(FORSIDE!$B$8&gt;=14,FORSIDE!$F$8&gt;=4,FORSIDE!$B$5&gt;=2),"S5282","")</f>
        <v/>
      </c>
      <c r="B5283" t="str">
        <f>IF(AND(FORSIDE!$B$8&gt;=14,FORSIDE!$F$8&gt;=4,FORSIDE!$B$5&gt;=2),"850 -&gt; 1081","")</f>
        <v/>
      </c>
      <c r="C5283" t="str">
        <f>FORSIDE!$C$3</f>
        <v>S355, Stål / VFHUP 140x140x8.0</v>
      </c>
    </row>
    <row r="5284" spans="1:3" x14ac:dyDescent="0.3">
      <c r="A5284" t="str">
        <f>IF(AND(FORSIDE!$B$8&gt;=14,FORSIDE!$F$8&gt;=4,FORSIDE!$B$5&gt;=3),"S5283","")</f>
        <v/>
      </c>
      <c r="B5284" t="str">
        <f>IF(AND(FORSIDE!$B$8&gt;=14,FORSIDE!$F$8&gt;=4,FORSIDE!$B$5&gt;=3),"851 -&gt; 1082","")</f>
        <v/>
      </c>
      <c r="C5284" t="str">
        <f>FORSIDE!$C$3</f>
        <v>S355, Stål / VFHUP 140x140x8.0</v>
      </c>
    </row>
    <row r="5285" spans="1:3" x14ac:dyDescent="0.3">
      <c r="A5285" t="str">
        <f>IF(AND(FORSIDE!$B$8&gt;=14,FORSIDE!$F$8&gt;=4,FORSIDE!$B$5&gt;=4),"S5284","")</f>
        <v/>
      </c>
      <c r="B5285" t="str">
        <f>IF(AND(FORSIDE!$B$8&gt;=14,FORSIDE!$F$8&gt;=4,FORSIDE!$B$5&gt;=4),"852 -&gt; 1083","")</f>
        <v/>
      </c>
      <c r="C5285" t="str">
        <f>FORSIDE!$C$3</f>
        <v>S355, Stål / VFHUP 140x140x8.0</v>
      </c>
    </row>
    <row r="5286" spans="1:3" x14ac:dyDescent="0.3">
      <c r="A5286" t="str">
        <f>IF(AND(FORSIDE!$B$8&gt;=14,FORSIDE!$F$8&gt;=4,FORSIDE!$B$5&gt;=5),"S5285","")</f>
        <v/>
      </c>
      <c r="B5286" t="str">
        <f>IF(AND(FORSIDE!$B$8&gt;=14,FORSIDE!$F$8&gt;=4,FORSIDE!$B$5&gt;=5),"853 -&gt; 1084","")</f>
        <v/>
      </c>
      <c r="C5286" t="str">
        <f>FORSIDE!$C$3</f>
        <v>S355, Stål / VFHUP 140x140x8.0</v>
      </c>
    </row>
    <row r="5287" spans="1:3" x14ac:dyDescent="0.3">
      <c r="A5287" t="str">
        <f>IF(AND(FORSIDE!$B$8&gt;=14,FORSIDE!$F$8&gt;=4,FORSIDE!$B$5&gt;=6),"S5286","")</f>
        <v/>
      </c>
      <c r="B5287" t="str">
        <f>IF(AND(FORSIDE!$B$8&gt;=14,FORSIDE!$F$8&gt;=4,FORSIDE!$B$5&gt;=6),"854 -&gt; 1085","")</f>
        <v/>
      </c>
      <c r="C5287" t="str">
        <f>FORSIDE!$C$3</f>
        <v>S355, Stål / VFHUP 140x140x8.0</v>
      </c>
    </row>
    <row r="5288" spans="1:3" x14ac:dyDescent="0.3">
      <c r="A5288" t="str">
        <f>IF(AND(FORSIDE!$B$8&gt;=14,FORSIDE!$F$8&gt;=4,FORSIDE!$B$5&gt;=7),"S5287","")</f>
        <v/>
      </c>
      <c r="B5288" t="str">
        <f>IF(AND(FORSIDE!$B$8&gt;=14,FORSIDE!$F$8&gt;=4,FORSIDE!$B$5&gt;=7),"855 -&gt; 1086","")</f>
        <v/>
      </c>
      <c r="C5288" t="str">
        <f>FORSIDE!$C$3</f>
        <v>S355, Stål / VFHUP 140x140x8.0</v>
      </c>
    </row>
    <row r="5289" spans="1:3" x14ac:dyDescent="0.3">
      <c r="A5289" t="str">
        <f>IF(AND(FORSIDE!$B$8&gt;=14,FORSIDE!$F$8&gt;=4,FORSIDE!$B$5&gt;=8),"S5288","")</f>
        <v/>
      </c>
      <c r="B5289" t="str">
        <f>IF(AND(FORSIDE!$B$8&gt;=14,FORSIDE!$F$8&gt;=4,FORSIDE!$B$5&gt;=8),"856 -&gt; 1087","")</f>
        <v/>
      </c>
      <c r="C5289" t="str">
        <f>FORSIDE!$C$3</f>
        <v>S355, Stål / VFHUP 140x140x8.0</v>
      </c>
    </row>
    <row r="5290" spans="1:3" x14ac:dyDescent="0.3">
      <c r="A5290" t="str">
        <f>IF(AND(FORSIDE!$B$8&gt;=14,FORSIDE!$F$8&gt;=4,FORSIDE!$B$5&gt;=9),"S5289","")</f>
        <v/>
      </c>
      <c r="B5290" t="str">
        <f>IF(AND(FORSIDE!$B$8&gt;=14,FORSIDE!$F$8&gt;=4,FORSIDE!$B$5&gt;=9),"857 -&gt; 1088","")</f>
        <v/>
      </c>
      <c r="C5290" t="str">
        <f>FORSIDE!$C$3</f>
        <v>S355, Stål / VFHUP 140x140x8.0</v>
      </c>
    </row>
    <row r="5291" spans="1:3" x14ac:dyDescent="0.3">
      <c r="A5291" t="str">
        <f>IF(AND(FORSIDE!$B$8&gt;=14,FORSIDE!$F$8&gt;=4,FORSIDE!$B$5&gt;=10),"S5290","")</f>
        <v/>
      </c>
      <c r="B5291" t="str">
        <f>IF(AND(FORSIDE!$B$8&gt;=14,FORSIDE!$F$8&gt;=4,FORSIDE!$B$5&gt;=10),"858 -&gt; 1089","")</f>
        <v/>
      </c>
      <c r="C5291" t="str">
        <f>FORSIDE!$C$3</f>
        <v>S355, Stål / VFHUP 140x140x8.0</v>
      </c>
    </row>
    <row r="5292" spans="1:3" x14ac:dyDescent="0.3">
      <c r="A5292" t="str">
        <f>IF(AND(FORSIDE!$B$8&gt;=15,FORSIDE!$F$8&gt;=4,FORSIDE!$B$5&gt;=1),"S5291","")</f>
        <v/>
      </c>
      <c r="B5292" t="str">
        <f>IF(AND(FORSIDE!$B$8&gt;=15,FORSIDE!$F$8&gt;=4,FORSIDE!$B$5&gt;=1),"860 -&gt; 1091","")</f>
        <v/>
      </c>
      <c r="C5292" t="str">
        <f>FORSIDE!$C$3</f>
        <v>S355, Stål / VFHUP 140x140x8.0</v>
      </c>
    </row>
    <row r="5293" spans="1:3" x14ac:dyDescent="0.3">
      <c r="A5293" t="str">
        <f>IF(AND(FORSIDE!$B$8&gt;=15,FORSIDE!$F$8&gt;=4,FORSIDE!$B$5&gt;=2),"S5292","")</f>
        <v/>
      </c>
      <c r="B5293" t="str">
        <f>IF(AND(FORSIDE!$B$8&gt;=15,FORSIDE!$F$8&gt;=4,FORSIDE!$B$5&gt;=2),"861 -&gt; 1092","")</f>
        <v/>
      </c>
      <c r="C5293" t="str">
        <f>FORSIDE!$C$3</f>
        <v>S355, Stål / VFHUP 140x140x8.0</v>
      </c>
    </row>
    <row r="5294" spans="1:3" x14ac:dyDescent="0.3">
      <c r="A5294" t="str">
        <f>IF(AND(FORSIDE!$B$8&gt;=15,FORSIDE!$F$8&gt;=4,FORSIDE!$B$5&gt;=3),"S5293","")</f>
        <v/>
      </c>
      <c r="B5294" t="str">
        <f>IF(AND(FORSIDE!$B$8&gt;=15,FORSIDE!$F$8&gt;=4,FORSIDE!$B$5&gt;=3),"862 -&gt; 1093","")</f>
        <v/>
      </c>
      <c r="C5294" t="str">
        <f>FORSIDE!$C$3</f>
        <v>S355, Stål / VFHUP 140x140x8.0</v>
      </c>
    </row>
    <row r="5295" spans="1:3" x14ac:dyDescent="0.3">
      <c r="A5295" t="str">
        <f>IF(AND(FORSIDE!$B$8&gt;=15,FORSIDE!$F$8&gt;=4,FORSIDE!$B$5&gt;=4),"S5294","")</f>
        <v/>
      </c>
      <c r="B5295" t="str">
        <f>IF(AND(FORSIDE!$B$8&gt;=15,FORSIDE!$F$8&gt;=4,FORSIDE!$B$5&gt;=4),"863 -&gt; 1094","")</f>
        <v/>
      </c>
      <c r="C5295" t="str">
        <f>FORSIDE!$C$3</f>
        <v>S355, Stål / VFHUP 140x140x8.0</v>
      </c>
    </row>
    <row r="5296" spans="1:3" x14ac:dyDescent="0.3">
      <c r="A5296" t="str">
        <f>IF(AND(FORSIDE!$B$8&gt;=15,FORSIDE!$F$8&gt;=4,FORSIDE!$B$5&gt;=5),"S5295","")</f>
        <v/>
      </c>
      <c r="B5296" t="str">
        <f>IF(AND(FORSIDE!$B$8&gt;=15,FORSIDE!$F$8&gt;=4,FORSIDE!$B$5&gt;=5),"864 -&gt; 1095","")</f>
        <v/>
      </c>
      <c r="C5296" t="str">
        <f>FORSIDE!$C$3</f>
        <v>S355, Stål / VFHUP 140x140x8.0</v>
      </c>
    </row>
    <row r="5297" spans="1:3" x14ac:dyDescent="0.3">
      <c r="A5297" t="str">
        <f>IF(AND(FORSIDE!$B$8&gt;=15,FORSIDE!$F$8&gt;=4,FORSIDE!$B$5&gt;=6),"S5296","")</f>
        <v/>
      </c>
      <c r="B5297" t="str">
        <f>IF(AND(FORSIDE!$B$8&gt;=15,FORSIDE!$F$8&gt;=4,FORSIDE!$B$5&gt;=6),"865 -&gt; 1096","")</f>
        <v/>
      </c>
      <c r="C5297" t="str">
        <f>FORSIDE!$C$3</f>
        <v>S355, Stål / VFHUP 140x140x8.0</v>
      </c>
    </row>
    <row r="5298" spans="1:3" x14ac:dyDescent="0.3">
      <c r="A5298" t="str">
        <f>IF(AND(FORSIDE!$B$8&gt;=15,FORSIDE!$F$8&gt;=4,FORSIDE!$B$5&gt;=7),"S5297","")</f>
        <v/>
      </c>
      <c r="B5298" t="str">
        <f>IF(AND(FORSIDE!$B$8&gt;=15,FORSIDE!$F$8&gt;=4,FORSIDE!$B$5&gt;=7),"866 -&gt; 1097","")</f>
        <v/>
      </c>
      <c r="C5298" t="str">
        <f>FORSIDE!$C$3</f>
        <v>S355, Stål / VFHUP 140x140x8.0</v>
      </c>
    </row>
    <row r="5299" spans="1:3" x14ac:dyDescent="0.3">
      <c r="A5299" t="str">
        <f>IF(AND(FORSIDE!$B$8&gt;=15,FORSIDE!$F$8&gt;=4,FORSIDE!$B$5&gt;=8),"S5298","")</f>
        <v/>
      </c>
      <c r="B5299" t="str">
        <f>IF(AND(FORSIDE!$B$8&gt;=15,FORSIDE!$F$8&gt;=4,FORSIDE!$B$5&gt;=8),"867 -&gt; 1098","")</f>
        <v/>
      </c>
      <c r="C5299" t="str">
        <f>FORSIDE!$C$3</f>
        <v>S355, Stål / VFHUP 140x140x8.0</v>
      </c>
    </row>
    <row r="5300" spans="1:3" x14ac:dyDescent="0.3">
      <c r="A5300" t="str">
        <f>IF(AND(FORSIDE!$B$8&gt;=15,FORSIDE!$F$8&gt;=4,FORSIDE!$B$5&gt;=9),"S5299","")</f>
        <v/>
      </c>
      <c r="B5300" t="str">
        <f>IF(AND(FORSIDE!$B$8&gt;=15,FORSIDE!$F$8&gt;=4,FORSIDE!$B$5&gt;=9),"868 -&gt; 1099","")</f>
        <v/>
      </c>
      <c r="C5300" t="str">
        <f>FORSIDE!$C$3</f>
        <v>S355, Stål / VFHUP 140x140x8.0</v>
      </c>
    </row>
    <row r="5301" spans="1:3" x14ac:dyDescent="0.3">
      <c r="A5301" t="str">
        <f>IF(AND(FORSIDE!$B$8&gt;=15,FORSIDE!$F$8&gt;=4,FORSIDE!$B$5&gt;=10),"S5300","")</f>
        <v/>
      </c>
      <c r="B5301" t="str">
        <f>IF(AND(FORSIDE!$B$8&gt;=15,FORSIDE!$F$8&gt;=4,FORSIDE!$B$5&gt;=10),"869 -&gt; 1100","")</f>
        <v/>
      </c>
      <c r="C5301" t="str">
        <f>FORSIDE!$C$3</f>
        <v>S355, Stål / VFHUP 140x140x8.0</v>
      </c>
    </row>
    <row r="5302" spans="1:3" x14ac:dyDescent="0.3">
      <c r="A5302" t="str">
        <f>IF(AND(FORSIDE!$B$8&gt;=16,FORSIDE!$F$8&gt;=4,FORSIDE!$B$5&gt;=1),"S5301","")</f>
        <v/>
      </c>
      <c r="B5302" t="str">
        <f>IF(AND(FORSIDE!$B$8&gt;=16,FORSIDE!$F$8&gt;=4,FORSIDE!$B$5&gt;=1),"871 -&gt; 1102","")</f>
        <v/>
      </c>
      <c r="C5302" t="str">
        <f>FORSIDE!$C$3</f>
        <v>S355, Stål / VFHUP 140x140x8.0</v>
      </c>
    </row>
    <row r="5303" spans="1:3" x14ac:dyDescent="0.3">
      <c r="A5303" t="str">
        <f>IF(AND(FORSIDE!$B$8&gt;=16,FORSIDE!$F$8&gt;=4,FORSIDE!$B$5&gt;=2),"S5302","")</f>
        <v/>
      </c>
      <c r="B5303" t="str">
        <f>IF(AND(FORSIDE!$B$8&gt;=16,FORSIDE!$F$8&gt;=4,FORSIDE!$B$5&gt;=2),"872 -&gt; 1103","")</f>
        <v/>
      </c>
      <c r="C5303" t="str">
        <f>FORSIDE!$C$3</f>
        <v>S355, Stål / VFHUP 140x140x8.0</v>
      </c>
    </row>
    <row r="5304" spans="1:3" x14ac:dyDescent="0.3">
      <c r="A5304" t="str">
        <f>IF(AND(FORSIDE!$B$8&gt;=16,FORSIDE!$F$8&gt;=4,FORSIDE!$B$5&gt;=3),"S5303","")</f>
        <v/>
      </c>
      <c r="B5304" t="str">
        <f>IF(AND(FORSIDE!$B$8&gt;=16,FORSIDE!$F$8&gt;=4,FORSIDE!$B$5&gt;=3),"873 -&gt; 1104","")</f>
        <v/>
      </c>
      <c r="C5304" t="str">
        <f>FORSIDE!$C$3</f>
        <v>S355, Stål / VFHUP 140x140x8.0</v>
      </c>
    </row>
    <row r="5305" spans="1:3" x14ac:dyDescent="0.3">
      <c r="A5305" t="str">
        <f>IF(AND(FORSIDE!$B$8&gt;=16,FORSIDE!$F$8&gt;=4,FORSIDE!$B$5&gt;=4),"S5304","")</f>
        <v/>
      </c>
      <c r="B5305" t="str">
        <f>IF(AND(FORSIDE!$B$8&gt;=16,FORSIDE!$F$8&gt;=4,FORSIDE!$B$5&gt;=4),"874 -&gt; 1105","")</f>
        <v/>
      </c>
      <c r="C5305" t="str">
        <f>FORSIDE!$C$3</f>
        <v>S355, Stål / VFHUP 140x140x8.0</v>
      </c>
    </row>
    <row r="5306" spans="1:3" x14ac:dyDescent="0.3">
      <c r="A5306" t="str">
        <f>IF(AND(FORSIDE!$B$8&gt;=16,FORSIDE!$F$8&gt;=4,FORSIDE!$B$5&gt;=5),"S5305","")</f>
        <v/>
      </c>
      <c r="B5306" t="str">
        <f>IF(AND(FORSIDE!$B$8&gt;=16,FORSIDE!$F$8&gt;=4,FORSIDE!$B$5&gt;=5),"875 -&gt; 1106","")</f>
        <v/>
      </c>
      <c r="C5306" t="str">
        <f>FORSIDE!$C$3</f>
        <v>S355, Stål / VFHUP 140x140x8.0</v>
      </c>
    </row>
    <row r="5307" spans="1:3" x14ac:dyDescent="0.3">
      <c r="A5307" t="str">
        <f>IF(AND(FORSIDE!$B$8&gt;=16,FORSIDE!$F$8&gt;=4,FORSIDE!$B$5&gt;=6),"S5306","")</f>
        <v/>
      </c>
      <c r="B5307" t="str">
        <f>IF(AND(FORSIDE!$B$8&gt;=16,FORSIDE!$F$8&gt;=4,FORSIDE!$B$5&gt;=6),"876 -&gt; 1107","")</f>
        <v/>
      </c>
      <c r="C5307" t="str">
        <f>FORSIDE!$C$3</f>
        <v>S355, Stål / VFHUP 140x140x8.0</v>
      </c>
    </row>
    <row r="5308" spans="1:3" x14ac:dyDescent="0.3">
      <c r="A5308" t="str">
        <f>IF(AND(FORSIDE!$B$8&gt;=16,FORSIDE!$F$8&gt;=4,FORSIDE!$B$5&gt;=7),"S5307","")</f>
        <v/>
      </c>
      <c r="B5308" t="str">
        <f>IF(AND(FORSIDE!$B$8&gt;=16,FORSIDE!$F$8&gt;=4,FORSIDE!$B$5&gt;=7),"877 -&gt; 1108","")</f>
        <v/>
      </c>
      <c r="C5308" t="str">
        <f>FORSIDE!$C$3</f>
        <v>S355, Stål / VFHUP 140x140x8.0</v>
      </c>
    </row>
    <row r="5309" spans="1:3" x14ac:dyDescent="0.3">
      <c r="A5309" t="str">
        <f>IF(AND(FORSIDE!$B$8&gt;=16,FORSIDE!$F$8&gt;=4,FORSIDE!$B$5&gt;=8),"S5308","")</f>
        <v/>
      </c>
      <c r="B5309" t="str">
        <f>IF(AND(FORSIDE!$B$8&gt;=16,FORSIDE!$F$8&gt;=4,FORSIDE!$B$5&gt;=8),"878 -&gt; 1109","")</f>
        <v/>
      </c>
      <c r="C5309" t="str">
        <f>FORSIDE!$C$3</f>
        <v>S355, Stål / VFHUP 140x140x8.0</v>
      </c>
    </row>
    <row r="5310" spans="1:3" x14ac:dyDescent="0.3">
      <c r="A5310" t="str">
        <f>IF(AND(FORSIDE!$B$8&gt;=16,FORSIDE!$F$8&gt;=4,FORSIDE!$B$5&gt;=9),"S5309","")</f>
        <v/>
      </c>
      <c r="B5310" t="str">
        <f>IF(AND(FORSIDE!$B$8&gt;=16,FORSIDE!$F$8&gt;=4,FORSIDE!$B$5&gt;=9),"879 -&gt; 1110","")</f>
        <v/>
      </c>
      <c r="C5310" t="str">
        <f>FORSIDE!$C$3</f>
        <v>S355, Stål / VFHUP 140x140x8.0</v>
      </c>
    </row>
    <row r="5311" spans="1:3" x14ac:dyDescent="0.3">
      <c r="A5311" t="str">
        <f>IF(AND(FORSIDE!$B$8&gt;=16,FORSIDE!$F$8&gt;=4,FORSIDE!$B$5&gt;=10),"S5310","")</f>
        <v/>
      </c>
      <c r="B5311" t="str">
        <f>IF(AND(FORSIDE!$B$8&gt;=16,FORSIDE!$F$8&gt;=4,FORSIDE!$B$5&gt;=10),"880 -&gt; 1111","")</f>
        <v/>
      </c>
      <c r="C5311" t="str">
        <f>FORSIDE!$C$3</f>
        <v>S355, Stål / VFHUP 140x140x8.0</v>
      </c>
    </row>
    <row r="5312" spans="1:3" x14ac:dyDescent="0.3">
      <c r="A5312" t="str">
        <f>IF(AND(FORSIDE!$B$8&gt;=17,FORSIDE!$F$8&gt;=4,FORSIDE!$B$5&gt;=1),"S5311","")</f>
        <v/>
      </c>
      <c r="B5312" t="str">
        <f>IF(AND(FORSIDE!$B$8&gt;=17,FORSIDE!$F$8&gt;=4,FORSIDE!$B$5&gt;=1),"882 -&gt; 1113","")</f>
        <v/>
      </c>
      <c r="C5312" t="str">
        <f>FORSIDE!$C$3</f>
        <v>S355, Stål / VFHUP 140x140x8.0</v>
      </c>
    </row>
    <row r="5313" spans="1:3" x14ac:dyDescent="0.3">
      <c r="A5313" t="str">
        <f>IF(AND(FORSIDE!$B$8&gt;=17,FORSIDE!$F$8&gt;=4,FORSIDE!$B$5&gt;=2),"S5312","")</f>
        <v/>
      </c>
      <c r="B5313" t="str">
        <f>IF(AND(FORSIDE!$B$8&gt;=17,FORSIDE!$F$8&gt;=4,FORSIDE!$B$5&gt;=2),"883 -&gt; 1114","")</f>
        <v/>
      </c>
      <c r="C5313" t="str">
        <f>FORSIDE!$C$3</f>
        <v>S355, Stål / VFHUP 140x140x8.0</v>
      </c>
    </row>
    <row r="5314" spans="1:3" x14ac:dyDescent="0.3">
      <c r="A5314" t="str">
        <f>IF(AND(FORSIDE!$B$8&gt;=17,FORSIDE!$F$8&gt;=4,FORSIDE!$B$5&gt;=3),"S5313","")</f>
        <v/>
      </c>
      <c r="B5314" t="str">
        <f>IF(AND(FORSIDE!$B$8&gt;=17,FORSIDE!$F$8&gt;=4,FORSIDE!$B$5&gt;=3),"884 -&gt; 1115","")</f>
        <v/>
      </c>
      <c r="C5314" t="str">
        <f>FORSIDE!$C$3</f>
        <v>S355, Stål / VFHUP 140x140x8.0</v>
      </c>
    </row>
    <row r="5315" spans="1:3" x14ac:dyDescent="0.3">
      <c r="A5315" t="str">
        <f>IF(AND(FORSIDE!$B$8&gt;=17,FORSIDE!$F$8&gt;=4,FORSIDE!$B$5&gt;=4),"S5314","")</f>
        <v/>
      </c>
      <c r="B5315" t="str">
        <f>IF(AND(FORSIDE!$B$8&gt;=17,FORSIDE!$F$8&gt;=4,FORSIDE!$B$5&gt;=4),"885 -&gt; 1116","")</f>
        <v/>
      </c>
      <c r="C5315" t="str">
        <f>FORSIDE!$C$3</f>
        <v>S355, Stål / VFHUP 140x140x8.0</v>
      </c>
    </row>
    <row r="5316" spans="1:3" x14ac:dyDescent="0.3">
      <c r="A5316" t="str">
        <f>IF(AND(FORSIDE!$B$8&gt;=17,FORSIDE!$F$8&gt;=4,FORSIDE!$B$5&gt;=5),"S5315","")</f>
        <v/>
      </c>
      <c r="B5316" t="str">
        <f>IF(AND(FORSIDE!$B$8&gt;=17,FORSIDE!$F$8&gt;=4,FORSIDE!$B$5&gt;=5),"886 -&gt; 1117","")</f>
        <v/>
      </c>
      <c r="C5316" t="str">
        <f>FORSIDE!$C$3</f>
        <v>S355, Stål / VFHUP 140x140x8.0</v>
      </c>
    </row>
    <row r="5317" spans="1:3" x14ac:dyDescent="0.3">
      <c r="A5317" t="str">
        <f>IF(AND(FORSIDE!$B$8&gt;=17,FORSIDE!$F$8&gt;=4,FORSIDE!$B$5&gt;=6),"S5316","")</f>
        <v/>
      </c>
      <c r="B5317" t="str">
        <f>IF(AND(FORSIDE!$B$8&gt;=17,FORSIDE!$F$8&gt;=4,FORSIDE!$B$5&gt;=6),"887 -&gt; 1118","")</f>
        <v/>
      </c>
      <c r="C5317" t="str">
        <f>FORSIDE!$C$3</f>
        <v>S355, Stål / VFHUP 140x140x8.0</v>
      </c>
    </row>
    <row r="5318" spans="1:3" x14ac:dyDescent="0.3">
      <c r="A5318" t="str">
        <f>IF(AND(FORSIDE!$B$8&gt;=17,FORSIDE!$F$8&gt;=4,FORSIDE!$B$5&gt;=7),"S5317","")</f>
        <v/>
      </c>
      <c r="B5318" t="str">
        <f>IF(AND(FORSIDE!$B$8&gt;=17,FORSIDE!$F$8&gt;=4,FORSIDE!$B$5&gt;=7),"888 -&gt; 1119","")</f>
        <v/>
      </c>
      <c r="C5318" t="str">
        <f>FORSIDE!$C$3</f>
        <v>S355, Stål / VFHUP 140x140x8.0</v>
      </c>
    </row>
    <row r="5319" spans="1:3" x14ac:dyDescent="0.3">
      <c r="A5319" t="str">
        <f>IF(AND(FORSIDE!$B$8&gt;=17,FORSIDE!$F$8&gt;=4,FORSIDE!$B$5&gt;=8),"S5318","")</f>
        <v/>
      </c>
      <c r="B5319" t="str">
        <f>IF(AND(FORSIDE!$B$8&gt;=17,FORSIDE!$F$8&gt;=4,FORSIDE!$B$5&gt;=8),"889 -&gt; 1120","")</f>
        <v/>
      </c>
      <c r="C5319" t="str">
        <f>FORSIDE!$C$3</f>
        <v>S355, Stål / VFHUP 140x140x8.0</v>
      </c>
    </row>
    <row r="5320" spans="1:3" x14ac:dyDescent="0.3">
      <c r="A5320" t="str">
        <f>IF(AND(FORSIDE!$B$8&gt;=17,FORSIDE!$F$8&gt;=4,FORSIDE!$B$5&gt;=9),"S5319","")</f>
        <v/>
      </c>
      <c r="B5320" t="str">
        <f>IF(AND(FORSIDE!$B$8&gt;=17,FORSIDE!$F$8&gt;=4,FORSIDE!$B$5&gt;=9),"890 -&gt; 1121","")</f>
        <v/>
      </c>
      <c r="C5320" t="str">
        <f>FORSIDE!$C$3</f>
        <v>S355, Stål / VFHUP 140x140x8.0</v>
      </c>
    </row>
    <row r="5321" spans="1:3" x14ac:dyDescent="0.3">
      <c r="A5321" t="str">
        <f>IF(AND(FORSIDE!$B$8&gt;=17,FORSIDE!$F$8&gt;=4,FORSIDE!$B$5&gt;=10),"S5320","")</f>
        <v/>
      </c>
      <c r="B5321" t="str">
        <f>IF(AND(FORSIDE!$B$8&gt;=17,FORSIDE!$F$8&gt;=4,FORSIDE!$B$5&gt;=10),"891 -&gt; 1122","")</f>
        <v/>
      </c>
      <c r="C5321" t="str">
        <f>FORSIDE!$C$3</f>
        <v>S355, Stål / VFHUP 140x140x8.0</v>
      </c>
    </row>
    <row r="5322" spans="1:3" x14ac:dyDescent="0.3">
      <c r="A5322" t="str">
        <f>IF(AND(FORSIDE!$B$8&gt;=18,FORSIDE!$F$8&gt;=4,FORSIDE!$B$5&gt;=1),"S5321","")</f>
        <v/>
      </c>
      <c r="B5322" t="str">
        <f>IF(AND(FORSIDE!$B$8&gt;=18,FORSIDE!$F$8&gt;=4,FORSIDE!$B$5&gt;=1),"893 -&gt; 1124","")</f>
        <v/>
      </c>
      <c r="C5322" t="str">
        <f>FORSIDE!$C$3</f>
        <v>S355, Stål / VFHUP 140x140x8.0</v>
      </c>
    </row>
    <row r="5323" spans="1:3" x14ac:dyDescent="0.3">
      <c r="A5323" t="str">
        <f>IF(AND(FORSIDE!$B$8&gt;=18,FORSIDE!$F$8&gt;=4,FORSIDE!$B$5&gt;=2),"S5322","")</f>
        <v/>
      </c>
      <c r="B5323" t="str">
        <f>IF(AND(FORSIDE!$B$8&gt;=18,FORSIDE!$F$8&gt;=4,FORSIDE!$B$5&gt;=2),"894 -&gt; 1125","")</f>
        <v/>
      </c>
      <c r="C5323" t="str">
        <f>FORSIDE!$C$3</f>
        <v>S355, Stål / VFHUP 140x140x8.0</v>
      </c>
    </row>
    <row r="5324" spans="1:3" x14ac:dyDescent="0.3">
      <c r="A5324" t="str">
        <f>IF(AND(FORSIDE!$B$8&gt;=18,FORSIDE!$F$8&gt;=4,FORSIDE!$B$5&gt;=3),"S5323","")</f>
        <v/>
      </c>
      <c r="B5324" t="str">
        <f>IF(AND(FORSIDE!$B$8&gt;=18,FORSIDE!$F$8&gt;=4,FORSIDE!$B$5&gt;=3),"895 -&gt; 1126","")</f>
        <v/>
      </c>
      <c r="C5324" t="str">
        <f>FORSIDE!$C$3</f>
        <v>S355, Stål / VFHUP 140x140x8.0</v>
      </c>
    </row>
    <row r="5325" spans="1:3" x14ac:dyDescent="0.3">
      <c r="A5325" t="str">
        <f>IF(AND(FORSIDE!$B$8&gt;=18,FORSIDE!$F$8&gt;=4,FORSIDE!$B$5&gt;=4),"S5324","")</f>
        <v/>
      </c>
      <c r="B5325" t="str">
        <f>IF(AND(FORSIDE!$B$8&gt;=18,FORSIDE!$F$8&gt;=4,FORSIDE!$B$5&gt;=4),"896 -&gt; 1127","")</f>
        <v/>
      </c>
      <c r="C5325" t="str">
        <f>FORSIDE!$C$3</f>
        <v>S355, Stål / VFHUP 140x140x8.0</v>
      </c>
    </row>
    <row r="5326" spans="1:3" x14ac:dyDescent="0.3">
      <c r="A5326" t="str">
        <f>IF(AND(FORSIDE!$B$8&gt;=18,FORSIDE!$F$8&gt;=4,FORSIDE!$B$5&gt;=5),"S5325","")</f>
        <v/>
      </c>
      <c r="B5326" t="str">
        <f>IF(AND(FORSIDE!$B$8&gt;=18,FORSIDE!$F$8&gt;=4,FORSIDE!$B$5&gt;=5),"897 -&gt; 1128","")</f>
        <v/>
      </c>
      <c r="C5326" t="str">
        <f>FORSIDE!$C$3</f>
        <v>S355, Stål / VFHUP 140x140x8.0</v>
      </c>
    </row>
    <row r="5327" spans="1:3" x14ac:dyDescent="0.3">
      <c r="A5327" t="str">
        <f>IF(AND(FORSIDE!$B$8&gt;=18,FORSIDE!$F$8&gt;=4,FORSIDE!$B$5&gt;=6),"S5326","")</f>
        <v/>
      </c>
      <c r="B5327" t="str">
        <f>IF(AND(FORSIDE!$B$8&gt;=18,FORSIDE!$F$8&gt;=4,FORSIDE!$B$5&gt;=6),"898 -&gt; 1129","")</f>
        <v/>
      </c>
      <c r="C5327" t="str">
        <f>FORSIDE!$C$3</f>
        <v>S355, Stål / VFHUP 140x140x8.0</v>
      </c>
    </row>
    <row r="5328" spans="1:3" x14ac:dyDescent="0.3">
      <c r="A5328" t="str">
        <f>IF(AND(FORSIDE!$B$8&gt;=18,FORSIDE!$F$8&gt;=4,FORSIDE!$B$5&gt;=7),"S5327","")</f>
        <v/>
      </c>
      <c r="B5328" t="str">
        <f>IF(AND(FORSIDE!$B$8&gt;=18,FORSIDE!$F$8&gt;=4,FORSIDE!$B$5&gt;=7),"899 -&gt; 1130","")</f>
        <v/>
      </c>
      <c r="C5328" t="str">
        <f>FORSIDE!$C$3</f>
        <v>S355, Stål / VFHUP 140x140x8.0</v>
      </c>
    </row>
    <row r="5329" spans="1:3" x14ac:dyDescent="0.3">
      <c r="A5329" t="str">
        <f>IF(AND(FORSIDE!$B$8&gt;=18,FORSIDE!$F$8&gt;=4,FORSIDE!$B$5&gt;=8),"S5328","")</f>
        <v/>
      </c>
      <c r="B5329" t="str">
        <f>IF(AND(FORSIDE!$B$8&gt;=18,FORSIDE!$F$8&gt;=4,FORSIDE!$B$5&gt;=8),"900 -&gt; 1131","")</f>
        <v/>
      </c>
      <c r="C5329" t="str">
        <f>FORSIDE!$C$3</f>
        <v>S355, Stål / VFHUP 140x140x8.0</v>
      </c>
    </row>
    <row r="5330" spans="1:3" x14ac:dyDescent="0.3">
      <c r="A5330" t="str">
        <f>IF(AND(FORSIDE!$B$8&gt;=18,FORSIDE!$F$8&gt;=4,FORSIDE!$B$5&gt;=9),"S5329","")</f>
        <v/>
      </c>
      <c r="B5330" t="str">
        <f>IF(AND(FORSIDE!$B$8&gt;=18,FORSIDE!$F$8&gt;=4,FORSIDE!$B$5&gt;=9),"901 -&gt; 1132","")</f>
        <v/>
      </c>
      <c r="C5330" t="str">
        <f>FORSIDE!$C$3</f>
        <v>S355, Stål / VFHUP 140x140x8.0</v>
      </c>
    </row>
    <row r="5331" spans="1:3" x14ac:dyDescent="0.3">
      <c r="A5331" t="str">
        <f>IF(AND(FORSIDE!$B$8&gt;=18,FORSIDE!$F$8&gt;=4,FORSIDE!$B$5&gt;=10),"S5330","")</f>
        <v/>
      </c>
      <c r="B5331" t="str">
        <f>IF(AND(FORSIDE!$B$8&gt;=18,FORSIDE!$F$8&gt;=4,FORSIDE!$B$5&gt;=10),"902 -&gt; 1133","")</f>
        <v/>
      </c>
      <c r="C5331" t="str">
        <f>FORSIDE!$C$3</f>
        <v>S355, Stål / VFHUP 140x140x8.0</v>
      </c>
    </row>
    <row r="5332" spans="1:3" x14ac:dyDescent="0.3">
      <c r="A5332" t="str">
        <f>IF(AND(FORSIDE!$B$8&gt;=19,FORSIDE!$F$8&gt;=4,FORSIDE!$B$5&gt;=1),"S5331","")</f>
        <v/>
      </c>
      <c r="B5332" t="str">
        <f>IF(AND(FORSIDE!$B$8&gt;=19,FORSIDE!$F$8&gt;=4,FORSIDE!$B$5&gt;=1),"904 -&gt; 1135","")</f>
        <v/>
      </c>
      <c r="C5332" t="str">
        <f>FORSIDE!$C$3</f>
        <v>S355, Stål / VFHUP 140x140x8.0</v>
      </c>
    </row>
    <row r="5333" spans="1:3" x14ac:dyDescent="0.3">
      <c r="A5333" t="str">
        <f>IF(AND(FORSIDE!$B$8&gt;=19,FORSIDE!$F$8&gt;=4,FORSIDE!$B$5&gt;=2),"S5332","")</f>
        <v/>
      </c>
      <c r="B5333" t="str">
        <f>IF(AND(FORSIDE!$B$8&gt;=19,FORSIDE!$F$8&gt;=4,FORSIDE!$B$5&gt;=2),"905 -&gt; 1136","")</f>
        <v/>
      </c>
      <c r="C5333" t="str">
        <f>FORSIDE!$C$3</f>
        <v>S355, Stål / VFHUP 140x140x8.0</v>
      </c>
    </row>
    <row r="5334" spans="1:3" x14ac:dyDescent="0.3">
      <c r="A5334" t="str">
        <f>IF(AND(FORSIDE!$B$8&gt;=19,FORSIDE!$F$8&gt;=4,FORSIDE!$B$5&gt;=3),"S5333","")</f>
        <v/>
      </c>
      <c r="B5334" t="str">
        <f>IF(AND(FORSIDE!$B$8&gt;=19,FORSIDE!$F$8&gt;=4,FORSIDE!$B$5&gt;=3),"906 -&gt; 1137","")</f>
        <v/>
      </c>
      <c r="C5334" t="str">
        <f>FORSIDE!$C$3</f>
        <v>S355, Stål / VFHUP 140x140x8.0</v>
      </c>
    </row>
    <row r="5335" spans="1:3" x14ac:dyDescent="0.3">
      <c r="A5335" t="str">
        <f>IF(AND(FORSIDE!$B$8&gt;=19,FORSIDE!$F$8&gt;=4,FORSIDE!$B$5&gt;=4),"S5334","")</f>
        <v/>
      </c>
      <c r="B5335" t="str">
        <f>IF(AND(FORSIDE!$B$8&gt;=19,FORSIDE!$F$8&gt;=4,FORSIDE!$B$5&gt;=4),"907 -&gt; 1138","")</f>
        <v/>
      </c>
      <c r="C5335" t="str">
        <f>FORSIDE!$C$3</f>
        <v>S355, Stål / VFHUP 140x140x8.0</v>
      </c>
    </row>
    <row r="5336" spans="1:3" x14ac:dyDescent="0.3">
      <c r="A5336" t="str">
        <f>IF(AND(FORSIDE!$B$8&gt;=19,FORSIDE!$F$8&gt;=4,FORSIDE!$B$5&gt;=5),"S5335","")</f>
        <v/>
      </c>
      <c r="B5336" t="str">
        <f>IF(AND(FORSIDE!$B$8&gt;=19,FORSIDE!$F$8&gt;=4,FORSIDE!$B$5&gt;=5),"908 -&gt; 1139","")</f>
        <v/>
      </c>
      <c r="C5336" t="str">
        <f>FORSIDE!$C$3</f>
        <v>S355, Stål / VFHUP 140x140x8.0</v>
      </c>
    </row>
    <row r="5337" spans="1:3" x14ac:dyDescent="0.3">
      <c r="A5337" t="str">
        <f>IF(AND(FORSIDE!$B$8&gt;=19,FORSIDE!$F$8&gt;=4,FORSIDE!$B$5&gt;=6),"S5336","")</f>
        <v/>
      </c>
      <c r="B5337" t="str">
        <f>IF(AND(FORSIDE!$B$8&gt;=19,FORSIDE!$F$8&gt;=4,FORSIDE!$B$5&gt;=6),"909 -&gt; 1140","")</f>
        <v/>
      </c>
      <c r="C5337" t="str">
        <f>FORSIDE!$C$3</f>
        <v>S355, Stål / VFHUP 140x140x8.0</v>
      </c>
    </row>
    <row r="5338" spans="1:3" x14ac:dyDescent="0.3">
      <c r="A5338" t="str">
        <f>IF(AND(FORSIDE!$B$8&gt;=19,FORSIDE!$F$8&gt;=4,FORSIDE!$B$5&gt;=7),"S5337","")</f>
        <v/>
      </c>
      <c r="B5338" t="str">
        <f>IF(AND(FORSIDE!$B$8&gt;=19,FORSIDE!$F$8&gt;=4,FORSIDE!$B$5&gt;=7),"910 -&gt; 1141","")</f>
        <v/>
      </c>
      <c r="C5338" t="str">
        <f>FORSIDE!$C$3</f>
        <v>S355, Stål / VFHUP 140x140x8.0</v>
      </c>
    </row>
    <row r="5339" spans="1:3" x14ac:dyDescent="0.3">
      <c r="A5339" t="str">
        <f>IF(AND(FORSIDE!$B$8&gt;=19,FORSIDE!$F$8&gt;=4,FORSIDE!$B$5&gt;=8),"S5338","")</f>
        <v/>
      </c>
      <c r="B5339" t="str">
        <f>IF(AND(FORSIDE!$B$8&gt;=19,FORSIDE!$F$8&gt;=4,FORSIDE!$B$5&gt;=8),"911 -&gt; 1142","")</f>
        <v/>
      </c>
      <c r="C5339" t="str">
        <f>FORSIDE!$C$3</f>
        <v>S355, Stål / VFHUP 140x140x8.0</v>
      </c>
    </row>
    <row r="5340" spans="1:3" x14ac:dyDescent="0.3">
      <c r="A5340" t="str">
        <f>IF(AND(FORSIDE!$B$8&gt;=19,FORSIDE!$F$8&gt;=4,FORSIDE!$B$5&gt;=9),"S5339","")</f>
        <v/>
      </c>
      <c r="B5340" t="str">
        <f>IF(AND(FORSIDE!$B$8&gt;=19,FORSIDE!$F$8&gt;=4,FORSIDE!$B$5&gt;=9),"912 -&gt; 1143","")</f>
        <v/>
      </c>
      <c r="C5340" t="str">
        <f>FORSIDE!$C$3</f>
        <v>S355, Stål / VFHUP 140x140x8.0</v>
      </c>
    </row>
    <row r="5341" spans="1:3" x14ac:dyDescent="0.3">
      <c r="A5341" t="str">
        <f>IF(AND(FORSIDE!$B$8&gt;=19,FORSIDE!$F$8&gt;=4,FORSIDE!$B$5&gt;=10),"S5340","")</f>
        <v/>
      </c>
      <c r="B5341" t="str">
        <f>IF(AND(FORSIDE!$B$8&gt;=19,FORSIDE!$F$8&gt;=4,FORSIDE!$B$5&gt;=10),"913 -&gt; 1144","")</f>
        <v/>
      </c>
      <c r="C5341" t="str">
        <f>FORSIDE!$C$3</f>
        <v>S355, Stål / VFHUP 140x140x8.0</v>
      </c>
    </row>
    <row r="5342" spans="1:3" x14ac:dyDescent="0.3">
      <c r="A5342" t="str">
        <f>IF(AND(FORSIDE!$B$8&gt;=20,FORSIDE!$F$8&gt;=4,FORSIDE!$B$5&gt;=1),"S5341","")</f>
        <v/>
      </c>
      <c r="B5342" t="str">
        <f>IF(AND(FORSIDE!$B$8&gt;=20,FORSIDE!$F$8&gt;=4,FORSIDE!$B$5&gt;=1),"915 -&gt; 1146","")</f>
        <v/>
      </c>
      <c r="C5342" t="str">
        <f>FORSIDE!$C$3</f>
        <v>S355, Stål / VFHUP 140x140x8.0</v>
      </c>
    </row>
    <row r="5343" spans="1:3" x14ac:dyDescent="0.3">
      <c r="A5343" t="str">
        <f>IF(AND(FORSIDE!$B$8&gt;=20,FORSIDE!$F$8&gt;=4,FORSIDE!$B$5&gt;=2),"S5342","")</f>
        <v/>
      </c>
      <c r="B5343" t="str">
        <f>IF(AND(FORSIDE!$B$8&gt;=20,FORSIDE!$F$8&gt;=4,FORSIDE!$B$5&gt;=2),"916 -&gt; 1147","")</f>
        <v/>
      </c>
      <c r="C5343" t="str">
        <f>FORSIDE!$C$3</f>
        <v>S355, Stål / VFHUP 140x140x8.0</v>
      </c>
    </row>
    <row r="5344" spans="1:3" x14ac:dyDescent="0.3">
      <c r="A5344" t="str">
        <f>IF(AND(FORSIDE!$B$8&gt;=20,FORSIDE!$F$8&gt;=4,FORSIDE!$B$5&gt;=3),"S5343","")</f>
        <v/>
      </c>
      <c r="B5344" t="str">
        <f>IF(AND(FORSIDE!$B$8&gt;=20,FORSIDE!$F$8&gt;=4,FORSIDE!$B$5&gt;=3),"917 -&gt; 1148","")</f>
        <v/>
      </c>
      <c r="C5344" t="str">
        <f>FORSIDE!$C$3</f>
        <v>S355, Stål / VFHUP 140x140x8.0</v>
      </c>
    </row>
    <row r="5345" spans="1:3" x14ac:dyDescent="0.3">
      <c r="A5345" t="str">
        <f>IF(AND(FORSIDE!$B$8&gt;=20,FORSIDE!$F$8&gt;=4,FORSIDE!$B$5&gt;=4),"S5344","")</f>
        <v/>
      </c>
      <c r="B5345" t="str">
        <f>IF(AND(FORSIDE!$B$8&gt;=20,FORSIDE!$F$8&gt;=4,FORSIDE!$B$5&gt;=4),"918 -&gt; 1149","")</f>
        <v/>
      </c>
      <c r="C5345" t="str">
        <f>FORSIDE!$C$3</f>
        <v>S355, Stål / VFHUP 140x140x8.0</v>
      </c>
    </row>
    <row r="5346" spans="1:3" x14ac:dyDescent="0.3">
      <c r="A5346" t="str">
        <f>IF(AND(FORSIDE!$B$8&gt;=20,FORSIDE!$F$8&gt;=4,FORSIDE!$B$5&gt;=5),"S5345","")</f>
        <v/>
      </c>
      <c r="B5346" t="str">
        <f>IF(AND(FORSIDE!$B$8&gt;=20,FORSIDE!$F$8&gt;=4,FORSIDE!$B$5&gt;=5),"919 -&gt; 1150","")</f>
        <v/>
      </c>
      <c r="C5346" t="str">
        <f>FORSIDE!$C$3</f>
        <v>S355, Stål / VFHUP 140x140x8.0</v>
      </c>
    </row>
    <row r="5347" spans="1:3" x14ac:dyDescent="0.3">
      <c r="A5347" t="str">
        <f>IF(AND(FORSIDE!$B$8&gt;=20,FORSIDE!$F$8&gt;=4,FORSIDE!$B$5&gt;=6),"S5346","")</f>
        <v/>
      </c>
      <c r="B5347" t="str">
        <f>IF(AND(FORSIDE!$B$8&gt;=20,FORSIDE!$F$8&gt;=4,FORSIDE!$B$5&gt;=6),"920 -&gt; 1151","")</f>
        <v/>
      </c>
      <c r="C5347" t="str">
        <f>FORSIDE!$C$3</f>
        <v>S355, Stål / VFHUP 140x140x8.0</v>
      </c>
    </row>
    <row r="5348" spans="1:3" x14ac:dyDescent="0.3">
      <c r="A5348" t="str">
        <f>IF(AND(FORSIDE!$B$8&gt;=20,FORSIDE!$F$8&gt;=4,FORSIDE!$B$5&gt;=7),"S5347","")</f>
        <v/>
      </c>
      <c r="B5348" t="str">
        <f>IF(AND(FORSIDE!$B$8&gt;=20,FORSIDE!$F$8&gt;=4,FORSIDE!$B$5&gt;=7),"921 -&gt; 1152","")</f>
        <v/>
      </c>
      <c r="C5348" t="str">
        <f>FORSIDE!$C$3</f>
        <v>S355, Stål / VFHUP 140x140x8.0</v>
      </c>
    </row>
    <row r="5349" spans="1:3" x14ac:dyDescent="0.3">
      <c r="A5349" t="str">
        <f>IF(AND(FORSIDE!$B$8&gt;=20,FORSIDE!$F$8&gt;=4,FORSIDE!$B$5&gt;=8),"S5348","")</f>
        <v/>
      </c>
      <c r="B5349" t="str">
        <f>IF(AND(FORSIDE!$B$8&gt;=20,FORSIDE!$F$8&gt;=4,FORSIDE!$B$5&gt;=8),"922 -&gt; 1153","")</f>
        <v/>
      </c>
      <c r="C5349" t="str">
        <f>FORSIDE!$C$3</f>
        <v>S355, Stål / VFHUP 140x140x8.0</v>
      </c>
    </row>
    <row r="5350" spans="1:3" x14ac:dyDescent="0.3">
      <c r="A5350" t="str">
        <f>IF(AND(FORSIDE!$B$8&gt;=20,FORSIDE!$F$8&gt;=4,FORSIDE!$B$5&gt;=9),"S5349","")</f>
        <v/>
      </c>
      <c r="B5350" t="str">
        <f>IF(AND(FORSIDE!$B$8&gt;=20,FORSIDE!$F$8&gt;=4,FORSIDE!$B$5&gt;=9),"923 -&gt; 1154","")</f>
        <v/>
      </c>
      <c r="C5350" t="str">
        <f>FORSIDE!$C$3</f>
        <v>S355, Stål / VFHUP 140x140x8.0</v>
      </c>
    </row>
    <row r="5351" spans="1:3" x14ac:dyDescent="0.3">
      <c r="A5351" t="str">
        <f>IF(AND(FORSIDE!$B$8&gt;=20,FORSIDE!$F$8&gt;=4,FORSIDE!$B$5&gt;=10),"S5350","")</f>
        <v/>
      </c>
      <c r="B5351" t="str">
        <f>IF(AND(FORSIDE!$B$8&gt;=20,FORSIDE!$F$8&gt;=4,FORSIDE!$B$5&gt;=10),"924 -&gt; 1155","")</f>
        <v/>
      </c>
      <c r="C5351" t="str">
        <f>FORSIDE!$C$3</f>
        <v>S355, Stål / VFHUP 140x140x8.0</v>
      </c>
    </row>
    <row r="5352" spans="1:3" x14ac:dyDescent="0.3">
      <c r="A5352" t="str">
        <f>IF(AND(FORSIDE!$B$8&gt;=0,FORSIDE!$F$8&gt;=5,FORSIDE!$B$5&gt;=1),"S5351","")</f>
        <v/>
      </c>
      <c r="B5352" t="str">
        <f>IF(AND(FORSIDE!$B$8&gt;=0,FORSIDE!$F$8&gt;=5,FORSIDE!$B$5&gt;=1),"926 -&gt; 1157","")</f>
        <v/>
      </c>
      <c r="C5352" t="str">
        <f>FORSIDE!$C$3</f>
        <v>S355, Stål / VFHUP 140x140x8.0</v>
      </c>
    </row>
    <row r="5353" spans="1:3" x14ac:dyDescent="0.3">
      <c r="A5353" t="str">
        <f>IF(AND(FORSIDE!$B$8&gt;=0,FORSIDE!$F$8&gt;=5,FORSIDE!$B$5&gt;=2),"S5352","")</f>
        <v/>
      </c>
      <c r="B5353" t="str">
        <f>IF(AND(FORSIDE!$B$8&gt;=0,FORSIDE!$F$8&gt;=5,FORSIDE!$B$5&gt;=2),"927 -&gt; 1158","")</f>
        <v/>
      </c>
      <c r="C5353" t="str">
        <f>FORSIDE!$C$3</f>
        <v>S355, Stål / VFHUP 140x140x8.0</v>
      </c>
    </row>
    <row r="5354" spans="1:3" x14ac:dyDescent="0.3">
      <c r="A5354" t="str">
        <f>IF(AND(FORSIDE!$B$8&gt;=0,FORSIDE!$F$8&gt;=5,FORSIDE!$B$5&gt;=3),"S5353","")</f>
        <v/>
      </c>
      <c r="B5354" t="str">
        <f>IF(AND(FORSIDE!$B$8&gt;=0,FORSIDE!$F$8&gt;=5,FORSIDE!$B$5&gt;=3),"928 -&gt; 1159","")</f>
        <v/>
      </c>
      <c r="C5354" t="str">
        <f>FORSIDE!$C$3</f>
        <v>S355, Stål / VFHUP 140x140x8.0</v>
      </c>
    </row>
    <row r="5355" spans="1:3" x14ac:dyDescent="0.3">
      <c r="A5355" t="str">
        <f>IF(AND(FORSIDE!$B$8&gt;=0,FORSIDE!$F$8&gt;=5,FORSIDE!$B$5&gt;=4),"S5354","")</f>
        <v/>
      </c>
      <c r="B5355" t="str">
        <f>IF(AND(FORSIDE!$B$8&gt;=0,FORSIDE!$F$8&gt;=5,FORSIDE!$B$5&gt;=4),"929 -&gt; 1160","")</f>
        <v/>
      </c>
      <c r="C5355" t="str">
        <f>FORSIDE!$C$3</f>
        <v>S355, Stål / VFHUP 140x140x8.0</v>
      </c>
    </row>
    <row r="5356" spans="1:3" x14ac:dyDescent="0.3">
      <c r="A5356" t="str">
        <f>IF(AND(FORSIDE!$B$8&gt;=0,FORSIDE!$F$8&gt;=5,FORSIDE!$B$5&gt;=5),"S5355","")</f>
        <v/>
      </c>
      <c r="B5356" t="str">
        <f>IF(AND(FORSIDE!$B$8&gt;=0,FORSIDE!$F$8&gt;=5,FORSIDE!$B$5&gt;=5),"930 -&gt; 1161","")</f>
        <v/>
      </c>
      <c r="C5356" t="str">
        <f>FORSIDE!$C$3</f>
        <v>S355, Stål / VFHUP 140x140x8.0</v>
      </c>
    </row>
    <row r="5357" spans="1:3" x14ac:dyDescent="0.3">
      <c r="A5357" t="str">
        <f>IF(AND(FORSIDE!$B$8&gt;=0,FORSIDE!$F$8&gt;=5,FORSIDE!$B$5&gt;=6),"S5356","")</f>
        <v/>
      </c>
      <c r="B5357" t="str">
        <f>IF(AND(FORSIDE!$B$8&gt;=0,FORSIDE!$F$8&gt;=5,FORSIDE!$B$5&gt;=6),"931 -&gt; 1162","")</f>
        <v/>
      </c>
      <c r="C5357" t="str">
        <f>FORSIDE!$C$3</f>
        <v>S355, Stål / VFHUP 140x140x8.0</v>
      </c>
    </row>
    <row r="5358" spans="1:3" x14ac:dyDescent="0.3">
      <c r="A5358" t="str">
        <f>IF(AND(FORSIDE!$B$8&gt;=0,FORSIDE!$F$8&gt;=5,FORSIDE!$B$5&gt;=7),"S5357","")</f>
        <v/>
      </c>
      <c r="B5358" t="str">
        <f>IF(AND(FORSIDE!$B$8&gt;=0,FORSIDE!$F$8&gt;=5,FORSIDE!$B$5&gt;=7),"932 -&gt; 1163","")</f>
        <v/>
      </c>
      <c r="C5358" t="str">
        <f>FORSIDE!$C$3</f>
        <v>S355, Stål / VFHUP 140x140x8.0</v>
      </c>
    </row>
    <row r="5359" spans="1:3" x14ac:dyDescent="0.3">
      <c r="A5359" t="str">
        <f>IF(AND(FORSIDE!$B$8&gt;=0,FORSIDE!$F$8&gt;=5,FORSIDE!$B$5&gt;=8),"S5358","")</f>
        <v/>
      </c>
      <c r="B5359" t="str">
        <f>IF(AND(FORSIDE!$B$8&gt;=0,FORSIDE!$F$8&gt;=5,FORSIDE!$B$5&gt;=8),"933 -&gt; 1164","")</f>
        <v/>
      </c>
      <c r="C5359" t="str">
        <f>FORSIDE!$C$3</f>
        <v>S355, Stål / VFHUP 140x140x8.0</v>
      </c>
    </row>
    <row r="5360" spans="1:3" x14ac:dyDescent="0.3">
      <c r="A5360" t="str">
        <f>IF(AND(FORSIDE!$B$8&gt;=0,FORSIDE!$F$8&gt;=5,FORSIDE!$B$5&gt;=9),"S5359","")</f>
        <v/>
      </c>
      <c r="B5360" t="str">
        <f>IF(AND(FORSIDE!$B$8&gt;=0,FORSIDE!$F$8&gt;=5,FORSIDE!$B$5&gt;=9),"934 -&gt; 1165","")</f>
        <v/>
      </c>
      <c r="C5360" t="str">
        <f>FORSIDE!$C$3</f>
        <v>S355, Stål / VFHUP 140x140x8.0</v>
      </c>
    </row>
    <row r="5361" spans="1:3" x14ac:dyDescent="0.3">
      <c r="A5361" t="str">
        <f>IF(AND(FORSIDE!$B$8&gt;=0,FORSIDE!$F$8&gt;=5,FORSIDE!$B$5&gt;=10),"S5360","")</f>
        <v/>
      </c>
      <c r="B5361" t="str">
        <f>IF(AND(FORSIDE!$B$8&gt;=0,FORSIDE!$F$8&gt;=5,FORSIDE!$B$5&gt;=10),"935 -&gt; 1166","")</f>
        <v/>
      </c>
      <c r="C5361" t="str">
        <f>FORSIDE!$C$3</f>
        <v>S355, Stål / VFHUP 140x140x8.0</v>
      </c>
    </row>
    <row r="5362" spans="1:3" x14ac:dyDescent="0.3">
      <c r="A5362" t="str">
        <f>IF(AND(FORSIDE!$B$8&gt;=1,FORSIDE!$F$8&gt;=5,FORSIDE!$B$5&gt;=1),"S5361","")</f>
        <v/>
      </c>
      <c r="B5362" t="str">
        <f>IF(AND(FORSIDE!$B$8&gt;=1,FORSIDE!$F$8&gt;=5,FORSIDE!$B$5&gt;=1),"937 -&gt; 1168","")</f>
        <v/>
      </c>
      <c r="C5362" t="str">
        <f>FORSIDE!$C$3</f>
        <v>S355, Stål / VFHUP 140x140x8.0</v>
      </c>
    </row>
    <row r="5363" spans="1:3" x14ac:dyDescent="0.3">
      <c r="A5363" t="str">
        <f>IF(AND(FORSIDE!$B$8&gt;=1,FORSIDE!$F$8&gt;=5,FORSIDE!$B$5&gt;=2),"S5362","")</f>
        <v/>
      </c>
      <c r="B5363" t="str">
        <f>IF(AND(FORSIDE!$B$8&gt;=1,FORSIDE!$F$8&gt;=5,FORSIDE!$B$5&gt;=2),"938 -&gt; 1169","")</f>
        <v/>
      </c>
      <c r="C5363" t="str">
        <f>FORSIDE!$C$3</f>
        <v>S355, Stål / VFHUP 140x140x8.0</v>
      </c>
    </row>
    <row r="5364" spans="1:3" x14ac:dyDescent="0.3">
      <c r="A5364" t="str">
        <f>IF(AND(FORSIDE!$B$8&gt;=1,FORSIDE!$F$8&gt;=5,FORSIDE!$B$5&gt;=3),"S5363","")</f>
        <v/>
      </c>
      <c r="B5364" t="str">
        <f>IF(AND(FORSIDE!$B$8&gt;=1,FORSIDE!$F$8&gt;=5,FORSIDE!$B$5&gt;=3),"939 -&gt; 1170","")</f>
        <v/>
      </c>
      <c r="C5364" t="str">
        <f>FORSIDE!$C$3</f>
        <v>S355, Stål / VFHUP 140x140x8.0</v>
      </c>
    </row>
    <row r="5365" spans="1:3" x14ac:dyDescent="0.3">
      <c r="A5365" t="str">
        <f>IF(AND(FORSIDE!$B$8&gt;=1,FORSIDE!$F$8&gt;=5,FORSIDE!$B$5&gt;=4),"S5364","")</f>
        <v/>
      </c>
      <c r="B5365" t="str">
        <f>IF(AND(FORSIDE!$B$8&gt;=1,FORSIDE!$F$8&gt;=5,FORSIDE!$B$5&gt;=4),"940 -&gt; 1171","")</f>
        <v/>
      </c>
      <c r="C5365" t="str">
        <f>FORSIDE!$C$3</f>
        <v>S355, Stål / VFHUP 140x140x8.0</v>
      </c>
    </row>
    <row r="5366" spans="1:3" x14ac:dyDescent="0.3">
      <c r="A5366" t="str">
        <f>IF(AND(FORSIDE!$B$8&gt;=1,FORSIDE!$F$8&gt;=5,FORSIDE!$B$5&gt;=5),"S5365","")</f>
        <v/>
      </c>
      <c r="B5366" t="str">
        <f>IF(AND(FORSIDE!$B$8&gt;=1,FORSIDE!$F$8&gt;=5,FORSIDE!$B$5&gt;=5),"941 -&gt; 1172","")</f>
        <v/>
      </c>
      <c r="C5366" t="str">
        <f>FORSIDE!$C$3</f>
        <v>S355, Stål / VFHUP 140x140x8.0</v>
      </c>
    </row>
    <row r="5367" spans="1:3" x14ac:dyDescent="0.3">
      <c r="A5367" t="str">
        <f>IF(AND(FORSIDE!$B$8&gt;=1,FORSIDE!$F$8&gt;=5,FORSIDE!$B$5&gt;=6),"S5366","")</f>
        <v/>
      </c>
      <c r="B5367" t="str">
        <f>IF(AND(FORSIDE!$B$8&gt;=1,FORSIDE!$F$8&gt;=5,FORSIDE!$B$5&gt;=6),"942 -&gt; 1173","")</f>
        <v/>
      </c>
      <c r="C5367" t="str">
        <f>FORSIDE!$C$3</f>
        <v>S355, Stål / VFHUP 140x140x8.0</v>
      </c>
    </row>
    <row r="5368" spans="1:3" x14ac:dyDescent="0.3">
      <c r="A5368" t="str">
        <f>IF(AND(FORSIDE!$B$8&gt;=1,FORSIDE!$F$8&gt;=5,FORSIDE!$B$5&gt;=7),"S5367","")</f>
        <v/>
      </c>
      <c r="B5368" t="str">
        <f>IF(AND(FORSIDE!$B$8&gt;=1,FORSIDE!$F$8&gt;=5,FORSIDE!$B$5&gt;=7),"943 -&gt; 1174","")</f>
        <v/>
      </c>
      <c r="C5368" t="str">
        <f>FORSIDE!$C$3</f>
        <v>S355, Stål / VFHUP 140x140x8.0</v>
      </c>
    </row>
    <row r="5369" spans="1:3" x14ac:dyDescent="0.3">
      <c r="A5369" t="str">
        <f>IF(AND(FORSIDE!$B$8&gt;=1,FORSIDE!$F$8&gt;=5,FORSIDE!$B$5&gt;=8),"S5368","")</f>
        <v/>
      </c>
      <c r="B5369" t="str">
        <f>IF(AND(FORSIDE!$B$8&gt;=1,FORSIDE!$F$8&gt;=5,FORSIDE!$B$5&gt;=8),"944 -&gt; 1175","")</f>
        <v/>
      </c>
      <c r="C5369" t="str">
        <f>FORSIDE!$C$3</f>
        <v>S355, Stål / VFHUP 140x140x8.0</v>
      </c>
    </row>
    <row r="5370" spans="1:3" x14ac:dyDescent="0.3">
      <c r="A5370" t="str">
        <f>IF(AND(FORSIDE!$B$8&gt;=1,FORSIDE!$F$8&gt;=5,FORSIDE!$B$5&gt;=9),"S5369","")</f>
        <v/>
      </c>
      <c r="B5370" t="str">
        <f>IF(AND(FORSIDE!$B$8&gt;=1,FORSIDE!$F$8&gt;=5,FORSIDE!$B$5&gt;=9),"945 -&gt; 1176","")</f>
        <v/>
      </c>
      <c r="C5370" t="str">
        <f>FORSIDE!$C$3</f>
        <v>S355, Stål / VFHUP 140x140x8.0</v>
      </c>
    </row>
    <row r="5371" spans="1:3" x14ac:dyDescent="0.3">
      <c r="A5371" t="str">
        <f>IF(AND(FORSIDE!$B$8&gt;=1,FORSIDE!$F$8&gt;=5,FORSIDE!$B$5&gt;=10),"S5370","")</f>
        <v/>
      </c>
      <c r="B5371" t="str">
        <f>IF(AND(FORSIDE!$B$8&gt;=1,FORSIDE!$F$8&gt;=5,FORSIDE!$B$5&gt;=10),"946 -&gt; 1177","")</f>
        <v/>
      </c>
      <c r="C5371" t="str">
        <f>FORSIDE!$C$3</f>
        <v>S355, Stål / VFHUP 140x140x8.0</v>
      </c>
    </row>
    <row r="5372" spans="1:3" x14ac:dyDescent="0.3">
      <c r="A5372" t="str">
        <f>IF(AND(FORSIDE!$B$8&gt;=2,FORSIDE!$F$8&gt;=5,FORSIDE!$B$5&gt;=1),"S5371","")</f>
        <v/>
      </c>
      <c r="B5372" t="str">
        <f>IF(AND(FORSIDE!$B$8&gt;=2,FORSIDE!$F$8&gt;=5,FORSIDE!$B$5&gt;=1),"948 -&gt; 1179","")</f>
        <v/>
      </c>
      <c r="C5372" t="str">
        <f>FORSIDE!$C$3</f>
        <v>S355, Stål / VFHUP 140x140x8.0</v>
      </c>
    </row>
    <row r="5373" spans="1:3" x14ac:dyDescent="0.3">
      <c r="A5373" t="str">
        <f>IF(AND(FORSIDE!$B$8&gt;=2,FORSIDE!$F$8&gt;=5,FORSIDE!$B$5&gt;=2),"S5372","")</f>
        <v/>
      </c>
      <c r="B5373" t="str">
        <f>IF(AND(FORSIDE!$B$8&gt;=2,FORSIDE!$F$8&gt;=5,FORSIDE!$B$5&gt;=2),"949 -&gt; 1180","")</f>
        <v/>
      </c>
      <c r="C5373" t="str">
        <f>FORSIDE!$C$3</f>
        <v>S355, Stål / VFHUP 140x140x8.0</v>
      </c>
    </row>
    <row r="5374" spans="1:3" x14ac:dyDescent="0.3">
      <c r="A5374" t="str">
        <f>IF(AND(FORSIDE!$B$8&gt;=2,FORSIDE!$F$8&gt;=5,FORSIDE!$B$5&gt;=3),"S5373","")</f>
        <v/>
      </c>
      <c r="B5374" t="str">
        <f>IF(AND(FORSIDE!$B$8&gt;=2,FORSIDE!$F$8&gt;=5,FORSIDE!$B$5&gt;=3),"950 -&gt; 1181","")</f>
        <v/>
      </c>
      <c r="C5374" t="str">
        <f>FORSIDE!$C$3</f>
        <v>S355, Stål / VFHUP 140x140x8.0</v>
      </c>
    </row>
    <row r="5375" spans="1:3" x14ac:dyDescent="0.3">
      <c r="A5375" t="str">
        <f>IF(AND(FORSIDE!$B$8&gt;=2,FORSIDE!$F$8&gt;=5,FORSIDE!$B$5&gt;=4),"S5374","")</f>
        <v/>
      </c>
      <c r="B5375" t="str">
        <f>IF(AND(FORSIDE!$B$8&gt;=2,FORSIDE!$F$8&gt;=5,FORSIDE!$B$5&gt;=4),"951 -&gt; 1182","")</f>
        <v/>
      </c>
      <c r="C5375" t="str">
        <f>FORSIDE!$C$3</f>
        <v>S355, Stål / VFHUP 140x140x8.0</v>
      </c>
    </row>
    <row r="5376" spans="1:3" x14ac:dyDescent="0.3">
      <c r="A5376" t="str">
        <f>IF(AND(FORSIDE!$B$8&gt;=2,FORSIDE!$F$8&gt;=5,FORSIDE!$B$5&gt;=5),"S5375","")</f>
        <v/>
      </c>
      <c r="B5376" t="str">
        <f>IF(AND(FORSIDE!$B$8&gt;=2,FORSIDE!$F$8&gt;=5,FORSIDE!$B$5&gt;=5),"952 -&gt; 1183","")</f>
        <v/>
      </c>
      <c r="C5376" t="str">
        <f>FORSIDE!$C$3</f>
        <v>S355, Stål / VFHUP 140x140x8.0</v>
      </c>
    </row>
    <row r="5377" spans="1:3" x14ac:dyDescent="0.3">
      <c r="A5377" t="str">
        <f>IF(AND(FORSIDE!$B$8&gt;=2,FORSIDE!$F$8&gt;=5,FORSIDE!$B$5&gt;=6),"S5376","")</f>
        <v/>
      </c>
      <c r="B5377" t="str">
        <f>IF(AND(FORSIDE!$B$8&gt;=2,FORSIDE!$F$8&gt;=5,FORSIDE!$B$5&gt;=6),"953 -&gt; 1184","")</f>
        <v/>
      </c>
      <c r="C5377" t="str">
        <f>FORSIDE!$C$3</f>
        <v>S355, Stål / VFHUP 140x140x8.0</v>
      </c>
    </row>
    <row r="5378" spans="1:3" x14ac:dyDescent="0.3">
      <c r="A5378" t="str">
        <f>IF(AND(FORSIDE!$B$8&gt;=2,FORSIDE!$F$8&gt;=5,FORSIDE!$B$5&gt;=7),"S5377","")</f>
        <v/>
      </c>
      <c r="B5378" t="str">
        <f>IF(AND(FORSIDE!$B$8&gt;=2,FORSIDE!$F$8&gt;=5,FORSIDE!$B$5&gt;=7),"954 -&gt; 1185","")</f>
        <v/>
      </c>
      <c r="C5378" t="str">
        <f>FORSIDE!$C$3</f>
        <v>S355, Stål / VFHUP 140x140x8.0</v>
      </c>
    </row>
    <row r="5379" spans="1:3" x14ac:dyDescent="0.3">
      <c r="A5379" t="str">
        <f>IF(AND(FORSIDE!$B$8&gt;=2,FORSIDE!$F$8&gt;=5,FORSIDE!$B$5&gt;=8),"S5378","")</f>
        <v/>
      </c>
      <c r="B5379" t="str">
        <f>IF(AND(FORSIDE!$B$8&gt;=2,FORSIDE!$F$8&gt;=5,FORSIDE!$B$5&gt;=8),"955 -&gt; 1186","")</f>
        <v/>
      </c>
      <c r="C5379" t="str">
        <f>FORSIDE!$C$3</f>
        <v>S355, Stål / VFHUP 140x140x8.0</v>
      </c>
    </row>
    <row r="5380" spans="1:3" x14ac:dyDescent="0.3">
      <c r="A5380" t="str">
        <f>IF(AND(FORSIDE!$B$8&gt;=2,FORSIDE!$F$8&gt;=5,FORSIDE!$B$5&gt;=9),"S5379","")</f>
        <v/>
      </c>
      <c r="B5380" t="str">
        <f>IF(AND(FORSIDE!$B$8&gt;=2,FORSIDE!$F$8&gt;=5,FORSIDE!$B$5&gt;=9),"956 -&gt; 1187","")</f>
        <v/>
      </c>
      <c r="C5380" t="str">
        <f>FORSIDE!$C$3</f>
        <v>S355, Stål / VFHUP 140x140x8.0</v>
      </c>
    </row>
    <row r="5381" spans="1:3" x14ac:dyDescent="0.3">
      <c r="A5381" t="str">
        <f>IF(AND(FORSIDE!$B$8&gt;=2,FORSIDE!$F$8&gt;=5,FORSIDE!$B$5&gt;=10),"S5380","")</f>
        <v/>
      </c>
      <c r="B5381" t="str">
        <f>IF(AND(FORSIDE!$B$8&gt;=2,FORSIDE!$F$8&gt;=5,FORSIDE!$B$5&gt;=10),"957 -&gt; 1188","")</f>
        <v/>
      </c>
      <c r="C5381" t="str">
        <f>FORSIDE!$C$3</f>
        <v>S355, Stål / VFHUP 140x140x8.0</v>
      </c>
    </row>
    <row r="5382" spans="1:3" x14ac:dyDescent="0.3">
      <c r="A5382" t="str">
        <f>IF(AND(FORSIDE!$B$8&gt;=3,FORSIDE!$F$8&gt;=5,FORSIDE!$B$5&gt;=1),"S5381","")</f>
        <v/>
      </c>
      <c r="B5382" t="str">
        <f>IF(AND(FORSIDE!$B$8&gt;=3,FORSIDE!$F$8&gt;=5,FORSIDE!$B$5&gt;=1),"959 -&gt; 1190","")</f>
        <v/>
      </c>
      <c r="C5382" t="str">
        <f>FORSIDE!$C$3</f>
        <v>S355, Stål / VFHUP 140x140x8.0</v>
      </c>
    </row>
    <row r="5383" spans="1:3" x14ac:dyDescent="0.3">
      <c r="A5383" t="str">
        <f>IF(AND(FORSIDE!$B$8&gt;=3,FORSIDE!$F$8&gt;=5,FORSIDE!$B$5&gt;=2),"S5382","")</f>
        <v/>
      </c>
      <c r="B5383" t="str">
        <f>IF(AND(FORSIDE!$B$8&gt;=3,FORSIDE!$F$8&gt;=5,FORSIDE!$B$5&gt;=2),"960 -&gt; 1191","")</f>
        <v/>
      </c>
      <c r="C5383" t="str">
        <f>FORSIDE!$C$3</f>
        <v>S355, Stål / VFHUP 140x140x8.0</v>
      </c>
    </row>
    <row r="5384" spans="1:3" x14ac:dyDescent="0.3">
      <c r="A5384" t="str">
        <f>IF(AND(FORSIDE!$B$8&gt;=3,FORSIDE!$F$8&gt;=5,FORSIDE!$B$5&gt;=3),"S5383","")</f>
        <v/>
      </c>
      <c r="B5384" t="str">
        <f>IF(AND(FORSIDE!$B$8&gt;=3,FORSIDE!$F$8&gt;=5,FORSIDE!$B$5&gt;=3),"961 -&gt; 1192","")</f>
        <v/>
      </c>
      <c r="C5384" t="str">
        <f>FORSIDE!$C$3</f>
        <v>S355, Stål / VFHUP 140x140x8.0</v>
      </c>
    </row>
    <row r="5385" spans="1:3" x14ac:dyDescent="0.3">
      <c r="A5385" t="str">
        <f>IF(AND(FORSIDE!$B$8&gt;=3,FORSIDE!$F$8&gt;=5,FORSIDE!$B$5&gt;=4),"S5384","")</f>
        <v/>
      </c>
      <c r="B5385" t="str">
        <f>IF(AND(FORSIDE!$B$8&gt;=3,FORSIDE!$F$8&gt;=5,FORSIDE!$B$5&gt;=4),"962 -&gt; 1193","")</f>
        <v/>
      </c>
      <c r="C5385" t="str">
        <f>FORSIDE!$C$3</f>
        <v>S355, Stål / VFHUP 140x140x8.0</v>
      </c>
    </row>
    <row r="5386" spans="1:3" x14ac:dyDescent="0.3">
      <c r="A5386" t="str">
        <f>IF(AND(FORSIDE!$B$8&gt;=3,FORSIDE!$F$8&gt;=5,FORSIDE!$B$5&gt;=5),"S5385","")</f>
        <v/>
      </c>
      <c r="B5386" t="str">
        <f>IF(AND(FORSIDE!$B$8&gt;=3,FORSIDE!$F$8&gt;=5,FORSIDE!$B$5&gt;=5),"963 -&gt; 1194","")</f>
        <v/>
      </c>
      <c r="C5386" t="str">
        <f>FORSIDE!$C$3</f>
        <v>S355, Stål / VFHUP 140x140x8.0</v>
      </c>
    </row>
    <row r="5387" spans="1:3" x14ac:dyDescent="0.3">
      <c r="A5387" t="str">
        <f>IF(AND(FORSIDE!$B$8&gt;=3,FORSIDE!$F$8&gt;=5,FORSIDE!$B$5&gt;=6),"S5386","")</f>
        <v/>
      </c>
      <c r="B5387" t="str">
        <f>IF(AND(FORSIDE!$B$8&gt;=3,FORSIDE!$F$8&gt;=5,FORSIDE!$B$5&gt;=6),"964 -&gt; 1195","")</f>
        <v/>
      </c>
      <c r="C5387" t="str">
        <f>FORSIDE!$C$3</f>
        <v>S355, Stål / VFHUP 140x140x8.0</v>
      </c>
    </row>
    <row r="5388" spans="1:3" x14ac:dyDescent="0.3">
      <c r="A5388" t="str">
        <f>IF(AND(FORSIDE!$B$8&gt;=3,FORSIDE!$F$8&gt;=5,FORSIDE!$B$5&gt;=7),"S5387","")</f>
        <v/>
      </c>
      <c r="B5388" t="str">
        <f>IF(AND(FORSIDE!$B$8&gt;=3,FORSIDE!$F$8&gt;=5,FORSIDE!$B$5&gt;=7),"965 -&gt; 1196","")</f>
        <v/>
      </c>
      <c r="C5388" t="str">
        <f>FORSIDE!$C$3</f>
        <v>S355, Stål / VFHUP 140x140x8.0</v>
      </c>
    </row>
    <row r="5389" spans="1:3" x14ac:dyDescent="0.3">
      <c r="A5389" t="str">
        <f>IF(AND(FORSIDE!$B$8&gt;=3,FORSIDE!$F$8&gt;=5,FORSIDE!$B$5&gt;=8),"S5388","")</f>
        <v/>
      </c>
      <c r="B5389" t="str">
        <f>IF(AND(FORSIDE!$B$8&gt;=3,FORSIDE!$F$8&gt;=5,FORSIDE!$B$5&gt;=8),"966 -&gt; 1197","")</f>
        <v/>
      </c>
      <c r="C5389" t="str">
        <f>FORSIDE!$C$3</f>
        <v>S355, Stål / VFHUP 140x140x8.0</v>
      </c>
    </row>
    <row r="5390" spans="1:3" x14ac:dyDescent="0.3">
      <c r="A5390" t="str">
        <f>IF(AND(FORSIDE!$B$8&gt;=3,FORSIDE!$F$8&gt;=5,FORSIDE!$B$5&gt;=9),"S5389","")</f>
        <v/>
      </c>
      <c r="B5390" t="str">
        <f>IF(AND(FORSIDE!$B$8&gt;=3,FORSIDE!$F$8&gt;=5,FORSIDE!$B$5&gt;=9),"967 -&gt; 1198","")</f>
        <v/>
      </c>
      <c r="C5390" t="str">
        <f>FORSIDE!$C$3</f>
        <v>S355, Stål / VFHUP 140x140x8.0</v>
      </c>
    </row>
    <row r="5391" spans="1:3" x14ac:dyDescent="0.3">
      <c r="A5391" t="str">
        <f>IF(AND(FORSIDE!$B$8&gt;=3,FORSIDE!$F$8&gt;=5,FORSIDE!$B$5&gt;=10),"S5390","")</f>
        <v/>
      </c>
      <c r="B5391" t="str">
        <f>IF(AND(FORSIDE!$B$8&gt;=3,FORSIDE!$F$8&gt;=5,FORSIDE!$B$5&gt;=10),"968 -&gt; 1199","")</f>
        <v/>
      </c>
      <c r="C5391" t="str">
        <f>FORSIDE!$C$3</f>
        <v>S355, Stål / VFHUP 140x140x8.0</v>
      </c>
    </row>
    <row r="5392" spans="1:3" x14ac:dyDescent="0.3">
      <c r="A5392" t="str">
        <f>IF(AND(FORSIDE!$B$8&gt;=4,FORSIDE!$F$8&gt;=5,FORSIDE!$B$5&gt;=1),"S5391","")</f>
        <v/>
      </c>
      <c r="B5392" t="str">
        <f>IF(AND(FORSIDE!$B$8&gt;=4,FORSIDE!$F$8&gt;=5,FORSIDE!$B$5&gt;=1),"970 -&gt; 1201","")</f>
        <v/>
      </c>
      <c r="C5392" t="str">
        <f>FORSIDE!$C$3</f>
        <v>S355, Stål / VFHUP 140x140x8.0</v>
      </c>
    </row>
    <row r="5393" spans="1:3" x14ac:dyDescent="0.3">
      <c r="A5393" t="str">
        <f>IF(AND(FORSIDE!$B$8&gt;=4,FORSIDE!$F$8&gt;=5,FORSIDE!$B$5&gt;=2),"S5392","")</f>
        <v/>
      </c>
      <c r="B5393" t="str">
        <f>IF(AND(FORSIDE!$B$8&gt;=4,FORSIDE!$F$8&gt;=5,FORSIDE!$B$5&gt;=2),"971 -&gt; 1202","")</f>
        <v/>
      </c>
      <c r="C5393" t="str">
        <f>FORSIDE!$C$3</f>
        <v>S355, Stål / VFHUP 140x140x8.0</v>
      </c>
    </row>
    <row r="5394" spans="1:3" x14ac:dyDescent="0.3">
      <c r="A5394" t="str">
        <f>IF(AND(FORSIDE!$B$8&gt;=4,FORSIDE!$F$8&gt;=5,FORSIDE!$B$5&gt;=3),"S5393","")</f>
        <v/>
      </c>
      <c r="B5394" t="str">
        <f>IF(AND(FORSIDE!$B$8&gt;=4,FORSIDE!$F$8&gt;=5,FORSIDE!$B$5&gt;=3),"972 -&gt; 1203","")</f>
        <v/>
      </c>
      <c r="C5394" t="str">
        <f>FORSIDE!$C$3</f>
        <v>S355, Stål / VFHUP 140x140x8.0</v>
      </c>
    </row>
    <row r="5395" spans="1:3" x14ac:dyDescent="0.3">
      <c r="A5395" t="str">
        <f>IF(AND(FORSIDE!$B$8&gt;=4,FORSIDE!$F$8&gt;=5,FORSIDE!$B$5&gt;=4),"S5394","")</f>
        <v/>
      </c>
      <c r="B5395" t="str">
        <f>IF(AND(FORSIDE!$B$8&gt;=4,FORSIDE!$F$8&gt;=5,FORSIDE!$B$5&gt;=4),"973 -&gt; 1204","")</f>
        <v/>
      </c>
      <c r="C5395" t="str">
        <f>FORSIDE!$C$3</f>
        <v>S355, Stål / VFHUP 140x140x8.0</v>
      </c>
    </row>
    <row r="5396" spans="1:3" x14ac:dyDescent="0.3">
      <c r="A5396" t="str">
        <f>IF(AND(FORSIDE!$B$8&gt;=4,FORSIDE!$F$8&gt;=5,FORSIDE!$B$5&gt;=5),"S5395","")</f>
        <v/>
      </c>
      <c r="B5396" t="str">
        <f>IF(AND(FORSIDE!$B$8&gt;=4,FORSIDE!$F$8&gt;=5,FORSIDE!$B$5&gt;=5),"974 -&gt; 1205","")</f>
        <v/>
      </c>
      <c r="C5396" t="str">
        <f>FORSIDE!$C$3</f>
        <v>S355, Stål / VFHUP 140x140x8.0</v>
      </c>
    </row>
    <row r="5397" spans="1:3" x14ac:dyDescent="0.3">
      <c r="A5397" t="str">
        <f>IF(AND(FORSIDE!$B$8&gt;=4,FORSIDE!$F$8&gt;=5,FORSIDE!$B$5&gt;=6),"S5396","")</f>
        <v/>
      </c>
      <c r="B5397" t="str">
        <f>IF(AND(FORSIDE!$B$8&gt;=4,FORSIDE!$F$8&gt;=5,FORSIDE!$B$5&gt;=6),"975 -&gt; 1206","")</f>
        <v/>
      </c>
      <c r="C5397" t="str">
        <f>FORSIDE!$C$3</f>
        <v>S355, Stål / VFHUP 140x140x8.0</v>
      </c>
    </row>
    <row r="5398" spans="1:3" x14ac:dyDescent="0.3">
      <c r="A5398" t="str">
        <f>IF(AND(FORSIDE!$B$8&gt;=4,FORSIDE!$F$8&gt;=5,FORSIDE!$B$5&gt;=7),"S5397","")</f>
        <v/>
      </c>
      <c r="B5398" t="str">
        <f>IF(AND(FORSIDE!$B$8&gt;=4,FORSIDE!$F$8&gt;=5,FORSIDE!$B$5&gt;=7),"976 -&gt; 1207","")</f>
        <v/>
      </c>
      <c r="C5398" t="str">
        <f>FORSIDE!$C$3</f>
        <v>S355, Stål / VFHUP 140x140x8.0</v>
      </c>
    </row>
    <row r="5399" spans="1:3" x14ac:dyDescent="0.3">
      <c r="A5399" t="str">
        <f>IF(AND(FORSIDE!$B$8&gt;=4,FORSIDE!$F$8&gt;=5,FORSIDE!$B$5&gt;=8),"S5398","")</f>
        <v/>
      </c>
      <c r="B5399" t="str">
        <f>IF(AND(FORSIDE!$B$8&gt;=4,FORSIDE!$F$8&gt;=5,FORSIDE!$B$5&gt;=8),"977 -&gt; 1208","")</f>
        <v/>
      </c>
      <c r="C5399" t="str">
        <f>FORSIDE!$C$3</f>
        <v>S355, Stål / VFHUP 140x140x8.0</v>
      </c>
    </row>
    <row r="5400" spans="1:3" x14ac:dyDescent="0.3">
      <c r="A5400" t="str">
        <f>IF(AND(FORSIDE!$B$8&gt;=4,FORSIDE!$F$8&gt;=5,FORSIDE!$B$5&gt;=9),"S5399","")</f>
        <v/>
      </c>
      <c r="B5400" t="str">
        <f>IF(AND(FORSIDE!$B$8&gt;=4,FORSIDE!$F$8&gt;=5,FORSIDE!$B$5&gt;=9),"978 -&gt; 1209","")</f>
        <v/>
      </c>
      <c r="C5400" t="str">
        <f>FORSIDE!$C$3</f>
        <v>S355, Stål / VFHUP 140x140x8.0</v>
      </c>
    </row>
    <row r="5401" spans="1:3" x14ac:dyDescent="0.3">
      <c r="A5401" t="str">
        <f>IF(AND(FORSIDE!$B$8&gt;=4,FORSIDE!$F$8&gt;=5,FORSIDE!$B$5&gt;=10),"S5400","")</f>
        <v/>
      </c>
      <c r="B5401" t="str">
        <f>IF(AND(FORSIDE!$B$8&gt;=4,FORSIDE!$F$8&gt;=5,FORSIDE!$B$5&gt;=10),"979 -&gt; 1210","")</f>
        <v/>
      </c>
      <c r="C5401" t="str">
        <f>FORSIDE!$C$3</f>
        <v>S355, Stål / VFHUP 140x140x8.0</v>
      </c>
    </row>
    <row r="5402" spans="1:3" x14ac:dyDescent="0.3">
      <c r="A5402" t="str">
        <f>IF(AND(FORSIDE!$B$8&gt;=5,FORSIDE!$F$8&gt;=5,FORSIDE!$B$5&gt;=1),"S5401","")</f>
        <v/>
      </c>
      <c r="B5402" t="str">
        <f>IF(AND(FORSIDE!$B$8&gt;=5,FORSIDE!$F$8&gt;=5,FORSIDE!$B$5&gt;=1),"981 -&gt; 1212","")</f>
        <v/>
      </c>
      <c r="C5402" t="str">
        <f>FORSIDE!$C$3</f>
        <v>S355, Stål / VFHUP 140x140x8.0</v>
      </c>
    </row>
    <row r="5403" spans="1:3" x14ac:dyDescent="0.3">
      <c r="A5403" t="str">
        <f>IF(AND(FORSIDE!$B$8&gt;=5,FORSIDE!$F$8&gt;=5,FORSIDE!$B$5&gt;=2),"S5402","")</f>
        <v/>
      </c>
      <c r="B5403" t="str">
        <f>IF(AND(FORSIDE!$B$8&gt;=5,FORSIDE!$F$8&gt;=5,FORSIDE!$B$5&gt;=2),"982 -&gt; 1213","")</f>
        <v/>
      </c>
      <c r="C5403" t="str">
        <f>FORSIDE!$C$3</f>
        <v>S355, Stål / VFHUP 140x140x8.0</v>
      </c>
    </row>
    <row r="5404" spans="1:3" x14ac:dyDescent="0.3">
      <c r="A5404" t="str">
        <f>IF(AND(FORSIDE!$B$8&gt;=5,FORSIDE!$F$8&gt;=5,FORSIDE!$B$5&gt;=3),"S5403","")</f>
        <v/>
      </c>
      <c r="B5404" t="str">
        <f>IF(AND(FORSIDE!$B$8&gt;=5,FORSIDE!$F$8&gt;=5,FORSIDE!$B$5&gt;=3),"983 -&gt; 1214","")</f>
        <v/>
      </c>
      <c r="C5404" t="str">
        <f>FORSIDE!$C$3</f>
        <v>S355, Stål / VFHUP 140x140x8.0</v>
      </c>
    </row>
    <row r="5405" spans="1:3" x14ac:dyDescent="0.3">
      <c r="A5405" t="str">
        <f>IF(AND(FORSIDE!$B$8&gt;=5,FORSIDE!$F$8&gt;=5,FORSIDE!$B$5&gt;=4),"S5404","")</f>
        <v/>
      </c>
      <c r="B5405" t="str">
        <f>IF(AND(FORSIDE!$B$8&gt;=5,FORSIDE!$F$8&gt;=5,FORSIDE!$B$5&gt;=4),"984 -&gt; 1215","")</f>
        <v/>
      </c>
      <c r="C5405" t="str">
        <f>FORSIDE!$C$3</f>
        <v>S355, Stål / VFHUP 140x140x8.0</v>
      </c>
    </row>
    <row r="5406" spans="1:3" x14ac:dyDescent="0.3">
      <c r="A5406" t="str">
        <f>IF(AND(FORSIDE!$B$8&gt;=5,FORSIDE!$F$8&gt;=5,FORSIDE!$B$5&gt;=5),"S5405","")</f>
        <v/>
      </c>
      <c r="B5406" t="str">
        <f>IF(AND(FORSIDE!$B$8&gt;=5,FORSIDE!$F$8&gt;=5,FORSIDE!$B$5&gt;=5),"985 -&gt; 1216","")</f>
        <v/>
      </c>
      <c r="C5406" t="str">
        <f>FORSIDE!$C$3</f>
        <v>S355, Stål / VFHUP 140x140x8.0</v>
      </c>
    </row>
    <row r="5407" spans="1:3" x14ac:dyDescent="0.3">
      <c r="A5407" t="str">
        <f>IF(AND(FORSIDE!$B$8&gt;=5,FORSIDE!$F$8&gt;=5,FORSIDE!$B$5&gt;=6),"S5406","")</f>
        <v/>
      </c>
      <c r="B5407" t="str">
        <f>IF(AND(FORSIDE!$B$8&gt;=5,FORSIDE!$F$8&gt;=5,FORSIDE!$B$5&gt;=6),"986 -&gt; 1217","")</f>
        <v/>
      </c>
      <c r="C5407" t="str">
        <f>FORSIDE!$C$3</f>
        <v>S355, Stål / VFHUP 140x140x8.0</v>
      </c>
    </row>
    <row r="5408" spans="1:3" x14ac:dyDescent="0.3">
      <c r="A5408" t="str">
        <f>IF(AND(FORSIDE!$B$8&gt;=5,FORSIDE!$F$8&gt;=5,FORSIDE!$B$5&gt;=7),"S5407","")</f>
        <v/>
      </c>
      <c r="B5408" t="str">
        <f>IF(AND(FORSIDE!$B$8&gt;=5,FORSIDE!$F$8&gt;=5,FORSIDE!$B$5&gt;=7),"987 -&gt; 1218","")</f>
        <v/>
      </c>
      <c r="C5408" t="str">
        <f>FORSIDE!$C$3</f>
        <v>S355, Stål / VFHUP 140x140x8.0</v>
      </c>
    </row>
    <row r="5409" spans="1:3" x14ac:dyDescent="0.3">
      <c r="A5409" t="str">
        <f>IF(AND(FORSIDE!$B$8&gt;=5,FORSIDE!$F$8&gt;=5,FORSIDE!$B$5&gt;=8),"S5408","")</f>
        <v/>
      </c>
      <c r="B5409" t="str">
        <f>IF(AND(FORSIDE!$B$8&gt;=5,FORSIDE!$F$8&gt;=5,FORSIDE!$B$5&gt;=8),"988 -&gt; 1219","")</f>
        <v/>
      </c>
      <c r="C5409" t="str">
        <f>FORSIDE!$C$3</f>
        <v>S355, Stål / VFHUP 140x140x8.0</v>
      </c>
    </row>
    <row r="5410" spans="1:3" x14ac:dyDescent="0.3">
      <c r="A5410" t="str">
        <f>IF(AND(FORSIDE!$B$8&gt;=5,FORSIDE!$F$8&gt;=5,FORSIDE!$B$5&gt;=9),"S5409","")</f>
        <v/>
      </c>
      <c r="B5410" t="str">
        <f>IF(AND(FORSIDE!$B$8&gt;=5,FORSIDE!$F$8&gt;=5,FORSIDE!$B$5&gt;=9),"989 -&gt; 1220","")</f>
        <v/>
      </c>
      <c r="C5410" t="str">
        <f>FORSIDE!$C$3</f>
        <v>S355, Stål / VFHUP 140x140x8.0</v>
      </c>
    </row>
    <row r="5411" spans="1:3" x14ac:dyDescent="0.3">
      <c r="A5411" t="str">
        <f>IF(AND(FORSIDE!$B$8&gt;=5,FORSIDE!$F$8&gt;=5,FORSIDE!$B$5&gt;=10),"S5410","")</f>
        <v/>
      </c>
      <c r="B5411" t="str">
        <f>IF(AND(FORSIDE!$B$8&gt;=5,FORSIDE!$F$8&gt;=5,FORSIDE!$B$5&gt;=10),"990 -&gt; 1221","")</f>
        <v/>
      </c>
      <c r="C5411" t="str">
        <f>FORSIDE!$C$3</f>
        <v>S355, Stål / VFHUP 140x140x8.0</v>
      </c>
    </row>
    <row r="5412" spans="1:3" x14ac:dyDescent="0.3">
      <c r="A5412" t="str">
        <f>IF(AND(FORSIDE!$B$8&gt;=6,FORSIDE!$F$8&gt;=5,FORSIDE!$B$5&gt;=1),"S5411","")</f>
        <v/>
      </c>
      <c r="B5412" t="str">
        <f>IF(AND(FORSIDE!$B$8&gt;=6,FORSIDE!$F$8&gt;=5,FORSIDE!$B$5&gt;=1),"992 -&gt; 1223","")</f>
        <v/>
      </c>
      <c r="C5412" t="str">
        <f>FORSIDE!$C$3</f>
        <v>S355, Stål / VFHUP 140x140x8.0</v>
      </c>
    </row>
    <row r="5413" spans="1:3" x14ac:dyDescent="0.3">
      <c r="A5413" t="str">
        <f>IF(AND(FORSIDE!$B$8&gt;=6,FORSIDE!$F$8&gt;=5,FORSIDE!$B$5&gt;=2),"S5412","")</f>
        <v/>
      </c>
      <c r="B5413" t="str">
        <f>IF(AND(FORSIDE!$B$8&gt;=6,FORSIDE!$F$8&gt;=5,FORSIDE!$B$5&gt;=2),"993 -&gt; 1224","")</f>
        <v/>
      </c>
      <c r="C5413" t="str">
        <f>FORSIDE!$C$3</f>
        <v>S355, Stål / VFHUP 140x140x8.0</v>
      </c>
    </row>
    <row r="5414" spans="1:3" x14ac:dyDescent="0.3">
      <c r="A5414" t="str">
        <f>IF(AND(FORSIDE!$B$8&gt;=6,FORSIDE!$F$8&gt;=5,FORSIDE!$B$5&gt;=3),"S5413","")</f>
        <v/>
      </c>
      <c r="B5414" t="str">
        <f>IF(AND(FORSIDE!$B$8&gt;=6,FORSIDE!$F$8&gt;=5,FORSIDE!$B$5&gt;=3),"994 -&gt; 1225","")</f>
        <v/>
      </c>
      <c r="C5414" t="str">
        <f>FORSIDE!$C$3</f>
        <v>S355, Stål / VFHUP 140x140x8.0</v>
      </c>
    </row>
    <row r="5415" spans="1:3" x14ac:dyDescent="0.3">
      <c r="A5415" t="str">
        <f>IF(AND(FORSIDE!$B$8&gt;=6,FORSIDE!$F$8&gt;=5,FORSIDE!$B$5&gt;=4),"S5414","")</f>
        <v/>
      </c>
      <c r="B5415" t="str">
        <f>IF(AND(FORSIDE!$B$8&gt;=6,FORSIDE!$F$8&gt;=5,FORSIDE!$B$5&gt;=4),"995 -&gt; 1226","")</f>
        <v/>
      </c>
      <c r="C5415" t="str">
        <f>FORSIDE!$C$3</f>
        <v>S355, Stål / VFHUP 140x140x8.0</v>
      </c>
    </row>
    <row r="5416" spans="1:3" x14ac:dyDescent="0.3">
      <c r="A5416" t="str">
        <f>IF(AND(FORSIDE!$B$8&gt;=6,FORSIDE!$F$8&gt;=5,FORSIDE!$B$5&gt;=5),"S5415","")</f>
        <v/>
      </c>
      <c r="B5416" t="str">
        <f>IF(AND(FORSIDE!$B$8&gt;=6,FORSIDE!$F$8&gt;=5,FORSIDE!$B$5&gt;=5),"996 -&gt; 1227","")</f>
        <v/>
      </c>
      <c r="C5416" t="str">
        <f>FORSIDE!$C$3</f>
        <v>S355, Stål / VFHUP 140x140x8.0</v>
      </c>
    </row>
    <row r="5417" spans="1:3" x14ac:dyDescent="0.3">
      <c r="A5417" t="str">
        <f>IF(AND(FORSIDE!$B$8&gt;=6,FORSIDE!$F$8&gt;=5,FORSIDE!$B$5&gt;=6),"S5416","")</f>
        <v/>
      </c>
      <c r="B5417" t="str">
        <f>IF(AND(FORSIDE!$B$8&gt;=6,FORSIDE!$F$8&gt;=5,FORSIDE!$B$5&gt;=6),"997 -&gt; 1228","")</f>
        <v/>
      </c>
      <c r="C5417" t="str">
        <f>FORSIDE!$C$3</f>
        <v>S355, Stål / VFHUP 140x140x8.0</v>
      </c>
    </row>
    <row r="5418" spans="1:3" x14ac:dyDescent="0.3">
      <c r="A5418" t="str">
        <f>IF(AND(FORSIDE!$B$8&gt;=6,FORSIDE!$F$8&gt;=5,FORSIDE!$B$5&gt;=7),"S5417","")</f>
        <v/>
      </c>
      <c r="B5418" t="str">
        <f>IF(AND(FORSIDE!$B$8&gt;=6,FORSIDE!$F$8&gt;=5,FORSIDE!$B$5&gt;=7),"998 -&gt; 1229","")</f>
        <v/>
      </c>
      <c r="C5418" t="str">
        <f>FORSIDE!$C$3</f>
        <v>S355, Stål / VFHUP 140x140x8.0</v>
      </c>
    </row>
    <row r="5419" spans="1:3" x14ac:dyDescent="0.3">
      <c r="A5419" t="str">
        <f>IF(AND(FORSIDE!$B$8&gt;=6,FORSIDE!$F$8&gt;=5,FORSIDE!$B$5&gt;=8),"S5418","")</f>
        <v/>
      </c>
      <c r="B5419" t="str">
        <f>IF(AND(FORSIDE!$B$8&gt;=6,FORSIDE!$F$8&gt;=5,FORSIDE!$B$5&gt;=8),"999 -&gt; 1230","")</f>
        <v/>
      </c>
      <c r="C5419" t="str">
        <f>FORSIDE!$C$3</f>
        <v>S355, Stål / VFHUP 140x140x8.0</v>
      </c>
    </row>
    <row r="5420" spans="1:3" x14ac:dyDescent="0.3">
      <c r="A5420" t="str">
        <f>IF(AND(FORSIDE!$B$8&gt;=6,FORSIDE!$F$8&gt;=5,FORSIDE!$B$5&gt;=9),"S5419","")</f>
        <v/>
      </c>
      <c r="B5420" t="str">
        <f>IF(AND(FORSIDE!$B$8&gt;=6,FORSIDE!$F$8&gt;=5,FORSIDE!$B$5&gt;=9),"1000 -&gt; 1231","")</f>
        <v/>
      </c>
      <c r="C5420" t="str">
        <f>FORSIDE!$C$3</f>
        <v>S355, Stål / VFHUP 140x140x8.0</v>
      </c>
    </row>
    <row r="5421" spans="1:3" x14ac:dyDescent="0.3">
      <c r="A5421" t="str">
        <f>IF(AND(FORSIDE!$B$8&gt;=6,FORSIDE!$F$8&gt;=5,FORSIDE!$B$5&gt;=10),"S5420","")</f>
        <v/>
      </c>
      <c r="B5421" t="str">
        <f>IF(AND(FORSIDE!$B$8&gt;=6,FORSIDE!$F$8&gt;=5,FORSIDE!$B$5&gt;=10),"1001 -&gt; 1232","")</f>
        <v/>
      </c>
      <c r="C5421" t="str">
        <f>FORSIDE!$C$3</f>
        <v>S355, Stål / VFHUP 140x140x8.0</v>
      </c>
    </row>
    <row r="5422" spans="1:3" x14ac:dyDescent="0.3">
      <c r="A5422" t="str">
        <f>IF(AND(FORSIDE!$B$8&gt;=7,FORSIDE!$F$8&gt;=5,FORSIDE!$B$5&gt;=1),"S5421","")</f>
        <v/>
      </c>
      <c r="B5422" t="str">
        <f>IF(AND(FORSIDE!$B$8&gt;=7,FORSIDE!$F$8&gt;=5,FORSIDE!$B$5&gt;=1),"1003 -&gt; 1234","")</f>
        <v/>
      </c>
      <c r="C5422" t="str">
        <f>FORSIDE!$C$3</f>
        <v>S355, Stål / VFHUP 140x140x8.0</v>
      </c>
    </row>
    <row r="5423" spans="1:3" x14ac:dyDescent="0.3">
      <c r="A5423" t="str">
        <f>IF(AND(FORSIDE!$B$8&gt;=7,FORSIDE!$F$8&gt;=5,FORSIDE!$B$5&gt;=2),"S5422","")</f>
        <v/>
      </c>
      <c r="B5423" t="str">
        <f>IF(AND(FORSIDE!$B$8&gt;=7,FORSIDE!$F$8&gt;=5,FORSIDE!$B$5&gt;=2),"1004 -&gt; 1235","")</f>
        <v/>
      </c>
      <c r="C5423" t="str">
        <f>FORSIDE!$C$3</f>
        <v>S355, Stål / VFHUP 140x140x8.0</v>
      </c>
    </row>
    <row r="5424" spans="1:3" x14ac:dyDescent="0.3">
      <c r="A5424" t="str">
        <f>IF(AND(FORSIDE!$B$8&gt;=7,FORSIDE!$F$8&gt;=5,FORSIDE!$B$5&gt;=3),"S5423","")</f>
        <v/>
      </c>
      <c r="B5424" t="str">
        <f>IF(AND(FORSIDE!$B$8&gt;=7,FORSIDE!$F$8&gt;=5,FORSIDE!$B$5&gt;=3),"1005 -&gt; 1236","")</f>
        <v/>
      </c>
      <c r="C5424" t="str">
        <f>FORSIDE!$C$3</f>
        <v>S355, Stål / VFHUP 140x140x8.0</v>
      </c>
    </row>
    <row r="5425" spans="1:3" x14ac:dyDescent="0.3">
      <c r="A5425" t="str">
        <f>IF(AND(FORSIDE!$B$8&gt;=7,FORSIDE!$F$8&gt;=5,FORSIDE!$B$5&gt;=4),"S5424","")</f>
        <v/>
      </c>
      <c r="B5425" t="str">
        <f>IF(AND(FORSIDE!$B$8&gt;=7,FORSIDE!$F$8&gt;=5,FORSIDE!$B$5&gt;=4),"1006 -&gt; 1237","")</f>
        <v/>
      </c>
      <c r="C5425" t="str">
        <f>FORSIDE!$C$3</f>
        <v>S355, Stål / VFHUP 140x140x8.0</v>
      </c>
    </row>
    <row r="5426" spans="1:3" x14ac:dyDescent="0.3">
      <c r="A5426" t="str">
        <f>IF(AND(FORSIDE!$B$8&gt;=7,FORSIDE!$F$8&gt;=5,FORSIDE!$B$5&gt;=5),"S5425","")</f>
        <v/>
      </c>
      <c r="B5426" t="str">
        <f>IF(AND(FORSIDE!$B$8&gt;=7,FORSIDE!$F$8&gt;=5,FORSIDE!$B$5&gt;=5),"1007 -&gt; 1238","")</f>
        <v/>
      </c>
      <c r="C5426" t="str">
        <f>FORSIDE!$C$3</f>
        <v>S355, Stål / VFHUP 140x140x8.0</v>
      </c>
    </row>
    <row r="5427" spans="1:3" x14ac:dyDescent="0.3">
      <c r="A5427" t="str">
        <f>IF(AND(FORSIDE!$B$8&gt;=7,FORSIDE!$F$8&gt;=5,FORSIDE!$B$5&gt;=6),"S5426","")</f>
        <v/>
      </c>
      <c r="B5427" t="str">
        <f>IF(AND(FORSIDE!$B$8&gt;=7,FORSIDE!$F$8&gt;=5,FORSIDE!$B$5&gt;=6),"1008 -&gt; 1239","")</f>
        <v/>
      </c>
      <c r="C5427" t="str">
        <f>FORSIDE!$C$3</f>
        <v>S355, Stål / VFHUP 140x140x8.0</v>
      </c>
    </row>
    <row r="5428" spans="1:3" x14ac:dyDescent="0.3">
      <c r="A5428" t="str">
        <f>IF(AND(FORSIDE!$B$8&gt;=7,FORSIDE!$F$8&gt;=5,FORSIDE!$B$5&gt;=7),"S5427","")</f>
        <v/>
      </c>
      <c r="B5428" t="str">
        <f>IF(AND(FORSIDE!$B$8&gt;=7,FORSIDE!$F$8&gt;=5,FORSIDE!$B$5&gt;=7),"1009 -&gt; 1240","")</f>
        <v/>
      </c>
      <c r="C5428" t="str">
        <f>FORSIDE!$C$3</f>
        <v>S355, Stål / VFHUP 140x140x8.0</v>
      </c>
    </row>
    <row r="5429" spans="1:3" x14ac:dyDescent="0.3">
      <c r="A5429" t="str">
        <f>IF(AND(FORSIDE!$B$8&gt;=7,FORSIDE!$F$8&gt;=5,FORSIDE!$B$5&gt;=8),"S5428","")</f>
        <v/>
      </c>
      <c r="B5429" t="str">
        <f>IF(AND(FORSIDE!$B$8&gt;=7,FORSIDE!$F$8&gt;=5,FORSIDE!$B$5&gt;=8),"1010 -&gt; 1241","")</f>
        <v/>
      </c>
      <c r="C5429" t="str">
        <f>FORSIDE!$C$3</f>
        <v>S355, Stål / VFHUP 140x140x8.0</v>
      </c>
    </row>
    <row r="5430" spans="1:3" x14ac:dyDescent="0.3">
      <c r="A5430" t="str">
        <f>IF(AND(FORSIDE!$B$8&gt;=7,FORSIDE!$F$8&gt;=5,FORSIDE!$B$5&gt;=9),"S5429","")</f>
        <v/>
      </c>
      <c r="B5430" t="str">
        <f>IF(AND(FORSIDE!$B$8&gt;=7,FORSIDE!$F$8&gt;=5,FORSIDE!$B$5&gt;=9),"1011 -&gt; 1242","")</f>
        <v/>
      </c>
      <c r="C5430" t="str">
        <f>FORSIDE!$C$3</f>
        <v>S355, Stål / VFHUP 140x140x8.0</v>
      </c>
    </row>
    <row r="5431" spans="1:3" x14ac:dyDescent="0.3">
      <c r="A5431" t="str">
        <f>IF(AND(FORSIDE!$B$8&gt;=7,FORSIDE!$F$8&gt;=5,FORSIDE!$B$5&gt;=10),"S5430","")</f>
        <v/>
      </c>
      <c r="B5431" t="str">
        <f>IF(AND(FORSIDE!$B$8&gt;=7,FORSIDE!$F$8&gt;=5,FORSIDE!$B$5&gt;=10),"1012 -&gt; 1243","")</f>
        <v/>
      </c>
      <c r="C5431" t="str">
        <f>FORSIDE!$C$3</f>
        <v>S355, Stål / VFHUP 140x140x8.0</v>
      </c>
    </row>
    <row r="5432" spans="1:3" x14ac:dyDescent="0.3">
      <c r="A5432" t="str">
        <f>IF(AND(FORSIDE!$B$8&gt;=8,FORSIDE!$F$8&gt;=5,FORSIDE!$B$5&gt;=1),"S5431","")</f>
        <v/>
      </c>
      <c r="B5432" t="str">
        <f>IF(AND(FORSIDE!$B$8&gt;=8,FORSIDE!$F$8&gt;=5,FORSIDE!$B$5&gt;=1),"1014 -&gt; 1245","")</f>
        <v/>
      </c>
      <c r="C5432" t="str">
        <f>FORSIDE!$C$3</f>
        <v>S355, Stål / VFHUP 140x140x8.0</v>
      </c>
    </row>
    <row r="5433" spans="1:3" x14ac:dyDescent="0.3">
      <c r="A5433" t="str">
        <f>IF(AND(FORSIDE!$B$8&gt;=8,FORSIDE!$F$8&gt;=5,FORSIDE!$B$5&gt;=2),"S5432","")</f>
        <v/>
      </c>
      <c r="B5433" t="str">
        <f>IF(AND(FORSIDE!$B$8&gt;=8,FORSIDE!$F$8&gt;=5,FORSIDE!$B$5&gt;=2),"1015 -&gt; 1246","")</f>
        <v/>
      </c>
      <c r="C5433" t="str">
        <f>FORSIDE!$C$3</f>
        <v>S355, Stål / VFHUP 140x140x8.0</v>
      </c>
    </row>
    <row r="5434" spans="1:3" x14ac:dyDescent="0.3">
      <c r="A5434" t="str">
        <f>IF(AND(FORSIDE!$B$8&gt;=8,FORSIDE!$F$8&gt;=5,FORSIDE!$B$5&gt;=3),"S5433","")</f>
        <v/>
      </c>
      <c r="B5434" t="str">
        <f>IF(AND(FORSIDE!$B$8&gt;=8,FORSIDE!$F$8&gt;=5,FORSIDE!$B$5&gt;=3),"1016 -&gt; 1247","")</f>
        <v/>
      </c>
      <c r="C5434" t="str">
        <f>FORSIDE!$C$3</f>
        <v>S355, Stål / VFHUP 140x140x8.0</v>
      </c>
    </row>
    <row r="5435" spans="1:3" x14ac:dyDescent="0.3">
      <c r="A5435" t="str">
        <f>IF(AND(FORSIDE!$B$8&gt;=8,FORSIDE!$F$8&gt;=5,FORSIDE!$B$5&gt;=4),"S5434","")</f>
        <v/>
      </c>
      <c r="B5435" t="str">
        <f>IF(AND(FORSIDE!$B$8&gt;=8,FORSIDE!$F$8&gt;=5,FORSIDE!$B$5&gt;=4),"1017 -&gt; 1248","")</f>
        <v/>
      </c>
      <c r="C5435" t="str">
        <f>FORSIDE!$C$3</f>
        <v>S355, Stål / VFHUP 140x140x8.0</v>
      </c>
    </row>
    <row r="5436" spans="1:3" x14ac:dyDescent="0.3">
      <c r="A5436" t="str">
        <f>IF(AND(FORSIDE!$B$8&gt;=8,FORSIDE!$F$8&gt;=5,FORSIDE!$B$5&gt;=5),"S5435","")</f>
        <v/>
      </c>
      <c r="B5436" t="str">
        <f>IF(AND(FORSIDE!$B$8&gt;=8,FORSIDE!$F$8&gt;=5,FORSIDE!$B$5&gt;=5),"1018 -&gt; 1249","")</f>
        <v/>
      </c>
      <c r="C5436" t="str">
        <f>FORSIDE!$C$3</f>
        <v>S355, Stål / VFHUP 140x140x8.0</v>
      </c>
    </row>
    <row r="5437" spans="1:3" x14ac:dyDescent="0.3">
      <c r="A5437" t="str">
        <f>IF(AND(FORSIDE!$B$8&gt;=8,FORSIDE!$F$8&gt;=5,FORSIDE!$B$5&gt;=6),"S5436","")</f>
        <v/>
      </c>
      <c r="B5437" t="str">
        <f>IF(AND(FORSIDE!$B$8&gt;=8,FORSIDE!$F$8&gt;=5,FORSIDE!$B$5&gt;=6),"1019 -&gt; 1250","")</f>
        <v/>
      </c>
      <c r="C5437" t="str">
        <f>FORSIDE!$C$3</f>
        <v>S355, Stål / VFHUP 140x140x8.0</v>
      </c>
    </row>
    <row r="5438" spans="1:3" x14ac:dyDescent="0.3">
      <c r="A5438" t="str">
        <f>IF(AND(FORSIDE!$B$8&gt;=8,FORSIDE!$F$8&gt;=5,FORSIDE!$B$5&gt;=7),"S5437","")</f>
        <v/>
      </c>
      <c r="B5438" t="str">
        <f>IF(AND(FORSIDE!$B$8&gt;=8,FORSIDE!$F$8&gt;=5,FORSIDE!$B$5&gt;=7),"1020 -&gt; 1251","")</f>
        <v/>
      </c>
      <c r="C5438" t="str">
        <f>FORSIDE!$C$3</f>
        <v>S355, Stål / VFHUP 140x140x8.0</v>
      </c>
    </row>
    <row r="5439" spans="1:3" x14ac:dyDescent="0.3">
      <c r="A5439" t="str">
        <f>IF(AND(FORSIDE!$B$8&gt;=8,FORSIDE!$F$8&gt;=5,FORSIDE!$B$5&gt;=8),"S5438","")</f>
        <v/>
      </c>
      <c r="B5439" t="str">
        <f>IF(AND(FORSIDE!$B$8&gt;=8,FORSIDE!$F$8&gt;=5,FORSIDE!$B$5&gt;=8),"1021 -&gt; 1252","")</f>
        <v/>
      </c>
      <c r="C5439" t="str">
        <f>FORSIDE!$C$3</f>
        <v>S355, Stål / VFHUP 140x140x8.0</v>
      </c>
    </row>
    <row r="5440" spans="1:3" x14ac:dyDescent="0.3">
      <c r="A5440" t="str">
        <f>IF(AND(FORSIDE!$B$8&gt;=8,FORSIDE!$F$8&gt;=5,FORSIDE!$B$5&gt;=9),"S5439","")</f>
        <v/>
      </c>
      <c r="B5440" t="str">
        <f>IF(AND(FORSIDE!$B$8&gt;=8,FORSIDE!$F$8&gt;=5,FORSIDE!$B$5&gt;=9),"1022 -&gt; 1253","")</f>
        <v/>
      </c>
      <c r="C5440" t="str">
        <f>FORSIDE!$C$3</f>
        <v>S355, Stål / VFHUP 140x140x8.0</v>
      </c>
    </row>
    <row r="5441" spans="1:3" x14ac:dyDescent="0.3">
      <c r="A5441" t="str">
        <f>IF(AND(FORSIDE!$B$8&gt;=8,FORSIDE!$F$8&gt;=5,FORSIDE!$B$5&gt;=10),"S5440","")</f>
        <v/>
      </c>
      <c r="B5441" t="str">
        <f>IF(AND(FORSIDE!$B$8&gt;=8,FORSIDE!$F$8&gt;=5,FORSIDE!$B$5&gt;=10),"1023 -&gt; 1254","")</f>
        <v/>
      </c>
      <c r="C5441" t="str">
        <f>FORSIDE!$C$3</f>
        <v>S355, Stål / VFHUP 140x140x8.0</v>
      </c>
    </row>
    <row r="5442" spans="1:3" x14ac:dyDescent="0.3">
      <c r="A5442" t="str">
        <f>IF(AND(FORSIDE!$B$8&gt;=9,FORSIDE!$F$8&gt;=5,FORSIDE!$B$5&gt;=1),"S5441","")</f>
        <v/>
      </c>
      <c r="B5442" t="str">
        <f>IF(AND(FORSIDE!$B$8&gt;=9,FORSIDE!$F$8&gt;=5,FORSIDE!$B$5&gt;=1),"1025 -&gt; 1256","")</f>
        <v/>
      </c>
      <c r="C5442" t="str">
        <f>FORSIDE!$C$3</f>
        <v>S355, Stål / VFHUP 140x140x8.0</v>
      </c>
    </row>
    <row r="5443" spans="1:3" x14ac:dyDescent="0.3">
      <c r="A5443" t="str">
        <f>IF(AND(FORSIDE!$B$8&gt;=9,FORSIDE!$F$8&gt;=5,FORSIDE!$B$5&gt;=2),"S5442","")</f>
        <v/>
      </c>
      <c r="B5443" t="str">
        <f>IF(AND(FORSIDE!$B$8&gt;=9,FORSIDE!$F$8&gt;=5,FORSIDE!$B$5&gt;=2),"1026 -&gt; 1257","")</f>
        <v/>
      </c>
      <c r="C5443" t="str">
        <f>FORSIDE!$C$3</f>
        <v>S355, Stål / VFHUP 140x140x8.0</v>
      </c>
    </row>
    <row r="5444" spans="1:3" x14ac:dyDescent="0.3">
      <c r="A5444" t="str">
        <f>IF(AND(FORSIDE!$B$8&gt;=9,FORSIDE!$F$8&gt;=5,FORSIDE!$B$5&gt;=3),"S5443","")</f>
        <v/>
      </c>
      <c r="B5444" t="str">
        <f>IF(AND(FORSIDE!$B$8&gt;=9,FORSIDE!$F$8&gt;=5,FORSIDE!$B$5&gt;=3),"1027 -&gt; 1258","")</f>
        <v/>
      </c>
      <c r="C5444" t="str">
        <f>FORSIDE!$C$3</f>
        <v>S355, Stål / VFHUP 140x140x8.0</v>
      </c>
    </row>
    <row r="5445" spans="1:3" x14ac:dyDescent="0.3">
      <c r="A5445" t="str">
        <f>IF(AND(FORSIDE!$B$8&gt;=9,FORSIDE!$F$8&gt;=5,FORSIDE!$B$5&gt;=4),"S5444","")</f>
        <v/>
      </c>
      <c r="B5445" t="str">
        <f>IF(AND(FORSIDE!$B$8&gt;=9,FORSIDE!$F$8&gt;=5,FORSIDE!$B$5&gt;=4),"1028 -&gt; 1259","")</f>
        <v/>
      </c>
      <c r="C5445" t="str">
        <f>FORSIDE!$C$3</f>
        <v>S355, Stål / VFHUP 140x140x8.0</v>
      </c>
    </row>
    <row r="5446" spans="1:3" x14ac:dyDescent="0.3">
      <c r="A5446" t="str">
        <f>IF(AND(FORSIDE!$B$8&gt;=9,FORSIDE!$F$8&gt;=5,FORSIDE!$B$5&gt;=5),"S5445","")</f>
        <v/>
      </c>
      <c r="B5446" t="str">
        <f>IF(AND(FORSIDE!$B$8&gt;=9,FORSIDE!$F$8&gt;=5,FORSIDE!$B$5&gt;=5),"1029 -&gt; 1260","")</f>
        <v/>
      </c>
      <c r="C5446" t="str">
        <f>FORSIDE!$C$3</f>
        <v>S355, Stål / VFHUP 140x140x8.0</v>
      </c>
    </row>
    <row r="5447" spans="1:3" x14ac:dyDescent="0.3">
      <c r="A5447" t="str">
        <f>IF(AND(FORSIDE!$B$8&gt;=9,FORSIDE!$F$8&gt;=5,FORSIDE!$B$5&gt;=6),"S5446","")</f>
        <v/>
      </c>
      <c r="B5447" t="str">
        <f>IF(AND(FORSIDE!$B$8&gt;=9,FORSIDE!$F$8&gt;=5,FORSIDE!$B$5&gt;=6),"1030 -&gt; 1261","")</f>
        <v/>
      </c>
      <c r="C5447" t="str">
        <f>FORSIDE!$C$3</f>
        <v>S355, Stål / VFHUP 140x140x8.0</v>
      </c>
    </row>
    <row r="5448" spans="1:3" x14ac:dyDescent="0.3">
      <c r="A5448" t="str">
        <f>IF(AND(FORSIDE!$B$8&gt;=9,FORSIDE!$F$8&gt;=5,FORSIDE!$B$5&gt;=7),"S5447","")</f>
        <v/>
      </c>
      <c r="B5448" t="str">
        <f>IF(AND(FORSIDE!$B$8&gt;=9,FORSIDE!$F$8&gt;=5,FORSIDE!$B$5&gt;=7),"1031 -&gt; 1262","")</f>
        <v/>
      </c>
      <c r="C5448" t="str">
        <f>FORSIDE!$C$3</f>
        <v>S355, Stål / VFHUP 140x140x8.0</v>
      </c>
    </row>
    <row r="5449" spans="1:3" x14ac:dyDescent="0.3">
      <c r="A5449" t="str">
        <f>IF(AND(FORSIDE!$B$8&gt;=9,FORSIDE!$F$8&gt;=5,FORSIDE!$B$5&gt;=8),"S5448","")</f>
        <v/>
      </c>
      <c r="B5449" t="str">
        <f>IF(AND(FORSIDE!$B$8&gt;=9,FORSIDE!$F$8&gt;=5,FORSIDE!$B$5&gt;=8),"1032 -&gt; 1263","")</f>
        <v/>
      </c>
      <c r="C5449" t="str">
        <f>FORSIDE!$C$3</f>
        <v>S355, Stål / VFHUP 140x140x8.0</v>
      </c>
    </row>
    <row r="5450" spans="1:3" x14ac:dyDescent="0.3">
      <c r="A5450" t="str">
        <f>IF(AND(FORSIDE!$B$8&gt;=9,FORSIDE!$F$8&gt;=5,FORSIDE!$B$5&gt;=9),"S5449","")</f>
        <v/>
      </c>
      <c r="B5450" t="str">
        <f>IF(AND(FORSIDE!$B$8&gt;=9,FORSIDE!$F$8&gt;=5,FORSIDE!$B$5&gt;=9),"1033 -&gt; 1264","")</f>
        <v/>
      </c>
      <c r="C5450" t="str">
        <f>FORSIDE!$C$3</f>
        <v>S355, Stål / VFHUP 140x140x8.0</v>
      </c>
    </row>
    <row r="5451" spans="1:3" x14ac:dyDescent="0.3">
      <c r="A5451" t="str">
        <f>IF(AND(FORSIDE!$B$8&gt;=9,FORSIDE!$F$8&gt;=5,FORSIDE!$B$5&gt;=10),"S5450","")</f>
        <v/>
      </c>
      <c r="B5451" t="str">
        <f>IF(AND(FORSIDE!$B$8&gt;=9,FORSIDE!$F$8&gt;=5,FORSIDE!$B$5&gt;=10),"1034 -&gt; 1265","")</f>
        <v/>
      </c>
      <c r="C5451" t="str">
        <f>FORSIDE!$C$3</f>
        <v>S355, Stål / VFHUP 140x140x8.0</v>
      </c>
    </row>
    <row r="5452" spans="1:3" x14ac:dyDescent="0.3">
      <c r="A5452" t="str">
        <f>IF(AND(FORSIDE!$B$8&gt;=10,FORSIDE!$F$8&gt;=5,FORSIDE!$B$5&gt;=1),"S5451","")</f>
        <v/>
      </c>
      <c r="B5452" t="str">
        <f>IF(AND(FORSIDE!$B$8&gt;=10,FORSIDE!$F$8&gt;=5,FORSIDE!$B$5&gt;=1),"1036 -&gt; 1267","")</f>
        <v/>
      </c>
      <c r="C5452" t="str">
        <f>FORSIDE!$C$3</f>
        <v>S355, Stål / VFHUP 140x140x8.0</v>
      </c>
    </row>
    <row r="5453" spans="1:3" x14ac:dyDescent="0.3">
      <c r="A5453" t="str">
        <f>IF(AND(FORSIDE!$B$8&gt;=10,FORSIDE!$F$8&gt;=5,FORSIDE!$B$5&gt;=2),"S5452","")</f>
        <v/>
      </c>
      <c r="B5453" t="str">
        <f>IF(AND(FORSIDE!$B$8&gt;=10,FORSIDE!$F$8&gt;=5,FORSIDE!$B$5&gt;=2),"1037 -&gt; 1268","")</f>
        <v/>
      </c>
      <c r="C5453" t="str">
        <f>FORSIDE!$C$3</f>
        <v>S355, Stål / VFHUP 140x140x8.0</v>
      </c>
    </row>
    <row r="5454" spans="1:3" x14ac:dyDescent="0.3">
      <c r="A5454" t="str">
        <f>IF(AND(FORSIDE!$B$8&gt;=10,FORSIDE!$F$8&gt;=5,FORSIDE!$B$5&gt;=3),"S5453","")</f>
        <v/>
      </c>
      <c r="B5454" t="str">
        <f>IF(AND(FORSIDE!$B$8&gt;=10,FORSIDE!$F$8&gt;=5,FORSIDE!$B$5&gt;=3),"1038 -&gt; 1269","")</f>
        <v/>
      </c>
      <c r="C5454" t="str">
        <f>FORSIDE!$C$3</f>
        <v>S355, Stål / VFHUP 140x140x8.0</v>
      </c>
    </row>
    <row r="5455" spans="1:3" x14ac:dyDescent="0.3">
      <c r="A5455" t="str">
        <f>IF(AND(FORSIDE!$B$8&gt;=10,FORSIDE!$F$8&gt;=5,FORSIDE!$B$5&gt;=4),"S5454","")</f>
        <v/>
      </c>
      <c r="B5455" t="str">
        <f>IF(AND(FORSIDE!$B$8&gt;=10,FORSIDE!$F$8&gt;=5,FORSIDE!$B$5&gt;=4),"1039 -&gt; 1270","")</f>
        <v/>
      </c>
      <c r="C5455" t="str">
        <f>FORSIDE!$C$3</f>
        <v>S355, Stål / VFHUP 140x140x8.0</v>
      </c>
    </row>
    <row r="5456" spans="1:3" x14ac:dyDescent="0.3">
      <c r="A5456" t="str">
        <f>IF(AND(FORSIDE!$B$8&gt;=10,FORSIDE!$F$8&gt;=5,FORSIDE!$B$5&gt;=5),"S5455","")</f>
        <v/>
      </c>
      <c r="B5456" t="str">
        <f>IF(AND(FORSIDE!$B$8&gt;=10,FORSIDE!$F$8&gt;=5,FORSIDE!$B$5&gt;=5),"1040 -&gt; 1271","")</f>
        <v/>
      </c>
      <c r="C5456" t="str">
        <f>FORSIDE!$C$3</f>
        <v>S355, Stål / VFHUP 140x140x8.0</v>
      </c>
    </row>
    <row r="5457" spans="1:3" x14ac:dyDescent="0.3">
      <c r="A5457" t="str">
        <f>IF(AND(FORSIDE!$B$8&gt;=10,FORSIDE!$F$8&gt;=5,FORSIDE!$B$5&gt;=6),"S5456","")</f>
        <v/>
      </c>
      <c r="B5457" t="str">
        <f>IF(AND(FORSIDE!$B$8&gt;=10,FORSIDE!$F$8&gt;=5,FORSIDE!$B$5&gt;=6),"1041 -&gt; 1272","")</f>
        <v/>
      </c>
      <c r="C5457" t="str">
        <f>FORSIDE!$C$3</f>
        <v>S355, Stål / VFHUP 140x140x8.0</v>
      </c>
    </row>
    <row r="5458" spans="1:3" x14ac:dyDescent="0.3">
      <c r="A5458" t="str">
        <f>IF(AND(FORSIDE!$B$8&gt;=10,FORSIDE!$F$8&gt;=5,FORSIDE!$B$5&gt;=7),"S5457","")</f>
        <v/>
      </c>
      <c r="B5458" t="str">
        <f>IF(AND(FORSIDE!$B$8&gt;=10,FORSIDE!$F$8&gt;=5,FORSIDE!$B$5&gt;=7),"1042 -&gt; 1273","")</f>
        <v/>
      </c>
      <c r="C5458" t="str">
        <f>FORSIDE!$C$3</f>
        <v>S355, Stål / VFHUP 140x140x8.0</v>
      </c>
    </row>
    <row r="5459" spans="1:3" x14ac:dyDescent="0.3">
      <c r="A5459" t="str">
        <f>IF(AND(FORSIDE!$B$8&gt;=10,FORSIDE!$F$8&gt;=5,FORSIDE!$B$5&gt;=8),"S5458","")</f>
        <v/>
      </c>
      <c r="B5459" t="str">
        <f>IF(AND(FORSIDE!$B$8&gt;=10,FORSIDE!$F$8&gt;=5,FORSIDE!$B$5&gt;=8),"1043 -&gt; 1274","")</f>
        <v/>
      </c>
      <c r="C5459" t="str">
        <f>FORSIDE!$C$3</f>
        <v>S355, Stål / VFHUP 140x140x8.0</v>
      </c>
    </row>
    <row r="5460" spans="1:3" x14ac:dyDescent="0.3">
      <c r="A5460" t="str">
        <f>IF(AND(FORSIDE!$B$8&gt;=10,FORSIDE!$F$8&gt;=5,FORSIDE!$B$5&gt;=9),"S5459","")</f>
        <v/>
      </c>
      <c r="B5460" t="str">
        <f>IF(AND(FORSIDE!$B$8&gt;=10,FORSIDE!$F$8&gt;=5,FORSIDE!$B$5&gt;=9),"1044 -&gt; 1275","")</f>
        <v/>
      </c>
      <c r="C5460" t="str">
        <f>FORSIDE!$C$3</f>
        <v>S355, Stål / VFHUP 140x140x8.0</v>
      </c>
    </row>
    <row r="5461" spans="1:3" x14ac:dyDescent="0.3">
      <c r="A5461" t="str">
        <f>IF(AND(FORSIDE!$B$8&gt;=10,FORSIDE!$F$8&gt;=5,FORSIDE!$B$5&gt;=10),"S5460","")</f>
        <v/>
      </c>
      <c r="B5461" t="str">
        <f>IF(AND(FORSIDE!$B$8&gt;=10,FORSIDE!$F$8&gt;=5,FORSIDE!$B$5&gt;=10),"1045 -&gt; 1276","")</f>
        <v/>
      </c>
      <c r="C5461" t="str">
        <f>FORSIDE!$C$3</f>
        <v>S355, Stål / VFHUP 140x140x8.0</v>
      </c>
    </row>
    <row r="5462" spans="1:3" x14ac:dyDescent="0.3">
      <c r="A5462" t="str">
        <f>IF(AND(FORSIDE!$B$8&gt;=11,FORSIDE!$F$8&gt;=5,FORSIDE!$B$5&gt;=1),"S5461","")</f>
        <v/>
      </c>
      <c r="B5462" t="str">
        <f>IF(AND(FORSIDE!$B$8&gt;=11,FORSIDE!$F$8&gt;=5,FORSIDE!$B$5&gt;=1),"1047 -&gt; 1278","")</f>
        <v/>
      </c>
      <c r="C5462" t="str">
        <f>FORSIDE!$C$3</f>
        <v>S355, Stål / VFHUP 140x140x8.0</v>
      </c>
    </row>
    <row r="5463" spans="1:3" x14ac:dyDescent="0.3">
      <c r="A5463" t="str">
        <f>IF(AND(FORSIDE!$B$8&gt;=11,FORSIDE!$F$8&gt;=5,FORSIDE!$B$5&gt;=2),"S5462","")</f>
        <v/>
      </c>
      <c r="B5463" t="str">
        <f>IF(AND(FORSIDE!$B$8&gt;=11,FORSIDE!$F$8&gt;=5,FORSIDE!$B$5&gt;=2),"1048 -&gt; 1279","")</f>
        <v/>
      </c>
      <c r="C5463" t="str">
        <f>FORSIDE!$C$3</f>
        <v>S355, Stål / VFHUP 140x140x8.0</v>
      </c>
    </row>
    <row r="5464" spans="1:3" x14ac:dyDescent="0.3">
      <c r="A5464" t="str">
        <f>IF(AND(FORSIDE!$B$8&gt;=11,FORSIDE!$F$8&gt;=5,FORSIDE!$B$5&gt;=3),"S5463","")</f>
        <v/>
      </c>
      <c r="B5464" t="str">
        <f>IF(AND(FORSIDE!$B$8&gt;=11,FORSIDE!$F$8&gt;=5,FORSIDE!$B$5&gt;=3),"1049 -&gt; 1280","")</f>
        <v/>
      </c>
      <c r="C5464" t="str">
        <f>FORSIDE!$C$3</f>
        <v>S355, Stål / VFHUP 140x140x8.0</v>
      </c>
    </row>
    <row r="5465" spans="1:3" x14ac:dyDescent="0.3">
      <c r="A5465" t="str">
        <f>IF(AND(FORSIDE!$B$8&gt;=11,FORSIDE!$F$8&gt;=5,FORSIDE!$B$5&gt;=4),"S5464","")</f>
        <v/>
      </c>
      <c r="B5465" t="str">
        <f>IF(AND(FORSIDE!$B$8&gt;=11,FORSIDE!$F$8&gt;=5,FORSIDE!$B$5&gt;=4),"1050 -&gt; 1281","")</f>
        <v/>
      </c>
      <c r="C5465" t="str">
        <f>FORSIDE!$C$3</f>
        <v>S355, Stål / VFHUP 140x140x8.0</v>
      </c>
    </row>
    <row r="5466" spans="1:3" x14ac:dyDescent="0.3">
      <c r="A5466" t="str">
        <f>IF(AND(FORSIDE!$B$8&gt;=11,FORSIDE!$F$8&gt;=5,FORSIDE!$B$5&gt;=5),"S5465","")</f>
        <v/>
      </c>
      <c r="B5466" t="str">
        <f>IF(AND(FORSIDE!$B$8&gt;=11,FORSIDE!$F$8&gt;=5,FORSIDE!$B$5&gt;=5),"1051 -&gt; 1282","")</f>
        <v/>
      </c>
      <c r="C5466" t="str">
        <f>FORSIDE!$C$3</f>
        <v>S355, Stål / VFHUP 140x140x8.0</v>
      </c>
    </row>
    <row r="5467" spans="1:3" x14ac:dyDescent="0.3">
      <c r="A5467" t="str">
        <f>IF(AND(FORSIDE!$B$8&gt;=11,FORSIDE!$F$8&gt;=5,FORSIDE!$B$5&gt;=6),"S5466","")</f>
        <v/>
      </c>
      <c r="B5467" t="str">
        <f>IF(AND(FORSIDE!$B$8&gt;=11,FORSIDE!$F$8&gt;=5,FORSIDE!$B$5&gt;=6),"1052 -&gt; 1283","")</f>
        <v/>
      </c>
      <c r="C5467" t="str">
        <f>FORSIDE!$C$3</f>
        <v>S355, Stål / VFHUP 140x140x8.0</v>
      </c>
    </row>
    <row r="5468" spans="1:3" x14ac:dyDescent="0.3">
      <c r="A5468" t="str">
        <f>IF(AND(FORSIDE!$B$8&gt;=11,FORSIDE!$F$8&gt;=5,FORSIDE!$B$5&gt;=7),"S5467","")</f>
        <v/>
      </c>
      <c r="B5468" t="str">
        <f>IF(AND(FORSIDE!$B$8&gt;=11,FORSIDE!$F$8&gt;=5,FORSIDE!$B$5&gt;=7),"1053 -&gt; 1284","")</f>
        <v/>
      </c>
      <c r="C5468" t="str">
        <f>FORSIDE!$C$3</f>
        <v>S355, Stål / VFHUP 140x140x8.0</v>
      </c>
    </row>
    <row r="5469" spans="1:3" x14ac:dyDescent="0.3">
      <c r="A5469" t="str">
        <f>IF(AND(FORSIDE!$B$8&gt;=11,FORSIDE!$F$8&gt;=5,FORSIDE!$B$5&gt;=8),"S5468","")</f>
        <v/>
      </c>
      <c r="B5469" t="str">
        <f>IF(AND(FORSIDE!$B$8&gt;=11,FORSIDE!$F$8&gt;=5,FORSIDE!$B$5&gt;=8),"1054 -&gt; 1285","")</f>
        <v/>
      </c>
      <c r="C5469" t="str">
        <f>FORSIDE!$C$3</f>
        <v>S355, Stål / VFHUP 140x140x8.0</v>
      </c>
    </row>
    <row r="5470" spans="1:3" x14ac:dyDescent="0.3">
      <c r="A5470" t="str">
        <f>IF(AND(FORSIDE!$B$8&gt;=11,FORSIDE!$F$8&gt;=5,FORSIDE!$B$5&gt;=9),"S5469","")</f>
        <v/>
      </c>
      <c r="B5470" t="str">
        <f>IF(AND(FORSIDE!$B$8&gt;=11,FORSIDE!$F$8&gt;=5,FORSIDE!$B$5&gt;=9),"1055 -&gt; 1286","")</f>
        <v/>
      </c>
      <c r="C5470" t="str">
        <f>FORSIDE!$C$3</f>
        <v>S355, Stål / VFHUP 140x140x8.0</v>
      </c>
    </row>
    <row r="5471" spans="1:3" x14ac:dyDescent="0.3">
      <c r="A5471" t="str">
        <f>IF(AND(FORSIDE!$B$8&gt;=11,FORSIDE!$F$8&gt;=5,FORSIDE!$B$5&gt;=10),"S5470","")</f>
        <v/>
      </c>
      <c r="B5471" t="str">
        <f>IF(AND(FORSIDE!$B$8&gt;=11,FORSIDE!$F$8&gt;=5,FORSIDE!$B$5&gt;=10),"1056 -&gt; 1287","")</f>
        <v/>
      </c>
      <c r="C5471" t="str">
        <f>FORSIDE!$C$3</f>
        <v>S355, Stål / VFHUP 140x140x8.0</v>
      </c>
    </row>
    <row r="5472" spans="1:3" x14ac:dyDescent="0.3">
      <c r="A5472" t="str">
        <f>IF(AND(FORSIDE!$B$8&gt;=12,FORSIDE!$F$8&gt;=5,FORSIDE!$B$5&gt;=1),"S5471","")</f>
        <v/>
      </c>
      <c r="B5472" t="str">
        <f>IF(AND(FORSIDE!$B$8&gt;=12,FORSIDE!$F$8&gt;=5,FORSIDE!$B$5&gt;=1),"1058 -&gt; 1289","")</f>
        <v/>
      </c>
      <c r="C5472" t="str">
        <f>FORSIDE!$C$3</f>
        <v>S355, Stål / VFHUP 140x140x8.0</v>
      </c>
    </row>
    <row r="5473" spans="1:3" x14ac:dyDescent="0.3">
      <c r="A5473" t="str">
        <f>IF(AND(FORSIDE!$B$8&gt;=12,FORSIDE!$F$8&gt;=5,FORSIDE!$B$5&gt;=2),"S5472","")</f>
        <v/>
      </c>
      <c r="B5473" t="str">
        <f>IF(AND(FORSIDE!$B$8&gt;=12,FORSIDE!$F$8&gt;=5,FORSIDE!$B$5&gt;=2),"1059 -&gt; 1290","")</f>
        <v/>
      </c>
      <c r="C5473" t="str">
        <f>FORSIDE!$C$3</f>
        <v>S355, Stål / VFHUP 140x140x8.0</v>
      </c>
    </row>
    <row r="5474" spans="1:3" x14ac:dyDescent="0.3">
      <c r="A5474" t="str">
        <f>IF(AND(FORSIDE!$B$8&gt;=12,FORSIDE!$F$8&gt;=5,FORSIDE!$B$5&gt;=3),"S5473","")</f>
        <v/>
      </c>
      <c r="B5474" t="str">
        <f>IF(AND(FORSIDE!$B$8&gt;=12,FORSIDE!$F$8&gt;=5,FORSIDE!$B$5&gt;=3),"1060 -&gt; 1291","")</f>
        <v/>
      </c>
      <c r="C5474" t="str">
        <f>FORSIDE!$C$3</f>
        <v>S355, Stål / VFHUP 140x140x8.0</v>
      </c>
    </row>
    <row r="5475" spans="1:3" x14ac:dyDescent="0.3">
      <c r="A5475" t="str">
        <f>IF(AND(FORSIDE!$B$8&gt;=12,FORSIDE!$F$8&gt;=5,FORSIDE!$B$5&gt;=4),"S5474","")</f>
        <v/>
      </c>
      <c r="B5475" t="str">
        <f>IF(AND(FORSIDE!$B$8&gt;=12,FORSIDE!$F$8&gt;=5,FORSIDE!$B$5&gt;=4),"1061 -&gt; 1292","")</f>
        <v/>
      </c>
      <c r="C5475" t="str">
        <f>FORSIDE!$C$3</f>
        <v>S355, Stål / VFHUP 140x140x8.0</v>
      </c>
    </row>
    <row r="5476" spans="1:3" x14ac:dyDescent="0.3">
      <c r="A5476" t="str">
        <f>IF(AND(FORSIDE!$B$8&gt;=12,FORSIDE!$F$8&gt;=5,FORSIDE!$B$5&gt;=5),"S5475","")</f>
        <v/>
      </c>
      <c r="B5476" t="str">
        <f>IF(AND(FORSIDE!$B$8&gt;=12,FORSIDE!$F$8&gt;=5,FORSIDE!$B$5&gt;=5),"1062 -&gt; 1293","")</f>
        <v/>
      </c>
      <c r="C5476" t="str">
        <f>FORSIDE!$C$3</f>
        <v>S355, Stål / VFHUP 140x140x8.0</v>
      </c>
    </row>
    <row r="5477" spans="1:3" x14ac:dyDescent="0.3">
      <c r="A5477" t="str">
        <f>IF(AND(FORSIDE!$B$8&gt;=12,FORSIDE!$F$8&gt;=5,FORSIDE!$B$5&gt;=6),"S5476","")</f>
        <v/>
      </c>
      <c r="B5477" t="str">
        <f>IF(AND(FORSIDE!$B$8&gt;=12,FORSIDE!$F$8&gt;=5,FORSIDE!$B$5&gt;=6),"1063 -&gt; 1294","")</f>
        <v/>
      </c>
      <c r="C5477" t="str">
        <f>FORSIDE!$C$3</f>
        <v>S355, Stål / VFHUP 140x140x8.0</v>
      </c>
    </row>
    <row r="5478" spans="1:3" x14ac:dyDescent="0.3">
      <c r="A5478" t="str">
        <f>IF(AND(FORSIDE!$B$8&gt;=12,FORSIDE!$F$8&gt;=5,FORSIDE!$B$5&gt;=7),"S5477","")</f>
        <v/>
      </c>
      <c r="B5478" t="str">
        <f>IF(AND(FORSIDE!$B$8&gt;=12,FORSIDE!$F$8&gt;=5,FORSIDE!$B$5&gt;=7),"1064 -&gt; 1295","")</f>
        <v/>
      </c>
      <c r="C5478" t="str">
        <f>FORSIDE!$C$3</f>
        <v>S355, Stål / VFHUP 140x140x8.0</v>
      </c>
    </row>
    <row r="5479" spans="1:3" x14ac:dyDescent="0.3">
      <c r="A5479" t="str">
        <f>IF(AND(FORSIDE!$B$8&gt;=12,FORSIDE!$F$8&gt;=5,FORSIDE!$B$5&gt;=8),"S5478","")</f>
        <v/>
      </c>
      <c r="B5479" t="str">
        <f>IF(AND(FORSIDE!$B$8&gt;=12,FORSIDE!$F$8&gt;=5,FORSIDE!$B$5&gt;=8),"1065 -&gt; 1296","")</f>
        <v/>
      </c>
      <c r="C5479" t="str">
        <f>FORSIDE!$C$3</f>
        <v>S355, Stål / VFHUP 140x140x8.0</v>
      </c>
    </row>
    <row r="5480" spans="1:3" x14ac:dyDescent="0.3">
      <c r="A5480" t="str">
        <f>IF(AND(FORSIDE!$B$8&gt;=12,FORSIDE!$F$8&gt;=5,FORSIDE!$B$5&gt;=9),"S5479","")</f>
        <v/>
      </c>
      <c r="B5480" t="str">
        <f>IF(AND(FORSIDE!$B$8&gt;=12,FORSIDE!$F$8&gt;=5,FORSIDE!$B$5&gt;=9),"1066 -&gt; 1297","")</f>
        <v/>
      </c>
      <c r="C5480" t="str">
        <f>FORSIDE!$C$3</f>
        <v>S355, Stål / VFHUP 140x140x8.0</v>
      </c>
    </row>
    <row r="5481" spans="1:3" x14ac:dyDescent="0.3">
      <c r="A5481" t="str">
        <f>IF(AND(FORSIDE!$B$8&gt;=12,FORSIDE!$F$8&gt;=5,FORSIDE!$B$5&gt;=10),"S5480","")</f>
        <v/>
      </c>
      <c r="B5481" t="str">
        <f>IF(AND(FORSIDE!$B$8&gt;=12,FORSIDE!$F$8&gt;=5,FORSIDE!$B$5&gt;=10),"1067 -&gt; 1298","")</f>
        <v/>
      </c>
      <c r="C5481" t="str">
        <f>FORSIDE!$C$3</f>
        <v>S355, Stål / VFHUP 140x140x8.0</v>
      </c>
    </row>
    <row r="5482" spans="1:3" x14ac:dyDescent="0.3">
      <c r="A5482" t="str">
        <f>IF(AND(FORSIDE!$B$8&gt;=13,FORSIDE!$F$8&gt;=5,FORSIDE!$B$5&gt;=1),"S5481","")</f>
        <v/>
      </c>
      <c r="B5482" t="str">
        <f>IF(AND(FORSIDE!$B$8&gt;=13,FORSIDE!$F$8&gt;=5,FORSIDE!$B$5&gt;=1),"1069 -&gt; 1300","")</f>
        <v/>
      </c>
      <c r="C5482" t="str">
        <f>FORSIDE!$C$3</f>
        <v>S355, Stål / VFHUP 140x140x8.0</v>
      </c>
    </row>
    <row r="5483" spans="1:3" x14ac:dyDescent="0.3">
      <c r="A5483" t="str">
        <f>IF(AND(FORSIDE!$B$8&gt;=13,FORSIDE!$F$8&gt;=5,FORSIDE!$B$5&gt;=2),"S5482","")</f>
        <v/>
      </c>
      <c r="B5483" t="str">
        <f>IF(AND(FORSIDE!$B$8&gt;=13,FORSIDE!$F$8&gt;=5,FORSIDE!$B$5&gt;=2),"1070 -&gt; 1301","")</f>
        <v/>
      </c>
      <c r="C5483" t="str">
        <f>FORSIDE!$C$3</f>
        <v>S355, Stål / VFHUP 140x140x8.0</v>
      </c>
    </row>
    <row r="5484" spans="1:3" x14ac:dyDescent="0.3">
      <c r="A5484" t="str">
        <f>IF(AND(FORSIDE!$B$8&gt;=13,FORSIDE!$F$8&gt;=5,FORSIDE!$B$5&gt;=3),"S5483","")</f>
        <v/>
      </c>
      <c r="B5484" t="str">
        <f>IF(AND(FORSIDE!$B$8&gt;=13,FORSIDE!$F$8&gt;=5,FORSIDE!$B$5&gt;=3),"1071 -&gt; 1302","")</f>
        <v/>
      </c>
      <c r="C5484" t="str">
        <f>FORSIDE!$C$3</f>
        <v>S355, Stål / VFHUP 140x140x8.0</v>
      </c>
    </row>
    <row r="5485" spans="1:3" x14ac:dyDescent="0.3">
      <c r="A5485" t="str">
        <f>IF(AND(FORSIDE!$B$8&gt;=13,FORSIDE!$F$8&gt;=5,FORSIDE!$B$5&gt;=4),"S5484","")</f>
        <v/>
      </c>
      <c r="B5485" t="str">
        <f>IF(AND(FORSIDE!$B$8&gt;=13,FORSIDE!$F$8&gt;=5,FORSIDE!$B$5&gt;=4),"1072 -&gt; 1303","")</f>
        <v/>
      </c>
      <c r="C5485" t="str">
        <f>FORSIDE!$C$3</f>
        <v>S355, Stål / VFHUP 140x140x8.0</v>
      </c>
    </row>
    <row r="5486" spans="1:3" x14ac:dyDescent="0.3">
      <c r="A5486" t="str">
        <f>IF(AND(FORSIDE!$B$8&gt;=13,FORSIDE!$F$8&gt;=5,FORSIDE!$B$5&gt;=5),"S5485","")</f>
        <v/>
      </c>
      <c r="B5486" t="str">
        <f>IF(AND(FORSIDE!$B$8&gt;=13,FORSIDE!$F$8&gt;=5,FORSIDE!$B$5&gt;=5),"1073 -&gt; 1304","")</f>
        <v/>
      </c>
      <c r="C5486" t="str">
        <f>FORSIDE!$C$3</f>
        <v>S355, Stål / VFHUP 140x140x8.0</v>
      </c>
    </row>
    <row r="5487" spans="1:3" x14ac:dyDescent="0.3">
      <c r="A5487" t="str">
        <f>IF(AND(FORSIDE!$B$8&gt;=13,FORSIDE!$F$8&gt;=5,FORSIDE!$B$5&gt;=6),"S5486","")</f>
        <v/>
      </c>
      <c r="B5487" t="str">
        <f>IF(AND(FORSIDE!$B$8&gt;=13,FORSIDE!$F$8&gt;=5,FORSIDE!$B$5&gt;=6),"1074 -&gt; 1305","")</f>
        <v/>
      </c>
      <c r="C5487" t="str">
        <f>FORSIDE!$C$3</f>
        <v>S355, Stål / VFHUP 140x140x8.0</v>
      </c>
    </row>
    <row r="5488" spans="1:3" x14ac:dyDescent="0.3">
      <c r="A5488" t="str">
        <f>IF(AND(FORSIDE!$B$8&gt;=13,FORSIDE!$F$8&gt;=5,FORSIDE!$B$5&gt;=7),"S5487","")</f>
        <v/>
      </c>
      <c r="B5488" t="str">
        <f>IF(AND(FORSIDE!$B$8&gt;=13,FORSIDE!$F$8&gt;=5,FORSIDE!$B$5&gt;=7),"1075 -&gt; 1306","")</f>
        <v/>
      </c>
      <c r="C5488" t="str">
        <f>FORSIDE!$C$3</f>
        <v>S355, Stål / VFHUP 140x140x8.0</v>
      </c>
    </row>
    <row r="5489" spans="1:3" x14ac:dyDescent="0.3">
      <c r="A5489" t="str">
        <f>IF(AND(FORSIDE!$B$8&gt;=13,FORSIDE!$F$8&gt;=5,FORSIDE!$B$5&gt;=8),"S5488","")</f>
        <v/>
      </c>
      <c r="B5489" t="str">
        <f>IF(AND(FORSIDE!$B$8&gt;=13,FORSIDE!$F$8&gt;=5,FORSIDE!$B$5&gt;=8),"1076 -&gt; 1307","")</f>
        <v/>
      </c>
      <c r="C5489" t="str">
        <f>FORSIDE!$C$3</f>
        <v>S355, Stål / VFHUP 140x140x8.0</v>
      </c>
    </row>
    <row r="5490" spans="1:3" x14ac:dyDescent="0.3">
      <c r="A5490" t="str">
        <f>IF(AND(FORSIDE!$B$8&gt;=13,FORSIDE!$F$8&gt;=5,FORSIDE!$B$5&gt;=9),"S5489","")</f>
        <v/>
      </c>
      <c r="B5490" t="str">
        <f>IF(AND(FORSIDE!$B$8&gt;=13,FORSIDE!$F$8&gt;=5,FORSIDE!$B$5&gt;=9),"1077 -&gt; 1308","")</f>
        <v/>
      </c>
      <c r="C5490" t="str">
        <f>FORSIDE!$C$3</f>
        <v>S355, Stål / VFHUP 140x140x8.0</v>
      </c>
    </row>
    <row r="5491" spans="1:3" x14ac:dyDescent="0.3">
      <c r="A5491" t="str">
        <f>IF(AND(FORSIDE!$B$8&gt;=13,FORSIDE!$F$8&gt;=5,FORSIDE!$B$5&gt;=10),"S5490","")</f>
        <v/>
      </c>
      <c r="B5491" t="str">
        <f>IF(AND(FORSIDE!$B$8&gt;=13,FORSIDE!$F$8&gt;=5,FORSIDE!$B$5&gt;=10),"1078 -&gt; 1309","")</f>
        <v/>
      </c>
      <c r="C5491" t="str">
        <f>FORSIDE!$C$3</f>
        <v>S355, Stål / VFHUP 140x140x8.0</v>
      </c>
    </row>
    <row r="5492" spans="1:3" x14ac:dyDescent="0.3">
      <c r="A5492" t="str">
        <f>IF(AND(FORSIDE!$B$8&gt;=14,FORSIDE!$F$8&gt;=5,FORSIDE!$B$5&gt;=1),"S5491","")</f>
        <v/>
      </c>
      <c r="B5492" t="str">
        <f>IF(AND(FORSIDE!$B$8&gt;=14,FORSIDE!$F$8&gt;=5,FORSIDE!$B$5&gt;=1),"1080 -&gt; 1311","")</f>
        <v/>
      </c>
      <c r="C5492" t="str">
        <f>FORSIDE!$C$3</f>
        <v>S355, Stål / VFHUP 140x140x8.0</v>
      </c>
    </row>
    <row r="5493" spans="1:3" x14ac:dyDescent="0.3">
      <c r="A5493" t="str">
        <f>IF(AND(FORSIDE!$B$8&gt;=14,FORSIDE!$F$8&gt;=5,FORSIDE!$B$5&gt;=2),"S5492","")</f>
        <v/>
      </c>
      <c r="B5493" t="str">
        <f>IF(AND(FORSIDE!$B$8&gt;=14,FORSIDE!$F$8&gt;=5,FORSIDE!$B$5&gt;=2),"1081 -&gt; 1312","")</f>
        <v/>
      </c>
      <c r="C5493" t="str">
        <f>FORSIDE!$C$3</f>
        <v>S355, Stål / VFHUP 140x140x8.0</v>
      </c>
    </row>
    <row r="5494" spans="1:3" x14ac:dyDescent="0.3">
      <c r="A5494" t="str">
        <f>IF(AND(FORSIDE!$B$8&gt;=14,FORSIDE!$F$8&gt;=5,FORSIDE!$B$5&gt;=3),"S5493","")</f>
        <v/>
      </c>
      <c r="B5494" t="str">
        <f>IF(AND(FORSIDE!$B$8&gt;=14,FORSIDE!$F$8&gt;=5,FORSIDE!$B$5&gt;=3),"1082 -&gt; 1313","")</f>
        <v/>
      </c>
      <c r="C5494" t="str">
        <f>FORSIDE!$C$3</f>
        <v>S355, Stål / VFHUP 140x140x8.0</v>
      </c>
    </row>
    <row r="5495" spans="1:3" x14ac:dyDescent="0.3">
      <c r="A5495" t="str">
        <f>IF(AND(FORSIDE!$B$8&gt;=14,FORSIDE!$F$8&gt;=5,FORSIDE!$B$5&gt;=4),"S5494","")</f>
        <v/>
      </c>
      <c r="B5495" t="str">
        <f>IF(AND(FORSIDE!$B$8&gt;=14,FORSIDE!$F$8&gt;=5,FORSIDE!$B$5&gt;=4),"1083 -&gt; 1314","")</f>
        <v/>
      </c>
      <c r="C5495" t="str">
        <f>FORSIDE!$C$3</f>
        <v>S355, Stål / VFHUP 140x140x8.0</v>
      </c>
    </row>
    <row r="5496" spans="1:3" x14ac:dyDescent="0.3">
      <c r="A5496" t="str">
        <f>IF(AND(FORSIDE!$B$8&gt;=14,FORSIDE!$F$8&gt;=5,FORSIDE!$B$5&gt;=5),"S5495","")</f>
        <v/>
      </c>
      <c r="B5496" t="str">
        <f>IF(AND(FORSIDE!$B$8&gt;=14,FORSIDE!$F$8&gt;=5,FORSIDE!$B$5&gt;=5),"1084 -&gt; 1315","")</f>
        <v/>
      </c>
      <c r="C5496" t="str">
        <f>FORSIDE!$C$3</f>
        <v>S355, Stål / VFHUP 140x140x8.0</v>
      </c>
    </row>
    <row r="5497" spans="1:3" x14ac:dyDescent="0.3">
      <c r="A5497" t="str">
        <f>IF(AND(FORSIDE!$B$8&gt;=14,FORSIDE!$F$8&gt;=5,FORSIDE!$B$5&gt;=6),"S5496","")</f>
        <v/>
      </c>
      <c r="B5497" t="str">
        <f>IF(AND(FORSIDE!$B$8&gt;=14,FORSIDE!$F$8&gt;=5,FORSIDE!$B$5&gt;=6),"1085 -&gt; 1316","")</f>
        <v/>
      </c>
      <c r="C5497" t="str">
        <f>FORSIDE!$C$3</f>
        <v>S355, Stål / VFHUP 140x140x8.0</v>
      </c>
    </row>
    <row r="5498" spans="1:3" x14ac:dyDescent="0.3">
      <c r="A5498" t="str">
        <f>IF(AND(FORSIDE!$B$8&gt;=14,FORSIDE!$F$8&gt;=5,FORSIDE!$B$5&gt;=7),"S5497","")</f>
        <v/>
      </c>
      <c r="B5498" t="str">
        <f>IF(AND(FORSIDE!$B$8&gt;=14,FORSIDE!$F$8&gt;=5,FORSIDE!$B$5&gt;=7),"1086 -&gt; 1317","")</f>
        <v/>
      </c>
      <c r="C5498" t="str">
        <f>FORSIDE!$C$3</f>
        <v>S355, Stål / VFHUP 140x140x8.0</v>
      </c>
    </row>
    <row r="5499" spans="1:3" x14ac:dyDescent="0.3">
      <c r="A5499" t="str">
        <f>IF(AND(FORSIDE!$B$8&gt;=14,FORSIDE!$F$8&gt;=5,FORSIDE!$B$5&gt;=8),"S5498","")</f>
        <v/>
      </c>
      <c r="B5499" t="str">
        <f>IF(AND(FORSIDE!$B$8&gt;=14,FORSIDE!$F$8&gt;=5,FORSIDE!$B$5&gt;=8),"1087 -&gt; 1318","")</f>
        <v/>
      </c>
      <c r="C5499" t="str">
        <f>FORSIDE!$C$3</f>
        <v>S355, Stål / VFHUP 140x140x8.0</v>
      </c>
    </row>
    <row r="5500" spans="1:3" x14ac:dyDescent="0.3">
      <c r="A5500" t="str">
        <f>IF(AND(FORSIDE!$B$8&gt;=14,FORSIDE!$F$8&gt;=5,FORSIDE!$B$5&gt;=9),"S5499","")</f>
        <v/>
      </c>
      <c r="B5500" t="str">
        <f>IF(AND(FORSIDE!$B$8&gt;=14,FORSIDE!$F$8&gt;=5,FORSIDE!$B$5&gt;=9),"1088 -&gt; 1319","")</f>
        <v/>
      </c>
      <c r="C5500" t="str">
        <f>FORSIDE!$C$3</f>
        <v>S355, Stål / VFHUP 140x140x8.0</v>
      </c>
    </row>
    <row r="5501" spans="1:3" x14ac:dyDescent="0.3">
      <c r="A5501" t="str">
        <f>IF(AND(FORSIDE!$B$8&gt;=14,FORSIDE!$F$8&gt;=5,FORSIDE!$B$5&gt;=10),"S5500","")</f>
        <v/>
      </c>
      <c r="B5501" t="str">
        <f>IF(AND(FORSIDE!$B$8&gt;=14,FORSIDE!$F$8&gt;=5,FORSIDE!$B$5&gt;=10),"1089 -&gt; 1320","")</f>
        <v/>
      </c>
      <c r="C5501" t="str">
        <f>FORSIDE!$C$3</f>
        <v>S355, Stål / VFHUP 140x140x8.0</v>
      </c>
    </row>
    <row r="5502" spans="1:3" x14ac:dyDescent="0.3">
      <c r="A5502" t="str">
        <f>IF(AND(FORSIDE!$B$8&gt;=15,FORSIDE!$F$8&gt;=5,FORSIDE!$B$5&gt;=1),"S5501","")</f>
        <v/>
      </c>
      <c r="B5502" t="str">
        <f>IF(AND(FORSIDE!$B$8&gt;=15,FORSIDE!$F$8&gt;=5,FORSIDE!$B$5&gt;=1),"1091 -&gt; 1322","")</f>
        <v/>
      </c>
      <c r="C5502" t="str">
        <f>FORSIDE!$C$3</f>
        <v>S355, Stål / VFHUP 140x140x8.0</v>
      </c>
    </row>
    <row r="5503" spans="1:3" x14ac:dyDescent="0.3">
      <c r="A5503" t="str">
        <f>IF(AND(FORSIDE!$B$8&gt;=15,FORSIDE!$F$8&gt;=5,FORSIDE!$B$5&gt;=2),"S5502","")</f>
        <v/>
      </c>
      <c r="B5503" t="str">
        <f>IF(AND(FORSIDE!$B$8&gt;=15,FORSIDE!$F$8&gt;=5,FORSIDE!$B$5&gt;=2),"1092 -&gt; 1323","")</f>
        <v/>
      </c>
      <c r="C5503" t="str">
        <f>FORSIDE!$C$3</f>
        <v>S355, Stål / VFHUP 140x140x8.0</v>
      </c>
    </row>
    <row r="5504" spans="1:3" x14ac:dyDescent="0.3">
      <c r="A5504" t="str">
        <f>IF(AND(FORSIDE!$B$8&gt;=15,FORSIDE!$F$8&gt;=5,FORSIDE!$B$5&gt;=3),"S5503","")</f>
        <v/>
      </c>
      <c r="B5504" t="str">
        <f>IF(AND(FORSIDE!$B$8&gt;=15,FORSIDE!$F$8&gt;=5,FORSIDE!$B$5&gt;=3),"1093 -&gt; 1324","")</f>
        <v/>
      </c>
      <c r="C5504" t="str">
        <f>FORSIDE!$C$3</f>
        <v>S355, Stål / VFHUP 140x140x8.0</v>
      </c>
    </row>
    <row r="5505" spans="1:3" x14ac:dyDescent="0.3">
      <c r="A5505" t="str">
        <f>IF(AND(FORSIDE!$B$8&gt;=15,FORSIDE!$F$8&gt;=5,FORSIDE!$B$5&gt;=4),"S5504","")</f>
        <v/>
      </c>
      <c r="B5505" t="str">
        <f>IF(AND(FORSIDE!$B$8&gt;=15,FORSIDE!$F$8&gt;=5,FORSIDE!$B$5&gt;=4),"1094 -&gt; 1325","")</f>
        <v/>
      </c>
      <c r="C5505" t="str">
        <f>FORSIDE!$C$3</f>
        <v>S355, Stål / VFHUP 140x140x8.0</v>
      </c>
    </row>
    <row r="5506" spans="1:3" x14ac:dyDescent="0.3">
      <c r="A5506" t="str">
        <f>IF(AND(FORSIDE!$B$8&gt;=15,FORSIDE!$F$8&gt;=5,FORSIDE!$B$5&gt;=5),"S5505","")</f>
        <v/>
      </c>
      <c r="B5506" t="str">
        <f>IF(AND(FORSIDE!$B$8&gt;=15,FORSIDE!$F$8&gt;=5,FORSIDE!$B$5&gt;=5),"1095 -&gt; 1326","")</f>
        <v/>
      </c>
      <c r="C5506" t="str">
        <f>FORSIDE!$C$3</f>
        <v>S355, Stål / VFHUP 140x140x8.0</v>
      </c>
    </row>
    <row r="5507" spans="1:3" x14ac:dyDescent="0.3">
      <c r="A5507" t="str">
        <f>IF(AND(FORSIDE!$B$8&gt;=15,FORSIDE!$F$8&gt;=5,FORSIDE!$B$5&gt;=6),"S5506","")</f>
        <v/>
      </c>
      <c r="B5507" t="str">
        <f>IF(AND(FORSIDE!$B$8&gt;=15,FORSIDE!$F$8&gt;=5,FORSIDE!$B$5&gt;=6),"1096 -&gt; 1327","")</f>
        <v/>
      </c>
      <c r="C5507" t="str">
        <f>FORSIDE!$C$3</f>
        <v>S355, Stål / VFHUP 140x140x8.0</v>
      </c>
    </row>
    <row r="5508" spans="1:3" x14ac:dyDescent="0.3">
      <c r="A5508" t="str">
        <f>IF(AND(FORSIDE!$B$8&gt;=15,FORSIDE!$F$8&gt;=5,FORSIDE!$B$5&gt;=7),"S5507","")</f>
        <v/>
      </c>
      <c r="B5508" t="str">
        <f>IF(AND(FORSIDE!$B$8&gt;=15,FORSIDE!$F$8&gt;=5,FORSIDE!$B$5&gt;=7),"1097 -&gt; 1328","")</f>
        <v/>
      </c>
      <c r="C5508" t="str">
        <f>FORSIDE!$C$3</f>
        <v>S355, Stål / VFHUP 140x140x8.0</v>
      </c>
    </row>
    <row r="5509" spans="1:3" x14ac:dyDescent="0.3">
      <c r="A5509" t="str">
        <f>IF(AND(FORSIDE!$B$8&gt;=15,FORSIDE!$F$8&gt;=5,FORSIDE!$B$5&gt;=8),"S5508","")</f>
        <v/>
      </c>
      <c r="B5509" t="str">
        <f>IF(AND(FORSIDE!$B$8&gt;=15,FORSIDE!$F$8&gt;=5,FORSIDE!$B$5&gt;=8),"1098 -&gt; 1329","")</f>
        <v/>
      </c>
      <c r="C5509" t="str">
        <f>FORSIDE!$C$3</f>
        <v>S355, Stål / VFHUP 140x140x8.0</v>
      </c>
    </row>
    <row r="5510" spans="1:3" x14ac:dyDescent="0.3">
      <c r="A5510" t="str">
        <f>IF(AND(FORSIDE!$B$8&gt;=15,FORSIDE!$F$8&gt;=5,FORSIDE!$B$5&gt;=9),"S5509","")</f>
        <v/>
      </c>
      <c r="B5510" t="str">
        <f>IF(AND(FORSIDE!$B$8&gt;=15,FORSIDE!$F$8&gt;=5,FORSIDE!$B$5&gt;=9),"1099 -&gt; 1330","")</f>
        <v/>
      </c>
      <c r="C5510" t="str">
        <f>FORSIDE!$C$3</f>
        <v>S355, Stål / VFHUP 140x140x8.0</v>
      </c>
    </row>
    <row r="5511" spans="1:3" x14ac:dyDescent="0.3">
      <c r="A5511" t="str">
        <f>IF(AND(FORSIDE!$B$8&gt;=15,FORSIDE!$F$8&gt;=5,FORSIDE!$B$5&gt;=10),"S5510","")</f>
        <v/>
      </c>
      <c r="B5511" t="str">
        <f>IF(AND(FORSIDE!$B$8&gt;=15,FORSIDE!$F$8&gt;=5,FORSIDE!$B$5&gt;=10),"1100 -&gt; 1331","")</f>
        <v/>
      </c>
      <c r="C5511" t="str">
        <f>FORSIDE!$C$3</f>
        <v>S355, Stål / VFHUP 140x140x8.0</v>
      </c>
    </row>
    <row r="5512" spans="1:3" x14ac:dyDescent="0.3">
      <c r="A5512" t="str">
        <f>IF(AND(FORSIDE!$B$8&gt;=16,FORSIDE!$F$8&gt;=5,FORSIDE!$B$5&gt;=1),"S5511","")</f>
        <v/>
      </c>
      <c r="B5512" t="str">
        <f>IF(AND(FORSIDE!$B$8&gt;=16,FORSIDE!$F$8&gt;=5,FORSIDE!$B$5&gt;=1),"1102 -&gt; 1333","")</f>
        <v/>
      </c>
      <c r="C5512" t="str">
        <f>FORSIDE!$C$3</f>
        <v>S355, Stål / VFHUP 140x140x8.0</v>
      </c>
    </row>
    <row r="5513" spans="1:3" x14ac:dyDescent="0.3">
      <c r="A5513" t="str">
        <f>IF(AND(FORSIDE!$B$8&gt;=16,FORSIDE!$F$8&gt;=5,FORSIDE!$B$5&gt;=2),"S5512","")</f>
        <v/>
      </c>
      <c r="B5513" t="str">
        <f>IF(AND(FORSIDE!$B$8&gt;=16,FORSIDE!$F$8&gt;=5,FORSIDE!$B$5&gt;=2),"1103 -&gt; 1334","")</f>
        <v/>
      </c>
      <c r="C5513" t="str">
        <f>FORSIDE!$C$3</f>
        <v>S355, Stål / VFHUP 140x140x8.0</v>
      </c>
    </row>
    <row r="5514" spans="1:3" x14ac:dyDescent="0.3">
      <c r="A5514" t="str">
        <f>IF(AND(FORSIDE!$B$8&gt;=16,FORSIDE!$F$8&gt;=5,FORSIDE!$B$5&gt;=3),"S5513","")</f>
        <v/>
      </c>
      <c r="B5514" t="str">
        <f>IF(AND(FORSIDE!$B$8&gt;=16,FORSIDE!$F$8&gt;=5,FORSIDE!$B$5&gt;=3),"1104 -&gt; 1335","")</f>
        <v/>
      </c>
      <c r="C5514" t="str">
        <f>FORSIDE!$C$3</f>
        <v>S355, Stål / VFHUP 140x140x8.0</v>
      </c>
    </row>
    <row r="5515" spans="1:3" x14ac:dyDescent="0.3">
      <c r="A5515" t="str">
        <f>IF(AND(FORSIDE!$B$8&gt;=16,FORSIDE!$F$8&gt;=5,FORSIDE!$B$5&gt;=4),"S5514","")</f>
        <v/>
      </c>
      <c r="B5515" t="str">
        <f>IF(AND(FORSIDE!$B$8&gt;=16,FORSIDE!$F$8&gt;=5,FORSIDE!$B$5&gt;=4),"1105 -&gt; 1336","")</f>
        <v/>
      </c>
      <c r="C5515" t="str">
        <f>FORSIDE!$C$3</f>
        <v>S355, Stål / VFHUP 140x140x8.0</v>
      </c>
    </row>
    <row r="5516" spans="1:3" x14ac:dyDescent="0.3">
      <c r="A5516" t="str">
        <f>IF(AND(FORSIDE!$B$8&gt;=16,FORSIDE!$F$8&gt;=5,FORSIDE!$B$5&gt;=5),"S5515","")</f>
        <v/>
      </c>
      <c r="B5516" t="str">
        <f>IF(AND(FORSIDE!$B$8&gt;=16,FORSIDE!$F$8&gt;=5,FORSIDE!$B$5&gt;=5),"1106 -&gt; 1337","")</f>
        <v/>
      </c>
      <c r="C5516" t="str">
        <f>FORSIDE!$C$3</f>
        <v>S355, Stål / VFHUP 140x140x8.0</v>
      </c>
    </row>
    <row r="5517" spans="1:3" x14ac:dyDescent="0.3">
      <c r="A5517" t="str">
        <f>IF(AND(FORSIDE!$B$8&gt;=16,FORSIDE!$F$8&gt;=5,FORSIDE!$B$5&gt;=6),"S5516","")</f>
        <v/>
      </c>
      <c r="B5517" t="str">
        <f>IF(AND(FORSIDE!$B$8&gt;=16,FORSIDE!$F$8&gt;=5,FORSIDE!$B$5&gt;=6),"1107 -&gt; 1338","")</f>
        <v/>
      </c>
      <c r="C5517" t="str">
        <f>FORSIDE!$C$3</f>
        <v>S355, Stål / VFHUP 140x140x8.0</v>
      </c>
    </row>
    <row r="5518" spans="1:3" x14ac:dyDescent="0.3">
      <c r="A5518" t="str">
        <f>IF(AND(FORSIDE!$B$8&gt;=16,FORSIDE!$F$8&gt;=5,FORSIDE!$B$5&gt;=7),"S5517","")</f>
        <v/>
      </c>
      <c r="B5518" t="str">
        <f>IF(AND(FORSIDE!$B$8&gt;=16,FORSIDE!$F$8&gt;=5,FORSIDE!$B$5&gt;=7),"1108 -&gt; 1339","")</f>
        <v/>
      </c>
      <c r="C5518" t="str">
        <f>FORSIDE!$C$3</f>
        <v>S355, Stål / VFHUP 140x140x8.0</v>
      </c>
    </row>
    <row r="5519" spans="1:3" x14ac:dyDescent="0.3">
      <c r="A5519" t="str">
        <f>IF(AND(FORSIDE!$B$8&gt;=16,FORSIDE!$F$8&gt;=5,FORSIDE!$B$5&gt;=8),"S5518","")</f>
        <v/>
      </c>
      <c r="B5519" t="str">
        <f>IF(AND(FORSIDE!$B$8&gt;=16,FORSIDE!$F$8&gt;=5,FORSIDE!$B$5&gt;=8),"1109 -&gt; 1340","")</f>
        <v/>
      </c>
      <c r="C5519" t="str">
        <f>FORSIDE!$C$3</f>
        <v>S355, Stål / VFHUP 140x140x8.0</v>
      </c>
    </row>
    <row r="5520" spans="1:3" x14ac:dyDescent="0.3">
      <c r="A5520" t="str">
        <f>IF(AND(FORSIDE!$B$8&gt;=16,FORSIDE!$F$8&gt;=5,FORSIDE!$B$5&gt;=9),"S5519","")</f>
        <v/>
      </c>
      <c r="B5520" t="str">
        <f>IF(AND(FORSIDE!$B$8&gt;=16,FORSIDE!$F$8&gt;=5,FORSIDE!$B$5&gt;=9),"1110 -&gt; 1341","")</f>
        <v/>
      </c>
      <c r="C5520" t="str">
        <f>FORSIDE!$C$3</f>
        <v>S355, Stål / VFHUP 140x140x8.0</v>
      </c>
    </row>
    <row r="5521" spans="1:3" x14ac:dyDescent="0.3">
      <c r="A5521" t="str">
        <f>IF(AND(FORSIDE!$B$8&gt;=16,FORSIDE!$F$8&gt;=5,FORSIDE!$B$5&gt;=10),"S5520","")</f>
        <v/>
      </c>
      <c r="B5521" t="str">
        <f>IF(AND(FORSIDE!$B$8&gt;=16,FORSIDE!$F$8&gt;=5,FORSIDE!$B$5&gt;=10),"1111 -&gt; 1342","")</f>
        <v/>
      </c>
      <c r="C5521" t="str">
        <f>FORSIDE!$C$3</f>
        <v>S355, Stål / VFHUP 140x140x8.0</v>
      </c>
    </row>
    <row r="5522" spans="1:3" x14ac:dyDescent="0.3">
      <c r="A5522" t="str">
        <f>IF(AND(FORSIDE!$B$8&gt;=17,FORSIDE!$F$8&gt;=5,FORSIDE!$B$5&gt;=1),"S5521","")</f>
        <v/>
      </c>
      <c r="B5522" t="str">
        <f>IF(AND(FORSIDE!$B$8&gt;=17,FORSIDE!$F$8&gt;=5,FORSIDE!$B$5&gt;=1),"1113 -&gt; 1344","")</f>
        <v/>
      </c>
      <c r="C5522" t="str">
        <f>FORSIDE!$C$3</f>
        <v>S355, Stål / VFHUP 140x140x8.0</v>
      </c>
    </row>
    <row r="5523" spans="1:3" x14ac:dyDescent="0.3">
      <c r="A5523" t="str">
        <f>IF(AND(FORSIDE!$B$8&gt;=17,FORSIDE!$F$8&gt;=5,FORSIDE!$B$5&gt;=2),"S5522","")</f>
        <v/>
      </c>
      <c r="B5523" t="str">
        <f>IF(AND(FORSIDE!$B$8&gt;=17,FORSIDE!$F$8&gt;=5,FORSIDE!$B$5&gt;=2),"1114 -&gt; 1345","")</f>
        <v/>
      </c>
      <c r="C5523" t="str">
        <f>FORSIDE!$C$3</f>
        <v>S355, Stål / VFHUP 140x140x8.0</v>
      </c>
    </row>
    <row r="5524" spans="1:3" x14ac:dyDescent="0.3">
      <c r="A5524" t="str">
        <f>IF(AND(FORSIDE!$B$8&gt;=17,FORSIDE!$F$8&gt;=5,FORSIDE!$B$5&gt;=3),"S5523","")</f>
        <v/>
      </c>
      <c r="B5524" t="str">
        <f>IF(AND(FORSIDE!$B$8&gt;=17,FORSIDE!$F$8&gt;=5,FORSIDE!$B$5&gt;=3),"1115 -&gt; 1346","")</f>
        <v/>
      </c>
      <c r="C5524" t="str">
        <f>FORSIDE!$C$3</f>
        <v>S355, Stål / VFHUP 140x140x8.0</v>
      </c>
    </row>
    <row r="5525" spans="1:3" x14ac:dyDescent="0.3">
      <c r="A5525" t="str">
        <f>IF(AND(FORSIDE!$B$8&gt;=17,FORSIDE!$F$8&gt;=5,FORSIDE!$B$5&gt;=4),"S5524","")</f>
        <v/>
      </c>
      <c r="B5525" t="str">
        <f>IF(AND(FORSIDE!$B$8&gt;=17,FORSIDE!$F$8&gt;=5,FORSIDE!$B$5&gt;=4),"1116 -&gt; 1347","")</f>
        <v/>
      </c>
      <c r="C5525" t="str">
        <f>FORSIDE!$C$3</f>
        <v>S355, Stål / VFHUP 140x140x8.0</v>
      </c>
    </row>
    <row r="5526" spans="1:3" x14ac:dyDescent="0.3">
      <c r="A5526" t="str">
        <f>IF(AND(FORSIDE!$B$8&gt;=17,FORSIDE!$F$8&gt;=5,FORSIDE!$B$5&gt;=5),"S5525","")</f>
        <v/>
      </c>
      <c r="B5526" t="str">
        <f>IF(AND(FORSIDE!$B$8&gt;=17,FORSIDE!$F$8&gt;=5,FORSIDE!$B$5&gt;=5),"1117 -&gt; 1348","")</f>
        <v/>
      </c>
      <c r="C5526" t="str">
        <f>FORSIDE!$C$3</f>
        <v>S355, Stål / VFHUP 140x140x8.0</v>
      </c>
    </row>
    <row r="5527" spans="1:3" x14ac:dyDescent="0.3">
      <c r="A5527" t="str">
        <f>IF(AND(FORSIDE!$B$8&gt;=17,FORSIDE!$F$8&gt;=5,FORSIDE!$B$5&gt;=6),"S5526","")</f>
        <v/>
      </c>
      <c r="B5527" t="str">
        <f>IF(AND(FORSIDE!$B$8&gt;=17,FORSIDE!$F$8&gt;=5,FORSIDE!$B$5&gt;=6),"1118 -&gt; 1349","")</f>
        <v/>
      </c>
      <c r="C5527" t="str">
        <f>FORSIDE!$C$3</f>
        <v>S355, Stål / VFHUP 140x140x8.0</v>
      </c>
    </row>
    <row r="5528" spans="1:3" x14ac:dyDescent="0.3">
      <c r="A5528" t="str">
        <f>IF(AND(FORSIDE!$B$8&gt;=17,FORSIDE!$F$8&gt;=5,FORSIDE!$B$5&gt;=7),"S5527","")</f>
        <v/>
      </c>
      <c r="B5528" t="str">
        <f>IF(AND(FORSIDE!$B$8&gt;=17,FORSIDE!$F$8&gt;=5,FORSIDE!$B$5&gt;=7),"1119 -&gt; 1350","")</f>
        <v/>
      </c>
      <c r="C5528" t="str">
        <f>FORSIDE!$C$3</f>
        <v>S355, Stål / VFHUP 140x140x8.0</v>
      </c>
    </row>
    <row r="5529" spans="1:3" x14ac:dyDescent="0.3">
      <c r="A5529" t="str">
        <f>IF(AND(FORSIDE!$B$8&gt;=17,FORSIDE!$F$8&gt;=5,FORSIDE!$B$5&gt;=8),"S5528","")</f>
        <v/>
      </c>
      <c r="B5529" t="str">
        <f>IF(AND(FORSIDE!$B$8&gt;=17,FORSIDE!$F$8&gt;=5,FORSIDE!$B$5&gt;=8),"1120 -&gt; 1351","")</f>
        <v/>
      </c>
      <c r="C5529" t="str">
        <f>FORSIDE!$C$3</f>
        <v>S355, Stål / VFHUP 140x140x8.0</v>
      </c>
    </row>
    <row r="5530" spans="1:3" x14ac:dyDescent="0.3">
      <c r="A5530" t="str">
        <f>IF(AND(FORSIDE!$B$8&gt;=17,FORSIDE!$F$8&gt;=5,FORSIDE!$B$5&gt;=9),"S5529","")</f>
        <v/>
      </c>
      <c r="B5530" t="str">
        <f>IF(AND(FORSIDE!$B$8&gt;=17,FORSIDE!$F$8&gt;=5,FORSIDE!$B$5&gt;=9),"1121 -&gt; 1352","")</f>
        <v/>
      </c>
      <c r="C5530" t="str">
        <f>FORSIDE!$C$3</f>
        <v>S355, Stål / VFHUP 140x140x8.0</v>
      </c>
    </row>
    <row r="5531" spans="1:3" x14ac:dyDescent="0.3">
      <c r="A5531" t="str">
        <f>IF(AND(FORSIDE!$B$8&gt;=17,FORSIDE!$F$8&gt;=5,FORSIDE!$B$5&gt;=10),"S5530","")</f>
        <v/>
      </c>
      <c r="B5531" t="str">
        <f>IF(AND(FORSIDE!$B$8&gt;=17,FORSIDE!$F$8&gt;=5,FORSIDE!$B$5&gt;=10),"1122 -&gt; 1353","")</f>
        <v/>
      </c>
      <c r="C5531" t="str">
        <f>FORSIDE!$C$3</f>
        <v>S355, Stål / VFHUP 140x140x8.0</v>
      </c>
    </row>
    <row r="5532" spans="1:3" x14ac:dyDescent="0.3">
      <c r="A5532" t="str">
        <f>IF(AND(FORSIDE!$B$8&gt;=18,FORSIDE!$F$8&gt;=5,FORSIDE!$B$5&gt;=1),"S5531","")</f>
        <v/>
      </c>
      <c r="B5532" t="str">
        <f>IF(AND(FORSIDE!$B$8&gt;=18,FORSIDE!$F$8&gt;=5,FORSIDE!$B$5&gt;=1),"1124 -&gt; 1355","")</f>
        <v/>
      </c>
      <c r="C5532" t="str">
        <f>FORSIDE!$C$3</f>
        <v>S355, Stål / VFHUP 140x140x8.0</v>
      </c>
    </row>
    <row r="5533" spans="1:3" x14ac:dyDescent="0.3">
      <c r="A5533" t="str">
        <f>IF(AND(FORSIDE!$B$8&gt;=18,FORSIDE!$F$8&gt;=5,FORSIDE!$B$5&gt;=2),"S5532","")</f>
        <v/>
      </c>
      <c r="B5533" t="str">
        <f>IF(AND(FORSIDE!$B$8&gt;=18,FORSIDE!$F$8&gt;=5,FORSIDE!$B$5&gt;=2),"1125 -&gt; 1356","")</f>
        <v/>
      </c>
      <c r="C5533" t="str">
        <f>FORSIDE!$C$3</f>
        <v>S355, Stål / VFHUP 140x140x8.0</v>
      </c>
    </row>
    <row r="5534" spans="1:3" x14ac:dyDescent="0.3">
      <c r="A5534" t="str">
        <f>IF(AND(FORSIDE!$B$8&gt;=18,FORSIDE!$F$8&gt;=5,FORSIDE!$B$5&gt;=3),"S5533","")</f>
        <v/>
      </c>
      <c r="B5534" t="str">
        <f>IF(AND(FORSIDE!$B$8&gt;=18,FORSIDE!$F$8&gt;=5,FORSIDE!$B$5&gt;=3),"1126 -&gt; 1357","")</f>
        <v/>
      </c>
      <c r="C5534" t="str">
        <f>FORSIDE!$C$3</f>
        <v>S355, Stål / VFHUP 140x140x8.0</v>
      </c>
    </row>
    <row r="5535" spans="1:3" x14ac:dyDescent="0.3">
      <c r="A5535" t="str">
        <f>IF(AND(FORSIDE!$B$8&gt;=18,FORSIDE!$F$8&gt;=5,FORSIDE!$B$5&gt;=4),"S5534","")</f>
        <v/>
      </c>
      <c r="B5535" t="str">
        <f>IF(AND(FORSIDE!$B$8&gt;=18,FORSIDE!$F$8&gt;=5,FORSIDE!$B$5&gt;=4),"1127 -&gt; 1358","")</f>
        <v/>
      </c>
      <c r="C5535" t="str">
        <f>FORSIDE!$C$3</f>
        <v>S355, Stål / VFHUP 140x140x8.0</v>
      </c>
    </row>
    <row r="5536" spans="1:3" x14ac:dyDescent="0.3">
      <c r="A5536" t="str">
        <f>IF(AND(FORSIDE!$B$8&gt;=18,FORSIDE!$F$8&gt;=5,FORSIDE!$B$5&gt;=5),"S5535","")</f>
        <v/>
      </c>
      <c r="B5536" t="str">
        <f>IF(AND(FORSIDE!$B$8&gt;=18,FORSIDE!$F$8&gt;=5,FORSIDE!$B$5&gt;=5),"1128 -&gt; 1359","")</f>
        <v/>
      </c>
      <c r="C5536" t="str">
        <f>FORSIDE!$C$3</f>
        <v>S355, Stål / VFHUP 140x140x8.0</v>
      </c>
    </row>
    <row r="5537" spans="1:3" x14ac:dyDescent="0.3">
      <c r="A5537" t="str">
        <f>IF(AND(FORSIDE!$B$8&gt;=18,FORSIDE!$F$8&gt;=5,FORSIDE!$B$5&gt;=6),"S5536","")</f>
        <v/>
      </c>
      <c r="B5537" t="str">
        <f>IF(AND(FORSIDE!$B$8&gt;=18,FORSIDE!$F$8&gt;=5,FORSIDE!$B$5&gt;=6),"1129 -&gt; 1360","")</f>
        <v/>
      </c>
      <c r="C5537" t="str">
        <f>FORSIDE!$C$3</f>
        <v>S355, Stål / VFHUP 140x140x8.0</v>
      </c>
    </row>
    <row r="5538" spans="1:3" x14ac:dyDescent="0.3">
      <c r="A5538" t="str">
        <f>IF(AND(FORSIDE!$B$8&gt;=18,FORSIDE!$F$8&gt;=5,FORSIDE!$B$5&gt;=7),"S5537","")</f>
        <v/>
      </c>
      <c r="B5538" t="str">
        <f>IF(AND(FORSIDE!$B$8&gt;=18,FORSIDE!$F$8&gt;=5,FORSIDE!$B$5&gt;=7),"1130 -&gt; 1361","")</f>
        <v/>
      </c>
      <c r="C5538" t="str">
        <f>FORSIDE!$C$3</f>
        <v>S355, Stål / VFHUP 140x140x8.0</v>
      </c>
    </row>
    <row r="5539" spans="1:3" x14ac:dyDescent="0.3">
      <c r="A5539" t="str">
        <f>IF(AND(FORSIDE!$B$8&gt;=18,FORSIDE!$F$8&gt;=5,FORSIDE!$B$5&gt;=8),"S5538","")</f>
        <v/>
      </c>
      <c r="B5539" t="str">
        <f>IF(AND(FORSIDE!$B$8&gt;=18,FORSIDE!$F$8&gt;=5,FORSIDE!$B$5&gt;=8),"1131 -&gt; 1362","")</f>
        <v/>
      </c>
      <c r="C5539" t="str">
        <f>FORSIDE!$C$3</f>
        <v>S355, Stål / VFHUP 140x140x8.0</v>
      </c>
    </row>
    <row r="5540" spans="1:3" x14ac:dyDescent="0.3">
      <c r="A5540" t="str">
        <f>IF(AND(FORSIDE!$B$8&gt;=18,FORSIDE!$F$8&gt;=5,FORSIDE!$B$5&gt;=9),"S5539","")</f>
        <v/>
      </c>
      <c r="B5540" t="str">
        <f>IF(AND(FORSIDE!$B$8&gt;=18,FORSIDE!$F$8&gt;=5,FORSIDE!$B$5&gt;=9),"1132 -&gt; 1363","")</f>
        <v/>
      </c>
      <c r="C5540" t="str">
        <f>FORSIDE!$C$3</f>
        <v>S355, Stål / VFHUP 140x140x8.0</v>
      </c>
    </row>
    <row r="5541" spans="1:3" x14ac:dyDescent="0.3">
      <c r="A5541" t="str">
        <f>IF(AND(FORSIDE!$B$8&gt;=18,FORSIDE!$F$8&gt;=5,FORSIDE!$B$5&gt;=10),"S5540","")</f>
        <v/>
      </c>
      <c r="B5541" t="str">
        <f>IF(AND(FORSIDE!$B$8&gt;=18,FORSIDE!$F$8&gt;=5,FORSIDE!$B$5&gt;=10),"1133 -&gt; 1364","")</f>
        <v/>
      </c>
      <c r="C5541" t="str">
        <f>FORSIDE!$C$3</f>
        <v>S355, Stål / VFHUP 140x140x8.0</v>
      </c>
    </row>
    <row r="5542" spans="1:3" x14ac:dyDescent="0.3">
      <c r="A5542" t="str">
        <f>IF(AND(FORSIDE!$B$8&gt;=19,FORSIDE!$F$8&gt;=5,FORSIDE!$B$5&gt;=1),"S5541","")</f>
        <v/>
      </c>
      <c r="B5542" t="str">
        <f>IF(AND(FORSIDE!$B$8&gt;=19,FORSIDE!$F$8&gt;=5,FORSIDE!$B$5&gt;=1),"1135 -&gt; 1366","")</f>
        <v/>
      </c>
      <c r="C5542" t="str">
        <f>FORSIDE!$C$3</f>
        <v>S355, Stål / VFHUP 140x140x8.0</v>
      </c>
    </row>
    <row r="5543" spans="1:3" x14ac:dyDescent="0.3">
      <c r="A5543" t="str">
        <f>IF(AND(FORSIDE!$B$8&gt;=19,FORSIDE!$F$8&gt;=5,FORSIDE!$B$5&gt;=2),"S5542","")</f>
        <v/>
      </c>
      <c r="B5543" t="str">
        <f>IF(AND(FORSIDE!$B$8&gt;=19,FORSIDE!$F$8&gt;=5,FORSIDE!$B$5&gt;=2),"1136 -&gt; 1367","")</f>
        <v/>
      </c>
      <c r="C5543" t="str">
        <f>FORSIDE!$C$3</f>
        <v>S355, Stål / VFHUP 140x140x8.0</v>
      </c>
    </row>
    <row r="5544" spans="1:3" x14ac:dyDescent="0.3">
      <c r="A5544" t="str">
        <f>IF(AND(FORSIDE!$B$8&gt;=19,FORSIDE!$F$8&gt;=5,FORSIDE!$B$5&gt;=3),"S5543","")</f>
        <v/>
      </c>
      <c r="B5544" t="str">
        <f>IF(AND(FORSIDE!$B$8&gt;=19,FORSIDE!$F$8&gt;=5,FORSIDE!$B$5&gt;=3),"1137 -&gt; 1368","")</f>
        <v/>
      </c>
      <c r="C5544" t="str">
        <f>FORSIDE!$C$3</f>
        <v>S355, Stål / VFHUP 140x140x8.0</v>
      </c>
    </row>
    <row r="5545" spans="1:3" x14ac:dyDescent="0.3">
      <c r="A5545" t="str">
        <f>IF(AND(FORSIDE!$B$8&gt;=19,FORSIDE!$F$8&gt;=5,FORSIDE!$B$5&gt;=4),"S5544","")</f>
        <v/>
      </c>
      <c r="B5545" t="str">
        <f>IF(AND(FORSIDE!$B$8&gt;=19,FORSIDE!$F$8&gt;=5,FORSIDE!$B$5&gt;=4),"1138 -&gt; 1369","")</f>
        <v/>
      </c>
      <c r="C5545" t="str">
        <f>FORSIDE!$C$3</f>
        <v>S355, Stål / VFHUP 140x140x8.0</v>
      </c>
    </row>
    <row r="5546" spans="1:3" x14ac:dyDescent="0.3">
      <c r="A5546" t="str">
        <f>IF(AND(FORSIDE!$B$8&gt;=19,FORSIDE!$F$8&gt;=5,FORSIDE!$B$5&gt;=5),"S5545","")</f>
        <v/>
      </c>
      <c r="B5546" t="str">
        <f>IF(AND(FORSIDE!$B$8&gt;=19,FORSIDE!$F$8&gt;=5,FORSIDE!$B$5&gt;=5),"1139 -&gt; 1370","")</f>
        <v/>
      </c>
      <c r="C5546" t="str">
        <f>FORSIDE!$C$3</f>
        <v>S355, Stål / VFHUP 140x140x8.0</v>
      </c>
    </row>
    <row r="5547" spans="1:3" x14ac:dyDescent="0.3">
      <c r="A5547" t="str">
        <f>IF(AND(FORSIDE!$B$8&gt;=19,FORSIDE!$F$8&gt;=5,FORSIDE!$B$5&gt;=6),"S5546","")</f>
        <v/>
      </c>
      <c r="B5547" t="str">
        <f>IF(AND(FORSIDE!$B$8&gt;=19,FORSIDE!$F$8&gt;=5,FORSIDE!$B$5&gt;=6),"1140 -&gt; 1371","")</f>
        <v/>
      </c>
      <c r="C5547" t="str">
        <f>FORSIDE!$C$3</f>
        <v>S355, Stål / VFHUP 140x140x8.0</v>
      </c>
    </row>
    <row r="5548" spans="1:3" x14ac:dyDescent="0.3">
      <c r="A5548" t="str">
        <f>IF(AND(FORSIDE!$B$8&gt;=19,FORSIDE!$F$8&gt;=5,FORSIDE!$B$5&gt;=7),"S5547","")</f>
        <v/>
      </c>
      <c r="B5548" t="str">
        <f>IF(AND(FORSIDE!$B$8&gt;=19,FORSIDE!$F$8&gt;=5,FORSIDE!$B$5&gt;=7),"1141 -&gt; 1372","")</f>
        <v/>
      </c>
      <c r="C5548" t="str">
        <f>FORSIDE!$C$3</f>
        <v>S355, Stål / VFHUP 140x140x8.0</v>
      </c>
    </row>
    <row r="5549" spans="1:3" x14ac:dyDescent="0.3">
      <c r="A5549" t="str">
        <f>IF(AND(FORSIDE!$B$8&gt;=19,FORSIDE!$F$8&gt;=5,FORSIDE!$B$5&gt;=8),"S5548","")</f>
        <v/>
      </c>
      <c r="B5549" t="str">
        <f>IF(AND(FORSIDE!$B$8&gt;=19,FORSIDE!$F$8&gt;=5,FORSIDE!$B$5&gt;=8),"1142 -&gt; 1373","")</f>
        <v/>
      </c>
      <c r="C5549" t="str">
        <f>FORSIDE!$C$3</f>
        <v>S355, Stål / VFHUP 140x140x8.0</v>
      </c>
    </row>
    <row r="5550" spans="1:3" x14ac:dyDescent="0.3">
      <c r="A5550" t="str">
        <f>IF(AND(FORSIDE!$B$8&gt;=19,FORSIDE!$F$8&gt;=5,FORSIDE!$B$5&gt;=9),"S5549","")</f>
        <v/>
      </c>
      <c r="B5550" t="str">
        <f>IF(AND(FORSIDE!$B$8&gt;=19,FORSIDE!$F$8&gt;=5,FORSIDE!$B$5&gt;=9),"1143 -&gt; 1374","")</f>
        <v/>
      </c>
      <c r="C5550" t="str">
        <f>FORSIDE!$C$3</f>
        <v>S355, Stål / VFHUP 140x140x8.0</v>
      </c>
    </row>
    <row r="5551" spans="1:3" x14ac:dyDescent="0.3">
      <c r="A5551" t="str">
        <f>IF(AND(FORSIDE!$B$8&gt;=19,FORSIDE!$F$8&gt;=5,FORSIDE!$B$5&gt;=10),"S5550","")</f>
        <v/>
      </c>
      <c r="B5551" t="str">
        <f>IF(AND(FORSIDE!$B$8&gt;=19,FORSIDE!$F$8&gt;=5,FORSIDE!$B$5&gt;=10),"1144 -&gt; 1375","")</f>
        <v/>
      </c>
      <c r="C5551" t="str">
        <f>FORSIDE!$C$3</f>
        <v>S355, Stål / VFHUP 140x140x8.0</v>
      </c>
    </row>
    <row r="5552" spans="1:3" x14ac:dyDescent="0.3">
      <c r="A5552" t="str">
        <f>IF(AND(FORSIDE!$B$8&gt;=20,FORSIDE!$F$8&gt;=5,FORSIDE!$B$5&gt;=1),"S5551","")</f>
        <v/>
      </c>
      <c r="B5552" t="str">
        <f>IF(AND(FORSIDE!$B$8&gt;=20,FORSIDE!$F$8&gt;=5,FORSIDE!$B$5&gt;=1),"1146 -&gt; 1377","")</f>
        <v/>
      </c>
      <c r="C5552" t="str">
        <f>FORSIDE!$C$3</f>
        <v>S355, Stål / VFHUP 140x140x8.0</v>
      </c>
    </row>
    <row r="5553" spans="1:3" x14ac:dyDescent="0.3">
      <c r="A5553" t="str">
        <f>IF(AND(FORSIDE!$B$8&gt;=20,FORSIDE!$F$8&gt;=5,FORSIDE!$B$5&gt;=2),"S5552","")</f>
        <v/>
      </c>
      <c r="B5553" t="str">
        <f>IF(AND(FORSIDE!$B$8&gt;=20,FORSIDE!$F$8&gt;=5,FORSIDE!$B$5&gt;=2),"1147 -&gt; 1378","")</f>
        <v/>
      </c>
      <c r="C5553" t="str">
        <f>FORSIDE!$C$3</f>
        <v>S355, Stål / VFHUP 140x140x8.0</v>
      </c>
    </row>
    <row r="5554" spans="1:3" x14ac:dyDescent="0.3">
      <c r="A5554" t="str">
        <f>IF(AND(FORSIDE!$B$8&gt;=20,FORSIDE!$F$8&gt;=5,FORSIDE!$B$5&gt;=3),"S5553","")</f>
        <v/>
      </c>
      <c r="B5554" t="str">
        <f>IF(AND(FORSIDE!$B$8&gt;=20,FORSIDE!$F$8&gt;=5,FORSIDE!$B$5&gt;=3),"1148 -&gt; 1379","")</f>
        <v/>
      </c>
      <c r="C5554" t="str">
        <f>FORSIDE!$C$3</f>
        <v>S355, Stål / VFHUP 140x140x8.0</v>
      </c>
    </row>
    <row r="5555" spans="1:3" x14ac:dyDescent="0.3">
      <c r="A5555" t="str">
        <f>IF(AND(FORSIDE!$B$8&gt;=20,FORSIDE!$F$8&gt;=5,FORSIDE!$B$5&gt;=4),"S5554","")</f>
        <v/>
      </c>
      <c r="B5555" t="str">
        <f>IF(AND(FORSIDE!$B$8&gt;=20,FORSIDE!$F$8&gt;=5,FORSIDE!$B$5&gt;=4),"1149 -&gt; 1380","")</f>
        <v/>
      </c>
      <c r="C5555" t="str">
        <f>FORSIDE!$C$3</f>
        <v>S355, Stål / VFHUP 140x140x8.0</v>
      </c>
    </row>
    <row r="5556" spans="1:3" x14ac:dyDescent="0.3">
      <c r="A5556" t="str">
        <f>IF(AND(FORSIDE!$B$8&gt;=20,FORSIDE!$F$8&gt;=5,FORSIDE!$B$5&gt;=5),"S5555","")</f>
        <v/>
      </c>
      <c r="B5556" t="str">
        <f>IF(AND(FORSIDE!$B$8&gt;=20,FORSIDE!$F$8&gt;=5,FORSIDE!$B$5&gt;=5),"1150 -&gt; 1381","")</f>
        <v/>
      </c>
      <c r="C5556" t="str">
        <f>FORSIDE!$C$3</f>
        <v>S355, Stål / VFHUP 140x140x8.0</v>
      </c>
    </row>
    <row r="5557" spans="1:3" x14ac:dyDescent="0.3">
      <c r="A5557" t="str">
        <f>IF(AND(FORSIDE!$B$8&gt;=20,FORSIDE!$F$8&gt;=5,FORSIDE!$B$5&gt;=6),"S5556","")</f>
        <v/>
      </c>
      <c r="B5557" t="str">
        <f>IF(AND(FORSIDE!$B$8&gt;=20,FORSIDE!$F$8&gt;=5,FORSIDE!$B$5&gt;=6),"1151 -&gt; 1382","")</f>
        <v/>
      </c>
      <c r="C5557" t="str">
        <f>FORSIDE!$C$3</f>
        <v>S355, Stål / VFHUP 140x140x8.0</v>
      </c>
    </row>
    <row r="5558" spans="1:3" x14ac:dyDescent="0.3">
      <c r="A5558" t="str">
        <f>IF(AND(FORSIDE!$B$8&gt;=20,FORSIDE!$F$8&gt;=5,FORSIDE!$B$5&gt;=7),"S5557","")</f>
        <v/>
      </c>
      <c r="B5558" t="str">
        <f>IF(AND(FORSIDE!$B$8&gt;=20,FORSIDE!$F$8&gt;=5,FORSIDE!$B$5&gt;=7),"1152 -&gt; 1383","")</f>
        <v/>
      </c>
      <c r="C5558" t="str">
        <f>FORSIDE!$C$3</f>
        <v>S355, Stål / VFHUP 140x140x8.0</v>
      </c>
    </row>
    <row r="5559" spans="1:3" x14ac:dyDescent="0.3">
      <c r="A5559" t="str">
        <f>IF(AND(FORSIDE!$B$8&gt;=20,FORSIDE!$F$8&gt;=5,FORSIDE!$B$5&gt;=8),"S5558","")</f>
        <v/>
      </c>
      <c r="B5559" t="str">
        <f>IF(AND(FORSIDE!$B$8&gt;=20,FORSIDE!$F$8&gt;=5,FORSIDE!$B$5&gt;=8),"1153 -&gt; 1384","")</f>
        <v/>
      </c>
      <c r="C5559" t="str">
        <f>FORSIDE!$C$3</f>
        <v>S355, Stål / VFHUP 140x140x8.0</v>
      </c>
    </row>
    <row r="5560" spans="1:3" x14ac:dyDescent="0.3">
      <c r="A5560" t="str">
        <f>IF(AND(FORSIDE!$B$8&gt;=20,FORSIDE!$F$8&gt;=5,FORSIDE!$B$5&gt;=9),"S5559","")</f>
        <v/>
      </c>
      <c r="B5560" t="str">
        <f>IF(AND(FORSIDE!$B$8&gt;=20,FORSIDE!$F$8&gt;=5,FORSIDE!$B$5&gt;=9),"1154 -&gt; 1385","")</f>
        <v/>
      </c>
      <c r="C5560" t="str">
        <f>FORSIDE!$C$3</f>
        <v>S355, Stål / VFHUP 140x140x8.0</v>
      </c>
    </row>
    <row r="5561" spans="1:3" x14ac:dyDescent="0.3">
      <c r="A5561" t="str">
        <f>IF(AND(FORSIDE!$B$8&gt;=20,FORSIDE!$F$8&gt;=5,FORSIDE!$B$5&gt;=10),"S5560","")</f>
        <v/>
      </c>
      <c r="B5561" t="str">
        <f>IF(AND(FORSIDE!$B$8&gt;=20,FORSIDE!$F$8&gt;=5,FORSIDE!$B$5&gt;=10),"1155 -&gt; 1386","")</f>
        <v/>
      </c>
      <c r="C5561" t="str">
        <f>FORSIDE!$C$3</f>
        <v>S355, Stål / VFHUP 140x140x8.0</v>
      </c>
    </row>
    <row r="5562" spans="1:3" x14ac:dyDescent="0.3">
      <c r="A5562" t="str">
        <f>IF(AND(FORSIDE!$B$8&gt;=0,FORSIDE!$F$8&gt;=6,FORSIDE!$B$5&gt;=1),"S5561","")</f>
        <v/>
      </c>
      <c r="B5562" t="str">
        <f>IF(AND(FORSIDE!$B$8&gt;=0,FORSIDE!$F$8&gt;=6,FORSIDE!$B$5&gt;=1),"1157 -&gt; 1388","")</f>
        <v/>
      </c>
      <c r="C5562" t="str">
        <f>FORSIDE!$C$3</f>
        <v>S355, Stål / VFHUP 140x140x8.0</v>
      </c>
    </row>
    <row r="5563" spans="1:3" x14ac:dyDescent="0.3">
      <c r="A5563" t="str">
        <f>IF(AND(FORSIDE!$B$8&gt;=0,FORSIDE!$F$8&gt;=6,FORSIDE!$B$5&gt;=2),"S5562","")</f>
        <v/>
      </c>
      <c r="B5563" t="str">
        <f>IF(AND(FORSIDE!$B$8&gt;=0,FORSIDE!$F$8&gt;=6,FORSIDE!$B$5&gt;=2),"1158 -&gt; 1389","")</f>
        <v/>
      </c>
      <c r="C5563" t="str">
        <f>FORSIDE!$C$3</f>
        <v>S355, Stål / VFHUP 140x140x8.0</v>
      </c>
    </row>
    <row r="5564" spans="1:3" x14ac:dyDescent="0.3">
      <c r="A5564" t="str">
        <f>IF(AND(FORSIDE!$B$8&gt;=0,FORSIDE!$F$8&gt;=6,FORSIDE!$B$5&gt;=3),"S5563","")</f>
        <v/>
      </c>
      <c r="B5564" t="str">
        <f>IF(AND(FORSIDE!$B$8&gt;=0,FORSIDE!$F$8&gt;=6,FORSIDE!$B$5&gt;=3),"1159 -&gt; 1390","")</f>
        <v/>
      </c>
      <c r="C5564" t="str">
        <f>FORSIDE!$C$3</f>
        <v>S355, Stål / VFHUP 140x140x8.0</v>
      </c>
    </row>
    <row r="5565" spans="1:3" x14ac:dyDescent="0.3">
      <c r="A5565" t="str">
        <f>IF(AND(FORSIDE!$B$8&gt;=0,FORSIDE!$F$8&gt;=6,FORSIDE!$B$5&gt;=4),"S5564","")</f>
        <v/>
      </c>
      <c r="B5565" t="str">
        <f>IF(AND(FORSIDE!$B$8&gt;=0,FORSIDE!$F$8&gt;=6,FORSIDE!$B$5&gt;=4),"1160 -&gt; 1391","")</f>
        <v/>
      </c>
      <c r="C5565" t="str">
        <f>FORSIDE!$C$3</f>
        <v>S355, Stål / VFHUP 140x140x8.0</v>
      </c>
    </row>
    <row r="5566" spans="1:3" x14ac:dyDescent="0.3">
      <c r="A5566" t="str">
        <f>IF(AND(FORSIDE!$B$8&gt;=0,FORSIDE!$F$8&gt;=6,FORSIDE!$B$5&gt;=5),"S5565","")</f>
        <v/>
      </c>
      <c r="B5566" t="str">
        <f>IF(AND(FORSIDE!$B$8&gt;=0,FORSIDE!$F$8&gt;=6,FORSIDE!$B$5&gt;=5),"1161 -&gt; 1392","")</f>
        <v/>
      </c>
      <c r="C5566" t="str">
        <f>FORSIDE!$C$3</f>
        <v>S355, Stål / VFHUP 140x140x8.0</v>
      </c>
    </row>
    <row r="5567" spans="1:3" x14ac:dyDescent="0.3">
      <c r="A5567" t="str">
        <f>IF(AND(FORSIDE!$B$8&gt;=0,FORSIDE!$F$8&gt;=6,FORSIDE!$B$5&gt;=6),"S5566","")</f>
        <v/>
      </c>
      <c r="B5567" t="str">
        <f>IF(AND(FORSIDE!$B$8&gt;=0,FORSIDE!$F$8&gt;=6,FORSIDE!$B$5&gt;=6),"1162 -&gt; 1393","")</f>
        <v/>
      </c>
      <c r="C5567" t="str">
        <f>FORSIDE!$C$3</f>
        <v>S355, Stål / VFHUP 140x140x8.0</v>
      </c>
    </row>
    <row r="5568" spans="1:3" x14ac:dyDescent="0.3">
      <c r="A5568" t="str">
        <f>IF(AND(FORSIDE!$B$8&gt;=0,FORSIDE!$F$8&gt;=6,FORSIDE!$B$5&gt;=7),"S5567","")</f>
        <v/>
      </c>
      <c r="B5568" t="str">
        <f>IF(AND(FORSIDE!$B$8&gt;=0,FORSIDE!$F$8&gt;=6,FORSIDE!$B$5&gt;=7),"1163 -&gt; 1394","")</f>
        <v/>
      </c>
      <c r="C5568" t="str">
        <f>FORSIDE!$C$3</f>
        <v>S355, Stål / VFHUP 140x140x8.0</v>
      </c>
    </row>
    <row r="5569" spans="1:3" x14ac:dyDescent="0.3">
      <c r="A5569" t="str">
        <f>IF(AND(FORSIDE!$B$8&gt;=0,FORSIDE!$F$8&gt;=6,FORSIDE!$B$5&gt;=8),"S5568","")</f>
        <v/>
      </c>
      <c r="B5569" t="str">
        <f>IF(AND(FORSIDE!$B$8&gt;=0,FORSIDE!$F$8&gt;=6,FORSIDE!$B$5&gt;=8),"1164 -&gt; 1395","")</f>
        <v/>
      </c>
      <c r="C5569" t="str">
        <f>FORSIDE!$C$3</f>
        <v>S355, Stål / VFHUP 140x140x8.0</v>
      </c>
    </row>
    <row r="5570" spans="1:3" x14ac:dyDescent="0.3">
      <c r="A5570" t="str">
        <f>IF(AND(FORSIDE!$B$8&gt;=0,FORSIDE!$F$8&gt;=6,FORSIDE!$B$5&gt;=9),"S5569","")</f>
        <v/>
      </c>
      <c r="B5570" t="str">
        <f>IF(AND(FORSIDE!$B$8&gt;=0,FORSIDE!$F$8&gt;=6,FORSIDE!$B$5&gt;=9),"1165 -&gt; 1396","")</f>
        <v/>
      </c>
      <c r="C5570" t="str">
        <f>FORSIDE!$C$3</f>
        <v>S355, Stål / VFHUP 140x140x8.0</v>
      </c>
    </row>
    <row r="5571" spans="1:3" x14ac:dyDescent="0.3">
      <c r="A5571" t="str">
        <f>IF(AND(FORSIDE!$B$8&gt;=0,FORSIDE!$F$8&gt;=6,FORSIDE!$B$5&gt;=10),"S5570","")</f>
        <v/>
      </c>
      <c r="B5571" t="str">
        <f>IF(AND(FORSIDE!$B$8&gt;=0,FORSIDE!$F$8&gt;=6,FORSIDE!$B$5&gt;=10),"1166 -&gt; 1397","")</f>
        <v/>
      </c>
      <c r="C5571" t="str">
        <f>FORSIDE!$C$3</f>
        <v>S355, Stål / VFHUP 140x140x8.0</v>
      </c>
    </row>
    <row r="5572" spans="1:3" x14ac:dyDescent="0.3">
      <c r="A5572" t="str">
        <f>IF(AND(FORSIDE!$B$8&gt;=1,FORSIDE!$F$8&gt;=6,FORSIDE!$B$5&gt;=1),"S5571","")</f>
        <v/>
      </c>
      <c r="B5572" t="str">
        <f>IF(AND(FORSIDE!$B$8&gt;=1,FORSIDE!$F$8&gt;=6,FORSIDE!$B$5&gt;=1),"1168 -&gt; 1399","")</f>
        <v/>
      </c>
      <c r="C5572" t="str">
        <f>FORSIDE!$C$3</f>
        <v>S355, Stål / VFHUP 140x140x8.0</v>
      </c>
    </row>
    <row r="5573" spans="1:3" x14ac:dyDescent="0.3">
      <c r="A5573" t="str">
        <f>IF(AND(FORSIDE!$B$8&gt;=1,FORSIDE!$F$8&gt;=6,FORSIDE!$B$5&gt;=2),"S5572","")</f>
        <v/>
      </c>
      <c r="B5573" t="str">
        <f>IF(AND(FORSIDE!$B$8&gt;=1,FORSIDE!$F$8&gt;=6,FORSIDE!$B$5&gt;=2),"1169 -&gt; 1400","")</f>
        <v/>
      </c>
      <c r="C5573" t="str">
        <f>FORSIDE!$C$3</f>
        <v>S355, Stål / VFHUP 140x140x8.0</v>
      </c>
    </row>
    <row r="5574" spans="1:3" x14ac:dyDescent="0.3">
      <c r="A5574" t="str">
        <f>IF(AND(FORSIDE!$B$8&gt;=1,FORSIDE!$F$8&gt;=6,FORSIDE!$B$5&gt;=3),"S5573","")</f>
        <v/>
      </c>
      <c r="B5574" t="str">
        <f>IF(AND(FORSIDE!$B$8&gt;=1,FORSIDE!$F$8&gt;=6,FORSIDE!$B$5&gt;=3),"1170 -&gt; 1401","")</f>
        <v/>
      </c>
      <c r="C5574" t="str">
        <f>FORSIDE!$C$3</f>
        <v>S355, Stål / VFHUP 140x140x8.0</v>
      </c>
    </row>
    <row r="5575" spans="1:3" x14ac:dyDescent="0.3">
      <c r="A5575" t="str">
        <f>IF(AND(FORSIDE!$B$8&gt;=1,FORSIDE!$F$8&gt;=6,FORSIDE!$B$5&gt;=4),"S5574","")</f>
        <v/>
      </c>
      <c r="B5575" t="str">
        <f>IF(AND(FORSIDE!$B$8&gt;=1,FORSIDE!$F$8&gt;=6,FORSIDE!$B$5&gt;=4),"1171 -&gt; 1402","")</f>
        <v/>
      </c>
      <c r="C5575" t="str">
        <f>FORSIDE!$C$3</f>
        <v>S355, Stål / VFHUP 140x140x8.0</v>
      </c>
    </row>
    <row r="5576" spans="1:3" x14ac:dyDescent="0.3">
      <c r="A5576" t="str">
        <f>IF(AND(FORSIDE!$B$8&gt;=1,FORSIDE!$F$8&gt;=6,FORSIDE!$B$5&gt;=5),"S5575","")</f>
        <v/>
      </c>
      <c r="B5576" t="str">
        <f>IF(AND(FORSIDE!$B$8&gt;=1,FORSIDE!$F$8&gt;=6,FORSIDE!$B$5&gt;=5),"1172 -&gt; 1403","")</f>
        <v/>
      </c>
      <c r="C5576" t="str">
        <f>FORSIDE!$C$3</f>
        <v>S355, Stål / VFHUP 140x140x8.0</v>
      </c>
    </row>
    <row r="5577" spans="1:3" x14ac:dyDescent="0.3">
      <c r="A5577" t="str">
        <f>IF(AND(FORSIDE!$B$8&gt;=1,FORSIDE!$F$8&gt;=6,FORSIDE!$B$5&gt;=6),"S5576","")</f>
        <v/>
      </c>
      <c r="B5577" t="str">
        <f>IF(AND(FORSIDE!$B$8&gt;=1,FORSIDE!$F$8&gt;=6,FORSIDE!$B$5&gt;=6),"1173 -&gt; 1404","")</f>
        <v/>
      </c>
      <c r="C5577" t="str">
        <f>FORSIDE!$C$3</f>
        <v>S355, Stål / VFHUP 140x140x8.0</v>
      </c>
    </row>
    <row r="5578" spans="1:3" x14ac:dyDescent="0.3">
      <c r="A5578" t="str">
        <f>IF(AND(FORSIDE!$B$8&gt;=1,FORSIDE!$F$8&gt;=6,FORSIDE!$B$5&gt;=7),"S5577","")</f>
        <v/>
      </c>
      <c r="B5578" t="str">
        <f>IF(AND(FORSIDE!$B$8&gt;=1,FORSIDE!$F$8&gt;=6,FORSIDE!$B$5&gt;=7),"1174 -&gt; 1405","")</f>
        <v/>
      </c>
      <c r="C5578" t="str">
        <f>FORSIDE!$C$3</f>
        <v>S355, Stål / VFHUP 140x140x8.0</v>
      </c>
    </row>
    <row r="5579" spans="1:3" x14ac:dyDescent="0.3">
      <c r="A5579" t="str">
        <f>IF(AND(FORSIDE!$B$8&gt;=1,FORSIDE!$F$8&gt;=6,FORSIDE!$B$5&gt;=8),"S5578","")</f>
        <v/>
      </c>
      <c r="B5579" t="str">
        <f>IF(AND(FORSIDE!$B$8&gt;=1,FORSIDE!$F$8&gt;=6,FORSIDE!$B$5&gt;=8),"1175 -&gt; 1406","")</f>
        <v/>
      </c>
      <c r="C5579" t="str">
        <f>FORSIDE!$C$3</f>
        <v>S355, Stål / VFHUP 140x140x8.0</v>
      </c>
    </row>
    <row r="5580" spans="1:3" x14ac:dyDescent="0.3">
      <c r="A5580" t="str">
        <f>IF(AND(FORSIDE!$B$8&gt;=1,FORSIDE!$F$8&gt;=6,FORSIDE!$B$5&gt;=9),"S5579","")</f>
        <v/>
      </c>
      <c r="B5580" t="str">
        <f>IF(AND(FORSIDE!$B$8&gt;=1,FORSIDE!$F$8&gt;=6,FORSIDE!$B$5&gt;=9),"1176 -&gt; 1407","")</f>
        <v/>
      </c>
      <c r="C5580" t="str">
        <f>FORSIDE!$C$3</f>
        <v>S355, Stål / VFHUP 140x140x8.0</v>
      </c>
    </row>
    <row r="5581" spans="1:3" x14ac:dyDescent="0.3">
      <c r="A5581" t="str">
        <f>IF(AND(FORSIDE!$B$8&gt;=1,FORSIDE!$F$8&gt;=6,FORSIDE!$B$5&gt;=10),"S5580","")</f>
        <v/>
      </c>
      <c r="B5581" t="str">
        <f>IF(AND(FORSIDE!$B$8&gt;=1,FORSIDE!$F$8&gt;=6,FORSIDE!$B$5&gt;=10),"1177 -&gt; 1408","")</f>
        <v/>
      </c>
      <c r="C5581" t="str">
        <f>FORSIDE!$C$3</f>
        <v>S355, Stål / VFHUP 140x140x8.0</v>
      </c>
    </row>
    <row r="5582" spans="1:3" x14ac:dyDescent="0.3">
      <c r="A5582" t="str">
        <f>IF(AND(FORSIDE!$B$8&gt;=2,FORSIDE!$F$8&gt;=6,FORSIDE!$B$5&gt;=1),"S5581","")</f>
        <v/>
      </c>
      <c r="B5582" t="str">
        <f>IF(AND(FORSIDE!$B$8&gt;=2,FORSIDE!$F$8&gt;=6,FORSIDE!$B$5&gt;=1),"1179 -&gt; 1410","")</f>
        <v/>
      </c>
      <c r="C5582" t="str">
        <f>FORSIDE!$C$3</f>
        <v>S355, Stål / VFHUP 140x140x8.0</v>
      </c>
    </row>
    <row r="5583" spans="1:3" x14ac:dyDescent="0.3">
      <c r="A5583" t="str">
        <f>IF(AND(FORSIDE!$B$8&gt;=2,FORSIDE!$F$8&gt;=6,FORSIDE!$B$5&gt;=2),"S5582","")</f>
        <v/>
      </c>
      <c r="B5583" t="str">
        <f>IF(AND(FORSIDE!$B$8&gt;=2,FORSIDE!$F$8&gt;=6,FORSIDE!$B$5&gt;=2),"1180 -&gt; 1411","")</f>
        <v/>
      </c>
      <c r="C5583" t="str">
        <f>FORSIDE!$C$3</f>
        <v>S355, Stål / VFHUP 140x140x8.0</v>
      </c>
    </row>
    <row r="5584" spans="1:3" x14ac:dyDescent="0.3">
      <c r="A5584" t="str">
        <f>IF(AND(FORSIDE!$B$8&gt;=2,FORSIDE!$F$8&gt;=6,FORSIDE!$B$5&gt;=3),"S5583","")</f>
        <v/>
      </c>
      <c r="B5584" t="str">
        <f>IF(AND(FORSIDE!$B$8&gt;=2,FORSIDE!$F$8&gt;=6,FORSIDE!$B$5&gt;=3),"1181 -&gt; 1412","")</f>
        <v/>
      </c>
      <c r="C5584" t="str">
        <f>FORSIDE!$C$3</f>
        <v>S355, Stål / VFHUP 140x140x8.0</v>
      </c>
    </row>
    <row r="5585" spans="1:3" x14ac:dyDescent="0.3">
      <c r="A5585" t="str">
        <f>IF(AND(FORSIDE!$B$8&gt;=2,FORSIDE!$F$8&gt;=6,FORSIDE!$B$5&gt;=4),"S5584","")</f>
        <v/>
      </c>
      <c r="B5585" t="str">
        <f>IF(AND(FORSIDE!$B$8&gt;=2,FORSIDE!$F$8&gt;=6,FORSIDE!$B$5&gt;=4),"1182 -&gt; 1413","")</f>
        <v/>
      </c>
      <c r="C5585" t="str">
        <f>FORSIDE!$C$3</f>
        <v>S355, Stål / VFHUP 140x140x8.0</v>
      </c>
    </row>
    <row r="5586" spans="1:3" x14ac:dyDescent="0.3">
      <c r="A5586" t="str">
        <f>IF(AND(FORSIDE!$B$8&gt;=2,FORSIDE!$F$8&gt;=6,FORSIDE!$B$5&gt;=5),"S5585","")</f>
        <v/>
      </c>
      <c r="B5586" t="str">
        <f>IF(AND(FORSIDE!$B$8&gt;=2,FORSIDE!$F$8&gt;=6,FORSIDE!$B$5&gt;=5),"1183 -&gt; 1414","")</f>
        <v/>
      </c>
      <c r="C5586" t="str">
        <f>FORSIDE!$C$3</f>
        <v>S355, Stål / VFHUP 140x140x8.0</v>
      </c>
    </row>
    <row r="5587" spans="1:3" x14ac:dyDescent="0.3">
      <c r="A5587" t="str">
        <f>IF(AND(FORSIDE!$B$8&gt;=2,FORSIDE!$F$8&gt;=6,FORSIDE!$B$5&gt;=6),"S5586","")</f>
        <v/>
      </c>
      <c r="B5587" t="str">
        <f>IF(AND(FORSIDE!$B$8&gt;=2,FORSIDE!$F$8&gt;=6,FORSIDE!$B$5&gt;=6),"1184 -&gt; 1415","")</f>
        <v/>
      </c>
      <c r="C5587" t="str">
        <f>FORSIDE!$C$3</f>
        <v>S355, Stål / VFHUP 140x140x8.0</v>
      </c>
    </row>
    <row r="5588" spans="1:3" x14ac:dyDescent="0.3">
      <c r="A5588" t="str">
        <f>IF(AND(FORSIDE!$B$8&gt;=2,FORSIDE!$F$8&gt;=6,FORSIDE!$B$5&gt;=7),"S5587","")</f>
        <v/>
      </c>
      <c r="B5588" t="str">
        <f>IF(AND(FORSIDE!$B$8&gt;=2,FORSIDE!$F$8&gt;=6,FORSIDE!$B$5&gt;=7),"1185 -&gt; 1416","")</f>
        <v/>
      </c>
      <c r="C5588" t="str">
        <f>FORSIDE!$C$3</f>
        <v>S355, Stål / VFHUP 140x140x8.0</v>
      </c>
    </row>
    <row r="5589" spans="1:3" x14ac:dyDescent="0.3">
      <c r="A5589" t="str">
        <f>IF(AND(FORSIDE!$B$8&gt;=2,FORSIDE!$F$8&gt;=6,FORSIDE!$B$5&gt;=8),"S5588","")</f>
        <v/>
      </c>
      <c r="B5589" t="str">
        <f>IF(AND(FORSIDE!$B$8&gt;=2,FORSIDE!$F$8&gt;=6,FORSIDE!$B$5&gt;=8),"1186 -&gt; 1417","")</f>
        <v/>
      </c>
      <c r="C5589" t="str">
        <f>FORSIDE!$C$3</f>
        <v>S355, Stål / VFHUP 140x140x8.0</v>
      </c>
    </row>
    <row r="5590" spans="1:3" x14ac:dyDescent="0.3">
      <c r="A5590" t="str">
        <f>IF(AND(FORSIDE!$B$8&gt;=2,FORSIDE!$F$8&gt;=6,FORSIDE!$B$5&gt;=9),"S5589","")</f>
        <v/>
      </c>
      <c r="B5590" t="str">
        <f>IF(AND(FORSIDE!$B$8&gt;=2,FORSIDE!$F$8&gt;=6,FORSIDE!$B$5&gt;=9),"1187 -&gt; 1418","")</f>
        <v/>
      </c>
      <c r="C5590" t="str">
        <f>FORSIDE!$C$3</f>
        <v>S355, Stål / VFHUP 140x140x8.0</v>
      </c>
    </row>
    <row r="5591" spans="1:3" x14ac:dyDescent="0.3">
      <c r="A5591" t="str">
        <f>IF(AND(FORSIDE!$B$8&gt;=2,FORSIDE!$F$8&gt;=6,FORSIDE!$B$5&gt;=10),"S5590","")</f>
        <v/>
      </c>
      <c r="B5591" t="str">
        <f>IF(AND(FORSIDE!$B$8&gt;=2,FORSIDE!$F$8&gt;=6,FORSIDE!$B$5&gt;=10),"1188 -&gt; 1419","")</f>
        <v/>
      </c>
      <c r="C5591" t="str">
        <f>FORSIDE!$C$3</f>
        <v>S355, Stål / VFHUP 140x140x8.0</v>
      </c>
    </row>
    <row r="5592" spans="1:3" x14ac:dyDescent="0.3">
      <c r="A5592" t="str">
        <f>IF(AND(FORSIDE!$B$8&gt;=3,FORSIDE!$F$8&gt;=6,FORSIDE!$B$5&gt;=1),"S5591","")</f>
        <v/>
      </c>
      <c r="B5592" t="str">
        <f>IF(AND(FORSIDE!$B$8&gt;=3,FORSIDE!$F$8&gt;=6,FORSIDE!$B$5&gt;=1),"1190 -&gt; 1421","")</f>
        <v/>
      </c>
      <c r="C5592" t="str">
        <f>FORSIDE!$C$3</f>
        <v>S355, Stål / VFHUP 140x140x8.0</v>
      </c>
    </row>
    <row r="5593" spans="1:3" x14ac:dyDescent="0.3">
      <c r="A5593" t="str">
        <f>IF(AND(FORSIDE!$B$8&gt;=3,FORSIDE!$F$8&gt;=6,FORSIDE!$B$5&gt;=2),"S5592","")</f>
        <v/>
      </c>
      <c r="B5593" t="str">
        <f>IF(AND(FORSIDE!$B$8&gt;=3,FORSIDE!$F$8&gt;=6,FORSIDE!$B$5&gt;=2),"1191 -&gt; 1422","")</f>
        <v/>
      </c>
      <c r="C5593" t="str">
        <f>FORSIDE!$C$3</f>
        <v>S355, Stål / VFHUP 140x140x8.0</v>
      </c>
    </row>
    <row r="5594" spans="1:3" x14ac:dyDescent="0.3">
      <c r="A5594" t="str">
        <f>IF(AND(FORSIDE!$B$8&gt;=3,FORSIDE!$F$8&gt;=6,FORSIDE!$B$5&gt;=3),"S5593","")</f>
        <v/>
      </c>
      <c r="B5594" t="str">
        <f>IF(AND(FORSIDE!$B$8&gt;=3,FORSIDE!$F$8&gt;=6,FORSIDE!$B$5&gt;=3),"1192 -&gt; 1423","")</f>
        <v/>
      </c>
      <c r="C5594" t="str">
        <f>FORSIDE!$C$3</f>
        <v>S355, Stål / VFHUP 140x140x8.0</v>
      </c>
    </row>
    <row r="5595" spans="1:3" x14ac:dyDescent="0.3">
      <c r="A5595" t="str">
        <f>IF(AND(FORSIDE!$B$8&gt;=3,FORSIDE!$F$8&gt;=6,FORSIDE!$B$5&gt;=4),"S5594","")</f>
        <v/>
      </c>
      <c r="B5595" t="str">
        <f>IF(AND(FORSIDE!$B$8&gt;=3,FORSIDE!$F$8&gt;=6,FORSIDE!$B$5&gt;=4),"1193 -&gt; 1424","")</f>
        <v/>
      </c>
      <c r="C5595" t="str">
        <f>FORSIDE!$C$3</f>
        <v>S355, Stål / VFHUP 140x140x8.0</v>
      </c>
    </row>
    <row r="5596" spans="1:3" x14ac:dyDescent="0.3">
      <c r="A5596" t="str">
        <f>IF(AND(FORSIDE!$B$8&gt;=3,FORSIDE!$F$8&gt;=6,FORSIDE!$B$5&gt;=5),"S5595","")</f>
        <v/>
      </c>
      <c r="B5596" t="str">
        <f>IF(AND(FORSIDE!$B$8&gt;=3,FORSIDE!$F$8&gt;=6,FORSIDE!$B$5&gt;=5),"1194 -&gt; 1425","")</f>
        <v/>
      </c>
      <c r="C5596" t="str">
        <f>FORSIDE!$C$3</f>
        <v>S355, Stål / VFHUP 140x140x8.0</v>
      </c>
    </row>
    <row r="5597" spans="1:3" x14ac:dyDescent="0.3">
      <c r="A5597" t="str">
        <f>IF(AND(FORSIDE!$B$8&gt;=3,FORSIDE!$F$8&gt;=6,FORSIDE!$B$5&gt;=6),"S5596","")</f>
        <v/>
      </c>
      <c r="B5597" t="str">
        <f>IF(AND(FORSIDE!$B$8&gt;=3,FORSIDE!$F$8&gt;=6,FORSIDE!$B$5&gt;=6),"1195 -&gt; 1426","")</f>
        <v/>
      </c>
      <c r="C5597" t="str">
        <f>FORSIDE!$C$3</f>
        <v>S355, Stål / VFHUP 140x140x8.0</v>
      </c>
    </row>
    <row r="5598" spans="1:3" x14ac:dyDescent="0.3">
      <c r="A5598" t="str">
        <f>IF(AND(FORSIDE!$B$8&gt;=3,FORSIDE!$F$8&gt;=6,FORSIDE!$B$5&gt;=7),"S5597","")</f>
        <v/>
      </c>
      <c r="B5598" t="str">
        <f>IF(AND(FORSIDE!$B$8&gt;=3,FORSIDE!$F$8&gt;=6,FORSIDE!$B$5&gt;=7),"1196 -&gt; 1427","")</f>
        <v/>
      </c>
      <c r="C5598" t="str">
        <f>FORSIDE!$C$3</f>
        <v>S355, Stål / VFHUP 140x140x8.0</v>
      </c>
    </row>
    <row r="5599" spans="1:3" x14ac:dyDescent="0.3">
      <c r="A5599" t="str">
        <f>IF(AND(FORSIDE!$B$8&gt;=3,FORSIDE!$F$8&gt;=6,FORSIDE!$B$5&gt;=8),"S5598","")</f>
        <v/>
      </c>
      <c r="B5599" t="str">
        <f>IF(AND(FORSIDE!$B$8&gt;=3,FORSIDE!$F$8&gt;=6,FORSIDE!$B$5&gt;=8),"1197 -&gt; 1428","")</f>
        <v/>
      </c>
      <c r="C5599" t="str">
        <f>FORSIDE!$C$3</f>
        <v>S355, Stål / VFHUP 140x140x8.0</v>
      </c>
    </row>
    <row r="5600" spans="1:3" x14ac:dyDescent="0.3">
      <c r="A5600" t="str">
        <f>IF(AND(FORSIDE!$B$8&gt;=3,FORSIDE!$F$8&gt;=6,FORSIDE!$B$5&gt;=9),"S5599","")</f>
        <v/>
      </c>
      <c r="B5600" t="str">
        <f>IF(AND(FORSIDE!$B$8&gt;=3,FORSIDE!$F$8&gt;=6,FORSIDE!$B$5&gt;=9),"1198 -&gt; 1429","")</f>
        <v/>
      </c>
      <c r="C5600" t="str">
        <f>FORSIDE!$C$3</f>
        <v>S355, Stål / VFHUP 140x140x8.0</v>
      </c>
    </row>
    <row r="5601" spans="1:3" x14ac:dyDescent="0.3">
      <c r="A5601" t="str">
        <f>IF(AND(FORSIDE!$B$8&gt;=3,FORSIDE!$F$8&gt;=6,FORSIDE!$B$5&gt;=10),"S5600","")</f>
        <v/>
      </c>
      <c r="B5601" t="str">
        <f>IF(AND(FORSIDE!$B$8&gt;=3,FORSIDE!$F$8&gt;=6,FORSIDE!$B$5&gt;=10),"1199 -&gt; 1430","")</f>
        <v/>
      </c>
      <c r="C5601" t="str">
        <f>FORSIDE!$C$3</f>
        <v>S355, Stål / VFHUP 140x140x8.0</v>
      </c>
    </row>
    <row r="5602" spans="1:3" x14ac:dyDescent="0.3">
      <c r="A5602" t="str">
        <f>IF(AND(FORSIDE!$B$8&gt;=4,FORSIDE!$F$8&gt;=6,FORSIDE!$B$5&gt;=1),"S5601","")</f>
        <v/>
      </c>
      <c r="B5602" t="str">
        <f>IF(AND(FORSIDE!$B$8&gt;=4,FORSIDE!$F$8&gt;=6,FORSIDE!$B$5&gt;=1),"1201 -&gt; 1432","")</f>
        <v/>
      </c>
      <c r="C5602" t="str">
        <f>FORSIDE!$C$3</f>
        <v>S355, Stål / VFHUP 140x140x8.0</v>
      </c>
    </row>
    <row r="5603" spans="1:3" x14ac:dyDescent="0.3">
      <c r="A5603" t="str">
        <f>IF(AND(FORSIDE!$B$8&gt;=4,FORSIDE!$F$8&gt;=6,FORSIDE!$B$5&gt;=2),"S5602","")</f>
        <v/>
      </c>
      <c r="B5603" t="str">
        <f>IF(AND(FORSIDE!$B$8&gt;=4,FORSIDE!$F$8&gt;=6,FORSIDE!$B$5&gt;=2),"1202 -&gt; 1433","")</f>
        <v/>
      </c>
      <c r="C5603" t="str">
        <f>FORSIDE!$C$3</f>
        <v>S355, Stål / VFHUP 140x140x8.0</v>
      </c>
    </row>
    <row r="5604" spans="1:3" x14ac:dyDescent="0.3">
      <c r="A5604" t="str">
        <f>IF(AND(FORSIDE!$B$8&gt;=4,FORSIDE!$F$8&gt;=6,FORSIDE!$B$5&gt;=3),"S5603","")</f>
        <v/>
      </c>
      <c r="B5604" t="str">
        <f>IF(AND(FORSIDE!$B$8&gt;=4,FORSIDE!$F$8&gt;=6,FORSIDE!$B$5&gt;=3),"1203 -&gt; 1434","")</f>
        <v/>
      </c>
      <c r="C5604" t="str">
        <f>FORSIDE!$C$3</f>
        <v>S355, Stål / VFHUP 140x140x8.0</v>
      </c>
    </row>
    <row r="5605" spans="1:3" x14ac:dyDescent="0.3">
      <c r="A5605" t="str">
        <f>IF(AND(FORSIDE!$B$8&gt;=4,FORSIDE!$F$8&gt;=6,FORSIDE!$B$5&gt;=4),"S5604","")</f>
        <v/>
      </c>
      <c r="B5605" t="str">
        <f>IF(AND(FORSIDE!$B$8&gt;=4,FORSIDE!$F$8&gt;=6,FORSIDE!$B$5&gt;=4),"1204 -&gt; 1435","")</f>
        <v/>
      </c>
      <c r="C5605" t="str">
        <f>FORSIDE!$C$3</f>
        <v>S355, Stål / VFHUP 140x140x8.0</v>
      </c>
    </row>
    <row r="5606" spans="1:3" x14ac:dyDescent="0.3">
      <c r="A5606" t="str">
        <f>IF(AND(FORSIDE!$B$8&gt;=4,FORSIDE!$F$8&gt;=6,FORSIDE!$B$5&gt;=5),"S5605","")</f>
        <v/>
      </c>
      <c r="B5606" t="str">
        <f>IF(AND(FORSIDE!$B$8&gt;=4,FORSIDE!$F$8&gt;=6,FORSIDE!$B$5&gt;=5),"1205 -&gt; 1436","")</f>
        <v/>
      </c>
      <c r="C5606" t="str">
        <f>FORSIDE!$C$3</f>
        <v>S355, Stål / VFHUP 140x140x8.0</v>
      </c>
    </row>
    <row r="5607" spans="1:3" x14ac:dyDescent="0.3">
      <c r="A5607" t="str">
        <f>IF(AND(FORSIDE!$B$8&gt;=4,FORSIDE!$F$8&gt;=6,FORSIDE!$B$5&gt;=6),"S5606","")</f>
        <v/>
      </c>
      <c r="B5607" t="str">
        <f>IF(AND(FORSIDE!$B$8&gt;=4,FORSIDE!$F$8&gt;=6,FORSIDE!$B$5&gt;=6),"1206 -&gt; 1437","")</f>
        <v/>
      </c>
      <c r="C5607" t="str">
        <f>FORSIDE!$C$3</f>
        <v>S355, Stål / VFHUP 140x140x8.0</v>
      </c>
    </row>
    <row r="5608" spans="1:3" x14ac:dyDescent="0.3">
      <c r="A5608" t="str">
        <f>IF(AND(FORSIDE!$B$8&gt;=4,FORSIDE!$F$8&gt;=6,FORSIDE!$B$5&gt;=7),"S5607","")</f>
        <v/>
      </c>
      <c r="B5608" t="str">
        <f>IF(AND(FORSIDE!$B$8&gt;=4,FORSIDE!$F$8&gt;=6,FORSIDE!$B$5&gt;=7),"1207 -&gt; 1438","")</f>
        <v/>
      </c>
      <c r="C5608" t="str">
        <f>FORSIDE!$C$3</f>
        <v>S355, Stål / VFHUP 140x140x8.0</v>
      </c>
    </row>
    <row r="5609" spans="1:3" x14ac:dyDescent="0.3">
      <c r="A5609" t="str">
        <f>IF(AND(FORSIDE!$B$8&gt;=4,FORSIDE!$F$8&gt;=6,FORSIDE!$B$5&gt;=8),"S5608","")</f>
        <v/>
      </c>
      <c r="B5609" t="str">
        <f>IF(AND(FORSIDE!$B$8&gt;=4,FORSIDE!$F$8&gt;=6,FORSIDE!$B$5&gt;=8),"1208 -&gt; 1439","")</f>
        <v/>
      </c>
      <c r="C5609" t="str">
        <f>FORSIDE!$C$3</f>
        <v>S355, Stål / VFHUP 140x140x8.0</v>
      </c>
    </row>
    <row r="5610" spans="1:3" x14ac:dyDescent="0.3">
      <c r="A5610" t="str">
        <f>IF(AND(FORSIDE!$B$8&gt;=4,FORSIDE!$F$8&gt;=6,FORSIDE!$B$5&gt;=9),"S5609","")</f>
        <v/>
      </c>
      <c r="B5610" t="str">
        <f>IF(AND(FORSIDE!$B$8&gt;=4,FORSIDE!$F$8&gt;=6,FORSIDE!$B$5&gt;=9),"1209 -&gt; 1440","")</f>
        <v/>
      </c>
      <c r="C5610" t="str">
        <f>FORSIDE!$C$3</f>
        <v>S355, Stål / VFHUP 140x140x8.0</v>
      </c>
    </row>
    <row r="5611" spans="1:3" x14ac:dyDescent="0.3">
      <c r="A5611" t="str">
        <f>IF(AND(FORSIDE!$B$8&gt;=4,FORSIDE!$F$8&gt;=6,FORSIDE!$B$5&gt;=10),"S5610","")</f>
        <v/>
      </c>
      <c r="B5611" t="str">
        <f>IF(AND(FORSIDE!$B$8&gt;=4,FORSIDE!$F$8&gt;=6,FORSIDE!$B$5&gt;=10),"1210 -&gt; 1441","")</f>
        <v/>
      </c>
      <c r="C5611" t="str">
        <f>FORSIDE!$C$3</f>
        <v>S355, Stål / VFHUP 140x140x8.0</v>
      </c>
    </row>
    <row r="5612" spans="1:3" x14ac:dyDescent="0.3">
      <c r="A5612" t="str">
        <f>IF(AND(FORSIDE!$B$8&gt;=5,FORSIDE!$F$8&gt;=6,FORSIDE!$B$5&gt;=1),"S5611","")</f>
        <v/>
      </c>
      <c r="B5612" t="str">
        <f>IF(AND(FORSIDE!$B$8&gt;=5,FORSIDE!$F$8&gt;=6,FORSIDE!$B$5&gt;=1),"1212 -&gt; 1443","")</f>
        <v/>
      </c>
      <c r="C5612" t="str">
        <f>FORSIDE!$C$3</f>
        <v>S355, Stål / VFHUP 140x140x8.0</v>
      </c>
    </row>
    <row r="5613" spans="1:3" x14ac:dyDescent="0.3">
      <c r="A5613" t="str">
        <f>IF(AND(FORSIDE!$B$8&gt;=5,FORSIDE!$F$8&gt;=6,FORSIDE!$B$5&gt;=2),"S5612","")</f>
        <v/>
      </c>
      <c r="B5613" t="str">
        <f>IF(AND(FORSIDE!$B$8&gt;=5,FORSIDE!$F$8&gt;=6,FORSIDE!$B$5&gt;=2),"1213 -&gt; 1444","")</f>
        <v/>
      </c>
      <c r="C5613" t="str">
        <f>FORSIDE!$C$3</f>
        <v>S355, Stål / VFHUP 140x140x8.0</v>
      </c>
    </row>
    <row r="5614" spans="1:3" x14ac:dyDescent="0.3">
      <c r="A5614" t="str">
        <f>IF(AND(FORSIDE!$B$8&gt;=5,FORSIDE!$F$8&gt;=6,FORSIDE!$B$5&gt;=3),"S5613","")</f>
        <v/>
      </c>
      <c r="B5614" t="str">
        <f>IF(AND(FORSIDE!$B$8&gt;=5,FORSIDE!$F$8&gt;=6,FORSIDE!$B$5&gt;=3),"1214 -&gt; 1445","")</f>
        <v/>
      </c>
      <c r="C5614" t="str">
        <f>FORSIDE!$C$3</f>
        <v>S355, Stål / VFHUP 140x140x8.0</v>
      </c>
    </row>
    <row r="5615" spans="1:3" x14ac:dyDescent="0.3">
      <c r="A5615" t="str">
        <f>IF(AND(FORSIDE!$B$8&gt;=5,FORSIDE!$F$8&gt;=6,FORSIDE!$B$5&gt;=4),"S5614","")</f>
        <v/>
      </c>
      <c r="B5615" t="str">
        <f>IF(AND(FORSIDE!$B$8&gt;=5,FORSIDE!$F$8&gt;=6,FORSIDE!$B$5&gt;=4),"1215 -&gt; 1446","")</f>
        <v/>
      </c>
      <c r="C5615" t="str">
        <f>FORSIDE!$C$3</f>
        <v>S355, Stål / VFHUP 140x140x8.0</v>
      </c>
    </row>
    <row r="5616" spans="1:3" x14ac:dyDescent="0.3">
      <c r="A5616" t="str">
        <f>IF(AND(FORSIDE!$B$8&gt;=5,FORSIDE!$F$8&gt;=6,FORSIDE!$B$5&gt;=5),"S5615","")</f>
        <v/>
      </c>
      <c r="B5616" t="str">
        <f>IF(AND(FORSIDE!$B$8&gt;=5,FORSIDE!$F$8&gt;=6,FORSIDE!$B$5&gt;=5),"1216 -&gt; 1447","")</f>
        <v/>
      </c>
      <c r="C5616" t="str">
        <f>FORSIDE!$C$3</f>
        <v>S355, Stål / VFHUP 140x140x8.0</v>
      </c>
    </row>
    <row r="5617" spans="1:3" x14ac:dyDescent="0.3">
      <c r="A5617" t="str">
        <f>IF(AND(FORSIDE!$B$8&gt;=5,FORSIDE!$F$8&gt;=6,FORSIDE!$B$5&gt;=6),"S5616","")</f>
        <v/>
      </c>
      <c r="B5617" t="str">
        <f>IF(AND(FORSIDE!$B$8&gt;=5,FORSIDE!$F$8&gt;=6,FORSIDE!$B$5&gt;=6),"1217 -&gt; 1448","")</f>
        <v/>
      </c>
      <c r="C5617" t="str">
        <f>FORSIDE!$C$3</f>
        <v>S355, Stål / VFHUP 140x140x8.0</v>
      </c>
    </row>
    <row r="5618" spans="1:3" x14ac:dyDescent="0.3">
      <c r="A5618" t="str">
        <f>IF(AND(FORSIDE!$B$8&gt;=5,FORSIDE!$F$8&gt;=6,FORSIDE!$B$5&gt;=7),"S5617","")</f>
        <v/>
      </c>
      <c r="B5618" t="str">
        <f>IF(AND(FORSIDE!$B$8&gt;=5,FORSIDE!$F$8&gt;=6,FORSIDE!$B$5&gt;=7),"1218 -&gt; 1449","")</f>
        <v/>
      </c>
      <c r="C5618" t="str">
        <f>FORSIDE!$C$3</f>
        <v>S355, Stål / VFHUP 140x140x8.0</v>
      </c>
    </row>
    <row r="5619" spans="1:3" x14ac:dyDescent="0.3">
      <c r="A5619" t="str">
        <f>IF(AND(FORSIDE!$B$8&gt;=5,FORSIDE!$F$8&gt;=6,FORSIDE!$B$5&gt;=8),"S5618","")</f>
        <v/>
      </c>
      <c r="B5619" t="str">
        <f>IF(AND(FORSIDE!$B$8&gt;=5,FORSIDE!$F$8&gt;=6,FORSIDE!$B$5&gt;=8),"1219 -&gt; 1450","")</f>
        <v/>
      </c>
      <c r="C5619" t="str">
        <f>FORSIDE!$C$3</f>
        <v>S355, Stål / VFHUP 140x140x8.0</v>
      </c>
    </row>
    <row r="5620" spans="1:3" x14ac:dyDescent="0.3">
      <c r="A5620" t="str">
        <f>IF(AND(FORSIDE!$B$8&gt;=5,FORSIDE!$F$8&gt;=6,FORSIDE!$B$5&gt;=9),"S5619","")</f>
        <v/>
      </c>
      <c r="B5620" t="str">
        <f>IF(AND(FORSIDE!$B$8&gt;=5,FORSIDE!$F$8&gt;=6,FORSIDE!$B$5&gt;=9),"1220 -&gt; 1451","")</f>
        <v/>
      </c>
      <c r="C5620" t="str">
        <f>FORSIDE!$C$3</f>
        <v>S355, Stål / VFHUP 140x140x8.0</v>
      </c>
    </row>
    <row r="5621" spans="1:3" x14ac:dyDescent="0.3">
      <c r="A5621" t="str">
        <f>IF(AND(FORSIDE!$B$8&gt;=5,FORSIDE!$F$8&gt;=6,FORSIDE!$B$5&gt;=10),"S5620","")</f>
        <v/>
      </c>
      <c r="B5621" t="str">
        <f>IF(AND(FORSIDE!$B$8&gt;=5,FORSIDE!$F$8&gt;=6,FORSIDE!$B$5&gt;=10),"1221 -&gt; 1452","")</f>
        <v/>
      </c>
      <c r="C5621" t="str">
        <f>FORSIDE!$C$3</f>
        <v>S355, Stål / VFHUP 140x140x8.0</v>
      </c>
    </row>
    <row r="5622" spans="1:3" x14ac:dyDescent="0.3">
      <c r="A5622" t="str">
        <f>IF(AND(FORSIDE!$B$8&gt;=6,FORSIDE!$F$8&gt;=6,FORSIDE!$B$5&gt;=1),"S5621","")</f>
        <v/>
      </c>
      <c r="B5622" t="str">
        <f>IF(AND(FORSIDE!$B$8&gt;=6,FORSIDE!$F$8&gt;=6,FORSIDE!$B$5&gt;=1),"1223 -&gt; 1454","")</f>
        <v/>
      </c>
      <c r="C5622" t="str">
        <f>FORSIDE!$C$3</f>
        <v>S355, Stål / VFHUP 140x140x8.0</v>
      </c>
    </row>
    <row r="5623" spans="1:3" x14ac:dyDescent="0.3">
      <c r="A5623" t="str">
        <f>IF(AND(FORSIDE!$B$8&gt;=6,FORSIDE!$F$8&gt;=6,FORSIDE!$B$5&gt;=2),"S5622","")</f>
        <v/>
      </c>
      <c r="B5623" t="str">
        <f>IF(AND(FORSIDE!$B$8&gt;=6,FORSIDE!$F$8&gt;=6,FORSIDE!$B$5&gt;=2),"1224 -&gt; 1455","")</f>
        <v/>
      </c>
      <c r="C5623" t="str">
        <f>FORSIDE!$C$3</f>
        <v>S355, Stål / VFHUP 140x140x8.0</v>
      </c>
    </row>
    <row r="5624" spans="1:3" x14ac:dyDescent="0.3">
      <c r="A5624" t="str">
        <f>IF(AND(FORSIDE!$B$8&gt;=6,FORSIDE!$F$8&gt;=6,FORSIDE!$B$5&gt;=3),"S5623","")</f>
        <v/>
      </c>
      <c r="B5624" t="str">
        <f>IF(AND(FORSIDE!$B$8&gt;=6,FORSIDE!$F$8&gt;=6,FORSIDE!$B$5&gt;=3),"1225 -&gt; 1456","")</f>
        <v/>
      </c>
      <c r="C5624" t="str">
        <f>FORSIDE!$C$3</f>
        <v>S355, Stål / VFHUP 140x140x8.0</v>
      </c>
    </row>
    <row r="5625" spans="1:3" x14ac:dyDescent="0.3">
      <c r="A5625" t="str">
        <f>IF(AND(FORSIDE!$B$8&gt;=6,FORSIDE!$F$8&gt;=6,FORSIDE!$B$5&gt;=4),"S5624","")</f>
        <v/>
      </c>
      <c r="B5625" t="str">
        <f>IF(AND(FORSIDE!$B$8&gt;=6,FORSIDE!$F$8&gt;=6,FORSIDE!$B$5&gt;=4),"1226 -&gt; 1457","")</f>
        <v/>
      </c>
      <c r="C5625" t="str">
        <f>FORSIDE!$C$3</f>
        <v>S355, Stål / VFHUP 140x140x8.0</v>
      </c>
    </row>
    <row r="5626" spans="1:3" x14ac:dyDescent="0.3">
      <c r="A5626" t="str">
        <f>IF(AND(FORSIDE!$B$8&gt;=6,FORSIDE!$F$8&gt;=6,FORSIDE!$B$5&gt;=5),"S5625","")</f>
        <v/>
      </c>
      <c r="B5626" t="str">
        <f>IF(AND(FORSIDE!$B$8&gt;=6,FORSIDE!$F$8&gt;=6,FORSIDE!$B$5&gt;=5),"1227 -&gt; 1458","")</f>
        <v/>
      </c>
      <c r="C5626" t="str">
        <f>FORSIDE!$C$3</f>
        <v>S355, Stål / VFHUP 140x140x8.0</v>
      </c>
    </row>
    <row r="5627" spans="1:3" x14ac:dyDescent="0.3">
      <c r="A5627" t="str">
        <f>IF(AND(FORSIDE!$B$8&gt;=6,FORSIDE!$F$8&gt;=6,FORSIDE!$B$5&gt;=6),"S5626","")</f>
        <v/>
      </c>
      <c r="B5627" t="str">
        <f>IF(AND(FORSIDE!$B$8&gt;=6,FORSIDE!$F$8&gt;=6,FORSIDE!$B$5&gt;=6),"1228 -&gt; 1459","")</f>
        <v/>
      </c>
      <c r="C5627" t="str">
        <f>FORSIDE!$C$3</f>
        <v>S355, Stål / VFHUP 140x140x8.0</v>
      </c>
    </row>
    <row r="5628" spans="1:3" x14ac:dyDescent="0.3">
      <c r="A5628" t="str">
        <f>IF(AND(FORSIDE!$B$8&gt;=6,FORSIDE!$F$8&gt;=6,FORSIDE!$B$5&gt;=7),"S5627","")</f>
        <v/>
      </c>
      <c r="B5628" t="str">
        <f>IF(AND(FORSIDE!$B$8&gt;=6,FORSIDE!$F$8&gt;=6,FORSIDE!$B$5&gt;=7),"1229 -&gt; 1460","")</f>
        <v/>
      </c>
      <c r="C5628" t="str">
        <f>FORSIDE!$C$3</f>
        <v>S355, Stål / VFHUP 140x140x8.0</v>
      </c>
    </row>
    <row r="5629" spans="1:3" x14ac:dyDescent="0.3">
      <c r="A5629" t="str">
        <f>IF(AND(FORSIDE!$B$8&gt;=6,FORSIDE!$F$8&gt;=6,FORSIDE!$B$5&gt;=8),"S5628","")</f>
        <v/>
      </c>
      <c r="B5629" t="str">
        <f>IF(AND(FORSIDE!$B$8&gt;=6,FORSIDE!$F$8&gt;=6,FORSIDE!$B$5&gt;=8),"1230 -&gt; 1461","")</f>
        <v/>
      </c>
      <c r="C5629" t="str">
        <f>FORSIDE!$C$3</f>
        <v>S355, Stål / VFHUP 140x140x8.0</v>
      </c>
    </row>
    <row r="5630" spans="1:3" x14ac:dyDescent="0.3">
      <c r="A5630" t="str">
        <f>IF(AND(FORSIDE!$B$8&gt;=6,FORSIDE!$F$8&gt;=6,FORSIDE!$B$5&gt;=9),"S5629","")</f>
        <v/>
      </c>
      <c r="B5630" t="str">
        <f>IF(AND(FORSIDE!$B$8&gt;=6,FORSIDE!$F$8&gt;=6,FORSIDE!$B$5&gt;=9),"1231 -&gt; 1462","")</f>
        <v/>
      </c>
      <c r="C5630" t="str">
        <f>FORSIDE!$C$3</f>
        <v>S355, Stål / VFHUP 140x140x8.0</v>
      </c>
    </row>
    <row r="5631" spans="1:3" x14ac:dyDescent="0.3">
      <c r="A5631" t="str">
        <f>IF(AND(FORSIDE!$B$8&gt;=6,FORSIDE!$F$8&gt;=6,FORSIDE!$B$5&gt;=10),"S5630","")</f>
        <v/>
      </c>
      <c r="B5631" t="str">
        <f>IF(AND(FORSIDE!$B$8&gt;=6,FORSIDE!$F$8&gt;=6,FORSIDE!$B$5&gt;=10),"1232 -&gt; 1463","")</f>
        <v/>
      </c>
      <c r="C5631" t="str">
        <f>FORSIDE!$C$3</f>
        <v>S355, Stål / VFHUP 140x140x8.0</v>
      </c>
    </row>
    <row r="5632" spans="1:3" x14ac:dyDescent="0.3">
      <c r="A5632" t="str">
        <f>IF(AND(FORSIDE!$B$8&gt;=7,FORSIDE!$F$8&gt;=6,FORSIDE!$B$5&gt;=1),"S5631","")</f>
        <v/>
      </c>
      <c r="B5632" t="str">
        <f>IF(AND(FORSIDE!$B$8&gt;=7,FORSIDE!$F$8&gt;=6,FORSIDE!$B$5&gt;=1),"1234 -&gt; 1465","")</f>
        <v/>
      </c>
      <c r="C5632" t="str">
        <f>FORSIDE!$C$3</f>
        <v>S355, Stål / VFHUP 140x140x8.0</v>
      </c>
    </row>
    <row r="5633" spans="1:3" x14ac:dyDescent="0.3">
      <c r="A5633" t="str">
        <f>IF(AND(FORSIDE!$B$8&gt;=7,FORSIDE!$F$8&gt;=6,FORSIDE!$B$5&gt;=2),"S5632","")</f>
        <v/>
      </c>
      <c r="B5633" t="str">
        <f>IF(AND(FORSIDE!$B$8&gt;=7,FORSIDE!$F$8&gt;=6,FORSIDE!$B$5&gt;=2),"1235 -&gt; 1466","")</f>
        <v/>
      </c>
      <c r="C5633" t="str">
        <f>FORSIDE!$C$3</f>
        <v>S355, Stål / VFHUP 140x140x8.0</v>
      </c>
    </row>
    <row r="5634" spans="1:3" x14ac:dyDescent="0.3">
      <c r="A5634" t="str">
        <f>IF(AND(FORSIDE!$B$8&gt;=7,FORSIDE!$F$8&gt;=6,FORSIDE!$B$5&gt;=3),"S5633","")</f>
        <v/>
      </c>
      <c r="B5634" t="str">
        <f>IF(AND(FORSIDE!$B$8&gt;=7,FORSIDE!$F$8&gt;=6,FORSIDE!$B$5&gt;=3),"1236 -&gt; 1467","")</f>
        <v/>
      </c>
      <c r="C5634" t="str">
        <f>FORSIDE!$C$3</f>
        <v>S355, Stål / VFHUP 140x140x8.0</v>
      </c>
    </row>
    <row r="5635" spans="1:3" x14ac:dyDescent="0.3">
      <c r="A5635" t="str">
        <f>IF(AND(FORSIDE!$B$8&gt;=7,FORSIDE!$F$8&gt;=6,FORSIDE!$B$5&gt;=4),"S5634","")</f>
        <v/>
      </c>
      <c r="B5635" t="str">
        <f>IF(AND(FORSIDE!$B$8&gt;=7,FORSIDE!$F$8&gt;=6,FORSIDE!$B$5&gt;=4),"1237 -&gt; 1468","")</f>
        <v/>
      </c>
      <c r="C5635" t="str">
        <f>FORSIDE!$C$3</f>
        <v>S355, Stål / VFHUP 140x140x8.0</v>
      </c>
    </row>
    <row r="5636" spans="1:3" x14ac:dyDescent="0.3">
      <c r="A5636" t="str">
        <f>IF(AND(FORSIDE!$B$8&gt;=7,FORSIDE!$F$8&gt;=6,FORSIDE!$B$5&gt;=5),"S5635","")</f>
        <v/>
      </c>
      <c r="B5636" t="str">
        <f>IF(AND(FORSIDE!$B$8&gt;=7,FORSIDE!$F$8&gt;=6,FORSIDE!$B$5&gt;=5),"1238 -&gt; 1469","")</f>
        <v/>
      </c>
      <c r="C5636" t="str">
        <f>FORSIDE!$C$3</f>
        <v>S355, Stål / VFHUP 140x140x8.0</v>
      </c>
    </row>
    <row r="5637" spans="1:3" x14ac:dyDescent="0.3">
      <c r="A5637" t="str">
        <f>IF(AND(FORSIDE!$B$8&gt;=7,FORSIDE!$F$8&gt;=6,FORSIDE!$B$5&gt;=6),"S5636","")</f>
        <v/>
      </c>
      <c r="B5637" t="str">
        <f>IF(AND(FORSIDE!$B$8&gt;=7,FORSIDE!$F$8&gt;=6,FORSIDE!$B$5&gt;=6),"1239 -&gt; 1470","")</f>
        <v/>
      </c>
      <c r="C5637" t="str">
        <f>FORSIDE!$C$3</f>
        <v>S355, Stål / VFHUP 140x140x8.0</v>
      </c>
    </row>
    <row r="5638" spans="1:3" x14ac:dyDescent="0.3">
      <c r="A5638" t="str">
        <f>IF(AND(FORSIDE!$B$8&gt;=7,FORSIDE!$F$8&gt;=6,FORSIDE!$B$5&gt;=7),"S5637","")</f>
        <v/>
      </c>
      <c r="B5638" t="str">
        <f>IF(AND(FORSIDE!$B$8&gt;=7,FORSIDE!$F$8&gt;=6,FORSIDE!$B$5&gt;=7),"1240 -&gt; 1471","")</f>
        <v/>
      </c>
      <c r="C5638" t="str">
        <f>FORSIDE!$C$3</f>
        <v>S355, Stål / VFHUP 140x140x8.0</v>
      </c>
    </row>
    <row r="5639" spans="1:3" x14ac:dyDescent="0.3">
      <c r="A5639" t="str">
        <f>IF(AND(FORSIDE!$B$8&gt;=7,FORSIDE!$F$8&gt;=6,FORSIDE!$B$5&gt;=8),"S5638","")</f>
        <v/>
      </c>
      <c r="B5639" t="str">
        <f>IF(AND(FORSIDE!$B$8&gt;=7,FORSIDE!$F$8&gt;=6,FORSIDE!$B$5&gt;=8),"1241 -&gt; 1472","")</f>
        <v/>
      </c>
      <c r="C5639" t="str">
        <f>FORSIDE!$C$3</f>
        <v>S355, Stål / VFHUP 140x140x8.0</v>
      </c>
    </row>
    <row r="5640" spans="1:3" x14ac:dyDescent="0.3">
      <c r="A5640" t="str">
        <f>IF(AND(FORSIDE!$B$8&gt;=7,FORSIDE!$F$8&gt;=6,FORSIDE!$B$5&gt;=9),"S5639","")</f>
        <v/>
      </c>
      <c r="B5640" t="str">
        <f>IF(AND(FORSIDE!$B$8&gt;=7,FORSIDE!$F$8&gt;=6,FORSIDE!$B$5&gt;=9),"1242 -&gt; 1473","")</f>
        <v/>
      </c>
      <c r="C5640" t="str">
        <f>FORSIDE!$C$3</f>
        <v>S355, Stål / VFHUP 140x140x8.0</v>
      </c>
    </row>
    <row r="5641" spans="1:3" x14ac:dyDescent="0.3">
      <c r="A5641" t="str">
        <f>IF(AND(FORSIDE!$B$8&gt;=7,FORSIDE!$F$8&gt;=6,FORSIDE!$B$5&gt;=10),"S5640","")</f>
        <v/>
      </c>
      <c r="B5641" t="str">
        <f>IF(AND(FORSIDE!$B$8&gt;=7,FORSIDE!$F$8&gt;=6,FORSIDE!$B$5&gt;=10),"1243 -&gt; 1474","")</f>
        <v/>
      </c>
      <c r="C5641" t="str">
        <f>FORSIDE!$C$3</f>
        <v>S355, Stål / VFHUP 140x140x8.0</v>
      </c>
    </row>
    <row r="5642" spans="1:3" x14ac:dyDescent="0.3">
      <c r="A5642" t="str">
        <f>IF(AND(FORSIDE!$B$8&gt;=8,FORSIDE!$F$8&gt;=6,FORSIDE!$B$5&gt;=1),"S5641","")</f>
        <v/>
      </c>
      <c r="B5642" t="str">
        <f>IF(AND(FORSIDE!$B$8&gt;=8,FORSIDE!$F$8&gt;=6,FORSIDE!$B$5&gt;=1),"1245 -&gt; 1476","")</f>
        <v/>
      </c>
      <c r="C5642" t="str">
        <f>FORSIDE!$C$3</f>
        <v>S355, Stål / VFHUP 140x140x8.0</v>
      </c>
    </row>
    <row r="5643" spans="1:3" x14ac:dyDescent="0.3">
      <c r="A5643" t="str">
        <f>IF(AND(FORSIDE!$B$8&gt;=8,FORSIDE!$F$8&gt;=6,FORSIDE!$B$5&gt;=2),"S5642","")</f>
        <v/>
      </c>
      <c r="B5643" t="str">
        <f>IF(AND(FORSIDE!$B$8&gt;=8,FORSIDE!$F$8&gt;=6,FORSIDE!$B$5&gt;=2),"1246 -&gt; 1477","")</f>
        <v/>
      </c>
      <c r="C5643" t="str">
        <f>FORSIDE!$C$3</f>
        <v>S355, Stål / VFHUP 140x140x8.0</v>
      </c>
    </row>
    <row r="5644" spans="1:3" x14ac:dyDescent="0.3">
      <c r="A5644" t="str">
        <f>IF(AND(FORSIDE!$B$8&gt;=8,FORSIDE!$F$8&gt;=6,FORSIDE!$B$5&gt;=3),"S5643","")</f>
        <v/>
      </c>
      <c r="B5644" t="str">
        <f>IF(AND(FORSIDE!$B$8&gt;=8,FORSIDE!$F$8&gt;=6,FORSIDE!$B$5&gt;=3),"1247 -&gt; 1478","")</f>
        <v/>
      </c>
      <c r="C5644" t="str">
        <f>FORSIDE!$C$3</f>
        <v>S355, Stål / VFHUP 140x140x8.0</v>
      </c>
    </row>
    <row r="5645" spans="1:3" x14ac:dyDescent="0.3">
      <c r="A5645" t="str">
        <f>IF(AND(FORSIDE!$B$8&gt;=8,FORSIDE!$F$8&gt;=6,FORSIDE!$B$5&gt;=4),"S5644","")</f>
        <v/>
      </c>
      <c r="B5645" t="str">
        <f>IF(AND(FORSIDE!$B$8&gt;=8,FORSIDE!$F$8&gt;=6,FORSIDE!$B$5&gt;=4),"1248 -&gt; 1479","")</f>
        <v/>
      </c>
      <c r="C5645" t="str">
        <f>FORSIDE!$C$3</f>
        <v>S355, Stål / VFHUP 140x140x8.0</v>
      </c>
    </row>
    <row r="5646" spans="1:3" x14ac:dyDescent="0.3">
      <c r="A5646" t="str">
        <f>IF(AND(FORSIDE!$B$8&gt;=8,FORSIDE!$F$8&gt;=6,FORSIDE!$B$5&gt;=5),"S5645","")</f>
        <v/>
      </c>
      <c r="B5646" t="str">
        <f>IF(AND(FORSIDE!$B$8&gt;=8,FORSIDE!$F$8&gt;=6,FORSIDE!$B$5&gt;=5),"1249 -&gt; 1480","")</f>
        <v/>
      </c>
      <c r="C5646" t="str">
        <f>FORSIDE!$C$3</f>
        <v>S355, Stål / VFHUP 140x140x8.0</v>
      </c>
    </row>
    <row r="5647" spans="1:3" x14ac:dyDescent="0.3">
      <c r="A5647" t="str">
        <f>IF(AND(FORSIDE!$B$8&gt;=8,FORSIDE!$F$8&gt;=6,FORSIDE!$B$5&gt;=6),"S5646","")</f>
        <v/>
      </c>
      <c r="B5647" t="str">
        <f>IF(AND(FORSIDE!$B$8&gt;=8,FORSIDE!$F$8&gt;=6,FORSIDE!$B$5&gt;=6),"1250 -&gt; 1481","")</f>
        <v/>
      </c>
      <c r="C5647" t="str">
        <f>FORSIDE!$C$3</f>
        <v>S355, Stål / VFHUP 140x140x8.0</v>
      </c>
    </row>
    <row r="5648" spans="1:3" x14ac:dyDescent="0.3">
      <c r="A5648" t="str">
        <f>IF(AND(FORSIDE!$B$8&gt;=8,FORSIDE!$F$8&gt;=6,FORSIDE!$B$5&gt;=7),"S5647","")</f>
        <v/>
      </c>
      <c r="B5648" t="str">
        <f>IF(AND(FORSIDE!$B$8&gt;=8,FORSIDE!$F$8&gt;=6,FORSIDE!$B$5&gt;=7),"1251 -&gt; 1482","")</f>
        <v/>
      </c>
      <c r="C5648" t="str">
        <f>FORSIDE!$C$3</f>
        <v>S355, Stål / VFHUP 140x140x8.0</v>
      </c>
    </row>
    <row r="5649" spans="1:3" x14ac:dyDescent="0.3">
      <c r="A5649" t="str">
        <f>IF(AND(FORSIDE!$B$8&gt;=8,FORSIDE!$F$8&gt;=6,FORSIDE!$B$5&gt;=8),"S5648","")</f>
        <v/>
      </c>
      <c r="B5649" t="str">
        <f>IF(AND(FORSIDE!$B$8&gt;=8,FORSIDE!$F$8&gt;=6,FORSIDE!$B$5&gt;=8),"1252 -&gt; 1483","")</f>
        <v/>
      </c>
      <c r="C5649" t="str">
        <f>FORSIDE!$C$3</f>
        <v>S355, Stål / VFHUP 140x140x8.0</v>
      </c>
    </row>
    <row r="5650" spans="1:3" x14ac:dyDescent="0.3">
      <c r="A5650" t="str">
        <f>IF(AND(FORSIDE!$B$8&gt;=8,FORSIDE!$F$8&gt;=6,FORSIDE!$B$5&gt;=9),"S5649","")</f>
        <v/>
      </c>
      <c r="B5650" t="str">
        <f>IF(AND(FORSIDE!$B$8&gt;=8,FORSIDE!$F$8&gt;=6,FORSIDE!$B$5&gt;=9),"1253 -&gt; 1484","")</f>
        <v/>
      </c>
      <c r="C5650" t="str">
        <f>FORSIDE!$C$3</f>
        <v>S355, Stål / VFHUP 140x140x8.0</v>
      </c>
    </row>
    <row r="5651" spans="1:3" x14ac:dyDescent="0.3">
      <c r="A5651" t="str">
        <f>IF(AND(FORSIDE!$B$8&gt;=8,FORSIDE!$F$8&gt;=6,FORSIDE!$B$5&gt;=10),"S5650","")</f>
        <v/>
      </c>
      <c r="B5651" t="str">
        <f>IF(AND(FORSIDE!$B$8&gt;=8,FORSIDE!$F$8&gt;=6,FORSIDE!$B$5&gt;=10),"1254 -&gt; 1485","")</f>
        <v/>
      </c>
      <c r="C5651" t="str">
        <f>FORSIDE!$C$3</f>
        <v>S355, Stål / VFHUP 140x140x8.0</v>
      </c>
    </row>
    <row r="5652" spans="1:3" x14ac:dyDescent="0.3">
      <c r="A5652" t="str">
        <f>IF(AND(FORSIDE!$B$8&gt;=9,FORSIDE!$F$8&gt;=6,FORSIDE!$B$5&gt;=1),"S5651","")</f>
        <v/>
      </c>
      <c r="B5652" t="str">
        <f>IF(AND(FORSIDE!$B$8&gt;=9,FORSIDE!$F$8&gt;=6,FORSIDE!$B$5&gt;=1),"1256 -&gt; 1487","")</f>
        <v/>
      </c>
      <c r="C5652" t="str">
        <f>FORSIDE!$C$3</f>
        <v>S355, Stål / VFHUP 140x140x8.0</v>
      </c>
    </row>
    <row r="5653" spans="1:3" x14ac:dyDescent="0.3">
      <c r="A5653" t="str">
        <f>IF(AND(FORSIDE!$B$8&gt;=9,FORSIDE!$F$8&gt;=6,FORSIDE!$B$5&gt;=2),"S5652","")</f>
        <v/>
      </c>
      <c r="B5653" t="str">
        <f>IF(AND(FORSIDE!$B$8&gt;=9,FORSIDE!$F$8&gt;=6,FORSIDE!$B$5&gt;=2),"1257 -&gt; 1488","")</f>
        <v/>
      </c>
      <c r="C5653" t="str">
        <f>FORSIDE!$C$3</f>
        <v>S355, Stål / VFHUP 140x140x8.0</v>
      </c>
    </row>
    <row r="5654" spans="1:3" x14ac:dyDescent="0.3">
      <c r="A5654" t="str">
        <f>IF(AND(FORSIDE!$B$8&gt;=9,FORSIDE!$F$8&gt;=6,FORSIDE!$B$5&gt;=3),"S5653","")</f>
        <v/>
      </c>
      <c r="B5654" t="str">
        <f>IF(AND(FORSIDE!$B$8&gt;=9,FORSIDE!$F$8&gt;=6,FORSIDE!$B$5&gt;=3),"1258 -&gt; 1489","")</f>
        <v/>
      </c>
      <c r="C5654" t="str">
        <f>FORSIDE!$C$3</f>
        <v>S355, Stål / VFHUP 140x140x8.0</v>
      </c>
    </row>
    <row r="5655" spans="1:3" x14ac:dyDescent="0.3">
      <c r="A5655" t="str">
        <f>IF(AND(FORSIDE!$B$8&gt;=9,FORSIDE!$F$8&gt;=6,FORSIDE!$B$5&gt;=4),"S5654","")</f>
        <v/>
      </c>
      <c r="B5655" t="str">
        <f>IF(AND(FORSIDE!$B$8&gt;=9,FORSIDE!$F$8&gt;=6,FORSIDE!$B$5&gt;=4),"1259 -&gt; 1490","")</f>
        <v/>
      </c>
      <c r="C5655" t="str">
        <f>FORSIDE!$C$3</f>
        <v>S355, Stål / VFHUP 140x140x8.0</v>
      </c>
    </row>
    <row r="5656" spans="1:3" x14ac:dyDescent="0.3">
      <c r="A5656" t="str">
        <f>IF(AND(FORSIDE!$B$8&gt;=9,FORSIDE!$F$8&gt;=6,FORSIDE!$B$5&gt;=5),"S5655","")</f>
        <v/>
      </c>
      <c r="B5656" t="str">
        <f>IF(AND(FORSIDE!$B$8&gt;=9,FORSIDE!$F$8&gt;=6,FORSIDE!$B$5&gt;=5),"1260 -&gt; 1491","")</f>
        <v/>
      </c>
      <c r="C5656" t="str">
        <f>FORSIDE!$C$3</f>
        <v>S355, Stål / VFHUP 140x140x8.0</v>
      </c>
    </row>
    <row r="5657" spans="1:3" x14ac:dyDescent="0.3">
      <c r="A5657" t="str">
        <f>IF(AND(FORSIDE!$B$8&gt;=9,FORSIDE!$F$8&gt;=6,FORSIDE!$B$5&gt;=6),"S5656","")</f>
        <v/>
      </c>
      <c r="B5657" t="str">
        <f>IF(AND(FORSIDE!$B$8&gt;=9,FORSIDE!$F$8&gt;=6,FORSIDE!$B$5&gt;=6),"1261 -&gt; 1492","")</f>
        <v/>
      </c>
      <c r="C5657" t="str">
        <f>FORSIDE!$C$3</f>
        <v>S355, Stål / VFHUP 140x140x8.0</v>
      </c>
    </row>
    <row r="5658" spans="1:3" x14ac:dyDescent="0.3">
      <c r="A5658" t="str">
        <f>IF(AND(FORSIDE!$B$8&gt;=9,FORSIDE!$F$8&gt;=6,FORSIDE!$B$5&gt;=7),"S5657","")</f>
        <v/>
      </c>
      <c r="B5658" t="str">
        <f>IF(AND(FORSIDE!$B$8&gt;=9,FORSIDE!$F$8&gt;=6,FORSIDE!$B$5&gt;=7),"1262 -&gt; 1493","")</f>
        <v/>
      </c>
      <c r="C5658" t="str">
        <f>FORSIDE!$C$3</f>
        <v>S355, Stål / VFHUP 140x140x8.0</v>
      </c>
    </row>
    <row r="5659" spans="1:3" x14ac:dyDescent="0.3">
      <c r="A5659" t="str">
        <f>IF(AND(FORSIDE!$B$8&gt;=9,FORSIDE!$F$8&gt;=6,FORSIDE!$B$5&gt;=8),"S5658","")</f>
        <v/>
      </c>
      <c r="B5659" t="str">
        <f>IF(AND(FORSIDE!$B$8&gt;=9,FORSIDE!$F$8&gt;=6,FORSIDE!$B$5&gt;=8),"1263 -&gt; 1494","")</f>
        <v/>
      </c>
      <c r="C5659" t="str">
        <f>FORSIDE!$C$3</f>
        <v>S355, Stål / VFHUP 140x140x8.0</v>
      </c>
    </row>
    <row r="5660" spans="1:3" x14ac:dyDescent="0.3">
      <c r="A5660" t="str">
        <f>IF(AND(FORSIDE!$B$8&gt;=9,FORSIDE!$F$8&gt;=6,FORSIDE!$B$5&gt;=9),"S5659","")</f>
        <v/>
      </c>
      <c r="B5660" t="str">
        <f>IF(AND(FORSIDE!$B$8&gt;=9,FORSIDE!$F$8&gt;=6,FORSIDE!$B$5&gt;=9),"1264 -&gt; 1495","")</f>
        <v/>
      </c>
      <c r="C5660" t="str">
        <f>FORSIDE!$C$3</f>
        <v>S355, Stål / VFHUP 140x140x8.0</v>
      </c>
    </row>
    <row r="5661" spans="1:3" x14ac:dyDescent="0.3">
      <c r="A5661" t="str">
        <f>IF(AND(FORSIDE!$B$8&gt;=9,FORSIDE!$F$8&gt;=6,FORSIDE!$B$5&gt;=10),"S5660","")</f>
        <v/>
      </c>
      <c r="B5661" t="str">
        <f>IF(AND(FORSIDE!$B$8&gt;=9,FORSIDE!$F$8&gt;=6,FORSIDE!$B$5&gt;=10),"1265 -&gt; 1496","")</f>
        <v/>
      </c>
      <c r="C5661" t="str">
        <f>FORSIDE!$C$3</f>
        <v>S355, Stål / VFHUP 140x140x8.0</v>
      </c>
    </row>
    <row r="5662" spans="1:3" x14ac:dyDescent="0.3">
      <c r="A5662" t="str">
        <f>IF(AND(FORSIDE!$B$8&gt;=10,FORSIDE!$F$8&gt;=6,FORSIDE!$B$5&gt;=1),"S5661","")</f>
        <v/>
      </c>
      <c r="B5662" t="str">
        <f>IF(AND(FORSIDE!$B$8&gt;=10,FORSIDE!$F$8&gt;=6,FORSIDE!$B$5&gt;=1),"1267 -&gt; 1498","")</f>
        <v/>
      </c>
      <c r="C5662" t="str">
        <f>FORSIDE!$C$3</f>
        <v>S355, Stål / VFHUP 140x140x8.0</v>
      </c>
    </row>
    <row r="5663" spans="1:3" x14ac:dyDescent="0.3">
      <c r="A5663" t="str">
        <f>IF(AND(FORSIDE!$B$8&gt;=10,FORSIDE!$F$8&gt;=6,FORSIDE!$B$5&gt;=2),"S5662","")</f>
        <v/>
      </c>
      <c r="B5663" t="str">
        <f>IF(AND(FORSIDE!$B$8&gt;=10,FORSIDE!$F$8&gt;=6,FORSIDE!$B$5&gt;=2),"1268 -&gt; 1499","")</f>
        <v/>
      </c>
      <c r="C5663" t="str">
        <f>FORSIDE!$C$3</f>
        <v>S355, Stål / VFHUP 140x140x8.0</v>
      </c>
    </row>
    <row r="5664" spans="1:3" x14ac:dyDescent="0.3">
      <c r="A5664" t="str">
        <f>IF(AND(FORSIDE!$B$8&gt;=10,FORSIDE!$F$8&gt;=6,FORSIDE!$B$5&gt;=3),"S5663","")</f>
        <v/>
      </c>
      <c r="B5664" t="str">
        <f>IF(AND(FORSIDE!$B$8&gt;=10,FORSIDE!$F$8&gt;=6,FORSIDE!$B$5&gt;=3),"1269 -&gt; 1500","")</f>
        <v/>
      </c>
      <c r="C5664" t="str">
        <f>FORSIDE!$C$3</f>
        <v>S355, Stål / VFHUP 140x140x8.0</v>
      </c>
    </row>
    <row r="5665" spans="1:3" x14ac:dyDescent="0.3">
      <c r="A5665" t="str">
        <f>IF(AND(FORSIDE!$B$8&gt;=10,FORSIDE!$F$8&gt;=6,FORSIDE!$B$5&gt;=4),"S5664","")</f>
        <v/>
      </c>
      <c r="B5665" t="str">
        <f>IF(AND(FORSIDE!$B$8&gt;=10,FORSIDE!$F$8&gt;=6,FORSIDE!$B$5&gt;=4),"1270 -&gt; 1501","")</f>
        <v/>
      </c>
      <c r="C5665" t="str">
        <f>FORSIDE!$C$3</f>
        <v>S355, Stål / VFHUP 140x140x8.0</v>
      </c>
    </row>
    <row r="5666" spans="1:3" x14ac:dyDescent="0.3">
      <c r="A5666" t="str">
        <f>IF(AND(FORSIDE!$B$8&gt;=10,FORSIDE!$F$8&gt;=6,FORSIDE!$B$5&gt;=5),"S5665","")</f>
        <v/>
      </c>
      <c r="B5666" t="str">
        <f>IF(AND(FORSIDE!$B$8&gt;=10,FORSIDE!$F$8&gt;=6,FORSIDE!$B$5&gt;=5),"1271 -&gt; 1502","")</f>
        <v/>
      </c>
      <c r="C5666" t="str">
        <f>FORSIDE!$C$3</f>
        <v>S355, Stål / VFHUP 140x140x8.0</v>
      </c>
    </row>
    <row r="5667" spans="1:3" x14ac:dyDescent="0.3">
      <c r="A5667" t="str">
        <f>IF(AND(FORSIDE!$B$8&gt;=10,FORSIDE!$F$8&gt;=6,FORSIDE!$B$5&gt;=6),"S5666","")</f>
        <v/>
      </c>
      <c r="B5667" t="str">
        <f>IF(AND(FORSIDE!$B$8&gt;=10,FORSIDE!$F$8&gt;=6,FORSIDE!$B$5&gt;=6),"1272 -&gt; 1503","")</f>
        <v/>
      </c>
      <c r="C5667" t="str">
        <f>FORSIDE!$C$3</f>
        <v>S355, Stål / VFHUP 140x140x8.0</v>
      </c>
    </row>
    <row r="5668" spans="1:3" x14ac:dyDescent="0.3">
      <c r="A5668" t="str">
        <f>IF(AND(FORSIDE!$B$8&gt;=10,FORSIDE!$F$8&gt;=6,FORSIDE!$B$5&gt;=7),"S5667","")</f>
        <v/>
      </c>
      <c r="B5668" t="str">
        <f>IF(AND(FORSIDE!$B$8&gt;=10,FORSIDE!$F$8&gt;=6,FORSIDE!$B$5&gt;=7),"1273 -&gt; 1504","")</f>
        <v/>
      </c>
      <c r="C5668" t="str">
        <f>FORSIDE!$C$3</f>
        <v>S355, Stål / VFHUP 140x140x8.0</v>
      </c>
    </row>
    <row r="5669" spans="1:3" x14ac:dyDescent="0.3">
      <c r="A5669" t="str">
        <f>IF(AND(FORSIDE!$B$8&gt;=10,FORSIDE!$F$8&gt;=6,FORSIDE!$B$5&gt;=8),"S5668","")</f>
        <v/>
      </c>
      <c r="B5669" t="str">
        <f>IF(AND(FORSIDE!$B$8&gt;=10,FORSIDE!$F$8&gt;=6,FORSIDE!$B$5&gt;=8),"1274 -&gt; 1505","")</f>
        <v/>
      </c>
      <c r="C5669" t="str">
        <f>FORSIDE!$C$3</f>
        <v>S355, Stål / VFHUP 140x140x8.0</v>
      </c>
    </row>
    <row r="5670" spans="1:3" x14ac:dyDescent="0.3">
      <c r="A5670" t="str">
        <f>IF(AND(FORSIDE!$B$8&gt;=10,FORSIDE!$F$8&gt;=6,FORSIDE!$B$5&gt;=9),"S5669","")</f>
        <v/>
      </c>
      <c r="B5670" t="str">
        <f>IF(AND(FORSIDE!$B$8&gt;=10,FORSIDE!$F$8&gt;=6,FORSIDE!$B$5&gt;=9),"1275 -&gt; 1506","")</f>
        <v/>
      </c>
      <c r="C5670" t="str">
        <f>FORSIDE!$C$3</f>
        <v>S355, Stål / VFHUP 140x140x8.0</v>
      </c>
    </row>
    <row r="5671" spans="1:3" x14ac:dyDescent="0.3">
      <c r="A5671" t="str">
        <f>IF(AND(FORSIDE!$B$8&gt;=10,FORSIDE!$F$8&gt;=6,FORSIDE!$B$5&gt;=10),"S5670","")</f>
        <v/>
      </c>
      <c r="B5671" t="str">
        <f>IF(AND(FORSIDE!$B$8&gt;=10,FORSIDE!$F$8&gt;=6,FORSIDE!$B$5&gt;=10),"1276 -&gt; 1507","")</f>
        <v/>
      </c>
      <c r="C5671" t="str">
        <f>FORSIDE!$C$3</f>
        <v>S355, Stål / VFHUP 140x140x8.0</v>
      </c>
    </row>
    <row r="5672" spans="1:3" x14ac:dyDescent="0.3">
      <c r="A5672" t="str">
        <f>IF(AND(FORSIDE!$B$8&gt;=11,FORSIDE!$F$8&gt;=6,FORSIDE!$B$5&gt;=1),"S5671","")</f>
        <v/>
      </c>
      <c r="B5672" t="str">
        <f>IF(AND(FORSIDE!$B$8&gt;=11,FORSIDE!$F$8&gt;=6,FORSIDE!$B$5&gt;=1),"1278 -&gt; 1509","")</f>
        <v/>
      </c>
      <c r="C5672" t="str">
        <f>FORSIDE!$C$3</f>
        <v>S355, Stål / VFHUP 140x140x8.0</v>
      </c>
    </row>
    <row r="5673" spans="1:3" x14ac:dyDescent="0.3">
      <c r="A5673" t="str">
        <f>IF(AND(FORSIDE!$B$8&gt;=11,FORSIDE!$F$8&gt;=6,FORSIDE!$B$5&gt;=2),"S5672","")</f>
        <v/>
      </c>
      <c r="B5673" t="str">
        <f>IF(AND(FORSIDE!$B$8&gt;=11,FORSIDE!$F$8&gt;=6,FORSIDE!$B$5&gt;=2),"1279 -&gt; 1510","")</f>
        <v/>
      </c>
      <c r="C5673" t="str">
        <f>FORSIDE!$C$3</f>
        <v>S355, Stål / VFHUP 140x140x8.0</v>
      </c>
    </row>
    <row r="5674" spans="1:3" x14ac:dyDescent="0.3">
      <c r="A5674" t="str">
        <f>IF(AND(FORSIDE!$B$8&gt;=11,FORSIDE!$F$8&gt;=6,FORSIDE!$B$5&gt;=3),"S5673","")</f>
        <v/>
      </c>
      <c r="B5674" t="str">
        <f>IF(AND(FORSIDE!$B$8&gt;=11,FORSIDE!$F$8&gt;=6,FORSIDE!$B$5&gt;=3),"1280 -&gt; 1511","")</f>
        <v/>
      </c>
      <c r="C5674" t="str">
        <f>FORSIDE!$C$3</f>
        <v>S355, Stål / VFHUP 140x140x8.0</v>
      </c>
    </row>
    <row r="5675" spans="1:3" x14ac:dyDescent="0.3">
      <c r="A5675" t="str">
        <f>IF(AND(FORSIDE!$B$8&gt;=11,FORSIDE!$F$8&gt;=6,FORSIDE!$B$5&gt;=4),"S5674","")</f>
        <v/>
      </c>
      <c r="B5675" t="str">
        <f>IF(AND(FORSIDE!$B$8&gt;=11,FORSIDE!$F$8&gt;=6,FORSIDE!$B$5&gt;=4),"1281 -&gt; 1512","")</f>
        <v/>
      </c>
      <c r="C5675" t="str">
        <f>FORSIDE!$C$3</f>
        <v>S355, Stål / VFHUP 140x140x8.0</v>
      </c>
    </row>
    <row r="5676" spans="1:3" x14ac:dyDescent="0.3">
      <c r="A5676" t="str">
        <f>IF(AND(FORSIDE!$B$8&gt;=11,FORSIDE!$F$8&gt;=6,FORSIDE!$B$5&gt;=5),"S5675","")</f>
        <v/>
      </c>
      <c r="B5676" t="str">
        <f>IF(AND(FORSIDE!$B$8&gt;=11,FORSIDE!$F$8&gt;=6,FORSIDE!$B$5&gt;=5),"1282 -&gt; 1513","")</f>
        <v/>
      </c>
      <c r="C5676" t="str">
        <f>FORSIDE!$C$3</f>
        <v>S355, Stål / VFHUP 140x140x8.0</v>
      </c>
    </row>
    <row r="5677" spans="1:3" x14ac:dyDescent="0.3">
      <c r="A5677" t="str">
        <f>IF(AND(FORSIDE!$B$8&gt;=11,FORSIDE!$F$8&gt;=6,FORSIDE!$B$5&gt;=6),"S5676","")</f>
        <v/>
      </c>
      <c r="B5677" t="str">
        <f>IF(AND(FORSIDE!$B$8&gt;=11,FORSIDE!$F$8&gt;=6,FORSIDE!$B$5&gt;=6),"1283 -&gt; 1514","")</f>
        <v/>
      </c>
      <c r="C5677" t="str">
        <f>FORSIDE!$C$3</f>
        <v>S355, Stål / VFHUP 140x140x8.0</v>
      </c>
    </row>
    <row r="5678" spans="1:3" x14ac:dyDescent="0.3">
      <c r="A5678" t="str">
        <f>IF(AND(FORSIDE!$B$8&gt;=11,FORSIDE!$F$8&gt;=6,FORSIDE!$B$5&gt;=7),"S5677","")</f>
        <v/>
      </c>
      <c r="B5678" t="str">
        <f>IF(AND(FORSIDE!$B$8&gt;=11,FORSIDE!$F$8&gt;=6,FORSIDE!$B$5&gt;=7),"1284 -&gt; 1515","")</f>
        <v/>
      </c>
      <c r="C5678" t="str">
        <f>FORSIDE!$C$3</f>
        <v>S355, Stål / VFHUP 140x140x8.0</v>
      </c>
    </row>
    <row r="5679" spans="1:3" x14ac:dyDescent="0.3">
      <c r="A5679" t="str">
        <f>IF(AND(FORSIDE!$B$8&gt;=11,FORSIDE!$F$8&gt;=6,FORSIDE!$B$5&gt;=8),"S5678","")</f>
        <v/>
      </c>
      <c r="B5679" t="str">
        <f>IF(AND(FORSIDE!$B$8&gt;=11,FORSIDE!$F$8&gt;=6,FORSIDE!$B$5&gt;=8),"1285 -&gt; 1516","")</f>
        <v/>
      </c>
      <c r="C5679" t="str">
        <f>FORSIDE!$C$3</f>
        <v>S355, Stål / VFHUP 140x140x8.0</v>
      </c>
    </row>
    <row r="5680" spans="1:3" x14ac:dyDescent="0.3">
      <c r="A5680" t="str">
        <f>IF(AND(FORSIDE!$B$8&gt;=11,FORSIDE!$F$8&gt;=6,FORSIDE!$B$5&gt;=9),"S5679","")</f>
        <v/>
      </c>
      <c r="B5680" t="str">
        <f>IF(AND(FORSIDE!$B$8&gt;=11,FORSIDE!$F$8&gt;=6,FORSIDE!$B$5&gt;=9),"1286 -&gt; 1517","")</f>
        <v/>
      </c>
      <c r="C5680" t="str">
        <f>FORSIDE!$C$3</f>
        <v>S355, Stål / VFHUP 140x140x8.0</v>
      </c>
    </row>
    <row r="5681" spans="1:3" x14ac:dyDescent="0.3">
      <c r="A5681" t="str">
        <f>IF(AND(FORSIDE!$B$8&gt;=11,FORSIDE!$F$8&gt;=6,FORSIDE!$B$5&gt;=10),"S5680","")</f>
        <v/>
      </c>
      <c r="B5681" t="str">
        <f>IF(AND(FORSIDE!$B$8&gt;=11,FORSIDE!$F$8&gt;=6,FORSIDE!$B$5&gt;=10),"1287 -&gt; 1518","")</f>
        <v/>
      </c>
      <c r="C5681" t="str">
        <f>FORSIDE!$C$3</f>
        <v>S355, Stål / VFHUP 140x140x8.0</v>
      </c>
    </row>
    <row r="5682" spans="1:3" x14ac:dyDescent="0.3">
      <c r="A5682" t="str">
        <f>IF(AND(FORSIDE!$B$8&gt;=12,FORSIDE!$F$8&gt;=6,FORSIDE!$B$5&gt;=1),"S5681","")</f>
        <v/>
      </c>
      <c r="B5682" t="str">
        <f>IF(AND(FORSIDE!$B$8&gt;=12,FORSIDE!$F$8&gt;=6,FORSIDE!$B$5&gt;=1),"1289 -&gt; 1520","")</f>
        <v/>
      </c>
      <c r="C5682" t="str">
        <f>FORSIDE!$C$3</f>
        <v>S355, Stål / VFHUP 140x140x8.0</v>
      </c>
    </row>
    <row r="5683" spans="1:3" x14ac:dyDescent="0.3">
      <c r="A5683" t="str">
        <f>IF(AND(FORSIDE!$B$8&gt;=12,FORSIDE!$F$8&gt;=6,FORSIDE!$B$5&gt;=2),"S5682","")</f>
        <v/>
      </c>
      <c r="B5683" t="str">
        <f>IF(AND(FORSIDE!$B$8&gt;=12,FORSIDE!$F$8&gt;=6,FORSIDE!$B$5&gt;=2),"1290 -&gt; 1521","")</f>
        <v/>
      </c>
      <c r="C5683" t="str">
        <f>FORSIDE!$C$3</f>
        <v>S355, Stål / VFHUP 140x140x8.0</v>
      </c>
    </row>
    <row r="5684" spans="1:3" x14ac:dyDescent="0.3">
      <c r="A5684" t="str">
        <f>IF(AND(FORSIDE!$B$8&gt;=12,FORSIDE!$F$8&gt;=6,FORSIDE!$B$5&gt;=3),"S5683","")</f>
        <v/>
      </c>
      <c r="B5684" t="str">
        <f>IF(AND(FORSIDE!$B$8&gt;=12,FORSIDE!$F$8&gt;=6,FORSIDE!$B$5&gt;=3),"1291 -&gt; 1522","")</f>
        <v/>
      </c>
      <c r="C5684" t="str">
        <f>FORSIDE!$C$3</f>
        <v>S355, Stål / VFHUP 140x140x8.0</v>
      </c>
    </row>
    <row r="5685" spans="1:3" x14ac:dyDescent="0.3">
      <c r="A5685" t="str">
        <f>IF(AND(FORSIDE!$B$8&gt;=12,FORSIDE!$F$8&gt;=6,FORSIDE!$B$5&gt;=4),"S5684","")</f>
        <v/>
      </c>
      <c r="B5685" t="str">
        <f>IF(AND(FORSIDE!$B$8&gt;=12,FORSIDE!$F$8&gt;=6,FORSIDE!$B$5&gt;=4),"1292 -&gt; 1523","")</f>
        <v/>
      </c>
      <c r="C5685" t="str">
        <f>FORSIDE!$C$3</f>
        <v>S355, Stål / VFHUP 140x140x8.0</v>
      </c>
    </row>
    <row r="5686" spans="1:3" x14ac:dyDescent="0.3">
      <c r="A5686" t="str">
        <f>IF(AND(FORSIDE!$B$8&gt;=12,FORSIDE!$F$8&gt;=6,FORSIDE!$B$5&gt;=5),"S5685","")</f>
        <v/>
      </c>
      <c r="B5686" t="str">
        <f>IF(AND(FORSIDE!$B$8&gt;=12,FORSIDE!$F$8&gt;=6,FORSIDE!$B$5&gt;=5),"1293 -&gt; 1524","")</f>
        <v/>
      </c>
      <c r="C5686" t="str">
        <f>FORSIDE!$C$3</f>
        <v>S355, Stål / VFHUP 140x140x8.0</v>
      </c>
    </row>
    <row r="5687" spans="1:3" x14ac:dyDescent="0.3">
      <c r="A5687" t="str">
        <f>IF(AND(FORSIDE!$B$8&gt;=12,FORSIDE!$F$8&gt;=6,FORSIDE!$B$5&gt;=6),"S5686","")</f>
        <v/>
      </c>
      <c r="B5687" t="str">
        <f>IF(AND(FORSIDE!$B$8&gt;=12,FORSIDE!$F$8&gt;=6,FORSIDE!$B$5&gt;=6),"1294 -&gt; 1525","")</f>
        <v/>
      </c>
      <c r="C5687" t="str">
        <f>FORSIDE!$C$3</f>
        <v>S355, Stål / VFHUP 140x140x8.0</v>
      </c>
    </row>
    <row r="5688" spans="1:3" x14ac:dyDescent="0.3">
      <c r="A5688" t="str">
        <f>IF(AND(FORSIDE!$B$8&gt;=12,FORSIDE!$F$8&gt;=6,FORSIDE!$B$5&gt;=7),"S5687","")</f>
        <v/>
      </c>
      <c r="B5688" t="str">
        <f>IF(AND(FORSIDE!$B$8&gt;=12,FORSIDE!$F$8&gt;=6,FORSIDE!$B$5&gt;=7),"1295 -&gt; 1526","")</f>
        <v/>
      </c>
      <c r="C5688" t="str">
        <f>FORSIDE!$C$3</f>
        <v>S355, Stål / VFHUP 140x140x8.0</v>
      </c>
    </row>
    <row r="5689" spans="1:3" x14ac:dyDescent="0.3">
      <c r="A5689" t="str">
        <f>IF(AND(FORSIDE!$B$8&gt;=12,FORSIDE!$F$8&gt;=6,FORSIDE!$B$5&gt;=8),"S5688","")</f>
        <v/>
      </c>
      <c r="B5689" t="str">
        <f>IF(AND(FORSIDE!$B$8&gt;=12,FORSIDE!$F$8&gt;=6,FORSIDE!$B$5&gt;=8),"1296 -&gt; 1527","")</f>
        <v/>
      </c>
      <c r="C5689" t="str">
        <f>FORSIDE!$C$3</f>
        <v>S355, Stål / VFHUP 140x140x8.0</v>
      </c>
    </row>
    <row r="5690" spans="1:3" x14ac:dyDescent="0.3">
      <c r="A5690" t="str">
        <f>IF(AND(FORSIDE!$B$8&gt;=12,FORSIDE!$F$8&gt;=6,FORSIDE!$B$5&gt;=9),"S5689","")</f>
        <v/>
      </c>
      <c r="B5690" t="str">
        <f>IF(AND(FORSIDE!$B$8&gt;=12,FORSIDE!$F$8&gt;=6,FORSIDE!$B$5&gt;=9),"1297 -&gt; 1528","")</f>
        <v/>
      </c>
      <c r="C5690" t="str">
        <f>FORSIDE!$C$3</f>
        <v>S355, Stål / VFHUP 140x140x8.0</v>
      </c>
    </row>
    <row r="5691" spans="1:3" x14ac:dyDescent="0.3">
      <c r="A5691" t="str">
        <f>IF(AND(FORSIDE!$B$8&gt;=12,FORSIDE!$F$8&gt;=6,FORSIDE!$B$5&gt;=10),"S5690","")</f>
        <v/>
      </c>
      <c r="B5691" t="str">
        <f>IF(AND(FORSIDE!$B$8&gt;=12,FORSIDE!$F$8&gt;=6,FORSIDE!$B$5&gt;=10),"1298 -&gt; 1529","")</f>
        <v/>
      </c>
      <c r="C5691" t="str">
        <f>FORSIDE!$C$3</f>
        <v>S355, Stål / VFHUP 140x140x8.0</v>
      </c>
    </row>
    <row r="5692" spans="1:3" x14ac:dyDescent="0.3">
      <c r="A5692" t="str">
        <f>IF(AND(FORSIDE!$B$8&gt;=13,FORSIDE!$F$8&gt;=6,FORSIDE!$B$5&gt;=1),"S5691","")</f>
        <v/>
      </c>
      <c r="B5692" t="str">
        <f>IF(AND(FORSIDE!$B$8&gt;=13,FORSIDE!$F$8&gt;=6,FORSIDE!$B$5&gt;=1),"1300 -&gt; 1531","")</f>
        <v/>
      </c>
      <c r="C5692" t="str">
        <f>FORSIDE!$C$3</f>
        <v>S355, Stål / VFHUP 140x140x8.0</v>
      </c>
    </row>
    <row r="5693" spans="1:3" x14ac:dyDescent="0.3">
      <c r="A5693" t="str">
        <f>IF(AND(FORSIDE!$B$8&gt;=13,FORSIDE!$F$8&gt;=6,FORSIDE!$B$5&gt;=2),"S5692","")</f>
        <v/>
      </c>
      <c r="B5693" t="str">
        <f>IF(AND(FORSIDE!$B$8&gt;=13,FORSIDE!$F$8&gt;=6,FORSIDE!$B$5&gt;=2),"1301 -&gt; 1532","")</f>
        <v/>
      </c>
      <c r="C5693" t="str">
        <f>FORSIDE!$C$3</f>
        <v>S355, Stål / VFHUP 140x140x8.0</v>
      </c>
    </row>
    <row r="5694" spans="1:3" x14ac:dyDescent="0.3">
      <c r="A5694" t="str">
        <f>IF(AND(FORSIDE!$B$8&gt;=13,FORSIDE!$F$8&gt;=6,FORSIDE!$B$5&gt;=3),"S5693","")</f>
        <v/>
      </c>
      <c r="B5694" t="str">
        <f>IF(AND(FORSIDE!$B$8&gt;=13,FORSIDE!$F$8&gt;=6,FORSIDE!$B$5&gt;=3),"1302 -&gt; 1533","")</f>
        <v/>
      </c>
      <c r="C5694" t="str">
        <f>FORSIDE!$C$3</f>
        <v>S355, Stål / VFHUP 140x140x8.0</v>
      </c>
    </row>
    <row r="5695" spans="1:3" x14ac:dyDescent="0.3">
      <c r="A5695" t="str">
        <f>IF(AND(FORSIDE!$B$8&gt;=13,FORSIDE!$F$8&gt;=6,FORSIDE!$B$5&gt;=4),"S5694","")</f>
        <v/>
      </c>
      <c r="B5695" t="str">
        <f>IF(AND(FORSIDE!$B$8&gt;=13,FORSIDE!$F$8&gt;=6,FORSIDE!$B$5&gt;=4),"1303 -&gt; 1534","")</f>
        <v/>
      </c>
      <c r="C5695" t="str">
        <f>FORSIDE!$C$3</f>
        <v>S355, Stål / VFHUP 140x140x8.0</v>
      </c>
    </row>
    <row r="5696" spans="1:3" x14ac:dyDescent="0.3">
      <c r="A5696" t="str">
        <f>IF(AND(FORSIDE!$B$8&gt;=13,FORSIDE!$F$8&gt;=6,FORSIDE!$B$5&gt;=5),"S5695","")</f>
        <v/>
      </c>
      <c r="B5696" t="str">
        <f>IF(AND(FORSIDE!$B$8&gt;=13,FORSIDE!$F$8&gt;=6,FORSIDE!$B$5&gt;=5),"1304 -&gt; 1535","")</f>
        <v/>
      </c>
      <c r="C5696" t="str">
        <f>FORSIDE!$C$3</f>
        <v>S355, Stål / VFHUP 140x140x8.0</v>
      </c>
    </row>
    <row r="5697" spans="1:3" x14ac:dyDescent="0.3">
      <c r="A5697" t="str">
        <f>IF(AND(FORSIDE!$B$8&gt;=13,FORSIDE!$F$8&gt;=6,FORSIDE!$B$5&gt;=6),"S5696","")</f>
        <v/>
      </c>
      <c r="B5697" t="str">
        <f>IF(AND(FORSIDE!$B$8&gt;=13,FORSIDE!$F$8&gt;=6,FORSIDE!$B$5&gt;=6),"1305 -&gt; 1536","")</f>
        <v/>
      </c>
      <c r="C5697" t="str">
        <f>FORSIDE!$C$3</f>
        <v>S355, Stål / VFHUP 140x140x8.0</v>
      </c>
    </row>
    <row r="5698" spans="1:3" x14ac:dyDescent="0.3">
      <c r="A5698" t="str">
        <f>IF(AND(FORSIDE!$B$8&gt;=13,FORSIDE!$F$8&gt;=6,FORSIDE!$B$5&gt;=7),"S5697","")</f>
        <v/>
      </c>
      <c r="B5698" t="str">
        <f>IF(AND(FORSIDE!$B$8&gt;=13,FORSIDE!$F$8&gt;=6,FORSIDE!$B$5&gt;=7),"1306 -&gt; 1537","")</f>
        <v/>
      </c>
      <c r="C5698" t="str">
        <f>FORSIDE!$C$3</f>
        <v>S355, Stål / VFHUP 140x140x8.0</v>
      </c>
    </row>
    <row r="5699" spans="1:3" x14ac:dyDescent="0.3">
      <c r="A5699" t="str">
        <f>IF(AND(FORSIDE!$B$8&gt;=13,FORSIDE!$F$8&gt;=6,FORSIDE!$B$5&gt;=8),"S5698","")</f>
        <v/>
      </c>
      <c r="B5699" t="str">
        <f>IF(AND(FORSIDE!$B$8&gt;=13,FORSIDE!$F$8&gt;=6,FORSIDE!$B$5&gt;=8),"1307 -&gt; 1538","")</f>
        <v/>
      </c>
      <c r="C5699" t="str">
        <f>FORSIDE!$C$3</f>
        <v>S355, Stål / VFHUP 140x140x8.0</v>
      </c>
    </row>
    <row r="5700" spans="1:3" x14ac:dyDescent="0.3">
      <c r="A5700" t="str">
        <f>IF(AND(FORSIDE!$B$8&gt;=13,FORSIDE!$F$8&gt;=6,FORSIDE!$B$5&gt;=9),"S5699","")</f>
        <v/>
      </c>
      <c r="B5700" t="str">
        <f>IF(AND(FORSIDE!$B$8&gt;=13,FORSIDE!$F$8&gt;=6,FORSIDE!$B$5&gt;=9),"1308 -&gt; 1539","")</f>
        <v/>
      </c>
      <c r="C5700" t="str">
        <f>FORSIDE!$C$3</f>
        <v>S355, Stål / VFHUP 140x140x8.0</v>
      </c>
    </row>
    <row r="5701" spans="1:3" x14ac:dyDescent="0.3">
      <c r="A5701" t="str">
        <f>IF(AND(FORSIDE!$B$8&gt;=13,FORSIDE!$F$8&gt;=6,FORSIDE!$B$5&gt;=10),"S5700","")</f>
        <v/>
      </c>
      <c r="B5701" t="str">
        <f>IF(AND(FORSIDE!$B$8&gt;=13,FORSIDE!$F$8&gt;=6,FORSIDE!$B$5&gt;=10),"1309 -&gt; 1540","")</f>
        <v/>
      </c>
      <c r="C5701" t="str">
        <f>FORSIDE!$C$3</f>
        <v>S355, Stål / VFHUP 140x140x8.0</v>
      </c>
    </row>
    <row r="5702" spans="1:3" x14ac:dyDescent="0.3">
      <c r="A5702" t="str">
        <f>IF(AND(FORSIDE!$B$8&gt;=14,FORSIDE!$F$8&gt;=6,FORSIDE!$B$5&gt;=1),"S5701","")</f>
        <v/>
      </c>
      <c r="B5702" t="str">
        <f>IF(AND(FORSIDE!$B$8&gt;=14,FORSIDE!$F$8&gt;=6,FORSIDE!$B$5&gt;=1),"1311 -&gt; 1542","")</f>
        <v/>
      </c>
      <c r="C5702" t="str">
        <f>FORSIDE!$C$3</f>
        <v>S355, Stål / VFHUP 140x140x8.0</v>
      </c>
    </row>
    <row r="5703" spans="1:3" x14ac:dyDescent="0.3">
      <c r="A5703" t="str">
        <f>IF(AND(FORSIDE!$B$8&gt;=14,FORSIDE!$F$8&gt;=6,FORSIDE!$B$5&gt;=2),"S5702","")</f>
        <v/>
      </c>
      <c r="B5703" t="str">
        <f>IF(AND(FORSIDE!$B$8&gt;=14,FORSIDE!$F$8&gt;=6,FORSIDE!$B$5&gt;=2),"1312 -&gt; 1543","")</f>
        <v/>
      </c>
      <c r="C5703" t="str">
        <f>FORSIDE!$C$3</f>
        <v>S355, Stål / VFHUP 140x140x8.0</v>
      </c>
    </row>
    <row r="5704" spans="1:3" x14ac:dyDescent="0.3">
      <c r="A5704" t="str">
        <f>IF(AND(FORSIDE!$B$8&gt;=14,FORSIDE!$F$8&gt;=6,FORSIDE!$B$5&gt;=3),"S5703","")</f>
        <v/>
      </c>
      <c r="B5704" t="str">
        <f>IF(AND(FORSIDE!$B$8&gt;=14,FORSIDE!$F$8&gt;=6,FORSIDE!$B$5&gt;=3),"1313 -&gt; 1544","")</f>
        <v/>
      </c>
      <c r="C5704" t="str">
        <f>FORSIDE!$C$3</f>
        <v>S355, Stål / VFHUP 140x140x8.0</v>
      </c>
    </row>
    <row r="5705" spans="1:3" x14ac:dyDescent="0.3">
      <c r="A5705" t="str">
        <f>IF(AND(FORSIDE!$B$8&gt;=14,FORSIDE!$F$8&gt;=6,FORSIDE!$B$5&gt;=4),"S5704","")</f>
        <v/>
      </c>
      <c r="B5705" t="str">
        <f>IF(AND(FORSIDE!$B$8&gt;=14,FORSIDE!$F$8&gt;=6,FORSIDE!$B$5&gt;=4),"1314 -&gt; 1545","")</f>
        <v/>
      </c>
      <c r="C5705" t="str">
        <f>FORSIDE!$C$3</f>
        <v>S355, Stål / VFHUP 140x140x8.0</v>
      </c>
    </row>
    <row r="5706" spans="1:3" x14ac:dyDescent="0.3">
      <c r="A5706" t="str">
        <f>IF(AND(FORSIDE!$B$8&gt;=14,FORSIDE!$F$8&gt;=6,FORSIDE!$B$5&gt;=5),"S5705","")</f>
        <v/>
      </c>
      <c r="B5706" t="str">
        <f>IF(AND(FORSIDE!$B$8&gt;=14,FORSIDE!$F$8&gt;=6,FORSIDE!$B$5&gt;=5),"1315 -&gt; 1546","")</f>
        <v/>
      </c>
      <c r="C5706" t="str">
        <f>FORSIDE!$C$3</f>
        <v>S355, Stål / VFHUP 140x140x8.0</v>
      </c>
    </row>
    <row r="5707" spans="1:3" x14ac:dyDescent="0.3">
      <c r="A5707" t="str">
        <f>IF(AND(FORSIDE!$B$8&gt;=14,FORSIDE!$F$8&gt;=6,FORSIDE!$B$5&gt;=6),"S5706","")</f>
        <v/>
      </c>
      <c r="B5707" t="str">
        <f>IF(AND(FORSIDE!$B$8&gt;=14,FORSIDE!$F$8&gt;=6,FORSIDE!$B$5&gt;=6),"1316 -&gt; 1547","")</f>
        <v/>
      </c>
      <c r="C5707" t="str">
        <f>FORSIDE!$C$3</f>
        <v>S355, Stål / VFHUP 140x140x8.0</v>
      </c>
    </row>
    <row r="5708" spans="1:3" x14ac:dyDescent="0.3">
      <c r="A5708" t="str">
        <f>IF(AND(FORSIDE!$B$8&gt;=14,FORSIDE!$F$8&gt;=6,FORSIDE!$B$5&gt;=7),"S5707","")</f>
        <v/>
      </c>
      <c r="B5708" t="str">
        <f>IF(AND(FORSIDE!$B$8&gt;=14,FORSIDE!$F$8&gt;=6,FORSIDE!$B$5&gt;=7),"1317 -&gt; 1548","")</f>
        <v/>
      </c>
      <c r="C5708" t="str">
        <f>FORSIDE!$C$3</f>
        <v>S355, Stål / VFHUP 140x140x8.0</v>
      </c>
    </row>
    <row r="5709" spans="1:3" x14ac:dyDescent="0.3">
      <c r="A5709" t="str">
        <f>IF(AND(FORSIDE!$B$8&gt;=14,FORSIDE!$F$8&gt;=6,FORSIDE!$B$5&gt;=8),"S5708","")</f>
        <v/>
      </c>
      <c r="B5709" t="str">
        <f>IF(AND(FORSIDE!$B$8&gt;=14,FORSIDE!$F$8&gt;=6,FORSIDE!$B$5&gt;=8),"1318 -&gt; 1549","")</f>
        <v/>
      </c>
      <c r="C5709" t="str">
        <f>FORSIDE!$C$3</f>
        <v>S355, Stål / VFHUP 140x140x8.0</v>
      </c>
    </row>
    <row r="5710" spans="1:3" x14ac:dyDescent="0.3">
      <c r="A5710" t="str">
        <f>IF(AND(FORSIDE!$B$8&gt;=14,FORSIDE!$F$8&gt;=6,FORSIDE!$B$5&gt;=9),"S5709","")</f>
        <v/>
      </c>
      <c r="B5710" t="str">
        <f>IF(AND(FORSIDE!$B$8&gt;=14,FORSIDE!$F$8&gt;=6,FORSIDE!$B$5&gt;=9),"1319 -&gt; 1550","")</f>
        <v/>
      </c>
      <c r="C5710" t="str">
        <f>FORSIDE!$C$3</f>
        <v>S355, Stål / VFHUP 140x140x8.0</v>
      </c>
    </row>
    <row r="5711" spans="1:3" x14ac:dyDescent="0.3">
      <c r="A5711" t="str">
        <f>IF(AND(FORSIDE!$B$8&gt;=14,FORSIDE!$F$8&gt;=6,FORSIDE!$B$5&gt;=10),"S5710","")</f>
        <v/>
      </c>
      <c r="B5711" t="str">
        <f>IF(AND(FORSIDE!$B$8&gt;=14,FORSIDE!$F$8&gt;=6,FORSIDE!$B$5&gt;=10),"1320 -&gt; 1551","")</f>
        <v/>
      </c>
      <c r="C5711" t="str">
        <f>FORSIDE!$C$3</f>
        <v>S355, Stål / VFHUP 140x140x8.0</v>
      </c>
    </row>
    <row r="5712" spans="1:3" x14ac:dyDescent="0.3">
      <c r="A5712" t="str">
        <f>IF(AND(FORSIDE!$B$8&gt;=15,FORSIDE!$F$8&gt;=6,FORSIDE!$B$5&gt;=1),"S5711","")</f>
        <v/>
      </c>
      <c r="B5712" t="str">
        <f>IF(AND(FORSIDE!$B$8&gt;=15,FORSIDE!$F$8&gt;=6,FORSIDE!$B$5&gt;=1),"1322 -&gt; 1553","")</f>
        <v/>
      </c>
      <c r="C5712" t="str">
        <f>FORSIDE!$C$3</f>
        <v>S355, Stål / VFHUP 140x140x8.0</v>
      </c>
    </row>
    <row r="5713" spans="1:3" x14ac:dyDescent="0.3">
      <c r="A5713" t="str">
        <f>IF(AND(FORSIDE!$B$8&gt;=15,FORSIDE!$F$8&gt;=6,FORSIDE!$B$5&gt;=2),"S5712","")</f>
        <v/>
      </c>
      <c r="B5713" t="str">
        <f>IF(AND(FORSIDE!$B$8&gt;=15,FORSIDE!$F$8&gt;=6,FORSIDE!$B$5&gt;=2),"1323 -&gt; 1554","")</f>
        <v/>
      </c>
      <c r="C5713" t="str">
        <f>FORSIDE!$C$3</f>
        <v>S355, Stål / VFHUP 140x140x8.0</v>
      </c>
    </row>
    <row r="5714" spans="1:3" x14ac:dyDescent="0.3">
      <c r="A5714" t="str">
        <f>IF(AND(FORSIDE!$B$8&gt;=15,FORSIDE!$F$8&gt;=6,FORSIDE!$B$5&gt;=3),"S5713","")</f>
        <v/>
      </c>
      <c r="B5714" t="str">
        <f>IF(AND(FORSIDE!$B$8&gt;=15,FORSIDE!$F$8&gt;=6,FORSIDE!$B$5&gt;=3),"1324 -&gt; 1555","")</f>
        <v/>
      </c>
      <c r="C5714" t="str">
        <f>FORSIDE!$C$3</f>
        <v>S355, Stål / VFHUP 140x140x8.0</v>
      </c>
    </row>
    <row r="5715" spans="1:3" x14ac:dyDescent="0.3">
      <c r="A5715" t="str">
        <f>IF(AND(FORSIDE!$B$8&gt;=15,FORSIDE!$F$8&gt;=6,FORSIDE!$B$5&gt;=4),"S5714","")</f>
        <v/>
      </c>
      <c r="B5715" t="str">
        <f>IF(AND(FORSIDE!$B$8&gt;=15,FORSIDE!$F$8&gt;=6,FORSIDE!$B$5&gt;=4),"1325 -&gt; 1556","")</f>
        <v/>
      </c>
      <c r="C5715" t="str">
        <f>FORSIDE!$C$3</f>
        <v>S355, Stål / VFHUP 140x140x8.0</v>
      </c>
    </row>
    <row r="5716" spans="1:3" x14ac:dyDescent="0.3">
      <c r="A5716" t="str">
        <f>IF(AND(FORSIDE!$B$8&gt;=15,FORSIDE!$F$8&gt;=6,FORSIDE!$B$5&gt;=5),"S5715","")</f>
        <v/>
      </c>
      <c r="B5716" t="str">
        <f>IF(AND(FORSIDE!$B$8&gt;=15,FORSIDE!$F$8&gt;=6,FORSIDE!$B$5&gt;=5),"1326 -&gt; 1557","")</f>
        <v/>
      </c>
      <c r="C5716" t="str">
        <f>FORSIDE!$C$3</f>
        <v>S355, Stål / VFHUP 140x140x8.0</v>
      </c>
    </row>
    <row r="5717" spans="1:3" x14ac:dyDescent="0.3">
      <c r="A5717" t="str">
        <f>IF(AND(FORSIDE!$B$8&gt;=15,FORSIDE!$F$8&gt;=6,FORSIDE!$B$5&gt;=6),"S5716","")</f>
        <v/>
      </c>
      <c r="B5717" t="str">
        <f>IF(AND(FORSIDE!$B$8&gt;=15,FORSIDE!$F$8&gt;=6,FORSIDE!$B$5&gt;=6),"1327 -&gt; 1558","")</f>
        <v/>
      </c>
      <c r="C5717" t="str">
        <f>FORSIDE!$C$3</f>
        <v>S355, Stål / VFHUP 140x140x8.0</v>
      </c>
    </row>
    <row r="5718" spans="1:3" x14ac:dyDescent="0.3">
      <c r="A5718" t="str">
        <f>IF(AND(FORSIDE!$B$8&gt;=15,FORSIDE!$F$8&gt;=6,FORSIDE!$B$5&gt;=7),"S5717","")</f>
        <v/>
      </c>
      <c r="B5718" t="str">
        <f>IF(AND(FORSIDE!$B$8&gt;=15,FORSIDE!$F$8&gt;=6,FORSIDE!$B$5&gt;=7),"1328 -&gt; 1559","")</f>
        <v/>
      </c>
      <c r="C5718" t="str">
        <f>FORSIDE!$C$3</f>
        <v>S355, Stål / VFHUP 140x140x8.0</v>
      </c>
    </row>
    <row r="5719" spans="1:3" x14ac:dyDescent="0.3">
      <c r="A5719" t="str">
        <f>IF(AND(FORSIDE!$B$8&gt;=15,FORSIDE!$F$8&gt;=6,FORSIDE!$B$5&gt;=8),"S5718","")</f>
        <v/>
      </c>
      <c r="B5719" t="str">
        <f>IF(AND(FORSIDE!$B$8&gt;=15,FORSIDE!$F$8&gt;=6,FORSIDE!$B$5&gt;=8),"1329 -&gt; 1560","")</f>
        <v/>
      </c>
      <c r="C5719" t="str">
        <f>FORSIDE!$C$3</f>
        <v>S355, Stål / VFHUP 140x140x8.0</v>
      </c>
    </row>
    <row r="5720" spans="1:3" x14ac:dyDescent="0.3">
      <c r="A5720" t="str">
        <f>IF(AND(FORSIDE!$B$8&gt;=15,FORSIDE!$F$8&gt;=6,FORSIDE!$B$5&gt;=9),"S5719","")</f>
        <v/>
      </c>
      <c r="B5720" t="str">
        <f>IF(AND(FORSIDE!$B$8&gt;=15,FORSIDE!$F$8&gt;=6,FORSIDE!$B$5&gt;=9),"1330 -&gt; 1561","")</f>
        <v/>
      </c>
      <c r="C5720" t="str">
        <f>FORSIDE!$C$3</f>
        <v>S355, Stål / VFHUP 140x140x8.0</v>
      </c>
    </row>
    <row r="5721" spans="1:3" x14ac:dyDescent="0.3">
      <c r="A5721" t="str">
        <f>IF(AND(FORSIDE!$B$8&gt;=15,FORSIDE!$F$8&gt;=6,FORSIDE!$B$5&gt;=10),"S5720","")</f>
        <v/>
      </c>
      <c r="B5721" t="str">
        <f>IF(AND(FORSIDE!$B$8&gt;=15,FORSIDE!$F$8&gt;=6,FORSIDE!$B$5&gt;=10),"1331 -&gt; 1562","")</f>
        <v/>
      </c>
      <c r="C5721" t="str">
        <f>FORSIDE!$C$3</f>
        <v>S355, Stål / VFHUP 140x140x8.0</v>
      </c>
    </row>
    <row r="5722" spans="1:3" x14ac:dyDescent="0.3">
      <c r="A5722" t="str">
        <f>IF(AND(FORSIDE!$B$8&gt;=16,FORSIDE!$F$8&gt;=6,FORSIDE!$B$5&gt;=1),"S5721","")</f>
        <v/>
      </c>
      <c r="B5722" t="str">
        <f>IF(AND(FORSIDE!$B$8&gt;=16,FORSIDE!$F$8&gt;=6,FORSIDE!$B$5&gt;=1),"1333 -&gt; 1564","")</f>
        <v/>
      </c>
      <c r="C5722" t="str">
        <f>FORSIDE!$C$3</f>
        <v>S355, Stål / VFHUP 140x140x8.0</v>
      </c>
    </row>
    <row r="5723" spans="1:3" x14ac:dyDescent="0.3">
      <c r="A5723" t="str">
        <f>IF(AND(FORSIDE!$B$8&gt;=16,FORSIDE!$F$8&gt;=6,FORSIDE!$B$5&gt;=2),"S5722","")</f>
        <v/>
      </c>
      <c r="B5723" t="str">
        <f>IF(AND(FORSIDE!$B$8&gt;=16,FORSIDE!$F$8&gt;=6,FORSIDE!$B$5&gt;=2),"1334 -&gt; 1565","")</f>
        <v/>
      </c>
      <c r="C5723" t="str">
        <f>FORSIDE!$C$3</f>
        <v>S355, Stål / VFHUP 140x140x8.0</v>
      </c>
    </row>
    <row r="5724" spans="1:3" x14ac:dyDescent="0.3">
      <c r="A5724" t="str">
        <f>IF(AND(FORSIDE!$B$8&gt;=16,FORSIDE!$F$8&gt;=6,FORSIDE!$B$5&gt;=3),"S5723","")</f>
        <v/>
      </c>
      <c r="B5724" t="str">
        <f>IF(AND(FORSIDE!$B$8&gt;=16,FORSIDE!$F$8&gt;=6,FORSIDE!$B$5&gt;=3),"1335 -&gt; 1566","")</f>
        <v/>
      </c>
      <c r="C5724" t="str">
        <f>FORSIDE!$C$3</f>
        <v>S355, Stål / VFHUP 140x140x8.0</v>
      </c>
    </row>
    <row r="5725" spans="1:3" x14ac:dyDescent="0.3">
      <c r="A5725" t="str">
        <f>IF(AND(FORSIDE!$B$8&gt;=16,FORSIDE!$F$8&gt;=6,FORSIDE!$B$5&gt;=4),"S5724","")</f>
        <v/>
      </c>
      <c r="B5725" t="str">
        <f>IF(AND(FORSIDE!$B$8&gt;=16,FORSIDE!$F$8&gt;=6,FORSIDE!$B$5&gt;=4),"1336 -&gt; 1567","")</f>
        <v/>
      </c>
      <c r="C5725" t="str">
        <f>FORSIDE!$C$3</f>
        <v>S355, Stål / VFHUP 140x140x8.0</v>
      </c>
    </row>
    <row r="5726" spans="1:3" x14ac:dyDescent="0.3">
      <c r="A5726" t="str">
        <f>IF(AND(FORSIDE!$B$8&gt;=16,FORSIDE!$F$8&gt;=6,FORSIDE!$B$5&gt;=5),"S5725","")</f>
        <v/>
      </c>
      <c r="B5726" t="str">
        <f>IF(AND(FORSIDE!$B$8&gt;=16,FORSIDE!$F$8&gt;=6,FORSIDE!$B$5&gt;=5),"1337 -&gt; 1568","")</f>
        <v/>
      </c>
      <c r="C5726" t="str">
        <f>FORSIDE!$C$3</f>
        <v>S355, Stål / VFHUP 140x140x8.0</v>
      </c>
    </row>
    <row r="5727" spans="1:3" x14ac:dyDescent="0.3">
      <c r="A5727" t="str">
        <f>IF(AND(FORSIDE!$B$8&gt;=16,FORSIDE!$F$8&gt;=6,FORSIDE!$B$5&gt;=6),"S5726","")</f>
        <v/>
      </c>
      <c r="B5727" t="str">
        <f>IF(AND(FORSIDE!$B$8&gt;=16,FORSIDE!$F$8&gt;=6,FORSIDE!$B$5&gt;=6),"1338 -&gt; 1569","")</f>
        <v/>
      </c>
      <c r="C5727" t="str">
        <f>FORSIDE!$C$3</f>
        <v>S355, Stål / VFHUP 140x140x8.0</v>
      </c>
    </row>
    <row r="5728" spans="1:3" x14ac:dyDescent="0.3">
      <c r="A5728" t="str">
        <f>IF(AND(FORSIDE!$B$8&gt;=16,FORSIDE!$F$8&gt;=6,FORSIDE!$B$5&gt;=7),"S5727","")</f>
        <v/>
      </c>
      <c r="B5728" t="str">
        <f>IF(AND(FORSIDE!$B$8&gt;=16,FORSIDE!$F$8&gt;=6,FORSIDE!$B$5&gt;=7),"1339 -&gt; 1570","")</f>
        <v/>
      </c>
      <c r="C5728" t="str">
        <f>FORSIDE!$C$3</f>
        <v>S355, Stål / VFHUP 140x140x8.0</v>
      </c>
    </row>
    <row r="5729" spans="1:3" x14ac:dyDescent="0.3">
      <c r="A5729" t="str">
        <f>IF(AND(FORSIDE!$B$8&gt;=16,FORSIDE!$F$8&gt;=6,FORSIDE!$B$5&gt;=8),"S5728","")</f>
        <v/>
      </c>
      <c r="B5729" t="str">
        <f>IF(AND(FORSIDE!$B$8&gt;=16,FORSIDE!$F$8&gt;=6,FORSIDE!$B$5&gt;=8),"1340 -&gt; 1571","")</f>
        <v/>
      </c>
      <c r="C5729" t="str">
        <f>FORSIDE!$C$3</f>
        <v>S355, Stål / VFHUP 140x140x8.0</v>
      </c>
    </row>
    <row r="5730" spans="1:3" x14ac:dyDescent="0.3">
      <c r="A5730" t="str">
        <f>IF(AND(FORSIDE!$B$8&gt;=16,FORSIDE!$F$8&gt;=6,FORSIDE!$B$5&gt;=9),"S5729","")</f>
        <v/>
      </c>
      <c r="B5730" t="str">
        <f>IF(AND(FORSIDE!$B$8&gt;=16,FORSIDE!$F$8&gt;=6,FORSIDE!$B$5&gt;=9),"1341 -&gt; 1572","")</f>
        <v/>
      </c>
      <c r="C5730" t="str">
        <f>FORSIDE!$C$3</f>
        <v>S355, Stål / VFHUP 140x140x8.0</v>
      </c>
    </row>
    <row r="5731" spans="1:3" x14ac:dyDescent="0.3">
      <c r="A5731" t="str">
        <f>IF(AND(FORSIDE!$B$8&gt;=16,FORSIDE!$F$8&gt;=6,FORSIDE!$B$5&gt;=10),"S5730","")</f>
        <v/>
      </c>
      <c r="B5731" t="str">
        <f>IF(AND(FORSIDE!$B$8&gt;=16,FORSIDE!$F$8&gt;=6,FORSIDE!$B$5&gt;=10),"1342 -&gt; 1573","")</f>
        <v/>
      </c>
      <c r="C5731" t="str">
        <f>FORSIDE!$C$3</f>
        <v>S355, Stål / VFHUP 140x140x8.0</v>
      </c>
    </row>
    <row r="5732" spans="1:3" x14ac:dyDescent="0.3">
      <c r="A5732" t="str">
        <f>IF(AND(FORSIDE!$B$8&gt;=17,FORSIDE!$F$8&gt;=6,FORSIDE!$B$5&gt;=1),"S5731","")</f>
        <v/>
      </c>
      <c r="B5732" t="str">
        <f>IF(AND(FORSIDE!$B$8&gt;=17,FORSIDE!$F$8&gt;=6,FORSIDE!$B$5&gt;=1),"1344 -&gt; 1575","")</f>
        <v/>
      </c>
      <c r="C5732" t="str">
        <f>FORSIDE!$C$3</f>
        <v>S355, Stål / VFHUP 140x140x8.0</v>
      </c>
    </row>
    <row r="5733" spans="1:3" x14ac:dyDescent="0.3">
      <c r="A5733" t="str">
        <f>IF(AND(FORSIDE!$B$8&gt;=17,FORSIDE!$F$8&gt;=6,FORSIDE!$B$5&gt;=2),"S5732","")</f>
        <v/>
      </c>
      <c r="B5733" t="str">
        <f>IF(AND(FORSIDE!$B$8&gt;=17,FORSIDE!$F$8&gt;=6,FORSIDE!$B$5&gt;=2),"1345 -&gt; 1576","")</f>
        <v/>
      </c>
      <c r="C5733" t="str">
        <f>FORSIDE!$C$3</f>
        <v>S355, Stål / VFHUP 140x140x8.0</v>
      </c>
    </row>
    <row r="5734" spans="1:3" x14ac:dyDescent="0.3">
      <c r="A5734" t="str">
        <f>IF(AND(FORSIDE!$B$8&gt;=17,FORSIDE!$F$8&gt;=6,FORSIDE!$B$5&gt;=3),"S5733","")</f>
        <v/>
      </c>
      <c r="B5734" t="str">
        <f>IF(AND(FORSIDE!$B$8&gt;=17,FORSIDE!$F$8&gt;=6,FORSIDE!$B$5&gt;=3),"1346 -&gt; 1577","")</f>
        <v/>
      </c>
      <c r="C5734" t="str">
        <f>FORSIDE!$C$3</f>
        <v>S355, Stål / VFHUP 140x140x8.0</v>
      </c>
    </row>
    <row r="5735" spans="1:3" x14ac:dyDescent="0.3">
      <c r="A5735" t="str">
        <f>IF(AND(FORSIDE!$B$8&gt;=17,FORSIDE!$F$8&gt;=6,FORSIDE!$B$5&gt;=4),"S5734","")</f>
        <v/>
      </c>
      <c r="B5735" t="str">
        <f>IF(AND(FORSIDE!$B$8&gt;=17,FORSIDE!$F$8&gt;=6,FORSIDE!$B$5&gt;=4),"1347 -&gt; 1578","")</f>
        <v/>
      </c>
      <c r="C5735" t="str">
        <f>FORSIDE!$C$3</f>
        <v>S355, Stål / VFHUP 140x140x8.0</v>
      </c>
    </row>
    <row r="5736" spans="1:3" x14ac:dyDescent="0.3">
      <c r="A5736" t="str">
        <f>IF(AND(FORSIDE!$B$8&gt;=17,FORSIDE!$F$8&gt;=6,FORSIDE!$B$5&gt;=5),"S5735","")</f>
        <v/>
      </c>
      <c r="B5736" t="str">
        <f>IF(AND(FORSIDE!$B$8&gt;=17,FORSIDE!$F$8&gt;=6,FORSIDE!$B$5&gt;=5),"1348 -&gt; 1579","")</f>
        <v/>
      </c>
      <c r="C5736" t="str">
        <f>FORSIDE!$C$3</f>
        <v>S355, Stål / VFHUP 140x140x8.0</v>
      </c>
    </row>
    <row r="5737" spans="1:3" x14ac:dyDescent="0.3">
      <c r="A5737" t="str">
        <f>IF(AND(FORSIDE!$B$8&gt;=17,FORSIDE!$F$8&gt;=6,FORSIDE!$B$5&gt;=6),"S5736","")</f>
        <v/>
      </c>
      <c r="B5737" t="str">
        <f>IF(AND(FORSIDE!$B$8&gt;=17,FORSIDE!$F$8&gt;=6,FORSIDE!$B$5&gt;=6),"1349 -&gt; 1580","")</f>
        <v/>
      </c>
      <c r="C5737" t="str">
        <f>FORSIDE!$C$3</f>
        <v>S355, Stål / VFHUP 140x140x8.0</v>
      </c>
    </row>
    <row r="5738" spans="1:3" x14ac:dyDescent="0.3">
      <c r="A5738" t="str">
        <f>IF(AND(FORSIDE!$B$8&gt;=17,FORSIDE!$F$8&gt;=6,FORSIDE!$B$5&gt;=7),"S5737","")</f>
        <v/>
      </c>
      <c r="B5738" t="str">
        <f>IF(AND(FORSIDE!$B$8&gt;=17,FORSIDE!$F$8&gt;=6,FORSIDE!$B$5&gt;=7),"1350 -&gt; 1581","")</f>
        <v/>
      </c>
      <c r="C5738" t="str">
        <f>FORSIDE!$C$3</f>
        <v>S355, Stål / VFHUP 140x140x8.0</v>
      </c>
    </row>
    <row r="5739" spans="1:3" x14ac:dyDescent="0.3">
      <c r="A5739" t="str">
        <f>IF(AND(FORSIDE!$B$8&gt;=17,FORSIDE!$F$8&gt;=6,FORSIDE!$B$5&gt;=8),"S5738","")</f>
        <v/>
      </c>
      <c r="B5739" t="str">
        <f>IF(AND(FORSIDE!$B$8&gt;=17,FORSIDE!$F$8&gt;=6,FORSIDE!$B$5&gt;=8),"1351 -&gt; 1582","")</f>
        <v/>
      </c>
      <c r="C5739" t="str">
        <f>FORSIDE!$C$3</f>
        <v>S355, Stål / VFHUP 140x140x8.0</v>
      </c>
    </row>
    <row r="5740" spans="1:3" x14ac:dyDescent="0.3">
      <c r="A5740" t="str">
        <f>IF(AND(FORSIDE!$B$8&gt;=17,FORSIDE!$F$8&gt;=6,FORSIDE!$B$5&gt;=9),"S5739","")</f>
        <v/>
      </c>
      <c r="B5740" t="str">
        <f>IF(AND(FORSIDE!$B$8&gt;=17,FORSIDE!$F$8&gt;=6,FORSIDE!$B$5&gt;=9),"1352 -&gt; 1583","")</f>
        <v/>
      </c>
      <c r="C5740" t="str">
        <f>FORSIDE!$C$3</f>
        <v>S355, Stål / VFHUP 140x140x8.0</v>
      </c>
    </row>
    <row r="5741" spans="1:3" x14ac:dyDescent="0.3">
      <c r="A5741" t="str">
        <f>IF(AND(FORSIDE!$B$8&gt;=17,FORSIDE!$F$8&gt;=6,FORSIDE!$B$5&gt;=10),"S5740","")</f>
        <v/>
      </c>
      <c r="B5741" t="str">
        <f>IF(AND(FORSIDE!$B$8&gt;=17,FORSIDE!$F$8&gt;=6,FORSIDE!$B$5&gt;=10),"1353 -&gt; 1584","")</f>
        <v/>
      </c>
      <c r="C5741" t="str">
        <f>FORSIDE!$C$3</f>
        <v>S355, Stål / VFHUP 140x140x8.0</v>
      </c>
    </row>
    <row r="5742" spans="1:3" x14ac:dyDescent="0.3">
      <c r="A5742" t="str">
        <f>IF(AND(FORSIDE!$B$8&gt;=18,FORSIDE!$F$8&gt;=6,FORSIDE!$B$5&gt;=1),"S5741","")</f>
        <v/>
      </c>
      <c r="B5742" t="str">
        <f>IF(AND(FORSIDE!$B$8&gt;=18,FORSIDE!$F$8&gt;=6,FORSIDE!$B$5&gt;=1),"1355 -&gt; 1586","")</f>
        <v/>
      </c>
      <c r="C5742" t="str">
        <f>FORSIDE!$C$3</f>
        <v>S355, Stål / VFHUP 140x140x8.0</v>
      </c>
    </row>
    <row r="5743" spans="1:3" x14ac:dyDescent="0.3">
      <c r="A5743" t="str">
        <f>IF(AND(FORSIDE!$B$8&gt;=18,FORSIDE!$F$8&gt;=6,FORSIDE!$B$5&gt;=2),"S5742","")</f>
        <v/>
      </c>
      <c r="B5743" t="str">
        <f>IF(AND(FORSIDE!$B$8&gt;=18,FORSIDE!$F$8&gt;=6,FORSIDE!$B$5&gt;=2),"1356 -&gt; 1587","")</f>
        <v/>
      </c>
      <c r="C5743" t="str">
        <f>FORSIDE!$C$3</f>
        <v>S355, Stål / VFHUP 140x140x8.0</v>
      </c>
    </row>
    <row r="5744" spans="1:3" x14ac:dyDescent="0.3">
      <c r="A5744" t="str">
        <f>IF(AND(FORSIDE!$B$8&gt;=18,FORSIDE!$F$8&gt;=6,FORSIDE!$B$5&gt;=3),"S5743","")</f>
        <v/>
      </c>
      <c r="B5744" t="str">
        <f>IF(AND(FORSIDE!$B$8&gt;=18,FORSIDE!$F$8&gt;=6,FORSIDE!$B$5&gt;=3),"1357 -&gt; 1588","")</f>
        <v/>
      </c>
      <c r="C5744" t="str">
        <f>FORSIDE!$C$3</f>
        <v>S355, Stål / VFHUP 140x140x8.0</v>
      </c>
    </row>
    <row r="5745" spans="1:3" x14ac:dyDescent="0.3">
      <c r="A5745" t="str">
        <f>IF(AND(FORSIDE!$B$8&gt;=18,FORSIDE!$F$8&gt;=6,FORSIDE!$B$5&gt;=4),"S5744","")</f>
        <v/>
      </c>
      <c r="B5745" t="str">
        <f>IF(AND(FORSIDE!$B$8&gt;=18,FORSIDE!$F$8&gt;=6,FORSIDE!$B$5&gt;=4),"1358 -&gt; 1589","")</f>
        <v/>
      </c>
      <c r="C5745" t="str">
        <f>FORSIDE!$C$3</f>
        <v>S355, Stål / VFHUP 140x140x8.0</v>
      </c>
    </row>
    <row r="5746" spans="1:3" x14ac:dyDescent="0.3">
      <c r="A5746" t="str">
        <f>IF(AND(FORSIDE!$B$8&gt;=18,FORSIDE!$F$8&gt;=6,FORSIDE!$B$5&gt;=5),"S5745","")</f>
        <v/>
      </c>
      <c r="B5746" t="str">
        <f>IF(AND(FORSIDE!$B$8&gt;=18,FORSIDE!$F$8&gt;=6,FORSIDE!$B$5&gt;=5),"1359 -&gt; 1590","")</f>
        <v/>
      </c>
      <c r="C5746" t="str">
        <f>FORSIDE!$C$3</f>
        <v>S355, Stål / VFHUP 140x140x8.0</v>
      </c>
    </row>
    <row r="5747" spans="1:3" x14ac:dyDescent="0.3">
      <c r="A5747" t="str">
        <f>IF(AND(FORSIDE!$B$8&gt;=18,FORSIDE!$F$8&gt;=6,FORSIDE!$B$5&gt;=6),"S5746","")</f>
        <v/>
      </c>
      <c r="B5747" t="str">
        <f>IF(AND(FORSIDE!$B$8&gt;=18,FORSIDE!$F$8&gt;=6,FORSIDE!$B$5&gt;=6),"1360 -&gt; 1591","")</f>
        <v/>
      </c>
      <c r="C5747" t="str">
        <f>FORSIDE!$C$3</f>
        <v>S355, Stål / VFHUP 140x140x8.0</v>
      </c>
    </row>
    <row r="5748" spans="1:3" x14ac:dyDescent="0.3">
      <c r="A5748" t="str">
        <f>IF(AND(FORSIDE!$B$8&gt;=18,FORSIDE!$F$8&gt;=6,FORSIDE!$B$5&gt;=7),"S5747","")</f>
        <v/>
      </c>
      <c r="B5748" t="str">
        <f>IF(AND(FORSIDE!$B$8&gt;=18,FORSIDE!$F$8&gt;=6,FORSIDE!$B$5&gt;=7),"1361 -&gt; 1592","")</f>
        <v/>
      </c>
      <c r="C5748" t="str">
        <f>FORSIDE!$C$3</f>
        <v>S355, Stål / VFHUP 140x140x8.0</v>
      </c>
    </row>
    <row r="5749" spans="1:3" x14ac:dyDescent="0.3">
      <c r="A5749" t="str">
        <f>IF(AND(FORSIDE!$B$8&gt;=18,FORSIDE!$F$8&gt;=6,FORSIDE!$B$5&gt;=8),"S5748","")</f>
        <v/>
      </c>
      <c r="B5749" t="str">
        <f>IF(AND(FORSIDE!$B$8&gt;=18,FORSIDE!$F$8&gt;=6,FORSIDE!$B$5&gt;=8),"1362 -&gt; 1593","")</f>
        <v/>
      </c>
      <c r="C5749" t="str">
        <f>FORSIDE!$C$3</f>
        <v>S355, Stål / VFHUP 140x140x8.0</v>
      </c>
    </row>
    <row r="5750" spans="1:3" x14ac:dyDescent="0.3">
      <c r="A5750" t="str">
        <f>IF(AND(FORSIDE!$B$8&gt;=18,FORSIDE!$F$8&gt;=6,FORSIDE!$B$5&gt;=9),"S5749","")</f>
        <v/>
      </c>
      <c r="B5750" t="str">
        <f>IF(AND(FORSIDE!$B$8&gt;=18,FORSIDE!$F$8&gt;=6,FORSIDE!$B$5&gt;=9),"1363 -&gt; 1594","")</f>
        <v/>
      </c>
      <c r="C5750" t="str">
        <f>FORSIDE!$C$3</f>
        <v>S355, Stål / VFHUP 140x140x8.0</v>
      </c>
    </row>
    <row r="5751" spans="1:3" x14ac:dyDescent="0.3">
      <c r="A5751" t="str">
        <f>IF(AND(FORSIDE!$B$8&gt;=18,FORSIDE!$F$8&gt;=6,FORSIDE!$B$5&gt;=10),"S5750","")</f>
        <v/>
      </c>
      <c r="B5751" t="str">
        <f>IF(AND(FORSIDE!$B$8&gt;=18,FORSIDE!$F$8&gt;=6,FORSIDE!$B$5&gt;=10),"1364 -&gt; 1595","")</f>
        <v/>
      </c>
      <c r="C5751" t="str">
        <f>FORSIDE!$C$3</f>
        <v>S355, Stål / VFHUP 140x140x8.0</v>
      </c>
    </row>
    <row r="5752" spans="1:3" x14ac:dyDescent="0.3">
      <c r="A5752" t="str">
        <f>IF(AND(FORSIDE!$B$8&gt;=19,FORSIDE!$F$8&gt;=6,FORSIDE!$B$5&gt;=1),"S5751","")</f>
        <v/>
      </c>
      <c r="B5752" t="str">
        <f>IF(AND(FORSIDE!$B$8&gt;=19,FORSIDE!$F$8&gt;=6,FORSIDE!$B$5&gt;=1),"1366 -&gt; 1597","")</f>
        <v/>
      </c>
      <c r="C5752" t="str">
        <f>FORSIDE!$C$3</f>
        <v>S355, Stål / VFHUP 140x140x8.0</v>
      </c>
    </row>
    <row r="5753" spans="1:3" x14ac:dyDescent="0.3">
      <c r="A5753" t="str">
        <f>IF(AND(FORSIDE!$B$8&gt;=19,FORSIDE!$F$8&gt;=6,FORSIDE!$B$5&gt;=2),"S5752","")</f>
        <v/>
      </c>
      <c r="B5753" t="str">
        <f>IF(AND(FORSIDE!$B$8&gt;=19,FORSIDE!$F$8&gt;=6,FORSIDE!$B$5&gt;=2),"1367 -&gt; 1598","")</f>
        <v/>
      </c>
      <c r="C5753" t="str">
        <f>FORSIDE!$C$3</f>
        <v>S355, Stål / VFHUP 140x140x8.0</v>
      </c>
    </row>
    <row r="5754" spans="1:3" x14ac:dyDescent="0.3">
      <c r="A5754" t="str">
        <f>IF(AND(FORSIDE!$B$8&gt;=19,FORSIDE!$F$8&gt;=6,FORSIDE!$B$5&gt;=3),"S5753","")</f>
        <v/>
      </c>
      <c r="B5754" t="str">
        <f>IF(AND(FORSIDE!$B$8&gt;=19,FORSIDE!$F$8&gt;=6,FORSIDE!$B$5&gt;=3),"1368 -&gt; 1599","")</f>
        <v/>
      </c>
      <c r="C5754" t="str">
        <f>FORSIDE!$C$3</f>
        <v>S355, Stål / VFHUP 140x140x8.0</v>
      </c>
    </row>
    <row r="5755" spans="1:3" x14ac:dyDescent="0.3">
      <c r="A5755" t="str">
        <f>IF(AND(FORSIDE!$B$8&gt;=19,FORSIDE!$F$8&gt;=6,FORSIDE!$B$5&gt;=4),"S5754","")</f>
        <v/>
      </c>
      <c r="B5755" t="str">
        <f>IF(AND(FORSIDE!$B$8&gt;=19,FORSIDE!$F$8&gt;=6,FORSIDE!$B$5&gt;=4),"1369 -&gt; 1600","")</f>
        <v/>
      </c>
      <c r="C5755" t="str">
        <f>FORSIDE!$C$3</f>
        <v>S355, Stål / VFHUP 140x140x8.0</v>
      </c>
    </row>
    <row r="5756" spans="1:3" x14ac:dyDescent="0.3">
      <c r="A5756" t="str">
        <f>IF(AND(FORSIDE!$B$8&gt;=19,FORSIDE!$F$8&gt;=6,FORSIDE!$B$5&gt;=5),"S5755","")</f>
        <v/>
      </c>
      <c r="B5756" t="str">
        <f>IF(AND(FORSIDE!$B$8&gt;=19,FORSIDE!$F$8&gt;=6,FORSIDE!$B$5&gt;=5),"1370 -&gt; 1601","")</f>
        <v/>
      </c>
      <c r="C5756" t="str">
        <f>FORSIDE!$C$3</f>
        <v>S355, Stål / VFHUP 140x140x8.0</v>
      </c>
    </row>
    <row r="5757" spans="1:3" x14ac:dyDescent="0.3">
      <c r="A5757" t="str">
        <f>IF(AND(FORSIDE!$B$8&gt;=19,FORSIDE!$F$8&gt;=6,FORSIDE!$B$5&gt;=6),"S5756","")</f>
        <v/>
      </c>
      <c r="B5757" t="str">
        <f>IF(AND(FORSIDE!$B$8&gt;=19,FORSIDE!$F$8&gt;=6,FORSIDE!$B$5&gt;=6),"1371 -&gt; 1602","")</f>
        <v/>
      </c>
      <c r="C5757" t="str">
        <f>FORSIDE!$C$3</f>
        <v>S355, Stål / VFHUP 140x140x8.0</v>
      </c>
    </row>
    <row r="5758" spans="1:3" x14ac:dyDescent="0.3">
      <c r="A5758" t="str">
        <f>IF(AND(FORSIDE!$B$8&gt;=19,FORSIDE!$F$8&gt;=6,FORSIDE!$B$5&gt;=7),"S5757","")</f>
        <v/>
      </c>
      <c r="B5758" t="str">
        <f>IF(AND(FORSIDE!$B$8&gt;=19,FORSIDE!$F$8&gt;=6,FORSIDE!$B$5&gt;=7),"1372 -&gt; 1603","")</f>
        <v/>
      </c>
      <c r="C5758" t="str">
        <f>FORSIDE!$C$3</f>
        <v>S355, Stål / VFHUP 140x140x8.0</v>
      </c>
    </row>
    <row r="5759" spans="1:3" x14ac:dyDescent="0.3">
      <c r="A5759" t="str">
        <f>IF(AND(FORSIDE!$B$8&gt;=19,FORSIDE!$F$8&gt;=6,FORSIDE!$B$5&gt;=8),"S5758","")</f>
        <v/>
      </c>
      <c r="B5759" t="str">
        <f>IF(AND(FORSIDE!$B$8&gt;=19,FORSIDE!$F$8&gt;=6,FORSIDE!$B$5&gt;=8),"1373 -&gt; 1604","")</f>
        <v/>
      </c>
      <c r="C5759" t="str">
        <f>FORSIDE!$C$3</f>
        <v>S355, Stål / VFHUP 140x140x8.0</v>
      </c>
    </row>
    <row r="5760" spans="1:3" x14ac:dyDescent="0.3">
      <c r="A5760" t="str">
        <f>IF(AND(FORSIDE!$B$8&gt;=19,FORSIDE!$F$8&gt;=6,FORSIDE!$B$5&gt;=9),"S5759","")</f>
        <v/>
      </c>
      <c r="B5760" t="str">
        <f>IF(AND(FORSIDE!$B$8&gt;=19,FORSIDE!$F$8&gt;=6,FORSIDE!$B$5&gt;=9),"1374 -&gt; 1605","")</f>
        <v/>
      </c>
      <c r="C5760" t="str">
        <f>FORSIDE!$C$3</f>
        <v>S355, Stål / VFHUP 140x140x8.0</v>
      </c>
    </row>
    <row r="5761" spans="1:3" x14ac:dyDescent="0.3">
      <c r="A5761" t="str">
        <f>IF(AND(FORSIDE!$B$8&gt;=19,FORSIDE!$F$8&gt;=6,FORSIDE!$B$5&gt;=10),"S5760","")</f>
        <v/>
      </c>
      <c r="B5761" t="str">
        <f>IF(AND(FORSIDE!$B$8&gt;=19,FORSIDE!$F$8&gt;=6,FORSIDE!$B$5&gt;=10),"1375 -&gt; 1606","")</f>
        <v/>
      </c>
      <c r="C5761" t="str">
        <f>FORSIDE!$C$3</f>
        <v>S355, Stål / VFHUP 140x140x8.0</v>
      </c>
    </row>
    <row r="5762" spans="1:3" x14ac:dyDescent="0.3">
      <c r="A5762" t="str">
        <f>IF(AND(FORSIDE!$B$8&gt;=20,FORSIDE!$F$8&gt;=6,FORSIDE!$B$5&gt;=1),"S5761","")</f>
        <v/>
      </c>
      <c r="B5762" t="str">
        <f>IF(AND(FORSIDE!$B$8&gt;=20,FORSIDE!$F$8&gt;=6,FORSIDE!$B$5&gt;=1),"1377 -&gt; 1608","")</f>
        <v/>
      </c>
      <c r="C5762" t="str">
        <f>FORSIDE!$C$3</f>
        <v>S355, Stål / VFHUP 140x140x8.0</v>
      </c>
    </row>
    <row r="5763" spans="1:3" x14ac:dyDescent="0.3">
      <c r="A5763" t="str">
        <f>IF(AND(FORSIDE!$B$8&gt;=20,FORSIDE!$F$8&gt;=6,FORSIDE!$B$5&gt;=2),"S5762","")</f>
        <v/>
      </c>
      <c r="B5763" t="str">
        <f>IF(AND(FORSIDE!$B$8&gt;=20,FORSIDE!$F$8&gt;=6,FORSIDE!$B$5&gt;=2),"1378 -&gt; 1609","")</f>
        <v/>
      </c>
      <c r="C5763" t="str">
        <f>FORSIDE!$C$3</f>
        <v>S355, Stål / VFHUP 140x140x8.0</v>
      </c>
    </row>
    <row r="5764" spans="1:3" x14ac:dyDescent="0.3">
      <c r="A5764" t="str">
        <f>IF(AND(FORSIDE!$B$8&gt;=20,FORSIDE!$F$8&gt;=6,FORSIDE!$B$5&gt;=3),"S5763","")</f>
        <v/>
      </c>
      <c r="B5764" t="str">
        <f>IF(AND(FORSIDE!$B$8&gt;=20,FORSIDE!$F$8&gt;=6,FORSIDE!$B$5&gt;=3),"1379 -&gt; 1610","")</f>
        <v/>
      </c>
      <c r="C5764" t="str">
        <f>FORSIDE!$C$3</f>
        <v>S355, Stål / VFHUP 140x140x8.0</v>
      </c>
    </row>
    <row r="5765" spans="1:3" x14ac:dyDescent="0.3">
      <c r="A5765" t="str">
        <f>IF(AND(FORSIDE!$B$8&gt;=20,FORSIDE!$F$8&gt;=6,FORSIDE!$B$5&gt;=4),"S5764","")</f>
        <v/>
      </c>
      <c r="B5765" t="str">
        <f>IF(AND(FORSIDE!$B$8&gt;=20,FORSIDE!$F$8&gt;=6,FORSIDE!$B$5&gt;=4),"1380 -&gt; 1611","")</f>
        <v/>
      </c>
      <c r="C5765" t="str">
        <f>FORSIDE!$C$3</f>
        <v>S355, Stål / VFHUP 140x140x8.0</v>
      </c>
    </row>
    <row r="5766" spans="1:3" x14ac:dyDescent="0.3">
      <c r="A5766" t="str">
        <f>IF(AND(FORSIDE!$B$8&gt;=20,FORSIDE!$F$8&gt;=6,FORSIDE!$B$5&gt;=5),"S5765","")</f>
        <v/>
      </c>
      <c r="B5766" t="str">
        <f>IF(AND(FORSIDE!$B$8&gt;=20,FORSIDE!$F$8&gt;=6,FORSIDE!$B$5&gt;=5),"1381 -&gt; 1612","")</f>
        <v/>
      </c>
      <c r="C5766" t="str">
        <f>FORSIDE!$C$3</f>
        <v>S355, Stål / VFHUP 140x140x8.0</v>
      </c>
    </row>
    <row r="5767" spans="1:3" x14ac:dyDescent="0.3">
      <c r="A5767" t="str">
        <f>IF(AND(FORSIDE!$B$8&gt;=20,FORSIDE!$F$8&gt;=6,FORSIDE!$B$5&gt;=6),"S5766","")</f>
        <v/>
      </c>
      <c r="B5767" t="str">
        <f>IF(AND(FORSIDE!$B$8&gt;=20,FORSIDE!$F$8&gt;=6,FORSIDE!$B$5&gt;=6),"1382 -&gt; 1613","")</f>
        <v/>
      </c>
      <c r="C5767" t="str">
        <f>FORSIDE!$C$3</f>
        <v>S355, Stål / VFHUP 140x140x8.0</v>
      </c>
    </row>
    <row r="5768" spans="1:3" x14ac:dyDescent="0.3">
      <c r="A5768" t="str">
        <f>IF(AND(FORSIDE!$B$8&gt;=20,FORSIDE!$F$8&gt;=6,FORSIDE!$B$5&gt;=7),"S5767","")</f>
        <v/>
      </c>
      <c r="B5768" t="str">
        <f>IF(AND(FORSIDE!$B$8&gt;=20,FORSIDE!$F$8&gt;=6,FORSIDE!$B$5&gt;=7),"1383 -&gt; 1614","")</f>
        <v/>
      </c>
      <c r="C5768" t="str">
        <f>FORSIDE!$C$3</f>
        <v>S355, Stål / VFHUP 140x140x8.0</v>
      </c>
    </row>
    <row r="5769" spans="1:3" x14ac:dyDescent="0.3">
      <c r="A5769" t="str">
        <f>IF(AND(FORSIDE!$B$8&gt;=20,FORSIDE!$F$8&gt;=6,FORSIDE!$B$5&gt;=8),"S5768","")</f>
        <v/>
      </c>
      <c r="B5769" t="str">
        <f>IF(AND(FORSIDE!$B$8&gt;=20,FORSIDE!$F$8&gt;=6,FORSIDE!$B$5&gt;=8),"1384 -&gt; 1615","")</f>
        <v/>
      </c>
      <c r="C5769" t="str">
        <f>FORSIDE!$C$3</f>
        <v>S355, Stål / VFHUP 140x140x8.0</v>
      </c>
    </row>
    <row r="5770" spans="1:3" x14ac:dyDescent="0.3">
      <c r="A5770" t="str">
        <f>IF(AND(FORSIDE!$B$8&gt;=20,FORSIDE!$F$8&gt;=6,FORSIDE!$B$5&gt;=9),"S5769","")</f>
        <v/>
      </c>
      <c r="B5770" t="str">
        <f>IF(AND(FORSIDE!$B$8&gt;=20,FORSIDE!$F$8&gt;=6,FORSIDE!$B$5&gt;=9),"1385 -&gt; 1616","")</f>
        <v/>
      </c>
      <c r="C5770" t="str">
        <f>FORSIDE!$C$3</f>
        <v>S355, Stål / VFHUP 140x140x8.0</v>
      </c>
    </row>
    <row r="5771" spans="1:3" x14ac:dyDescent="0.3">
      <c r="A5771" t="str">
        <f>IF(AND(FORSIDE!$B$8&gt;=20,FORSIDE!$F$8&gt;=6,FORSIDE!$B$5&gt;=10),"S5770","")</f>
        <v/>
      </c>
      <c r="B5771" t="str">
        <f>IF(AND(FORSIDE!$B$8&gt;=20,FORSIDE!$F$8&gt;=6,FORSIDE!$B$5&gt;=10),"1386 -&gt; 1617","")</f>
        <v/>
      </c>
      <c r="C5771" t="str">
        <f>FORSIDE!$C$3</f>
        <v>S355, Stål / VFHUP 140x140x8.0</v>
      </c>
    </row>
    <row r="5772" spans="1:3" x14ac:dyDescent="0.3">
      <c r="A5772" t="str">
        <f>IF(AND(FORSIDE!$B$8&gt;=0,FORSIDE!$F$8&gt;=7,FORSIDE!$B$5&gt;=1),"S5771","")</f>
        <v/>
      </c>
      <c r="B5772" t="str">
        <f>IF(AND(FORSIDE!$B$8&gt;=0,FORSIDE!$F$8&gt;=7,FORSIDE!$B$5&gt;=1),"1388 -&gt; 1619","")</f>
        <v/>
      </c>
      <c r="C5772" t="str">
        <f>FORSIDE!$C$3</f>
        <v>S355, Stål / VFHUP 140x140x8.0</v>
      </c>
    </row>
    <row r="5773" spans="1:3" x14ac:dyDescent="0.3">
      <c r="A5773" t="str">
        <f>IF(AND(FORSIDE!$B$8&gt;=0,FORSIDE!$F$8&gt;=7,FORSIDE!$B$5&gt;=2),"S5772","")</f>
        <v/>
      </c>
      <c r="B5773" t="str">
        <f>IF(AND(FORSIDE!$B$8&gt;=0,FORSIDE!$F$8&gt;=7,FORSIDE!$B$5&gt;=2),"1389 -&gt; 1620","")</f>
        <v/>
      </c>
      <c r="C5773" t="str">
        <f>FORSIDE!$C$3</f>
        <v>S355, Stål / VFHUP 140x140x8.0</v>
      </c>
    </row>
    <row r="5774" spans="1:3" x14ac:dyDescent="0.3">
      <c r="A5774" t="str">
        <f>IF(AND(FORSIDE!$B$8&gt;=0,FORSIDE!$F$8&gt;=7,FORSIDE!$B$5&gt;=3),"S5773","")</f>
        <v/>
      </c>
      <c r="B5774" t="str">
        <f>IF(AND(FORSIDE!$B$8&gt;=0,FORSIDE!$F$8&gt;=7,FORSIDE!$B$5&gt;=3),"1390 -&gt; 1621","")</f>
        <v/>
      </c>
      <c r="C5774" t="str">
        <f>FORSIDE!$C$3</f>
        <v>S355, Stål / VFHUP 140x140x8.0</v>
      </c>
    </row>
    <row r="5775" spans="1:3" x14ac:dyDescent="0.3">
      <c r="A5775" t="str">
        <f>IF(AND(FORSIDE!$B$8&gt;=0,FORSIDE!$F$8&gt;=7,FORSIDE!$B$5&gt;=4),"S5774","")</f>
        <v/>
      </c>
      <c r="B5775" t="str">
        <f>IF(AND(FORSIDE!$B$8&gt;=0,FORSIDE!$F$8&gt;=7,FORSIDE!$B$5&gt;=4),"1391 -&gt; 1622","")</f>
        <v/>
      </c>
      <c r="C5775" t="str">
        <f>FORSIDE!$C$3</f>
        <v>S355, Stål / VFHUP 140x140x8.0</v>
      </c>
    </row>
    <row r="5776" spans="1:3" x14ac:dyDescent="0.3">
      <c r="A5776" t="str">
        <f>IF(AND(FORSIDE!$B$8&gt;=0,FORSIDE!$F$8&gt;=7,FORSIDE!$B$5&gt;=5),"S5775","")</f>
        <v/>
      </c>
      <c r="B5776" t="str">
        <f>IF(AND(FORSIDE!$B$8&gt;=0,FORSIDE!$F$8&gt;=7,FORSIDE!$B$5&gt;=5),"1392 -&gt; 1623","")</f>
        <v/>
      </c>
      <c r="C5776" t="str">
        <f>FORSIDE!$C$3</f>
        <v>S355, Stål / VFHUP 140x140x8.0</v>
      </c>
    </row>
    <row r="5777" spans="1:3" x14ac:dyDescent="0.3">
      <c r="A5777" t="str">
        <f>IF(AND(FORSIDE!$B$8&gt;=0,FORSIDE!$F$8&gt;=7,FORSIDE!$B$5&gt;=6),"S5776","")</f>
        <v/>
      </c>
      <c r="B5777" t="str">
        <f>IF(AND(FORSIDE!$B$8&gt;=0,FORSIDE!$F$8&gt;=7,FORSIDE!$B$5&gt;=6),"1393 -&gt; 1624","")</f>
        <v/>
      </c>
      <c r="C5777" t="str">
        <f>FORSIDE!$C$3</f>
        <v>S355, Stål / VFHUP 140x140x8.0</v>
      </c>
    </row>
    <row r="5778" spans="1:3" x14ac:dyDescent="0.3">
      <c r="A5778" t="str">
        <f>IF(AND(FORSIDE!$B$8&gt;=0,FORSIDE!$F$8&gt;=7,FORSIDE!$B$5&gt;=7),"S5777","")</f>
        <v/>
      </c>
      <c r="B5778" t="str">
        <f>IF(AND(FORSIDE!$B$8&gt;=0,FORSIDE!$F$8&gt;=7,FORSIDE!$B$5&gt;=7),"1394 -&gt; 1625","")</f>
        <v/>
      </c>
      <c r="C5778" t="str">
        <f>FORSIDE!$C$3</f>
        <v>S355, Stål / VFHUP 140x140x8.0</v>
      </c>
    </row>
    <row r="5779" spans="1:3" x14ac:dyDescent="0.3">
      <c r="A5779" t="str">
        <f>IF(AND(FORSIDE!$B$8&gt;=0,FORSIDE!$F$8&gt;=7,FORSIDE!$B$5&gt;=8),"S5778","")</f>
        <v/>
      </c>
      <c r="B5779" t="str">
        <f>IF(AND(FORSIDE!$B$8&gt;=0,FORSIDE!$F$8&gt;=7,FORSIDE!$B$5&gt;=8),"1395 -&gt; 1626","")</f>
        <v/>
      </c>
      <c r="C5779" t="str">
        <f>FORSIDE!$C$3</f>
        <v>S355, Stål / VFHUP 140x140x8.0</v>
      </c>
    </row>
    <row r="5780" spans="1:3" x14ac:dyDescent="0.3">
      <c r="A5780" t="str">
        <f>IF(AND(FORSIDE!$B$8&gt;=0,FORSIDE!$F$8&gt;=7,FORSIDE!$B$5&gt;=9),"S5779","")</f>
        <v/>
      </c>
      <c r="B5780" t="str">
        <f>IF(AND(FORSIDE!$B$8&gt;=0,FORSIDE!$F$8&gt;=7,FORSIDE!$B$5&gt;=9),"1396 -&gt; 1627","")</f>
        <v/>
      </c>
      <c r="C5780" t="str">
        <f>FORSIDE!$C$3</f>
        <v>S355, Stål / VFHUP 140x140x8.0</v>
      </c>
    </row>
    <row r="5781" spans="1:3" x14ac:dyDescent="0.3">
      <c r="A5781" t="str">
        <f>IF(AND(FORSIDE!$B$8&gt;=0,FORSIDE!$F$8&gt;=7,FORSIDE!$B$5&gt;=10),"S5780","")</f>
        <v/>
      </c>
      <c r="B5781" t="str">
        <f>IF(AND(FORSIDE!$B$8&gt;=0,FORSIDE!$F$8&gt;=7,FORSIDE!$B$5&gt;=10),"1397 -&gt; 1628","")</f>
        <v/>
      </c>
      <c r="C5781" t="str">
        <f>FORSIDE!$C$3</f>
        <v>S355, Stål / VFHUP 140x140x8.0</v>
      </c>
    </row>
    <row r="5782" spans="1:3" x14ac:dyDescent="0.3">
      <c r="A5782" t="str">
        <f>IF(AND(FORSIDE!$B$8&gt;=1,FORSIDE!$F$8&gt;=7,FORSIDE!$B$5&gt;=1),"S5781","")</f>
        <v/>
      </c>
      <c r="B5782" t="str">
        <f>IF(AND(FORSIDE!$B$8&gt;=1,FORSIDE!$F$8&gt;=7,FORSIDE!$B$5&gt;=1),"1399 -&gt; 1630","")</f>
        <v/>
      </c>
      <c r="C5782" t="str">
        <f>FORSIDE!$C$3</f>
        <v>S355, Stål / VFHUP 140x140x8.0</v>
      </c>
    </row>
    <row r="5783" spans="1:3" x14ac:dyDescent="0.3">
      <c r="A5783" t="str">
        <f>IF(AND(FORSIDE!$B$8&gt;=1,FORSIDE!$F$8&gt;=7,FORSIDE!$B$5&gt;=2),"S5782","")</f>
        <v/>
      </c>
      <c r="B5783" t="str">
        <f>IF(AND(FORSIDE!$B$8&gt;=1,FORSIDE!$F$8&gt;=7,FORSIDE!$B$5&gt;=2),"1400 -&gt; 1631","")</f>
        <v/>
      </c>
      <c r="C5783" t="str">
        <f>FORSIDE!$C$3</f>
        <v>S355, Stål / VFHUP 140x140x8.0</v>
      </c>
    </row>
    <row r="5784" spans="1:3" x14ac:dyDescent="0.3">
      <c r="A5784" t="str">
        <f>IF(AND(FORSIDE!$B$8&gt;=1,FORSIDE!$F$8&gt;=7,FORSIDE!$B$5&gt;=3),"S5783","")</f>
        <v/>
      </c>
      <c r="B5784" t="str">
        <f>IF(AND(FORSIDE!$B$8&gt;=1,FORSIDE!$F$8&gt;=7,FORSIDE!$B$5&gt;=3),"1401 -&gt; 1632","")</f>
        <v/>
      </c>
      <c r="C5784" t="str">
        <f>FORSIDE!$C$3</f>
        <v>S355, Stål / VFHUP 140x140x8.0</v>
      </c>
    </row>
    <row r="5785" spans="1:3" x14ac:dyDescent="0.3">
      <c r="A5785" t="str">
        <f>IF(AND(FORSIDE!$B$8&gt;=1,FORSIDE!$F$8&gt;=7,FORSIDE!$B$5&gt;=4),"S5784","")</f>
        <v/>
      </c>
      <c r="B5785" t="str">
        <f>IF(AND(FORSIDE!$B$8&gt;=1,FORSIDE!$F$8&gt;=7,FORSIDE!$B$5&gt;=4),"1402 -&gt; 1633","")</f>
        <v/>
      </c>
      <c r="C5785" t="str">
        <f>FORSIDE!$C$3</f>
        <v>S355, Stål / VFHUP 140x140x8.0</v>
      </c>
    </row>
    <row r="5786" spans="1:3" x14ac:dyDescent="0.3">
      <c r="A5786" t="str">
        <f>IF(AND(FORSIDE!$B$8&gt;=1,FORSIDE!$F$8&gt;=7,FORSIDE!$B$5&gt;=5),"S5785","")</f>
        <v/>
      </c>
      <c r="B5786" t="str">
        <f>IF(AND(FORSIDE!$B$8&gt;=1,FORSIDE!$F$8&gt;=7,FORSIDE!$B$5&gt;=5),"1403 -&gt; 1634","")</f>
        <v/>
      </c>
      <c r="C5786" t="str">
        <f>FORSIDE!$C$3</f>
        <v>S355, Stål / VFHUP 140x140x8.0</v>
      </c>
    </row>
    <row r="5787" spans="1:3" x14ac:dyDescent="0.3">
      <c r="A5787" t="str">
        <f>IF(AND(FORSIDE!$B$8&gt;=1,FORSIDE!$F$8&gt;=7,FORSIDE!$B$5&gt;=6),"S5786","")</f>
        <v/>
      </c>
      <c r="B5787" t="str">
        <f>IF(AND(FORSIDE!$B$8&gt;=1,FORSIDE!$F$8&gt;=7,FORSIDE!$B$5&gt;=6),"1404 -&gt; 1635","")</f>
        <v/>
      </c>
      <c r="C5787" t="str">
        <f>FORSIDE!$C$3</f>
        <v>S355, Stål / VFHUP 140x140x8.0</v>
      </c>
    </row>
    <row r="5788" spans="1:3" x14ac:dyDescent="0.3">
      <c r="A5788" t="str">
        <f>IF(AND(FORSIDE!$B$8&gt;=1,FORSIDE!$F$8&gt;=7,FORSIDE!$B$5&gt;=7),"S5787","")</f>
        <v/>
      </c>
      <c r="B5788" t="str">
        <f>IF(AND(FORSIDE!$B$8&gt;=1,FORSIDE!$F$8&gt;=7,FORSIDE!$B$5&gt;=7),"1405 -&gt; 1636","")</f>
        <v/>
      </c>
      <c r="C5788" t="str">
        <f>FORSIDE!$C$3</f>
        <v>S355, Stål / VFHUP 140x140x8.0</v>
      </c>
    </row>
    <row r="5789" spans="1:3" x14ac:dyDescent="0.3">
      <c r="A5789" t="str">
        <f>IF(AND(FORSIDE!$B$8&gt;=1,FORSIDE!$F$8&gt;=7,FORSIDE!$B$5&gt;=8),"S5788","")</f>
        <v/>
      </c>
      <c r="B5789" t="str">
        <f>IF(AND(FORSIDE!$B$8&gt;=1,FORSIDE!$F$8&gt;=7,FORSIDE!$B$5&gt;=8),"1406 -&gt; 1637","")</f>
        <v/>
      </c>
      <c r="C5789" t="str">
        <f>FORSIDE!$C$3</f>
        <v>S355, Stål / VFHUP 140x140x8.0</v>
      </c>
    </row>
    <row r="5790" spans="1:3" x14ac:dyDescent="0.3">
      <c r="A5790" t="str">
        <f>IF(AND(FORSIDE!$B$8&gt;=1,FORSIDE!$F$8&gt;=7,FORSIDE!$B$5&gt;=9),"S5789","")</f>
        <v/>
      </c>
      <c r="B5790" t="str">
        <f>IF(AND(FORSIDE!$B$8&gt;=1,FORSIDE!$F$8&gt;=7,FORSIDE!$B$5&gt;=9),"1407 -&gt; 1638","")</f>
        <v/>
      </c>
      <c r="C5790" t="str">
        <f>FORSIDE!$C$3</f>
        <v>S355, Stål / VFHUP 140x140x8.0</v>
      </c>
    </row>
    <row r="5791" spans="1:3" x14ac:dyDescent="0.3">
      <c r="A5791" t="str">
        <f>IF(AND(FORSIDE!$B$8&gt;=1,FORSIDE!$F$8&gt;=7,FORSIDE!$B$5&gt;=10),"S5790","")</f>
        <v/>
      </c>
      <c r="B5791" t="str">
        <f>IF(AND(FORSIDE!$B$8&gt;=1,FORSIDE!$F$8&gt;=7,FORSIDE!$B$5&gt;=10),"1408 -&gt; 1639","")</f>
        <v/>
      </c>
      <c r="C5791" t="str">
        <f>FORSIDE!$C$3</f>
        <v>S355, Stål / VFHUP 140x140x8.0</v>
      </c>
    </row>
    <row r="5792" spans="1:3" x14ac:dyDescent="0.3">
      <c r="A5792" t="str">
        <f>IF(AND(FORSIDE!$B$8&gt;=2,FORSIDE!$F$8&gt;=7,FORSIDE!$B$5&gt;=1),"S5791","")</f>
        <v/>
      </c>
      <c r="B5792" t="str">
        <f>IF(AND(FORSIDE!$B$8&gt;=2,FORSIDE!$F$8&gt;=7,FORSIDE!$B$5&gt;=1),"1410 -&gt; 1641","")</f>
        <v/>
      </c>
      <c r="C5792" t="str">
        <f>FORSIDE!$C$3</f>
        <v>S355, Stål / VFHUP 140x140x8.0</v>
      </c>
    </row>
    <row r="5793" spans="1:3" x14ac:dyDescent="0.3">
      <c r="A5793" t="str">
        <f>IF(AND(FORSIDE!$B$8&gt;=2,FORSIDE!$F$8&gt;=7,FORSIDE!$B$5&gt;=2),"S5792","")</f>
        <v/>
      </c>
      <c r="B5793" t="str">
        <f>IF(AND(FORSIDE!$B$8&gt;=2,FORSIDE!$F$8&gt;=7,FORSIDE!$B$5&gt;=2),"1411 -&gt; 1642","")</f>
        <v/>
      </c>
      <c r="C5793" t="str">
        <f>FORSIDE!$C$3</f>
        <v>S355, Stål / VFHUP 140x140x8.0</v>
      </c>
    </row>
    <row r="5794" spans="1:3" x14ac:dyDescent="0.3">
      <c r="A5794" t="str">
        <f>IF(AND(FORSIDE!$B$8&gt;=2,FORSIDE!$F$8&gt;=7,FORSIDE!$B$5&gt;=3),"S5793","")</f>
        <v/>
      </c>
      <c r="B5794" t="str">
        <f>IF(AND(FORSIDE!$B$8&gt;=2,FORSIDE!$F$8&gt;=7,FORSIDE!$B$5&gt;=3),"1412 -&gt; 1643","")</f>
        <v/>
      </c>
      <c r="C5794" t="str">
        <f>FORSIDE!$C$3</f>
        <v>S355, Stål / VFHUP 140x140x8.0</v>
      </c>
    </row>
    <row r="5795" spans="1:3" x14ac:dyDescent="0.3">
      <c r="A5795" t="str">
        <f>IF(AND(FORSIDE!$B$8&gt;=2,FORSIDE!$F$8&gt;=7,FORSIDE!$B$5&gt;=4),"S5794","")</f>
        <v/>
      </c>
      <c r="B5795" t="str">
        <f>IF(AND(FORSIDE!$B$8&gt;=2,FORSIDE!$F$8&gt;=7,FORSIDE!$B$5&gt;=4),"1413 -&gt; 1644","")</f>
        <v/>
      </c>
      <c r="C5795" t="str">
        <f>FORSIDE!$C$3</f>
        <v>S355, Stål / VFHUP 140x140x8.0</v>
      </c>
    </row>
    <row r="5796" spans="1:3" x14ac:dyDescent="0.3">
      <c r="A5796" t="str">
        <f>IF(AND(FORSIDE!$B$8&gt;=2,FORSIDE!$F$8&gt;=7,FORSIDE!$B$5&gt;=5),"S5795","")</f>
        <v/>
      </c>
      <c r="B5796" t="str">
        <f>IF(AND(FORSIDE!$B$8&gt;=2,FORSIDE!$F$8&gt;=7,FORSIDE!$B$5&gt;=5),"1414 -&gt; 1645","")</f>
        <v/>
      </c>
      <c r="C5796" t="str">
        <f>FORSIDE!$C$3</f>
        <v>S355, Stål / VFHUP 140x140x8.0</v>
      </c>
    </row>
    <row r="5797" spans="1:3" x14ac:dyDescent="0.3">
      <c r="A5797" t="str">
        <f>IF(AND(FORSIDE!$B$8&gt;=2,FORSIDE!$F$8&gt;=7,FORSIDE!$B$5&gt;=6),"S5796","")</f>
        <v/>
      </c>
      <c r="B5797" t="str">
        <f>IF(AND(FORSIDE!$B$8&gt;=2,FORSIDE!$F$8&gt;=7,FORSIDE!$B$5&gt;=6),"1415 -&gt; 1646","")</f>
        <v/>
      </c>
      <c r="C5797" t="str">
        <f>FORSIDE!$C$3</f>
        <v>S355, Stål / VFHUP 140x140x8.0</v>
      </c>
    </row>
    <row r="5798" spans="1:3" x14ac:dyDescent="0.3">
      <c r="A5798" t="str">
        <f>IF(AND(FORSIDE!$B$8&gt;=2,FORSIDE!$F$8&gt;=7,FORSIDE!$B$5&gt;=7),"S5797","")</f>
        <v/>
      </c>
      <c r="B5798" t="str">
        <f>IF(AND(FORSIDE!$B$8&gt;=2,FORSIDE!$F$8&gt;=7,FORSIDE!$B$5&gt;=7),"1416 -&gt; 1647","")</f>
        <v/>
      </c>
      <c r="C5798" t="str">
        <f>FORSIDE!$C$3</f>
        <v>S355, Stål / VFHUP 140x140x8.0</v>
      </c>
    </row>
    <row r="5799" spans="1:3" x14ac:dyDescent="0.3">
      <c r="A5799" t="str">
        <f>IF(AND(FORSIDE!$B$8&gt;=2,FORSIDE!$F$8&gt;=7,FORSIDE!$B$5&gt;=8),"S5798","")</f>
        <v/>
      </c>
      <c r="B5799" t="str">
        <f>IF(AND(FORSIDE!$B$8&gt;=2,FORSIDE!$F$8&gt;=7,FORSIDE!$B$5&gt;=8),"1417 -&gt; 1648","")</f>
        <v/>
      </c>
      <c r="C5799" t="str">
        <f>FORSIDE!$C$3</f>
        <v>S355, Stål / VFHUP 140x140x8.0</v>
      </c>
    </row>
    <row r="5800" spans="1:3" x14ac:dyDescent="0.3">
      <c r="A5800" t="str">
        <f>IF(AND(FORSIDE!$B$8&gt;=2,FORSIDE!$F$8&gt;=7,FORSIDE!$B$5&gt;=9),"S5799","")</f>
        <v/>
      </c>
      <c r="B5800" t="str">
        <f>IF(AND(FORSIDE!$B$8&gt;=2,FORSIDE!$F$8&gt;=7,FORSIDE!$B$5&gt;=9),"1418 -&gt; 1649","")</f>
        <v/>
      </c>
      <c r="C5800" t="str">
        <f>FORSIDE!$C$3</f>
        <v>S355, Stål / VFHUP 140x140x8.0</v>
      </c>
    </row>
    <row r="5801" spans="1:3" x14ac:dyDescent="0.3">
      <c r="A5801" t="str">
        <f>IF(AND(FORSIDE!$B$8&gt;=2,FORSIDE!$F$8&gt;=7,FORSIDE!$B$5&gt;=10),"S5800","")</f>
        <v/>
      </c>
      <c r="B5801" t="str">
        <f>IF(AND(FORSIDE!$B$8&gt;=2,FORSIDE!$F$8&gt;=7,FORSIDE!$B$5&gt;=10),"1419 -&gt; 1650","")</f>
        <v/>
      </c>
      <c r="C5801" t="str">
        <f>FORSIDE!$C$3</f>
        <v>S355, Stål / VFHUP 140x140x8.0</v>
      </c>
    </row>
    <row r="5802" spans="1:3" x14ac:dyDescent="0.3">
      <c r="A5802" t="str">
        <f>IF(AND(FORSIDE!$B$8&gt;=3,FORSIDE!$F$8&gt;=7,FORSIDE!$B$5&gt;=1),"S5801","")</f>
        <v/>
      </c>
      <c r="B5802" t="str">
        <f>IF(AND(FORSIDE!$B$8&gt;=3,FORSIDE!$F$8&gt;=7,FORSIDE!$B$5&gt;=1),"1421 -&gt; 1652","")</f>
        <v/>
      </c>
      <c r="C5802" t="str">
        <f>FORSIDE!$C$3</f>
        <v>S355, Stål / VFHUP 140x140x8.0</v>
      </c>
    </row>
    <row r="5803" spans="1:3" x14ac:dyDescent="0.3">
      <c r="A5803" t="str">
        <f>IF(AND(FORSIDE!$B$8&gt;=3,FORSIDE!$F$8&gt;=7,FORSIDE!$B$5&gt;=2),"S5802","")</f>
        <v/>
      </c>
      <c r="B5803" t="str">
        <f>IF(AND(FORSIDE!$B$8&gt;=3,FORSIDE!$F$8&gt;=7,FORSIDE!$B$5&gt;=2),"1422 -&gt; 1653","")</f>
        <v/>
      </c>
      <c r="C5803" t="str">
        <f>FORSIDE!$C$3</f>
        <v>S355, Stål / VFHUP 140x140x8.0</v>
      </c>
    </row>
    <row r="5804" spans="1:3" x14ac:dyDescent="0.3">
      <c r="A5804" t="str">
        <f>IF(AND(FORSIDE!$B$8&gt;=3,FORSIDE!$F$8&gt;=7,FORSIDE!$B$5&gt;=3),"S5803","")</f>
        <v/>
      </c>
      <c r="B5804" t="str">
        <f>IF(AND(FORSIDE!$B$8&gt;=3,FORSIDE!$F$8&gt;=7,FORSIDE!$B$5&gt;=3),"1423 -&gt; 1654","")</f>
        <v/>
      </c>
      <c r="C5804" t="str">
        <f>FORSIDE!$C$3</f>
        <v>S355, Stål / VFHUP 140x140x8.0</v>
      </c>
    </row>
    <row r="5805" spans="1:3" x14ac:dyDescent="0.3">
      <c r="A5805" t="str">
        <f>IF(AND(FORSIDE!$B$8&gt;=3,FORSIDE!$F$8&gt;=7,FORSIDE!$B$5&gt;=4),"S5804","")</f>
        <v/>
      </c>
      <c r="B5805" t="str">
        <f>IF(AND(FORSIDE!$B$8&gt;=3,FORSIDE!$F$8&gt;=7,FORSIDE!$B$5&gt;=4),"1424 -&gt; 1655","")</f>
        <v/>
      </c>
      <c r="C5805" t="str">
        <f>FORSIDE!$C$3</f>
        <v>S355, Stål / VFHUP 140x140x8.0</v>
      </c>
    </row>
    <row r="5806" spans="1:3" x14ac:dyDescent="0.3">
      <c r="A5806" t="str">
        <f>IF(AND(FORSIDE!$B$8&gt;=3,FORSIDE!$F$8&gt;=7,FORSIDE!$B$5&gt;=5),"S5805","")</f>
        <v/>
      </c>
      <c r="B5806" t="str">
        <f>IF(AND(FORSIDE!$B$8&gt;=3,FORSIDE!$F$8&gt;=7,FORSIDE!$B$5&gt;=5),"1425 -&gt; 1656","")</f>
        <v/>
      </c>
      <c r="C5806" t="str">
        <f>FORSIDE!$C$3</f>
        <v>S355, Stål / VFHUP 140x140x8.0</v>
      </c>
    </row>
    <row r="5807" spans="1:3" x14ac:dyDescent="0.3">
      <c r="A5807" t="str">
        <f>IF(AND(FORSIDE!$B$8&gt;=3,FORSIDE!$F$8&gt;=7,FORSIDE!$B$5&gt;=6),"S5806","")</f>
        <v/>
      </c>
      <c r="B5807" t="str">
        <f>IF(AND(FORSIDE!$B$8&gt;=3,FORSIDE!$F$8&gt;=7,FORSIDE!$B$5&gt;=6),"1426 -&gt; 1657","")</f>
        <v/>
      </c>
      <c r="C5807" t="str">
        <f>FORSIDE!$C$3</f>
        <v>S355, Stål / VFHUP 140x140x8.0</v>
      </c>
    </row>
    <row r="5808" spans="1:3" x14ac:dyDescent="0.3">
      <c r="A5808" t="str">
        <f>IF(AND(FORSIDE!$B$8&gt;=3,FORSIDE!$F$8&gt;=7,FORSIDE!$B$5&gt;=7),"S5807","")</f>
        <v/>
      </c>
      <c r="B5808" t="str">
        <f>IF(AND(FORSIDE!$B$8&gt;=3,FORSIDE!$F$8&gt;=7,FORSIDE!$B$5&gt;=7),"1427 -&gt; 1658","")</f>
        <v/>
      </c>
      <c r="C5808" t="str">
        <f>FORSIDE!$C$3</f>
        <v>S355, Stål / VFHUP 140x140x8.0</v>
      </c>
    </row>
    <row r="5809" spans="1:3" x14ac:dyDescent="0.3">
      <c r="A5809" t="str">
        <f>IF(AND(FORSIDE!$B$8&gt;=3,FORSIDE!$F$8&gt;=7,FORSIDE!$B$5&gt;=8),"S5808","")</f>
        <v/>
      </c>
      <c r="B5809" t="str">
        <f>IF(AND(FORSIDE!$B$8&gt;=3,FORSIDE!$F$8&gt;=7,FORSIDE!$B$5&gt;=8),"1428 -&gt; 1659","")</f>
        <v/>
      </c>
      <c r="C5809" t="str">
        <f>FORSIDE!$C$3</f>
        <v>S355, Stål / VFHUP 140x140x8.0</v>
      </c>
    </row>
    <row r="5810" spans="1:3" x14ac:dyDescent="0.3">
      <c r="A5810" t="str">
        <f>IF(AND(FORSIDE!$B$8&gt;=3,FORSIDE!$F$8&gt;=7,FORSIDE!$B$5&gt;=9),"S5809","")</f>
        <v/>
      </c>
      <c r="B5810" t="str">
        <f>IF(AND(FORSIDE!$B$8&gt;=3,FORSIDE!$F$8&gt;=7,FORSIDE!$B$5&gt;=9),"1429 -&gt; 1660","")</f>
        <v/>
      </c>
      <c r="C5810" t="str">
        <f>FORSIDE!$C$3</f>
        <v>S355, Stål / VFHUP 140x140x8.0</v>
      </c>
    </row>
    <row r="5811" spans="1:3" x14ac:dyDescent="0.3">
      <c r="A5811" t="str">
        <f>IF(AND(FORSIDE!$B$8&gt;=3,FORSIDE!$F$8&gt;=7,FORSIDE!$B$5&gt;=10),"S5810","")</f>
        <v/>
      </c>
      <c r="B5811" t="str">
        <f>IF(AND(FORSIDE!$B$8&gt;=3,FORSIDE!$F$8&gt;=7,FORSIDE!$B$5&gt;=10),"1430 -&gt; 1661","")</f>
        <v/>
      </c>
      <c r="C5811" t="str">
        <f>FORSIDE!$C$3</f>
        <v>S355, Stål / VFHUP 140x140x8.0</v>
      </c>
    </row>
    <row r="5812" spans="1:3" x14ac:dyDescent="0.3">
      <c r="A5812" t="str">
        <f>IF(AND(FORSIDE!$B$8&gt;=4,FORSIDE!$F$8&gt;=7,FORSIDE!$B$5&gt;=1),"S5811","")</f>
        <v/>
      </c>
      <c r="B5812" t="str">
        <f>IF(AND(FORSIDE!$B$8&gt;=4,FORSIDE!$F$8&gt;=7,FORSIDE!$B$5&gt;=1),"1432 -&gt; 1663","")</f>
        <v/>
      </c>
      <c r="C5812" t="str">
        <f>FORSIDE!$C$3</f>
        <v>S355, Stål / VFHUP 140x140x8.0</v>
      </c>
    </row>
    <row r="5813" spans="1:3" x14ac:dyDescent="0.3">
      <c r="A5813" t="str">
        <f>IF(AND(FORSIDE!$B$8&gt;=4,FORSIDE!$F$8&gt;=7,FORSIDE!$B$5&gt;=2),"S5812","")</f>
        <v/>
      </c>
      <c r="B5813" t="str">
        <f>IF(AND(FORSIDE!$B$8&gt;=4,FORSIDE!$F$8&gt;=7,FORSIDE!$B$5&gt;=2),"1433 -&gt; 1664","")</f>
        <v/>
      </c>
      <c r="C5813" t="str">
        <f>FORSIDE!$C$3</f>
        <v>S355, Stål / VFHUP 140x140x8.0</v>
      </c>
    </row>
    <row r="5814" spans="1:3" x14ac:dyDescent="0.3">
      <c r="A5814" t="str">
        <f>IF(AND(FORSIDE!$B$8&gt;=4,FORSIDE!$F$8&gt;=7,FORSIDE!$B$5&gt;=3),"S5813","")</f>
        <v/>
      </c>
      <c r="B5814" t="str">
        <f>IF(AND(FORSIDE!$B$8&gt;=4,FORSIDE!$F$8&gt;=7,FORSIDE!$B$5&gt;=3),"1434 -&gt; 1665","")</f>
        <v/>
      </c>
      <c r="C5814" t="str">
        <f>FORSIDE!$C$3</f>
        <v>S355, Stål / VFHUP 140x140x8.0</v>
      </c>
    </row>
    <row r="5815" spans="1:3" x14ac:dyDescent="0.3">
      <c r="A5815" t="str">
        <f>IF(AND(FORSIDE!$B$8&gt;=4,FORSIDE!$F$8&gt;=7,FORSIDE!$B$5&gt;=4),"S5814","")</f>
        <v/>
      </c>
      <c r="B5815" t="str">
        <f>IF(AND(FORSIDE!$B$8&gt;=4,FORSIDE!$F$8&gt;=7,FORSIDE!$B$5&gt;=4),"1435 -&gt; 1666","")</f>
        <v/>
      </c>
      <c r="C5815" t="str">
        <f>FORSIDE!$C$3</f>
        <v>S355, Stål / VFHUP 140x140x8.0</v>
      </c>
    </row>
    <row r="5816" spans="1:3" x14ac:dyDescent="0.3">
      <c r="A5816" t="str">
        <f>IF(AND(FORSIDE!$B$8&gt;=4,FORSIDE!$F$8&gt;=7,FORSIDE!$B$5&gt;=5),"S5815","")</f>
        <v/>
      </c>
      <c r="B5816" t="str">
        <f>IF(AND(FORSIDE!$B$8&gt;=4,FORSIDE!$F$8&gt;=7,FORSIDE!$B$5&gt;=5),"1436 -&gt; 1667","")</f>
        <v/>
      </c>
      <c r="C5816" t="str">
        <f>FORSIDE!$C$3</f>
        <v>S355, Stål / VFHUP 140x140x8.0</v>
      </c>
    </row>
    <row r="5817" spans="1:3" x14ac:dyDescent="0.3">
      <c r="A5817" t="str">
        <f>IF(AND(FORSIDE!$B$8&gt;=4,FORSIDE!$F$8&gt;=7,FORSIDE!$B$5&gt;=6),"S5816","")</f>
        <v/>
      </c>
      <c r="B5817" t="str">
        <f>IF(AND(FORSIDE!$B$8&gt;=4,FORSIDE!$F$8&gt;=7,FORSIDE!$B$5&gt;=6),"1437 -&gt; 1668","")</f>
        <v/>
      </c>
      <c r="C5817" t="str">
        <f>FORSIDE!$C$3</f>
        <v>S355, Stål / VFHUP 140x140x8.0</v>
      </c>
    </row>
    <row r="5818" spans="1:3" x14ac:dyDescent="0.3">
      <c r="A5818" t="str">
        <f>IF(AND(FORSIDE!$B$8&gt;=4,FORSIDE!$F$8&gt;=7,FORSIDE!$B$5&gt;=7),"S5817","")</f>
        <v/>
      </c>
      <c r="B5818" t="str">
        <f>IF(AND(FORSIDE!$B$8&gt;=4,FORSIDE!$F$8&gt;=7,FORSIDE!$B$5&gt;=7),"1438 -&gt; 1669","")</f>
        <v/>
      </c>
      <c r="C5818" t="str">
        <f>FORSIDE!$C$3</f>
        <v>S355, Stål / VFHUP 140x140x8.0</v>
      </c>
    </row>
    <row r="5819" spans="1:3" x14ac:dyDescent="0.3">
      <c r="A5819" t="str">
        <f>IF(AND(FORSIDE!$B$8&gt;=4,FORSIDE!$F$8&gt;=7,FORSIDE!$B$5&gt;=8),"S5818","")</f>
        <v/>
      </c>
      <c r="B5819" t="str">
        <f>IF(AND(FORSIDE!$B$8&gt;=4,FORSIDE!$F$8&gt;=7,FORSIDE!$B$5&gt;=8),"1439 -&gt; 1670","")</f>
        <v/>
      </c>
      <c r="C5819" t="str">
        <f>FORSIDE!$C$3</f>
        <v>S355, Stål / VFHUP 140x140x8.0</v>
      </c>
    </row>
    <row r="5820" spans="1:3" x14ac:dyDescent="0.3">
      <c r="A5820" t="str">
        <f>IF(AND(FORSIDE!$B$8&gt;=4,FORSIDE!$F$8&gt;=7,FORSIDE!$B$5&gt;=9),"S5819","")</f>
        <v/>
      </c>
      <c r="B5820" t="str">
        <f>IF(AND(FORSIDE!$B$8&gt;=4,FORSIDE!$F$8&gt;=7,FORSIDE!$B$5&gt;=9),"1440 -&gt; 1671","")</f>
        <v/>
      </c>
      <c r="C5820" t="str">
        <f>FORSIDE!$C$3</f>
        <v>S355, Stål / VFHUP 140x140x8.0</v>
      </c>
    </row>
    <row r="5821" spans="1:3" x14ac:dyDescent="0.3">
      <c r="A5821" t="str">
        <f>IF(AND(FORSIDE!$B$8&gt;=4,FORSIDE!$F$8&gt;=7,FORSIDE!$B$5&gt;=10),"S5820","")</f>
        <v/>
      </c>
      <c r="B5821" t="str">
        <f>IF(AND(FORSIDE!$B$8&gt;=4,FORSIDE!$F$8&gt;=7,FORSIDE!$B$5&gt;=10),"1441 -&gt; 1672","")</f>
        <v/>
      </c>
      <c r="C5821" t="str">
        <f>FORSIDE!$C$3</f>
        <v>S355, Stål / VFHUP 140x140x8.0</v>
      </c>
    </row>
    <row r="5822" spans="1:3" x14ac:dyDescent="0.3">
      <c r="A5822" t="str">
        <f>IF(AND(FORSIDE!$B$8&gt;=5,FORSIDE!$F$8&gt;=7,FORSIDE!$B$5&gt;=1),"S5821","")</f>
        <v/>
      </c>
      <c r="B5822" t="str">
        <f>IF(AND(FORSIDE!$B$8&gt;=5,FORSIDE!$F$8&gt;=7,FORSIDE!$B$5&gt;=1),"1443 -&gt; 1674","")</f>
        <v/>
      </c>
      <c r="C5822" t="str">
        <f>FORSIDE!$C$3</f>
        <v>S355, Stål / VFHUP 140x140x8.0</v>
      </c>
    </row>
    <row r="5823" spans="1:3" x14ac:dyDescent="0.3">
      <c r="A5823" t="str">
        <f>IF(AND(FORSIDE!$B$8&gt;=5,FORSIDE!$F$8&gt;=7,FORSIDE!$B$5&gt;=2),"S5822","")</f>
        <v/>
      </c>
      <c r="B5823" t="str">
        <f>IF(AND(FORSIDE!$B$8&gt;=5,FORSIDE!$F$8&gt;=7,FORSIDE!$B$5&gt;=2),"1444 -&gt; 1675","")</f>
        <v/>
      </c>
      <c r="C5823" t="str">
        <f>FORSIDE!$C$3</f>
        <v>S355, Stål / VFHUP 140x140x8.0</v>
      </c>
    </row>
    <row r="5824" spans="1:3" x14ac:dyDescent="0.3">
      <c r="A5824" t="str">
        <f>IF(AND(FORSIDE!$B$8&gt;=5,FORSIDE!$F$8&gt;=7,FORSIDE!$B$5&gt;=3),"S5823","")</f>
        <v/>
      </c>
      <c r="B5824" t="str">
        <f>IF(AND(FORSIDE!$B$8&gt;=5,FORSIDE!$F$8&gt;=7,FORSIDE!$B$5&gt;=3),"1445 -&gt; 1676","")</f>
        <v/>
      </c>
      <c r="C5824" t="str">
        <f>FORSIDE!$C$3</f>
        <v>S355, Stål / VFHUP 140x140x8.0</v>
      </c>
    </row>
    <row r="5825" spans="1:3" x14ac:dyDescent="0.3">
      <c r="A5825" t="str">
        <f>IF(AND(FORSIDE!$B$8&gt;=5,FORSIDE!$F$8&gt;=7,FORSIDE!$B$5&gt;=4),"S5824","")</f>
        <v/>
      </c>
      <c r="B5825" t="str">
        <f>IF(AND(FORSIDE!$B$8&gt;=5,FORSIDE!$F$8&gt;=7,FORSIDE!$B$5&gt;=4),"1446 -&gt; 1677","")</f>
        <v/>
      </c>
      <c r="C5825" t="str">
        <f>FORSIDE!$C$3</f>
        <v>S355, Stål / VFHUP 140x140x8.0</v>
      </c>
    </row>
    <row r="5826" spans="1:3" x14ac:dyDescent="0.3">
      <c r="A5826" t="str">
        <f>IF(AND(FORSIDE!$B$8&gt;=5,FORSIDE!$F$8&gt;=7,FORSIDE!$B$5&gt;=5),"S5825","")</f>
        <v/>
      </c>
      <c r="B5826" t="str">
        <f>IF(AND(FORSIDE!$B$8&gt;=5,FORSIDE!$F$8&gt;=7,FORSIDE!$B$5&gt;=5),"1447 -&gt; 1678","")</f>
        <v/>
      </c>
      <c r="C5826" t="str">
        <f>FORSIDE!$C$3</f>
        <v>S355, Stål / VFHUP 140x140x8.0</v>
      </c>
    </row>
    <row r="5827" spans="1:3" x14ac:dyDescent="0.3">
      <c r="A5827" t="str">
        <f>IF(AND(FORSIDE!$B$8&gt;=5,FORSIDE!$F$8&gt;=7,FORSIDE!$B$5&gt;=6),"S5826","")</f>
        <v/>
      </c>
      <c r="B5827" t="str">
        <f>IF(AND(FORSIDE!$B$8&gt;=5,FORSIDE!$F$8&gt;=7,FORSIDE!$B$5&gt;=6),"1448 -&gt; 1679","")</f>
        <v/>
      </c>
      <c r="C5827" t="str">
        <f>FORSIDE!$C$3</f>
        <v>S355, Stål / VFHUP 140x140x8.0</v>
      </c>
    </row>
    <row r="5828" spans="1:3" x14ac:dyDescent="0.3">
      <c r="A5828" t="str">
        <f>IF(AND(FORSIDE!$B$8&gt;=5,FORSIDE!$F$8&gt;=7,FORSIDE!$B$5&gt;=7),"S5827","")</f>
        <v/>
      </c>
      <c r="B5828" t="str">
        <f>IF(AND(FORSIDE!$B$8&gt;=5,FORSIDE!$F$8&gt;=7,FORSIDE!$B$5&gt;=7),"1449 -&gt; 1680","")</f>
        <v/>
      </c>
      <c r="C5828" t="str">
        <f>FORSIDE!$C$3</f>
        <v>S355, Stål / VFHUP 140x140x8.0</v>
      </c>
    </row>
    <row r="5829" spans="1:3" x14ac:dyDescent="0.3">
      <c r="A5829" t="str">
        <f>IF(AND(FORSIDE!$B$8&gt;=5,FORSIDE!$F$8&gt;=7,FORSIDE!$B$5&gt;=8),"S5828","")</f>
        <v/>
      </c>
      <c r="B5829" t="str">
        <f>IF(AND(FORSIDE!$B$8&gt;=5,FORSIDE!$F$8&gt;=7,FORSIDE!$B$5&gt;=8),"1450 -&gt; 1681","")</f>
        <v/>
      </c>
      <c r="C5829" t="str">
        <f>FORSIDE!$C$3</f>
        <v>S355, Stål / VFHUP 140x140x8.0</v>
      </c>
    </row>
    <row r="5830" spans="1:3" x14ac:dyDescent="0.3">
      <c r="A5830" t="str">
        <f>IF(AND(FORSIDE!$B$8&gt;=5,FORSIDE!$F$8&gt;=7,FORSIDE!$B$5&gt;=9),"S5829","")</f>
        <v/>
      </c>
      <c r="B5830" t="str">
        <f>IF(AND(FORSIDE!$B$8&gt;=5,FORSIDE!$F$8&gt;=7,FORSIDE!$B$5&gt;=9),"1451 -&gt; 1682","")</f>
        <v/>
      </c>
      <c r="C5830" t="str">
        <f>FORSIDE!$C$3</f>
        <v>S355, Stål / VFHUP 140x140x8.0</v>
      </c>
    </row>
    <row r="5831" spans="1:3" x14ac:dyDescent="0.3">
      <c r="A5831" t="str">
        <f>IF(AND(FORSIDE!$B$8&gt;=5,FORSIDE!$F$8&gt;=7,FORSIDE!$B$5&gt;=10),"S5830","")</f>
        <v/>
      </c>
      <c r="B5831" t="str">
        <f>IF(AND(FORSIDE!$B$8&gt;=5,FORSIDE!$F$8&gt;=7,FORSIDE!$B$5&gt;=10),"1452 -&gt; 1683","")</f>
        <v/>
      </c>
      <c r="C5831" t="str">
        <f>FORSIDE!$C$3</f>
        <v>S355, Stål / VFHUP 140x140x8.0</v>
      </c>
    </row>
    <row r="5832" spans="1:3" x14ac:dyDescent="0.3">
      <c r="A5832" t="str">
        <f>IF(AND(FORSIDE!$B$8&gt;=6,FORSIDE!$F$8&gt;=7,FORSIDE!$B$5&gt;=1),"S5831","")</f>
        <v/>
      </c>
      <c r="B5832" t="str">
        <f>IF(AND(FORSIDE!$B$8&gt;=6,FORSIDE!$F$8&gt;=7,FORSIDE!$B$5&gt;=1),"1454 -&gt; 1685","")</f>
        <v/>
      </c>
      <c r="C5832" t="str">
        <f>FORSIDE!$C$3</f>
        <v>S355, Stål / VFHUP 140x140x8.0</v>
      </c>
    </row>
    <row r="5833" spans="1:3" x14ac:dyDescent="0.3">
      <c r="A5833" t="str">
        <f>IF(AND(FORSIDE!$B$8&gt;=6,FORSIDE!$F$8&gt;=7,FORSIDE!$B$5&gt;=2),"S5832","")</f>
        <v/>
      </c>
      <c r="B5833" t="str">
        <f>IF(AND(FORSIDE!$B$8&gt;=6,FORSIDE!$F$8&gt;=7,FORSIDE!$B$5&gt;=2),"1455 -&gt; 1686","")</f>
        <v/>
      </c>
      <c r="C5833" t="str">
        <f>FORSIDE!$C$3</f>
        <v>S355, Stål / VFHUP 140x140x8.0</v>
      </c>
    </row>
    <row r="5834" spans="1:3" x14ac:dyDescent="0.3">
      <c r="A5834" t="str">
        <f>IF(AND(FORSIDE!$B$8&gt;=6,FORSIDE!$F$8&gt;=7,FORSIDE!$B$5&gt;=3),"S5833","")</f>
        <v/>
      </c>
      <c r="B5834" t="str">
        <f>IF(AND(FORSIDE!$B$8&gt;=6,FORSIDE!$F$8&gt;=7,FORSIDE!$B$5&gt;=3),"1456 -&gt; 1687","")</f>
        <v/>
      </c>
      <c r="C5834" t="str">
        <f>FORSIDE!$C$3</f>
        <v>S355, Stål / VFHUP 140x140x8.0</v>
      </c>
    </row>
    <row r="5835" spans="1:3" x14ac:dyDescent="0.3">
      <c r="A5835" t="str">
        <f>IF(AND(FORSIDE!$B$8&gt;=6,FORSIDE!$F$8&gt;=7,FORSIDE!$B$5&gt;=4),"S5834","")</f>
        <v/>
      </c>
      <c r="B5835" t="str">
        <f>IF(AND(FORSIDE!$B$8&gt;=6,FORSIDE!$F$8&gt;=7,FORSIDE!$B$5&gt;=4),"1457 -&gt; 1688","")</f>
        <v/>
      </c>
      <c r="C5835" t="str">
        <f>FORSIDE!$C$3</f>
        <v>S355, Stål / VFHUP 140x140x8.0</v>
      </c>
    </row>
    <row r="5836" spans="1:3" x14ac:dyDescent="0.3">
      <c r="A5836" t="str">
        <f>IF(AND(FORSIDE!$B$8&gt;=6,FORSIDE!$F$8&gt;=7,FORSIDE!$B$5&gt;=5),"S5835","")</f>
        <v/>
      </c>
      <c r="B5836" t="str">
        <f>IF(AND(FORSIDE!$B$8&gt;=6,FORSIDE!$F$8&gt;=7,FORSIDE!$B$5&gt;=5),"1458 -&gt; 1689","")</f>
        <v/>
      </c>
      <c r="C5836" t="str">
        <f>FORSIDE!$C$3</f>
        <v>S355, Stål / VFHUP 140x140x8.0</v>
      </c>
    </row>
    <row r="5837" spans="1:3" x14ac:dyDescent="0.3">
      <c r="A5837" t="str">
        <f>IF(AND(FORSIDE!$B$8&gt;=6,FORSIDE!$F$8&gt;=7,FORSIDE!$B$5&gt;=6),"S5836","")</f>
        <v/>
      </c>
      <c r="B5837" t="str">
        <f>IF(AND(FORSIDE!$B$8&gt;=6,FORSIDE!$F$8&gt;=7,FORSIDE!$B$5&gt;=6),"1459 -&gt; 1690","")</f>
        <v/>
      </c>
      <c r="C5837" t="str">
        <f>FORSIDE!$C$3</f>
        <v>S355, Stål / VFHUP 140x140x8.0</v>
      </c>
    </row>
    <row r="5838" spans="1:3" x14ac:dyDescent="0.3">
      <c r="A5838" t="str">
        <f>IF(AND(FORSIDE!$B$8&gt;=6,FORSIDE!$F$8&gt;=7,FORSIDE!$B$5&gt;=7),"S5837","")</f>
        <v/>
      </c>
      <c r="B5838" t="str">
        <f>IF(AND(FORSIDE!$B$8&gt;=6,FORSIDE!$F$8&gt;=7,FORSIDE!$B$5&gt;=7),"1460 -&gt; 1691","")</f>
        <v/>
      </c>
      <c r="C5838" t="str">
        <f>FORSIDE!$C$3</f>
        <v>S355, Stål / VFHUP 140x140x8.0</v>
      </c>
    </row>
    <row r="5839" spans="1:3" x14ac:dyDescent="0.3">
      <c r="A5839" t="str">
        <f>IF(AND(FORSIDE!$B$8&gt;=6,FORSIDE!$F$8&gt;=7,FORSIDE!$B$5&gt;=8),"S5838","")</f>
        <v/>
      </c>
      <c r="B5839" t="str">
        <f>IF(AND(FORSIDE!$B$8&gt;=6,FORSIDE!$F$8&gt;=7,FORSIDE!$B$5&gt;=8),"1461 -&gt; 1692","")</f>
        <v/>
      </c>
      <c r="C5839" t="str">
        <f>FORSIDE!$C$3</f>
        <v>S355, Stål / VFHUP 140x140x8.0</v>
      </c>
    </row>
    <row r="5840" spans="1:3" x14ac:dyDescent="0.3">
      <c r="A5840" t="str">
        <f>IF(AND(FORSIDE!$B$8&gt;=6,FORSIDE!$F$8&gt;=7,FORSIDE!$B$5&gt;=9),"S5839","")</f>
        <v/>
      </c>
      <c r="B5840" t="str">
        <f>IF(AND(FORSIDE!$B$8&gt;=6,FORSIDE!$F$8&gt;=7,FORSIDE!$B$5&gt;=9),"1462 -&gt; 1693","")</f>
        <v/>
      </c>
      <c r="C5840" t="str">
        <f>FORSIDE!$C$3</f>
        <v>S355, Stål / VFHUP 140x140x8.0</v>
      </c>
    </row>
    <row r="5841" spans="1:3" x14ac:dyDescent="0.3">
      <c r="A5841" t="str">
        <f>IF(AND(FORSIDE!$B$8&gt;=6,FORSIDE!$F$8&gt;=7,FORSIDE!$B$5&gt;=10),"S5840","")</f>
        <v/>
      </c>
      <c r="B5841" t="str">
        <f>IF(AND(FORSIDE!$B$8&gt;=6,FORSIDE!$F$8&gt;=7,FORSIDE!$B$5&gt;=10),"1463 -&gt; 1694","")</f>
        <v/>
      </c>
      <c r="C5841" t="str">
        <f>FORSIDE!$C$3</f>
        <v>S355, Stål / VFHUP 140x140x8.0</v>
      </c>
    </row>
    <row r="5842" spans="1:3" x14ac:dyDescent="0.3">
      <c r="A5842" t="str">
        <f>IF(AND(FORSIDE!$B$8&gt;=7,FORSIDE!$F$8&gt;=7,FORSIDE!$B$5&gt;=1),"S5841","")</f>
        <v/>
      </c>
      <c r="B5842" t="str">
        <f>IF(AND(FORSIDE!$B$8&gt;=7,FORSIDE!$F$8&gt;=7,FORSIDE!$B$5&gt;=1),"1465 -&gt; 1696","")</f>
        <v/>
      </c>
      <c r="C5842" t="str">
        <f>FORSIDE!$C$3</f>
        <v>S355, Stål / VFHUP 140x140x8.0</v>
      </c>
    </row>
    <row r="5843" spans="1:3" x14ac:dyDescent="0.3">
      <c r="A5843" t="str">
        <f>IF(AND(FORSIDE!$B$8&gt;=7,FORSIDE!$F$8&gt;=7,FORSIDE!$B$5&gt;=2),"S5842","")</f>
        <v/>
      </c>
      <c r="B5843" t="str">
        <f>IF(AND(FORSIDE!$B$8&gt;=7,FORSIDE!$F$8&gt;=7,FORSIDE!$B$5&gt;=2),"1466 -&gt; 1697","")</f>
        <v/>
      </c>
      <c r="C5843" t="str">
        <f>FORSIDE!$C$3</f>
        <v>S355, Stål / VFHUP 140x140x8.0</v>
      </c>
    </row>
    <row r="5844" spans="1:3" x14ac:dyDescent="0.3">
      <c r="A5844" t="str">
        <f>IF(AND(FORSIDE!$B$8&gt;=7,FORSIDE!$F$8&gt;=7,FORSIDE!$B$5&gt;=3),"S5843","")</f>
        <v/>
      </c>
      <c r="B5844" t="str">
        <f>IF(AND(FORSIDE!$B$8&gt;=7,FORSIDE!$F$8&gt;=7,FORSIDE!$B$5&gt;=3),"1467 -&gt; 1698","")</f>
        <v/>
      </c>
      <c r="C5844" t="str">
        <f>FORSIDE!$C$3</f>
        <v>S355, Stål / VFHUP 140x140x8.0</v>
      </c>
    </row>
    <row r="5845" spans="1:3" x14ac:dyDescent="0.3">
      <c r="A5845" t="str">
        <f>IF(AND(FORSIDE!$B$8&gt;=7,FORSIDE!$F$8&gt;=7,FORSIDE!$B$5&gt;=4),"S5844","")</f>
        <v/>
      </c>
      <c r="B5845" t="str">
        <f>IF(AND(FORSIDE!$B$8&gt;=7,FORSIDE!$F$8&gt;=7,FORSIDE!$B$5&gt;=4),"1468 -&gt; 1699","")</f>
        <v/>
      </c>
      <c r="C5845" t="str">
        <f>FORSIDE!$C$3</f>
        <v>S355, Stål / VFHUP 140x140x8.0</v>
      </c>
    </row>
    <row r="5846" spans="1:3" x14ac:dyDescent="0.3">
      <c r="A5846" t="str">
        <f>IF(AND(FORSIDE!$B$8&gt;=7,FORSIDE!$F$8&gt;=7,FORSIDE!$B$5&gt;=5),"S5845","")</f>
        <v/>
      </c>
      <c r="B5846" t="str">
        <f>IF(AND(FORSIDE!$B$8&gt;=7,FORSIDE!$F$8&gt;=7,FORSIDE!$B$5&gt;=5),"1469 -&gt; 1700","")</f>
        <v/>
      </c>
      <c r="C5846" t="str">
        <f>FORSIDE!$C$3</f>
        <v>S355, Stål / VFHUP 140x140x8.0</v>
      </c>
    </row>
    <row r="5847" spans="1:3" x14ac:dyDescent="0.3">
      <c r="A5847" t="str">
        <f>IF(AND(FORSIDE!$B$8&gt;=7,FORSIDE!$F$8&gt;=7,FORSIDE!$B$5&gt;=6),"S5846","")</f>
        <v/>
      </c>
      <c r="B5847" t="str">
        <f>IF(AND(FORSIDE!$B$8&gt;=7,FORSIDE!$F$8&gt;=7,FORSIDE!$B$5&gt;=6),"1470 -&gt; 1701","")</f>
        <v/>
      </c>
      <c r="C5847" t="str">
        <f>FORSIDE!$C$3</f>
        <v>S355, Stål / VFHUP 140x140x8.0</v>
      </c>
    </row>
    <row r="5848" spans="1:3" x14ac:dyDescent="0.3">
      <c r="A5848" t="str">
        <f>IF(AND(FORSIDE!$B$8&gt;=7,FORSIDE!$F$8&gt;=7,FORSIDE!$B$5&gt;=7),"S5847","")</f>
        <v/>
      </c>
      <c r="B5848" t="str">
        <f>IF(AND(FORSIDE!$B$8&gt;=7,FORSIDE!$F$8&gt;=7,FORSIDE!$B$5&gt;=7),"1471 -&gt; 1702","")</f>
        <v/>
      </c>
      <c r="C5848" t="str">
        <f>FORSIDE!$C$3</f>
        <v>S355, Stål / VFHUP 140x140x8.0</v>
      </c>
    </row>
    <row r="5849" spans="1:3" x14ac:dyDescent="0.3">
      <c r="A5849" t="str">
        <f>IF(AND(FORSIDE!$B$8&gt;=7,FORSIDE!$F$8&gt;=7,FORSIDE!$B$5&gt;=8),"S5848","")</f>
        <v/>
      </c>
      <c r="B5849" t="str">
        <f>IF(AND(FORSIDE!$B$8&gt;=7,FORSIDE!$F$8&gt;=7,FORSIDE!$B$5&gt;=8),"1472 -&gt; 1703","")</f>
        <v/>
      </c>
      <c r="C5849" t="str">
        <f>FORSIDE!$C$3</f>
        <v>S355, Stål / VFHUP 140x140x8.0</v>
      </c>
    </row>
    <row r="5850" spans="1:3" x14ac:dyDescent="0.3">
      <c r="A5850" t="str">
        <f>IF(AND(FORSIDE!$B$8&gt;=7,FORSIDE!$F$8&gt;=7,FORSIDE!$B$5&gt;=9),"S5849","")</f>
        <v/>
      </c>
      <c r="B5850" t="str">
        <f>IF(AND(FORSIDE!$B$8&gt;=7,FORSIDE!$F$8&gt;=7,FORSIDE!$B$5&gt;=9),"1473 -&gt; 1704","")</f>
        <v/>
      </c>
      <c r="C5850" t="str">
        <f>FORSIDE!$C$3</f>
        <v>S355, Stål / VFHUP 140x140x8.0</v>
      </c>
    </row>
    <row r="5851" spans="1:3" x14ac:dyDescent="0.3">
      <c r="A5851" t="str">
        <f>IF(AND(FORSIDE!$B$8&gt;=7,FORSIDE!$F$8&gt;=7,FORSIDE!$B$5&gt;=10),"S5850","")</f>
        <v/>
      </c>
      <c r="B5851" t="str">
        <f>IF(AND(FORSIDE!$B$8&gt;=7,FORSIDE!$F$8&gt;=7,FORSIDE!$B$5&gt;=10),"1474 -&gt; 1705","")</f>
        <v/>
      </c>
      <c r="C5851" t="str">
        <f>FORSIDE!$C$3</f>
        <v>S355, Stål / VFHUP 140x140x8.0</v>
      </c>
    </row>
    <row r="5852" spans="1:3" x14ac:dyDescent="0.3">
      <c r="A5852" t="str">
        <f>IF(AND(FORSIDE!$B$8&gt;=8,FORSIDE!$F$8&gt;=7,FORSIDE!$B$5&gt;=1),"S5851","")</f>
        <v/>
      </c>
      <c r="B5852" t="str">
        <f>IF(AND(FORSIDE!$B$8&gt;=8,FORSIDE!$F$8&gt;=7,FORSIDE!$B$5&gt;=1),"1476 -&gt; 1707","")</f>
        <v/>
      </c>
      <c r="C5852" t="str">
        <f>FORSIDE!$C$3</f>
        <v>S355, Stål / VFHUP 140x140x8.0</v>
      </c>
    </row>
    <row r="5853" spans="1:3" x14ac:dyDescent="0.3">
      <c r="A5853" t="str">
        <f>IF(AND(FORSIDE!$B$8&gt;=8,FORSIDE!$F$8&gt;=7,FORSIDE!$B$5&gt;=2),"S5852","")</f>
        <v/>
      </c>
      <c r="B5853" t="str">
        <f>IF(AND(FORSIDE!$B$8&gt;=8,FORSIDE!$F$8&gt;=7,FORSIDE!$B$5&gt;=2),"1477 -&gt; 1708","")</f>
        <v/>
      </c>
      <c r="C5853" t="str">
        <f>FORSIDE!$C$3</f>
        <v>S355, Stål / VFHUP 140x140x8.0</v>
      </c>
    </row>
    <row r="5854" spans="1:3" x14ac:dyDescent="0.3">
      <c r="A5854" t="str">
        <f>IF(AND(FORSIDE!$B$8&gt;=8,FORSIDE!$F$8&gt;=7,FORSIDE!$B$5&gt;=3),"S5853","")</f>
        <v/>
      </c>
      <c r="B5854" t="str">
        <f>IF(AND(FORSIDE!$B$8&gt;=8,FORSIDE!$F$8&gt;=7,FORSIDE!$B$5&gt;=3),"1478 -&gt; 1709","")</f>
        <v/>
      </c>
      <c r="C5854" t="str">
        <f>FORSIDE!$C$3</f>
        <v>S355, Stål / VFHUP 140x140x8.0</v>
      </c>
    </row>
    <row r="5855" spans="1:3" x14ac:dyDescent="0.3">
      <c r="A5855" t="str">
        <f>IF(AND(FORSIDE!$B$8&gt;=8,FORSIDE!$F$8&gt;=7,FORSIDE!$B$5&gt;=4),"S5854","")</f>
        <v/>
      </c>
      <c r="B5855" t="str">
        <f>IF(AND(FORSIDE!$B$8&gt;=8,FORSIDE!$F$8&gt;=7,FORSIDE!$B$5&gt;=4),"1479 -&gt; 1710","")</f>
        <v/>
      </c>
      <c r="C5855" t="str">
        <f>FORSIDE!$C$3</f>
        <v>S355, Stål / VFHUP 140x140x8.0</v>
      </c>
    </row>
    <row r="5856" spans="1:3" x14ac:dyDescent="0.3">
      <c r="A5856" t="str">
        <f>IF(AND(FORSIDE!$B$8&gt;=8,FORSIDE!$F$8&gt;=7,FORSIDE!$B$5&gt;=5),"S5855","")</f>
        <v/>
      </c>
      <c r="B5856" t="str">
        <f>IF(AND(FORSIDE!$B$8&gt;=8,FORSIDE!$F$8&gt;=7,FORSIDE!$B$5&gt;=5),"1480 -&gt; 1711","")</f>
        <v/>
      </c>
      <c r="C5856" t="str">
        <f>FORSIDE!$C$3</f>
        <v>S355, Stål / VFHUP 140x140x8.0</v>
      </c>
    </row>
    <row r="5857" spans="1:3" x14ac:dyDescent="0.3">
      <c r="A5857" t="str">
        <f>IF(AND(FORSIDE!$B$8&gt;=8,FORSIDE!$F$8&gt;=7,FORSIDE!$B$5&gt;=6),"S5856","")</f>
        <v/>
      </c>
      <c r="B5857" t="str">
        <f>IF(AND(FORSIDE!$B$8&gt;=8,FORSIDE!$F$8&gt;=7,FORSIDE!$B$5&gt;=6),"1481 -&gt; 1712","")</f>
        <v/>
      </c>
      <c r="C5857" t="str">
        <f>FORSIDE!$C$3</f>
        <v>S355, Stål / VFHUP 140x140x8.0</v>
      </c>
    </row>
    <row r="5858" spans="1:3" x14ac:dyDescent="0.3">
      <c r="A5858" t="str">
        <f>IF(AND(FORSIDE!$B$8&gt;=8,FORSIDE!$F$8&gt;=7,FORSIDE!$B$5&gt;=7),"S5857","")</f>
        <v/>
      </c>
      <c r="B5858" t="str">
        <f>IF(AND(FORSIDE!$B$8&gt;=8,FORSIDE!$F$8&gt;=7,FORSIDE!$B$5&gt;=7),"1482 -&gt; 1713","")</f>
        <v/>
      </c>
      <c r="C5858" t="str">
        <f>FORSIDE!$C$3</f>
        <v>S355, Stål / VFHUP 140x140x8.0</v>
      </c>
    </row>
    <row r="5859" spans="1:3" x14ac:dyDescent="0.3">
      <c r="A5859" t="str">
        <f>IF(AND(FORSIDE!$B$8&gt;=8,FORSIDE!$F$8&gt;=7,FORSIDE!$B$5&gt;=8),"S5858","")</f>
        <v/>
      </c>
      <c r="B5859" t="str">
        <f>IF(AND(FORSIDE!$B$8&gt;=8,FORSIDE!$F$8&gt;=7,FORSIDE!$B$5&gt;=8),"1483 -&gt; 1714","")</f>
        <v/>
      </c>
      <c r="C5859" t="str">
        <f>FORSIDE!$C$3</f>
        <v>S355, Stål / VFHUP 140x140x8.0</v>
      </c>
    </row>
    <row r="5860" spans="1:3" x14ac:dyDescent="0.3">
      <c r="A5860" t="str">
        <f>IF(AND(FORSIDE!$B$8&gt;=8,FORSIDE!$F$8&gt;=7,FORSIDE!$B$5&gt;=9),"S5859","")</f>
        <v/>
      </c>
      <c r="B5860" t="str">
        <f>IF(AND(FORSIDE!$B$8&gt;=8,FORSIDE!$F$8&gt;=7,FORSIDE!$B$5&gt;=9),"1484 -&gt; 1715","")</f>
        <v/>
      </c>
      <c r="C5860" t="str">
        <f>FORSIDE!$C$3</f>
        <v>S355, Stål / VFHUP 140x140x8.0</v>
      </c>
    </row>
    <row r="5861" spans="1:3" x14ac:dyDescent="0.3">
      <c r="A5861" t="str">
        <f>IF(AND(FORSIDE!$B$8&gt;=8,FORSIDE!$F$8&gt;=7,FORSIDE!$B$5&gt;=10),"S5860","")</f>
        <v/>
      </c>
      <c r="B5861" t="str">
        <f>IF(AND(FORSIDE!$B$8&gt;=8,FORSIDE!$F$8&gt;=7,FORSIDE!$B$5&gt;=10),"1485 -&gt; 1716","")</f>
        <v/>
      </c>
      <c r="C5861" t="str">
        <f>FORSIDE!$C$3</f>
        <v>S355, Stål / VFHUP 140x140x8.0</v>
      </c>
    </row>
    <row r="5862" spans="1:3" x14ac:dyDescent="0.3">
      <c r="A5862" t="str">
        <f>IF(AND(FORSIDE!$B$8&gt;=9,FORSIDE!$F$8&gt;=7,FORSIDE!$B$5&gt;=1),"S5861","")</f>
        <v/>
      </c>
      <c r="B5862" t="str">
        <f>IF(AND(FORSIDE!$B$8&gt;=9,FORSIDE!$F$8&gt;=7,FORSIDE!$B$5&gt;=1),"1487 -&gt; 1718","")</f>
        <v/>
      </c>
      <c r="C5862" t="str">
        <f>FORSIDE!$C$3</f>
        <v>S355, Stål / VFHUP 140x140x8.0</v>
      </c>
    </row>
    <row r="5863" spans="1:3" x14ac:dyDescent="0.3">
      <c r="A5863" t="str">
        <f>IF(AND(FORSIDE!$B$8&gt;=9,FORSIDE!$F$8&gt;=7,FORSIDE!$B$5&gt;=2),"S5862","")</f>
        <v/>
      </c>
      <c r="B5863" t="str">
        <f>IF(AND(FORSIDE!$B$8&gt;=9,FORSIDE!$F$8&gt;=7,FORSIDE!$B$5&gt;=2),"1488 -&gt; 1719","")</f>
        <v/>
      </c>
      <c r="C5863" t="str">
        <f>FORSIDE!$C$3</f>
        <v>S355, Stål / VFHUP 140x140x8.0</v>
      </c>
    </row>
    <row r="5864" spans="1:3" x14ac:dyDescent="0.3">
      <c r="A5864" t="str">
        <f>IF(AND(FORSIDE!$B$8&gt;=9,FORSIDE!$F$8&gt;=7,FORSIDE!$B$5&gt;=3),"S5863","")</f>
        <v/>
      </c>
      <c r="B5864" t="str">
        <f>IF(AND(FORSIDE!$B$8&gt;=9,FORSIDE!$F$8&gt;=7,FORSIDE!$B$5&gt;=3),"1489 -&gt; 1720","")</f>
        <v/>
      </c>
      <c r="C5864" t="str">
        <f>FORSIDE!$C$3</f>
        <v>S355, Stål / VFHUP 140x140x8.0</v>
      </c>
    </row>
    <row r="5865" spans="1:3" x14ac:dyDescent="0.3">
      <c r="A5865" t="str">
        <f>IF(AND(FORSIDE!$B$8&gt;=9,FORSIDE!$F$8&gt;=7,FORSIDE!$B$5&gt;=4),"S5864","")</f>
        <v/>
      </c>
      <c r="B5865" t="str">
        <f>IF(AND(FORSIDE!$B$8&gt;=9,FORSIDE!$F$8&gt;=7,FORSIDE!$B$5&gt;=4),"1490 -&gt; 1721","")</f>
        <v/>
      </c>
      <c r="C5865" t="str">
        <f>FORSIDE!$C$3</f>
        <v>S355, Stål / VFHUP 140x140x8.0</v>
      </c>
    </row>
    <row r="5866" spans="1:3" x14ac:dyDescent="0.3">
      <c r="A5866" t="str">
        <f>IF(AND(FORSIDE!$B$8&gt;=9,FORSIDE!$F$8&gt;=7,FORSIDE!$B$5&gt;=5),"S5865","")</f>
        <v/>
      </c>
      <c r="B5866" t="str">
        <f>IF(AND(FORSIDE!$B$8&gt;=9,FORSIDE!$F$8&gt;=7,FORSIDE!$B$5&gt;=5),"1491 -&gt; 1722","")</f>
        <v/>
      </c>
      <c r="C5866" t="str">
        <f>FORSIDE!$C$3</f>
        <v>S355, Stål / VFHUP 140x140x8.0</v>
      </c>
    </row>
    <row r="5867" spans="1:3" x14ac:dyDescent="0.3">
      <c r="A5867" t="str">
        <f>IF(AND(FORSIDE!$B$8&gt;=9,FORSIDE!$F$8&gt;=7,FORSIDE!$B$5&gt;=6),"S5866","")</f>
        <v/>
      </c>
      <c r="B5867" t="str">
        <f>IF(AND(FORSIDE!$B$8&gt;=9,FORSIDE!$F$8&gt;=7,FORSIDE!$B$5&gt;=6),"1492 -&gt; 1723","")</f>
        <v/>
      </c>
      <c r="C5867" t="str">
        <f>FORSIDE!$C$3</f>
        <v>S355, Stål / VFHUP 140x140x8.0</v>
      </c>
    </row>
    <row r="5868" spans="1:3" x14ac:dyDescent="0.3">
      <c r="A5868" t="str">
        <f>IF(AND(FORSIDE!$B$8&gt;=9,FORSIDE!$F$8&gt;=7,FORSIDE!$B$5&gt;=7),"S5867","")</f>
        <v/>
      </c>
      <c r="B5868" t="str">
        <f>IF(AND(FORSIDE!$B$8&gt;=9,FORSIDE!$F$8&gt;=7,FORSIDE!$B$5&gt;=7),"1493 -&gt; 1724","")</f>
        <v/>
      </c>
      <c r="C5868" t="str">
        <f>FORSIDE!$C$3</f>
        <v>S355, Stål / VFHUP 140x140x8.0</v>
      </c>
    </row>
    <row r="5869" spans="1:3" x14ac:dyDescent="0.3">
      <c r="A5869" t="str">
        <f>IF(AND(FORSIDE!$B$8&gt;=9,FORSIDE!$F$8&gt;=7,FORSIDE!$B$5&gt;=8),"S5868","")</f>
        <v/>
      </c>
      <c r="B5869" t="str">
        <f>IF(AND(FORSIDE!$B$8&gt;=9,FORSIDE!$F$8&gt;=7,FORSIDE!$B$5&gt;=8),"1494 -&gt; 1725","")</f>
        <v/>
      </c>
      <c r="C5869" t="str">
        <f>FORSIDE!$C$3</f>
        <v>S355, Stål / VFHUP 140x140x8.0</v>
      </c>
    </row>
    <row r="5870" spans="1:3" x14ac:dyDescent="0.3">
      <c r="A5870" t="str">
        <f>IF(AND(FORSIDE!$B$8&gt;=9,FORSIDE!$F$8&gt;=7,FORSIDE!$B$5&gt;=9),"S5869","")</f>
        <v/>
      </c>
      <c r="B5870" t="str">
        <f>IF(AND(FORSIDE!$B$8&gt;=9,FORSIDE!$F$8&gt;=7,FORSIDE!$B$5&gt;=9),"1495 -&gt; 1726","")</f>
        <v/>
      </c>
      <c r="C5870" t="str">
        <f>FORSIDE!$C$3</f>
        <v>S355, Stål / VFHUP 140x140x8.0</v>
      </c>
    </row>
    <row r="5871" spans="1:3" x14ac:dyDescent="0.3">
      <c r="A5871" t="str">
        <f>IF(AND(FORSIDE!$B$8&gt;=9,FORSIDE!$F$8&gt;=7,FORSIDE!$B$5&gt;=10),"S5870","")</f>
        <v/>
      </c>
      <c r="B5871" t="str">
        <f>IF(AND(FORSIDE!$B$8&gt;=9,FORSIDE!$F$8&gt;=7,FORSIDE!$B$5&gt;=10),"1496 -&gt; 1727","")</f>
        <v/>
      </c>
      <c r="C5871" t="str">
        <f>FORSIDE!$C$3</f>
        <v>S355, Stål / VFHUP 140x140x8.0</v>
      </c>
    </row>
    <row r="5872" spans="1:3" x14ac:dyDescent="0.3">
      <c r="A5872" t="str">
        <f>IF(AND(FORSIDE!$B$8&gt;=10,FORSIDE!$F$8&gt;=7,FORSIDE!$B$5&gt;=1),"S5871","")</f>
        <v/>
      </c>
      <c r="B5872" t="str">
        <f>IF(AND(FORSIDE!$B$8&gt;=10,FORSIDE!$F$8&gt;=7,FORSIDE!$B$5&gt;=1),"1498 -&gt; 1729","")</f>
        <v/>
      </c>
      <c r="C5872" t="str">
        <f>FORSIDE!$C$3</f>
        <v>S355, Stål / VFHUP 140x140x8.0</v>
      </c>
    </row>
    <row r="5873" spans="1:3" x14ac:dyDescent="0.3">
      <c r="A5873" t="str">
        <f>IF(AND(FORSIDE!$B$8&gt;=10,FORSIDE!$F$8&gt;=7,FORSIDE!$B$5&gt;=2),"S5872","")</f>
        <v/>
      </c>
      <c r="B5873" t="str">
        <f>IF(AND(FORSIDE!$B$8&gt;=10,FORSIDE!$F$8&gt;=7,FORSIDE!$B$5&gt;=2),"1499 -&gt; 1730","")</f>
        <v/>
      </c>
      <c r="C5873" t="str">
        <f>FORSIDE!$C$3</f>
        <v>S355, Stål / VFHUP 140x140x8.0</v>
      </c>
    </row>
    <row r="5874" spans="1:3" x14ac:dyDescent="0.3">
      <c r="A5874" t="str">
        <f>IF(AND(FORSIDE!$B$8&gt;=10,FORSIDE!$F$8&gt;=7,FORSIDE!$B$5&gt;=3),"S5873","")</f>
        <v/>
      </c>
      <c r="B5874" t="str">
        <f>IF(AND(FORSIDE!$B$8&gt;=10,FORSIDE!$F$8&gt;=7,FORSIDE!$B$5&gt;=3),"1500 -&gt; 1731","")</f>
        <v/>
      </c>
      <c r="C5874" t="str">
        <f>FORSIDE!$C$3</f>
        <v>S355, Stål / VFHUP 140x140x8.0</v>
      </c>
    </row>
    <row r="5875" spans="1:3" x14ac:dyDescent="0.3">
      <c r="A5875" t="str">
        <f>IF(AND(FORSIDE!$B$8&gt;=10,FORSIDE!$F$8&gt;=7,FORSIDE!$B$5&gt;=4),"S5874","")</f>
        <v/>
      </c>
      <c r="B5875" t="str">
        <f>IF(AND(FORSIDE!$B$8&gt;=10,FORSIDE!$F$8&gt;=7,FORSIDE!$B$5&gt;=4),"1501 -&gt; 1732","")</f>
        <v/>
      </c>
      <c r="C5875" t="str">
        <f>FORSIDE!$C$3</f>
        <v>S355, Stål / VFHUP 140x140x8.0</v>
      </c>
    </row>
    <row r="5876" spans="1:3" x14ac:dyDescent="0.3">
      <c r="A5876" t="str">
        <f>IF(AND(FORSIDE!$B$8&gt;=10,FORSIDE!$F$8&gt;=7,FORSIDE!$B$5&gt;=5),"S5875","")</f>
        <v/>
      </c>
      <c r="B5876" t="str">
        <f>IF(AND(FORSIDE!$B$8&gt;=10,FORSIDE!$F$8&gt;=7,FORSIDE!$B$5&gt;=5),"1502 -&gt; 1733","")</f>
        <v/>
      </c>
      <c r="C5876" t="str">
        <f>FORSIDE!$C$3</f>
        <v>S355, Stål / VFHUP 140x140x8.0</v>
      </c>
    </row>
    <row r="5877" spans="1:3" x14ac:dyDescent="0.3">
      <c r="A5877" t="str">
        <f>IF(AND(FORSIDE!$B$8&gt;=10,FORSIDE!$F$8&gt;=7,FORSIDE!$B$5&gt;=6),"S5876","")</f>
        <v/>
      </c>
      <c r="B5877" t="str">
        <f>IF(AND(FORSIDE!$B$8&gt;=10,FORSIDE!$F$8&gt;=7,FORSIDE!$B$5&gt;=6),"1503 -&gt; 1734","")</f>
        <v/>
      </c>
      <c r="C5877" t="str">
        <f>FORSIDE!$C$3</f>
        <v>S355, Stål / VFHUP 140x140x8.0</v>
      </c>
    </row>
    <row r="5878" spans="1:3" x14ac:dyDescent="0.3">
      <c r="A5878" t="str">
        <f>IF(AND(FORSIDE!$B$8&gt;=10,FORSIDE!$F$8&gt;=7,FORSIDE!$B$5&gt;=7),"S5877","")</f>
        <v/>
      </c>
      <c r="B5878" t="str">
        <f>IF(AND(FORSIDE!$B$8&gt;=10,FORSIDE!$F$8&gt;=7,FORSIDE!$B$5&gt;=7),"1504 -&gt; 1735","")</f>
        <v/>
      </c>
      <c r="C5878" t="str">
        <f>FORSIDE!$C$3</f>
        <v>S355, Stål / VFHUP 140x140x8.0</v>
      </c>
    </row>
    <row r="5879" spans="1:3" x14ac:dyDescent="0.3">
      <c r="A5879" t="str">
        <f>IF(AND(FORSIDE!$B$8&gt;=10,FORSIDE!$F$8&gt;=7,FORSIDE!$B$5&gt;=8),"S5878","")</f>
        <v/>
      </c>
      <c r="B5879" t="str">
        <f>IF(AND(FORSIDE!$B$8&gt;=10,FORSIDE!$F$8&gt;=7,FORSIDE!$B$5&gt;=8),"1505 -&gt; 1736","")</f>
        <v/>
      </c>
      <c r="C5879" t="str">
        <f>FORSIDE!$C$3</f>
        <v>S355, Stål / VFHUP 140x140x8.0</v>
      </c>
    </row>
    <row r="5880" spans="1:3" x14ac:dyDescent="0.3">
      <c r="A5880" t="str">
        <f>IF(AND(FORSIDE!$B$8&gt;=10,FORSIDE!$F$8&gt;=7,FORSIDE!$B$5&gt;=9),"S5879","")</f>
        <v/>
      </c>
      <c r="B5880" t="str">
        <f>IF(AND(FORSIDE!$B$8&gt;=10,FORSIDE!$F$8&gt;=7,FORSIDE!$B$5&gt;=9),"1506 -&gt; 1737","")</f>
        <v/>
      </c>
      <c r="C5880" t="str">
        <f>FORSIDE!$C$3</f>
        <v>S355, Stål / VFHUP 140x140x8.0</v>
      </c>
    </row>
    <row r="5881" spans="1:3" x14ac:dyDescent="0.3">
      <c r="A5881" t="str">
        <f>IF(AND(FORSIDE!$B$8&gt;=10,FORSIDE!$F$8&gt;=7,FORSIDE!$B$5&gt;=10),"S5880","")</f>
        <v/>
      </c>
      <c r="B5881" t="str">
        <f>IF(AND(FORSIDE!$B$8&gt;=10,FORSIDE!$F$8&gt;=7,FORSIDE!$B$5&gt;=10),"1507 -&gt; 1738","")</f>
        <v/>
      </c>
      <c r="C5881" t="str">
        <f>FORSIDE!$C$3</f>
        <v>S355, Stål / VFHUP 140x140x8.0</v>
      </c>
    </row>
    <row r="5882" spans="1:3" x14ac:dyDescent="0.3">
      <c r="A5882" t="str">
        <f>IF(AND(FORSIDE!$B$8&gt;=11,FORSIDE!$F$8&gt;=7,FORSIDE!$B$5&gt;=1),"S5881","")</f>
        <v/>
      </c>
      <c r="B5882" t="str">
        <f>IF(AND(FORSIDE!$B$8&gt;=11,FORSIDE!$F$8&gt;=7,FORSIDE!$B$5&gt;=1),"1509 -&gt; 1740","")</f>
        <v/>
      </c>
      <c r="C5882" t="str">
        <f>FORSIDE!$C$3</f>
        <v>S355, Stål / VFHUP 140x140x8.0</v>
      </c>
    </row>
    <row r="5883" spans="1:3" x14ac:dyDescent="0.3">
      <c r="A5883" t="str">
        <f>IF(AND(FORSIDE!$B$8&gt;=11,FORSIDE!$F$8&gt;=7,FORSIDE!$B$5&gt;=2),"S5882","")</f>
        <v/>
      </c>
      <c r="B5883" t="str">
        <f>IF(AND(FORSIDE!$B$8&gt;=11,FORSIDE!$F$8&gt;=7,FORSIDE!$B$5&gt;=2),"1510 -&gt; 1741","")</f>
        <v/>
      </c>
      <c r="C5883" t="str">
        <f>FORSIDE!$C$3</f>
        <v>S355, Stål / VFHUP 140x140x8.0</v>
      </c>
    </row>
    <row r="5884" spans="1:3" x14ac:dyDescent="0.3">
      <c r="A5884" t="str">
        <f>IF(AND(FORSIDE!$B$8&gt;=11,FORSIDE!$F$8&gt;=7,FORSIDE!$B$5&gt;=3),"S5883","")</f>
        <v/>
      </c>
      <c r="B5884" t="str">
        <f>IF(AND(FORSIDE!$B$8&gt;=11,FORSIDE!$F$8&gt;=7,FORSIDE!$B$5&gt;=3),"1511 -&gt; 1742","")</f>
        <v/>
      </c>
      <c r="C5884" t="str">
        <f>FORSIDE!$C$3</f>
        <v>S355, Stål / VFHUP 140x140x8.0</v>
      </c>
    </row>
    <row r="5885" spans="1:3" x14ac:dyDescent="0.3">
      <c r="A5885" t="str">
        <f>IF(AND(FORSIDE!$B$8&gt;=11,FORSIDE!$F$8&gt;=7,FORSIDE!$B$5&gt;=4),"S5884","")</f>
        <v/>
      </c>
      <c r="B5885" t="str">
        <f>IF(AND(FORSIDE!$B$8&gt;=11,FORSIDE!$F$8&gt;=7,FORSIDE!$B$5&gt;=4),"1512 -&gt; 1743","")</f>
        <v/>
      </c>
      <c r="C5885" t="str">
        <f>FORSIDE!$C$3</f>
        <v>S355, Stål / VFHUP 140x140x8.0</v>
      </c>
    </row>
    <row r="5886" spans="1:3" x14ac:dyDescent="0.3">
      <c r="A5886" t="str">
        <f>IF(AND(FORSIDE!$B$8&gt;=11,FORSIDE!$F$8&gt;=7,FORSIDE!$B$5&gt;=5),"S5885","")</f>
        <v/>
      </c>
      <c r="B5886" t="str">
        <f>IF(AND(FORSIDE!$B$8&gt;=11,FORSIDE!$F$8&gt;=7,FORSIDE!$B$5&gt;=5),"1513 -&gt; 1744","")</f>
        <v/>
      </c>
      <c r="C5886" t="str">
        <f>FORSIDE!$C$3</f>
        <v>S355, Stål / VFHUP 140x140x8.0</v>
      </c>
    </row>
    <row r="5887" spans="1:3" x14ac:dyDescent="0.3">
      <c r="A5887" t="str">
        <f>IF(AND(FORSIDE!$B$8&gt;=11,FORSIDE!$F$8&gt;=7,FORSIDE!$B$5&gt;=6),"S5886","")</f>
        <v/>
      </c>
      <c r="B5887" t="str">
        <f>IF(AND(FORSIDE!$B$8&gt;=11,FORSIDE!$F$8&gt;=7,FORSIDE!$B$5&gt;=6),"1514 -&gt; 1745","")</f>
        <v/>
      </c>
      <c r="C5887" t="str">
        <f>FORSIDE!$C$3</f>
        <v>S355, Stål / VFHUP 140x140x8.0</v>
      </c>
    </row>
    <row r="5888" spans="1:3" x14ac:dyDescent="0.3">
      <c r="A5888" t="str">
        <f>IF(AND(FORSIDE!$B$8&gt;=11,FORSIDE!$F$8&gt;=7,FORSIDE!$B$5&gt;=7),"S5887","")</f>
        <v/>
      </c>
      <c r="B5888" t="str">
        <f>IF(AND(FORSIDE!$B$8&gt;=11,FORSIDE!$F$8&gt;=7,FORSIDE!$B$5&gt;=7),"1515 -&gt; 1746","")</f>
        <v/>
      </c>
      <c r="C5888" t="str">
        <f>FORSIDE!$C$3</f>
        <v>S355, Stål / VFHUP 140x140x8.0</v>
      </c>
    </row>
    <row r="5889" spans="1:3" x14ac:dyDescent="0.3">
      <c r="A5889" t="str">
        <f>IF(AND(FORSIDE!$B$8&gt;=11,FORSIDE!$F$8&gt;=7,FORSIDE!$B$5&gt;=8),"S5888","")</f>
        <v/>
      </c>
      <c r="B5889" t="str">
        <f>IF(AND(FORSIDE!$B$8&gt;=11,FORSIDE!$F$8&gt;=7,FORSIDE!$B$5&gt;=8),"1516 -&gt; 1747","")</f>
        <v/>
      </c>
      <c r="C5889" t="str">
        <f>FORSIDE!$C$3</f>
        <v>S355, Stål / VFHUP 140x140x8.0</v>
      </c>
    </row>
    <row r="5890" spans="1:3" x14ac:dyDescent="0.3">
      <c r="A5890" t="str">
        <f>IF(AND(FORSIDE!$B$8&gt;=11,FORSIDE!$F$8&gt;=7,FORSIDE!$B$5&gt;=9),"S5889","")</f>
        <v/>
      </c>
      <c r="B5890" t="str">
        <f>IF(AND(FORSIDE!$B$8&gt;=11,FORSIDE!$F$8&gt;=7,FORSIDE!$B$5&gt;=9),"1517 -&gt; 1748","")</f>
        <v/>
      </c>
      <c r="C5890" t="str">
        <f>FORSIDE!$C$3</f>
        <v>S355, Stål / VFHUP 140x140x8.0</v>
      </c>
    </row>
    <row r="5891" spans="1:3" x14ac:dyDescent="0.3">
      <c r="A5891" t="str">
        <f>IF(AND(FORSIDE!$B$8&gt;=11,FORSIDE!$F$8&gt;=7,FORSIDE!$B$5&gt;=10),"S5890","")</f>
        <v/>
      </c>
      <c r="B5891" t="str">
        <f>IF(AND(FORSIDE!$B$8&gt;=11,FORSIDE!$F$8&gt;=7,FORSIDE!$B$5&gt;=10),"1518 -&gt; 1749","")</f>
        <v/>
      </c>
      <c r="C5891" t="str">
        <f>FORSIDE!$C$3</f>
        <v>S355, Stål / VFHUP 140x140x8.0</v>
      </c>
    </row>
    <row r="5892" spans="1:3" x14ac:dyDescent="0.3">
      <c r="A5892" t="str">
        <f>IF(AND(FORSIDE!$B$8&gt;=12,FORSIDE!$F$8&gt;=7,FORSIDE!$B$5&gt;=1),"S5891","")</f>
        <v/>
      </c>
      <c r="B5892" t="str">
        <f>IF(AND(FORSIDE!$B$8&gt;=12,FORSIDE!$F$8&gt;=7,FORSIDE!$B$5&gt;=1),"1520 -&gt; 1751","")</f>
        <v/>
      </c>
      <c r="C5892" t="str">
        <f>FORSIDE!$C$3</f>
        <v>S355, Stål / VFHUP 140x140x8.0</v>
      </c>
    </row>
    <row r="5893" spans="1:3" x14ac:dyDescent="0.3">
      <c r="A5893" t="str">
        <f>IF(AND(FORSIDE!$B$8&gt;=12,FORSIDE!$F$8&gt;=7,FORSIDE!$B$5&gt;=2),"S5892","")</f>
        <v/>
      </c>
      <c r="B5893" t="str">
        <f>IF(AND(FORSIDE!$B$8&gt;=12,FORSIDE!$F$8&gt;=7,FORSIDE!$B$5&gt;=2),"1521 -&gt; 1752","")</f>
        <v/>
      </c>
      <c r="C5893" t="str">
        <f>FORSIDE!$C$3</f>
        <v>S355, Stål / VFHUP 140x140x8.0</v>
      </c>
    </row>
    <row r="5894" spans="1:3" x14ac:dyDescent="0.3">
      <c r="A5894" t="str">
        <f>IF(AND(FORSIDE!$B$8&gt;=12,FORSIDE!$F$8&gt;=7,FORSIDE!$B$5&gt;=3),"S5893","")</f>
        <v/>
      </c>
      <c r="B5894" t="str">
        <f>IF(AND(FORSIDE!$B$8&gt;=12,FORSIDE!$F$8&gt;=7,FORSIDE!$B$5&gt;=3),"1522 -&gt; 1753","")</f>
        <v/>
      </c>
      <c r="C5894" t="str">
        <f>FORSIDE!$C$3</f>
        <v>S355, Stål / VFHUP 140x140x8.0</v>
      </c>
    </row>
    <row r="5895" spans="1:3" x14ac:dyDescent="0.3">
      <c r="A5895" t="str">
        <f>IF(AND(FORSIDE!$B$8&gt;=12,FORSIDE!$F$8&gt;=7,FORSIDE!$B$5&gt;=4),"S5894","")</f>
        <v/>
      </c>
      <c r="B5895" t="str">
        <f>IF(AND(FORSIDE!$B$8&gt;=12,FORSIDE!$F$8&gt;=7,FORSIDE!$B$5&gt;=4),"1523 -&gt; 1754","")</f>
        <v/>
      </c>
      <c r="C5895" t="str">
        <f>FORSIDE!$C$3</f>
        <v>S355, Stål / VFHUP 140x140x8.0</v>
      </c>
    </row>
    <row r="5896" spans="1:3" x14ac:dyDescent="0.3">
      <c r="A5896" t="str">
        <f>IF(AND(FORSIDE!$B$8&gt;=12,FORSIDE!$F$8&gt;=7,FORSIDE!$B$5&gt;=5),"S5895","")</f>
        <v/>
      </c>
      <c r="B5896" t="str">
        <f>IF(AND(FORSIDE!$B$8&gt;=12,FORSIDE!$F$8&gt;=7,FORSIDE!$B$5&gt;=5),"1524 -&gt; 1755","")</f>
        <v/>
      </c>
      <c r="C5896" t="str">
        <f>FORSIDE!$C$3</f>
        <v>S355, Stål / VFHUP 140x140x8.0</v>
      </c>
    </row>
    <row r="5897" spans="1:3" x14ac:dyDescent="0.3">
      <c r="A5897" t="str">
        <f>IF(AND(FORSIDE!$B$8&gt;=12,FORSIDE!$F$8&gt;=7,FORSIDE!$B$5&gt;=6),"S5896","")</f>
        <v/>
      </c>
      <c r="B5897" t="str">
        <f>IF(AND(FORSIDE!$B$8&gt;=12,FORSIDE!$F$8&gt;=7,FORSIDE!$B$5&gt;=6),"1525 -&gt; 1756","")</f>
        <v/>
      </c>
      <c r="C5897" t="str">
        <f>FORSIDE!$C$3</f>
        <v>S355, Stål / VFHUP 140x140x8.0</v>
      </c>
    </row>
    <row r="5898" spans="1:3" x14ac:dyDescent="0.3">
      <c r="A5898" t="str">
        <f>IF(AND(FORSIDE!$B$8&gt;=12,FORSIDE!$F$8&gt;=7,FORSIDE!$B$5&gt;=7),"S5897","")</f>
        <v/>
      </c>
      <c r="B5898" t="str">
        <f>IF(AND(FORSIDE!$B$8&gt;=12,FORSIDE!$F$8&gt;=7,FORSIDE!$B$5&gt;=7),"1526 -&gt; 1757","")</f>
        <v/>
      </c>
      <c r="C5898" t="str">
        <f>FORSIDE!$C$3</f>
        <v>S355, Stål / VFHUP 140x140x8.0</v>
      </c>
    </row>
    <row r="5899" spans="1:3" x14ac:dyDescent="0.3">
      <c r="A5899" t="str">
        <f>IF(AND(FORSIDE!$B$8&gt;=12,FORSIDE!$F$8&gt;=7,FORSIDE!$B$5&gt;=8),"S5898","")</f>
        <v/>
      </c>
      <c r="B5899" t="str">
        <f>IF(AND(FORSIDE!$B$8&gt;=12,FORSIDE!$F$8&gt;=7,FORSIDE!$B$5&gt;=8),"1527 -&gt; 1758","")</f>
        <v/>
      </c>
      <c r="C5899" t="str">
        <f>FORSIDE!$C$3</f>
        <v>S355, Stål / VFHUP 140x140x8.0</v>
      </c>
    </row>
    <row r="5900" spans="1:3" x14ac:dyDescent="0.3">
      <c r="A5900" t="str">
        <f>IF(AND(FORSIDE!$B$8&gt;=12,FORSIDE!$F$8&gt;=7,FORSIDE!$B$5&gt;=9),"S5899","")</f>
        <v/>
      </c>
      <c r="B5900" t="str">
        <f>IF(AND(FORSIDE!$B$8&gt;=12,FORSIDE!$F$8&gt;=7,FORSIDE!$B$5&gt;=9),"1528 -&gt; 1759","")</f>
        <v/>
      </c>
      <c r="C5900" t="str">
        <f>FORSIDE!$C$3</f>
        <v>S355, Stål / VFHUP 140x140x8.0</v>
      </c>
    </row>
    <row r="5901" spans="1:3" x14ac:dyDescent="0.3">
      <c r="A5901" t="str">
        <f>IF(AND(FORSIDE!$B$8&gt;=12,FORSIDE!$F$8&gt;=7,FORSIDE!$B$5&gt;=10),"S5900","")</f>
        <v/>
      </c>
      <c r="B5901" t="str">
        <f>IF(AND(FORSIDE!$B$8&gt;=12,FORSIDE!$F$8&gt;=7,FORSIDE!$B$5&gt;=10),"1529 -&gt; 1760","")</f>
        <v/>
      </c>
      <c r="C5901" t="str">
        <f>FORSIDE!$C$3</f>
        <v>S355, Stål / VFHUP 140x140x8.0</v>
      </c>
    </row>
    <row r="5902" spans="1:3" x14ac:dyDescent="0.3">
      <c r="A5902" t="str">
        <f>IF(AND(FORSIDE!$B$8&gt;=13,FORSIDE!$F$8&gt;=7,FORSIDE!$B$5&gt;=1),"S5901","")</f>
        <v/>
      </c>
      <c r="B5902" t="str">
        <f>IF(AND(FORSIDE!$B$8&gt;=13,FORSIDE!$F$8&gt;=7,FORSIDE!$B$5&gt;=1),"1531 -&gt; 1762","")</f>
        <v/>
      </c>
      <c r="C5902" t="str">
        <f>FORSIDE!$C$3</f>
        <v>S355, Stål / VFHUP 140x140x8.0</v>
      </c>
    </row>
    <row r="5903" spans="1:3" x14ac:dyDescent="0.3">
      <c r="A5903" t="str">
        <f>IF(AND(FORSIDE!$B$8&gt;=13,FORSIDE!$F$8&gt;=7,FORSIDE!$B$5&gt;=2),"S5902","")</f>
        <v/>
      </c>
      <c r="B5903" t="str">
        <f>IF(AND(FORSIDE!$B$8&gt;=13,FORSIDE!$F$8&gt;=7,FORSIDE!$B$5&gt;=2),"1532 -&gt; 1763","")</f>
        <v/>
      </c>
      <c r="C5903" t="str">
        <f>FORSIDE!$C$3</f>
        <v>S355, Stål / VFHUP 140x140x8.0</v>
      </c>
    </row>
    <row r="5904" spans="1:3" x14ac:dyDescent="0.3">
      <c r="A5904" t="str">
        <f>IF(AND(FORSIDE!$B$8&gt;=13,FORSIDE!$F$8&gt;=7,FORSIDE!$B$5&gt;=3),"S5903","")</f>
        <v/>
      </c>
      <c r="B5904" t="str">
        <f>IF(AND(FORSIDE!$B$8&gt;=13,FORSIDE!$F$8&gt;=7,FORSIDE!$B$5&gt;=3),"1533 -&gt; 1764","")</f>
        <v/>
      </c>
      <c r="C5904" t="str">
        <f>FORSIDE!$C$3</f>
        <v>S355, Stål / VFHUP 140x140x8.0</v>
      </c>
    </row>
    <row r="5905" spans="1:3" x14ac:dyDescent="0.3">
      <c r="A5905" t="str">
        <f>IF(AND(FORSIDE!$B$8&gt;=13,FORSIDE!$F$8&gt;=7,FORSIDE!$B$5&gt;=4),"S5904","")</f>
        <v/>
      </c>
      <c r="B5905" t="str">
        <f>IF(AND(FORSIDE!$B$8&gt;=13,FORSIDE!$F$8&gt;=7,FORSIDE!$B$5&gt;=4),"1534 -&gt; 1765","")</f>
        <v/>
      </c>
      <c r="C5905" t="str">
        <f>FORSIDE!$C$3</f>
        <v>S355, Stål / VFHUP 140x140x8.0</v>
      </c>
    </row>
    <row r="5906" spans="1:3" x14ac:dyDescent="0.3">
      <c r="A5906" t="str">
        <f>IF(AND(FORSIDE!$B$8&gt;=13,FORSIDE!$F$8&gt;=7,FORSIDE!$B$5&gt;=5),"S5905","")</f>
        <v/>
      </c>
      <c r="B5906" t="str">
        <f>IF(AND(FORSIDE!$B$8&gt;=13,FORSIDE!$F$8&gt;=7,FORSIDE!$B$5&gt;=5),"1535 -&gt; 1766","")</f>
        <v/>
      </c>
      <c r="C5906" t="str">
        <f>FORSIDE!$C$3</f>
        <v>S355, Stål / VFHUP 140x140x8.0</v>
      </c>
    </row>
    <row r="5907" spans="1:3" x14ac:dyDescent="0.3">
      <c r="A5907" t="str">
        <f>IF(AND(FORSIDE!$B$8&gt;=13,FORSIDE!$F$8&gt;=7,FORSIDE!$B$5&gt;=6),"S5906","")</f>
        <v/>
      </c>
      <c r="B5907" t="str">
        <f>IF(AND(FORSIDE!$B$8&gt;=13,FORSIDE!$F$8&gt;=7,FORSIDE!$B$5&gt;=6),"1536 -&gt; 1767","")</f>
        <v/>
      </c>
      <c r="C5907" t="str">
        <f>FORSIDE!$C$3</f>
        <v>S355, Stål / VFHUP 140x140x8.0</v>
      </c>
    </row>
    <row r="5908" spans="1:3" x14ac:dyDescent="0.3">
      <c r="A5908" t="str">
        <f>IF(AND(FORSIDE!$B$8&gt;=13,FORSIDE!$F$8&gt;=7,FORSIDE!$B$5&gt;=7),"S5907","")</f>
        <v/>
      </c>
      <c r="B5908" t="str">
        <f>IF(AND(FORSIDE!$B$8&gt;=13,FORSIDE!$F$8&gt;=7,FORSIDE!$B$5&gt;=7),"1537 -&gt; 1768","")</f>
        <v/>
      </c>
      <c r="C5908" t="str">
        <f>FORSIDE!$C$3</f>
        <v>S355, Stål / VFHUP 140x140x8.0</v>
      </c>
    </row>
    <row r="5909" spans="1:3" x14ac:dyDescent="0.3">
      <c r="A5909" t="str">
        <f>IF(AND(FORSIDE!$B$8&gt;=13,FORSIDE!$F$8&gt;=7,FORSIDE!$B$5&gt;=8),"S5908","")</f>
        <v/>
      </c>
      <c r="B5909" t="str">
        <f>IF(AND(FORSIDE!$B$8&gt;=13,FORSIDE!$F$8&gt;=7,FORSIDE!$B$5&gt;=8),"1538 -&gt; 1769","")</f>
        <v/>
      </c>
      <c r="C5909" t="str">
        <f>FORSIDE!$C$3</f>
        <v>S355, Stål / VFHUP 140x140x8.0</v>
      </c>
    </row>
    <row r="5910" spans="1:3" x14ac:dyDescent="0.3">
      <c r="A5910" t="str">
        <f>IF(AND(FORSIDE!$B$8&gt;=13,FORSIDE!$F$8&gt;=7,FORSIDE!$B$5&gt;=9),"S5909","")</f>
        <v/>
      </c>
      <c r="B5910" t="str">
        <f>IF(AND(FORSIDE!$B$8&gt;=13,FORSIDE!$F$8&gt;=7,FORSIDE!$B$5&gt;=9),"1539 -&gt; 1770","")</f>
        <v/>
      </c>
      <c r="C5910" t="str">
        <f>FORSIDE!$C$3</f>
        <v>S355, Stål / VFHUP 140x140x8.0</v>
      </c>
    </row>
    <row r="5911" spans="1:3" x14ac:dyDescent="0.3">
      <c r="A5911" t="str">
        <f>IF(AND(FORSIDE!$B$8&gt;=13,FORSIDE!$F$8&gt;=7,FORSIDE!$B$5&gt;=10),"S5910","")</f>
        <v/>
      </c>
      <c r="B5911" t="str">
        <f>IF(AND(FORSIDE!$B$8&gt;=13,FORSIDE!$F$8&gt;=7,FORSIDE!$B$5&gt;=10),"1540 -&gt; 1771","")</f>
        <v/>
      </c>
      <c r="C5911" t="str">
        <f>FORSIDE!$C$3</f>
        <v>S355, Stål / VFHUP 140x140x8.0</v>
      </c>
    </row>
    <row r="5912" spans="1:3" x14ac:dyDescent="0.3">
      <c r="A5912" t="str">
        <f>IF(AND(FORSIDE!$B$8&gt;=14,FORSIDE!$F$8&gt;=7,FORSIDE!$B$5&gt;=1),"S5911","")</f>
        <v/>
      </c>
      <c r="B5912" t="str">
        <f>IF(AND(FORSIDE!$B$8&gt;=14,FORSIDE!$F$8&gt;=7,FORSIDE!$B$5&gt;=1),"1542 -&gt; 1773","")</f>
        <v/>
      </c>
      <c r="C5912" t="str">
        <f>FORSIDE!$C$3</f>
        <v>S355, Stål / VFHUP 140x140x8.0</v>
      </c>
    </row>
    <row r="5913" spans="1:3" x14ac:dyDescent="0.3">
      <c r="A5913" t="str">
        <f>IF(AND(FORSIDE!$B$8&gt;=14,FORSIDE!$F$8&gt;=7,FORSIDE!$B$5&gt;=2),"S5912","")</f>
        <v/>
      </c>
      <c r="B5913" t="str">
        <f>IF(AND(FORSIDE!$B$8&gt;=14,FORSIDE!$F$8&gt;=7,FORSIDE!$B$5&gt;=2),"1543 -&gt; 1774","")</f>
        <v/>
      </c>
      <c r="C5913" t="str">
        <f>FORSIDE!$C$3</f>
        <v>S355, Stål / VFHUP 140x140x8.0</v>
      </c>
    </row>
    <row r="5914" spans="1:3" x14ac:dyDescent="0.3">
      <c r="A5914" t="str">
        <f>IF(AND(FORSIDE!$B$8&gt;=14,FORSIDE!$F$8&gt;=7,FORSIDE!$B$5&gt;=3),"S5913","")</f>
        <v/>
      </c>
      <c r="B5914" t="str">
        <f>IF(AND(FORSIDE!$B$8&gt;=14,FORSIDE!$F$8&gt;=7,FORSIDE!$B$5&gt;=3),"1544 -&gt; 1775","")</f>
        <v/>
      </c>
      <c r="C5914" t="str">
        <f>FORSIDE!$C$3</f>
        <v>S355, Stål / VFHUP 140x140x8.0</v>
      </c>
    </row>
    <row r="5915" spans="1:3" x14ac:dyDescent="0.3">
      <c r="A5915" t="str">
        <f>IF(AND(FORSIDE!$B$8&gt;=14,FORSIDE!$F$8&gt;=7,FORSIDE!$B$5&gt;=4),"S5914","")</f>
        <v/>
      </c>
      <c r="B5915" t="str">
        <f>IF(AND(FORSIDE!$B$8&gt;=14,FORSIDE!$F$8&gt;=7,FORSIDE!$B$5&gt;=4),"1545 -&gt; 1776","")</f>
        <v/>
      </c>
      <c r="C5915" t="str">
        <f>FORSIDE!$C$3</f>
        <v>S355, Stål / VFHUP 140x140x8.0</v>
      </c>
    </row>
    <row r="5916" spans="1:3" x14ac:dyDescent="0.3">
      <c r="A5916" t="str">
        <f>IF(AND(FORSIDE!$B$8&gt;=14,FORSIDE!$F$8&gt;=7,FORSIDE!$B$5&gt;=5),"S5915","")</f>
        <v/>
      </c>
      <c r="B5916" t="str">
        <f>IF(AND(FORSIDE!$B$8&gt;=14,FORSIDE!$F$8&gt;=7,FORSIDE!$B$5&gt;=5),"1546 -&gt; 1777","")</f>
        <v/>
      </c>
      <c r="C5916" t="str">
        <f>FORSIDE!$C$3</f>
        <v>S355, Stål / VFHUP 140x140x8.0</v>
      </c>
    </row>
    <row r="5917" spans="1:3" x14ac:dyDescent="0.3">
      <c r="A5917" t="str">
        <f>IF(AND(FORSIDE!$B$8&gt;=14,FORSIDE!$F$8&gt;=7,FORSIDE!$B$5&gt;=6),"S5916","")</f>
        <v/>
      </c>
      <c r="B5917" t="str">
        <f>IF(AND(FORSIDE!$B$8&gt;=14,FORSIDE!$F$8&gt;=7,FORSIDE!$B$5&gt;=6),"1547 -&gt; 1778","")</f>
        <v/>
      </c>
      <c r="C5917" t="str">
        <f>FORSIDE!$C$3</f>
        <v>S355, Stål / VFHUP 140x140x8.0</v>
      </c>
    </row>
    <row r="5918" spans="1:3" x14ac:dyDescent="0.3">
      <c r="A5918" t="str">
        <f>IF(AND(FORSIDE!$B$8&gt;=14,FORSIDE!$F$8&gt;=7,FORSIDE!$B$5&gt;=7),"S5917","")</f>
        <v/>
      </c>
      <c r="B5918" t="str">
        <f>IF(AND(FORSIDE!$B$8&gt;=14,FORSIDE!$F$8&gt;=7,FORSIDE!$B$5&gt;=7),"1548 -&gt; 1779","")</f>
        <v/>
      </c>
      <c r="C5918" t="str">
        <f>FORSIDE!$C$3</f>
        <v>S355, Stål / VFHUP 140x140x8.0</v>
      </c>
    </row>
    <row r="5919" spans="1:3" x14ac:dyDescent="0.3">
      <c r="A5919" t="str">
        <f>IF(AND(FORSIDE!$B$8&gt;=14,FORSIDE!$F$8&gt;=7,FORSIDE!$B$5&gt;=8),"S5918","")</f>
        <v/>
      </c>
      <c r="B5919" t="str">
        <f>IF(AND(FORSIDE!$B$8&gt;=14,FORSIDE!$F$8&gt;=7,FORSIDE!$B$5&gt;=8),"1549 -&gt; 1780","")</f>
        <v/>
      </c>
      <c r="C5919" t="str">
        <f>FORSIDE!$C$3</f>
        <v>S355, Stål / VFHUP 140x140x8.0</v>
      </c>
    </row>
    <row r="5920" spans="1:3" x14ac:dyDescent="0.3">
      <c r="A5920" t="str">
        <f>IF(AND(FORSIDE!$B$8&gt;=14,FORSIDE!$F$8&gt;=7,FORSIDE!$B$5&gt;=9),"S5919","")</f>
        <v/>
      </c>
      <c r="B5920" t="str">
        <f>IF(AND(FORSIDE!$B$8&gt;=14,FORSIDE!$F$8&gt;=7,FORSIDE!$B$5&gt;=9),"1550 -&gt; 1781","")</f>
        <v/>
      </c>
      <c r="C5920" t="str">
        <f>FORSIDE!$C$3</f>
        <v>S355, Stål / VFHUP 140x140x8.0</v>
      </c>
    </row>
    <row r="5921" spans="1:3" x14ac:dyDescent="0.3">
      <c r="A5921" t="str">
        <f>IF(AND(FORSIDE!$B$8&gt;=14,FORSIDE!$F$8&gt;=7,FORSIDE!$B$5&gt;=10),"S5920","")</f>
        <v/>
      </c>
      <c r="B5921" t="str">
        <f>IF(AND(FORSIDE!$B$8&gt;=14,FORSIDE!$F$8&gt;=7,FORSIDE!$B$5&gt;=10),"1551 -&gt; 1782","")</f>
        <v/>
      </c>
      <c r="C5921" t="str">
        <f>FORSIDE!$C$3</f>
        <v>S355, Stål / VFHUP 140x140x8.0</v>
      </c>
    </row>
    <row r="5922" spans="1:3" x14ac:dyDescent="0.3">
      <c r="A5922" t="str">
        <f>IF(AND(FORSIDE!$B$8&gt;=15,FORSIDE!$F$8&gt;=7,FORSIDE!$B$5&gt;=1),"S5921","")</f>
        <v/>
      </c>
      <c r="B5922" t="str">
        <f>IF(AND(FORSIDE!$B$8&gt;=15,FORSIDE!$F$8&gt;=7,FORSIDE!$B$5&gt;=1),"1553 -&gt; 1784","")</f>
        <v/>
      </c>
      <c r="C5922" t="str">
        <f>FORSIDE!$C$3</f>
        <v>S355, Stål / VFHUP 140x140x8.0</v>
      </c>
    </row>
    <row r="5923" spans="1:3" x14ac:dyDescent="0.3">
      <c r="A5923" t="str">
        <f>IF(AND(FORSIDE!$B$8&gt;=15,FORSIDE!$F$8&gt;=7,FORSIDE!$B$5&gt;=2),"S5922","")</f>
        <v/>
      </c>
      <c r="B5923" t="str">
        <f>IF(AND(FORSIDE!$B$8&gt;=15,FORSIDE!$F$8&gt;=7,FORSIDE!$B$5&gt;=2),"1554 -&gt; 1785","")</f>
        <v/>
      </c>
      <c r="C5923" t="str">
        <f>FORSIDE!$C$3</f>
        <v>S355, Stål / VFHUP 140x140x8.0</v>
      </c>
    </row>
    <row r="5924" spans="1:3" x14ac:dyDescent="0.3">
      <c r="A5924" t="str">
        <f>IF(AND(FORSIDE!$B$8&gt;=15,FORSIDE!$F$8&gt;=7,FORSIDE!$B$5&gt;=3),"S5923","")</f>
        <v/>
      </c>
      <c r="B5924" t="str">
        <f>IF(AND(FORSIDE!$B$8&gt;=15,FORSIDE!$F$8&gt;=7,FORSIDE!$B$5&gt;=3),"1555 -&gt; 1786","")</f>
        <v/>
      </c>
      <c r="C5924" t="str">
        <f>FORSIDE!$C$3</f>
        <v>S355, Stål / VFHUP 140x140x8.0</v>
      </c>
    </row>
    <row r="5925" spans="1:3" x14ac:dyDescent="0.3">
      <c r="A5925" t="str">
        <f>IF(AND(FORSIDE!$B$8&gt;=15,FORSIDE!$F$8&gt;=7,FORSIDE!$B$5&gt;=4),"S5924","")</f>
        <v/>
      </c>
      <c r="B5925" t="str">
        <f>IF(AND(FORSIDE!$B$8&gt;=15,FORSIDE!$F$8&gt;=7,FORSIDE!$B$5&gt;=4),"1556 -&gt; 1787","")</f>
        <v/>
      </c>
      <c r="C5925" t="str">
        <f>FORSIDE!$C$3</f>
        <v>S355, Stål / VFHUP 140x140x8.0</v>
      </c>
    </row>
    <row r="5926" spans="1:3" x14ac:dyDescent="0.3">
      <c r="A5926" t="str">
        <f>IF(AND(FORSIDE!$B$8&gt;=15,FORSIDE!$F$8&gt;=7,FORSIDE!$B$5&gt;=5),"S5925","")</f>
        <v/>
      </c>
      <c r="B5926" t="str">
        <f>IF(AND(FORSIDE!$B$8&gt;=15,FORSIDE!$F$8&gt;=7,FORSIDE!$B$5&gt;=5),"1557 -&gt; 1788","")</f>
        <v/>
      </c>
      <c r="C5926" t="str">
        <f>FORSIDE!$C$3</f>
        <v>S355, Stål / VFHUP 140x140x8.0</v>
      </c>
    </row>
    <row r="5927" spans="1:3" x14ac:dyDescent="0.3">
      <c r="A5927" t="str">
        <f>IF(AND(FORSIDE!$B$8&gt;=15,FORSIDE!$F$8&gt;=7,FORSIDE!$B$5&gt;=6),"S5926","")</f>
        <v/>
      </c>
      <c r="B5927" t="str">
        <f>IF(AND(FORSIDE!$B$8&gt;=15,FORSIDE!$F$8&gt;=7,FORSIDE!$B$5&gt;=6),"1558 -&gt; 1789","")</f>
        <v/>
      </c>
      <c r="C5927" t="str">
        <f>FORSIDE!$C$3</f>
        <v>S355, Stål / VFHUP 140x140x8.0</v>
      </c>
    </row>
    <row r="5928" spans="1:3" x14ac:dyDescent="0.3">
      <c r="A5928" t="str">
        <f>IF(AND(FORSIDE!$B$8&gt;=15,FORSIDE!$F$8&gt;=7,FORSIDE!$B$5&gt;=7),"S5927","")</f>
        <v/>
      </c>
      <c r="B5928" t="str">
        <f>IF(AND(FORSIDE!$B$8&gt;=15,FORSIDE!$F$8&gt;=7,FORSIDE!$B$5&gt;=7),"1559 -&gt; 1790","")</f>
        <v/>
      </c>
      <c r="C5928" t="str">
        <f>FORSIDE!$C$3</f>
        <v>S355, Stål / VFHUP 140x140x8.0</v>
      </c>
    </row>
    <row r="5929" spans="1:3" x14ac:dyDescent="0.3">
      <c r="A5929" t="str">
        <f>IF(AND(FORSIDE!$B$8&gt;=15,FORSIDE!$F$8&gt;=7,FORSIDE!$B$5&gt;=8),"S5928","")</f>
        <v/>
      </c>
      <c r="B5929" t="str">
        <f>IF(AND(FORSIDE!$B$8&gt;=15,FORSIDE!$F$8&gt;=7,FORSIDE!$B$5&gt;=8),"1560 -&gt; 1791","")</f>
        <v/>
      </c>
      <c r="C5929" t="str">
        <f>FORSIDE!$C$3</f>
        <v>S355, Stål / VFHUP 140x140x8.0</v>
      </c>
    </row>
    <row r="5930" spans="1:3" x14ac:dyDescent="0.3">
      <c r="A5930" t="str">
        <f>IF(AND(FORSIDE!$B$8&gt;=15,FORSIDE!$F$8&gt;=7,FORSIDE!$B$5&gt;=9),"S5929","")</f>
        <v/>
      </c>
      <c r="B5930" t="str">
        <f>IF(AND(FORSIDE!$B$8&gt;=15,FORSIDE!$F$8&gt;=7,FORSIDE!$B$5&gt;=9),"1561 -&gt; 1792","")</f>
        <v/>
      </c>
      <c r="C5930" t="str">
        <f>FORSIDE!$C$3</f>
        <v>S355, Stål / VFHUP 140x140x8.0</v>
      </c>
    </row>
    <row r="5931" spans="1:3" x14ac:dyDescent="0.3">
      <c r="A5931" t="str">
        <f>IF(AND(FORSIDE!$B$8&gt;=15,FORSIDE!$F$8&gt;=7,FORSIDE!$B$5&gt;=10),"S5930","")</f>
        <v/>
      </c>
      <c r="B5931" t="str">
        <f>IF(AND(FORSIDE!$B$8&gt;=15,FORSIDE!$F$8&gt;=7,FORSIDE!$B$5&gt;=10),"1562 -&gt; 1793","")</f>
        <v/>
      </c>
      <c r="C5931" t="str">
        <f>FORSIDE!$C$3</f>
        <v>S355, Stål / VFHUP 140x140x8.0</v>
      </c>
    </row>
    <row r="5932" spans="1:3" x14ac:dyDescent="0.3">
      <c r="A5932" t="str">
        <f>IF(AND(FORSIDE!$B$8&gt;=16,FORSIDE!$F$8&gt;=7,FORSIDE!$B$5&gt;=1),"S5931","")</f>
        <v/>
      </c>
      <c r="B5932" t="str">
        <f>IF(AND(FORSIDE!$B$8&gt;=16,FORSIDE!$F$8&gt;=7,FORSIDE!$B$5&gt;=1),"1564 -&gt; 1795","")</f>
        <v/>
      </c>
      <c r="C5932" t="str">
        <f>FORSIDE!$C$3</f>
        <v>S355, Stål / VFHUP 140x140x8.0</v>
      </c>
    </row>
    <row r="5933" spans="1:3" x14ac:dyDescent="0.3">
      <c r="A5933" t="str">
        <f>IF(AND(FORSIDE!$B$8&gt;=16,FORSIDE!$F$8&gt;=7,FORSIDE!$B$5&gt;=2),"S5932","")</f>
        <v/>
      </c>
      <c r="B5933" t="str">
        <f>IF(AND(FORSIDE!$B$8&gt;=16,FORSIDE!$F$8&gt;=7,FORSIDE!$B$5&gt;=2),"1565 -&gt; 1796","")</f>
        <v/>
      </c>
      <c r="C5933" t="str">
        <f>FORSIDE!$C$3</f>
        <v>S355, Stål / VFHUP 140x140x8.0</v>
      </c>
    </row>
    <row r="5934" spans="1:3" x14ac:dyDescent="0.3">
      <c r="A5934" t="str">
        <f>IF(AND(FORSIDE!$B$8&gt;=16,FORSIDE!$F$8&gt;=7,FORSIDE!$B$5&gt;=3),"S5933","")</f>
        <v/>
      </c>
      <c r="B5934" t="str">
        <f>IF(AND(FORSIDE!$B$8&gt;=16,FORSIDE!$F$8&gt;=7,FORSIDE!$B$5&gt;=3),"1566 -&gt; 1797","")</f>
        <v/>
      </c>
      <c r="C5934" t="str">
        <f>FORSIDE!$C$3</f>
        <v>S355, Stål / VFHUP 140x140x8.0</v>
      </c>
    </row>
    <row r="5935" spans="1:3" x14ac:dyDescent="0.3">
      <c r="A5935" t="str">
        <f>IF(AND(FORSIDE!$B$8&gt;=16,FORSIDE!$F$8&gt;=7,FORSIDE!$B$5&gt;=4),"S5934","")</f>
        <v/>
      </c>
      <c r="B5935" t="str">
        <f>IF(AND(FORSIDE!$B$8&gt;=16,FORSIDE!$F$8&gt;=7,FORSIDE!$B$5&gt;=4),"1567 -&gt; 1798","")</f>
        <v/>
      </c>
      <c r="C5935" t="str">
        <f>FORSIDE!$C$3</f>
        <v>S355, Stål / VFHUP 140x140x8.0</v>
      </c>
    </row>
    <row r="5936" spans="1:3" x14ac:dyDescent="0.3">
      <c r="A5936" t="str">
        <f>IF(AND(FORSIDE!$B$8&gt;=16,FORSIDE!$F$8&gt;=7,FORSIDE!$B$5&gt;=5),"S5935","")</f>
        <v/>
      </c>
      <c r="B5936" t="str">
        <f>IF(AND(FORSIDE!$B$8&gt;=16,FORSIDE!$F$8&gt;=7,FORSIDE!$B$5&gt;=5),"1568 -&gt; 1799","")</f>
        <v/>
      </c>
      <c r="C5936" t="str">
        <f>FORSIDE!$C$3</f>
        <v>S355, Stål / VFHUP 140x140x8.0</v>
      </c>
    </row>
    <row r="5937" spans="1:3" x14ac:dyDescent="0.3">
      <c r="A5937" t="str">
        <f>IF(AND(FORSIDE!$B$8&gt;=16,FORSIDE!$F$8&gt;=7,FORSIDE!$B$5&gt;=6),"S5936","")</f>
        <v/>
      </c>
      <c r="B5937" t="str">
        <f>IF(AND(FORSIDE!$B$8&gt;=16,FORSIDE!$F$8&gt;=7,FORSIDE!$B$5&gt;=6),"1569 -&gt; 1800","")</f>
        <v/>
      </c>
      <c r="C5937" t="str">
        <f>FORSIDE!$C$3</f>
        <v>S355, Stål / VFHUP 140x140x8.0</v>
      </c>
    </row>
    <row r="5938" spans="1:3" x14ac:dyDescent="0.3">
      <c r="A5938" t="str">
        <f>IF(AND(FORSIDE!$B$8&gt;=16,FORSIDE!$F$8&gt;=7,FORSIDE!$B$5&gt;=7),"S5937","")</f>
        <v/>
      </c>
      <c r="B5938" t="str">
        <f>IF(AND(FORSIDE!$B$8&gt;=16,FORSIDE!$F$8&gt;=7,FORSIDE!$B$5&gt;=7),"1570 -&gt; 1801","")</f>
        <v/>
      </c>
      <c r="C5938" t="str">
        <f>FORSIDE!$C$3</f>
        <v>S355, Stål / VFHUP 140x140x8.0</v>
      </c>
    </row>
    <row r="5939" spans="1:3" x14ac:dyDescent="0.3">
      <c r="A5939" t="str">
        <f>IF(AND(FORSIDE!$B$8&gt;=16,FORSIDE!$F$8&gt;=7,FORSIDE!$B$5&gt;=8),"S5938","")</f>
        <v/>
      </c>
      <c r="B5939" t="str">
        <f>IF(AND(FORSIDE!$B$8&gt;=16,FORSIDE!$F$8&gt;=7,FORSIDE!$B$5&gt;=8),"1571 -&gt; 1802","")</f>
        <v/>
      </c>
      <c r="C5939" t="str">
        <f>FORSIDE!$C$3</f>
        <v>S355, Stål / VFHUP 140x140x8.0</v>
      </c>
    </row>
    <row r="5940" spans="1:3" x14ac:dyDescent="0.3">
      <c r="A5940" t="str">
        <f>IF(AND(FORSIDE!$B$8&gt;=16,FORSIDE!$F$8&gt;=7,FORSIDE!$B$5&gt;=9),"S5939","")</f>
        <v/>
      </c>
      <c r="B5940" t="str">
        <f>IF(AND(FORSIDE!$B$8&gt;=16,FORSIDE!$F$8&gt;=7,FORSIDE!$B$5&gt;=9),"1572 -&gt; 1803","")</f>
        <v/>
      </c>
      <c r="C5940" t="str">
        <f>FORSIDE!$C$3</f>
        <v>S355, Stål / VFHUP 140x140x8.0</v>
      </c>
    </row>
    <row r="5941" spans="1:3" x14ac:dyDescent="0.3">
      <c r="A5941" t="str">
        <f>IF(AND(FORSIDE!$B$8&gt;=16,FORSIDE!$F$8&gt;=7,FORSIDE!$B$5&gt;=10),"S5940","")</f>
        <v/>
      </c>
      <c r="B5941" t="str">
        <f>IF(AND(FORSIDE!$B$8&gt;=16,FORSIDE!$F$8&gt;=7,FORSIDE!$B$5&gt;=10),"1573 -&gt; 1804","")</f>
        <v/>
      </c>
      <c r="C5941" t="str">
        <f>FORSIDE!$C$3</f>
        <v>S355, Stål / VFHUP 140x140x8.0</v>
      </c>
    </row>
    <row r="5942" spans="1:3" x14ac:dyDescent="0.3">
      <c r="A5942" t="str">
        <f>IF(AND(FORSIDE!$B$8&gt;=17,FORSIDE!$F$8&gt;=7,FORSIDE!$B$5&gt;=1),"S5941","")</f>
        <v/>
      </c>
      <c r="B5942" t="str">
        <f>IF(AND(FORSIDE!$B$8&gt;=17,FORSIDE!$F$8&gt;=7,FORSIDE!$B$5&gt;=1),"1575 -&gt; 1806","")</f>
        <v/>
      </c>
      <c r="C5942" t="str">
        <f>FORSIDE!$C$3</f>
        <v>S355, Stål / VFHUP 140x140x8.0</v>
      </c>
    </row>
    <row r="5943" spans="1:3" x14ac:dyDescent="0.3">
      <c r="A5943" t="str">
        <f>IF(AND(FORSIDE!$B$8&gt;=17,FORSIDE!$F$8&gt;=7,FORSIDE!$B$5&gt;=2),"S5942","")</f>
        <v/>
      </c>
      <c r="B5943" t="str">
        <f>IF(AND(FORSIDE!$B$8&gt;=17,FORSIDE!$F$8&gt;=7,FORSIDE!$B$5&gt;=2),"1576 -&gt; 1807","")</f>
        <v/>
      </c>
      <c r="C5943" t="str">
        <f>FORSIDE!$C$3</f>
        <v>S355, Stål / VFHUP 140x140x8.0</v>
      </c>
    </row>
    <row r="5944" spans="1:3" x14ac:dyDescent="0.3">
      <c r="A5944" t="str">
        <f>IF(AND(FORSIDE!$B$8&gt;=17,FORSIDE!$F$8&gt;=7,FORSIDE!$B$5&gt;=3),"S5943","")</f>
        <v/>
      </c>
      <c r="B5944" t="str">
        <f>IF(AND(FORSIDE!$B$8&gt;=17,FORSIDE!$F$8&gt;=7,FORSIDE!$B$5&gt;=3),"1577 -&gt; 1808","")</f>
        <v/>
      </c>
      <c r="C5944" t="str">
        <f>FORSIDE!$C$3</f>
        <v>S355, Stål / VFHUP 140x140x8.0</v>
      </c>
    </row>
    <row r="5945" spans="1:3" x14ac:dyDescent="0.3">
      <c r="A5945" t="str">
        <f>IF(AND(FORSIDE!$B$8&gt;=17,FORSIDE!$F$8&gt;=7,FORSIDE!$B$5&gt;=4),"S5944","")</f>
        <v/>
      </c>
      <c r="B5945" t="str">
        <f>IF(AND(FORSIDE!$B$8&gt;=17,FORSIDE!$F$8&gt;=7,FORSIDE!$B$5&gt;=4),"1578 -&gt; 1809","")</f>
        <v/>
      </c>
      <c r="C5945" t="str">
        <f>FORSIDE!$C$3</f>
        <v>S355, Stål / VFHUP 140x140x8.0</v>
      </c>
    </row>
    <row r="5946" spans="1:3" x14ac:dyDescent="0.3">
      <c r="A5946" t="str">
        <f>IF(AND(FORSIDE!$B$8&gt;=17,FORSIDE!$F$8&gt;=7,FORSIDE!$B$5&gt;=5),"S5945","")</f>
        <v/>
      </c>
      <c r="B5946" t="str">
        <f>IF(AND(FORSIDE!$B$8&gt;=17,FORSIDE!$F$8&gt;=7,FORSIDE!$B$5&gt;=5),"1579 -&gt; 1810","")</f>
        <v/>
      </c>
      <c r="C5946" t="str">
        <f>FORSIDE!$C$3</f>
        <v>S355, Stål / VFHUP 140x140x8.0</v>
      </c>
    </row>
    <row r="5947" spans="1:3" x14ac:dyDescent="0.3">
      <c r="A5947" t="str">
        <f>IF(AND(FORSIDE!$B$8&gt;=17,FORSIDE!$F$8&gt;=7,FORSIDE!$B$5&gt;=6),"S5946","")</f>
        <v/>
      </c>
      <c r="B5947" t="str">
        <f>IF(AND(FORSIDE!$B$8&gt;=17,FORSIDE!$F$8&gt;=7,FORSIDE!$B$5&gt;=6),"1580 -&gt; 1811","")</f>
        <v/>
      </c>
      <c r="C5947" t="str">
        <f>FORSIDE!$C$3</f>
        <v>S355, Stål / VFHUP 140x140x8.0</v>
      </c>
    </row>
    <row r="5948" spans="1:3" x14ac:dyDescent="0.3">
      <c r="A5948" t="str">
        <f>IF(AND(FORSIDE!$B$8&gt;=17,FORSIDE!$F$8&gt;=7,FORSIDE!$B$5&gt;=7),"S5947","")</f>
        <v/>
      </c>
      <c r="B5948" t="str">
        <f>IF(AND(FORSIDE!$B$8&gt;=17,FORSIDE!$F$8&gt;=7,FORSIDE!$B$5&gt;=7),"1581 -&gt; 1812","")</f>
        <v/>
      </c>
      <c r="C5948" t="str">
        <f>FORSIDE!$C$3</f>
        <v>S355, Stål / VFHUP 140x140x8.0</v>
      </c>
    </row>
    <row r="5949" spans="1:3" x14ac:dyDescent="0.3">
      <c r="A5949" t="str">
        <f>IF(AND(FORSIDE!$B$8&gt;=17,FORSIDE!$F$8&gt;=7,FORSIDE!$B$5&gt;=8),"S5948","")</f>
        <v/>
      </c>
      <c r="B5949" t="str">
        <f>IF(AND(FORSIDE!$B$8&gt;=17,FORSIDE!$F$8&gt;=7,FORSIDE!$B$5&gt;=8),"1582 -&gt; 1813","")</f>
        <v/>
      </c>
      <c r="C5949" t="str">
        <f>FORSIDE!$C$3</f>
        <v>S355, Stål / VFHUP 140x140x8.0</v>
      </c>
    </row>
    <row r="5950" spans="1:3" x14ac:dyDescent="0.3">
      <c r="A5950" t="str">
        <f>IF(AND(FORSIDE!$B$8&gt;=17,FORSIDE!$F$8&gt;=7,FORSIDE!$B$5&gt;=9),"S5949","")</f>
        <v/>
      </c>
      <c r="B5950" t="str">
        <f>IF(AND(FORSIDE!$B$8&gt;=17,FORSIDE!$F$8&gt;=7,FORSIDE!$B$5&gt;=9),"1583 -&gt; 1814","")</f>
        <v/>
      </c>
      <c r="C5950" t="str">
        <f>FORSIDE!$C$3</f>
        <v>S355, Stål / VFHUP 140x140x8.0</v>
      </c>
    </row>
    <row r="5951" spans="1:3" x14ac:dyDescent="0.3">
      <c r="A5951" t="str">
        <f>IF(AND(FORSIDE!$B$8&gt;=17,FORSIDE!$F$8&gt;=7,FORSIDE!$B$5&gt;=10),"S5950","")</f>
        <v/>
      </c>
      <c r="B5951" t="str">
        <f>IF(AND(FORSIDE!$B$8&gt;=17,FORSIDE!$F$8&gt;=7,FORSIDE!$B$5&gt;=10),"1584 -&gt; 1815","")</f>
        <v/>
      </c>
      <c r="C5951" t="str">
        <f>FORSIDE!$C$3</f>
        <v>S355, Stål / VFHUP 140x140x8.0</v>
      </c>
    </row>
    <row r="5952" spans="1:3" x14ac:dyDescent="0.3">
      <c r="A5952" t="str">
        <f>IF(AND(FORSIDE!$B$8&gt;=18,FORSIDE!$F$8&gt;=7,FORSIDE!$B$5&gt;=1),"S5951","")</f>
        <v/>
      </c>
      <c r="B5952" t="str">
        <f>IF(AND(FORSIDE!$B$8&gt;=18,FORSIDE!$F$8&gt;=7,FORSIDE!$B$5&gt;=1),"1586 -&gt; 1817","")</f>
        <v/>
      </c>
      <c r="C5952" t="str">
        <f>FORSIDE!$C$3</f>
        <v>S355, Stål / VFHUP 140x140x8.0</v>
      </c>
    </row>
    <row r="5953" spans="1:3" x14ac:dyDescent="0.3">
      <c r="A5953" t="str">
        <f>IF(AND(FORSIDE!$B$8&gt;=18,FORSIDE!$F$8&gt;=7,FORSIDE!$B$5&gt;=2),"S5952","")</f>
        <v/>
      </c>
      <c r="B5953" t="str">
        <f>IF(AND(FORSIDE!$B$8&gt;=18,FORSIDE!$F$8&gt;=7,FORSIDE!$B$5&gt;=2),"1587 -&gt; 1818","")</f>
        <v/>
      </c>
      <c r="C5953" t="str">
        <f>FORSIDE!$C$3</f>
        <v>S355, Stål / VFHUP 140x140x8.0</v>
      </c>
    </row>
    <row r="5954" spans="1:3" x14ac:dyDescent="0.3">
      <c r="A5954" t="str">
        <f>IF(AND(FORSIDE!$B$8&gt;=18,FORSIDE!$F$8&gt;=7,FORSIDE!$B$5&gt;=3),"S5953","")</f>
        <v/>
      </c>
      <c r="B5954" t="str">
        <f>IF(AND(FORSIDE!$B$8&gt;=18,FORSIDE!$F$8&gt;=7,FORSIDE!$B$5&gt;=3),"1588 -&gt; 1819","")</f>
        <v/>
      </c>
      <c r="C5954" t="str">
        <f>FORSIDE!$C$3</f>
        <v>S355, Stål / VFHUP 140x140x8.0</v>
      </c>
    </row>
    <row r="5955" spans="1:3" x14ac:dyDescent="0.3">
      <c r="A5955" t="str">
        <f>IF(AND(FORSIDE!$B$8&gt;=18,FORSIDE!$F$8&gt;=7,FORSIDE!$B$5&gt;=4),"S5954","")</f>
        <v/>
      </c>
      <c r="B5955" t="str">
        <f>IF(AND(FORSIDE!$B$8&gt;=18,FORSIDE!$F$8&gt;=7,FORSIDE!$B$5&gt;=4),"1589 -&gt; 1820","")</f>
        <v/>
      </c>
      <c r="C5955" t="str">
        <f>FORSIDE!$C$3</f>
        <v>S355, Stål / VFHUP 140x140x8.0</v>
      </c>
    </row>
    <row r="5956" spans="1:3" x14ac:dyDescent="0.3">
      <c r="A5956" t="str">
        <f>IF(AND(FORSIDE!$B$8&gt;=18,FORSIDE!$F$8&gt;=7,FORSIDE!$B$5&gt;=5),"S5955","")</f>
        <v/>
      </c>
      <c r="B5956" t="str">
        <f>IF(AND(FORSIDE!$B$8&gt;=18,FORSIDE!$F$8&gt;=7,FORSIDE!$B$5&gt;=5),"1590 -&gt; 1821","")</f>
        <v/>
      </c>
      <c r="C5956" t="str">
        <f>FORSIDE!$C$3</f>
        <v>S355, Stål / VFHUP 140x140x8.0</v>
      </c>
    </row>
    <row r="5957" spans="1:3" x14ac:dyDescent="0.3">
      <c r="A5957" t="str">
        <f>IF(AND(FORSIDE!$B$8&gt;=18,FORSIDE!$F$8&gt;=7,FORSIDE!$B$5&gt;=6),"S5956","")</f>
        <v/>
      </c>
      <c r="B5957" t="str">
        <f>IF(AND(FORSIDE!$B$8&gt;=18,FORSIDE!$F$8&gt;=7,FORSIDE!$B$5&gt;=6),"1591 -&gt; 1822","")</f>
        <v/>
      </c>
      <c r="C5957" t="str">
        <f>FORSIDE!$C$3</f>
        <v>S355, Stål / VFHUP 140x140x8.0</v>
      </c>
    </row>
    <row r="5958" spans="1:3" x14ac:dyDescent="0.3">
      <c r="A5958" t="str">
        <f>IF(AND(FORSIDE!$B$8&gt;=18,FORSIDE!$F$8&gt;=7,FORSIDE!$B$5&gt;=7),"S5957","")</f>
        <v/>
      </c>
      <c r="B5958" t="str">
        <f>IF(AND(FORSIDE!$B$8&gt;=18,FORSIDE!$F$8&gt;=7,FORSIDE!$B$5&gt;=7),"1592 -&gt; 1823","")</f>
        <v/>
      </c>
      <c r="C5958" t="str">
        <f>FORSIDE!$C$3</f>
        <v>S355, Stål / VFHUP 140x140x8.0</v>
      </c>
    </row>
    <row r="5959" spans="1:3" x14ac:dyDescent="0.3">
      <c r="A5959" t="str">
        <f>IF(AND(FORSIDE!$B$8&gt;=18,FORSIDE!$F$8&gt;=7,FORSIDE!$B$5&gt;=8),"S5958","")</f>
        <v/>
      </c>
      <c r="B5959" t="str">
        <f>IF(AND(FORSIDE!$B$8&gt;=18,FORSIDE!$F$8&gt;=7,FORSIDE!$B$5&gt;=8),"1593 -&gt; 1824","")</f>
        <v/>
      </c>
      <c r="C5959" t="str">
        <f>FORSIDE!$C$3</f>
        <v>S355, Stål / VFHUP 140x140x8.0</v>
      </c>
    </row>
    <row r="5960" spans="1:3" x14ac:dyDescent="0.3">
      <c r="A5960" t="str">
        <f>IF(AND(FORSIDE!$B$8&gt;=18,FORSIDE!$F$8&gt;=7,FORSIDE!$B$5&gt;=9),"S5959","")</f>
        <v/>
      </c>
      <c r="B5960" t="str">
        <f>IF(AND(FORSIDE!$B$8&gt;=18,FORSIDE!$F$8&gt;=7,FORSIDE!$B$5&gt;=9),"1594 -&gt; 1825","")</f>
        <v/>
      </c>
      <c r="C5960" t="str">
        <f>FORSIDE!$C$3</f>
        <v>S355, Stål / VFHUP 140x140x8.0</v>
      </c>
    </row>
    <row r="5961" spans="1:3" x14ac:dyDescent="0.3">
      <c r="A5961" t="str">
        <f>IF(AND(FORSIDE!$B$8&gt;=18,FORSIDE!$F$8&gt;=7,FORSIDE!$B$5&gt;=10),"S5960","")</f>
        <v/>
      </c>
      <c r="B5961" t="str">
        <f>IF(AND(FORSIDE!$B$8&gt;=18,FORSIDE!$F$8&gt;=7,FORSIDE!$B$5&gt;=10),"1595 -&gt; 1826","")</f>
        <v/>
      </c>
      <c r="C5961" t="str">
        <f>FORSIDE!$C$3</f>
        <v>S355, Stål / VFHUP 140x140x8.0</v>
      </c>
    </row>
    <row r="5962" spans="1:3" x14ac:dyDescent="0.3">
      <c r="A5962" t="str">
        <f>IF(AND(FORSIDE!$B$8&gt;=19,FORSIDE!$F$8&gt;=7,FORSIDE!$B$5&gt;=1),"S5961","")</f>
        <v/>
      </c>
      <c r="B5962" t="str">
        <f>IF(AND(FORSIDE!$B$8&gt;=19,FORSIDE!$F$8&gt;=7,FORSIDE!$B$5&gt;=1),"1597 -&gt; 1828","")</f>
        <v/>
      </c>
      <c r="C5962" t="str">
        <f>FORSIDE!$C$3</f>
        <v>S355, Stål / VFHUP 140x140x8.0</v>
      </c>
    </row>
    <row r="5963" spans="1:3" x14ac:dyDescent="0.3">
      <c r="A5963" t="str">
        <f>IF(AND(FORSIDE!$B$8&gt;=19,FORSIDE!$F$8&gt;=7,FORSIDE!$B$5&gt;=2),"S5962","")</f>
        <v/>
      </c>
      <c r="B5963" t="str">
        <f>IF(AND(FORSIDE!$B$8&gt;=19,FORSIDE!$F$8&gt;=7,FORSIDE!$B$5&gt;=2),"1598 -&gt; 1829","")</f>
        <v/>
      </c>
      <c r="C5963" t="str">
        <f>FORSIDE!$C$3</f>
        <v>S355, Stål / VFHUP 140x140x8.0</v>
      </c>
    </row>
    <row r="5964" spans="1:3" x14ac:dyDescent="0.3">
      <c r="A5964" t="str">
        <f>IF(AND(FORSIDE!$B$8&gt;=19,FORSIDE!$F$8&gt;=7,FORSIDE!$B$5&gt;=3),"S5963","")</f>
        <v/>
      </c>
      <c r="B5964" t="str">
        <f>IF(AND(FORSIDE!$B$8&gt;=19,FORSIDE!$F$8&gt;=7,FORSIDE!$B$5&gt;=3),"1599 -&gt; 1830","")</f>
        <v/>
      </c>
      <c r="C5964" t="str">
        <f>FORSIDE!$C$3</f>
        <v>S355, Stål / VFHUP 140x140x8.0</v>
      </c>
    </row>
    <row r="5965" spans="1:3" x14ac:dyDescent="0.3">
      <c r="A5965" t="str">
        <f>IF(AND(FORSIDE!$B$8&gt;=19,FORSIDE!$F$8&gt;=7,FORSIDE!$B$5&gt;=4),"S5964","")</f>
        <v/>
      </c>
      <c r="B5965" t="str">
        <f>IF(AND(FORSIDE!$B$8&gt;=19,FORSIDE!$F$8&gt;=7,FORSIDE!$B$5&gt;=4),"1600 -&gt; 1831","")</f>
        <v/>
      </c>
      <c r="C5965" t="str">
        <f>FORSIDE!$C$3</f>
        <v>S355, Stål / VFHUP 140x140x8.0</v>
      </c>
    </row>
    <row r="5966" spans="1:3" x14ac:dyDescent="0.3">
      <c r="A5966" t="str">
        <f>IF(AND(FORSIDE!$B$8&gt;=19,FORSIDE!$F$8&gt;=7,FORSIDE!$B$5&gt;=5),"S5965","")</f>
        <v/>
      </c>
      <c r="B5966" t="str">
        <f>IF(AND(FORSIDE!$B$8&gt;=19,FORSIDE!$F$8&gt;=7,FORSIDE!$B$5&gt;=5),"1601 -&gt; 1832","")</f>
        <v/>
      </c>
      <c r="C5966" t="str">
        <f>FORSIDE!$C$3</f>
        <v>S355, Stål / VFHUP 140x140x8.0</v>
      </c>
    </row>
    <row r="5967" spans="1:3" x14ac:dyDescent="0.3">
      <c r="A5967" t="str">
        <f>IF(AND(FORSIDE!$B$8&gt;=19,FORSIDE!$F$8&gt;=7,FORSIDE!$B$5&gt;=6),"S5966","")</f>
        <v/>
      </c>
      <c r="B5967" t="str">
        <f>IF(AND(FORSIDE!$B$8&gt;=19,FORSIDE!$F$8&gt;=7,FORSIDE!$B$5&gt;=6),"1602 -&gt; 1833","")</f>
        <v/>
      </c>
      <c r="C5967" t="str">
        <f>FORSIDE!$C$3</f>
        <v>S355, Stål / VFHUP 140x140x8.0</v>
      </c>
    </row>
    <row r="5968" spans="1:3" x14ac:dyDescent="0.3">
      <c r="A5968" t="str">
        <f>IF(AND(FORSIDE!$B$8&gt;=19,FORSIDE!$F$8&gt;=7,FORSIDE!$B$5&gt;=7),"S5967","")</f>
        <v/>
      </c>
      <c r="B5968" t="str">
        <f>IF(AND(FORSIDE!$B$8&gt;=19,FORSIDE!$F$8&gt;=7,FORSIDE!$B$5&gt;=7),"1603 -&gt; 1834","")</f>
        <v/>
      </c>
      <c r="C5968" t="str">
        <f>FORSIDE!$C$3</f>
        <v>S355, Stål / VFHUP 140x140x8.0</v>
      </c>
    </row>
    <row r="5969" spans="1:3" x14ac:dyDescent="0.3">
      <c r="A5969" t="str">
        <f>IF(AND(FORSIDE!$B$8&gt;=19,FORSIDE!$F$8&gt;=7,FORSIDE!$B$5&gt;=8),"S5968","")</f>
        <v/>
      </c>
      <c r="B5969" t="str">
        <f>IF(AND(FORSIDE!$B$8&gt;=19,FORSIDE!$F$8&gt;=7,FORSIDE!$B$5&gt;=8),"1604 -&gt; 1835","")</f>
        <v/>
      </c>
      <c r="C5969" t="str">
        <f>FORSIDE!$C$3</f>
        <v>S355, Stål / VFHUP 140x140x8.0</v>
      </c>
    </row>
    <row r="5970" spans="1:3" x14ac:dyDescent="0.3">
      <c r="A5970" t="str">
        <f>IF(AND(FORSIDE!$B$8&gt;=19,FORSIDE!$F$8&gt;=7,FORSIDE!$B$5&gt;=9),"S5969","")</f>
        <v/>
      </c>
      <c r="B5970" t="str">
        <f>IF(AND(FORSIDE!$B$8&gt;=19,FORSIDE!$F$8&gt;=7,FORSIDE!$B$5&gt;=9),"1605 -&gt; 1836","")</f>
        <v/>
      </c>
      <c r="C5970" t="str">
        <f>FORSIDE!$C$3</f>
        <v>S355, Stål / VFHUP 140x140x8.0</v>
      </c>
    </row>
    <row r="5971" spans="1:3" x14ac:dyDescent="0.3">
      <c r="A5971" t="str">
        <f>IF(AND(FORSIDE!$B$8&gt;=19,FORSIDE!$F$8&gt;=7,FORSIDE!$B$5&gt;=10),"S5970","")</f>
        <v/>
      </c>
      <c r="B5971" t="str">
        <f>IF(AND(FORSIDE!$B$8&gt;=19,FORSIDE!$F$8&gt;=7,FORSIDE!$B$5&gt;=10),"1606 -&gt; 1837","")</f>
        <v/>
      </c>
      <c r="C5971" t="str">
        <f>FORSIDE!$C$3</f>
        <v>S355, Stål / VFHUP 140x140x8.0</v>
      </c>
    </row>
    <row r="5972" spans="1:3" x14ac:dyDescent="0.3">
      <c r="A5972" t="str">
        <f>IF(AND(FORSIDE!$B$8&gt;=20,FORSIDE!$F$8&gt;=7,FORSIDE!$B$5&gt;=1),"S5971","")</f>
        <v/>
      </c>
      <c r="B5972" t="str">
        <f>IF(AND(FORSIDE!$B$8&gt;=20,FORSIDE!$F$8&gt;=7,FORSIDE!$B$5&gt;=1),"1608 -&gt; 1839","")</f>
        <v/>
      </c>
      <c r="C5972" t="str">
        <f>FORSIDE!$C$3</f>
        <v>S355, Stål / VFHUP 140x140x8.0</v>
      </c>
    </row>
    <row r="5973" spans="1:3" x14ac:dyDescent="0.3">
      <c r="A5973" t="str">
        <f>IF(AND(FORSIDE!$B$8&gt;=20,FORSIDE!$F$8&gt;=7,FORSIDE!$B$5&gt;=2),"S5972","")</f>
        <v/>
      </c>
      <c r="B5973" t="str">
        <f>IF(AND(FORSIDE!$B$8&gt;=20,FORSIDE!$F$8&gt;=7,FORSIDE!$B$5&gt;=2),"1609 -&gt; 1840","")</f>
        <v/>
      </c>
      <c r="C5973" t="str">
        <f>FORSIDE!$C$3</f>
        <v>S355, Stål / VFHUP 140x140x8.0</v>
      </c>
    </row>
    <row r="5974" spans="1:3" x14ac:dyDescent="0.3">
      <c r="A5974" t="str">
        <f>IF(AND(FORSIDE!$B$8&gt;=20,FORSIDE!$F$8&gt;=7,FORSIDE!$B$5&gt;=3),"S5973","")</f>
        <v/>
      </c>
      <c r="B5974" t="str">
        <f>IF(AND(FORSIDE!$B$8&gt;=20,FORSIDE!$F$8&gt;=7,FORSIDE!$B$5&gt;=3),"1610 -&gt; 1841","")</f>
        <v/>
      </c>
      <c r="C5974" t="str">
        <f>FORSIDE!$C$3</f>
        <v>S355, Stål / VFHUP 140x140x8.0</v>
      </c>
    </row>
    <row r="5975" spans="1:3" x14ac:dyDescent="0.3">
      <c r="A5975" t="str">
        <f>IF(AND(FORSIDE!$B$8&gt;=20,FORSIDE!$F$8&gt;=7,FORSIDE!$B$5&gt;=4),"S5974","")</f>
        <v/>
      </c>
      <c r="B5975" t="str">
        <f>IF(AND(FORSIDE!$B$8&gt;=20,FORSIDE!$F$8&gt;=7,FORSIDE!$B$5&gt;=4),"1611 -&gt; 1842","")</f>
        <v/>
      </c>
      <c r="C5975" t="str">
        <f>FORSIDE!$C$3</f>
        <v>S355, Stål / VFHUP 140x140x8.0</v>
      </c>
    </row>
    <row r="5976" spans="1:3" x14ac:dyDescent="0.3">
      <c r="A5976" t="str">
        <f>IF(AND(FORSIDE!$B$8&gt;=20,FORSIDE!$F$8&gt;=7,FORSIDE!$B$5&gt;=5),"S5975","")</f>
        <v/>
      </c>
      <c r="B5976" t="str">
        <f>IF(AND(FORSIDE!$B$8&gt;=20,FORSIDE!$F$8&gt;=7,FORSIDE!$B$5&gt;=5),"1612 -&gt; 1843","")</f>
        <v/>
      </c>
      <c r="C5976" t="str">
        <f>FORSIDE!$C$3</f>
        <v>S355, Stål / VFHUP 140x140x8.0</v>
      </c>
    </row>
    <row r="5977" spans="1:3" x14ac:dyDescent="0.3">
      <c r="A5977" t="str">
        <f>IF(AND(FORSIDE!$B$8&gt;=20,FORSIDE!$F$8&gt;=7,FORSIDE!$B$5&gt;=6),"S5976","")</f>
        <v/>
      </c>
      <c r="B5977" t="str">
        <f>IF(AND(FORSIDE!$B$8&gt;=20,FORSIDE!$F$8&gt;=7,FORSIDE!$B$5&gt;=6),"1613 -&gt; 1844","")</f>
        <v/>
      </c>
      <c r="C5977" t="str">
        <f>FORSIDE!$C$3</f>
        <v>S355, Stål / VFHUP 140x140x8.0</v>
      </c>
    </row>
    <row r="5978" spans="1:3" x14ac:dyDescent="0.3">
      <c r="A5978" t="str">
        <f>IF(AND(FORSIDE!$B$8&gt;=20,FORSIDE!$F$8&gt;=7,FORSIDE!$B$5&gt;=7),"S5977","")</f>
        <v/>
      </c>
      <c r="B5978" t="str">
        <f>IF(AND(FORSIDE!$B$8&gt;=20,FORSIDE!$F$8&gt;=7,FORSIDE!$B$5&gt;=7),"1614 -&gt; 1845","")</f>
        <v/>
      </c>
      <c r="C5978" t="str">
        <f>FORSIDE!$C$3</f>
        <v>S355, Stål / VFHUP 140x140x8.0</v>
      </c>
    </row>
    <row r="5979" spans="1:3" x14ac:dyDescent="0.3">
      <c r="A5979" t="str">
        <f>IF(AND(FORSIDE!$B$8&gt;=20,FORSIDE!$F$8&gt;=7,FORSIDE!$B$5&gt;=8),"S5978","")</f>
        <v/>
      </c>
      <c r="B5979" t="str">
        <f>IF(AND(FORSIDE!$B$8&gt;=20,FORSIDE!$F$8&gt;=7,FORSIDE!$B$5&gt;=8),"1615 -&gt; 1846","")</f>
        <v/>
      </c>
      <c r="C5979" t="str">
        <f>FORSIDE!$C$3</f>
        <v>S355, Stål / VFHUP 140x140x8.0</v>
      </c>
    </row>
    <row r="5980" spans="1:3" x14ac:dyDescent="0.3">
      <c r="A5980" t="str">
        <f>IF(AND(FORSIDE!$B$8&gt;=20,FORSIDE!$F$8&gt;=7,FORSIDE!$B$5&gt;=9),"S5979","")</f>
        <v/>
      </c>
      <c r="B5980" t="str">
        <f>IF(AND(FORSIDE!$B$8&gt;=20,FORSIDE!$F$8&gt;=7,FORSIDE!$B$5&gt;=9),"1616 -&gt; 1847","")</f>
        <v/>
      </c>
      <c r="C5980" t="str">
        <f>FORSIDE!$C$3</f>
        <v>S355, Stål / VFHUP 140x140x8.0</v>
      </c>
    </row>
    <row r="5981" spans="1:3" x14ac:dyDescent="0.3">
      <c r="A5981" t="str">
        <f>IF(AND(FORSIDE!$B$8&gt;=20,FORSIDE!$F$8&gt;=7,FORSIDE!$B$5&gt;=10),"S5980","")</f>
        <v/>
      </c>
      <c r="B5981" t="str">
        <f>IF(AND(FORSIDE!$B$8&gt;=20,FORSIDE!$F$8&gt;=7,FORSIDE!$B$5&gt;=10),"1617 -&gt; 1848","")</f>
        <v/>
      </c>
      <c r="C5981" t="str">
        <f>FORSIDE!$C$3</f>
        <v>S355, Stål / VFHUP 140x140x8.0</v>
      </c>
    </row>
    <row r="5982" spans="1:3" x14ac:dyDescent="0.3">
      <c r="A5982" t="str">
        <f>IF(AND(FORSIDE!$B$8&gt;=0,FORSIDE!$F$8&gt;=8,FORSIDE!$B$5&gt;=1),"S5981","")</f>
        <v/>
      </c>
      <c r="B5982" t="str">
        <f>IF(AND(FORSIDE!$B$8&gt;=0,FORSIDE!$F$8&gt;=8,FORSIDE!$B$5&gt;=1),"1619 -&gt; 1850","")</f>
        <v/>
      </c>
      <c r="C5982" t="str">
        <f>FORSIDE!$C$3</f>
        <v>S355, Stål / VFHUP 140x140x8.0</v>
      </c>
    </row>
    <row r="5983" spans="1:3" x14ac:dyDescent="0.3">
      <c r="A5983" t="str">
        <f>IF(AND(FORSIDE!$B$8&gt;=0,FORSIDE!$F$8&gt;=8,FORSIDE!$B$5&gt;=2),"S5982","")</f>
        <v/>
      </c>
      <c r="B5983" t="str">
        <f>IF(AND(FORSIDE!$B$8&gt;=0,FORSIDE!$F$8&gt;=8,FORSIDE!$B$5&gt;=2),"1620 -&gt; 1851","")</f>
        <v/>
      </c>
      <c r="C5983" t="str">
        <f>FORSIDE!$C$3</f>
        <v>S355, Stål / VFHUP 140x140x8.0</v>
      </c>
    </row>
    <row r="5984" spans="1:3" x14ac:dyDescent="0.3">
      <c r="A5984" t="str">
        <f>IF(AND(FORSIDE!$B$8&gt;=0,FORSIDE!$F$8&gt;=8,FORSIDE!$B$5&gt;=3),"S5983","")</f>
        <v/>
      </c>
      <c r="B5984" t="str">
        <f>IF(AND(FORSIDE!$B$8&gt;=0,FORSIDE!$F$8&gt;=8,FORSIDE!$B$5&gt;=3),"1621 -&gt; 1852","")</f>
        <v/>
      </c>
      <c r="C5984" t="str">
        <f>FORSIDE!$C$3</f>
        <v>S355, Stål / VFHUP 140x140x8.0</v>
      </c>
    </row>
    <row r="5985" spans="1:3" x14ac:dyDescent="0.3">
      <c r="A5985" t="str">
        <f>IF(AND(FORSIDE!$B$8&gt;=0,FORSIDE!$F$8&gt;=8,FORSIDE!$B$5&gt;=4),"S5984","")</f>
        <v/>
      </c>
      <c r="B5985" t="str">
        <f>IF(AND(FORSIDE!$B$8&gt;=0,FORSIDE!$F$8&gt;=8,FORSIDE!$B$5&gt;=4),"1622 -&gt; 1853","")</f>
        <v/>
      </c>
      <c r="C5985" t="str">
        <f>FORSIDE!$C$3</f>
        <v>S355, Stål / VFHUP 140x140x8.0</v>
      </c>
    </row>
    <row r="5986" spans="1:3" x14ac:dyDescent="0.3">
      <c r="A5986" t="str">
        <f>IF(AND(FORSIDE!$B$8&gt;=0,FORSIDE!$F$8&gt;=8,FORSIDE!$B$5&gt;=5),"S5985","")</f>
        <v/>
      </c>
      <c r="B5986" t="str">
        <f>IF(AND(FORSIDE!$B$8&gt;=0,FORSIDE!$F$8&gt;=8,FORSIDE!$B$5&gt;=5),"1623 -&gt; 1854","")</f>
        <v/>
      </c>
      <c r="C5986" t="str">
        <f>FORSIDE!$C$3</f>
        <v>S355, Stål / VFHUP 140x140x8.0</v>
      </c>
    </row>
    <row r="5987" spans="1:3" x14ac:dyDescent="0.3">
      <c r="A5987" t="str">
        <f>IF(AND(FORSIDE!$B$8&gt;=0,FORSIDE!$F$8&gt;=8,FORSIDE!$B$5&gt;=6),"S5986","")</f>
        <v/>
      </c>
      <c r="B5987" t="str">
        <f>IF(AND(FORSIDE!$B$8&gt;=0,FORSIDE!$F$8&gt;=8,FORSIDE!$B$5&gt;=6),"1624 -&gt; 1855","")</f>
        <v/>
      </c>
      <c r="C5987" t="str">
        <f>FORSIDE!$C$3</f>
        <v>S355, Stål / VFHUP 140x140x8.0</v>
      </c>
    </row>
    <row r="5988" spans="1:3" x14ac:dyDescent="0.3">
      <c r="A5988" t="str">
        <f>IF(AND(FORSIDE!$B$8&gt;=0,FORSIDE!$F$8&gt;=8,FORSIDE!$B$5&gt;=7),"S5987","")</f>
        <v/>
      </c>
      <c r="B5988" t="str">
        <f>IF(AND(FORSIDE!$B$8&gt;=0,FORSIDE!$F$8&gt;=8,FORSIDE!$B$5&gt;=7),"1625 -&gt; 1856","")</f>
        <v/>
      </c>
      <c r="C5988" t="str">
        <f>FORSIDE!$C$3</f>
        <v>S355, Stål / VFHUP 140x140x8.0</v>
      </c>
    </row>
    <row r="5989" spans="1:3" x14ac:dyDescent="0.3">
      <c r="A5989" t="str">
        <f>IF(AND(FORSIDE!$B$8&gt;=0,FORSIDE!$F$8&gt;=8,FORSIDE!$B$5&gt;=8),"S5988","")</f>
        <v/>
      </c>
      <c r="B5989" t="str">
        <f>IF(AND(FORSIDE!$B$8&gt;=0,FORSIDE!$F$8&gt;=8,FORSIDE!$B$5&gt;=8),"1626 -&gt; 1857","")</f>
        <v/>
      </c>
      <c r="C5989" t="str">
        <f>FORSIDE!$C$3</f>
        <v>S355, Stål / VFHUP 140x140x8.0</v>
      </c>
    </row>
    <row r="5990" spans="1:3" x14ac:dyDescent="0.3">
      <c r="A5990" t="str">
        <f>IF(AND(FORSIDE!$B$8&gt;=0,FORSIDE!$F$8&gt;=8,FORSIDE!$B$5&gt;=9),"S5989","")</f>
        <v/>
      </c>
      <c r="B5990" t="str">
        <f>IF(AND(FORSIDE!$B$8&gt;=0,FORSIDE!$F$8&gt;=8,FORSIDE!$B$5&gt;=9),"1627 -&gt; 1858","")</f>
        <v/>
      </c>
      <c r="C5990" t="str">
        <f>FORSIDE!$C$3</f>
        <v>S355, Stål / VFHUP 140x140x8.0</v>
      </c>
    </row>
    <row r="5991" spans="1:3" x14ac:dyDescent="0.3">
      <c r="A5991" t="str">
        <f>IF(AND(FORSIDE!$B$8&gt;=0,FORSIDE!$F$8&gt;=8,FORSIDE!$B$5&gt;=10),"S5990","")</f>
        <v/>
      </c>
      <c r="B5991" t="str">
        <f>IF(AND(FORSIDE!$B$8&gt;=0,FORSIDE!$F$8&gt;=8,FORSIDE!$B$5&gt;=10),"1628 -&gt; 1859","")</f>
        <v/>
      </c>
      <c r="C5991" t="str">
        <f>FORSIDE!$C$3</f>
        <v>S355, Stål / VFHUP 140x140x8.0</v>
      </c>
    </row>
    <row r="5992" spans="1:3" x14ac:dyDescent="0.3">
      <c r="A5992" t="str">
        <f>IF(AND(FORSIDE!$B$8&gt;=1,FORSIDE!$F$8&gt;=8,FORSIDE!$B$5&gt;=1),"S5991","")</f>
        <v/>
      </c>
      <c r="B5992" t="str">
        <f>IF(AND(FORSIDE!$B$8&gt;=1,FORSIDE!$F$8&gt;=8,FORSIDE!$B$5&gt;=1),"1630 -&gt; 1861","")</f>
        <v/>
      </c>
      <c r="C5992" t="str">
        <f>FORSIDE!$C$3</f>
        <v>S355, Stål / VFHUP 140x140x8.0</v>
      </c>
    </row>
    <row r="5993" spans="1:3" x14ac:dyDescent="0.3">
      <c r="A5993" t="str">
        <f>IF(AND(FORSIDE!$B$8&gt;=1,FORSIDE!$F$8&gt;=8,FORSIDE!$B$5&gt;=2),"S5992","")</f>
        <v/>
      </c>
      <c r="B5993" t="str">
        <f>IF(AND(FORSIDE!$B$8&gt;=1,FORSIDE!$F$8&gt;=8,FORSIDE!$B$5&gt;=2),"1631 -&gt; 1862","")</f>
        <v/>
      </c>
      <c r="C5993" t="str">
        <f>FORSIDE!$C$3</f>
        <v>S355, Stål / VFHUP 140x140x8.0</v>
      </c>
    </row>
    <row r="5994" spans="1:3" x14ac:dyDescent="0.3">
      <c r="A5994" t="str">
        <f>IF(AND(FORSIDE!$B$8&gt;=1,FORSIDE!$F$8&gt;=8,FORSIDE!$B$5&gt;=3),"S5993","")</f>
        <v/>
      </c>
      <c r="B5994" t="str">
        <f>IF(AND(FORSIDE!$B$8&gt;=1,FORSIDE!$F$8&gt;=8,FORSIDE!$B$5&gt;=3),"1632 -&gt; 1863","")</f>
        <v/>
      </c>
      <c r="C5994" t="str">
        <f>FORSIDE!$C$3</f>
        <v>S355, Stål / VFHUP 140x140x8.0</v>
      </c>
    </row>
    <row r="5995" spans="1:3" x14ac:dyDescent="0.3">
      <c r="A5995" t="str">
        <f>IF(AND(FORSIDE!$B$8&gt;=1,FORSIDE!$F$8&gt;=8,FORSIDE!$B$5&gt;=4),"S5994","")</f>
        <v/>
      </c>
      <c r="B5995" t="str">
        <f>IF(AND(FORSIDE!$B$8&gt;=1,FORSIDE!$F$8&gt;=8,FORSIDE!$B$5&gt;=4),"1633 -&gt; 1864","")</f>
        <v/>
      </c>
      <c r="C5995" t="str">
        <f>FORSIDE!$C$3</f>
        <v>S355, Stål / VFHUP 140x140x8.0</v>
      </c>
    </row>
    <row r="5996" spans="1:3" x14ac:dyDescent="0.3">
      <c r="A5996" t="str">
        <f>IF(AND(FORSIDE!$B$8&gt;=1,FORSIDE!$F$8&gt;=8,FORSIDE!$B$5&gt;=5),"S5995","")</f>
        <v/>
      </c>
      <c r="B5996" t="str">
        <f>IF(AND(FORSIDE!$B$8&gt;=1,FORSIDE!$F$8&gt;=8,FORSIDE!$B$5&gt;=5),"1634 -&gt; 1865","")</f>
        <v/>
      </c>
      <c r="C5996" t="str">
        <f>FORSIDE!$C$3</f>
        <v>S355, Stål / VFHUP 140x140x8.0</v>
      </c>
    </row>
    <row r="5997" spans="1:3" x14ac:dyDescent="0.3">
      <c r="A5997" t="str">
        <f>IF(AND(FORSIDE!$B$8&gt;=1,FORSIDE!$F$8&gt;=8,FORSIDE!$B$5&gt;=6),"S5996","")</f>
        <v/>
      </c>
      <c r="B5997" t="str">
        <f>IF(AND(FORSIDE!$B$8&gt;=1,FORSIDE!$F$8&gt;=8,FORSIDE!$B$5&gt;=6),"1635 -&gt; 1866","")</f>
        <v/>
      </c>
      <c r="C5997" t="str">
        <f>FORSIDE!$C$3</f>
        <v>S355, Stål / VFHUP 140x140x8.0</v>
      </c>
    </row>
    <row r="5998" spans="1:3" x14ac:dyDescent="0.3">
      <c r="A5998" t="str">
        <f>IF(AND(FORSIDE!$B$8&gt;=1,FORSIDE!$F$8&gt;=8,FORSIDE!$B$5&gt;=7),"S5997","")</f>
        <v/>
      </c>
      <c r="B5998" t="str">
        <f>IF(AND(FORSIDE!$B$8&gt;=1,FORSIDE!$F$8&gt;=8,FORSIDE!$B$5&gt;=7),"1636 -&gt; 1867","")</f>
        <v/>
      </c>
      <c r="C5998" t="str">
        <f>FORSIDE!$C$3</f>
        <v>S355, Stål / VFHUP 140x140x8.0</v>
      </c>
    </row>
    <row r="5999" spans="1:3" x14ac:dyDescent="0.3">
      <c r="A5999" t="str">
        <f>IF(AND(FORSIDE!$B$8&gt;=1,FORSIDE!$F$8&gt;=8,FORSIDE!$B$5&gt;=8),"S5998","")</f>
        <v/>
      </c>
      <c r="B5999" t="str">
        <f>IF(AND(FORSIDE!$B$8&gt;=1,FORSIDE!$F$8&gt;=8,FORSIDE!$B$5&gt;=8),"1637 -&gt; 1868","")</f>
        <v/>
      </c>
      <c r="C5999" t="str">
        <f>FORSIDE!$C$3</f>
        <v>S355, Stål / VFHUP 140x140x8.0</v>
      </c>
    </row>
    <row r="6000" spans="1:3" x14ac:dyDescent="0.3">
      <c r="A6000" t="str">
        <f>IF(AND(FORSIDE!$B$8&gt;=1,FORSIDE!$F$8&gt;=8,FORSIDE!$B$5&gt;=9),"S5999","")</f>
        <v/>
      </c>
      <c r="B6000" t="str">
        <f>IF(AND(FORSIDE!$B$8&gt;=1,FORSIDE!$F$8&gt;=8,FORSIDE!$B$5&gt;=9),"1638 -&gt; 1869","")</f>
        <v/>
      </c>
      <c r="C6000" t="str">
        <f>FORSIDE!$C$3</f>
        <v>S355, Stål / VFHUP 140x140x8.0</v>
      </c>
    </row>
    <row r="6001" spans="1:3" x14ac:dyDescent="0.3">
      <c r="A6001" t="str">
        <f>IF(AND(FORSIDE!$B$8&gt;=1,FORSIDE!$F$8&gt;=8,FORSIDE!$B$5&gt;=10),"S6000","")</f>
        <v/>
      </c>
      <c r="B6001" t="str">
        <f>IF(AND(FORSIDE!$B$8&gt;=1,FORSIDE!$F$8&gt;=8,FORSIDE!$B$5&gt;=10),"1639 -&gt; 1870","")</f>
        <v/>
      </c>
      <c r="C6001" t="str">
        <f>FORSIDE!$C$3</f>
        <v>S355, Stål / VFHUP 140x140x8.0</v>
      </c>
    </row>
    <row r="6002" spans="1:3" x14ac:dyDescent="0.3">
      <c r="A6002" t="str">
        <f>IF(AND(FORSIDE!$B$8&gt;=2,FORSIDE!$F$8&gt;=8,FORSIDE!$B$5&gt;=1),"S6001","")</f>
        <v/>
      </c>
      <c r="B6002" t="str">
        <f>IF(AND(FORSIDE!$B$8&gt;=2,FORSIDE!$F$8&gt;=8,FORSIDE!$B$5&gt;=1),"1641 -&gt; 1872","")</f>
        <v/>
      </c>
      <c r="C6002" t="str">
        <f>FORSIDE!$C$3</f>
        <v>S355, Stål / VFHUP 140x140x8.0</v>
      </c>
    </row>
    <row r="6003" spans="1:3" x14ac:dyDescent="0.3">
      <c r="A6003" t="str">
        <f>IF(AND(FORSIDE!$B$8&gt;=2,FORSIDE!$F$8&gt;=8,FORSIDE!$B$5&gt;=2),"S6002","")</f>
        <v/>
      </c>
      <c r="B6003" t="str">
        <f>IF(AND(FORSIDE!$B$8&gt;=2,FORSIDE!$F$8&gt;=8,FORSIDE!$B$5&gt;=2),"1642 -&gt; 1873","")</f>
        <v/>
      </c>
      <c r="C6003" t="str">
        <f>FORSIDE!$C$3</f>
        <v>S355, Stål / VFHUP 140x140x8.0</v>
      </c>
    </row>
    <row r="6004" spans="1:3" x14ac:dyDescent="0.3">
      <c r="A6004" t="str">
        <f>IF(AND(FORSIDE!$B$8&gt;=2,FORSIDE!$F$8&gt;=8,FORSIDE!$B$5&gt;=3),"S6003","")</f>
        <v/>
      </c>
      <c r="B6004" t="str">
        <f>IF(AND(FORSIDE!$B$8&gt;=2,FORSIDE!$F$8&gt;=8,FORSIDE!$B$5&gt;=3),"1643 -&gt; 1874","")</f>
        <v/>
      </c>
      <c r="C6004" t="str">
        <f>FORSIDE!$C$3</f>
        <v>S355, Stål / VFHUP 140x140x8.0</v>
      </c>
    </row>
    <row r="6005" spans="1:3" x14ac:dyDescent="0.3">
      <c r="A6005" t="str">
        <f>IF(AND(FORSIDE!$B$8&gt;=2,FORSIDE!$F$8&gt;=8,FORSIDE!$B$5&gt;=4),"S6004","")</f>
        <v/>
      </c>
      <c r="B6005" t="str">
        <f>IF(AND(FORSIDE!$B$8&gt;=2,FORSIDE!$F$8&gt;=8,FORSIDE!$B$5&gt;=4),"1644 -&gt; 1875","")</f>
        <v/>
      </c>
      <c r="C6005" t="str">
        <f>FORSIDE!$C$3</f>
        <v>S355, Stål / VFHUP 140x140x8.0</v>
      </c>
    </row>
    <row r="6006" spans="1:3" x14ac:dyDescent="0.3">
      <c r="A6006" t="str">
        <f>IF(AND(FORSIDE!$B$8&gt;=2,FORSIDE!$F$8&gt;=8,FORSIDE!$B$5&gt;=5),"S6005","")</f>
        <v/>
      </c>
      <c r="B6006" t="str">
        <f>IF(AND(FORSIDE!$B$8&gt;=2,FORSIDE!$F$8&gt;=8,FORSIDE!$B$5&gt;=5),"1645 -&gt; 1876","")</f>
        <v/>
      </c>
      <c r="C6006" t="str">
        <f>FORSIDE!$C$3</f>
        <v>S355, Stål / VFHUP 140x140x8.0</v>
      </c>
    </row>
    <row r="6007" spans="1:3" x14ac:dyDescent="0.3">
      <c r="A6007" t="str">
        <f>IF(AND(FORSIDE!$B$8&gt;=2,FORSIDE!$F$8&gt;=8,FORSIDE!$B$5&gt;=6),"S6006","")</f>
        <v/>
      </c>
      <c r="B6007" t="str">
        <f>IF(AND(FORSIDE!$B$8&gt;=2,FORSIDE!$F$8&gt;=8,FORSIDE!$B$5&gt;=6),"1646 -&gt; 1877","")</f>
        <v/>
      </c>
      <c r="C6007" t="str">
        <f>FORSIDE!$C$3</f>
        <v>S355, Stål / VFHUP 140x140x8.0</v>
      </c>
    </row>
    <row r="6008" spans="1:3" x14ac:dyDescent="0.3">
      <c r="A6008" t="str">
        <f>IF(AND(FORSIDE!$B$8&gt;=2,FORSIDE!$F$8&gt;=8,FORSIDE!$B$5&gt;=7),"S6007","")</f>
        <v/>
      </c>
      <c r="B6008" t="str">
        <f>IF(AND(FORSIDE!$B$8&gt;=2,FORSIDE!$F$8&gt;=8,FORSIDE!$B$5&gt;=7),"1647 -&gt; 1878","")</f>
        <v/>
      </c>
      <c r="C6008" t="str">
        <f>FORSIDE!$C$3</f>
        <v>S355, Stål / VFHUP 140x140x8.0</v>
      </c>
    </row>
    <row r="6009" spans="1:3" x14ac:dyDescent="0.3">
      <c r="A6009" t="str">
        <f>IF(AND(FORSIDE!$B$8&gt;=2,FORSIDE!$F$8&gt;=8,FORSIDE!$B$5&gt;=8),"S6008","")</f>
        <v/>
      </c>
      <c r="B6009" t="str">
        <f>IF(AND(FORSIDE!$B$8&gt;=2,FORSIDE!$F$8&gt;=8,FORSIDE!$B$5&gt;=8),"1648 -&gt; 1879","")</f>
        <v/>
      </c>
      <c r="C6009" t="str">
        <f>FORSIDE!$C$3</f>
        <v>S355, Stål / VFHUP 140x140x8.0</v>
      </c>
    </row>
    <row r="6010" spans="1:3" x14ac:dyDescent="0.3">
      <c r="A6010" t="str">
        <f>IF(AND(FORSIDE!$B$8&gt;=2,FORSIDE!$F$8&gt;=8,FORSIDE!$B$5&gt;=9),"S6009","")</f>
        <v/>
      </c>
      <c r="B6010" t="str">
        <f>IF(AND(FORSIDE!$B$8&gt;=2,FORSIDE!$F$8&gt;=8,FORSIDE!$B$5&gt;=9),"1649 -&gt; 1880","")</f>
        <v/>
      </c>
      <c r="C6010" t="str">
        <f>FORSIDE!$C$3</f>
        <v>S355, Stål / VFHUP 140x140x8.0</v>
      </c>
    </row>
    <row r="6011" spans="1:3" x14ac:dyDescent="0.3">
      <c r="A6011" t="str">
        <f>IF(AND(FORSIDE!$B$8&gt;=2,FORSIDE!$F$8&gt;=8,FORSIDE!$B$5&gt;=10),"S6010","")</f>
        <v/>
      </c>
      <c r="B6011" t="str">
        <f>IF(AND(FORSIDE!$B$8&gt;=2,FORSIDE!$F$8&gt;=8,FORSIDE!$B$5&gt;=10),"1650 -&gt; 1881","")</f>
        <v/>
      </c>
      <c r="C6011" t="str">
        <f>FORSIDE!$C$3</f>
        <v>S355, Stål / VFHUP 140x140x8.0</v>
      </c>
    </row>
    <row r="6012" spans="1:3" x14ac:dyDescent="0.3">
      <c r="A6012" t="str">
        <f>IF(AND(FORSIDE!$B$8&gt;=3,FORSIDE!$F$8&gt;=8,FORSIDE!$B$5&gt;=1),"S6011","")</f>
        <v/>
      </c>
      <c r="B6012" t="str">
        <f>IF(AND(FORSIDE!$B$8&gt;=3,FORSIDE!$F$8&gt;=8,FORSIDE!$B$5&gt;=1),"1652 -&gt; 1883","")</f>
        <v/>
      </c>
      <c r="C6012" t="str">
        <f>FORSIDE!$C$3</f>
        <v>S355, Stål / VFHUP 140x140x8.0</v>
      </c>
    </row>
    <row r="6013" spans="1:3" x14ac:dyDescent="0.3">
      <c r="A6013" t="str">
        <f>IF(AND(FORSIDE!$B$8&gt;=3,FORSIDE!$F$8&gt;=8,FORSIDE!$B$5&gt;=2),"S6012","")</f>
        <v/>
      </c>
      <c r="B6013" t="str">
        <f>IF(AND(FORSIDE!$B$8&gt;=3,FORSIDE!$F$8&gt;=8,FORSIDE!$B$5&gt;=2),"1653 -&gt; 1884","")</f>
        <v/>
      </c>
      <c r="C6013" t="str">
        <f>FORSIDE!$C$3</f>
        <v>S355, Stål / VFHUP 140x140x8.0</v>
      </c>
    </row>
    <row r="6014" spans="1:3" x14ac:dyDescent="0.3">
      <c r="A6014" t="str">
        <f>IF(AND(FORSIDE!$B$8&gt;=3,FORSIDE!$F$8&gt;=8,FORSIDE!$B$5&gt;=3),"S6013","")</f>
        <v/>
      </c>
      <c r="B6014" t="str">
        <f>IF(AND(FORSIDE!$B$8&gt;=3,FORSIDE!$F$8&gt;=8,FORSIDE!$B$5&gt;=3),"1654 -&gt; 1885","")</f>
        <v/>
      </c>
      <c r="C6014" t="str">
        <f>FORSIDE!$C$3</f>
        <v>S355, Stål / VFHUP 140x140x8.0</v>
      </c>
    </row>
    <row r="6015" spans="1:3" x14ac:dyDescent="0.3">
      <c r="A6015" t="str">
        <f>IF(AND(FORSIDE!$B$8&gt;=3,FORSIDE!$F$8&gt;=8,FORSIDE!$B$5&gt;=4),"S6014","")</f>
        <v/>
      </c>
      <c r="B6015" t="str">
        <f>IF(AND(FORSIDE!$B$8&gt;=3,FORSIDE!$F$8&gt;=8,FORSIDE!$B$5&gt;=4),"1655 -&gt; 1886","")</f>
        <v/>
      </c>
      <c r="C6015" t="str">
        <f>FORSIDE!$C$3</f>
        <v>S355, Stål / VFHUP 140x140x8.0</v>
      </c>
    </row>
    <row r="6016" spans="1:3" x14ac:dyDescent="0.3">
      <c r="A6016" t="str">
        <f>IF(AND(FORSIDE!$B$8&gt;=3,FORSIDE!$F$8&gt;=8,FORSIDE!$B$5&gt;=5),"S6015","")</f>
        <v/>
      </c>
      <c r="B6016" t="str">
        <f>IF(AND(FORSIDE!$B$8&gt;=3,FORSIDE!$F$8&gt;=8,FORSIDE!$B$5&gt;=5),"1656 -&gt; 1887","")</f>
        <v/>
      </c>
      <c r="C6016" t="str">
        <f>FORSIDE!$C$3</f>
        <v>S355, Stål / VFHUP 140x140x8.0</v>
      </c>
    </row>
    <row r="6017" spans="1:3" x14ac:dyDescent="0.3">
      <c r="A6017" t="str">
        <f>IF(AND(FORSIDE!$B$8&gt;=3,FORSIDE!$F$8&gt;=8,FORSIDE!$B$5&gt;=6),"S6016","")</f>
        <v/>
      </c>
      <c r="B6017" t="str">
        <f>IF(AND(FORSIDE!$B$8&gt;=3,FORSIDE!$F$8&gt;=8,FORSIDE!$B$5&gt;=6),"1657 -&gt; 1888","")</f>
        <v/>
      </c>
      <c r="C6017" t="str">
        <f>FORSIDE!$C$3</f>
        <v>S355, Stål / VFHUP 140x140x8.0</v>
      </c>
    </row>
    <row r="6018" spans="1:3" x14ac:dyDescent="0.3">
      <c r="A6018" t="str">
        <f>IF(AND(FORSIDE!$B$8&gt;=3,FORSIDE!$F$8&gt;=8,FORSIDE!$B$5&gt;=7),"S6017","")</f>
        <v/>
      </c>
      <c r="B6018" t="str">
        <f>IF(AND(FORSIDE!$B$8&gt;=3,FORSIDE!$F$8&gt;=8,FORSIDE!$B$5&gt;=7),"1658 -&gt; 1889","")</f>
        <v/>
      </c>
      <c r="C6018" t="str">
        <f>FORSIDE!$C$3</f>
        <v>S355, Stål / VFHUP 140x140x8.0</v>
      </c>
    </row>
    <row r="6019" spans="1:3" x14ac:dyDescent="0.3">
      <c r="A6019" t="str">
        <f>IF(AND(FORSIDE!$B$8&gt;=3,FORSIDE!$F$8&gt;=8,FORSIDE!$B$5&gt;=8),"S6018","")</f>
        <v/>
      </c>
      <c r="B6019" t="str">
        <f>IF(AND(FORSIDE!$B$8&gt;=3,FORSIDE!$F$8&gt;=8,FORSIDE!$B$5&gt;=8),"1659 -&gt; 1890","")</f>
        <v/>
      </c>
      <c r="C6019" t="str">
        <f>FORSIDE!$C$3</f>
        <v>S355, Stål / VFHUP 140x140x8.0</v>
      </c>
    </row>
    <row r="6020" spans="1:3" x14ac:dyDescent="0.3">
      <c r="A6020" t="str">
        <f>IF(AND(FORSIDE!$B$8&gt;=3,FORSIDE!$F$8&gt;=8,FORSIDE!$B$5&gt;=9),"S6019","")</f>
        <v/>
      </c>
      <c r="B6020" t="str">
        <f>IF(AND(FORSIDE!$B$8&gt;=3,FORSIDE!$F$8&gt;=8,FORSIDE!$B$5&gt;=9),"1660 -&gt; 1891","")</f>
        <v/>
      </c>
      <c r="C6020" t="str">
        <f>FORSIDE!$C$3</f>
        <v>S355, Stål / VFHUP 140x140x8.0</v>
      </c>
    </row>
    <row r="6021" spans="1:3" x14ac:dyDescent="0.3">
      <c r="A6021" t="str">
        <f>IF(AND(FORSIDE!$B$8&gt;=3,FORSIDE!$F$8&gt;=8,FORSIDE!$B$5&gt;=10),"S6020","")</f>
        <v/>
      </c>
      <c r="B6021" t="str">
        <f>IF(AND(FORSIDE!$B$8&gt;=3,FORSIDE!$F$8&gt;=8,FORSIDE!$B$5&gt;=10),"1661 -&gt; 1892","")</f>
        <v/>
      </c>
      <c r="C6021" t="str">
        <f>FORSIDE!$C$3</f>
        <v>S355, Stål / VFHUP 140x140x8.0</v>
      </c>
    </row>
    <row r="6022" spans="1:3" x14ac:dyDescent="0.3">
      <c r="A6022" t="str">
        <f>IF(AND(FORSIDE!$B$8&gt;=4,FORSIDE!$F$8&gt;=8,FORSIDE!$B$5&gt;=1),"S6021","")</f>
        <v/>
      </c>
      <c r="B6022" t="str">
        <f>IF(AND(FORSIDE!$B$8&gt;=4,FORSIDE!$F$8&gt;=8,FORSIDE!$B$5&gt;=1),"1663 -&gt; 1894","")</f>
        <v/>
      </c>
      <c r="C6022" t="str">
        <f>FORSIDE!$C$3</f>
        <v>S355, Stål / VFHUP 140x140x8.0</v>
      </c>
    </row>
    <row r="6023" spans="1:3" x14ac:dyDescent="0.3">
      <c r="A6023" t="str">
        <f>IF(AND(FORSIDE!$B$8&gt;=4,FORSIDE!$F$8&gt;=8,FORSIDE!$B$5&gt;=2),"S6022","")</f>
        <v/>
      </c>
      <c r="B6023" t="str">
        <f>IF(AND(FORSIDE!$B$8&gt;=4,FORSIDE!$F$8&gt;=8,FORSIDE!$B$5&gt;=2),"1664 -&gt; 1895","")</f>
        <v/>
      </c>
      <c r="C6023" t="str">
        <f>FORSIDE!$C$3</f>
        <v>S355, Stål / VFHUP 140x140x8.0</v>
      </c>
    </row>
    <row r="6024" spans="1:3" x14ac:dyDescent="0.3">
      <c r="A6024" t="str">
        <f>IF(AND(FORSIDE!$B$8&gt;=4,FORSIDE!$F$8&gt;=8,FORSIDE!$B$5&gt;=3),"S6023","")</f>
        <v/>
      </c>
      <c r="B6024" t="str">
        <f>IF(AND(FORSIDE!$B$8&gt;=4,FORSIDE!$F$8&gt;=8,FORSIDE!$B$5&gt;=3),"1665 -&gt; 1896","")</f>
        <v/>
      </c>
      <c r="C6024" t="str">
        <f>FORSIDE!$C$3</f>
        <v>S355, Stål / VFHUP 140x140x8.0</v>
      </c>
    </row>
    <row r="6025" spans="1:3" x14ac:dyDescent="0.3">
      <c r="A6025" t="str">
        <f>IF(AND(FORSIDE!$B$8&gt;=4,FORSIDE!$F$8&gt;=8,FORSIDE!$B$5&gt;=4),"S6024","")</f>
        <v/>
      </c>
      <c r="B6025" t="str">
        <f>IF(AND(FORSIDE!$B$8&gt;=4,FORSIDE!$F$8&gt;=8,FORSIDE!$B$5&gt;=4),"1666 -&gt; 1897","")</f>
        <v/>
      </c>
      <c r="C6025" t="str">
        <f>FORSIDE!$C$3</f>
        <v>S355, Stål / VFHUP 140x140x8.0</v>
      </c>
    </row>
    <row r="6026" spans="1:3" x14ac:dyDescent="0.3">
      <c r="A6026" t="str">
        <f>IF(AND(FORSIDE!$B$8&gt;=4,FORSIDE!$F$8&gt;=8,FORSIDE!$B$5&gt;=5),"S6025","")</f>
        <v/>
      </c>
      <c r="B6026" t="str">
        <f>IF(AND(FORSIDE!$B$8&gt;=4,FORSIDE!$F$8&gt;=8,FORSIDE!$B$5&gt;=5),"1667 -&gt; 1898","")</f>
        <v/>
      </c>
      <c r="C6026" t="str">
        <f>FORSIDE!$C$3</f>
        <v>S355, Stål / VFHUP 140x140x8.0</v>
      </c>
    </row>
    <row r="6027" spans="1:3" x14ac:dyDescent="0.3">
      <c r="A6027" t="str">
        <f>IF(AND(FORSIDE!$B$8&gt;=4,FORSIDE!$F$8&gt;=8,FORSIDE!$B$5&gt;=6),"S6026","")</f>
        <v/>
      </c>
      <c r="B6027" t="str">
        <f>IF(AND(FORSIDE!$B$8&gt;=4,FORSIDE!$F$8&gt;=8,FORSIDE!$B$5&gt;=6),"1668 -&gt; 1899","")</f>
        <v/>
      </c>
      <c r="C6027" t="str">
        <f>FORSIDE!$C$3</f>
        <v>S355, Stål / VFHUP 140x140x8.0</v>
      </c>
    </row>
    <row r="6028" spans="1:3" x14ac:dyDescent="0.3">
      <c r="A6028" t="str">
        <f>IF(AND(FORSIDE!$B$8&gt;=4,FORSIDE!$F$8&gt;=8,FORSIDE!$B$5&gt;=7),"S6027","")</f>
        <v/>
      </c>
      <c r="B6028" t="str">
        <f>IF(AND(FORSIDE!$B$8&gt;=4,FORSIDE!$F$8&gt;=8,FORSIDE!$B$5&gt;=7),"1669 -&gt; 1900","")</f>
        <v/>
      </c>
      <c r="C6028" t="str">
        <f>FORSIDE!$C$3</f>
        <v>S355, Stål / VFHUP 140x140x8.0</v>
      </c>
    </row>
    <row r="6029" spans="1:3" x14ac:dyDescent="0.3">
      <c r="A6029" t="str">
        <f>IF(AND(FORSIDE!$B$8&gt;=4,FORSIDE!$F$8&gt;=8,FORSIDE!$B$5&gt;=8),"S6028","")</f>
        <v/>
      </c>
      <c r="B6029" t="str">
        <f>IF(AND(FORSIDE!$B$8&gt;=4,FORSIDE!$F$8&gt;=8,FORSIDE!$B$5&gt;=8),"1670 -&gt; 1901","")</f>
        <v/>
      </c>
      <c r="C6029" t="str">
        <f>FORSIDE!$C$3</f>
        <v>S355, Stål / VFHUP 140x140x8.0</v>
      </c>
    </row>
    <row r="6030" spans="1:3" x14ac:dyDescent="0.3">
      <c r="A6030" t="str">
        <f>IF(AND(FORSIDE!$B$8&gt;=4,FORSIDE!$F$8&gt;=8,FORSIDE!$B$5&gt;=9),"S6029","")</f>
        <v/>
      </c>
      <c r="B6030" t="str">
        <f>IF(AND(FORSIDE!$B$8&gt;=4,FORSIDE!$F$8&gt;=8,FORSIDE!$B$5&gt;=9),"1671 -&gt; 1902","")</f>
        <v/>
      </c>
      <c r="C6030" t="str">
        <f>FORSIDE!$C$3</f>
        <v>S355, Stål / VFHUP 140x140x8.0</v>
      </c>
    </row>
    <row r="6031" spans="1:3" x14ac:dyDescent="0.3">
      <c r="A6031" t="str">
        <f>IF(AND(FORSIDE!$B$8&gt;=4,FORSIDE!$F$8&gt;=8,FORSIDE!$B$5&gt;=10),"S6030","")</f>
        <v/>
      </c>
      <c r="B6031" t="str">
        <f>IF(AND(FORSIDE!$B$8&gt;=4,FORSIDE!$F$8&gt;=8,FORSIDE!$B$5&gt;=10),"1672 -&gt; 1903","")</f>
        <v/>
      </c>
      <c r="C6031" t="str">
        <f>FORSIDE!$C$3</f>
        <v>S355, Stål / VFHUP 140x140x8.0</v>
      </c>
    </row>
    <row r="6032" spans="1:3" x14ac:dyDescent="0.3">
      <c r="A6032" t="str">
        <f>IF(AND(FORSIDE!$B$8&gt;=5,FORSIDE!$F$8&gt;=8,FORSIDE!$B$5&gt;=1),"S6031","")</f>
        <v/>
      </c>
      <c r="B6032" t="str">
        <f>IF(AND(FORSIDE!$B$8&gt;=5,FORSIDE!$F$8&gt;=8,FORSIDE!$B$5&gt;=1),"1674 -&gt; 1905","")</f>
        <v/>
      </c>
      <c r="C6032" t="str">
        <f>FORSIDE!$C$3</f>
        <v>S355, Stål / VFHUP 140x140x8.0</v>
      </c>
    </row>
    <row r="6033" spans="1:3" x14ac:dyDescent="0.3">
      <c r="A6033" t="str">
        <f>IF(AND(FORSIDE!$B$8&gt;=5,FORSIDE!$F$8&gt;=8,FORSIDE!$B$5&gt;=2),"S6032","")</f>
        <v/>
      </c>
      <c r="B6033" t="str">
        <f>IF(AND(FORSIDE!$B$8&gt;=5,FORSIDE!$F$8&gt;=8,FORSIDE!$B$5&gt;=2),"1675 -&gt; 1906","")</f>
        <v/>
      </c>
      <c r="C6033" t="str">
        <f>FORSIDE!$C$3</f>
        <v>S355, Stål / VFHUP 140x140x8.0</v>
      </c>
    </row>
    <row r="6034" spans="1:3" x14ac:dyDescent="0.3">
      <c r="A6034" t="str">
        <f>IF(AND(FORSIDE!$B$8&gt;=5,FORSIDE!$F$8&gt;=8,FORSIDE!$B$5&gt;=3),"S6033","")</f>
        <v/>
      </c>
      <c r="B6034" t="str">
        <f>IF(AND(FORSIDE!$B$8&gt;=5,FORSIDE!$F$8&gt;=8,FORSIDE!$B$5&gt;=3),"1676 -&gt; 1907","")</f>
        <v/>
      </c>
      <c r="C6034" t="str">
        <f>FORSIDE!$C$3</f>
        <v>S355, Stål / VFHUP 140x140x8.0</v>
      </c>
    </row>
    <row r="6035" spans="1:3" x14ac:dyDescent="0.3">
      <c r="A6035" t="str">
        <f>IF(AND(FORSIDE!$B$8&gt;=5,FORSIDE!$F$8&gt;=8,FORSIDE!$B$5&gt;=4),"S6034","")</f>
        <v/>
      </c>
      <c r="B6035" t="str">
        <f>IF(AND(FORSIDE!$B$8&gt;=5,FORSIDE!$F$8&gt;=8,FORSIDE!$B$5&gt;=4),"1677 -&gt; 1908","")</f>
        <v/>
      </c>
      <c r="C6035" t="str">
        <f>FORSIDE!$C$3</f>
        <v>S355, Stål / VFHUP 140x140x8.0</v>
      </c>
    </row>
    <row r="6036" spans="1:3" x14ac:dyDescent="0.3">
      <c r="A6036" t="str">
        <f>IF(AND(FORSIDE!$B$8&gt;=5,FORSIDE!$F$8&gt;=8,FORSIDE!$B$5&gt;=5),"S6035","")</f>
        <v/>
      </c>
      <c r="B6036" t="str">
        <f>IF(AND(FORSIDE!$B$8&gt;=5,FORSIDE!$F$8&gt;=8,FORSIDE!$B$5&gt;=5),"1678 -&gt; 1909","")</f>
        <v/>
      </c>
      <c r="C6036" t="str">
        <f>FORSIDE!$C$3</f>
        <v>S355, Stål / VFHUP 140x140x8.0</v>
      </c>
    </row>
    <row r="6037" spans="1:3" x14ac:dyDescent="0.3">
      <c r="A6037" t="str">
        <f>IF(AND(FORSIDE!$B$8&gt;=5,FORSIDE!$F$8&gt;=8,FORSIDE!$B$5&gt;=6),"S6036","")</f>
        <v/>
      </c>
      <c r="B6037" t="str">
        <f>IF(AND(FORSIDE!$B$8&gt;=5,FORSIDE!$F$8&gt;=8,FORSIDE!$B$5&gt;=6),"1679 -&gt; 1910","")</f>
        <v/>
      </c>
      <c r="C6037" t="str">
        <f>FORSIDE!$C$3</f>
        <v>S355, Stål / VFHUP 140x140x8.0</v>
      </c>
    </row>
    <row r="6038" spans="1:3" x14ac:dyDescent="0.3">
      <c r="A6038" t="str">
        <f>IF(AND(FORSIDE!$B$8&gt;=5,FORSIDE!$F$8&gt;=8,FORSIDE!$B$5&gt;=7),"S6037","")</f>
        <v/>
      </c>
      <c r="B6038" t="str">
        <f>IF(AND(FORSIDE!$B$8&gt;=5,FORSIDE!$F$8&gt;=8,FORSIDE!$B$5&gt;=7),"1680 -&gt; 1911","")</f>
        <v/>
      </c>
      <c r="C6038" t="str">
        <f>FORSIDE!$C$3</f>
        <v>S355, Stål / VFHUP 140x140x8.0</v>
      </c>
    </row>
    <row r="6039" spans="1:3" x14ac:dyDescent="0.3">
      <c r="A6039" t="str">
        <f>IF(AND(FORSIDE!$B$8&gt;=5,FORSIDE!$F$8&gt;=8,FORSIDE!$B$5&gt;=8),"S6038","")</f>
        <v/>
      </c>
      <c r="B6039" t="str">
        <f>IF(AND(FORSIDE!$B$8&gt;=5,FORSIDE!$F$8&gt;=8,FORSIDE!$B$5&gt;=8),"1681 -&gt; 1912","")</f>
        <v/>
      </c>
      <c r="C6039" t="str">
        <f>FORSIDE!$C$3</f>
        <v>S355, Stål / VFHUP 140x140x8.0</v>
      </c>
    </row>
    <row r="6040" spans="1:3" x14ac:dyDescent="0.3">
      <c r="A6040" t="str">
        <f>IF(AND(FORSIDE!$B$8&gt;=5,FORSIDE!$F$8&gt;=8,FORSIDE!$B$5&gt;=9),"S6039","")</f>
        <v/>
      </c>
      <c r="B6040" t="str">
        <f>IF(AND(FORSIDE!$B$8&gt;=5,FORSIDE!$F$8&gt;=8,FORSIDE!$B$5&gt;=9),"1682 -&gt; 1913","")</f>
        <v/>
      </c>
      <c r="C6040" t="str">
        <f>FORSIDE!$C$3</f>
        <v>S355, Stål / VFHUP 140x140x8.0</v>
      </c>
    </row>
    <row r="6041" spans="1:3" x14ac:dyDescent="0.3">
      <c r="A6041" t="str">
        <f>IF(AND(FORSIDE!$B$8&gt;=5,FORSIDE!$F$8&gt;=8,FORSIDE!$B$5&gt;=10),"S6040","")</f>
        <v/>
      </c>
      <c r="B6041" t="str">
        <f>IF(AND(FORSIDE!$B$8&gt;=5,FORSIDE!$F$8&gt;=8,FORSIDE!$B$5&gt;=10),"1683 -&gt; 1914","")</f>
        <v/>
      </c>
      <c r="C6041" t="str">
        <f>FORSIDE!$C$3</f>
        <v>S355, Stål / VFHUP 140x140x8.0</v>
      </c>
    </row>
    <row r="6042" spans="1:3" x14ac:dyDescent="0.3">
      <c r="A6042" t="str">
        <f>IF(AND(FORSIDE!$B$8&gt;=6,FORSIDE!$F$8&gt;=8,FORSIDE!$B$5&gt;=1),"S6041","")</f>
        <v/>
      </c>
      <c r="B6042" t="str">
        <f>IF(AND(FORSIDE!$B$8&gt;=6,FORSIDE!$F$8&gt;=8,FORSIDE!$B$5&gt;=1),"1685 -&gt; 1916","")</f>
        <v/>
      </c>
      <c r="C6042" t="str">
        <f>FORSIDE!$C$3</f>
        <v>S355, Stål / VFHUP 140x140x8.0</v>
      </c>
    </row>
    <row r="6043" spans="1:3" x14ac:dyDescent="0.3">
      <c r="A6043" t="str">
        <f>IF(AND(FORSIDE!$B$8&gt;=6,FORSIDE!$F$8&gt;=8,FORSIDE!$B$5&gt;=2),"S6042","")</f>
        <v/>
      </c>
      <c r="B6043" t="str">
        <f>IF(AND(FORSIDE!$B$8&gt;=6,FORSIDE!$F$8&gt;=8,FORSIDE!$B$5&gt;=2),"1686 -&gt; 1917","")</f>
        <v/>
      </c>
      <c r="C6043" t="str">
        <f>FORSIDE!$C$3</f>
        <v>S355, Stål / VFHUP 140x140x8.0</v>
      </c>
    </row>
    <row r="6044" spans="1:3" x14ac:dyDescent="0.3">
      <c r="A6044" t="str">
        <f>IF(AND(FORSIDE!$B$8&gt;=6,FORSIDE!$F$8&gt;=8,FORSIDE!$B$5&gt;=3),"S6043","")</f>
        <v/>
      </c>
      <c r="B6044" t="str">
        <f>IF(AND(FORSIDE!$B$8&gt;=6,FORSIDE!$F$8&gt;=8,FORSIDE!$B$5&gt;=3),"1687 -&gt; 1918","")</f>
        <v/>
      </c>
      <c r="C6044" t="str">
        <f>FORSIDE!$C$3</f>
        <v>S355, Stål / VFHUP 140x140x8.0</v>
      </c>
    </row>
    <row r="6045" spans="1:3" x14ac:dyDescent="0.3">
      <c r="A6045" t="str">
        <f>IF(AND(FORSIDE!$B$8&gt;=6,FORSIDE!$F$8&gt;=8,FORSIDE!$B$5&gt;=4),"S6044","")</f>
        <v/>
      </c>
      <c r="B6045" t="str">
        <f>IF(AND(FORSIDE!$B$8&gt;=6,FORSIDE!$F$8&gt;=8,FORSIDE!$B$5&gt;=4),"1688 -&gt; 1919","")</f>
        <v/>
      </c>
      <c r="C6045" t="str">
        <f>FORSIDE!$C$3</f>
        <v>S355, Stål / VFHUP 140x140x8.0</v>
      </c>
    </row>
    <row r="6046" spans="1:3" x14ac:dyDescent="0.3">
      <c r="A6046" t="str">
        <f>IF(AND(FORSIDE!$B$8&gt;=6,FORSIDE!$F$8&gt;=8,FORSIDE!$B$5&gt;=5),"S6045","")</f>
        <v/>
      </c>
      <c r="B6046" t="str">
        <f>IF(AND(FORSIDE!$B$8&gt;=6,FORSIDE!$F$8&gt;=8,FORSIDE!$B$5&gt;=5),"1689 -&gt; 1920","")</f>
        <v/>
      </c>
      <c r="C6046" t="str">
        <f>FORSIDE!$C$3</f>
        <v>S355, Stål / VFHUP 140x140x8.0</v>
      </c>
    </row>
    <row r="6047" spans="1:3" x14ac:dyDescent="0.3">
      <c r="A6047" t="str">
        <f>IF(AND(FORSIDE!$B$8&gt;=6,FORSIDE!$F$8&gt;=8,FORSIDE!$B$5&gt;=6),"S6046","")</f>
        <v/>
      </c>
      <c r="B6047" t="str">
        <f>IF(AND(FORSIDE!$B$8&gt;=6,FORSIDE!$F$8&gt;=8,FORSIDE!$B$5&gt;=6),"1690 -&gt; 1921","")</f>
        <v/>
      </c>
      <c r="C6047" t="str">
        <f>FORSIDE!$C$3</f>
        <v>S355, Stål / VFHUP 140x140x8.0</v>
      </c>
    </row>
    <row r="6048" spans="1:3" x14ac:dyDescent="0.3">
      <c r="A6048" t="str">
        <f>IF(AND(FORSIDE!$B$8&gt;=6,FORSIDE!$F$8&gt;=8,FORSIDE!$B$5&gt;=7),"S6047","")</f>
        <v/>
      </c>
      <c r="B6048" t="str">
        <f>IF(AND(FORSIDE!$B$8&gt;=6,FORSIDE!$F$8&gt;=8,FORSIDE!$B$5&gt;=7),"1691 -&gt; 1922","")</f>
        <v/>
      </c>
      <c r="C6048" t="str">
        <f>FORSIDE!$C$3</f>
        <v>S355, Stål / VFHUP 140x140x8.0</v>
      </c>
    </row>
    <row r="6049" spans="1:3" x14ac:dyDescent="0.3">
      <c r="A6049" t="str">
        <f>IF(AND(FORSIDE!$B$8&gt;=6,FORSIDE!$F$8&gt;=8,FORSIDE!$B$5&gt;=8),"S6048","")</f>
        <v/>
      </c>
      <c r="B6049" t="str">
        <f>IF(AND(FORSIDE!$B$8&gt;=6,FORSIDE!$F$8&gt;=8,FORSIDE!$B$5&gt;=8),"1692 -&gt; 1923","")</f>
        <v/>
      </c>
      <c r="C6049" t="str">
        <f>FORSIDE!$C$3</f>
        <v>S355, Stål / VFHUP 140x140x8.0</v>
      </c>
    </row>
    <row r="6050" spans="1:3" x14ac:dyDescent="0.3">
      <c r="A6050" t="str">
        <f>IF(AND(FORSIDE!$B$8&gt;=6,FORSIDE!$F$8&gt;=8,FORSIDE!$B$5&gt;=9),"S6049","")</f>
        <v/>
      </c>
      <c r="B6050" t="str">
        <f>IF(AND(FORSIDE!$B$8&gt;=6,FORSIDE!$F$8&gt;=8,FORSIDE!$B$5&gt;=9),"1693 -&gt; 1924","")</f>
        <v/>
      </c>
      <c r="C6050" t="str">
        <f>FORSIDE!$C$3</f>
        <v>S355, Stål / VFHUP 140x140x8.0</v>
      </c>
    </row>
    <row r="6051" spans="1:3" x14ac:dyDescent="0.3">
      <c r="A6051" t="str">
        <f>IF(AND(FORSIDE!$B$8&gt;=6,FORSIDE!$F$8&gt;=8,FORSIDE!$B$5&gt;=10),"S6050","")</f>
        <v/>
      </c>
      <c r="B6051" t="str">
        <f>IF(AND(FORSIDE!$B$8&gt;=6,FORSIDE!$F$8&gt;=8,FORSIDE!$B$5&gt;=10),"1694 -&gt; 1925","")</f>
        <v/>
      </c>
      <c r="C6051" t="str">
        <f>FORSIDE!$C$3</f>
        <v>S355, Stål / VFHUP 140x140x8.0</v>
      </c>
    </row>
    <row r="6052" spans="1:3" x14ac:dyDescent="0.3">
      <c r="A6052" t="str">
        <f>IF(AND(FORSIDE!$B$8&gt;=7,FORSIDE!$F$8&gt;=8,FORSIDE!$B$5&gt;=1),"S6051","")</f>
        <v/>
      </c>
      <c r="B6052" t="str">
        <f>IF(AND(FORSIDE!$B$8&gt;=7,FORSIDE!$F$8&gt;=8,FORSIDE!$B$5&gt;=1),"1696 -&gt; 1927","")</f>
        <v/>
      </c>
      <c r="C6052" t="str">
        <f>FORSIDE!$C$3</f>
        <v>S355, Stål / VFHUP 140x140x8.0</v>
      </c>
    </row>
    <row r="6053" spans="1:3" x14ac:dyDescent="0.3">
      <c r="A6053" t="str">
        <f>IF(AND(FORSIDE!$B$8&gt;=7,FORSIDE!$F$8&gt;=8,FORSIDE!$B$5&gt;=2),"S6052","")</f>
        <v/>
      </c>
      <c r="B6053" t="str">
        <f>IF(AND(FORSIDE!$B$8&gt;=7,FORSIDE!$F$8&gt;=8,FORSIDE!$B$5&gt;=2),"1697 -&gt; 1928","")</f>
        <v/>
      </c>
      <c r="C6053" t="str">
        <f>FORSIDE!$C$3</f>
        <v>S355, Stål / VFHUP 140x140x8.0</v>
      </c>
    </row>
    <row r="6054" spans="1:3" x14ac:dyDescent="0.3">
      <c r="A6054" t="str">
        <f>IF(AND(FORSIDE!$B$8&gt;=7,FORSIDE!$F$8&gt;=8,FORSIDE!$B$5&gt;=3),"S6053","")</f>
        <v/>
      </c>
      <c r="B6054" t="str">
        <f>IF(AND(FORSIDE!$B$8&gt;=7,FORSIDE!$F$8&gt;=8,FORSIDE!$B$5&gt;=3),"1698 -&gt; 1929","")</f>
        <v/>
      </c>
      <c r="C6054" t="str">
        <f>FORSIDE!$C$3</f>
        <v>S355, Stål / VFHUP 140x140x8.0</v>
      </c>
    </row>
    <row r="6055" spans="1:3" x14ac:dyDescent="0.3">
      <c r="A6055" t="str">
        <f>IF(AND(FORSIDE!$B$8&gt;=7,FORSIDE!$F$8&gt;=8,FORSIDE!$B$5&gt;=4),"S6054","")</f>
        <v/>
      </c>
      <c r="B6055" t="str">
        <f>IF(AND(FORSIDE!$B$8&gt;=7,FORSIDE!$F$8&gt;=8,FORSIDE!$B$5&gt;=4),"1699 -&gt; 1930","")</f>
        <v/>
      </c>
      <c r="C6055" t="str">
        <f>FORSIDE!$C$3</f>
        <v>S355, Stål / VFHUP 140x140x8.0</v>
      </c>
    </row>
    <row r="6056" spans="1:3" x14ac:dyDescent="0.3">
      <c r="A6056" t="str">
        <f>IF(AND(FORSIDE!$B$8&gt;=7,FORSIDE!$F$8&gt;=8,FORSIDE!$B$5&gt;=5),"S6055","")</f>
        <v/>
      </c>
      <c r="B6056" t="str">
        <f>IF(AND(FORSIDE!$B$8&gt;=7,FORSIDE!$F$8&gt;=8,FORSIDE!$B$5&gt;=5),"1700 -&gt; 1931","")</f>
        <v/>
      </c>
      <c r="C6056" t="str">
        <f>FORSIDE!$C$3</f>
        <v>S355, Stål / VFHUP 140x140x8.0</v>
      </c>
    </row>
    <row r="6057" spans="1:3" x14ac:dyDescent="0.3">
      <c r="A6057" t="str">
        <f>IF(AND(FORSIDE!$B$8&gt;=7,FORSIDE!$F$8&gt;=8,FORSIDE!$B$5&gt;=6),"S6056","")</f>
        <v/>
      </c>
      <c r="B6057" t="str">
        <f>IF(AND(FORSIDE!$B$8&gt;=7,FORSIDE!$F$8&gt;=8,FORSIDE!$B$5&gt;=6),"1701 -&gt; 1932","")</f>
        <v/>
      </c>
      <c r="C6057" t="str">
        <f>FORSIDE!$C$3</f>
        <v>S355, Stål / VFHUP 140x140x8.0</v>
      </c>
    </row>
    <row r="6058" spans="1:3" x14ac:dyDescent="0.3">
      <c r="A6058" t="str">
        <f>IF(AND(FORSIDE!$B$8&gt;=7,FORSIDE!$F$8&gt;=8,FORSIDE!$B$5&gt;=7),"S6057","")</f>
        <v/>
      </c>
      <c r="B6058" t="str">
        <f>IF(AND(FORSIDE!$B$8&gt;=7,FORSIDE!$F$8&gt;=8,FORSIDE!$B$5&gt;=7),"1702 -&gt; 1933","")</f>
        <v/>
      </c>
      <c r="C6058" t="str">
        <f>FORSIDE!$C$3</f>
        <v>S355, Stål / VFHUP 140x140x8.0</v>
      </c>
    </row>
    <row r="6059" spans="1:3" x14ac:dyDescent="0.3">
      <c r="A6059" t="str">
        <f>IF(AND(FORSIDE!$B$8&gt;=7,FORSIDE!$F$8&gt;=8,FORSIDE!$B$5&gt;=8),"S6058","")</f>
        <v/>
      </c>
      <c r="B6059" t="str">
        <f>IF(AND(FORSIDE!$B$8&gt;=7,FORSIDE!$F$8&gt;=8,FORSIDE!$B$5&gt;=8),"1703 -&gt; 1934","")</f>
        <v/>
      </c>
      <c r="C6059" t="str">
        <f>FORSIDE!$C$3</f>
        <v>S355, Stål / VFHUP 140x140x8.0</v>
      </c>
    </row>
    <row r="6060" spans="1:3" x14ac:dyDescent="0.3">
      <c r="A6060" t="str">
        <f>IF(AND(FORSIDE!$B$8&gt;=7,FORSIDE!$F$8&gt;=8,FORSIDE!$B$5&gt;=9),"S6059","")</f>
        <v/>
      </c>
      <c r="B6060" t="str">
        <f>IF(AND(FORSIDE!$B$8&gt;=7,FORSIDE!$F$8&gt;=8,FORSIDE!$B$5&gt;=9),"1704 -&gt; 1935","")</f>
        <v/>
      </c>
      <c r="C6060" t="str">
        <f>FORSIDE!$C$3</f>
        <v>S355, Stål / VFHUP 140x140x8.0</v>
      </c>
    </row>
    <row r="6061" spans="1:3" x14ac:dyDescent="0.3">
      <c r="A6061" t="str">
        <f>IF(AND(FORSIDE!$B$8&gt;=7,FORSIDE!$F$8&gt;=8,FORSIDE!$B$5&gt;=10),"S6060","")</f>
        <v/>
      </c>
      <c r="B6061" t="str">
        <f>IF(AND(FORSIDE!$B$8&gt;=7,FORSIDE!$F$8&gt;=8,FORSIDE!$B$5&gt;=10),"1705 -&gt; 1936","")</f>
        <v/>
      </c>
      <c r="C6061" t="str">
        <f>FORSIDE!$C$3</f>
        <v>S355, Stål / VFHUP 140x140x8.0</v>
      </c>
    </row>
    <row r="6062" spans="1:3" x14ac:dyDescent="0.3">
      <c r="A6062" t="str">
        <f>IF(AND(FORSIDE!$B$8&gt;=8,FORSIDE!$F$8&gt;=8,FORSIDE!$B$5&gt;=1),"S6061","")</f>
        <v/>
      </c>
      <c r="B6062" t="str">
        <f>IF(AND(FORSIDE!$B$8&gt;=8,FORSIDE!$F$8&gt;=8,FORSIDE!$B$5&gt;=1),"1707 -&gt; 1938","")</f>
        <v/>
      </c>
      <c r="C6062" t="str">
        <f>FORSIDE!$C$3</f>
        <v>S355, Stål / VFHUP 140x140x8.0</v>
      </c>
    </row>
    <row r="6063" spans="1:3" x14ac:dyDescent="0.3">
      <c r="A6063" t="str">
        <f>IF(AND(FORSIDE!$B$8&gt;=8,FORSIDE!$F$8&gt;=8,FORSIDE!$B$5&gt;=2),"S6062","")</f>
        <v/>
      </c>
      <c r="B6063" t="str">
        <f>IF(AND(FORSIDE!$B$8&gt;=8,FORSIDE!$F$8&gt;=8,FORSIDE!$B$5&gt;=2),"1708 -&gt; 1939","")</f>
        <v/>
      </c>
      <c r="C6063" t="str">
        <f>FORSIDE!$C$3</f>
        <v>S355, Stål / VFHUP 140x140x8.0</v>
      </c>
    </row>
    <row r="6064" spans="1:3" x14ac:dyDescent="0.3">
      <c r="A6064" t="str">
        <f>IF(AND(FORSIDE!$B$8&gt;=8,FORSIDE!$F$8&gt;=8,FORSIDE!$B$5&gt;=3),"S6063","")</f>
        <v/>
      </c>
      <c r="B6064" t="str">
        <f>IF(AND(FORSIDE!$B$8&gt;=8,FORSIDE!$F$8&gt;=8,FORSIDE!$B$5&gt;=3),"1709 -&gt; 1940","")</f>
        <v/>
      </c>
      <c r="C6064" t="str">
        <f>FORSIDE!$C$3</f>
        <v>S355, Stål / VFHUP 140x140x8.0</v>
      </c>
    </row>
    <row r="6065" spans="1:3" x14ac:dyDescent="0.3">
      <c r="A6065" t="str">
        <f>IF(AND(FORSIDE!$B$8&gt;=8,FORSIDE!$F$8&gt;=8,FORSIDE!$B$5&gt;=4),"S6064","")</f>
        <v/>
      </c>
      <c r="B6065" t="str">
        <f>IF(AND(FORSIDE!$B$8&gt;=8,FORSIDE!$F$8&gt;=8,FORSIDE!$B$5&gt;=4),"1710 -&gt; 1941","")</f>
        <v/>
      </c>
      <c r="C6065" t="str">
        <f>FORSIDE!$C$3</f>
        <v>S355, Stål / VFHUP 140x140x8.0</v>
      </c>
    </row>
    <row r="6066" spans="1:3" x14ac:dyDescent="0.3">
      <c r="A6066" t="str">
        <f>IF(AND(FORSIDE!$B$8&gt;=8,FORSIDE!$F$8&gt;=8,FORSIDE!$B$5&gt;=5),"S6065","")</f>
        <v/>
      </c>
      <c r="B6066" t="str">
        <f>IF(AND(FORSIDE!$B$8&gt;=8,FORSIDE!$F$8&gt;=8,FORSIDE!$B$5&gt;=5),"1711 -&gt; 1942","")</f>
        <v/>
      </c>
      <c r="C6066" t="str">
        <f>FORSIDE!$C$3</f>
        <v>S355, Stål / VFHUP 140x140x8.0</v>
      </c>
    </row>
    <row r="6067" spans="1:3" x14ac:dyDescent="0.3">
      <c r="A6067" t="str">
        <f>IF(AND(FORSIDE!$B$8&gt;=8,FORSIDE!$F$8&gt;=8,FORSIDE!$B$5&gt;=6),"S6066","")</f>
        <v/>
      </c>
      <c r="B6067" t="str">
        <f>IF(AND(FORSIDE!$B$8&gt;=8,FORSIDE!$F$8&gt;=8,FORSIDE!$B$5&gt;=6),"1712 -&gt; 1943","")</f>
        <v/>
      </c>
      <c r="C6067" t="str">
        <f>FORSIDE!$C$3</f>
        <v>S355, Stål / VFHUP 140x140x8.0</v>
      </c>
    </row>
    <row r="6068" spans="1:3" x14ac:dyDescent="0.3">
      <c r="A6068" t="str">
        <f>IF(AND(FORSIDE!$B$8&gt;=8,FORSIDE!$F$8&gt;=8,FORSIDE!$B$5&gt;=7),"S6067","")</f>
        <v/>
      </c>
      <c r="B6068" t="str">
        <f>IF(AND(FORSIDE!$B$8&gt;=8,FORSIDE!$F$8&gt;=8,FORSIDE!$B$5&gt;=7),"1713 -&gt; 1944","")</f>
        <v/>
      </c>
      <c r="C6068" t="str">
        <f>FORSIDE!$C$3</f>
        <v>S355, Stål / VFHUP 140x140x8.0</v>
      </c>
    </row>
    <row r="6069" spans="1:3" x14ac:dyDescent="0.3">
      <c r="A6069" t="str">
        <f>IF(AND(FORSIDE!$B$8&gt;=8,FORSIDE!$F$8&gt;=8,FORSIDE!$B$5&gt;=8),"S6068","")</f>
        <v/>
      </c>
      <c r="B6069" t="str">
        <f>IF(AND(FORSIDE!$B$8&gt;=8,FORSIDE!$F$8&gt;=8,FORSIDE!$B$5&gt;=8),"1714 -&gt; 1945","")</f>
        <v/>
      </c>
      <c r="C6069" t="str">
        <f>FORSIDE!$C$3</f>
        <v>S355, Stål / VFHUP 140x140x8.0</v>
      </c>
    </row>
    <row r="6070" spans="1:3" x14ac:dyDescent="0.3">
      <c r="A6070" t="str">
        <f>IF(AND(FORSIDE!$B$8&gt;=8,FORSIDE!$F$8&gt;=8,FORSIDE!$B$5&gt;=9),"S6069","")</f>
        <v/>
      </c>
      <c r="B6070" t="str">
        <f>IF(AND(FORSIDE!$B$8&gt;=8,FORSIDE!$F$8&gt;=8,FORSIDE!$B$5&gt;=9),"1715 -&gt; 1946","")</f>
        <v/>
      </c>
      <c r="C6070" t="str">
        <f>FORSIDE!$C$3</f>
        <v>S355, Stål / VFHUP 140x140x8.0</v>
      </c>
    </row>
    <row r="6071" spans="1:3" x14ac:dyDescent="0.3">
      <c r="A6071" t="str">
        <f>IF(AND(FORSIDE!$B$8&gt;=8,FORSIDE!$F$8&gt;=8,FORSIDE!$B$5&gt;=10),"S6070","")</f>
        <v/>
      </c>
      <c r="B6071" t="str">
        <f>IF(AND(FORSIDE!$B$8&gt;=8,FORSIDE!$F$8&gt;=8,FORSIDE!$B$5&gt;=10),"1716 -&gt; 1947","")</f>
        <v/>
      </c>
      <c r="C6071" t="str">
        <f>FORSIDE!$C$3</f>
        <v>S355, Stål / VFHUP 140x140x8.0</v>
      </c>
    </row>
    <row r="6072" spans="1:3" x14ac:dyDescent="0.3">
      <c r="A6072" t="str">
        <f>IF(AND(FORSIDE!$B$8&gt;=9,FORSIDE!$F$8&gt;=8,FORSIDE!$B$5&gt;=1),"S6071","")</f>
        <v/>
      </c>
      <c r="B6072" t="str">
        <f>IF(AND(FORSIDE!$B$8&gt;=9,FORSIDE!$F$8&gt;=8,FORSIDE!$B$5&gt;=1),"1718 -&gt; 1949","")</f>
        <v/>
      </c>
      <c r="C6072" t="str">
        <f>FORSIDE!$C$3</f>
        <v>S355, Stål / VFHUP 140x140x8.0</v>
      </c>
    </row>
    <row r="6073" spans="1:3" x14ac:dyDescent="0.3">
      <c r="A6073" t="str">
        <f>IF(AND(FORSIDE!$B$8&gt;=9,FORSIDE!$F$8&gt;=8,FORSIDE!$B$5&gt;=2),"S6072","")</f>
        <v/>
      </c>
      <c r="B6073" t="str">
        <f>IF(AND(FORSIDE!$B$8&gt;=9,FORSIDE!$F$8&gt;=8,FORSIDE!$B$5&gt;=2),"1719 -&gt; 1950","")</f>
        <v/>
      </c>
      <c r="C6073" t="str">
        <f>FORSIDE!$C$3</f>
        <v>S355, Stål / VFHUP 140x140x8.0</v>
      </c>
    </row>
    <row r="6074" spans="1:3" x14ac:dyDescent="0.3">
      <c r="A6074" t="str">
        <f>IF(AND(FORSIDE!$B$8&gt;=9,FORSIDE!$F$8&gt;=8,FORSIDE!$B$5&gt;=3),"S6073","")</f>
        <v/>
      </c>
      <c r="B6074" t="str">
        <f>IF(AND(FORSIDE!$B$8&gt;=9,FORSIDE!$F$8&gt;=8,FORSIDE!$B$5&gt;=3),"1720 -&gt; 1951","")</f>
        <v/>
      </c>
      <c r="C6074" t="str">
        <f>FORSIDE!$C$3</f>
        <v>S355, Stål / VFHUP 140x140x8.0</v>
      </c>
    </row>
    <row r="6075" spans="1:3" x14ac:dyDescent="0.3">
      <c r="A6075" t="str">
        <f>IF(AND(FORSIDE!$B$8&gt;=9,FORSIDE!$F$8&gt;=8,FORSIDE!$B$5&gt;=4),"S6074","")</f>
        <v/>
      </c>
      <c r="B6075" t="str">
        <f>IF(AND(FORSIDE!$B$8&gt;=9,FORSIDE!$F$8&gt;=8,FORSIDE!$B$5&gt;=4),"1721 -&gt; 1952","")</f>
        <v/>
      </c>
      <c r="C6075" t="str">
        <f>FORSIDE!$C$3</f>
        <v>S355, Stål / VFHUP 140x140x8.0</v>
      </c>
    </row>
    <row r="6076" spans="1:3" x14ac:dyDescent="0.3">
      <c r="A6076" t="str">
        <f>IF(AND(FORSIDE!$B$8&gt;=9,FORSIDE!$F$8&gt;=8,FORSIDE!$B$5&gt;=5),"S6075","")</f>
        <v/>
      </c>
      <c r="B6076" t="str">
        <f>IF(AND(FORSIDE!$B$8&gt;=9,FORSIDE!$F$8&gt;=8,FORSIDE!$B$5&gt;=5),"1722 -&gt; 1953","")</f>
        <v/>
      </c>
      <c r="C6076" t="str">
        <f>FORSIDE!$C$3</f>
        <v>S355, Stål / VFHUP 140x140x8.0</v>
      </c>
    </row>
    <row r="6077" spans="1:3" x14ac:dyDescent="0.3">
      <c r="A6077" t="str">
        <f>IF(AND(FORSIDE!$B$8&gt;=9,FORSIDE!$F$8&gt;=8,FORSIDE!$B$5&gt;=6),"S6076","")</f>
        <v/>
      </c>
      <c r="B6077" t="str">
        <f>IF(AND(FORSIDE!$B$8&gt;=9,FORSIDE!$F$8&gt;=8,FORSIDE!$B$5&gt;=6),"1723 -&gt; 1954","")</f>
        <v/>
      </c>
      <c r="C6077" t="str">
        <f>FORSIDE!$C$3</f>
        <v>S355, Stål / VFHUP 140x140x8.0</v>
      </c>
    </row>
    <row r="6078" spans="1:3" x14ac:dyDescent="0.3">
      <c r="A6078" t="str">
        <f>IF(AND(FORSIDE!$B$8&gt;=9,FORSIDE!$F$8&gt;=8,FORSIDE!$B$5&gt;=7),"S6077","")</f>
        <v/>
      </c>
      <c r="B6078" t="str">
        <f>IF(AND(FORSIDE!$B$8&gt;=9,FORSIDE!$F$8&gt;=8,FORSIDE!$B$5&gt;=7),"1724 -&gt; 1955","")</f>
        <v/>
      </c>
      <c r="C6078" t="str">
        <f>FORSIDE!$C$3</f>
        <v>S355, Stål / VFHUP 140x140x8.0</v>
      </c>
    </row>
    <row r="6079" spans="1:3" x14ac:dyDescent="0.3">
      <c r="A6079" t="str">
        <f>IF(AND(FORSIDE!$B$8&gt;=9,FORSIDE!$F$8&gt;=8,FORSIDE!$B$5&gt;=8),"S6078","")</f>
        <v/>
      </c>
      <c r="B6079" t="str">
        <f>IF(AND(FORSIDE!$B$8&gt;=9,FORSIDE!$F$8&gt;=8,FORSIDE!$B$5&gt;=8),"1725 -&gt; 1956","")</f>
        <v/>
      </c>
      <c r="C6079" t="str">
        <f>FORSIDE!$C$3</f>
        <v>S355, Stål / VFHUP 140x140x8.0</v>
      </c>
    </row>
    <row r="6080" spans="1:3" x14ac:dyDescent="0.3">
      <c r="A6080" t="str">
        <f>IF(AND(FORSIDE!$B$8&gt;=9,FORSIDE!$F$8&gt;=8,FORSIDE!$B$5&gt;=9),"S6079","")</f>
        <v/>
      </c>
      <c r="B6080" t="str">
        <f>IF(AND(FORSIDE!$B$8&gt;=9,FORSIDE!$F$8&gt;=8,FORSIDE!$B$5&gt;=9),"1726 -&gt; 1957","")</f>
        <v/>
      </c>
      <c r="C6080" t="str">
        <f>FORSIDE!$C$3</f>
        <v>S355, Stål / VFHUP 140x140x8.0</v>
      </c>
    </row>
    <row r="6081" spans="1:3" x14ac:dyDescent="0.3">
      <c r="A6081" t="str">
        <f>IF(AND(FORSIDE!$B$8&gt;=9,FORSIDE!$F$8&gt;=8,FORSIDE!$B$5&gt;=10),"S6080","")</f>
        <v/>
      </c>
      <c r="B6081" t="str">
        <f>IF(AND(FORSIDE!$B$8&gt;=9,FORSIDE!$F$8&gt;=8,FORSIDE!$B$5&gt;=10),"1727 -&gt; 1958","")</f>
        <v/>
      </c>
      <c r="C6081" t="str">
        <f>FORSIDE!$C$3</f>
        <v>S355, Stål / VFHUP 140x140x8.0</v>
      </c>
    </row>
    <row r="6082" spans="1:3" x14ac:dyDescent="0.3">
      <c r="A6082" t="str">
        <f>IF(AND(FORSIDE!$B$8&gt;=10,FORSIDE!$F$8&gt;=8,FORSIDE!$B$5&gt;=1),"S6081","")</f>
        <v/>
      </c>
      <c r="B6082" t="str">
        <f>IF(AND(FORSIDE!$B$8&gt;=10,FORSIDE!$F$8&gt;=8,FORSIDE!$B$5&gt;=1),"1729 -&gt; 1960","")</f>
        <v/>
      </c>
      <c r="C6082" t="str">
        <f>FORSIDE!$C$3</f>
        <v>S355, Stål / VFHUP 140x140x8.0</v>
      </c>
    </row>
    <row r="6083" spans="1:3" x14ac:dyDescent="0.3">
      <c r="A6083" t="str">
        <f>IF(AND(FORSIDE!$B$8&gt;=10,FORSIDE!$F$8&gt;=8,FORSIDE!$B$5&gt;=2),"S6082","")</f>
        <v/>
      </c>
      <c r="B6083" t="str">
        <f>IF(AND(FORSIDE!$B$8&gt;=10,FORSIDE!$F$8&gt;=8,FORSIDE!$B$5&gt;=2),"1730 -&gt; 1961","")</f>
        <v/>
      </c>
      <c r="C6083" t="str">
        <f>FORSIDE!$C$3</f>
        <v>S355, Stål / VFHUP 140x140x8.0</v>
      </c>
    </row>
    <row r="6084" spans="1:3" x14ac:dyDescent="0.3">
      <c r="A6084" t="str">
        <f>IF(AND(FORSIDE!$B$8&gt;=10,FORSIDE!$F$8&gt;=8,FORSIDE!$B$5&gt;=3),"S6083","")</f>
        <v/>
      </c>
      <c r="B6084" t="str">
        <f>IF(AND(FORSIDE!$B$8&gt;=10,FORSIDE!$F$8&gt;=8,FORSIDE!$B$5&gt;=3),"1731 -&gt; 1962","")</f>
        <v/>
      </c>
      <c r="C6084" t="str">
        <f>FORSIDE!$C$3</f>
        <v>S355, Stål / VFHUP 140x140x8.0</v>
      </c>
    </row>
    <row r="6085" spans="1:3" x14ac:dyDescent="0.3">
      <c r="A6085" t="str">
        <f>IF(AND(FORSIDE!$B$8&gt;=10,FORSIDE!$F$8&gt;=8,FORSIDE!$B$5&gt;=4),"S6084","")</f>
        <v/>
      </c>
      <c r="B6085" t="str">
        <f>IF(AND(FORSIDE!$B$8&gt;=10,FORSIDE!$F$8&gt;=8,FORSIDE!$B$5&gt;=4),"1732 -&gt; 1963","")</f>
        <v/>
      </c>
      <c r="C6085" t="str">
        <f>FORSIDE!$C$3</f>
        <v>S355, Stål / VFHUP 140x140x8.0</v>
      </c>
    </row>
    <row r="6086" spans="1:3" x14ac:dyDescent="0.3">
      <c r="A6086" t="str">
        <f>IF(AND(FORSIDE!$B$8&gt;=10,FORSIDE!$F$8&gt;=8,FORSIDE!$B$5&gt;=5),"S6085","")</f>
        <v/>
      </c>
      <c r="B6086" t="str">
        <f>IF(AND(FORSIDE!$B$8&gt;=10,FORSIDE!$F$8&gt;=8,FORSIDE!$B$5&gt;=5),"1733 -&gt; 1964","")</f>
        <v/>
      </c>
      <c r="C6086" t="str">
        <f>FORSIDE!$C$3</f>
        <v>S355, Stål / VFHUP 140x140x8.0</v>
      </c>
    </row>
    <row r="6087" spans="1:3" x14ac:dyDescent="0.3">
      <c r="A6087" t="str">
        <f>IF(AND(FORSIDE!$B$8&gt;=10,FORSIDE!$F$8&gt;=8,FORSIDE!$B$5&gt;=6),"S6086","")</f>
        <v/>
      </c>
      <c r="B6087" t="str">
        <f>IF(AND(FORSIDE!$B$8&gt;=10,FORSIDE!$F$8&gt;=8,FORSIDE!$B$5&gt;=6),"1734 -&gt; 1965","")</f>
        <v/>
      </c>
      <c r="C6087" t="str">
        <f>FORSIDE!$C$3</f>
        <v>S355, Stål / VFHUP 140x140x8.0</v>
      </c>
    </row>
    <row r="6088" spans="1:3" x14ac:dyDescent="0.3">
      <c r="A6088" t="str">
        <f>IF(AND(FORSIDE!$B$8&gt;=10,FORSIDE!$F$8&gt;=8,FORSIDE!$B$5&gt;=7),"S6087","")</f>
        <v/>
      </c>
      <c r="B6088" t="str">
        <f>IF(AND(FORSIDE!$B$8&gt;=10,FORSIDE!$F$8&gt;=8,FORSIDE!$B$5&gt;=7),"1735 -&gt; 1966","")</f>
        <v/>
      </c>
      <c r="C6088" t="str">
        <f>FORSIDE!$C$3</f>
        <v>S355, Stål / VFHUP 140x140x8.0</v>
      </c>
    </row>
    <row r="6089" spans="1:3" x14ac:dyDescent="0.3">
      <c r="A6089" t="str">
        <f>IF(AND(FORSIDE!$B$8&gt;=10,FORSIDE!$F$8&gt;=8,FORSIDE!$B$5&gt;=8),"S6088","")</f>
        <v/>
      </c>
      <c r="B6089" t="str">
        <f>IF(AND(FORSIDE!$B$8&gt;=10,FORSIDE!$F$8&gt;=8,FORSIDE!$B$5&gt;=8),"1736 -&gt; 1967","")</f>
        <v/>
      </c>
      <c r="C6089" t="str">
        <f>FORSIDE!$C$3</f>
        <v>S355, Stål / VFHUP 140x140x8.0</v>
      </c>
    </row>
    <row r="6090" spans="1:3" x14ac:dyDescent="0.3">
      <c r="A6090" t="str">
        <f>IF(AND(FORSIDE!$B$8&gt;=10,FORSIDE!$F$8&gt;=8,FORSIDE!$B$5&gt;=9),"S6089","")</f>
        <v/>
      </c>
      <c r="B6090" t="str">
        <f>IF(AND(FORSIDE!$B$8&gt;=10,FORSIDE!$F$8&gt;=8,FORSIDE!$B$5&gt;=9),"1737 -&gt; 1968","")</f>
        <v/>
      </c>
      <c r="C6090" t="str">
        <f>FORSIDE!$C$3</f>
        <v>S355, Stål / VFHUP 140x140x8.0</v>
      </c>
    </row>
    <row r="6091" spans="1:3" x14ac:dyDescent="0.3">
      <c r="A6091" t="str">
        <f>IF(AND(FORSIDE!$B$8&gt;=10,FORSIDE!$F$8&gt;=8,FORSIDE!$B$5&gt;=10),"S6090","")</f>
        <v/>
      </c>
      <c r="B6091" t="str">
        <f>IF(AND(FORSIDE!$B$8&gt;=10,FORSIDE!$F$8&gt;=8,FORSIDE!$B$5&gt;=10),"1738 -&gt; 1969","")</f>
        <v/>
      </c>
      <c r="C6091" t="str">
        <f>FORSIDE!$C$3</f>
        <v>S355, Stål / VFHUP 140x140x8.0</v>
      </c>
    </row>
    <row r="6092" spans="1:3" x14ac:dyDescent="0.3">
      <c r="A6092" t="str">
        <f>IF(AND(FORSIDE!$B$8&gt;=11,FORSIDE!$F$8&gt;=8,FORSIDE!$B$5&gt;=1),"S6091","")</f>
        <v/>
      </c>
      <c r="B6092" t="str">
        <f>IF(AND(FORSIDE!$B$8&gt;=11,FORSIDE!$F$8&gt;=8,FORSIDE!$B$5&gt;=1),"1740 -&gt; 1971","")</f>
        <v/>
      </c>
      <c r="C6092" t="str">
        <f>FORSIDE!$C$3</f>
        <v>S355, Stål / VFHUP 140x140x8.0</v>
      </c>
    </row>
    <row r="6093" spans="1:3" x14ac:dyDescent="0.3">
      <c r="A6093" t="str">
        <f>IF(AND(FORSIDE!$B$8&gt;=11,FORSIDE!$F$8&gt;=8,FORSIDE!$B$5&gt;=2),"S6092","")</f>
        <v/>
      </c>
      <c r="B6093" t="str">
        <f>IF(AND(FORSIDE!$B$8&gt;=11,FORSIDE!$F$8&gt;=8,FORSIDE!$B$5&gt;=2),"1741 -&gt; 1972","")</f>
        <v/>
      </c>
      <c r="C6093" t="str">
        <f>FORSIDE!$C$3</f>
        <v>S355, Stål / VFHUP 140x140x8.0</v>
      </c>
    </row>
    <row r="6094" spans="1:3" x14ac:dyDescent="0.3">
      <c r="A6094" t="str">
        <f>IF(AND(FORSIDE!$B$8&gt;=11,FORSIDE!$F$8&gt;=8,FORSIDE!$B$5&gt;=3),"S6093","")</f>
        <v/>
      </c>
      <c r="B6094" t="str">
        <f>IF(AND(FORSIDE!$B$8&gt;=11,FORSIDE!$F$8&gt;=8,FORSIDE!$B$5&gt;=3),"1742 -&gt; 1973","")</f>
        <v/>
      </c>
      <c r="C6094" t="str">
        <f>FORSIDE!$C$3</f>
        <v>S355, Stål / VFHUP 140x140x8.0</v>
      </c>
    </row>
    <row r="6095" spans="1:3" x14ac:dyDescent="0.3">
      <c r="A6095" t="str">
        <f>IF(AND(FORSIDE!$B$8&gt;=11,FORSIDE!$F$8&gt;=8,FORSIDE!$B$5&gt;=4),"S6094","")</f>
        <v/>
      </c>
      <c r="B6095" t="str">
        <f>IF(AND(FORSIDE!$B$8&gt;=11,FORSIDE!$F$8&gt;=8,FORSIDE!$B$5&gt;=4),"1743 -&gt; 1974","")</f>
        <v/>
      </c>
      <c r="C6095" t="str">
        <f>FORSIDE!$C$3</f>
        <v>S355, Stål / VFHUP 140x140x8.0</v>
      </c>
    </row>
    <row r="6096" spans="1:3" x14ac:dyDescent="0.3">
      <c r="A6096" t="str">
        <f>IF(AND(FORSIDE!$B$8&gt;=11,FORSIDE!$F$8&gt;=8,FORSIDE!$B$5&gt;=5),"S6095","")</f>
        <v/>
      </c>
      <c r="B6096" t="str">
        <f>IF(AND(FORSIDE!$B$8&gt;=11,FORSIDE!$F$8&gt;=8,FORSIDE!$B$5&gt;=5),"1744 -&gt; 1975","")</f>
        <v/>
      </c>
      <c r="C6096" t="str">
        <f>FORSIDE!$C$3</f>
        <v>S355, Stål / VFHUP 140x140x8.0</v>
      </c>
    </row>
    <row r="6097" spans="1:3" x14ac:dyDescent="0.3">
      <c r="A6097" t="str">
        <f>IF(AND(FORSIDE!$B$8&gt;=11,FORSIDE!$F$8&gt;=8,FORSIDE!$B$5&gt;=6),"S6096","")</f>
        <v/>
      </c>
      <c r="B6097" t="str">
        <f>IF(AND(FORSIDE!$B$8&gt;=11,FORSIDE!$F$8&gt;=8,FORSIDE!$B$5&gt;=6),"1745 -&gt; 1976","")</f>
        <v/>
      </c>
      <c r="C6097" t="str">
        <f>FORSIDE!$C$3</f>
        <v>S355, Stål / VFHUP 140x140x8.0</v>
      </c>
    </row>
    <row r="6098" spans="1:3" x14ac:dyDescent="0.3">
      <c r="A6098" t="str">
        <f>IF(AND(FORSIDE!$B$8&gt;=11,FORSIDE!$F$8&gt;=8,FORSIDE!$B$5&gt;=7),"S6097","")</f>
        <v/>
      </c>
      <c r="B6098" t="str">
        <f>IF(AND(FORSIDE!$B$8&gt;=11,FORSIDE!$F$8&gt;=8,FORSIDE!$B$5&gt;=7),"1746 -&gt; 1977","")</f>
        <v/>
      </c>
      <c r="C6098" t="str">
        <f>FORSIDE!$C$3</f>
        <v>S355, Stål / VFHUP 140x140x8.0</v>
      </c>
    </row>
    <row r="6099" spans="1:3" x14ac:dyDescent="0.3">
      <c r="A6099" t="str">
        <f>IF(AND(FORSIDE!$B$8&gt;=11,FORSIDE!$F$8&gt;=8,FORSIDE!$B$5&gt;=8),"S6098","")</f>
        <v/>
      </c>
      <c r="B6099" t="str">
        <f>IF(AND(FORSIDE!$B$8&gt;=11,FORSIDE!$F$8&gt;=8,FORSIDE!$B$5&gt;=8),"1747 -&gt; 1978","")</f>
        <v/>
      </c>
      <c r="C6099" t="str">
        <f>FORSIDE!$C$3</f>
        <v>S355, Stål / VFHUP 140x140x8.0</v>
      </c>
    </row>
    <row r="6100" spans="1:3" x14ac:dyDescent="0.3">
      <c r="A6100" t="str">
        <f>IF(AND(FORSIDE!$B$8&gt;=11,FORSIDE!$F$8&gt;=8,FORSIDE!$B$5&gt;=9),"S6099","")</f>
        <v/>
      </c>
      <c r="B6100" t="str">
        <f>IF(AND(FORSIDE!$B$8&gt;=11,FORSIDE!$F$8&gt;=8,FORSIDE!$B$5&gt;=9),"1748 -&gt; 1979","")</f>
        <v/>
      </c>
      <c r="C6100" t="str">
        <f>FORSIDE!$C$3</f>
        <v>S355, Stål / VFHUP 140x140x8.0</v>
      </c>
    </row>
    <row r="6101" spans="1:3" x14ac:dyDescent="0.3">
      <c r="A6101" t="str">
        <f>IF(AND(FORSIDE!$B$8&gt;=11,FORSIDE!$F$8&gt;=8,FORSIDE!$B$5&gt;=10),"S6100","")</f>
        <v/>
      </c>
      <c r="B6101" t="str">
        <f>IF(AND(FORSIDE!$B$8&gt;=11,FORSIDE!$F$8&gt;=8,FORSIDE!$B$5&gt;=10),"1749 -&gt; 1980","")</f>
        <v/>
      </c>
      <c r="C6101" t="str">
        <f>FORSIDE!$C$3</f>
        <v>S355, Stål / VFHUP 140x140x8.0</v>
      </c>
    </row>
    <row r="6102" spans="1:3" x14ac:dyDescent="0.3">
      <c r="A6102" t="str">
        <f>IF(AND(FORSIDE!$B$8&gt;=12,FORSIDE!$F$8&gt;=8,FORSIDE!$B$5&gt;=1),"S6101","")</f>
        <v/>
      </c>
      <c r="B6102" t="str">
        <f>IF(AND(FORSIDE!$B$8&gt;=12,FORSIDE!$F$8&gt;=8,FORSIDE!$B$5&gt;=1),"1751 -&gt; 1982","")</f>
        <v/>
      </c>
      <c r="C6102" t="str">
        <f>FORSIDE!$C$3</f>
        <v>S355, Stål / VFHUP 140x140x8.0</v>
      </c>
    </row>
    <row r="6103" spans="1:3" x14ac:dyDescent="0.3">
      <c r="A6103" t="str">
        <f>IF(AND(FORSIDE!$B$8&gt;=12,FORSIDE!$F$8&gt;=8,FORSIDE!$B$5&gt;=2),"S6102","")</f>
        <v/>
      </c>
      <c r="B6103" t="str">
        <f>IF(AND(FORSIDE!$B$8&gt;=12,FORSIDE!$F$8&gt;=8,FORSIDE!$B$5&gt;=2),"1752 -&gt; 1983","")</f>
        <v/>
      </c>
      <c r="C6103" t="str">
        <f>FORSIDE!$C$3</f>
        <v>S355, Stål / VFHUP 140x140x8.0</v>
      </c>
    </row>
    <row r="6104" spans="1:3" x14ac:dyDescent="0.3">
      <c r="A6104" t="str">
        <f>IF(AND(FORSIDE!$B$8&gt;=12,FORSIDE!$F$8&gt;=8,FORSIDE!$B$5&gt;=3),"S6103","")</f>
        <v/>
      </c>
      <c r="B6104" t="str">
        <f>IF(AND(FORSIDE!$B$8&gt;=12,FORSIDE!$F$8&gt;=8,FORSIDE!$B$5&gt;=3),"1753 -&gt; 1984","")</f>
        <v/>
      </c>
      <c r="C6104" t="str">
        <f>FORSIDE!$C$3</f>
        <v>S355, Stål / VFHUP 140x140x8.0</v>
      </c>
    </row>
    <row r="6105" spans="1:3" x14ac:dyDescent="0.3">
      <c r="A6105" t="str">
        <f>IF(AND(FORSIDE!$B$8&gt;=12,FORSIDE!$F$8&gt;=8,FORSIDE!$B$5&gt;=4),"S6104","")</f>
        <v/>
      </c>
      <c r="B6105" t="str">
        <f>IF(AND(FORSIDE!$B$8&gt;=12,FORSIDE!$F$8&gt;=8,FORSIDE!$B$5&gt;=4),"1754 -&gt; 1985","")</f>
        <v/>
      </c>
      <c r="C6105" t="str">
        <f>FORSIDE!$C$3</f>
        <v>S355, Stål / VFHUP 140x140x8.0</v>
      </c>
    </row>
    <row r="6106" spans="1:3" x14ac:dyDescent="0.3">
      <c r="A6106" t="str">
        <f>IF(AND(FORSIDE!$B$8&gt;=12,FORSIDE!$F$8&gt;=8,FORSIDE!$B$5&gt;=5),"S6105","")</f>
        <v/>
      </c>
      <c r="B6106" t="str">
        <f>IF(AND(FORSIDE!$B$8&gt;=12,FORSIDE!$F$8&gt;=8,FORSIDE!$B$5&gt;=5),"1755 -&gt; 1986","")</f>
        <v/>
      </c>
      <c r="C6106" t="str">
        <f>FORSIDE!$C$3</f>
        <v>S355, Stål / VFHUP 140x140x8.0</v>
      </c>
    </row>
    <row r="6107" spans="1:3" x14ac:dyDescent="0.3">
      <c r="A6107" t="str">
        <f>IF(AND(FORSIDE!$B$8&gt;=12,FORSIDE!$F$8&gt;=8,FORSIDE!$B$5&gt;=6),"S6106","")</f>
        <v/>
      </c>
      <c r="B6107" t="str">
        <f>IF(AND(FORSIDE!$B$8&gt;=12,FORSIDE!$F$8&gt;=8,FORSIDE!$B$5&gt;=6),"1756 -&gt; 1987","")</f>
        <v/>
      </c>
      <c r="C6107" t="str">
        <f>FORSIDE!$C$3</f>
        <v>S355, Stål / VFHUP 140x140x8.0</v>
      </c>
    </row>
    <row r="6108" spans="1:3" x14ac:dyDescent="0.3">
      <c r="A6108" t="str">
        <f>IF(AND(FORSIDE!$B$8&gt;=12,FORSIDE!$F$8&gt;=8,FORSIDE!$B$5&gt;=7),"S6107","")</f>
        <v/>
      </c>
      <c r="B6108" t="str">
        <f>IF(AND(FORSIDE!$B$8&gt;=12,FORSIDE!$F$8&gt;=8,FORSIDE!$B$5&gt;=7),"1757 -&gt; 1988","")</f>
        <v/>
      </c>
      <c r="C6108" t="str">
        <f>FORSIDE!$C$3</f>
        <v>S355, Stål / VFHUP 140x140x8.0</v>
      </c>
    </row>
    <row r="6109" spans="1:3" x14ac:dyDescent="0.3">
      <c r="A6109" t="str">
        <f>IF(AND(FORSIDE!$B$8&gt;=12,FORSIDE!$F$8&gt;=8,FORSIDE!$B$5&gt;=8),"S6108","")</f>
        <v/>
      </c>
      <c r="B6109" t="str">
        <f>IF(AND(FORSIDE!$B$8&gt;=12,FORSIDE!$F$8&gt;=8,FORSIDE!$B$5&gt;=8),"1758 -&gt; 1989","")</f>
        <v/>
      </c>
      <c r="C6109" t="str">
        <f>FORSIDE!$C$3</f>
        <v>S355, Stål / VFHUP 140x140x8.0</v>
      </c>
    </row>
    <row r="6110" spans="1:3" x14ac:dyDescent="0.3">
      <c r="A6110" t="str">
        <f>IF(AND(FORSIDE!$B$8&gt;=12,FORSIDE!$F$8&gt;=8,FORSIDE!$B$5&gt;=9),"S6109","")</f>
        <v/>
      </c>
      <c r="B6110" t="str">
        <f>IF(AND(FORSIDE!$B$8&gt;=12,FORSIDE!$F$8&gt;=8,FORSIDE!$B$5&gt;=9),"1759 -&gt; 1990","")</f>
        <v/>
      </c>
      <c r="C6110" t="str">
        <f>FORSIDE!$C$3</f>
        <v>S355, Stål / VFHUP 140x140x8.0</v>
      </c>
    </row>
    <row r="6111" spans="1:3" x14ac:dyDescent="0.3">
      <c r="A6111" t="str">
        <f>IF(AND(FORSIDE!$B$8&gt;=12,FORSIDE!$F$8&gt;=8,FORSIDE!$B$5&gt;=10),"S6110","")</f>
        <v/>
      </c>
      <c r="B6111" t="str">
        <f>IF(AND(FORSIDE!$B$8&gt;=12,FORSIDE!$F$8&gt;=8,FORSIDE!$B$5&gt;=10),"1760 -&gt; 1991","")</f>
        <v/>
      </c>
      <c r="C6111" t="str">
        <f>FORSIDE!$C$3</f>
        <v>S355, Stål / VFHUP 140x140x8.0</v>
      </c>
    </row>
    <row r="6112" spans="1:3" x14ac:dyDescent="0.3">
      <c r="A6112" t="str">
        <f>IF(AND(FORSIDE!$B$8&gt;=13,FORSIDE!$F$8&gt;=8,FORSIDE!$B$5&gt;=1),"S6111","")</f>
        <v/>
      </c>
      <c r="B6112" t="str">
        <f>IF(AND(FORSIDE!$B$8&gt;=13,FORSIDE!$F$8&gt;=8,FORSIDE!$B$5&gt;=1),"1762 -&gt; 1993","")</f>
        <v/>
      </c>
      <c r="C6112" t="str">
        <f>FORSIDE!$C$3</f>
        <v>S355, Stål / VFHUP 140x140x8.0</v>
      </c>
    </row>
    <row r="6113" spans="1:3" x14ac:dyDescent="0.3">
      <c r="A6113" t="str">
        <f>IF(AND(FORSIDE!$B$8&gt;=13,FORSIDE!$F$8&gt;=8,FORSIDE!$B$5&gt;=2),"S6112","")</f>
        <v/>
      </c>
      <c r="B6113" t="str">
        <f>IF(AND(FORSIDE!$B$8&gt;=13,FORSIDE!$F$8&gt;=8,FORSIDE!$B$5&gt;=2),"1763 -&gt; 1994","")</f>
        <v/>
      </c>
      <c r="C6113" t="str">
        <f>FORSIDE!$C$3</f>
        <v>S355, Stål / VFHUP 140x140x8.0</v>
      </c>
    </row>
    <row r="6114" spans="1:3" x14ac:dyDescent="0.3">
      <c r="A6114" t="str">
        <f>IF(AND(FORSIDE!$B$8&gt;=13,FORSIDE!$F$8&gt;=8,FORSIDE!$B$5&gt;=3),"S6113","")</f>
        <v/>
      </c>
      <c r="B6114" t="str">
        <f>IF(AND(FORSIDE!$B$8&gt;=13,FORSIDE!$F$8&gt;=8,FORSIDE!$B$5&gt;=3),"1764 -&gt; 1995","")</f>
        <v/>
      </c>
      <c r="C6114" t="str">
        <f>FORSIDE!$C$3</f>
        <v>S355, Stål / VFHUP 140x140x8.0</v>
      </c>
    </row>
    <row r="6115" spans="1:3" x14ac:dyDescent="0.3">
      <c r="A6115" t="str">
        <f>IF(AND(FORSIDE!$B$8&gt;=13,FORSIDE!$F$8&gt;=8,FORSIDE!$B$5&gt;=4),"S6114","")</f>
        <v/>
      </c>
      <c r="B6115" t="str">
        <f>IF(AND(FORSIDE!$B$8&gt;=13,FORSIDE!$F$8&gt;=8,FORSIDE!$B$5&gt;=4),"1765 -&gt; 1996","")</f>
        <v/>
      </c>
      <c r="C6115" t="str">
        <f>FORSIDE!$C$3</f>
        <v>S355, Stål / VFHUP 140x140x8.0</v>
      </c>
    </row>
    <row r="6116" spans="1:3" x14ac:dyDescent="0.3">
      <c r="A6116" t="str">
        <f>IF(AND(FORSIDE!$B$8&gt;=13,FORSIDE!$F$8&gt;=8,FORSIDE!$B$5&gt;=5),"S6115","")</f>
        <v/>
      </c>
      <c r="B6116" t="str">
        <f>IF(AND(FORSIDE!$B$8&gt;=13,FORSIDE!$F$8&gt;=8,FORSIDE!$B$5&gt;=5),"1766 -&gt; 1997","")</f>
        <v/>
      </c>
      <c r="C6116" t="str">
        <f>FORSIDE!$C$3</f>
        <v>S355, Stål / VFHUP 140x140x8.0</v>
      </c>
    </row>
    <row r="6117" spans="1:3" x14ac:dyDescent="0.3">
      <c r="A6117" t="str">
        <f>IF(AND(FORSIDE!$B$8&gt;=13,FORSIDE!$F$8&gt;=8,FORSIDE!$B$5&gt;=6),"S6116","")</f>
        <v/>
      </c>
      <c r="B6117" t="str">
        <f>IF(AND(FORSIDE!$B$8&gt;=13,FORSIDE!$F$8&gt;=8,FORSIDE!$B$5&gt;=6),"1767 -&gt; 1998","")</f>
        <v/>
      </c>
      <c r="C6117" t="str">
        <f>FORSIDE!$C$3</f>
        <v>S355, Stål / VFHUP 140x140x8.0</v>
      </c>
    </row>
    <row r="6118" spans="1:3" x14ac:dyDescent="0.3">
      <c r="A6118" t="str">
        <f>IF(AND(FORSIDE!$B$8&gt;=13,FORSIDE!$F$8&gt;=8,FORSIDE!$B$5&gt;=7),"S6117","")</f>
        <v/>
      </c>
      <c r="B6118" t="str">
        <f>IF(AND(FORSIDE!$B$8&gt;=13,FORSIDE!$F$8&gt;=8,FORSIDE!$B$5&gt;=7),"1768 -&gt; 1999","")</f>
        <v/>
      </c>
      <c r="C6118" t="str">
        <f>FORSIDE!$C$3</f>
        <v>S355, Stål / VFHUP 140x140x8.0</v>
      </c>
    </row>
    <row r="6119" spans="1:3" x14ac:dyDescent="0.3">
      <c r="A6119" t="str">
        <f>IF(AND(FORSIDE!$B$8&gt;=13,FORSIDE!$F$8&gt;=8,FORSIDE!$B$5&gt;=8),"S6118","")</f>
        <v/>
      </c>
      <c r="B6119" t="str">
        <f>IF(AND(FORSIDE!$B$8&gt;=13,FORSIDE!$F$8&gt;=8,FORSIDE!$B$5&gt;=8),"1769 -&gt; 2000","")</f>
        <v/>
      </c>
      <c r="C6119" t="str">
        <f>FORSIDE!$C$3</f>
        <v>S355, Stål / VFHUP 140x140x8.0</v>
      </c>
    </row>
    <row r="6120" spans="1:3" x14ac:dyDescent="0.3">
      <c r="A6120" t="str">
        <f>IF(AND(FORSIDE!$B$8&gt;=13,FORSIDE!$F$8&gt;=8,FORSIDE!$B$5&gt;=9),"S6119","")</f>
        <v/>
      </c>
      <c r="B6120" t="str">
        <f>IF(AND(FORSIDE!$B$8&gt;=13,FORSIDE!$F$8&gt;=8,FORSIDE!$B$5&gt;=9),"1770 -&gt; 2001","")</f>
        <v/>
      </c>
      <c r="C6120" t="str">
        <f>FORSIDE!$C$3</f>
        <v>S355, Stål / VFHUP 140x140x8.0</v>
      </c>
    </row>
    <row r="6121" spans="1:3" x14ac:dyDescent="0.3">
      <c r="A6121" t="str">
        <f>IF(AND(FORSIDE!$B$8&gt;=13,FORSIDE!$F$8&gt;=8,FORSIDE!$B$5&gt;=10),"S6120","")</f>
        <v/>
      </c>
      <c r="B6121" t="str">
        <f>IF(AND(FORSIDE!$B$8&gt;=13,FORSIDE!$F$8&gt;=8,FORSIDE!$B$5&gt;=10),"1771 -&gt; 2002","")</f>
        <v/>
      </c>
      <c r="C6121" t="str">
        <f>FORSIDE!$C$3</f>
        <v>S355, Stål / VFHUP 140x140x8.0</v>
      </c>
    </row>
    <row r="6122" spans="1:3" x14ac:dyDescent="0.3">
      <c r="A6122" t="str">
        <f>IF(AND(FORSIDE!$B$8&gt;=14,FORSIDE!$F$8&gt;=8,FORSIDE!$B$5&gt;=1),"S6121","")</f>
        <v/>
      </c>
      <c r="B6122" t="str">
        <f>IF(AND(FORSIDE!$B$8&gt;=14,FORSIDE!$F$8&gt;=8,FORSIDE!$B$5&gt;=1),"1773 -&gt; 2004","")</f>
        <v/>
      </c>
      <c r="C6122" t="str">
        <f>FORSIDE!$C$3</f>
        <v>S355, Stål / VFHUP 140x140x8.0</v>
      </c>
    </row>
    <row r="6123" spans="1:3" x14ac:dyDescent="0.3">
      <c r="A6123" t="str">
        <f>IF(AND(FORSIDE!$B$8&gt;=14,FORSIDE!$F$8&gt;=8,FORSIDE!$B$5&gt;=2),"S6122","")</f>
        <v/>
      </c>
      <c r="B6123" t="str">
        <f>IF(AND(FORSIDE!$B$8&gt;=14,FORSIDE!$F$8&gt;=8,FORSIDE!$B$5&gt;=2),"1774 -&gt; 2005","")</f>
        <v/>
      </c>
      <c r="C6123" t="str">
        <f>FORSIDE!$C$3</f>
        <v>S355, Stål / VFHUP 140x140x8.0</v>
      </c>
    </row>
    <row r="6124" spans="1:3" x14ac:dyDescent="0.3">
      <c r="A6124" t="str">
        <f>IF(AND(FORSIDE!$B$8&gt;=14,FORSIDE!$F$8&gt;=8,FORSIDE!$B$5&gt;=3),"S6123","")</f>
        <v/>
      </c>
      <c r="B6124" t="str">
        <f>IF(AND(FORSIDE!$B$8&gt;=14,FORSIDE!$F$8&gt;=8,FORSIDE!$B$5&gt;=3),"1775 -&gt; 2006","")</f>
        <v/>
      </c>
      <c r="C6124" t="str">
        <f>FORSIDE!$C$3</f>
        <v>S355, Stål / VFHUP 140x140x8.0</v>
      </c>
    </row>
    <row r="6125" spans="1:3" x14ac:dyDescent="0.3">
      <c r="A6125" t="str">
        <f>IF(AND(FORSIDE!$B$8&gt;=14,FORSIDE!$F$8&gt;=8,FORSIDE!$B$5&gt;=4),"S6124","")</f>
        <v/>
      </c>
      <c r="B6125" t="str">
        <f>IF(AND(FORSIDE!$B$8&gt;=14,FORSIDE!$F$8&gt;=8,FORSIDE!$B$5&gt;=4),"1776 -&gt; 2007","")</f>
        <v/>
      </c>
      <c r="C6125" t="str">
        <f>FORSIDE!$C$3</f>
        <v>S355, Stål / VFHUP 140x140x8.0</v>
      </c>
    </row>
    <row r="6126" spans="1:3" x14ac:dyDescent="0.3">
      <c r="A6126" t="str">
        <f>IF(AND(FORSIDE!$B$8&gt;=14,FORSIDE!$F$8&gt;=8,FORSIDE!$B$5&gt;=5),"S6125","")</f>
        <v/>
      </c>
      <c r="B6126" t="str">
        <f>IF(AND(FORSIDE!$B$8&gt;=14,FORSIDE!$F$8&gt;=8,FORSIDE!$B$5&gt;=5),"1777 -&gt; 2008","")</f>
        <v/>
      </c>
      <c r="C6126" t="str">
        <f>FORSIDE!$C$3</f>
        <v>S355, Stål / VFHUP 140x140x8.0</v>
      </c>
    </row>
    <row r="6127" spans="1:3" x14ac:dyDescent="0.3">
      <c r="A6127" t="str">
        <f>IF(AND(FORSIDE!$B$8&gt;=14,FORSIDE!$F$8&gt;=8,FORSIDE!$B$5&gt;=6),"S6126","")</f>
        <v/>
      </c>
      <c r="B6127" t="str">
        <f>IF(AND(FORSIDE!$B$8&gt;=14,FORSIDE!$F$8&gt;=8,FORSIDE!$B$5&gt;=6),"1778 -&gt; 2009","")</f>
        <v/>
      </c>
      <c r="C6127" t="str">
        <f>FORSIDE!$C$3</f>
        <v>S355, Stål / VFHUP 140x140x8.0</v>
      </c>
    </row>
    <row r="6128" spans="1:3" x14ac:dyDescent="0.3">
      <c r="A6128" t="str">
        <f>IF(AND(FORSIDE!$B$8&gt;=14,FORSIDE!$F$8&gt;=8,FORSIDE!$B$5&gt;=7),"S6127","")</f>
        <v/>
      </c>
      <c r="B6128" t="str">
        <f>IF(AND(FORSIDE!$B$8&gt;=14,FORSIDE!$F$8&gt;=8,FORSIDE!$B$5&gt;=7),"1779 -&gt; 2010","")</f>
        <v/>
      </c>
      <c r="C6128" t="str">
        <f>FORSIDE!$C$3</f>
        <v>S355, Stål / VFHUP 140x140x8.0</v>
      </c>
    </row>
    <row r="6129" spans="1:3" x14ac:dyDescent="0.3">
      <c r="A6129" t="str">
        <f>IF(AND(FORSIDE!$B$8&gt;=14,FORSIDE!$F$8&gt;=8,FORSIDE!$B$5&gt;=8),"S6128","")</f>
        <v/>
      </c>
      <c r="B6129" t="str">
        <f>IF(AND(FORSIDE!$B$8&gt;=14,FORSIDE!$F$8&gt;=8,FORSIDE!$B$5&gt;=8),"1780 -&gt; 2011","")</f>
        <v/>
      </c>
      <c r="C6129" t="str">
        <f>FORSIDE!$C$3</f>
        <v>S355, Stål / VFHUP 140x140x8.0</v>
      </c>
    </row>
    <row r="6130" spans="1:3" x14ac:dyDescent="0.3">
      <c r="A6130" t="str">
        <f>IF(AND(FORSIDE!$B$8&gt;=14,FORSIDE!$F$8&gt;=8,FORSIDE!$B$5&gt;=9),"S6129","")</f>
        <v/>
      </c>
      <c r="B6130" t="str">
        <f>IF(AND(FORSIDE!$B$8&gt;=14,FORSIDE!$F$8&gt;=8,FORSIDE!$B$5&gt;=9),"1781 -&gt; 2012","")</f>
        <v/>
      </c>
      <c r="C6130" t="str">
        <f>FORSIDE!$C$3</f>
        <v>S355, Stål / VFHUP 140x140x8.0</v>
      </c>
    </row>
    <row r="6131" spans="1:3" x14ac:dyDescent="0.3">
      <c r="A6131" t="str">
        <f>IF(AND(FORSIDE!$B$8&gt;=14,FORSIDE!$F$8&gt;=8,FORSIDE!$B$5&gt;=10),"S6130","")</f>
        <v/>
      </c>
      <c r="B6131" t="str">
        <f>IF(AND(FORSIDE!$B$8&gt;=14,FORSIDE!$F$8&gt;=8,FORSIDE!$B$5&gt;=10),"1782 -&gt; 2013","")</f>
        <v/>
      </c>
      <c r="C6131" t="str">
        <f>FORSIDE!$C$3</f>
        <v>S355, Stål / VFHUP 140x140x8.0</v>
      </c>
    </row>
    <row r="6132" spans="1:3" x14ac:dyDescent="0.3">
      <c r="A6132" t="str">
        <f>IF(AND(FORSIDE!$B$8&gt;=15,FORSIDE!$F$8&gt;=8,FORSIDE!$B$5&gt;=1),"S6131","")</f>
        <v/>
      </c>
      <c r="B6132" t="str">
        <f>IF(AND(FORSIDE!$B$8&gt;=15,FORSIDE!$F$8&gt;=8,FORSIDE!$B$5&gt;=1),"1784 -&gt; 2015","")</f>
        <v/>
      </c>
      <c r="C6132" t="str">
        <f>FORSIDE!$C$3</f>
        <v>S355, Stål / VFHUP 140x140x8.0</v>
      </c>
    </row>
    <row r="6133" spans="1:3" x14ac:dyDescent="0.3">
      <c r="A6133" t="str">
        <f>IF(AND(FORSIDE!$B$8&gt;=15,FORSIDE!$F$8&gt;=8,FORSIDE!$B$5&gt;=2),"S6132","")</f>
        <v/>
      </c>
      <c r="B6133" t="str">
        <f>IF(AND(FORSIDE!$B$8&gt;=15,FORSIDE!$F$8&gt;=8,FORSIDE!$B$5&gt;=2),"1785 -&gt; 2016","")</f>
        <v/>
      </c>
      <c r="C6133" t="str">
        <f>FORSIDE!$C$3</f>
        <v>S355, Stål / VFHUP 140x140x8.0</v>
      </c>
    </row>
    <row r="6134" spans="1:3" x14ac:dyDescent="0.3">
      <c r="A6134" t="str">
        <f>IF(AND(FORSIDE!$B$8&gt;=15,FORSIDE!$F$8&gt;=8,FORSIDE!$B$5&gt;=3),"S6133","")</f>
        <v/>
      </c>
      <c r="B6134" t="str">
        <f>IF(AND(FORSIDE!$B$8&gt;=15,FORSIDE!$F$8&gt;=8,FORSIDE!$B$5&gt;=3),"1786 -&gt; 2017","")</f>
        <v/>
      </c>
      <c r="C6134" t="str">
        <f>FORSIDE!$C$3</f>
        <v>S355, Stål / VFHUP 140x140x8.0</v>
      </c>
    </row>
    <row r="6135" spans="1:3" x14ac:dyDescent="0.3">
      <c r="A6135" t="str">
        <f>IF(AND(FORSIDE!$B$8&gt;=15,FORSIDE!$F$8&gt;=8,FORSIDE!$B$5&gt;=4),"S6134","")</f>
        <v/>
      </c>
      <c r="B6135" t="str">
        <f>IF(AND(FORSIDE!$B$8&gt;=15,FORSIDE!$F$8&gt;=8,FORSIDE!$B$5&gt;=4),"1787 -&gt; 2018","")</f>
        <v/>
      </c>
      <c r="C6135" t="str">
        <f>FORSIDE!$C$3</f>
        <v>S355, Stål / VFHUP 140x140x8.0</v>
      </c>
    </row>
    <row r="6136" spans="1:3" x14ac:dyDescent="0.3">
      <c r="A6136" t="str">
        <f>IF(AND(FORSIDE!$B$8&gt;=15,FORSIDE!$F$8&gt;=8,FORSIDE!$B$5&gt;=5),"S6135","")</f>
        <v/>
      </c>
      <c r="B6136" t="str">
        <f>IF(AND(FORSIDE!$B$8&gt;=15,FORSIDE!$F$8&gt;=8,FORSIDE!$B$5&gt;=5),"1788 -&gt; 2019","")</f>
        <v/>
      </c>
      <c r="C6136" t="str">
        <f>FORSIDE!$C$3</f>
        <v>S355, Stål / VFHUP 140x140x8.0</v>
      </c>
    </row>
    <row r="6137" spans="1:3" x14ac:dyDescent="0.3">
      <c r="A6137" t="str">
        <f>IF(AND(FORSIDE!$B$8&gt;=15,FORSIDE!$F$8&gt;=8,FORSIDE!$B$5&gt;=6),"S6136","")</f>
        <v/>
      </c>
      <c r="B6137" t="str">
        <f>IF(AND(FORSIDE!$B$8&gt;=15,FORSIDE!$F$8&gt;=8,FORSIDE!$B$5&gt;=6),"1789 -&gt; 2020","")</f>
        <v/>
      </c>
      <c r="C6137" t="str">
        <f>FORSIDE!$C$3</f>
        <v>S355, Stål / VFHUP 140x140x8.0</v>
      </c>
    </row>
    <row r="6138" spans="1:3" x14ac:dyDescent="0.3">
      <c r="A6138" t="str">
        <f>IF(AND(FORSIDE!$B$8&gt;=15,FORSIDE!$F$8&gt;=8,FORSIDE!$B$5&gt;=7),"S6137","")</f>
        <v/>
      </c>
      <c r="B6138" t="str">
        <f>IF(AND(FORSIDE!$B$8&gt;=15,FORSIDE!$F$8&gt;=8,FORSIDE!$B$5&gt;=7),"1790 -&gt; 2021","")</f>
        <v/>
      </c>
      <c r="C6138" t="str">
        <f>FORSIDE!$C$3</f>
        <v>S355, Stål / VFHUP 140x140x8.0</v>
      </c>
    </row>
    <row r="6139" spans="1:3" x14ac:dyDescent="0.3">
      <c r="A6139" t="str">
        <f>IF(AND(FORSIDE!$B$8&gt;=15,FORSIDE!$F$8&gt;=8,FORSIDE!$B$5&gt;=8),"S6138","")</f>
        <v/>
      </c>
      <c r="B6139" t="str">
        <f>IF(AND(FORSIDE!$B$8&gt;=15,FORSIDE!$F$8&gt;=8,FORSIDE!$B$5&gt;=8),"1791 -&gt; 2022","")</f>
        <v/>
      </c>
      <c r="C6139" t="str">
        <f>FORSIDE!$C$3</f>
        <v>S355, Stål / VFHUP 140x140x8.0</v>
      </c>
    </row>
    <row r="6140" spans="1:3" x14ac:dyDescent="0.3">
      <c r="A6140" t="str">
        <f>IF(AND(FORSIDE!$B$8&gt;=15,FORSIDE!$F$8&gt;=8,FORSIDE!$B$5&gt;=9),"S6139","")</f>
        <v/>
      </c>
      <c r="B6140" t="str">
        <f>IF(AND(FORSIDE!$B$8&gt;=15,FORSIDE!$F$8&gt;=8,FORSIDE!$B$5&gt;=9),"1792 -&gt; 2023","")</f>
        <v/>
      </c>
      <c r="C6140" t="str">
        <f>FORSIDE!$C$3</f>
        <v>S355, Stål / VFHUP 140x140x8.0</v>
      </c>
    </row>
    <row r="6141" spans="1:3" x14ac:dyDescent="0.3">
      <c r="A6141" t="str">
        <f>IF(AND(FORSIDE!$B$8&gt;=15,FORSIDE!$F$8&gt;=8,FORSIDE!$B$5&gt;=10),"S6140","")</f>
        <v/>
      </c>
      <c r="B6141" t="str">
        <f>IF(AND(FORSIDE!$B$8&gt;=15,FORSIDE!$F$8&gt;=8,FORSIDE!$B$5&gt;=10),"1793 -&gt; 2024","")</f>
        <v/>
      </c>
      <c r="C6141" t="str">
        <f>FORSIDE!$C$3</f>
        <v>S355, Stål / VFHUP 140x140x8.0</v>
      </c>
    </row>
    <row r="6142" spans="1:3" x14ac:dyDescent="0.3">
      <c r="A6142" t="str">
        <f>IF(AND(FORSIDE!$B$8&gt;=16,FORSIDE!$F$8&gt;=8,FORSIDE!$B$5&gt;=1),"S6141","")</f>
        <v/>
      </c>
      <c r="B6142" t="str">
        <f>IF(AND(FORSIDE!$B$8&gt;=16,FORSIDE!$F$8&gt;=8,FORSIDE!$B$5&gt;=1),"1795 -&gt; 2026","")</f>
        <v/>
      </c>
      <c r="C6142" t="str">
        <f>FORSIDE!$C$3</f>
        <v>S355, Stål / VFHUP 140x140x8.0</v>
      </c>
    </row>
    <row r="6143" spans="1:3" x14ac:dyDescent="0.3">
      <c r="A6143" t="str">
        <f>IF(AND(FORSIDE!$B$8&gt;=16,FORSIDE!$F$8&gt;=8,FORSIDE!$B$5&gt;=2),"S6142","")</f>
        <v/>
      </c>
      <c r="B6143" t="str">
        <f>IF(AND(FORSIDE!$B$8&gt;=16,FORSIDE!$F$8&gt;=8,FORSIDE!$B$5&gt;=2),"1796 -&gt; 2027","")</f>
        <v/>
      </c>
      <c r="C6143" t="str">
        <f>FORSIDE!$C$3</f>
        <v>S355, Stål / VFHUP 140x140x8.0</v>
      </c>
    </row>
    <row r="6144" spans="1:3" x14ac:dyDescent="0.3">
      <c r="A6144" t="str">
        <f>IF(AND(FORSIDE!$B$8&gt;=16,FORSIDE!$F$8&gt;=8,FORSIDE!$B$5&gt;=3),"S6143","")</f>
        <v/>
      </c>
      <c r="B6144" t="str">
        <f>IF(AND(FORSIDE!$B$8&gt;=16,FORSIDE!$F$8&gt;=8,FORSIDE!$B$5&gt;=3),"1797 -&gt; 2028","")</f>
        <v/>
      </c>
      <c r="C6144" t="str">
        <f>FORSIDE!$C$3</f>
        <v>S355, Stål / VFHUP 140x140x8.0</v>
      </c>
    </row>
    <row r="6145" spans="1:3" x14ac:dyDescent="0.3">
      <c r="A6145" t="str">
        <f>IF(AND(FORSIDE!$B$8&gt;=16,FORSIDE!$F$8&gt;=8,FORSIDE!$B$5&gt;=4),"S6144","")</f>
        <v/>
      </c>
      <c r="B6145" t="str">
        <f>IF(AND(FORSIDE!$B$8&gt;=16,FORSIDE!$F$8&gt;=8,FORSIDE!$B$5&gt;=4),"1798 -&gt; 2029","")</f>
        <v/>
      </c>
      <c r="C6145" t="str">
        <f>FORSIDE!$C$3</f>
        <v>S355, Stål / VFHUP 140x140x8.0</v>
      </c>
    </row>
    <row r="6146" spans="1:3" x14ac:dyDescent="0.3">
      <c r="A6146" t="str">
        <f>IF(AND(FORSIDE!$B$8&gt;=16,FORSIDE!$F$8&gt;=8,FORSIDE!$B$5&gt;=5),"S6145","")</f>
        <v/>
      </c>
      <c r="B6146" t="str">
        <f>IF(AND(FORSIDE!$B$8&gt;=16,FORSIDE!$F$8&gt;=8,FORSIDE!$B$5&gt;=5),"1799 -&gt; 2030","")</f>
        <v/>
      </c>
      <c r="C6146" t="str">
        <f>FORSIDE!$C$3</f>
        <v>S355, Stål / VFHUP 140x140x8.0</v>
      </c>
    </row>
    <row r="6147" spans="1:3" x14ac:dyDescent="0.3">
      <c r="A6147" t="str">
        <f>IF(AND(FORSIDE!$B$8&gt;=16,FORSIDE!$F$8&gt;=8,FORSIDE!$B$5&gt;=6),"S6146","")</f>
        <v/>
      </c>
      <c r="B6147" t="str">
        <f>IF(AND(FORSIDE!$B$8&gt;=16,FORSIDE!$F$8&gt;=8,FORSIDE!$B$5&gt;=6),"1800 -&gt; 2031","")</f>
        <v/>
      </c>
      <c r="C6147" t="str">
        <f>FORSIDE!$C$3</f>
        <v>S355, Stål / VFHUP 140x140x8.0</v>
      </c>
    </row>
    <row r="6148" spans="1:3" x14ac:dyDescent="0.3">
      <c r="A6148" t="str">
        <f>IF(AND(FORSIDE!$B$8&gt;=16,FORSIDE!$F$8&gt;=8,FORSIDE!$B$5&gt;=7),"S6147","")</f>
        <v/>
      </c>
      <c r="B6148" t="str">
        <f>IF(AND(FORSIDE!$B$8&gt;=16,FORSIDE!$F$8&gt;=8,FORSIDE!$B$5&gt;=7),"1801 -&gt; 2032","")</f>
        <v/>
      </c>
      <c r="C6148" t="str">
        <f>FORSIDE!$C$3</f>
        <v>S355, Stål / VFHUP 140x140x8.0</v>
      </c>
    </row>
    <row r="6149" spans="1:3" x14ac:dyDescent="0.3">
      <c r="A6149" t="str">
        <f>IF(AND(FORSIDE!$B$8&gt;=16,FORSIDE!$F$8&gt;=8,FORSIDE!$B$5&gt;=8),"S6148","")</f>
        <v/>
      </c>
      <c r="B6149" t="str">
        <f>IF(AND(FORSIDE!$B$8&gt;=16,FORSIDE!$F$8&gt;=8,FORSIDE!$B$5&gt;=8),"1802 -&gt; 2033","")</f>
        <v/>
      </c>
      <c r="C6149" t="str">
        <f>FORSIDE!$C$3</f>
        <v>S355, Stål / VFHUP 140x140x8.0</v>
      </c>
    </row>
    <row r="6150" spans="1:3" x14ac:dyDescent="0.3">
      <c r="A6150" t="str">
        <f>IF(AND(FORSIDE!$B$8&gt;=16,FORSIDE!$F$8&gt;=8,FORSIDE!$B$5&gt;=9),"S6149","")</f>
        <v/>
      </c>
      <c r="B6150" t="str">
        <f>IF(AND(FORSIDE!$B$8&gt;=16,FORSIDE!$F$8&gt;=8,FORSIDE!$B$5&gt;=9),"1803 -&gt; 2034","")</f>
        <v/>
      </c>
      <c r="C6150" t="str">
        <f>FORSIDE!$C$3</f>
        <v>S355, Stål / VFHUP 140x140x8.0</v>
      </c>
    </row>
    <row r="6151" spans="1:3" x14ac:dyDescent="0.3">
      <c r="A6151" t="str">
        <f>IF(AND(FORSIDE!$B$8&gt;=16,FORSIDE!$F$8&gt;=8,FORSIDE!$B$5&gt;=10),"S6150","")</f>
        <v/>
      </c>
      <c r="B6151" t="str">
        <f>IF(AND(FORSIDE!$B$8&gt;=16,FORSIDE!$F$8&gt;=8,FORSIDE!$B$5&gt;=10),"1804 -&gt; 2035","")</f>
        <v/>
      </c>
      <c r="C6151" t="str">
        <f>FORSIDE!$C$3</f>
        <v>S355, Stål / VFHUP 140x140x8.0</v>
      </c>
    </row>
    <row r="6152" spans="1:3" x14ac:dyDescent="0.3">
      <c r="A6152" t="str">
        <f>IF(AND(FORSIDE!$B$8&gt;=17,FORSIDE!$F$8&gt;=8,FORSIDE!$B$5&gt;=1),"S6151","")</f>
        <v/>
      </c>
      <c r="B6152" t="str">
        <f>IF(AND(FORSIDE!$B$8&gt;=17,FORSIDE!$F$8&gt;=8,FORSIDE!$B$5&gt;=1),"1806 -&gt; 2037","")</f>
        <v/>
      </c>
      <c r="C6152" t="str">
        <f>FORSIDE!$C$3</f>
        <v>S355, Stål / VFHUP 140x140x8.0</v>
      </c>
    </row>
    <row r="6153" spans="1:3" x14ac:dyDescent="0.3">
      <c r="A6153" t="str">
        <f>IF(AND(FORSIDE!$B$8&gt;=17,FORSIDE!$F$8&gt;=8,FORSIDE!$B$5&gt;=2),"S6152","")</f>
        <v/>
      </c>
      <c r="B6153" t="str">
        <f>IF(AND(FORSIDE!$B$8&gt;=17,FORSIDE!$F$8&gt;=8,FORSIDE!$B$5&gt;=2),"1807 -&gt; 2038","")</f>
        <v/>
      </c>
      <c r="C6153" t="str">
        <f>FORSIDE!$C$3</f>
        <v>S355, Stål / VFHUP 140x140x8.0</v>
      </c>
    </row>
    <row r="6154" spans="1:3" x14ac:dyDescent="0.3">
      <c r="A6154" t="str">
        <f>IF(AND(FORSIDE!$B$8&gt;=17,FORSIDE!$F$8&gt;=8,FORSIDE!$B$5&gt;=3),"S6153","")</f>
        <v/>
      </c>
      <c r="B6154" t="str">
        <f>IF(AND(FORSIDE!$B$8&gt;=17,FORSIDE!$F$8&gt;=8,FORSIDE!$B$5&gt;=3),"1808 -&gt; 2039","")</f>
        <v/>
      </c>
      <c r="C6154" t="str">
        <f>FORSIDE!$C$3</f>
        <v>S355, Stål / VFHUP 140x140x8.0</v>
      </c>
    </row>
    <row r="6155" spans="1:3" x14ac:dyDescent="0.3">
      <c r="A6155" t="str">
        <f>IF(AND(FORSIDE!$B$8&gt;=17,FORSIDE!$F$8&gt;=8,FORSIDE!$B$5&gt;=4),"S6154","")</f>
        <v/>
      </c>
      <c r="B6155" t="str">
        <f>IF(AND(FORSIDE!$B$8&gt;=17,FORSIDE!$F$8&gt;=8,FORSIDE!$B$5&gt;=4),"1809 -&gt; 2040","")</f>
        <v/>
      </c>
      <c r="C6155" t="str">
        <f>FORSIDE!$C$3</f>
        <v>S355, Stål / VFHUP 140x140x8.0</v>
      </c>
    </row>
    <row r="6156" spans="1:3" x14ac:dyDescent="0.3">
      <c r="A6156" t="str">
        <f>IF(AND(FORSIDE!$B$8&gt;=17,FORSIDE!$F$8&gt;=8,FORSIDE!$B$5&gt;=5),"S6155","")</f>
        <v/>
      </c>
      <c r="B6156" t="str">
        <f>IF(AND(FORSIDE!$B$8&gt;=17,FORSIDE!$F$8&gt;=8,FORSIDE!$B$5&gt;=5),"1810 -&gt; 2041","")</f>
        <v/>
      </c>
      <c r="C6156" t="str">
        <f>FORSIDE!$C$3</f>
        <v>S355, Stål / VFHUP 140x140x8.0</v>
      </c>
    </row>
    <row r="6157" spans="1:3" x14ac:dyDescent="0.3">
      <c r="A6157" t="str">
        <f>IF(AND(FORSIDE!$B$8&gt;=17,FORSIDE!$F$8&gt;=8,FORSIDE!$B$5&gt;=6),"S6156","")</f>
        <v/>
      </c>
      <c r="B6157" t="str">
        <f>IF(AND(FORSIDE!$B$8&gt;=17,FORSIDE!$F$8&gt;=8,FORSIDE!$B$5&gt;=6),"1811 -&gt; 2042","")</f>
        <v/>
      </c>
      <c r="C6157" t="str">
        <f>FORSIDE!$C$3</f>
        <v>S355, Stål / VFHUP 140x140x8.0</v>
      </c>
    </row>
    <row r="6158" spans="1:3" x14ac:dyDescent="0.3">
      <c r="A6158" t="str">
        <f>IF(AND(FORSIDE!$B$8&gt;=17,FORSIDE!$F$8&gt;=8,FORSIDE!$B$5&gt;=7),"S6157","")</f>
        <v/>
      </c>
      <c r="B6158" t="str">
        <f>IF(AND(FORSIDE!$B$8&gt;=17,FORSIDE!$F$8&gt;=8,FORSIDE!$B$5&gt;=7),"1812 -&gt; 2043","")</f>
        <v/>
      </c>
      <c r="C6158" t="str">
        <f>FORSIDE!$C$3</f>
        <v>S355, Stål / VFHUP 140x140x8.0</v>
      </c>
    </row>
    <row r="6159" spans="1:3" x14ac:dyDescent="0.3">
      <c r="A6159" t="str">
        <f>IF(AND(FORSIDE!$B$8&gt;=17,FORSIDE!$F$8&gt;=8,FORSIDE!$B$5&gt;=8),"S6158","")</f>
        <v/>
      </c>
      <c r="B6159" t="str">
        <f>IF(AND(FORSIDE!$B$8&gt;=17,FORSIDE!$F$8&gt;=8,FORSIDE!$B$5&gt;=8),"1813 -&gt; 2044","")</f>
        <v/>
      </c>
      <c r="C6159" t="str">
        <f>FORSIDE!$C$3</f>
        <v>S355, Stål / VFHUP 140x140x8.0</v>
      </c>
    </row>
    <row r="6160" spans="1:3" x14ac:dyDescent="0.3">
      <c r="A6160" t="str">
        <f>IF(AND(FORSIDE!$B$8&gt;=17,FORSIDE!$F$8&gt;=8,FORSIDE!$B$5&gt;=9),"S6159","")</f>
        <v/>
      </c>
      <c r="B6160" t="str">
        <f>IF(AND(FORSIDE!$B$8&gt;=17,FORSIDE!$F$8&gt;=8,FORSIDE!$B$5&gt;=9),"1814 -&gt; 2045","")</f>
        <v/>
      </c>
      <c r="C6160" t="str">
        <f>FORSIDE!$C$3</f>
        <v>S355, Stål / VFHUP 140x140x8.0</v>
      </c>
    </row>
    <row r="6161" spans="1:3" x14ac:dyDescent="0.3">
      <c r="A6161" t="str">
        <f>IF(AND(FORSIDE!$B$8&gt;=17,FORSIDE!$F$8&gt;=8,FORSIDE!$B$5&gt;=10),"S6160","")</f>
        <v/>
      </c>
      <c r="B6161" t="str">
        <f>IF(AND(FORSIDE!$B$8&gt;=17,FORSIDE!$F$8&gt;=8,FORSIDE!$B$5&gt;=10),"1815 -&gt; 2046","")</f>
        <v/>
      </c>
      <c r="C6161" t="str">
        <f>FORSIDE!$C$3</f>
        <v>S355, Stål / VFHUP 140x140x8.0</v>
      </c>
    </row>
    <row r="6162" spans="1:3" x14ac:dyDescent="0.3">
      <c r="A6162" t="str">
        <f>IF(AND(FORSIDE!$B$8&gt;=18,FORSIDE!$F$8&gt;=8,FORSIDE!$B$5&gt;=1),"S6161","")</f>
        <v/>
      </c>
      <c r="B6162" t="str">
        <f>IF(AND(FORSIDE!$B$8&gt;=18,FORSIDE!$F$8&gt;=8,FORSIDE!$B$5&gt;=1),"1817 -&gt; 2048","")</f>
        <v/>
      </c>
      <c r="C6162" t="str">
        <f>FORSIDE!$C$3</f>
        <v>S355, Stål / VFHUP 140x140x8.0</v>
      </c>
    </row>
    <row r="6163" spans="1:3" x14ac:dyDescent="0.3">
      <c r="A6163" t="str">
        <f>IF(AND(FORSIDE!$B$8&gt;=18,FORSIDE!$F$8&gt;=8,FORSIDE!$B$5&gt;=2),"S6162","")</f>
        <v/>
      </c>
      <c r="B6163" t="str">
        <f>IF(AND(FORSIDE!$B$8&gt;=18,FORSIDE!$F$8&gt;=8,FORSIDE!$B$5&gt;=2),"1818 -&gt; 2049","")</f>
        <v/>
      </c>
      <c r="C6163" t="str">
        <f>FORSIDE!$C$3</f>
        <v>S355, Stål / VFHUP 140x140x8.0</v>
      </c>
    </row>
    <row r="6164" spans="1:3" x14ac:dyDescent="0.3">
      <c r="A6164" t="str">
        <f>IF(AND(FORSIDE!$B$8&gt;=18,FORSIDE!$F$8&gt;=8,FORSIDE!$B$5&gt;=3),"S6163","")</f>
        <v/>
      </c>
      <c r="B6164" t="str">
        <f>IF(AND(FORSIDE!$B$8&gt;=18,FORSIDE!$F$8&gt;=8,FORSIDE!$B$5&gt;=3),"1819 -&gt; 2050","")</f>
        <v/>
      </c>
      <c r="C6164" t="str">
        <f>FORSIDE!$C$3</f>
        <v>S355, Stål / VFHUP 140x140x8.0</v>
      </c>
    </row>
    <row r="6165" spans="1:3" x14ac:dyDescent="0.3">
      <c r="A6165" t="str">
        <f>IF(AND(FORSIDE!$B$8&gt;=18,FORSIDE!$F$8&gt;=8,FORSIDE!$B$5&gt;=4),"S6164","")</f>
        <v/>
      </c>
      <c r="B6165" t="str">
        <f>IF(AND(FORSIDE!$B$8&gt;=18,FORSIDE!$F$8&gt;=8,FORSIDE!$B$5&gt;=4),"1820 -&gt; 2051","")</f>
        <v/>
      </c>
      <c r="C6165" t="str">
        <f>FORSIDE!$C$3</f>
        <v>S355, Stål / VFHUP 140x140x8.0</v>
      </c>
    </row>
    <row r="6166" spans="1:3" x14ac:dyDescent="0.3">
      <c r="A6166" t="str">
        <f>IF(AND(FORSIDE!$B$8&gt;=18,FORSIDE!$F$8&gt;=8,FORSIDE!$B$5&gt;=5),"S6165","")</f>
        <v/>
      </c>
      <c r="B6166" t="str">
        <f>IF(AND(FORSIDE!$B$8&gt;=18,FORSIDE!$F$8&gt;=8,FORSIDE!$B$5&gt;=5),"1821 -&gt; 2052","")</f>
        <v/>
      </c>
      <c r="C6166" t="str">
        <f>FORSIDE!$C$3</f>
        <v>S355, Stål / VFHUP 140x140x8.0</v>
      </c>
    </row>
    <row r="6167" spans="1:3" x14ac:dyDescent="0.3">
      <c r="A6167" t="str">
        <f>IF(AND(FORSIDE!$B$8&gt;=18,FORSIDE!$F$8&gt;=8,FORSIDE!$B$5&gt;=6),"S6166","")</f>
        <v/>
      </c>
      <c r="B6167" t="str">
        <f>IF(AND(FORSIDE!$B$8&gt;=18,FORSIDE!$F$8&gt;=8,FORSIDE!$B$5&gt;=6),"1822 -&gt; 2053","")</f>
        <v/>
      </c>
      <c r="C6167" t="str">
        <f>FORSIDE!$C$3</f>
        <v>S355, Stål / VFHUP 140x140x8.0</v>
      </c>
    </row>
    <row r="6168" spans="1:3" x14ac:dyDescent="0.3">
      <c r="A6168" t="str">
        <f>IF(AND(FORSIDE!$B$8&gt;=18,FORSIDE!$F$8&gt;=8,FORSIDE!$B$5&gt;=7),"S6167","")</f>
        <v/>
      </c>
      <c r="B6168" t="str">
        <f>IF(AND(FORSIDE!$B$8&gt;=18,FORSIDE!$F$8&gt;=8,FORSIDE!$B$5&gt;=7),"1823 -&gt; 2054","")</f>
        <v/>
      </c>
      <c r="C6168" t="str">
        <f>FORSIDE!$C$3</f>
        <v>S355, Stål / VFHUP 140x140x8.0</v>
      </c>
    </row>
    <row r="6169" spans="1:3" x14ac:dyDescent="0.3">
      <c r="A6169" t="str">
        <f>IF(AND(FORSIDE!$B$8&gt;=18,FORSIDE!$F$8&gt;=8,FORSIDE!$B$5&gt;=8),"S6168","")</f>
        <v/>
      </c>
      <c r="B6169" t="str">
        <f>IF(AND(FORSIDE!$B$8&gt;=18,FORSIDE!$F$8&gt;=8,FORSIDE!$B$5&gt;=8),"1824 -&gt; 2055","")</f>
        <v/>
      </c>
      <c r="C6169" t="str">
        <f>FORSIDE!$C$3</f>
        <v>S355, Stål / VFHUP 140x140x8.0</v>
      </c>
    </row>
    <row r="6170" spans="1:3" x14ac:dyDescent="0.3">
      <c r="A6170" t="str">
        <f>IF(AND(FORSIDE!$B$8&gt;=18,FORSIDE!$F$8&gt;=8,FORSIDE!$B$5&gt;=9),"S6169","")</f>
        <v/>
      </c>
      <c r="B6170" t="str">
        <f>IF(AND(FORSIDE!$B$8&gt;=18,FORSIDE!$F$8&gt;=8,FORSIDE!$B$5&gt;=9),"1825 -&gt; 2056","")</f>
        <v/>
      </c>
      <c r="C6170" t="str">
        <f>FORSIDE!$C$3</f>
        <v>S355, Stål / VFHUP 140x140x8.0</v>
      </c>
    </row>
    <row r="6171" spans="1:3" x14ac:dyDescent="0.3">
      <c r="A6171" t="str">
        <f>IF(AND(FORSIDE!$B$8&gt;=18,FORSIDE!$F$8&gt;=8,FORSIDE!$B$5&gt;=10),"S6170","")</f>
        <v/>
      </c>
      <c r="B6171" t="str">
        <f>IF(AND(FORSIDE!$B$8&gt;=18,FORSIDE!$F$8&gt;=8,FORSIDE!$B$5&gt;=10),"1826 -&gt; 2057","")</f>
        <v/>
      </c>
      <c r="C6171" t="str">
        <f>FORSIDE!$C$3</f>
        <v>S355, Stål / VFHUP 140x140x8.0</v>
      </c>
    </row>
    <row r="6172" spans="1:3" x14ac:dyDescent="0.3">
      <c r="A6172" t="str">
        <f>IF(AND(FORSIDE!$B$8&gt;=19,FORSIDE!$F$8&gt;=8,FORSIDE!$B$5&gt;=1),"S6171","")</f>
        <v/>
      </c>
      <c r="B6172" t="str">
        <f>IF(AND(FORSIDE!$B$8&gt;=19,FORSIDE!$F$8&gt;=8,FORSIDE!$B$5&gt;=1),"1828 -&gt; 2059","")</f>
        <v/>
      </c>
      <c r="C6172" t="str">
        <f>FORSIDE!$C$3</f>
        <v>S355, Stål / VFHUP 140x140x8.0</v>
      </c>
    </row>
    <row r="6173" spans="1:3" x14ac:dyDescent="0.3">
      <c r="A6173" t="str">
        <f>IF(AND(FORSIDE!$B$8&gt;=19,FORSIDE!$F$8&gt;=8,FORSIDE!$B$5&gt;=2),"S6172","")</f>
        <v/>
      </c>
      <c r="B6173" t="str">
        <f>IF(AND(FORSIDE!$B$8&gt;=19,FORSIDE!$F$8&gt;=8,FORSIDE!$B$5&gt;=2),"1829 -&gt; 2060","")</f>
        <v/>
      </c>
      <c r="C6173" t="str">
        <f>FORSIDE!$C$3</f>
        <v>S355, Stål / VFHUP 140x140x8.0</v>
      </c>
    </row>
    <row r="6174" spans="1:3" x14ac:dyDescent="0.3">
      <c r="A6174" t="str">
        <f>IF(AND(FORSIDE!$B$8&gt;=19,FORSIDE!$F$8&gt;=8,FORSIDE!$B$5&gt;=3),"S6173","")</f>
        <v/>
      </c>
      <c r="B6174" t="str">
        <f>IF(AND(FORSIDE!$B$8&gt;=19,FORSIDE!$F$8&gt;=8,FORSIDE!$B$5&gt;=3),"1830 -&gt; 2061","")</f>
        <v/>
      </c>
      <c r="C6174" t="str">
        <f>FORSIDE!$C$3</f>
        <v>S355, Stål / VFHUP 140x140x8.0</v>
      </c>
    </row>
    <row r="6175" spans="1:3" x14ac:dyDescent="0.3">
      <c r="A6175" t="str">
        <f>IF(AND(FORSIDE!$B$8&gt;=19,FORSIDE!$F$8&gt;=8,FORSIDE!$B$5&gt;=4),"S6174","")</f>
        <v/>
      </c>
      <c r="B6175" t="str">
        <f>IF(AND(FORSIDE!$B$8&gt;=19,FORSIDE!$F$8&gt;=8,FORSIDE!$B$5&gt;=4),"1831 -&gt; 2062","")</f>
        <v/>
      </c>
      <c r="C6175" t="str">
        <f>FORSIDE!$C$3</f>
        <v>S355, Stål / VFHUP 140x140x8.0</v>
      </c>
    </row>
    <row r="6176" spans="1:3" x14ac:dyDescent="0.3">
      <c r="A6176" t="str">
        <f>IF(AND(FORSIDE!$B$8&gt;=19,FORSIDE!$F$8&gt;=8,FORSIDE!$B$5&gt;=5),"S6175","")</f>
        <v/>
      </c>
      <c r="B6176" t="str">
        <f>IF(AND(FORSIDE!$B$8&gt;=19,FORSIDE!$F$8&gt;=8,FORSIDE!$B$5&gt;=5),"1832 -&gt; 2063","")</f>
        <v/>
      </c>
      <c r="C6176" t="str">
        <f>FORSIDE!$C$3</f>
        <v>S355, Stål / VFHUP 140x140x8.0</v>
      </c>
    </row>
    <row r="6177" spans="1:3" x14ac:dyDescent="0.3">
      <c r="A6177" t="str">
        <f>IF(AND(FORSIDE!$B$8&gt;=19,FORSIDE!$F$8&gt;=8,FORSIDE!$B$5&gt;=6),"S6176","")</f>
        <v/>
      </c>
      <c r="B6177" t="str">
        <f>IF(AND(FORSIDE!$B$8&gt;=19,FORSIDE!$F$8&gt;=8,FORSIDE!$B$5&gt;=6),"1833 -&gt; 2064","")</f>
        <v/>
      </c>
      <c r="C6177" t="str">
        <f>FORSIDE!$C$3</f>
        <v>S355, Stål / VFHUP 140x140x8.0</v>
      </c>
    </row>
    <row r="6178" spans="1:3" x14ac:dyDescent="0.3">
      <c r="A6178" t="str">
        <f>IF(AND(FORSIDE!$B$8&gt;=19,FORSIDE!$F$8&gt;=8,FORSIDE!$B$5&gt;=7),"S6177","")</f>
        <v/>
      </c>
      <c r="B6178" t="str">
        <f>IF(AND(FORSIDE!$B$8&gt;=19,FORSIDE!$F$8&gt;=8,FORSIDE!$B$5&gt;=7),"1834 -&gt; 2065","")</f>
        <v/>
      </c>
      <c r="C6178" t="str">
        <f>FORSIDE!$C$3</f>
        <v>S355, Stål / VFHUP 140x140x8.0</v>
      </c>
    </row>
    <row r="6179" spans="1:3" x14ac:dyDescent="0.3">
      <c r="A6179" t="str">
        <f>IF(AND(FORSIDE!$B$8&gt;=19,FORSIDE!$F$8&gt;=8,FORSIDE!$B$5&gt;=8),"S6178","")</f>
        <v/>
      </c>
      <c r="B6179" t="str">
        <f>IF(AND(FORSIDE!$B$8&gt;=19,FORSIDE!$F$8&gt;=8,FORSIDE!$B$5&gt;=8),"1835 -&gt; 2066","")</f>
        <v/>
      </c>
      <c r="C6179" t="str">
        <f>FORSIDE!$C$3</f>
        <v>S355, Stål / VFHUP 140x140x8.0</v>
      </c>
    </row>
    <row r="6180" spans="1:3" x14ac:dyDescent="0.3">
      <c r="A6180" t="str">
        <f>IF(AND(FORSIDE!$B$8&gt;=19,FORSIDE!$F$8&gt;=8,FORSIDE!$B$5&gt;=9),"S6179","")</f>
        <v/>
      </c>
      <c r="B6180" t="str">
        <f>IF(AND(FORSIDE!$B$8&gt;=19,FORSIDE!$F$8&gt;=8,FORSIDE!$B$5&gt;=9),"1836 -&gt; 2067","")</f>
        <v/>
      </c>
      <c r="C6180" t="str">
        <f>FORSIDE!$C$3</f>
        <v>S355, Stål / VFHUP 140x140x8.0</v>
      </c>
    </row>
    <row r="6181" spans="1:3" x14ac:dyDescent="0.3">
      <c r="A6181" t="str">
        <f>IF(AND(FORSIDE!$B$8&gt;=19,FORSIDE!$F$8&gt;=8,FORSIDE!$B$5&gt;=10),"S6180","")</f>
        <v/>
      </c>
      <c r="B6181" t="str">
        <f>IF(AND(FORSIDE!$B$8&gt;=19,FORSIDE!$F$8&gt;=8,FORSIDE!$B$5&gt;=10),"1837 -&gt; 2068","")</f>
        <v/>
      </c>
      <c r="C6181" t="str">
        <f>FORSIDE!$C$3</f>
        <v>S355, Stål / VFHUP 140x140x8.0</v>
      </c>
    </row>
    <row r="6182" spans="1:3" x14ac:dyDescent="0.3">
      <c r="A6182" t="str">
        <f>IF(AND(FORSIDE!$B$8&gt;=20,FORSIDE!$F$8&gt;=8,FORSIDE!$B$5&gt;=1),"S6181","")</f>
        <v/>
      </c>
      <c r="B6182" t="str">
        <f>IF(AND(FORSIDE!$B$8&gt;=20,FORSIDE!$F$8&gt;=8,FORSIDE!$B$5&gt;=1),"1839 -&gt; 2070","")</f>
        <v/>
      </c>
      <c r="C6182" t="str">
        <f>FORSIDE!$C$3</f>
        <v>S355, Stål / VFHUP 140x140x8.0</v>
      </c>
    </row>
    <row r="6183" spans="1:3" x14ac:dyDescent="0.3">
      <c r="A6183" t="str">
        <f>IF(AND(FORSIDE!$B$8&gt;=20,FORSIDE!$F$8&gt;=8,FORSIDE!$B$5&gt;=2),"S6182","")</f>
        <v/>
      </c>
      <c r="B6183" t="str">
        <f>IF(AND(FORSIDE!$B$8&gt;=20,FORSIDE!$F$8&gt;=8,FORSIDE!$B$5&gt;=2),"1840 -&gt; 2071","")</f>
        <v/>
      </c>
      <c r="C6183" t="str">
        <f>FORSIDE!$C$3</f>
        <v>S355, Stål / VFHUP 140x140x8.0</v>
      </c>
    </row>
    <row r="6184" spans="1:3" x14ac:dyDescent="0.3">
      <c r="A6184" t="str">
        <f>IF(AND(FORSIDE!$B$8&gt;=20,FORSIDE!$F$8&gt;=8,FORSIDE!$B$5&gt;=3),"S6183","")</f>
        <v/>
      </c>
      <c r="B6184" t="str">
        <f>IF(AND(FORSIDE!$B$8&gt;=20,FORSIDE!$F$8&gt;=8,FORSIDE!$B$5&gt;=3),"1841 -&gt; 2072","")</f>
        <v/>
      </c>
      <c r="C6184" t="str">
        <f>FORSIDE!$C$3</f>
        <v>S355, Stål / VFHUP 140x140x8.0</v>
      </c>
    </row>
    <row r="6185" spans="1:3" x14ac:dyDescent="0.3">
      <c r="A6185" t="str">
        <f>IF(AND(FORSIDE!$B$8&gt;=20,FORSIDE!$F$8&gt;=8,FORSIDE!$B$5&gt;=4),"S6184","")</f>
        <v/>
      </c>
      <c r="B6185" t="str">
        <f>IF(AND(FORSIDE!$B$8&gt;=20,FORSIDE!$F$8&gt;=8,FORSIDE!$B$5&gt;=4),"1842 -&gt; 2073","")</f>
        <v/>
      </c>
      <c r="C6185" t="str">
        <f>FORSIDE!$C$3</f>
        <v>S355, Stål / VFHUP 140x140x8.0</v>
      </c>
    </row>
    <row r="6186" spans="1:3" x14ac:dyDescent="0.3">
      <c r="A6186" t="str">
        <f>IF(AND(FORSIDE!$B$8&gt;=20,FORSIDE!$F$8&gt;=8,FORSIDE!$B$5&gt;=5),"S6185","")</f>
        <v/>
      </c>
      <c r="B6186" t="str">
        <f>IF(AND(FORSIDE!$B$8&gt;=20,FORSIDE!$F$8&gt;=8,FORSIDE!$B$5&gt;=5),"1843 -&gt; 2074","")</f>
        <v/>
      </c>
      <c r="C6186" t="str">
        <f>FORSIDE!$C$3</f>
        <v>S355, Stål / VFHUP 140x140x8.0</v>
      </c>
    </row>
    <row r="6187" spans="1:3" x14ac:dyDescent="0.3">
      <c r="A6187" t="str">
        <f>IF(AND(FORSIDE!$B$8&gt;=20,FORSIDE!$F$8&gt;=8,FORSIDE!$B$5&gt;=6),"S6186","")</f>
        <v/>
      </c>
      <c r="B6187" t="str">
        <f>IF(AND(FORSIDE!$B$8&gt;=20,FORSIDE!$F$8&gt;=8,FORSIDE!$B$5&gt;=6),"1844 -&gt; 2075","")</f>
        <v/>
      </c>
      <c r="C6187" t="str">
        <f>FORSIDE!$C$3</f>
        <v>S355, Stål / VFHUP 140x140x8.0</v>
      </c>
    </row>
    <row r="6188" spans="1:3" x14ac:dyDescent="0.3">
      <c r="A6188" t="str">
        <f>IF(AND(FORSIDE!$B$8&gt;=20,FORSIDE!$F$8&gt;=8,FORSIDE!$B$5&gt;=7),"S6187","")</f>
        <v/>
      </c>
      <c r="B6188" t="str">
        <f>IF(AND(FORSIDE!$B$8&gt;=20,FORSIDE!$F$8&gt;=8,FORSIDE!$B$5&gt;=7),"1845 -&gt; 2076","")</f>
        <v/>
      </c>
      <c r="C6188" t="str">
        <f>FORSIDE!$C$3</f>
        <v>S355, Stål / VFHUP 140x140x8.0</v>
      </c>
    </row>
    <row r="6189" spans="1:3" x14ac:dyDescent="0.3">
      <c r="A6189" t="str">
        <f>IF(AND(FORSIDE!$B$8&gt;=20,FORSIDE!$F$8&gt;=8,FORSIDE!$B$5&gt;=8),"S6188","")</f>
        <v/>
      </c>
      <c r="B6189" t="str">
        <f>IF(AND(FORSIDE!$B$8&gt;=20,FORSIDE!$F$8&gt;=8,FORSIDE!$B$5&gt;=8),"1846 -&gt; 2077","")</f>
        <v/>
      </c>
      <c r="C6189" t="str">
        <f>FORSIDE!$C$3</f>
        <v>S355, Stål / VFHUP 140x140x8.0</v>
      </c>
    </row>
    <row r="6190" spans="1:3" x14ac:dyDescent="0.3">
      <c r="A6190" t="str">
        <f>IF(AND(FORSIDE!$B$8&gt;=20,FORSIDE!$F$8&gt;=8,FORSIDE!$B$5&gt;=9),"S6189","")</f>
        <v/>
      </c>
      <c r="B6190" t="str">
        <f>IF(AND(FORSIDE!$B$8&gt;=20,FORSIDE!$F$8&gt;=8,FORSIDE!$B$5&gt;=9),"1847 -&gt; 2078","")</f>
        <v/>
      </c>
      <c r="C6190" t="str">
        <f>FORSIDE!$C$3</f>
        <v>S355, Stål / VFHUP 140x140x8.0</v>
      </c>
    </row>
    <row r="6191" spans="1:3" x14ac:dyDescent="0.3">
      <c r="A6191" t="str">
        <f>IF(AND(FORSIDE!$B$8&gt;=20,FORSIDE!$F$8&gt;=8,FORSIDE!$B$5&gt;=10),"S6190","")</f>
        <v/>
      </c>
      <c r="B6191" t="str">
        <f>IF(AND(FORSIDE!$B$8&gt;=20,FORSIDE!$F$8&gt;=8,FORSIDE!$B$5&gt;=10),"1848 -&gt; 2079","")</f>
        <v/>
      </c>
      <c r="C6191" t="str">
        <f>FORSIDE!$C$3</f>
        <v>S355, Stål / VFHUP 140x140x8.0</v>
      </c>
    </row>
    <row r="6192" spans="1:3" x14ac:dyDescent="0.3">
      <c r="A6192" t="str">
        <f>IF(AND(FORSIDE!$B$8&gt;=0,FORSIDE!$F$8&gt;=9,FORSIDE!$B$5&gt;=1),"S6191","")</f>
        <v/>
      </c>
      <c r="B6192" t="str">
        <f>IF(AND(FORSIDE!$B$8&gt;=0,FORSIDE!$F$8&gt;=9,FORSIDE!$B$5&gt;=1),"1850 -&gt; 2081","")</f>
        <v/>
      </c>
      <c r="C6192" t="str">
        <f>FORSIDE!$C$3</f>
        <v>S355, Stål / VFHUP 140x140x8.0</v>
      </c>
    </row>
    <row r="6193" spans="1:3" x14ac:dyDescent="0.3">
      <c r="A6193" t="str">
        <f>IF(AND(FORSIDE!$B$8&gt;=0,FORSIDE!$F$8&gt;=9,FORSIDE!$B$5&gt;=2),"S6192","")</f>
        <v/>
      </c>
      <c r="B6193" t="str">
        <f>IF(AND(FORSIDE!$B$8&gt;=0,FORSIDE!$F$8&gt;=9,FORSIDE!$B$5&gt;=2),"1851 -&gt; 2082","")</f>
        <v/>
      </c>
      <c r="C6193" t="str">
        <f>FORSIDE!$C$3</f>
        <v>S355, Stål / VFHUP 140x140x8.0</v>
      </c>
    </row>
    <row r="6194" spans="1:3" x14ac:dyDescent="0.3">
      <c r="A6194" t="str">
        <f>IF(AND(FORSIDE!$B$8&gt;=0,FORSIDE!$F$8&gt;=9,FORSIDE!$B$5&gt;=3),"S6193","")</f>
        <v/>
      </c>
      <c r="B6194" t="str">
        <f>IF(AND(FORSIDE!$B$8&gt;=0,FORSIDE!$F$8&gt;=9,FORSIDE!$B$5&gt;=3),"1852 -&gt; 2083","")</f>
        <v/>
      </c>
      <c r="C6194" t="str">
        <f>FORSIDE!$C$3</f>
        <v>S355, Stål / VFHUP 140x140x8.0</v>
      </c>
    </row>
    <row r="6195" spans="1:3" x14ac:dyDescent="0.3">
      <c r="A6195" t="str">
        <f>IF(AND(FORSIDE!$B$8&gt;=0,FORSIDE!$F$8&gt;=9,FORSIDE!$B$5&gt;=4),"S6194","")</f>
        <v/>
      </c>
      <c r="B6195" t="str">
        <f>IF(AND(FORSIDE!$B$8&gt;=0,FORSIDE!$F$8&gt;=9,FORSIDE!$B$5&gt;=4),"1853 -&gt; 2084","")</f>
        <v/>
      </c>
      <c r="C6195" t="str">
        <f>FORSIDE!$C$3</f>
        <v>S355, Stål / VFHUP 140x140x8.0</v>
      </c>
    </row>
    <row r="6196" spans="1:3" x14ac:dyDescent="0.3">
      <c r="A6196" t="str">
        <f>IF(AND(FORSIDE!$B$8&gt;=0,FORSIDE!$F$8&gt;=9,FORSIDE!$B$5&gt;=5),"S6195","")</f>
        <v/>
      </c>
      <c r="B6196" t="str">
        <f>IF(AND(FORSIDE!$B$8&gt;=0,FORSIDE!$F$8&gt;=9,FORSIDE!$B$5&gt;=5),"1854 -&gt; 2085","")</f>
        <v/>
      </c>
      <c r="C6196" t="str">
        <f>FORSIDE!$C$3</f>
        <v>S355, Stål / VFHUP 140x140x8.0</v>
      </c>
    </row>
    <row r="6197" spans="1:3" x14ac:dyDescent="0.3">
      <c r="A6197" t="str">
        <f>IF(AND(FORSIDE!$B$8&gt;=0,FORSIDE!$F$8&gt;=9,FORSIDE!$B$5&gt;=6),"S6196","")</f>
        <v/>
      </c>
      <c r="B6197" t="str">
        <f>IF(AND(FORSIDE!$B$8&gt;=0,FORSIDE!$F$8&gt;=9,FORSIDE!$B$5&gt;=6),"1855 -&gt; 2086","")</f>
        <v/>
      </c>
      <c r="C6197" t="str">
        <f>FORSIDE!$C$3</f>
        <v>S355, Stål / VFHUP 140x140x8.0</v>
      </c>
    </row>
    <row r="6198" spans="1:3" x14ac:dyDescent="0.3">
      <c r="A6198" t="str">
        <f>IF(AND(FORSIDE!$B$8&gt;=0,FORSIDE!$F$8&gt;=9,FORSIDE!$B$5&gt;=7),"S6197","")</f>
        <v/>
      </c>
      <c r="B6198" t="str">
        <f>IF(AND(FORSIDE!$B$8&gt;=0,FORSIDE!$F$8&gt;=9,FORSIDE!$B$5&gt;=7),"1856 -&gt; 2087","")</f>
        <v/>
      </c>
      <c r="C6198" t="str">
        <f>FORSIDE!$C$3</f>
        <v>S355, Stål / VFHUP 140x140x8.0</v>
      </c>
    </row>
    <row r="6199" spans="1:3" x14ac:dyDescent="0.3">
      <c r="A6199" t="str">
        <f>IF(AND(FORSIDE!$B$8&gt;=0,FORSIDE!$F$8&gt;=9,FORSIDE!$B$5&gt;=8),"S6198","")</f>
        <v/>
      </c>
      <c r="B6199" t="str">
        <f>IF(AND(FORSIDE!$B$8&gt;=0,FORSIDE!$F$8&gt;=9,FORSIDE!$B$5&gt;=8),"1857 -&gt; 2088","")</f>
        <v/>
      </c>
      <c r="C6199" t="str">
        <f>FORSIDE!$C$3</f>
        <v>S355, Stål / VFHUP 140x140x8.0</v>
      </c>
    </row>
    <row r="6200" spans="1:3" x14ac:dyDescent="0.3">
      <c r="A6200" t="str">
        <f>IF(AND(FORSIDE!$B$8&gt;=0,FORSIDE!$F$8&gt;=9,FORSIDE!$B$5&gt;=9),"S6199","")</f>
        <v/>
      </c>
      <c r="B6200" t="str">
        <f>IF(AND(FORSIDE!$B$8&gt;=0,FORSIDE!$F$8&gt;=9,FORSIDE!$B$5&gt;=9),"1858 -&gt; 2089","")</f>
        <v/>
      </c>
      <c r="C6200" t="str">
        <f>FORSIDE!$C$3</f>
        <v>S355, Stål / VFHUP 140x140x8.0</v>
      </c>
    </row>
    <row r="6201" spans="1:3" x14ac:dyDescent="0.3">
      <c r="A6201" t="str">
        <f>IF(AND(FORSIDE!$B$8&gt;=0,FORSIDE!$F$8&gt;=9,FORSIDE!$B$5&gt;=10),"S6200","")</f>
        <v/>
      </c>
      <c r="B6201" t="str">
        <f>IF(AND(FORSIDE!$B$8&gt;=0,FORSIDE!$F$8&gt;=9,FORSIDE!$B$5&gt;=10),"1859 -&gt; 2090","")</f>
        <v/>
      </c>
      <c r="C6201" t="str">
        <f>FORSIDE!$C$3</f>
        <v>S355, Stål / VFHUP 140x140x8.0</v>
      </c>
    </row>
    <row r="6202" spans="1:3" x14ac:dyDescent="0.3">
      <c r="A6202" t="str">
        <f>IF(AND(FORSIDE!$B$8&gt;=1,FORSIDE!$F$8&gt;=9,FORSIDE!$B$5&gt;=1),"S6201","")</f>
        <v/>
      </c>
      <c r="B6202" t="str">
        <f>IF(AND(FORSIDE!$B$8&gt;=1,FORSIDE!$F$8&gt;=9,FORSIDE!$B$5&gt;=1),"1861 -&gt; 2092","")</f>
        <v/>
      </c>
      <c r="C6202" t="str">
        <f>FORSIDE!$C$3</f>
        <v>S355, Stål / VFHUP 140x140x8.0</v>
      </c>
    </row>
    <row r="6203" spans="1:3" x14ac:dyDescent="0.3">
      <c r="A6203" t="str">
        <f>IF(AND(FORSIDE!$B$8&gt;=1,FORSIDE!$F$8&gt;=9,FORSIDE!$B$5&gt;=2),"S6202","")</f>
        <v/>
      </c>
      <c r="B6203" t="str">
        <f>IF(AND(FORSIDE!$B$8&gt;=1,FORSIDE!$F$8&gt;=9,FORSIDE!$B$5&gt;=2),"1862 -&gt; 2093","")</f>
        <v/>
      </c>
      <c r="C6203" t="str">
        <f>FORSIDE!$C$3</f>
        <v>S355, Stål / VFHUP 140x140x8.0</v>
      </c>
    </row>
    <row r="6204" spans="1:3" x14ac:dyDescent="0.3">
      <c r="A6204" t="str">
        <f>IF(AND(FORSIDE!$B$8&gt;=1,FORSIDE!$F$8&gt;=9,FORSIDE!$B$5&gt;=3),"S6203","")</f>
        <v/>
      </c>
      <c r="B6204" t="str">
        <f>IF(AND(FORSIDE!$B$8&gt;=1,FORSIDE!$F$8&gt;=9,FORSIDE!$B$5&gt;=3),"1863 -&gt; 2094","")</f>
        <v/>
      </c>
      <c r="C6204" t="str">
        <f>FORSIDE!$C$3</f>
        <v>S355, Stål / VFHUP 140x140x8.0</v>
      </c>
    </row>
    <row r="6205" spans="1:3" x14ac:dyDescent="0.3">
      <c r="A6205" t="str">
        <f>IF(AND(FORSIDE!$B$8&gt;=1,FORSIDE!$F$8&gt;=9,FORSIDE!$B$5&gt;=4),"S6204","")</f>
        <v/>
      </c>
      <c r="B6205" t="str">
        <f>IF(AND(FORSIDE!$B$8&gt;=1,FORSIDE!$F$8&gt;=9,FORSIDE!$B$5&gt;=4),"1864 -&gt; 2095","")</f>
        <v/>
      </c>
      <c r="C6205" t="str">
        <f>FORSIDE!$C$3</f>
        <v>S355, Stål / VFHUP 140x140x8.0</v>
      </c>
    </row>
    <row r="6206" spans="1:3" x14ac:dyDescent="0.3">
      <c r="A6206" t="str">
        <f>IF(AND(FORSIDE!$B$8&gt;=1,FORSIDE!$F$8&gt;=9,FORSIDE!$B$5&gt;=5),"S6205","")</f>
        <v/>
      </c>
      <c r="B6206" t="str">
        <f>IF(AND(FORSIDE!$B$8&gt;=1,FORSIDE!$F$8&gt;=9,FORSIDE!$B$5&gt;=5),"1865 -&gt; 2096","")</f>
        <v/>
      </c>
      <c r="C6206" t="str">
        <f>FORSIDE!$C$3</f>
        <v>S355, Stål / VFHUP 140x140x8.0</v>
      </c>
    </row>
    <row r="6207" spans="1:3" x14ac:dyDescent="0.3">
      <c r="A6207" t="str">
        <f>IF(AND(FORSIDE!$B$8&gt;=1,FORSIDE!$F$8&gt;=9,FORSIDE!$B$5&gt;=6),"S6206","")</f>
        <v/>
      </c>
      <c r="B6207" t="str">
        <f>IF(AND(FORSIDE!$B$8&gt;=1,FORSIDE!$F$8&gt;=9,FORSIDE!$B$5&gt;=6),"1866 -&gt; 2097","")</f>
        <v/>
      </c>
      <c r="C6207" t="str">
        <f>FORSIDE!$C$3</f>
        <v>S355, Stål / VFHUP 140x140x8.0</v>
      </c>
    </row>
    <row r="6208" spans="1:3" x14ac:dyDescent="0.3">
      <c r="A6208" t="str">
        <f>IF(AND(FORSIDE!$B$8&gt;=1,FORSIDE!$F$8&gt;=9,FORSIDE!$B$5&gt;=7),"S6207","")</f>
        <v/>
      </c>
      <c r="B6208" t="str">
        <f>IF(AND(FORSIDE!$B$8&gt;=1,FORSIDE!$F$8&gt;=9,FORSIDE!$B$5&gt;=7),"1867 -&gt; 2098","")</f>
        <v/>
      </c>
      <c r="C6208" t="str">
        <f>FORSIDE!$C$3</f>
        <v>S355, Stål / VFHUP 140x140x8.0</v>
      </c>
    </row>
    <row r="6209" spans="1:3" x14ac:dyDescent="0.3">
      <c r="A6209" t="str">
        <f>IF(AND(FORSIDE!$B$8&gt;=1,FORSIDE!$F$8&gt;=9,FORSIDE!$B$5&gt;=8),"S6208","")</f>
        <v/>
      </c>
      <c r="B6209" t="str">
        <f>IF(AND(FORSIDE!$B$8&gt;=1,FORSIDE!$F$8&gt;=9,FORSIDE!$B$5&gt;=8),"1868 -&gt; 2099","")</f>
        <v/>
      </c>
      <c r="C6209" t="str">
        <f>FORSIDE!$C$3</f>
        <v>S355, Stål / VFHUP 140x140x8.0</v>
      </c>
    </row>
    <row r="6210" spans="1:3" x14ac:dyDescent="0.3">
      <c r="A6210" t="str">
        <f>IF(AND(FORSIDE!$B$8&gt;=1,FORSIDE!$F$8&gt;=9,FORSIDE!$B$5&gt;=9),"S6209","")</f>
        <v/>
      </c>
      <c r="B6210" t="str">
        <f>IF(AND(FORSIDE!$B$8&gt;=1,FORSIDE!$F$8&gt;=9,FORSIDE!$B$5&gt;=9),"1869 -&gt; 2100","")</f>
        <v/>
      </c>
      <c r="C6210" t="str">
        <f>FORSIDE!$C$3</f>
        <v>S355, Stål / VFHUP 140x140x8.0</v>
      </c>
    </row>
    <row r="6211" spans="1:3" x14ac:dyDescent="0.3">
      <c r="A6211" t="str">
        <f>IF(AND(FORSIDE!$B$8&gt;=1,FORSIDE!$F$8&gt;=9,FORSIDE!$B$5&gt;=10),"S6210","")</f>
        <v/>
      </c>
      <c r="B6211" t="str">
        <f>IF(AND(FORSIDE!$B$8&gt;=1,FORSIDE!$F$8&gt;=9,FORSIDE!$B$5&gt;=10),"1870 -&gt; 2101","")</f>
        <v/>
      </c>
      <c r="C6211" t="str">
        <f>FORSIDE!$C$3</f>
        <v>S355, Stål / VFHUP 140x140x8.0</v>
      </c>
    </row>
    <row r="6212" spans="1:3" x14ac:dyDescent="0.3">
      <c r="A6212" t="str">
        <f>IF(AND(FORSIDE!$B$8&gt;=2,FORSIDE!$F$8&gt;=9,FORSIDE!$B$5&gt;=1),"S6211","")</f>
        <v/>
      </c>
      <c r="B6212" t="str">
        <f>IF(AND(FORSIDE!$B$8&gt;=2,FORSIDE!$F$8&gt;=9,FORSIDE!$B$5&gt;=1),"1872 -&gt; 2103","")</f>
        <v/>
      </c>
      <c r="C6212" t="str">
        <f>FORSIDE!$C$3</f>
        <v>S355, Stål / VFHUP 140x140x8.0</v>
      </c>
    </row>
    <row r="6213" spans="1:3" x14ac:dyDescent="0.3">
      <c r="A6213" t="str">
        <f>IF(AND(FORSIDE!$B$8&gt;=2,FORSIDE!$F$8&gt;=9,FORSIDE!$B$5&gt;=2),"S6212","")</f>
        <v/>
      </c>
      <c r="B6213" t="str">
        <f>IF(AND(FORSIDE!$B$8&gt;=2,FORSIDE!$F$8&gt;=9,FORSIDE!$B$5&gt;=2),"1873 -&gt; 2104","")</f>
        <v/>
      </c>
      <c r="C6213" t="str">
        <f>FORSIDE!$C$3</f>
        <v>S355, Stål / VFHUP 140x140x8.0</v>
      </c>
    </row>
    <row r="6214" spans="1:3" x14ac:dyDescent="0.3">
      <c r="A6214" t="str">
        <f>IF(AND(FORSIDE!$B$8&gt;=2,FORSIDE!$F$8&gt;=9,FORSIDE!$B$5&gt;=3),"S6213","")</f>
        <v/>
      </c>
      <c r="B6214" t="str">
        <f>IF(AND(FORSIDE!$B$8&gt;=2,FORSIDE!$F$8&gt;=9,FORSIDE!$B$5&gt;=3),"1874 -&gt; 2105","")</f>
        <v/>
      </c>
      <c r="C6214" t="str">
        <f>FORSIDE!$C$3</f>
        <v>S355, Stål / VFHUP 140x140x8.0</v>
      </c>
    </row>
    <row r="6215" spans="1:3" x14ac:dyDescent="0.3">
      <c r="A6215" t="str">
        <f>IF(AND(FORSIDE!$B$8&gt;=2,FORSIDE!$F$8&gt;=9,FORSIDE!$B$5&gt;=4),"S6214","")</f>
        <v/>
      </c>
      <c r="B6215" t="str">
        <f>IF(AND(FORSIDE!$B$8&gt;=2,FORSIDE!$F$8&gt;=9,FORSIDE!$B$5&gt;=4),"1875 -&gt; 2106","")</f>
        <v/>
      </c>
      <c r="C6215" t="str">
        <f>FORSIDE!$C$3</f>
        <v>S355, Stål / VFHUP 140x140x8.0</v>
      </c>
    </row>
    <row r="6216" spans="1:3" x14ac:dyDescent="0.3">
      <c r="A6216" t="str">
        <f>IF(AND(FORSIDE!$B$8&gt;=2,FORSIDE!$F$8&gt;=9,FORSIDE!$B$5&gt;=5),"S6215","")</f>
        <v/>
      </c>
      <c r="B6216" t="str">
        <f>IF(AND(FORSIDE!$B$8&gt;=2,FORSIDE!$F$8&gt;=9,FORSIDE!$B$5&gt;=5),"1876 -&gt; 2107","")</f>
        <v/>
      </c>
      <c r="C6216" t="str">
        <f>FORSIDE!$C$3</f>
        <v>S355, Stål / VFHUP 140x140x8.0</v>
      </c>
    </row>
    <row r="6217" spans="1:3" x14ac:dyDescent="0.3">
      <c r="A6217" t="str">
        <f>IF(AND(FORSIDE!$B$8&gt;=2,FORSIDE!$F$8&gt;=9,FORSIDE!$B$5&gt;=6),"S6216","")</f>
        <v/>
      </c>
      <c r="B6217" t="str">
        <f>IF(AND(FORSIDE!$B$8&gt;=2,FORSIDE!$F$8&gt;=9,FORSIDE!$B$5&gt;=6),"1877 -&gt; 2108","")</f>
        <v/>
      </c>
      <c r="C6217" t="str">
        <f>FORSIDE!$C$3</f>
        <v>S355, Stål / VFHUP 140x140x8.0</v>
      </c>
    </row>
    <row r="6218" spans="1:3" x14ac:dyDescent="0.3">
      <c r="A6218" t="str">
        <f>IF(AND(FORSIDE!$B$8&gt;=2,FORSIDE!$F$8&gt;=9,FORSIDE!$B$5&gt;=7),"S6217","")</f>
        <v/>
      </c>
      <c r="B6218" t="str">
        <f>IF(AND(FORSIDE!$B$8&gt;=2,FORSIDE!$F$8&gt;=9,FORSIDE!$B$5&gt;=7),"1878 -&gt; 2109","")</f>
        <v/>
      </c>
      <c r="C6218" t="str">
        <f>FORSIDE!$C$3</f>
        <v>S355, Stål / VFHUP 140x140x8.0</v>
      </c>
    </row>
    <row r="6219" spans="1:3" x14ac:dyDescent="0.3">
      <c r="A6219" t="str">
        <f>IF(AND(FORSIDE!$B$8&gt;=2,FORSIDE!$F$8&gt;=9,FORSIDE!$B$5&gt;=8),"S6218","")</f>
        <v/>
      </c>
      <c r="B6219" t="str">
        <f>IF(AND(FORSIDE!$B$8&gt;=2,FORSIDE!$F$8&gt;=9,FORSIDE!$B$5&gt;=8),"1879 -&gt; 2110","")</f>
        <v/>
      </c>
      <c r="C6219" t="str">
        <f>FORSIDE!$C$3</f>
        <v>S355, Stål / VFHUP 140x140x8.0</v>
      </c>
    </row>
    <row r="6220" spans="1:3" x14ac:dyDescent="0.3">
      <c r="A6220" t="str">
        <f>IF(AND(FORSIDE!$B$8&gt;=2,FORSIDE!$F$8&gt;=9,FORSIDE!$B$5&gt;=9),"S6219","")</f>
        <v/>
      </c>
      <c r="B6220" t="str">
        <f>IF(AND(FORSIDE!$B$8&gt;=2,FORSIDE!$F$8&gt;=9,FORSIDE!$B$5&gt;=9),"1880 -&gt; 2111","")</f>
        <v/>
      </c>
      <c r="C6220" t="str">
        <f>FORSIDE!$C$3</f>
        <v>S355, Stål / VFHUP 140x140x8.0</v>
      </c>
    </row>
    <row r="6221" spans="1:3" x14ac:dyDescent="0.3">
      <c r="A6221" t="str">
        <f>IF(AND(FORSIDE!$B$8&gt;=2,FORSIDE!$F$8&gt;=9,FORSIDE!$B$5&gt;=10),"S6220","")</f>
        <v/>
      </c>
      <c r="B6221" t="str">
        <f>IF(AND(FORSIDE!$B$8&gt;=2,FORSIDE!$F$8&gt;=9,FORSIDE!$B$5&gt;=10),"1881 -&gt; 2112","")</f>
        <v/>
      </c>
      <c r="C6221" t="str">
        <f>FORSIDE!$C$3</f>
        <v>S355, Stål / VFHUP 140x140x8.0</v>
      </c>
    </row>
    <row r="6222" spans="1:3" x14ac:dyDescent="0.3">
      <c r="A6222" t="str">
        <f>IF(AND(FORSIDE!$B$8&gt;=3,FORSIDE!$F$8&gt;=9,FORSIDE!$B$5&gt;=1),"S6221","")</f>
        <v/>
      </c>
      <c r="B6222" t="str">
        <f>IF(AND(FORSIDE!$B$8&gt;=3,FORSIDE!$F$8&gt;=9,FORSIDE!$B$5&gt;=1),"1883 -&gt; 2114","")</f>
        <v/>
      </c>
      <c r="C6222" t="str">
        <f>FORSIDE!$C$3</f>
        <v>S355, Stål / VFHUP 140x140x8.0</v>
      </c>
    </row>
    <row r="6223" spans="1:3" x14ac:dyDescent="0.3">
      <c r="A6223" t="str">
        <f>IF(AND(FORSIDE!$B$8&gt;=3,FORSIDE!$F$8&gt;=9,FORSIDE!$B$5&gt;=2),"S6222","")</f>
        <v/>
      </c>
      <c r="B6223" t="str">
        <f>IF(AND(FORSIDE!$B$8&gt;=3,FORSIDE!$F$8&gt;=9,FORSIDE!$B$5&gt;=2),"1884 -&gt; 2115","")</f>
        <v/>
      </c>
      <c r="C6223" t="str">
        <f>FORSIDE!$C$3</f>
        <v>S355, Stål / VFHUP 140x140x8.0</v>
      </c>
    </row>
    <row r="6224" spans="1:3" x14ac:dyDescent="0.3">
      <c r="A6224" t="str">
        <f>IF(AND(FORSIDE!$B$8&gt;=3,FORSIDE!$F$8&gt;=9,FORSIDE!$B$5&gt;=3),"S6223","")</f>
        <v/>
      </c>
      <c r="B6224" t="str">
        <f>IF(AND(FORSIDE!$B$8&gt;=3,FORSIDE!$F$8&gt;=9,FORSIDE!$B$5&gt;=3),"1885 -&gt; 2116","")</f>
        <v/>
      </c>
      <c r="C6224" t="str">
        <f>FORSIDE!$C$3</f>
        <v>S355, Stål / VFHUP 140x140x8.0</v>
      </c>
    </row>
    <row r="6225" spans="1:3" x14ac:dyDescent="0.3">
      <c r="A6225" t="str">
        <f>IF(AND(FORSIDE!$B$8&gt;=3,FORSIDE!$F$8&gt;=9,FORSIDE!$B$5&gt;=4),"S6224","")</f>
        <v/>
      </c>
      <c r="B6225" t="str">
        <f>IF(AND(FORSIDE!$B$8&gt;=3,FORSIDE!$F$8&gt;=9,FORSIDE!$B$5&gt;=4),"1886 -&gt; 2117","")</f>
        <v/>
      </c>
      <c r="C6225" t="str">
        <f>FORSIDE!$C$3</f>
        <v>S355, Stål / VFHUP 140x140x8.0</v>
      </c>
    </row>
    <row r="6226" spans="1:3" x14ac:dyDescent="0.3">
      <c r="A6226" t="str">
        <f>IF(AND(FORSIDE!$B$8&gt;=3,FORSIDE!$F$8&gt;=9,FORSIDE!$B$5&gt;=5),"S6225","")</f>
        <v/>
      </c>
      <c r="B6226" t="str">
        <f>IF(AND(FORSIDE!$B$8&gt;=3,FORSIDE!$F$8&gt;=9,FORSIDE!$B$5&gt;=5),"1887 -&gt; 2118","")</f>
        <v/>
      </c>
      <c r="C6226" t="str">
        <f>FORSIDE!$C$3</f>
        <v>S355, Stål / VFHUP 140x140x8.0</v>
      </c>
    </row>
    <row r="6227" spans="1:3" x14ac:dyDescent="0.3">
      <c r="A6227" t="str">
        <f>IF(AND(FORSIDE!$B$8&gt;=3,FORSIDE!$F$8&gt;=9,FORSIDE!$B$5&gt;=6),"S6226","")</f>
        <v/>
      </c>
      <c r="B6227" t="str">
        <f>IF(AND(FORSIDE!$B$8&gt;=3,FORSIDE!$F$8&gt;=9,FORSIDE!$B$5&gt;=6),"1888 -&gt; 2119","")</f>
        <v/>
      </c>
      <c r="C6227" t="str">
        <f>FORSIDE!$C$3</f>
        <v>S355, Stål / VFHUP 140x140x8.0</v>
      </c>
    </row>
    <row r="6228" spans="1:3" x14ac:dyDescent="0.3">
      <c r="A6228" t="str">
        <f>IF(AND(FORSIDE!$B$8&gt;=3,FORSIDE!$F$8&gt;=9,FORSIDE!$B$5&gt;=7),"S6227","")</f>
        <v/>
      </c>
      <c r="B6228" t="str">
        <f>IF(AND(FORSIDE!$B$8&gt;=3,FORSIDE!$F$8&gt;=9,FORSIDE!$B$5&gt;=7),"1889 -&gt; 2120","")</f>
        <v/>
      </c>
      <c r="C6228" t="str">
        <f>FORSIDE!$C$3</f>
        <v>S355, Stål / VFHUP 140x140x8.0</v>
      </c>
    </row>
    <row r="6229" spans="1:3" x14ac:dyDescent="0.3">
      <c r="A6229" t="str">
        <f>IF(AND(FORSIDE!$B$8&gt;=3,FORSIDE!$F$8&gt;=9,FORSIDE!$B$5&gt;=8),"S6228","")</f>
        <v/>
      </c>
      <c r="B6229" t="str">
        <f>IF(AND(FORSIDE!$B$8&gt;=3,FORSIDE!$F$8&gt;=9,FORSIDE!$B$5&gt;=8),"1890 -&gt; 2121","")</f>
        <v/>
      </c>
      <c r="C6229" t="str">
        <f>FORSIDE!$C$3</f>
        <v>S355, Stål / VFHUP 140x140x8.0</v>
      </c>
    </row>
    <row r="6230" spans="1:3" x14ac:dyDescent="0.3">
      <c r="A6230" t="str">
        <f>IF(AND(FORSIDE!$B$8&gt;=3,FORSIDE!$F$8&gt;=9,FORSIDE!$B$5&gt;=9),"S6229","")</f>
        <v/>
      </c>
      <c r="B6230" t="str">
        <f>IF(AND(FORSIDE!$B$8&gt;=3,FORSIDE!$F$8&gt;=9,FORSIDE!$B$5&gt;=9),"1891 -&gt; 2122","")</f>
        <v/>
      </c>
      <c r="C6230" t="str">
        <f>FORSIDE!$C$3</f>
        <v>S355, Stål / VFHUP 140x140x8.0</v>
      </c>
    </row>
    <row r="6231" spans="1:3" x14ac:dyDescent="0.3">
      <c r="A6231" t="str">
        <f>IF(AND(FORSIDE!$B$8&gt;=3,FORSIDE!$F$8&gt;=9,FORSIDE!$B$5&gt;=10),"S6230","")</f>
        <v/>
      </c>
      <c r="B6231" t="str">
        <f>IF(AND(FORSIDE!$B$8&gt;=3,FORSIDE!$F$8&gt;=9,FORSIDE!$B$5&gt;=10),"1892 -&gt; 2123","")</f>
        <v/>
      </c>
      <c r="C6231" t="str">
        <f>FORSIDE!$C$3</f>
        <v>S355, Stål / VFHUP 140x140x8.0</v>
      </c>
    </row>
    <row r="6232" spans="1:3" x14ac:dyDescent="0.3">
      <c r="A6232" t="str">
        <f>IF(AND(FORSIDE!$B$8&gt;=4,FORSIDE!$F$8&gt;=9,FORSIDE!$B$5&gt;=1),"S6231","")</f>
        <v/>
      </c>
      <c r="B6232" t="str">
        <f>IF(AND(FORSIDE!$B$8&gt;=4,FORSIDE!$F$8&gt;=9,FORSIDE!$B$5&gt;=1),"1894 -&gt; 2125","")</f>
        <v/>
      </c>
      <c r="C6232" t="str">
        <f>FORSIDE!$C$3</f>
        <v>S355, Stål / VFHUP 140x140x8.0</v>
      </c>
    </row>
    <row r="6233" spans="1:3" x14ac:dyDescent="0.3">
      <c r="A6233" t="str">
        <f>IF(AND(FORSIDE!$B$8&gt;=4,FORSIDE!$F$8&gt;=9,FORSIDE!$B$5&gt;=2),"S6232","")</f>
        <v/>
      </c>
      <c r="B6233" t="str">
        <f>IF(AND(FORSIDE!$B$8&gt;=4,FORSIDE!$F$8&gt;=9,FORSIDE!$B$5&gt;=2),"1895 -&gt; 2126","")</f>
        <v/>
      </c>
      <c r="C6233" t="str">
        <f>FORSIDE!$C$3</f>
        <v>S355, Stål / VFHUP 140x140x8.0</v>
      </c>
    </row>
    <row r="6234" spans="1:3" x14ac:dyDescent="0.3">
      <c r="A6234" t="str">
        <f>IF(AND(FORSIDE!$B$8&gt;=4,FORSIDE!$F$8&gt;=9,FORSIDE!$B$5&gt;=3),"S6233","")</f>
        <v/>
      </c>
      <c r="B6234" t="str">
        <f>IF(AND(FORSIDE!$B$8&gt;=4,FORSIDE!$F$8&gt;=9,FORSIDE!$B$5&gt;=3),"1896 -&gt; 2127","")</f>
        <v/>
      </c>
      <c r="C6234" t="str">
        <f>FORSIDE!$C$3</f>
        <v>S355, Stål / VFHUP 140x140x8.0</v>
      </c>
    </row>
    <row r="6235" spans="1:3" x14ac:dyDescent="0.3">
      <c r="A6235" t="str">
        <f>IF(AND(FORSIDE!$B$8&gt;=4,FORSIDE!$F$8&gt;=9,FORSIDE!$B$5&gt;=4),"S6234","")</f>
        <v/>
      </c>
      <c r="B6235" t="str">
        <f>IF(AND(FORSIDE!$B$8&gt;=4,FORSIDE!$F$8&gt;=9,FORSIDE!$B$5&gt;=4),"1897 -&gt; 2128","")</f>
        <v/>
      </c>
      <c r="C6235" t="str">
        <f>FORSIDE!$C$3</f>
        <v>S355, Stål / VFHUP 140x140x8.0</v>
      </c>
    </row>
    <row r="6236" spans="1:3" x14ac:dyDescent="0.3">
      <c r="A6236" t="str">
        <f>IF(AND(FORSIDE!$B$8&gt;=4,FORSIDE!$F$8&gt;=9,FORSIDE!$B$5&gt;=5),"S6235","")</f>
        <v/>
      </c>
      <c r="B6236" t="str">
        <f>IF(AND(FORSIDE!$B$8&gt;=4,FORSIDE!$F$8&gt;=9,FORSIDE!$B$5&gt;=5),"1898 -&gt; 2129","")</f>
        <v/>
      </c>
      <c r="C6236" t="str">
        <f>FORSIDE!$C$3</f>
        <v>S355, Stål / VFHUP 140x140x8.0</v>
      </c>
    </row>
    <row r="6237" spans="1:3" x14ac:dyDescent="0.3">
      <c r="A6237" t="str">
        <f>IF(AND(FORSIDE!$B$8&gt;=4,FORSIDE!$F$8&gt;=9,FORSIDE!$B$5&gt;=6),"S6236","")</f>
        <v/>
      </c>
      <c r="B6237" t="str">
        <f>IF(AND(FORSIDE!$B$8&gt;=4,FORSIDE!$F$8&gt;=9,FORSIDE!$B$5&gt;=6),"1899 -&gt; 2130","")</f>
        <v/>
      </c>
      <c r="C6237" t="str">
        <f>FORSIDE!$C$3</f>
        <v>S355, Stål / VFHUP 140x140x8.0</v>
      </c>
    </row>
    <row r="6238" spans="1:3" x14ac:dyDescent="0.3">
      <c r="A6238" t="str">
        <f>IF(AND(FORSIDE!$B$8&gt;=4,FORSIDE!$F$8&gt;=9,FORSIDE!$B$5&gt;=7),"S6237","")</f>
        <v/>
      </c>
      <c r="B6238" t="str">
        <f>IF(AND(FORSIDE!$B$8&gt;=4,FORSIDE!$F$8&gt;=9,FORSIDE!$B$5&gt;=7),"1900 -&gt; 2131","")</f>
        <v/>
      </c>
      <c r="C6238" t="str">
        <f>FORSIDE!$C$3</f>
        <v>S355, Stål / VFHUP 140x140x8.0</v>
      </c>
    </row>
    <row r="6239" spans="1:3" x14ac:dyDescent="0.3">
      <c r="A6239" t="str">
        <f>IF(AND(FORSIDE!$B$8&gt;=4,FORSIDE!$F$8&gt;=9,FORSIDE!$B$5&gt;=8),"S6238","")</f>
        <v/>
      </c>
      <c r="B6239" t="str">
        <f>IF(AND(FORSIDE!$B$8&gt;=4,FORSIDE!$F$8&gt;=9,FORSIDE!$B$5&gt;=8),"1901 -&gt; 2132","")</f>
        <v/>
      </c>
      <c r="C6239" t="str">
        <f>FORSIDE!$C$3</f>
        <v>S355, Stål / VFHUP 140x140x8.0</v>
      </c>
    </row>
    <row r="6240" spans="1:3" x14ac:dyDescent="0.3">
      <c r="A6240" t="str">
        <f>IF(AND(FORSIDE!$B$8&gt;=4,FORSIDE!$F$8&gt;=9,FORSIDE!$B$5&gt;=9),"S6239","")</f>
        <v/>
      </c>
      <c r="B6240" t="str">
        <f>IF(AND(FORSIDE!$B$8&gt;=4,FORSIDE!$F$8&gt;=9,FORSIDE!$B$5&gt;=9),"1902 -&gt; 2133","")</f>
        <v/>
      </c>
      <c r="C6240" t="str">
        <f>FORSIDE!$C$3</f>
        <v>S355, Stål / VFHUP 140x140x8.0</v>
      </c>
    </row>
    <row r="6241" spans="1:3" x14ac:dyDescent="0.3">
      <c r="A6241" t="str">
        <f>IF(AND(FORSIDE!$B$8&gt;=4,FORSIDE!$F$8&gt;=9,FORSIDE!$B$5&gt;=10),"S6240","")</f>
        <v/>
      </c>
      <c r="B6241" t="str">
        <f>IF(AND(FORSIDE!$B$8&gt;=4,FORSIDE!$F$8&gt;=9,FORSIDE!$B$5&gt;=10),"1903 -&gt; 2134","")</f>
        <v/>
      </c>
      <c r="C6241" t="str">
        <f>FORSIDE!$C$3</f>
        <v>S355, Stål / VFHUP 140x140x8.0</v>
      </c>
    </row>
    <row r="6242" spans="1:3" x14ac:dyDescent="0.3">
      <c r="A6242" t="str">
        <f>IF(AND(FORSIDE!$B$8&gt;=5,FORSIDE!$F$8&gt;=9,FORSIDE!$B$5&gt;=1),"S6241","")</f>
        <v/>
      </c>
      <c r="B6242" t="str">
        <f>IF(AND(FORSIDE!$B$8&gt;=5,FORSIDE!$F$8&gt;=9,FORSIDE!$B$5&gt;=1),"1905 -&gt; 2136","")</f>
        <v/>
      </c>
      <c r="C6242" t="str">
        <f>FORSIDE!$C$3</f>
        <v>S355, Stål / VFHUP 140x140x8.0</v>
      </c>
    </row>
    <row r="6243" spans="1:3" x14ac:dyDescent="0.3">
      <c r="A6243" t="str">
        <f>IF(AND(FORSIDE!$B$8&gt;=5,FORSIDE!$F$8&gt;=9,FORSIDE!$B$5&gt;=2),"S6242","")</f>
        <v/>
      </c>
      <c r="B6243" t="str">
        <f>IF(AND(FORSIDE!$B$8&gt;=5,FORSIDE!$F$8&gt;=9,FORSIDE!$B$5&gt;=2),"1906 -&gt; 2137","")</f>
        <v/>
      </c>
      <c r="C6243" t="str">
        <f>FORSIDE!$C$3</f>
        <v>S355, Stål / VFHUP 140x140x8.0</v>
      </c>
    </row>
    <row r="6244" spans="1:3" x14ac:dyDescent="0.3">
      <c r="A6244" t="str">
        <f>IF(AND(FORSIDE!$B$8&gt;=5,FORSIDE!$F$8&gt;=9,FORSIDE!$B$5&gt;=3),"S6243","")</f>
        <v/>
      </c>
      <c r="B6244" t="str">
        <f>IF(AND(FORSIDE!$B$8&gt;=5,FORSIDE!$F$8&gt;=9,FORSIDE!$B$5&gt;=3),"1907 -&gt; 2138","")</f>
        <v/>
      </c>
      <c r="C6244" t="str">
        <f>FORSIDE!$C$3</f>
        <v>S355, Stål / VFHUP 140x140x8.0</v>
      </c>
    </row>
    <row r="6245" spans="1:3" x14ac:dyDescent="0.3">
      <c r="A6245" t="str">
        <f>IF(AND(FORSIDE!$B$8&gt;=5,FORSIDE!$F$8&gt;=9,FORSIDE!$B$5&gt;=4),"S6244","")</f>
        <v/>
      </c>
      <c r="B6245" t="str">
        <f>IF(AND(FORSIDE!$B$8&gt;=5,FORSIDE!$F$8&gt;=9,FORSIDE!$B$5&gt;=4),"1908 -&gt; 2139","")</f>
        <v/>
      </c>
      <c r="C6245" t="str">
        <f>FORSIDE!$C$3</f>
        <v>S355, Stål / VFHUP 140x140x8.0</v>
      </c>
    </row>
    <row r="6246" spans="1:3" x14ac:dyDescent="0.3">
      <c r="A6246" t="str">
        <f>IF(AND(FORSIDE!$B$8&gt;=5,FORSIDE!$F$8&gt;=9,FORSIDE!$B$5&gt;=5),"S6245","")</f>
        <v/>
      </c>
      <c r="B6246" t="str">
        <f>IF(AND(FORSIDE!$B$8&gt;=5,FORSIDE!$F$8&gt;=9,FORSIDE!$B$5&gt;=5),"1909 -&gt; 2140","")</f>
        <v/>
      </c>
      <c r="C6246" t="str">
        <f>FORSIDE!$C$3</f>
        <v>S355, Stål / VFHUP 140x140x8.0</v>
      </c>
    </row>
    <row r="6247" spans="1:3" x14ac:dyDescent="0.3">
      <c r="A6247" t="str">
        <f>IF(AND(FORSIDE!$B$8&gt;=5,FORSIDE!$F$8&gt;=9,FORSIDE!$B$5&gt;=6),"S6246","")</f>
        <v/>
      </c>
      <c r="B6247" t="str">
        <f>IF(AND(FORSIDE!$B$8&gt;=5,FORSIDE!$F$8&gt;=9,FORSIDE!$B$5&gt;=6),"1910 -&gt; 2141","")</f>
        <v/>
      </c>
      <c r="C6247" t="str">
        <f>FORSIDE!$C$3</f>
        <v>S355, Stål / VFHUP 140x140x8.0</v>
      </c>
    </row>
    <row r="6248" spans="1:3" x14ac:dyDescent="0.3">
      <c r="A6248" t="str">
        <f>IF(AND(FORSIDE!$B$8&gt;=5,FORSIDE!$F$8&gt;=9,FORSIDE!$B$5&gt;=7),"S6247","")</f>
        <v/>
      </c>
      <c r="B6248" t="str">
        <f>IF(AND(FORSIDE!$B$8&gt;=5,FORSIDE!$F$8&gt;=9,FORSIDE!$B$5&gt;=7),"1911 -&gt; 2142","")</f>
        <v/>
      </c>
      <c r="C6248" t="str">
        <f>FORSIDE!$C$3</f>
        <v>S355, Stål / VFHUP 140x140x8.0</v>
      </c>
    </row>
    <row r="6249" spans="1:3" x14ac:dyDescent="0.3">
      <c r="A6249" t="str">
        <f>IF(AND(FORSIDE!$B$8&gt;=5,FORSIDE!$F$8&gt;=9,FORSIDE!$B$5&gt;=8),"S6248","")</f>
        <v/>
      </c>
      <c r="B6249" t="str">
        <f>IF(AND(FORSIDE!$B$8&gt;=5,FORSIDE!$F$8&gt;=9,FORSIDE!$B$5&gt;=8),"1912 -&gt; 2143","")</f>
        <v/>
      </c>
      <c r="C6249" t="str">
        <f>FORSIDE!$C$3</f>
        <v>S355, Stål / VFHUP 140x140x8.0</v>
      </c>
    </row>
    <row r="6250" spans="1:3" x14ac:dyDescent="0.3">
      <c r="A6250" t="str">
        <f>IF(AND(FORSIDE!$B$8&gt;=5,FORSIDE!$F$8&gt;=9,FORSIDE!$B$5&gt;=9),"S6249","")</f>
        <v/>
      </c>
      <c r="B6250" t="str">
        <f>IF(AND(FORSIDE!$B$8&gt;=5,FORSIDE!$F$8&gt;=9,FORSIDE!$B$5&gt;=9),"1913 -&gt; 2144","")</f>
        <v/>
      </c>
      <c r="C6250" t="str">
        <f>FORSIDE!$C$3</f>
        <v>S355, Stål / VFHUP 140x140x8.0</v>
      </c>
    </row>
    <row r="6251" spans="1:3" x14ac:dyDescent="0.3">
      <c r="A6251" t="str">
        <f>IF(AND(FORSIDE!$B$8&gt;=5,FORSIDE!$F$8&gt;=9,FORSIDE!$B$5&gt;=10),"S6250","")</f>
        <v/>
      </c>
      <c r="B6251" t="str">
        <f>IF(AND(FORSIDE!$B$8&gt;=5,FORSIDE!$F$8&gt;=9,FORSIDE!$B$5&gt;=10),"1914 -&gt; 2145","")</f>
        <v/>
      </c>
      <c r="C6251" t="str">
        <f>FORSIDE!$C$3</f>
        <v>S355, Stål / VFHUP 140x140x8.0</v>
      </c>
    </row>
    <row r="6252" spans="1:3" x14ac:dyDescent="0.3">
      <c r="A6252" t="str">
        <f>IF(AND(FORSIDE!$B$8&gt;=6,FORSIDE!$F$8&gt;=9,FORSIDE!$B$5&gt;=1),"S6251","")</f>
        <v/>
      </c>
      <c r="B6252" t="str">
        <f>IF(AND(FORSIDE!$B$8&gt;=6,FORSIDE!$F$8&gt;=9,FORSIDE!$B$5&gt;=1),"1916 -&gt; 2147","")</f>
        <v/>
      </c>
      <c r="C6252" t="str">
        <f>FORSIDE!$C$3</f>
        <v>S355, Stål / VFHUP 140x140x8.0</v>
      </c>
    </row>
    <row r="6253" spans="1:3" x14ac:dyDescent="0.3">
      <c r="A6253" t="str">
        <f>IF(AND(FORSIDE!$B$8&gt;=6,FORSIDE!$F$8&gt;=9,FORSIDE!$B$5&gt;=2),"S6252","")</f>
        <v/>
      </c>
      <c r="B6253" t="str">
        <f>IF(AND(FORSIDE!$B$8&gt;=6,FORSIDE!$F$8&gt;=9,FORSIDE!$B$5&gt;=2),"1917 -&gt; 2148","")</f>
        <v/>
      </c>
      <c r="C6253" t="str">
        <f>FORSIDE!$C$3</f>
        <v>S355, Stål / VFHUP 140x140x8.0</v>
      </c>
    </row>
    <row r="6254" spans="1:3" x14ac:dyDescent="0.3">
      <c r="A6254" t="str">
        <f>IF(AND(FORSIDE!$B$8&gt;=6,FORSIDE!$F$8&gt;=9,FORSIDE!$B$5&gt;=3),"S6253","")</f>
        <v/>
      </c>
      <c r="B6254" t="str">
        <f>IF(AND(FORSIDE!$B$8&gt;=6,FORSIDE!$F$8&gt;=9,FORSIDE!$B$5&gt;=3),"1918 -&gt; 2149","")</f>
        <v/>
      </c>
      <c r="C6254" t="str">
        <f>FORSIDE!$C$3</f>
        <v>S355, Stål / VFHUP 140x140x8.0</v>
      </c>
    </row>
    <row r="6255" spans="1:3" x14ac:dyDescent="0.3">
      <c r="A6255" t="str">
        <f>IF(AND(FORSIDE!$B$8&gt;=6,FORSIDE!$F$8&gt;=9,FORSIDE!$B$5&gt;=4),"S6254","")</f>
        <v/>
      </c>
      <c r="B6255" t="str">
        <f>IF(AND(FORSIDE!$B$8&gt;=6,FORSIDE!$F$8&gt;=9,FORSIDE!$B$5&gt;=4),"1919 -&gt; 2150","")</f>
        <v/>
      </c>
      <c r="C6255" t="str">
        <f>FORSIDE!$C$3</f>
        <v>S355, Stål / VFHUP 140x140x8.0</v>
      </c>
    </row>
    <row r="6256" spans="1:3" x14ac:dyDescent="0.3">
      <c r="A6256" t="str">
        <f>IF(AND(FORSIDE!$B$8&gt;=6,FORSIDE!$F$8&gt;=9,FORSIDE!$B$5&gt;=5),"S6255","")</f>
        <v/>
      </c>
      <c r="B6256" t="str">
        <f>IF(AND(FORSIDE!$B$8&gt;=6,FORSIDE!$F$8&gt;=9,FORSIDE!$B$5&gt;=5),"1920 -&gt; 2151","")</f>
        <v/>
      </c>
      <c r="C6256" t="str">
        <f>FORSIDE!$C$3</f>
        <v>S355, Stål / VFHUP 140x140x8.0</v>
      </c>
    </row>
    <row r="6257" spans="1:3" x14ac:dyDescent="0.3">
      <c r="A6257" t="str">
        <f>IF(AND(FORSIDE!$B$8&gt;=6,FORSIDE!$F$8&gt;=9,FORSIDE!$B$5&gt;=6),"S6256","")</f>
        <v/>
      </c>
      <c r="B6257" t="str">
        <f>IF(AND(FORSIDE!$B$8&gt;=6,FORSIDE!$F$8&gt;=9,FORSIDE!$B$5&gt;=6),"1921 -&gt; 2152","")</f>
        <v/>
      </c>
      <c r="C6257" t="str">
        <f>FORSIDE!$C$3</f>
        <v>S355, Stål / VFHUP 140x140x8.0</v>
      </c>
    </row>
    <row r="6258" spans="1:3" x14ac:dyDescent="0.3">
      <c r="A6258" t="str">
        <f>IF(AND(FORSIDE!$B$8&gt;=6,FORSIDE!$F$8&gt;=9,FORSIDE!$B$5&gt;=7),"S6257","")</f>
        <v/>
      </c>
      <c r="B6258" t="str">
        <f>IF(AND(FORSIDE!$B$8&gt;=6,FORSIDE!$F$8&gt;=9,FORSIDE!$B$5&gt;=7),"1922 -&gt; 2153","")</f>
        <v/>
      </c>
      <c r="C6258" t="str">
        <f>FORSIDE!$C$3</f>
        <v>S355, Stål / VFHUP 140x140x8.0</v>
      </c>
    </row>
    <row r="6259" spans="1:3" x14ac:dyDescent="0.3">
      <c r="A6259" t="str">
        <f>IF(AND(FORSIDE!$B$8&gt;=6,FORSIDE!$F$8&gt;=9,FORSIDE!$B$5&gt;=8),"S6258","")</f>
        <v/>
      </c>
      <c r="B6259" t="str">
        <f>IF(AND(FORSIDE!$B$8&gt;=6,FORSIDE!$F$8&gt;=9,FORSIDE!$B$5&gt;=8),"1923 -&gt; 2154","")</f>
        <v/>
      </c>
      <c r="C6259" t="str">
        <f>FORSIDE!$C$3</f>
        <v>S355, Stål / VFHUP 140x140x8.0</v>
      </c>
    </row>
    <row r="6260" spans="1:3" x14ac:dyDescent="0.3">
      <c r="A6260" t="str">
        <f>IF(AND(FORSIDE!$B$8&gt;=6,FORSIDE!$F$8&gt;=9,FORSIDE!$B$5&gt;=9),"S6259","")</f>
        <v/>
      </c>
      <c r="B6260" t="str">
        <f>IF(AND(FORSIDE!$B$8&gt;=6,FORSIDE!$F$8&gt;=9,FORSIDE!$B$5&gt;=9),"1924 -&gt; 2155","")</f>
        <v/>
      </c>
      <c r="C6260" t="str">
        <f>FORSIDE!$C$3</f>
        <v>S355, Stål / VFHUP 140x140x8.0</v>
      </c>
    </row>
    <row r="6261" spans="1:3" x14ac:dyDescent="0.3">
      <c r="A6261" t="str">
        <f>IF(AND(FORSIDE!$B$8&gt;=6,FORSIDE!$F$8&gt;=9,FORSIDE!$B$5&gt;=10),"S6260","")</f>
        <v/>
      </c>
      <c r="B6261" t="str">
        <f>IF(AND(FORSIDE!$B$8&gt;=6,FORSIDE!$F$8&gt;=9,FORSIDE!$B$5&gt;=10),"1925 -&gt; 2156","")</f>
        <v/>
      </c>
      <c r="C6261" t="str">
        <f>FORSIDE!$C$3</f>
        <v>S355, Stål / VFHUP 140x140x8.0</v>
      </c>
    </row>
    <row r="6262" spans="1:3" x14ac:dyDescent="0.3">
      <c r="A6262" t="str">
        <f>IF(AND(FORSIDE!$B$8&gt;=7,FORSIDE!$F$8&gt;=9,FORSIDE!$B$5&gt;=1),"S6261","")</f>
        <v/>
      </c>
      <c r="B6262" t="str">
        <f>IF(AND(FORSIDE!$B$8&gt;=7,FORSIDE!$F$8&gt;=9,FORSIDE!$B$5&gt;=1),"1927 -&gt; 2158","")</f>
        <v/>
      </c>
      <c r="C6262" t="str">
        <f>FORSIDE!$C$3</f>
        <v>S355, Stål / VFHUP 140x140x8.0</v>
      </c>
    </row>
    <row r="6263" spans="1:3" x14ac:dyDescent="0.3">
      <c r="A6263" t="str">
        <f>IF(AND(FORSIDE!$B$8&gt;=7,FORSIDE!$F$8&gt;=9,FORSIDE!$B$5&gt;=2),"S6262","")</f>
        <v/>
      </c>
      <c r="B6263" t="str">
        <f>IF(AND(FORSIDE!$B$8&gt;=7,FORSIDE!$F$8&gt;=9,FORSIDE!$B$5&gt;=2),"1928 -&gt; 2159","")</f>
        <v/>
      </c>
      <c r="C6263" t="str">
        <f>FORSIDE!$C$3</f>
        <v>S355, Stål / VFHUP 140x140x8.0</v>
      </c>
    </row>
    <row r="6264" spans="1:3" x14ac:dyDescent="0.3">
      <c r="A6264" t="str">
        <f>IF(AND(FORSIDE!$B$8&gt;=7,FORSIDE!$F$8&gt;=9,FORSIDE!$B$5&gt;=3),"S6263","")</f>
        <v/>
      </c>
      <c r="B6264" t="str">
        <f>IF(AND(FORSIDE!$B$8&gt;=7,FORSIDE!$F$8&gt;=9,FORSIDE!$B$5&gt;=3),"1929 -&gt; 2160","")</f>
        <v/>
      </c>
      <c r="C6264" t="str">
        <f>FORSIDE!$C$3</f>
        <v>S355, Stål / VFHUP 140x140x8.0</v>
      </c>
    </row>
    <row r="6265" spans="1:3" x14ac:dyDescent="0.3">
      <c r="A6265" t="str">
        <f>IF(AND(FORSIDE!$B$8&gt;=7,FORSIDE!$F$8&gt;=9,FORSIDE!$B$5&gt;=4),"S6264","")</f>
        <v/>
      </c>
      <c r="B6265" t="str">
        <f>IF(AND(FORSIDE!$B$8&gt;=7,FORSIDE!$F$8&gt;=9,FORSIDE!$B$5&gt;=4),"1930 -&gt; 2161","")</f>
        <v/>
      </c>
      <c r="C6265" t="str">
        <f>FORSIDE!$C$3</f>
        <v>S355, Stål / VFHUP 140x140x8.0</v>
      </c>
    </row>
    <row r="6266" spans="1:3" x14ac:dyDescent="0.3">
      <c r="A6266" t="str">
        <f>IF(AND(FORSIDE!$B$8&gt;=7,FORSIDE!$F$8&gt;=9,FORSIDE!$B$5&gt;=5),"S6265","")</f>
        <v/>
      </c>
      <c r="B6266" t="str">
        <f>IF(AND(FORSIDE!$B$8&gt;=7,FORSIDE!$F$8&gt;=9,FORSIDE!$B$5&gt;=5),"1931 -&gt; 2162","")</f>
        <v/>
      </c>
      <c r="C6266" t="str">
        <f>FORSIDE!$C$3</f>
        <v>S355, Stål / VFHUP 140x140x8.0</v>
      </c>
    </row>
    <row r="6267" spans="1:3" x14ac:dyDescent="0.3">
      <c r="A6267" t="str">
        <f>IF(AND(FORSIDE!$B$8&gt;=7,FORSIDE!$F$8&gt;=9,FORSIDE!$B$5&gt;=6),"S6266","")</f>
        <v/>
      </c>
      <c r="B6267" t="str">
        <f>IF(AND(FORSIDE!$B$8&gt;=7,FORSIDE!$F$8&gt;=9,FORSIDE!$B$5&gt;=6),"1932 -&gt; 2163","")</f>
        <v/>
      </c>
      <c r="C6267" t="str">
        <f>FORSIDE!$C$3</f>
        <v>S355, Stål / VFHUP 140x140x8.0</v>
      </c>
    </row>
    <row r="6268" spans="1:3" x14ac:dyDescent="0.3">
      <c r="A6268" t="str">
        <f>IF(AND(FORSIDE!$B$8&gt;=7,FORSIDE!$F$8&gt;=9,FORSIDE!$B$5&gt;=7),"S6267","")</f>
        <v/>
      </c>
      <c r="B6268" t="str">
        <f>IF(AND(FORSIDE!$B$8&gt;=7,FORSIDE!$F$8&gt;=9,FORSIDE!$B$5&gt;=7),"1933 -&gt; 2164","")</f>
        <v/>
      </c>
      <c r="C6268" t="str">
        <f>FORSIDE!$C$3</f>
        <v>S355, Stål / VFHUP 140x140x8.0</v>
      </c>
    </row>
    <row r="6269" spans="1:3" x14ac:dyDescent="0.3">
      <c r="A6269" t="str">
        <f>IF(AND(FORSIDE!$B$8&gt;=7,FORSIDE!$F$8&gt;=9,FORSIDE!$B$5&gt;=8),"S6268","")</f>
        <v/>
      </c>
      <c r="B6269" t="str">
        <f>IF(AND(FORSIDE!$B$8&gt;=7,FORSIDE!$F$8&gt;=9,FORSIDE!$B$5&gt;=8),"1934 -&gt; 2165","")</f>
        <v/>
      </c>
      <c r="C6269" t="str">
        <f>FORSIDE!$C$3</f>
        <v>S355, Stål / VFHUP 140x140x8.0</v>
      </c>
    </row>
    <row r="6270" spans="1:3" x14ac:dyDescent="0.3">
      <c r="A6270" t="str">
        <f>IF(AND(FORSIDE!$B$8&gt;=7,FORSIDE!$F$8&gt;=9,FORSIDE!$B$5&gt;=9),"S6269","")</f>
        <v/>
      </c>
      <c r="B6270" t="str">
        <f>IF(AND(FORSIDE!$B$8&gt;=7,FORSIDE!$F$8&gt;=9,FORSIDE!$B$5&gt;=9),"1935 -&gt; 2166","")</f>
        <v/>
      </c>
      <c r="C6270" t="str">
        <f>FORSIDE!$C$3</f>
        <v>S355, Stål / VFHUP 140x140x8.0</v>
      </c>
    </row>
    <row r="6271" spans="1:3" x14ac:dyDescent="0.3">
      <c r="A6271" t="str">
        <f>IF(AND(FORSIDE!$B$8&gt;=7,FORSIDE!$F$8&gt;=9,FORSIDE!$B$5&gt;=10),"S6270","")</f>
        <v/>
      </c>
      <c r="B6271" t="str">
        <f>IF(AND(FORSIDE!$B$8&gt;=7,FORSIDE!$F$8&gt;=9,FORSIDE!$B$5&gt;=10),"1936 -&gt; 2167","")</f>
        <v/>
      </c>
      <c r="C6271" t="str">
        <f>FORSIDE!$C$3</f>
        <v>S355, Stål / VFHUP 140x140x8.0</v>
      </c>
    </row>
    <row r="6272" spans="1:3" x14ac:dyDescent="0.3">
      <c r="A6272" t="str">
        <f>IF(AND(FORSIDE!$B$8&gt;=8,FORSIDE!$F$8&gt;=9,FORSIDE!$B$5&gt;=1),"S6271","")</f>
        <v/>
      </c>
      <c r="B6272" t="str">
        <f>IF(AND(FORSIDE!$B$8&gt;=8,FORSIDE!$F$8&gt;=9,FORSIDE!$B$5&gt;=1),"1938 -&gt; 2169","")</f>
        <v/>
      </c>
      <c r="C6272" t="str">
        <f>FORSIDE!$C$3</f>
        <v>S355, Stål / VFHUP 140x140x8.0</v>
      </c>
    </row>
    <row r="6273" spans="1:3" x14ac:dyDescent="0.3">
      <c r="A6273" t="str">
        <f>IF(AND(FORSIDE!$B$8&gt;=8,FORSIDE!$F$8&gt;=9,FORSIDE!$B$5&gt;=2),"S6272","")</f>
        <v/>
      </c>
      <c r="B6273" t="str">
        <f>IF(AND(FORSIDE!$B$8&gt;=8,FORSIDE!$F$8&gt;=9,FORSIDE!$B$5&gt;=2),"1939 -&gt; 2170","")</f>
        <v/>
      </c>
      <c r="C6273" t="str">
        <f>FORSIDE!$C$3</f>
        <v>S355, Stål / VFHUP 140x140x8.0</v>
      </c>
    </row>
    <row r="6274" spans="1:3" x14ac:dyDescent="0.3">
      <c r="A6274" t="str">
        <f>IF(AND(FORSIDE!$B$8&gt;=8,FORSIDE!$F$8&gt;=9,FORSIDE!$B$5&gt;=3),"S6273","")</f>
        <v/>
      </c>
      <c r="B6274" t="str">
        <f>IF(AND(FORSIDE!$B$8&gt;=8,FORSIDE!$F$8&gt;=9,FORSIDE!$B$5&gt;=3),"1940 -&gt; 2171","")</f>
        <v/>
      </c>
      <c r="C6274" t="str">
        <f>FORSIDE!$C$3</f>
        <v>S355, Stål / VFHUP 140x140x8.0</v>
      </c>
    </row>
    <row r="6275" spans="1:3" x14ac:dyDescent="0.3">
      <c r="A6275" t="str">
        <f>IF(AND(FORSIDE!$B$8&gt;=8,FORSIDE!$F$8&gt;=9,FORSIDE!$B$5&gt;=4),"S6274","")</f>
        <v/>
      </c>
      <c r="B6275" t="str">
        <f>IF(AND(FORSIDE!$B$8&gt;=8,FORSIDE!$F$8&gt;=9,FORSIDE!$B$5&gt;=4),"1941 -&gt; 2172","")</f>
        <v/>
      </c>
      <c r="C6275" t="str">
        <f>FORSIDE!$C$3</f>
        <v>S355, Stål / VFHUP 140x140x8.0</v>
      </c>
    </row>
    <row r="6276" spans="1:3" x14ac:dyDescent="0.3">
      <c r="A6276" t="str">
        <f>IF(AND(FORSIDE!$B$8&gt;=8,FORSIDE!$F$8&gt;=9,FORSIDE!$B$5&gt;=5),"S6275","")</f>
        <v/>
      </c>
      <c r="B6276" t="str">
        <f>IF(AND(FORSIDE!$B$8&gt;=8,FORSIDE!$F$8&gt;=9,FORSIDE!$B$5&gt;=5),"1942 -&gt; 2173","")</f>
        <v/>
      </c>
      <c r="C6276" t="str">
        <f>FORSIDE!$C$3</f>
        <v>S355, Stål / VFHUP 140x140x8.0</v>
      </c>
    </row>
    <row r="6277" spans="1:3" x14ac:dyDescent="0.3">
      <c r="A6277" t="str">
        <f>IF(AND(FORSIDE!$B$8&gt;=8,FORSIDE!$F$8&gt;=9,FORSIDE!$B$5&gt;=6),"S6276","")</f>
        <v/>
      </c>
      <c r="B6277" t="str">
        <f>IF(AND(FORSIDE!$B$8&gt;=8,FORSIDE!$F$8&gt;=9,FORSIDE!$B$5&gt;=6),"1943 -&gt; 2174","")</f>
        <v/>
      </c>
      <c r="C6277" t="str">
        <f>FORSIDE!$C$3</f>
        <v>S355, Stål / VFHUP 140x140x8.0</v>
      </c>
    </row>
    <row r="6278" spans="1:3" x14ac:dyDescent="0.3">
      <c r="A6278" t="str">
        <f>IF(AND(FORSIDE!$B$8&gt;=8,FORSIDE!$F$8&gt;=9,FORSIDE!$B$5&gt;=7),"S6277","")</f>
        <v/>
      </c>
      <c r="B6278" t="str">
        <f>IF(AND(FORSIDE!$B$8&gt;=8,FORSIDE!$F$8&gt;=9,FORSIDE!$B$5&gt;=7),"1944 -&gt; 2175","")</f>
        <v/>
      </c>
      <c r="C6278" t="str">
        <f>FORSIDE!$C$3</f>
        <v>S355, Stål / VFHUP 140x140x8.0</v>
      </c>
    </row>
    <row r="6279" spans="1:3" x14ac:dyDescent="0.3">
      <c r="A6279" t="str">
        <f>IF(AND(FORSIDE!$B$8&gt;=8,FORSIDE!$F$8&gt;=9,FORSIDE!$B$5&gt;=8),"S6278","")</f>
        <v/>
      </c>
      <c r="B6279" t="str">
        <f>IF(AND(FORSIDE!$B$8&gt;=8,FORSIDE!$F$8&gt;=9,FORSIDE!$B$5&gt;=8),"1945 -&gt; 2176","")</f>
        <v/>
      </c>
      <c r="C6279" t="str">
        <f>FORSIDE!$C$3</f>
        <v>S355, Stål / VFHUP 140x140x8.0</v>
      </c>
    </row>
    <row r="6280" spans="1:3" x14ac:dyDescent="0.3">
      <c r="A6280" t="str">
        <f>IF(AND(FORSIDE!$B$8&gt;=8,FORSIDE!$F$8&gt;=9,FORSIDE!$B$5&gt;=9),"S6279","")</f>
        <v/>
      </c>
      <c r="B6280" t="str">
        <f>IF(AND(FORSIDE!$B$8&gt;=8,FORSIDE!$F$8&gt;=9,FORSIDE!$B$5&gt;=9),"1946 -&gt; 2177","")</f>
        <v/>
      </c>
      <c r="C6280" t="str">
        <f>FORSIDE!$C$3</f>
        <v>S355, Stål / VFHUP 140x140x8.0</v>
      </c>
    </row>
    <row r="6281" spans="1:3" x14ac:dyDescent="0.3">
      <c r="A6281" t="str">
        <f>IF(AND(FORSIDE!$B$8&gt;=8,FORSIDE!$F$8&gt;=9,FORSIDE!$B$5&gt;=10),"S6280","")</f>
        <v/>
      </c>
      <c r="B6281" t="str">
        <f>IF(AND(FORSIDE!$B$8&gt;=8,FORSIDE!$F$8&gt;=9,FORSIDE!$B$5&gt;=10),"1947 -&gt; 2178","")</f>
        <v/>
      </c>
      <c r="C6281" t="str">
        <f>FORSIDE!$C$3</f>
        <v>S355, Stål / VFHUP 140x140x8.0</v>
      </c>
    </row>
    <row r="6282" spans="1:3" x14ac:dyDescent="0.3">
      <c r="A6282" t="str">
        <f>IF(AND(FORSIDE!$B$8&gt;=9,FORSIDE!$F$8&gt;=9,FORSIDE!$B$5&gt;=1),"S6281","")</f>
        <v/>
      </c>
      <c r="B6282" t="str">
        <f>IF(AND(FORSIDE!$B$8&gt;=9,FORSIDE!$F$8&gt;=9,FORSIDE!$B$5&gt;=1),"1949 -&gt; 2180","")</f>
        <v/>
      </c>
      <c r="C6282" t="str">
        <f>FORSIDE!$C$3</f>
        <v>S355, Stål / VFHUP 140x140x8.0</v>
      </c>
    </row>
    <row r="6283" spans="1:3" x14ac:dyDescent="0.3">
      <c r="A6283" t="str">
        <f>IF(AND(FORSIDE!$B$8&gt;=9,FORSIDE!$F$8&gt;=9,FORSIDE!$B$5&gt;=2),"S6282","")</f>
        <v/>
      </c>
      <c r="B6283" t="str">
        <f>IF(AND(FORSIDE!$B$8&gt;=9,FORSIDE!$F$8&gt;=9,FORSIDE!$B$5&gt;=2),"1950 -&gt; 2181","")</f>
        <v/>
      </c>
      <c r="C6283" t="str">
        <f>FORSIDE!$C$3</f>
        <v>S355, Stål / VFHUP 140x140x8.0</v>
      </c>
    </row>
    <row r="6284" spans="1:3" x14ac:dyDescent="0.3">
      <c r="A6284" t="str">
        <f>IF(AND(FORSIDE!$B$8&gt;=9,FORSIDE!$F$8&gt;=9,FORSIDE!$B$5&gt;=3),"S6283","")</f>
        <v/>
      </c>
      <c r="B6284" t="str">
        <f>IF(AND(FORSIDE!$B$8&gt;=9,FORSIDE!$F$8&gt;=9,FORSIDE!$B$5&gt;=3),"1951 -&gt; 2182","")</f>
        <v/>
      </c>
      <c r="C6284" t="str">
        <f>FORSIDE!$C$3</f>
        <v>S355, Stål / VFHUP 140x140x8.0</v>
      </c>
    </row>
    <row r="6285" spans="1:3" x14ac:dyDescent="0.3">
      <c r="A6285" t="str">
        <f>IF(AND(FORSIDE!$B$8&gt;=9,FORSIDE!$F$8&gt;=9,FORSIDE!$B$5&gt;=4),"S6284","")</f>
        <v/>
      </c>
      <c r="B6285" t="str">
        <f>IF(AND(FORSIDE!$B$8&gt;=9,FORSIDE!$F$8&gt;=9,FORSIDE!$B$5&gt;=4),"1952 -&gt; 2183","")</f>
        <v/>
      </c>
      <c r="C6285" t="str">
        <f>FORSIDE!$C$3</f>
        <v>S355, Stål / VFHUP 140x140x8.0</v>
      </c>
    </row>
    <row r="6286" spans="1:3" x14ac:dyDescent="0.3">
      <c r="A6286" t="str">
        <f>IF(AND(FORSIDE!$B$8&gt;=9,FORSIDE!$F$8&gt;=9,FORSIDE!$B$5&gt;=5),"S6285","")</f>
        <v/>
      </c>
      <c r="B6286" t="str">
        <f>IF(AND(FORSIDE!$B$8&gt;=9,FORSIDE!$F$8&gt;=9,FORSIDE!$B$5&gt;=5),"1953 -&gt; 2184","")</f>
        <v/>
      </c>
      <c r="C6286" t="str">
        <f>FORSIDE!$C$3</f>
        <v>S355, Stål / VFHUP 140x140x8.0</v>
      </c>
    </row>
    <row r="6287" spans="1:3" x14ac:dyDescent="0.3">
      <c r="A6287" t="str">
        <f>IF(AND(FORSIDE!$B$8&gt;=9,FORSIDE!$F$8&gt;=9,FORSIDE!$B$5&gt;=6),"S6286","")</f>
        <v/>
      </c>
      <c r="B6287" t="str">
        <f>IF(AND(FORSIDE!$B$8&gt;=9,FORSIDE!$F$8&gt;=9,FORSIDE!$B$5&gt;=6),"1954 -&gt; 2185","")</f>
        <v/>
      </c>
      <c r="C6287" t="str">
        <f>FORSIDE!$C$3</f>
        <v>S355, Stål / VFHUP 140x140x8.0</v>
      </c>
    </row>
    <row r="6288" spans="1:3" x14ac:dyDescent="0.3">
      <c r="A6288" t="str">
        <f>IF(AND(FORSIDE!$B$8&gt;=9,FORSIDE!$F$8&gt;=9,FORSIDE!$B$5&gt;=7),"S6287","")</f>
        <v/>
      </c>
      <c r="B6288" t="str">
        <f>IF(AND(FORSIDE!$B$8&gt;=9,FORSIDE!$F$8&gt;=9,FORSIDE!$B$5&gt;=7),"1955 -&gt; 2186","")</f>
        <v/>
      </c>
      <c r="C6288" t="str">
        <f>FORSIDE!$C$3</f>
        <v>S355, Stål / VFHUP 140x140x8.0</v>
      </c>
    </row>
    <row r="6289" spans="1:3" x14ac:dyDescent="0.3">
      <c r="A6289" t="str">
        <f>IF(AND(FORSIDE!$B$8&gt;=9,FORSIDE!$F$8&gt;=9,FORSIDE!$B$5&gt;=8),"S6288","")</f>
        <v/>
      </c>
      <c r="B6289" t="str">
        <f>IF(AND(FORSIDE!$B$8&gt;=9,FORSIDE!$F$8&gt;=9,FORSIDE!$B$5&gt;=8),"1956 -&gt; 2187","")</f>
        <v/>
      </c>
      <c r="C6289" t="str">
        <f>FORSIDE!$C$3</f>
        <v>S355, Stål / VFHUP 140x140x8.0</v>
      </c>
    </row>
    <row r="6290" spans="1:3" x14ac:dyDescent="0.3">
      <c r="A6290" t="str">
        <f>IF(AND(FORSIDE!$B$8&gt;=9,FORSIDE!$F$8&gt;=9,FORSIDE!$B$5&gt;=9),"S6289","")</f>
        <v/>
      </c>
      <c r="B6290" t="str">
        <f>IF(AND(FORSIDE!$B$8&gt;=9,FORSIDE!$F$8&gt;=9,FORSIDE!$B$5&gt;=9),"1957 -&gt; 2188","")</f>
        <v/>
      </c>
      <c r="C6290" t="str">
        <f>FORSIDE!$C$3</f>
        <v>S355, Stål / VFHUP 140x140x8.0</v>
      </c>
    </row>
    <row r="6291" spans="1:3" x14ac:dyDescent="0.3">
      <c r="A6291" t="str">
        <f>IF(AND(FORSIDE!$B$8&gt;=9,FORSIDE!$F$8&gt;=9,FORSIDE!$B$5&gt;=10),"S6290","")</f>
        <v/>
      </c>
      <c r="B6291" t="str">
        <f>IF(AND(FORSIDE!$B$8&gt;=9,FORSIDE!$F$8&gt;=9,FORSIDE!$B$5&gt;=10),"1958 -&gt; 2189","")</f>
        <v/>
      </c>
      <c r="C6291" t="str">
        <f>FORSIDE!$C$3</f>
        <v>S355, Stål / VFHUP 140x140x8.0</v>
      </c>
    </row>
    <row r="6292" spans="1:3" x14ac:dyDescent="0.3">
      <c r="A6292" t="str">
        <f>IF(AND(FORSIDE!$B$8&gt;=10,FORSIDE!$F$8&gt;=9,FORSIDE!$B$5&gt;=1),"S6291","")</f>
        <v/>
      </c>
      <c r="B6292" t="str">
        <f>IF(AND(FORSIDE!$B$8&gt;=10,FORSIDE!$F$8&gt;=9,FORSIDE!$B$5&gt;=1),"1960 -&gt; 2191","")</f>
        <v/>
      </c>
      <c r="C6292" t="str">
        <f>FORSIDE!$C$3</f>
        <v>S355, Stål / VFHUP 140x140x8.0</v>
      </c>
    </row>
    <row r="6293" spans="1:3" x14ac:dyDescent="0.3">
      <c r="A6293" t="str">
        <f>IF(AND(FORSIDE!$B$8&gt;=10,FORSIDE!$F$8&gt;=9,FORSIDE!$B$5&gt;=2),"S6292","")</f>
        <v/>
      </c>
      <c r="B6293" t="str">
        <f>IF(AND(FORSIDE!$B$8&gt;=10,FORSIDE!$F$8&gt;=9,FORSIDE!$B$5&gt;=2),"1961 -&gt; 2192","")</f>
        <v/>
      </c>
      <c r="C6293" t="str">
        <f>FORSIDE!$C$3</f>
        <v>S355, Stål / VFHUP 140x140x8.0</v>
      </c>
    </row>
    <row r="6294" spans="1:3" x14ac:dyDescent="0.3">
      <c r="A6294" t="str">
        <f>IF(AND(FORSIDE!$B$8&gt;=10,FORSIDE!$F$8&gt;=9,FORSIDE!$B$5&gt;=3),"S6293","")</f>
        <v/>
      </c>
      <c r="B6294" t="str">
        <f>IF(AND(FORSIDE!$B$8&gt;=10,FORSIDE!$F$8&gt;=9,FORSIDE!$B$5&gt;=3),"1962 -&gt; 2193","")</f>
        <v/>
      </c>
      <c r="C6294" t="str">
        <f>FORSIDE!$C$3</f>
        <v>S355, Stål / VFHUP 140x140x8.0</v>
      </c>
    </row>
    <row r="6295" spans="1:3" x14ac:dyDescent="0.3">
      <c r="A6295" t="str">
        <f>IF(AND(FORSIDE!$B$8&gt;=10,FORSIDE!$F$8&gt;=9,FORSIDE!$B$5&gt;=4),"S6294","")</f>
        <v/>
      </c>
      <c r="B6295" t="str">
        <f>IF(AND(FORSIDE!$B$8&gt;=10,FORSIDE!$F$8&gt;=9,FORSIDE!$B$5&gt;=4),"1963 -&gt; 2194","")</f>
        <v/>
      </c>
      <c r="C6295" t="str">
        <f>FORSIDE!$C$3</f>
        <v>S355, Stål / VFHUP 140x140x8.0</v>
      </c>
    </row>
    <row r="6296" spans="1:3" x14ac:dyDescent="0.3">
      <c r="A6296" t="str">
        <f>IF(AND(FORSIDE!$B$8&gt;=10,FORSIDE!$F$8&gt;=9,FORSIDE!$B$5&gt;=5),"S6295","")</f>
        <v/>
      </c>
      <c r="B6296" t="str">
        <f>IF(AND(FORSIDE!$B$8&gt;=10,FORSIDE!$F$8&gt;=9,FORSIDE!$B$5&gt;=5),"1964 -&gt; 2195","")</f>
        <v/>
      </c>
      <c r="C6296" t="str">
        <f>FORSIDE!$C$3</f>
        <v>S355, Stål / VFHUP 140x140x8.0</v>
      </c>
    </row>
    <row r="6297" spans="1:3" x14ac:dyDescent="0.3">
      <c r="A6297" t="str">
        <f>IF(AND(FORSIDE!$B$8&gt;=10,FORSIDE!$F$8&gt;=9,FORSIDE!$B$5&gt;=6),"S6296","")</f>
        <v/>
      </c>
      <c r="B6297" t="str">
        <f>IF(AND(FORSIDE!$B$8&gt;=10,FORSIDE!$F$8&gt;=9,FORSIDE!$B$5&gt;=6),"1965 -&gt; 2196","")</f>
        <v/>
      </c>
      <c r="C6297" t="str">
        <f>FORSIDE!$C$3</f>
        <v>S355, Stål / VFHUP 140x140x8.0</v>
      </c>
    </row>
    <row r="6298" spans="1:3" x14ac:dyDescent="0.3">
      <c r="A6298" t="str">
        <f>IF(AND(FORSIDE!$B$8&gt;=10,FORSIDE!$F$8&gt;=9,FORSIDE!$B$5&gt;=7),"S6297","")</f>
        <v/>
      </c>
      <c r="B6298" t="str">
        <f>IF(AND(FORSIDE!$B$8&gt;=10,FORSIDE!$F$8&gt;=9,FORSIDE!$B$5&gt;=7),"1966 -&gt; 2197","")</f>
        <v/>
      </c>
      <c r="C6298" t="str">
        <f>FORSIDE!$C$3</f>
        <v>S355, Stål / VFHUP 140x140x8.0</v>
      </c>
    </row>
    <row r="6299" spans="1:3" x14ac:dyDescent="0.3">
      <c r="A6299" t="str">
        <f>IF(AND(FORSIDE!$B$8&gt;=10,FORSIDE!$F$8&gt;=9,FORSIDE!$B$5&gt;=8),"S6298","")</f>
        <v/>
      </c>
      <c r="B6299" t="str">
        <f>IF(AND(FORSIDE!$B$8&gt;=10,FORSIDE!$F$8&gt;=9,FORSIDE!$B$5&gt;=8),"1967 -&gt; 2198","")</f>
        <v/>
      </c>
      <c r="C6299" t="str">
        <f>FORSIDE!$C$3</f>
        <v>S355, Stål / VFHUP 140x140x8.0</v>
      </c>
    </row>
    <row r="6300" spans="1:3" x14ac:dyDescent="0.3">
      <c r="A6300" t="str">
        <f>IF(AND(FORSIDE!$B$8&gt;=10,FORSIDE!$F$8&gt;=9,FORSIDE!$B$5&gt;=9),"S6299","")</f>
        <v/>
      </c>
      <c r="B6300" t="str">
        <f>IF(AND(FORSIDE!$B$8&gt;=10,FORSIDE!$F$8&gt;=9,FORSIDE!$B$5&gt;=9),"1968 -&gt; 2199","")</f>
        <v/>
      </c>
      <c r="C6300" t="str">
        <f>FORSIDE!$C$3</f>
        <v>S355, Stål / VFHUP 140x140x8.0</v>
      </c>
    </row>
    <row r="6301" spans="1:3" x14ac:dyDescent="0.3">
      <c r="A6301" t="str">
        <f>IF(AND(FORSIDE!$B$8&gt;=10,FORSIDE!$F$8&gt;=9,FORSIDE!$B$5&gt;=10),"S6300","")</f>
        <v/>
      </c>
      <c r="B6301" t="str">
        <f>IF(AND(FORSIDE!$B$8&gt;=10,FORSIDE!$F$8&gt;=9,FORSIDE!$B$5&gt;=10),"1969 -&gt; 2200","")</f>
        <v/>
      </c>
      <c r="C6301" t="str">
        <f>FORSIDE!$C$3</f>
        <v>S355, Stål / VFHUP 140x140x8.0</v>
      </c>
    </row>
    <row r="6302" spans="1:3" x14ac:dyDescent="0.3">
      <c r="A6302" t="str">
        <f>IF(AND(FORSIDE!$B$8&gt;=11,FORSIDE!$F$8&gt;=9,FORSIDE!$B$5&gt;=1),"S6301","")</f>
        <v/>
      </c>
      <c r="B6302" t="str">
        <f>IF(AND(FORSIDE!$B$8&gt;=11,FORSIDE!$F$8&gt;=9,FORSIDE!$B$5&gt;=1),"1971 -&gt; 2202","")</f>
        <v/>
      </c>
      <c r="C6302" t="str">
        <f>FORSIDE!$C$3</f>
        <v>S355, Stål / VFHUP 140x140x8.0</v>
      </c>
    </row>
    <row r="6303" spans="1:3" x14ac:dyDescent="0.3">
      <c r="A6303" t="str">
        <f>IF(AND(FORSIDE!$B$8&gt;=11,FORSIDE!$F$8&gt;=9,FORSIDE!$B$5&gt;=2),"S6302","")</f>
        <v/>
      </c>
      <c r="B6303" t="str">
        <f>IF(AND(FORSIDE!$B$8&gt;=11,FORSIDE!$F$8&gt;=9,FORSIDE!$B$5&gt;=2),"1972 -&gt; 2203","")</f>
        <v/>
      </c>
      <c r="C6303" t="str">
        <f>FORSIDE!$C$3</f>
        <v>S355, Stål / VFHUP 140x140x8.0</v>
      </c>
    </row>
    <row r="6304" spans="1:3" x14ac:dyDescent="0.3">
      <c r="A6304" t="str">
        <f>IF(AND(FORSIDE!$B$8&gt;=11,FORSIDE!$F$8&gt;=9,FORSIDE!$B$5&gt;=3),"S6303","")</f>
        <v/>
      </c>
      <c r="B6304" t="str">
        <f>IF(AND(FORSIDE!$B$8&gt;=11,FORSIDE!$F$8&gt;=9,FORSIDE!$B$5&gt;=3),"1973 -&gt; 2204","")</f>
        <v/>
      </c>
      <c r="C6304" t="str">
        <f>FORSIDE!$C$3</f>
        <v>S355, Stål / VFHUP 140x140x8.0</v>
      </c>
    </row>
    <row r="6305" spans="1:3" x14ac:dyDescent="0.3">
      <c r="A6305" t="str">
        <f>IF(AND(FORSIDE!$B$8&gt;=11,FORSIDE!$F$8&gt;=9,FORSIDE!$B$5&gt;=4),"S6304","")</f>
        <v/>
      </c>
      <c r="B6305" t="str">
        <f>IF(AND(FORSIDE!$B$8&gt;=11,FORSIDE!$F$8&gt;=9,FORSIDE!$B$5&gt;=4),"1974 -&gt; 2205","")</f>
        <v/>
      </c>
      <c r="C6305" t="str">
        <f>FORSIDE!$C$3</f>
        <v>S355, Stål / VFHUP 140x140x8.0</v>
      </c>
    </row>
    <row r="6306" spans="1:3" x14ac:dyDescent="0.3">
      <c r="A6306" t="str">
        <f>IF(AND(FORSIDE!$B$8&gt;=11,FORSIDE!$F$8&gt;=9,FORSIDE!$B$5&gt;=5),"S6305","")</f>
        <v/>
      </c>
      <c r="B6306" t="str">
        <f>IF(AND(FORSIDE!$B$8&gt;=11,FORSIDE!$F$8&gt;=9,FORSIDE!$B$5&gt;=5),"1975 -&gt; 2206","")</f>
        <v/>
      </c>
      <c r="C6306" t="str">
        <f>FORSIDE!$C$3</f>
        <v>S355, Stål / VFHUP 140x140x8.0</v>
      </c>
    </row>
    <row r="6307" spans="1:3" x14ac:dyDescent="0.3">
      <c r="A6307" t="str">
        <f>IF(AND(FORSIDE!$B$8&gt;=11,FORSIDE!$F$8&gt;=9,FORSIDE!$B$5&gt;=6),"S6306","")</f>
        <v/>
      </c>
      <c r="B6307" t="str">
        <f>IF(AND(FORSIDE!$B$8&gt;=11,FORSIDE!$F$8&gt;=9,FORSIDE!$B$5&gt;=6),"1976 -&gt; 2207","")</f>
        <v/>
      </c>
      <c r="C6307" t="str">
        <f>FORSIDE!$C$3</f>
        <v>S355, Stål / VFHUP 140x140x8.0</v>
      </c>
    </row>
    <row r="6308" spans="1:3" x14ac:dyDescent="0.3">
      <c r="A6308" t="str">
        <f>IF(AND(FORSIDE!$B$8&gt;=11,FORSIDE!$F$8&gt;=9,FORSIDE!$B$5&gt;=7),"S6307","")</f>
        <v/>
      </c>
      <c r="B6308" t="str">
        <f>IF(AND(FORSIDE!$B$8&gt;=11,FORSIDE!$F$8&gt;=9,FORSIDE!$B$5&gt;=7),"1977 -&gt; 2208","")</f>
        <v/>
      </c>
      <c r="C6308" t="str">
        <f>FORSIDE!$C$3</f>
        <v>S355, Stål / VFHUP 140x140x8.0</v>
      </c>
    </row>
    <row r="6309" spans="1:3" x14ac:dyDescent="0.3">
      <c r="A6309" t="str">
        <f>IF(AND(FORSIDE!$B$8&gt;=11,FORSIDE!$F$8&gt;=9,FORSIDE!$B$5&gt;=8),"S6308","")</f>
        <v/>
      </c>
      <c r="B6309" t="str">
        <f>IF(AND(FORSIDE!$B$8&gt;=11,FORSIDE!$F$8&gt;=9,FORSIDE!$B$5&gt;=8),"1978 -&gt; 2209","")</f>
        <v/>
      </c>
      <c r="C6309" t="str">
        <f>FORSIDE!$C$3</f>
        <v>S355, Stål / VFHUP 140x140x8.0</v>
      </c>
    </row>
    <row r="6310" spans="1:3" x14ac:dyDescent="0.3">
      <c r="A6310" t="str">
        <f>IF(AND(FORSIDE!$B$8&gt;=11,FORSIDE!$F$8&gt;=9,FORSIDE!$B$5&gt;=9),"S6309","")</f>
        <v/>
      </c>
      <c r="B6310" t="str">
        <f>IF(AND(FORSIDE!$B$8&gt;=11,FORSIDE!$F$8&gt;=9,FORSIDE!$B$5&gt;=9),"1979 -&gt; 2210","")</f>
        <v/>
      </c>
      <c r="C6310" t="str">
        <f>FORSIDE!$C$3</f>
        <v>S355, Stål / VFHUP 140x140x8.0</v>
      </c>
    </row>
    <row r="6311" spans="1:3" x14ac:dyDescent="0.3">
      <c r="A6311" t="str">
        <f>IF(AND(FORSIDE!$B$8&gt;=11,FORSIDE!$F$8&gt;=9,FORSIDE!$B$5&gt;=10),"S6310","")</f>
        <v/>
      </c>
      <c r="B6311" t="str">
        <f>IF(AND(FORSIDE!$B$8&gt;=11,FORSIDE!$F$8&gt;=9,FORSIDE!$B$5&gt;=10),"1980 -&gt; 2211","")</f>
        <v/>
      </c>
      <c r="C6311" t="str">
        <f>FORSIDE!$C$3</f>
        <v>S355, Stål / VFHUP 140x140x8.0</v>
      </c>
    </row>
    <row r="6312" spans="1:3" x14ac:dyDescent="0.3">
      <c r="A6312" t="str">
        <f>IF(AND(FORSIDE!$B$8&gt;=12,FORSIDE!$F$8&gt;=9,FORSIDE!$B$5&gt;=1),"S6311","")</f>
        <v/>
      </c>
      <c r="B6312" t="str">
        <f>IF(AND(FORSIDE!$B$8&gt;=12,FORSIDE!$F$8&gt;=9,FORSIDE!$B$5&gt;=1),"1982 -&gt; 2213","")</f>
        <v/>
      </c>
      <c r="C6312" t="str">
        <f>FORSIDE!$C$3</f>
        <v>S355, Stål / VFHUP 140x140x8.0</v>
      </c>
    </row>
    <row r="6313" spans="1:3" x14ac:dyDescent="0.3">
      <c r="A6313" t="str">
        <f>IF(AND(FORSIDE!$B$8&gt;=12,FORSIDE!$F$8&gt;=9,FORSIDE!$B$5&gt;=2),"S6312","")</f>
        <v/>
      </c>
      <c r="B6313" t="str">
        <f>IF(AND(FORSIDE!$B$8&gt;=12,FORSIDE!$F$8&gt;=9,FORSIDE!$B$5&gt;=2),"1983 -&gt; 2214","")</f>
        <v/>
      </c>
      <c r="C6313" t="str">
        <f>FORSIDE!$C$3</f>
        <v>S355, Stål / VFHUP 140x140x8.0</v>
      </c>
    </row>
    <row r="6314" spans="1:3" x14ac:dyDescent="0.3">
      <c r="A6314" t="str">
        <f>IF(AND(FORSIDE!$B$8&gt;=12,FORSIDE!$F$8&gt;=9,FORSIDE!$B$5&gt;=3),"S6313","")</f>
        <v/>
      </c>
      <c r="B6314" t="str">
        <f>IF(AND(FORSIDE!$B$8&gt;=12,FORSIDE!$F$8&gt;=9,FORSIDE!$B$5&gt;=3),"1984 -&gt; 2215","")</f>
        <v/>
      </c>
      <c r="C6314" t="str">
        <f>FORSIDE!$C$3</f>
        <v>S355, Stål / VFHUP 140x140x8.0</v>
      </c>
    </row>
    <row r="6315" spans="1:3" x14ac:dyDescent="0.3">
      <c r="A6315" t="str">
        <f>IF(AND(FORSIDE!$B$8&gt;=12,FORSIDE!$F$8&gt;=9,FORSIDE!$B$5&gt;=4),"S6314","")</f>
        <v/>
      </c>
      <c r="B6315" t="str">
        <f>IF(AND(FORSIDE!$B$8&gt;=12,FORSIDE!$F$8&gt;=9,FORSIDE!$B$5&gt;=4),"1985 -&gt; 2216","")</f>
        <v/>
      </c>
      <c r="C6315" t="str">
        <f>FORSIDE!$C$3</f>
        <v>S355, Stål / VFHUP 140x140x8.0</v>
      </c>
    </row>
    <row r="6316" spans="1:3" x14ac:dyDescent="0.3">
      <c r="A6316" t="str">
        <f>IF(AND(FORSIDE!$B$8&gt;=12,FORSIDE!$F$8&gt;=9,FORSIDE!$B$5&gt;=5),"S6315","")</f>
        <v/>
      </c>
      <c r="B6316" t="str">
        <f>IF(AND(FORSIDE!$B$8&gt;=12,FORSIDE!$F$8&gt;=9,FORSIDE!$B$5&gt;=5),"1986 -&gt; 2217","")</f>
        <v/>
      </c>
      <c r="C6316" t="str">
        <f>FORSIDE!$C$3</f>
        <v>S355, Stål / VFHUP 140x140x8.0</v>
      </c>
    </row>
    <row r="6317" spans="1:3" x14ac:dyDescent="0.3">
      <c r="A6317" t="str">
        <f>IF(AND(FORSIDE!$B$8&gt;=12,FORSIDE!$F$8&gt;=9,FORSIDE!$B$5&gt;=6),"S6316","")</f>
        <v/>
      </c>
      <c r="B6317" t="str">
        <f>IF(AND(FORSIDE!$B$8&gt;=12,FORSIDE!$F$8&gt;=9,FORSIDE!$B$5&gt;=6),"1987 -&gt; 2218","")</f>
        <v/>
      </c>
      <c r="C6317" t="str">
        <f>FORSIDE!$C$3</f>
        <v>S355, Stål / VFHUP 140x140x8.0</v>
      </c>
    </row>
    <row r="6318" spans="1:3" x14ac:dyDescent="0.3">
      <c r="A6318" t="str">
        <f>IF(AND(FORSIDE!$B$8&gt;=12,FORSIDE!$F$8&gt;=9,FORSIDE!$B$5&gt;=7),"S6317","")</f>
        <v/>
      </c>
      <c r="B6318" t="str">
        <f>IF(AND(FORSIDE!$B$8&gt;=12,FORSIDE!$F$8&gt;=9,FORSIDE!$B$5&gt;=7),"1988 -&gt; 2219","")</f>
        <v/>
      </c>
      <c r="C6318" t="str">
        <f>FORSIDE!$C$3</f>
        <v>S355, Stål / VFHUP 140x140x8.0</v>
      </c>
    </row>
    <row r="6319" spans="1:3" x14ac:dyDescent="0.3">
      <c r="A6319" t="str">
        <f>IF(AND(FORSIDE!$B$8&gt;=12,FORSIDE!$F$8&gt;=9,FORSIDE!$B$5&gt;=8),"S6318","")</f>
        <v/>
      </c>
      <c r="B6319" t="str">
        <f>IF(AND(FORSIDE!$B$8&gt;=12,FORSIDE!$F$8&gt;=9,FORSIDE!$B$5&gt;=8),"1989 -&gt; 2220","")</f>
        <v/>
      </c>
      <c r="C6319" t="str">
        <f>FORSIDE!$C$3</f>
        <v>S355, Stål / VFHUP 140x140x8.0</v>
      </c>
    </row>
    <row r="6320" spans="1:3" x14ac:dyDescent="0.3">
      <c r="A6320" t="str">
        <f>IF(AND(FORSIDE!$B$8&gt;=12,FORSIDE!$F$8&gt;=9,FORSIDE!$B$5&gt;=9),"S6319","")</f>
        <v/>
      </c>
      <c r="B6320" t="str">
        <f>IF(AND(FORSIDE!$B$8&gt;=12,FORSIDE!$F$8&gt;=9,FORSIDE!$B$5&gt;=9),"1990 -&gt; 2221","")</f>
        <v/>
      </c>
      <c r="C6320" t="str">
        <f>FORSIDE!$C$3</f>
        <v>S355, Stål / VFHUP 140x140x8.0</v>
      </c>
    </row>
    <row r="6321" spans="1:3" x14ac:dyDescent="0.3">
      <c r="A6321" t="str">
        <f>IF(AND(FORSIDE!$B$8&gt;=12,FORSIDE!$F$8&gt;=9,FORSIDE!$B$5&gt;=10),"S6320","")</f>
        <v/>
      </c>
      <c r="B6321" t="str">
        <f>IF(AND(FORSIDE!$B$8&gt;=12,FORSIDE!$F$8&gt;=9,FORSIDE!$B$5&gt;=10),"1991 -&gt; 2222","")</f>
        <v/>
      </c>
      <c r="C6321" t="str">
        <f>FORSIDE!$C$3</f>
        <v>S355, Stål / VFHUP 140x140x8.0</v>
      </c>
    </row>
    <row r="6322" spans="1:3" x14ac:dyDescent="0.3">
      <c r="A6322" t="str">
        <f>IF(AND(FORSIDE!$B$8&gt;=13,FORSIDE!$F$8&gt;=9,FORSIDE!$B$5&gt;=1),"S6321","")</f>
        <v/>
      </c>
      <c r="B6322" t="str">
        <f>IF(AND(FORSIDE!$B$8&gt;=13,FORSIDE!$F$8&gt;=9,FORSIDE!$B$5&gt;=1),"1993 -&gt; 2224","")</f>
        <v/>
      </c>
      <c r="C6322" t="str">
        <f>FORSIDE!$C$3</f>
        <v>S355, Stål / VFHUP 140x140x8.0</v>
      </c>
    </row>
    <row r="6323" spans="1:3" x14ac:dyDescent="0.3">
      <c r="A6323" t="str">
        <f>IF(AND(FORSIDE!$B$8&gt;=13,FORSIDE!$F$8&gt;=9,FORSIDE!$B$5&gt;=2),"S6322","")</f>
        <v/>
      </c>
      <c r="B6323" t="str">
        <f>IF(AND(FORSIDE!$B$8&gt;=13,FORSIDE!$F$8&gt;=9,FORSIDE!$B$5&gt;=2),"1994 -&gt; 2225","")</f>
        <v/>
      </c>
      <c r="C6323" t="str">
        <f>FORSIDE!$C$3</f>
        <v>S355, Stål / VFHUP 140x140x8.0</v>
      </c>
    </row>
    <row r="6324" spans="1:3" x14ac:dyDescent="0.3">
      <c r="A6324" t="str">
        <f>IF(AND(FORSIDE!$B$8&gt;=13,FORSIDE!$F$8&gt;=9,FORSIDE!$B$5&gt;=3),"S6323","")</f>
        <v/>
      </c>
      <c r="B6324" t="str">
        <f>IF(AND(FORSIDE!$B$8&gt;=13,FORSIDE!$F$8&gt;=9,FORSIDE!$B$5&gt;=3),"1995 -&gt; 2226","")</f>
        <v/>
      </c>
      <c r="C6324" t="str">
        <f>FORSIDE!$C$3</f>
        <v>S355, Stål / VFHUP 140x140x8.0</v>
      </c>
    </row>
    <row r="6325" spans="1:3" x14ac:dyDescent="0.3">
      <c r="A6325" t="str">
        <f>IF(AND(FORSIDE!$B$8&gt;=13,FORSIDE!$F$8&gt;=9,FORSIDE!$B$5&gt;=4),"S6324","")</f>
        <v/>
      </c>
      <c r="B6325" t="str">
        <f>IF(AND(FORSIDE!$B$8&gt;=13,FORSIDE!$F$8&gt;=9,FORSIDE!$B$5&gt;=4),"1996 -&gt; 2227","")</f>
        <v/>
      </c>
      <c r="C6325" t="str">
        <f>FORSIDE!$C$3</f>
        <v>S355, Stål / VFHUP 140x140x8.0</v>
      </c>
    </row>
    <row r="6326" spans="1:3" x14ac:dyDescent="0.3">
      <c r="A6326" t="str">
        <f>IF(AND(FORSIDE!$B$8&gt;=13,FORSIDE!$F$8&gt;=9,FORSIDE!$B$5&gt;=5),"S6325","")</f>
        <v/>
      </c>
      <c r="B6326" t="str">
        <f>IF(AND(FORSIDE!$B$8&gt;=13,FORSIDE!$F$8&gt;=9,FORSIDE!$B$5&gt;=5),"1997 -&gt; 2228","")</f>
        <v/>
      </c>
      <c r="C6326" t="str">
        <f>FORSIDE!$C$3</f>
        <v>S355, Stål / VFHUP 140x140x8.0</v>
      </c>
    </row>
    <row r="6327" spans="1:3" x14ac:dyDescent="0.3">
      <c r="A6327" t="str">
        <f>IF(AND(FORSIDE!$B$8&gt;=13,FORSIDE!$F$8&gt;=9,FORSIDE!$B$5&gt;=6),"S6326","")</f>
        <v/>
      </c>
      <c r="B6327" t="str">
        <f>IF(AND(FORSIDE!$B$8&gt;=13,FORSIDE!$F$8&gt;=9,FORSIDE!$B$5&gt;=6),"1998 -&gt; 2229","")</f>
        <v/>
      </c>
      <c r="C6327" t="str">
        <f>FORSIDE!$C$3</f>
        <v>S355, Stål / VFHUP 140x140x8.0</v>
      </c>
    </row>
    <row r="6328" spans="1:3" x14ac:dyDescent="0.3">
      <c r="A6328" t="str">
        <f>IF(AND(FORSIDE!$B$8&gt;=13,FORSIDE!$F$8&gt;=9,FORSIDE!$B$5&gt;=7),"S6327","")</f>
        <v/>
      </c>
      <c r="B6328" t="str">
        <f>IF(AND(FORSIDE!$B$8&gt;=13,FORSIDE!$F$8&gt;=9,FORSIDE!$B$5&gt;=7),"1999 -&gt; 2230","")</f>
        <v/>
      </c>
      <c r="C6328" t="str">
        <f>FORSIDE!$C$3</f>
        <v>S355, Stål / VFHUP 140x140x8.0</v>
      </c>
    </row>
    <row r="6329" spans="1:3" x14ac:dyDescent="0.3">
      <c r="A6329" t="str">
        <f>IF(AND(FORSIDE!$B$8&gt;=13,FORSIDE!$F$8&gt;=9,FORSIDE!$B$5&gt;=8),"S6328","")</f>
        <v/>
      </c>
      <c r="B6329" t="str">
        <f>IF(AND(FORSIDE!$B$8&gt;=13,FORSIDE!$F$8&gt;=9,FORSIDE!$B$5&gt;=8),"2000 -&gt; 2231","")</f>
        <v/>
      </c>
      <c r="C6329" t="str">
        <f>FORSIDE!$C$3</f>
        <v>S355, Stål / VFHUP 140x140x8.0</v>
      </c>
    </row>
    <row r="6330" spans="1:3" x14ac:dyDescent="0.3">
      <c r="A6330" t="str">
        <f>IF(AND(FORSIDE!$B$8&gt;=13,FORSIDE!$F$8&gt;=9,FORSIDE!$B$5&gt;=9),"S6329","")</f>
        <v/>
      </c>
      <c r="B6330" t="str">
        <f>IF(AND(FORSIDE!$B$8&gt;=13,FORSIDE!$F$8&gt;=9,FORSIDE!$B$5&gt;=9),"2001 -&gt; 2232","")</f>
        <v/>
      </c>
      <c r="C6330" t="str">
        <f>FORSIDE!$C$3</f>
        <v>S355, Stål / VFHUP 140x140x8.0</v>
      </c>
    </row>
    <row r="6331" spans="1:3" x14ac:dyDescent="0.3">
      <c r="A6331" t="str">
        <f>IF(AND(FORSIDE!$B$8&gt;=13,FORSIDE!$F$8&gt;=9,FORSIDE!$B$5&gt;=10),"S6330","")</f>
        <v/>
      </c>
      <c r="B6331" t="str">
        <f>IF(AND(FORSIDE!$B$8&gt;=13,FORSIDE!$F$8&gt;=9,FORSIDE!$B$5&gt;=10),"2002 -&gt; 2233","")</f>
        <v/>
      </c>
      <c r="C6331" t="str">
        <f>FORSIDE!$C$3</f>
        <v>S355, Stål / VFHUP 140x140x8.0</v>
      </c>
    </row>
    <row r="6332" spans="1:3" x14ac:dyDescent="0.3">
      <c r="A6332" t="str">
        <f>IF(AND(FORSIDE!$B$8&gt;=14,FORSIDE!$F$8&gt;=9,FORSIDE!$B$5&gt;=1),"S6331","")</f>
        <v/>
      </c>
      <c r="B6332" t="str">
        <f>IF(AND(FORSIDE!$B$8&gt;=14,FORSIDE!$F$8&gt;=9,FORSIDE!$B$5&gt;=1),"2004 -&gt; 2235","")</f>
        <v/>
      </c>
      <c r="C6332" t="str">
        <f>FORSIDE!$C$3</f>
        <v>S355, Stål / VFHUP 140x140x8.0</v>
      </c>
    </row>
    <row r="6333" spans="1:3" x14ac:dyDescent="0.3">
      <c r="A6333" t="str">
        <f>IF(AND(FORSIDE!$B$8&gt;=14,FORSIDE!$F$8&gt;=9,FORSIDE!$B$5&gt;=2),"S6332","")</f>
        <v/>
      </c>
      <c r="B6333" t="str">
        <f>IF(AND(FORSIDE!$B$8&gt;=14,FORSIDE!$F$8&gt;=9,FORSIDE!$B$5&gt;=2),"2005 -&gt; 2236","")</f>
        <v/>
      </c>
      <c r="C6333" t="str">
        <f>FORSIDE!$C$3</f>
        <v>S355, Stål / VFHUP 140x140x8.0</v>
      </c>
    </row>
    <row r="6334" spans="1:3" x14ac:dyDescent="0.3">
      <c r="A6334" t="str">
        <f>IF(AND(FORSIDE!$B$8&gt;=14,FORSIDE!$F$8&gt;=9,FORSIDE!$B$5&gt;=3),"S6333","")</f>
        <v/>
      </c>
      <c r="B6334" t="str">
        <f>IF(AND(FORSIDE!$B$8&gt;=14,FORSIDE!$F$8&gt;=9,FORSIDE!$B$5&gt;=3),"2006 -&gt; 2237","")</f>
        <v/>
      </c>
      <c r="C6334" t="str">
        <f>FORSIDE!$C$3</f>
        <v>S355, Stål / VFHUP 140x140x8.0</v>
      </c>
    </row>
    <row r="6335" spans="1:3" x14ac:dyDescent="0.3">
      <c r="A6335" t="str">
        <f>IF(AND(FORSIDE!$B$8&gt;=14,FORSIDE!$F$8&gt;=9,FORSIDE!$B$5&gt;=4),"S6334","")</f>
        <v/>
      </c>
      <c r="B6335" t="str">
        <f>IF(AND(FORSIDE!$B$8&gt;=14,FORSIDE!$F$8&gt;=9,FORSIDE!$B$5&gt;=4),"2007 -&gt; 2238","")</f>
        <v/>
      </c>
      <c r="C6335" t="str">
        <f>FORSIDE!$C$3</f>
        <v>S355, Stål / VFHUP 140x140x8.0</v>
      </c>
    </row>
    <row r="6336" spans="1:3" x14ac:dyDescent="0.3">
      <c r="A6336" t="str">
        <f>IF(AND(FORSIDE!$B$8&gt;=14,FORSIDE!$F$8&gt;=9,FORSIDE!$B$5&gt;=5),"S6335","")</f>
        <v/>
      </c>
      <c r="B6336" t="str">
        <f>IF(AND(FORSIDE!$B$8&gt;=14,FORSIDE!$F$8&gt;=9,FORSIDE!$B$5&gt;=5),"2008 -&gt; 2239","")</f>
        <v/>
      </c>
      <c r="C6336" t="str">
        <f>FORSIDE!$C$3</f>
        <v>S355, Stål / VFHUP 140x140x8.0</v>
      </c>
    </row>
    <row r="6337" spans="1:3" x14ac:dyDescent="0.3">
      <c r="A6337" t="str">
        <f>IF(AND(FORSIDE!$B$8&gt;=14,FORSIDE!$F$8&gt;=9,FORSIDE!$B$5&gt;=6),"S6336","")</f>
        <v/>
      </c>
      <c r="B6337" t="str">
        <f>IF(AND(FORSIDE!$B$8&gt;=14,FORSIDE!$F$8&gt;=9,FORSIDE!$B$5&gt;=6),"2009 -&gt; 2240","")</f>
        <v/>
      </c>
      <c r="C6337" t="str">
        <f>FORSIDE!$C$3</f>
        <v>S355, Stål / VFHUP 140x140x8.0</v>
      </c>
    </row>
    <row r="6338" spans="1:3" x14ac:dyDescent="0.3">
      <c r="A6338" t="str">
        <f>IF(AND(FORSIDE!$B$8&gt;=14,FORSIDE!$F$8&gt;=9,FORSIDE!$B$5&gt;=7),"S6337","")</f>
        <v/>
      </c>
      <c r="B6338" t="str">
        <f>IF(AND(FORSIDE!$B$8&gt;=14,FORSIDE!$F$8&gt;=9,FORSIDE!$B$5&gt;=7),"2010 -&gt; 2241","")</f>
        <v/>
      </c>
      <c r="C6338" t="str">
        <f>FORSIDE!$C$3</f>
        <v>S355, Stål / VFHUP 140x140x8.0</v>
      </c>
    </row>
    <row r="6339" spans="1:3" x14ac:dyDescent="0.3">
      <c r="A6339" t="str">
        <f>IF(AND(FORSIDE!$B$8&gt;=14,FORSIDE!$F$8&gt;=9,FORSIDE!$B$5&gt;=8),"S6338","")</f>
        <v/>
      </c>
      <c r="B6339" t="str">
        <f>IF(AND(FORSIDE!$B$8&gt;=14,FORSIDE!$F$8&gt;=9,FORSIDE!$B$5&gt;=8),"2011 -&gt; 2242","")</f>
        <v/>
      </c>
      <c r="C6339" t="str">
        <f>FORSIDE!$C$3</f>
        <v>S355, Stål / VFHUP 140x140x8.0</v>
      </c>
    </row>
    <row r="6340" spans="1:3" x14ac:dyDescent="0.3">
      <c r="A6340" t="str">
        <f>IF(AND(FORSIDE!$B$8&gt;=14,FORSIDE!$F$8&gt;=9,FORSIDE!$B$5&gt;=9),"S6339","")</f>
        <v/>
      </c>
      <c r="B6340" t="str">
        <f>IF(AND(FORSIDE!$B$8&gt;=14,FORSIDE!$F$8&gt;=9,FORSIDE!$B$5&gt;=9),"2012 -&gt; 2243","")</f>
        <v/>
      </c>
      <c r="C6340" t="str">
        <f>FORSIDE!$C$3</f>
        <v>S355, Stål / VFHUP 140x140x8.0</v>
      </c>
    </row>
    <row r="6341" spans="1:3" x14ac:dyDescent="0.3">
      <c r="A6341" t="str">
        <f>IF(AND(FORSIDE!$B$8&gt;=14,FORSIDE!$F$8&gt;=9,FORSIDE!$B$5&gt;=10),"S6340","")</f>
        <v/>
      </c>
      <c r="B6341" t="str">
        <f>IF(AND(FORSIDE!$B$8&gt;=14,FORSIDE!$F$8&gt;=9,FORSIDE!$B$5&gt;=10),"2013 -&gt; 2244","")</f>
        <v/>
      </c>
      <c r="C6341" t="str">
        <f>FORSIDE!$C$3</f>
        <v>S355, Stål / VFHUP 140x140x8.0</v>
      </c>
    </row>
    <row r="6342" spans="1:3" x14ac:dyDescent="0.3">
      <c r="A6342" t="str">
        <f>IF(AND(FORSIDE!$B$8&gt;=15,FORSIDE!$F$8&gt;=9,FORSIDE!$B$5&gt;=1),"S6341","")</f>
        <v/>
      </c>
      <c r="B6342" t="str">
        <f>IF(AND(FORSIDE!$B$8&gt;=15,FORSIDE!$F$8&gt;=9,FORSIDE!$B$5&gt;=1),"2015 -&gt; 2246","")</f>
        <v/>
      </c>
      <c r="C6342" t="str">
        <f>FORSIDE!$C$3</f>
        <v>S355, Stål / VFHUP 140x140x8.0</v>
      </c>
    </row>
    <row r="6343" spans="1:3" x14ac:dyDescent="0.3">
      <c r="A6343" t="str">
        <f>IF(AND(FORSIDE!$B$8&gt;=15,FORSIDE!$F$8&gt;=9,FORSIDE!$B$5&gt;=2),"S6342","")</f>
        <v/>
      </c>
      <c r="B6343" t="str">
        <f>IF(AND(FORSIDE!$B$8&gt;=15,FORSIDE!$F$8&gt;=9,FORSIDE!$B$5&gt;=2),"2016 -&gt; 2247","")</f>
        <v/>
      </c>
      <c r="C6343" t="str">
        <f>FORSIDE!$C$3</f>
        <v>S355, Stål / VFHUP 140x140x8.0</v>
      </c>
    </row>
    <row r="6344" spans="1:3" x14ac:dyDescent="0.3">
      <c r="A6344" t="str">
        <f>IF(AND(FORSIDE!$B$8&gt;=15,FORSIDE!$F$8&gt;=9,FORSIDE!$B$5&gt;=3),"S6343","")</f>
        <v/>
      </c>
      <c r="B6344" t="str">
        <f>IF(AND(FORSIDE!$B$8&gt;=15,FORSIDE!$F$8&gt;=9,FORSIDE!$B$5&gt;=3),"2017 -&gt; 2248","")</f>
        <v/>
      </c>
      <c r="C6344" t="str">
        <f>FORSIDE!$C$3</f>
        <v>S355, Stål / VFHUP 140x140x8.0</v>
      </c>
    </row>
    <row r="6345" spans="1:3" x14ac:dyDescent="0.3">
      <c r="A6345" t="str">
        <f>IF(AND(FORSIDE!$B$8&gt;=15,FORSIDE!$F$8&gt;=9,FORSIDE!$B$5&gt;=4),"S6344","")</f>
        <v/>
      </c>
      <c r="B6345" t="str">
        <f>IF(AND(FORSIDE!$B$8&gt;=15,FORSIDE!$F$8&gt;=9,FORSIDE!$B$5&gt;=4),"2018 -&gt; 2249","")</f>
        <v/>
      </c>
      <c r="C6345" t="str">
        <f>FORSIDE!$C$3</f>
        <v>S355, Stål / VFHUP 140x140x8.0</v>
      </c>
    </row>
    <row r="6346" spans="1:3" x14ac:dyDescent="0.3">
      <c r="A6346" t="str">
        <f>IF(AND(FORSIDE!$B$8&gt;=15,FORSIDE!$F$8&gt;=9,FORSIDE!$B$5&gt;=5),"S6345","")</f>
        <v/>
      </c>
      <c r="B6346" t="str">
        <f>IF(AND(FORSIDE!$B$8&gt;=15,FORSIDE!$F$8&gt;=9,FORSIDE!$B$5&gt;=5),"2019 -&gt; 2250","")</f>
        <v/>
      </c>
      <c r="C6346" t="str">
        <f>FORSIDE!$C$3</f>
        <v>S355, Stål / VFHUP 140x140x8.0</v>
      </c>
    </row>
    <row r="6347" spans="1:3" x14ac:dyDescent="0.3">
      <c r="A6347" t="str">
        <f>IF(AND(FORSIDE!$B$8&gt;=15,FORSIDE!$F$8&gt;=9,FORSIDE!$B$5&gt;=6),"S6346","")</f>
        <v/>
      </c>
      <c r="B6347" t="str">
        <f>IF(AND(FORSIDE!$B$8&gt;=15,FORSIDE!$F$8&gt;=9,FORSIDE!$B$5&gt;=6),"2020 -&gt; 2251","")</f>
        <v/>
      </c>
      <c r="C6347" t="str">
        <f>FORSIDE!$C$3</f>
        <v>S355, Stål / VFHUP 140x140x8.0</v>
      </c>
    </row>
    <row r="6348" spans="1:3" x14ac:dyDescent="0.3">
      <c r="A6348" t="str">
        <f>IF(AND(FORSIDE!$B$8&gt;=15,FORSIDE!$F$8&gt;=9,FORSIDE!$B$5&gt;=7),"S6347","")</f>
        <v/>
      </c>
      <c r="B6348" t="str">
        <f>IF(AND(FORSIDE!$B$8&gt;=15,FORSIDE!$F$8&gt;=9,FORSIDE!$B$5&gt;=7),"2021 -&gt; 2252","")</f>
        <v/>
      </c>
      <c r="C6348" t="str">
        <f>FORSIDE!$C$3</f>
        <v>S355, Stål / VFHUP 140x140x8.0</v>
      </c>
    </row>
    <row r="6349" spans="1:3" x14ac:dyDescent="0.3">
      <c r="A6349" t="str">
        <f>IF(AND(FORSIDE!$B$8&gt;=15,FORSIDE!$F$8&gt;=9,FORSIDE!$B$5&gt;=8),"S6348","")</f>
        <v/>
      </c>
      <c r="B6349" t="str">
        <f>IF(AND(FORSIDE!$B$8&gt;=15,FORSIDE!$F$8&gt;=9,FORSIDE!$B$5&gt;=8),"2022 -&gt; 2253","")</f>
        <v/>
      </c>
      <c r="C6349" t="str">
        <f>FORSIDE!$C$3</f>
        <v>S355, Stål / VFHUP 140x140x8.0</v>
      </c>
    </row>
    <row r="6350" spans="1:3" x14ac:dyDescent="0.3">
      <c r="A6350" t="str">
        <f>IF(AND(FORSIDE!$B$8&gt;=15,FORSIDE!$F$8&gt;=9,FORSIDE!$B$5&gt;=9),"S6349","")</f>
        <v/>
      </c>
      <c r="B6350" t="str">
        <f>IF(AND(FORSIDE!$B$8&gt;=15,FORSIDE!$F$8&gt;=9,FORSIDE!$B$5&gt;=9),"2023 -&gt; 2254","")</f>
        <v/>
      </c>
      <c r="C6350" t="str">
        <f>FORSIDE!$C$3</f>
        <v>S355, Stål / VFHUP 140x140x8.0</v>
      </c>
    </row>
    <row r="6351" spans="1:3" x14ac:dyDescent="0.3">
      <c r="A6351" t="str">
        <f>IF(AND(FORSIDE!$B$8&gt;=15,FORSIDE!$F$8&gt;=9,FORSIDE!$B$5&gt;=10),"S6350","")</f>
        <v/>
      </c>
      <c r="B6351" t="str">
        <f>IF(AND(FORSIDE!$B$8&gt;=15,FORSIDE!$F$8&gt;=9,FORSIDE!$B$5&gt;=10),"2024 -&gt; 2255","")</f>
        <v/>
      </c>
      <c r="C6351" t="str">
        <f>FORSIDE!$C$3</f>
        <v>S355, Stål / VFHUP 140x140x8.0</v>
      </c>
    </row>
    <row r="6352" spans="1:3" x14ac:dyDescent="0.3">
      <c r="A6352" t="str">
        <f>IF(AND(FORSIDE!$B$8&gt;=16,FORSIDE!$F$8&gt;=9,FORSIDE!$B$5&gt;=1),"S6351","")</f>
        <v/>
      </c>
      <c r="B6352" t="str">
        <f>IF(AND(FORSIDE!$B$8&gt;=16,FORSIDE!$F$8&gt;=9,FORSIDE!$B$5&gt;=1),"2026 -&gt; 2257","")</f>
        <v/>
      </c>
      <c r="C6352" t="str">
        <f>FORSIDE!$C$3</f>
        <v>S355, Stål / VFHUP 140x140x8.0</v>
      </c>
    </row>
    <row r="6353" spans="1:3" x14ac:dyDescent="0.3">
      <c r="A6353" t="str">
        <f>IF(AND(FORSIDE!$B$8&gt;=16,FORSIDE!$F$8&gt;=9,FORSIDE!$B$5&gt;=2),"S6352","")</f>
        <v/>
      </c>
      <c r="B6353" t="str">
        <f>IF(AND(FORSIDE!$B$8&gt;=16,FORSIDE!$F$8&gt;=9,FORSIDE!$B$5&gt;=2),"2027 -&gt; 2258","")</f>
        <v/>
      </c>
      <c r="C6353" t="str">
        <f>FORSIDE!$C$3</f>
        <v>S355, Stål / VFHUP 140x140x8.0</v>
      </c>
    </row>
    <row r="6354" spans="1:3" x14ac:dyDescent="0.3">
      <c r="A6354" t="str">
        <f>IF(AND(FORSIDE!$B$8&gt;=16,FORSIDE!$F$8&gt;=9,FORSIDE!$B$5&gt;=3),"S6353","")</f>
        <v/>
      </c>
      <c r="B6354" t="str">
        <f>IF(AND(FORSIDE!$B$8&gt;=16,FORSIDE!$F$8&gt;=9,FORSIDE!$B$5&gt;=3),"2028 -&gt; 2259","")</f>
        <v/>
      </c>
      <c r="C6354" t="str">
        <f>FORSIDE!$C$3</f>
        <v>S355, Stål / VFHUP 140x140x8.0</v>
      </c>
    </row>
    <row r="6355" spans="1:3" x14ac:dyDescent="0.3">
      <c r="A6355" t="str">
        <f>IF(AND(FORSIDE!$B$8&gt;=16,FORSIDE!$F$8&gt;=9,FORSIDE!$B$5&gt;=4),"S6354","")</f>
        <v/>
      </c>
      <c r="B6355" t="str">
        <f>IF(AND(FORSIDE!$B$8&gt;=16,FORSIDE!$F$8&gt;=9,FORSIDE!$B$5&gt;=4),"2029 -&gt; 2260","")</f>
        <v/>
      </c>
      <c r="C6355" t="str">
        <f>FORSIDE!$C$3</f>
        <v>S355, Stål / VFHUP 140x140x8.0</v>
      </c>
    </row>
    <row r="6356" spans="1:3" x14ac:dyDescent="0.3">
      <c r="A6356" t="str">
        <f>IF(AND(FORSIDE!$B$8&gt;=16,FORSIDE!$F$8&gt;=9,FORSIDE!$B$5&gt;=5),"S6355","")</f>
        <v/>
      </c>
      <c r="B6356" t="str">
        <f>IF(AND(FORSIDE!$B$8&gt;=16,FORSIDE!$F$8&gt;=9,FORSIDE!$B$5&gt;=5),"2030 -&gt; 2261","")</f>
        <v/>
      </c>
      <c r="C6356" t="str">
        <f>FORSIDE!$C$3</f>
        <v>S355, Stål / VFHUP 140x140x8.0</v>
      </c>
    </row>
    <row r="6357" spans="1:3" x14ac:dyDescent="0.3">
      <c r="A6357" t="str">
        <f>IF(AND(FORSIDE!$B$8&gt;=16,FORSIDE!$F$8&gt;=9,FORSIDE!$B$5&gt;=6),"S6356","")</f>
        <v/>
      </c>
      <c r="B6357" t="str">
        <f>IF(AND(FORSIDE!$B$8&gt;=16,FORSIDE!$F$8&gt;=9,FORSIDE!$B$5&gt;=6),"2031 -&gt; 2262","")</f>
        <v/>
      </c>
      <c r="C6357" t="str">
        <f>FORSIDE!$C$3</f>
        <v>S355, Stål / VFHUP 140x140x8.0</v>
      </c>
    </row>
    <row r="6358" spans="1:3" x14ac:dyDescent="0.3">
      <c r="A6358" t="str">
        <f>IF(AND(FORSIDE!$B$8&gt;=16,FORSIDE!$F$8&gt;=9,FORSIDE!$B$5&gt;=7),"S6357","")</f>
        <v/>
      </c>
      <c r="B6358" t="str">
        <f>IF(AND(FORSIDE!$B$8&gt;=16,FORSIDE!$F$8&gt;=9,FORSIDE!$B$5&gt;=7),"2032 -&gt; 2263","")</f>
        <v/>
      </c>
      <c r="C6358" t="str">
        <f>FORSIDE!$C$3</f>
        <v>S355, Stål / VFHUP 140x140x8.0</v>
      </c>
    </row>
    <row r="6359" spans="1:3" x14ac:dyDescent="0.3">
      <c r="A6359" t="str">
        <f>IF(AND(FORSIDE!$B$8&gt;=16,FORSIDE!$F$8&gt;=9,FORSIDE!$B$5&gt;=8),"S6358","")</f>
        <v/>
      </c>
      <c r="B6359" t="str">
        <f>IF(AND(FORSIDE!$B$8&gt;=16,FORSIDE!$F$8&gt;=9,FORSIDE!$B$5&gt;=8),"2033 -&gt; 2264","")</f>
        <v/>
      </c>
      <c r="C6359" t="str">
        <f>FORSIDE!$C$3</f>
        <v>S355, Stål / VFHUP 140x140x8.0</v>
      </c>
    </row>
    <row r="6360" spans="1:3" x14ac:dyDescent="0.3">
      <c r="A6360" t="str">
        <f>IF(AND(FORSIDE!$B$8&gt;=16,FORSIDE!$F$8&gt;=9,FORSIDE!$B$5&gt;=9),"S6359","")</f>
        <v/>
      </c>
      <c r="B6360" t="str">
        <f>IF(AND(FORSIDE!$B$8&gt;=16,FORSIDE!$F$8&gt;=9,FORSIDE!$B$5&gt;=9),"2034 -&gt; 2265","")</f>
        <v/>
      </c>
      <c r="C6360" t="str">
        <f>FORSIDE!$C$3</f>
        <v>S355, Stål / VFHUP 140x140x8.0</v>
      </c>
    </row>
    <row r="6361" spans="1:3" x14ac:dyDescent="0.3">
      <c r="A6361" t="str">
        <f>IF(AND(FORSIDE!$B$8&gt;=16,FORSIDE!$F$8&gt;=9,FORSIDE!$B$5&gt;=10),"S6360","")</f>
        <v/>
      </c>
      <c r="B6361" t="str">
        <f>IF(AND(FORSIDE!$B$8&gt;=16,FORSIDE!$F$8&gt;=9,FORSIDE!$B$5&gt;=10),"2035 -&gt; 2266","")</f>
        <v/>
      </c>
      <c r="C6361" t="str">
        <f>FORSIDE!$C$3</f>
        <v>S355, Stål / VFHUP 140x140x8.0</v>
      </c>
    </row>
    <row r="6362" spans="1:3" x14ac:dyDescent="0.3">
      <c r="A6362" t="str">
        <f>IF(AND(FORSIDE!$B$8&gt;=17,FORSIDE!$F$8&gt;=9,FORSIDE!$B$5&gt;=1),"S6361","")</f>
        <v/>
      </c>
      <c r="B6362" t="str">
        <f>IF(AND(FORSIDE!$B$8&gt;=17,FORSIDE!$F$8&gt;=9,FORSIDE!$B$5&gt;=1),"2037 -&gt; 2268","")</f>
        <v/>
      </c>
      <c r="C6362" t="str">
        <f>FORSIDE!$C$3</f>
        <v>S355, Stål / VFHUP 140x140x8.0</v>
      </c>
    </row>
    <row r="6363" spans="1:3" x14ac:dyDescent="0.3">
      <c r="A6363" t="str">
        <f>IF(AND(FORSIDE!$B$8&gt;=17,FORSIDE!$F$8&gt;=9,FORSIDE!$B$5&gt;=2),"S6362","")</f>
        <v/>
      </c>
      <c r="B6363" t="str">
        <f>IF(AND(FORSIDE!$B$8&gt;=17,FORSIDE!$F$8&gt;=9,FORSIDE!$B$5&gt;=2),"2038 -&gt; 2269","")</f>
        <v/>
      </c>
      <c r="C6363" t="str">
        <f>FORSIDE!$C$3</f>
        <v>S355, Stål / VFHUP 140x140x8.0</v>
      </c>
    </row>
    <row r="6364" spans="1:3" x14ac:dyDescent="0.3">
      <c r="A6364" t="str">
        <f>IF(AND(FORSIDE!$B$8&gt;=17,FORSIDE!$F$8&gt;=9,FORSIDE!$B$5&gt;=3),"S6363","")</f>
        <v/>
      </c>
      <c r="B6364" t="str">
        <f>IF(AND(FORSIDE!$B$8&gt;=17,FORSIDE!$F$8&gt;=9,FORSIDE!$B$5&gt;=3),"2039 -&gt; 2270","")</f>
        <v/>
      </c>
      <c r="C6364" t="str">
        <f>FORSIDE!$C$3</f>
        <v>S355, Stål / VFHUP 140x140x8.0</v>
      </c>
    </row>
    <row r="6365" spans="1:3" x14ac:dyDescent="0.3">
      <c r="A6365" t="str">
        <f>IF(AND(FORSIDE!$B$8&gt;=17,FORSIDE!$F$8&gt;=9,FORSIDE!$B$5&gt;=4),"S6364","")</f>
        <v/>
      </c>
      <c r="B6365" t="str">
        <f>IF(AND(FORSIDE!$B$8&gt;=17,FORSIDE!$F$8&gt;=9,FORSIDE!$B$5&gt;=4),"2040 -&gt; 2271","")</f>
        <v/>
      </c>
      <c r="C6365" t="str">
        <f>FORSIDE!$C$3</f>
        <v>S355, Stål / VFHUP 140x140x8.0</v>
      </c>
    </row>
    <row r="6366" spans="1:3" x14ac:dyDescent="0.3">
      <c r="A6366" t="str">
        <f>IF(AND(FORSIDE!$B$8&gt;=17,FORSIDE!$F$8&gt;=9,FORSIDE!$B$5&gt;=5),"S6365","")</f>
        <v/>
      </c>
      <c r="B6366" t="str">
        <f>IF(AND(FORSIDE!$B$8&gt;=17,FORSIDE!$F$8&gt;=9,FORSIDE!$B$5&gt;=5),"2041 -&gt; 2272","")</f>
        <v/>
      </c>
      <c r="C6366" t="str">
        <f>FORSIDE!$C$3</f>
        <v>S355, Stål / VFHUP 140x140x8.0</v>
      </c>
    </row>
    <row r="6367" spans="1:3" x14ac:dyDescent="0.3">
      <c r="A6367" t="str">
        <f>IF(AND(FORSIDE!$B$8&gt;=17,FORSIDE!$F$8&gt;=9,FORSIDE!$B$5&gt;=6),"S6366","")</f>
        <v/>
      </c>
      <c r="B6367" t="str">
        <f>IF(AND(FORSIDE!$B$8&gt;=17,FORSIDE!$F$8&gt;=9,FORSIDE!$B$5&gt;=6),"2042 -&gt; 2273","")</f>
        <v/>
      </c>
      <c r="C6367" t="str">
        <f>FORSIDE!$C$3</f>
        <v>S355, Stål / VFHUP 140x140x8.0</v>
      </c>
    </row>
    <row r="6368" spans="1:3" x14ac:dyDescent="0.3">
      <c r="A6368" t="str">
        <f>IF(AND(FORSIDE!$B$8&gt;=17,FORSIDE!$F$8&gt;=9,FORSIDE!$B$5&gt;=7),"S6367","")</f>
        <v/>
      </c>
      <c r="B6368" t="str">
        <f>IF(AND(FORSIDE!$B$8&gt;=17,FORSIDE!$F$8&gt;=9,FORSIDE!$B$5&gt;=7),"2043 -&gt; 2274","")</f>
        <v/>
      </c>
      <c r="C6368" t="str">
        <f>FORSIDE!$C$3</f>
        <v>S355, Stål / VFHUP 140x140x8.0</v>
      </c>
    </row>
    <row r="6369" spans="1:3" x14ac:dyDescent="0.3">
      <c r="A6369" t="str">
        <f>IF(AND(FORSIDE!$B$8&gt;=17,FORSIDE!$F$8&gt;=9,FORSIDE!$B$5&gt;=8),"S6368","")</f>
        <v/>
      </c>
      <c r="B6369" t="str">
        <f>IF(AND(FORSIDE!$B$8&gt;=17,FORSIDE!$F$8&gt;=9,FORSIDE!$B$5&gt;=8),"2044 -&gt; 2275","")</f>
        <v/>
      </c>
      <c r="C6369" t="str">
        <f>FORSIDE!$C$3</f>
        <v>S355, Stål / VFHUP 140x140x8.0</v>
      </c>
    </row>
    <row r="6370" spans="1:3" x14ac:dyDescent="0.3">
      <c r="A6370" t="str">
        <f>IF(AND(FORSIDE!$B$8&gt;=17,FORSIDE!$F$8&gt;=9,FORSIDE!$B$5&gt;=9),"S6369","")</f>
        <v/>
      </c>
      <c r="B6370" t="str">
        <f>IF(AND(FORSIDE!$B$8&gt;=17,FORSIDE!$F$8&gt;=9,FORSIDE!$B$5&gt;=9),"2045 -&gt; 2276","")</f>
        <v/>
      </c>
      <c r="C6370" t="str">
        <f>FORSIDE!$C$3</f>
        <v>S355, Stål / VFHUP 140x140x8.0</v>
      </c>
    </row>
    <row r="6371" spans="1:3" x14ac:dyDescent="0.3">
      <c r="A6371" t="str">
        <f>IF(AND(FORSIDE!$B$8&gt;=17,FORSIDE!$F$8&gt;=9,FORSIDE!$B$5&gt;=10),"S6370","")</f>
        <v/>
      </c>
      <c r="B6371" t="str">
        <f>IF(AND(FORSIDE!$B$8&gt;=17,FORSIDE!$F$8&gt;=9,FORSIDE!$B$5&gt;=10),"2046 -&gt; 2277","")</f>
        <v/>
      </c>
      <c r="C6371" t="str">
        <f>FORSIDE!$C$3</f>
        <v>S355, Stål / VFHUP 140x140x8.0</v>
      </c>
    </row>
    <row r="6372" spans="1:3" x14ac:dyDescent="0.3">
      <c r="A6372" t="str">
        <f>IF(AND(FORSIDE!$B$8&gt;=18,FORSIDE!$F$8&gt;=9,FORSIDE!$B$5&gt;=1),"S6371","")</f>
        <v/>
      </c>
      <c r="B6372" t="str">
        <f>IF(AND(FORSIDE!$B$8&gt;=18,FORSIDE!$F$8&gt;=9,FORSIDE!$B$5&gt;=1),"2048 -&gt; 2279","")</f>
        <v/>
      </c>
      <c r="C6372" t="str">
        <f>FORSIDE!$C$3</f>
        <v>S355, Stål / VFHUP 140x140x8.0</v>
      </c>
    </row>
    <row r="6373" spans="1:3" x14ac:dyDescent="0.3">
      <c r="A6373" t="str">
        <f>IF(AND(FORSIDE!$B$8&gt;=18,FORSIDE!$F$8&gt;=9,FORSIDE!$B$5&gt;=2),"S6372","")</f>
        <v/>
      </c>
      <c r="B6373" t="str">
        <f>IF(AND(FORSIDE!$B$8&gt;=18,FORSIDE!$F$8&gt;=9,FORSIDE!$B$5&gt;=2),"2049 -&gt; 2280","")</f>
        <v/>
      </c>
      <c r="C6373" t="str">
        <f>FORSIDE!$C$3</f>
        <v>S355, Stål / VFHUP 140x140x8.0</v>
      </c>
    </row>
    <row r="6374" spans="1:3" x14ac:dyDescent="0.3">
      <c r="A6374" t="str">
        <f>IF(AND(FORSIDE!$B$8&gt;=18,FORSIDE!$F$8&gt;=9,FORSIDE!$B$5&gt;=3),"S6373","")</f>
        <v/>
      </c>
      <c r="B6374" t="str">
        <f>IF(AND(FORSIDE!$B$8&gt;=18,FORSIDE!$F$8&gt;=9,FORSIDE!$B$5&gt;=3),"2050 -&gt; 2281","")</f>
        <v/>
      </c>
      <c r="C6374" t="str">
        <f>FORSIDE!$C$3</f>
        <v>S355, Stål / VFHUP 140x140x8.0</v>
      </c>
    </row>
    <row r="6375" spans="1:3" x14ac:dyDescent="0.3">
      <c r="A6375" t="str">
        <f>IF(AND(FORSIDE!$B$8&gt;=18,FORSIDE!$F$8&gt;=9,FORSIDE!$B$5&gt;=4),"S6374","")</f>
        <v/>
      </c>
      <c r="B6375" t="str">
        <f>IF(AND(FORSIDE!$B$8&gt;=18,FORSIDE!$F$8&gt;=9,FORSIDE!$B$5&gt;=4),"2051 -&gt; 2282","")</f>
        <v/>
      </c>
      <c r="C6375" t="str">
        <f>FORSIDE!$C$3</f>
        <v>S355, Stål / VFHUP 140x140x8.0</v>
      </c>
    </row>
    <row r="6376" spans="1:3" x14ac:dyDescent="0.3">
      <c r="A6376" t="str">
        <f>IF(AND(FORSIDE!$B$8&gt;=18,FORSIDE!$F$8&gt;=9,FORSIDE!$B$5&gt;=5),"S6375","")</f>
        <v/>
      </c>
      <c r="B6376" t="str">
        <f>IF(AND(FORSIDE!$B$8&gt;=18,FORSIDE!$F$8&gt;=9,FORSIDE!$B$5&gt;=5),"2052 -&gt; 2283","")</f>
        <v/>
      </c>
      <c r="C6376" t="str">
        <f>FORSIDE!$C$3</f>
        <v>S355, Stål / VFHUP 140x140x8.0</v>
      </c>
    </row>
    <row r="6377" spans="1:3" x14ac:dyDescent="0.3">
      <c r="A6377" t="str">
        <f>IF(AND(FORSIDE!$B$8&gt;=18,FORSIDE!$F$8&gt;=9,FORSIDE!$B$5&gt;=6),"S6376","")</f>
        <v/>
      </c>
      <c r="B6377" t="str">
        <f>IF(AND(FORSIDE!$B$8&gt;=18,FORSIDE!$F$8&gt;=9,FORSIDE!$B$5&gt;=6),"2053 -&gt; 2284","")</f>
        <v/>
      </c>
      <c r="C6377" t="str">
        <f>FORSIDE!$C$3</f>
        <v>S355, Stål / VFHUP 140x140x8.0</v>
      </c>
    </row>
    <row r="6378" spans="1:3" x14ac:dyDescent="0.3">
      <c r="A6378" t="str">
        <f>IF(AND(FORSIDE!$B$8&gt;=18,FORSIDE!$F$8&gt;=9,FORSIDE!$B$5&gt;=7),"S6377","")</f>
        <v/>
      </c>
      <c r="B6378" t="str">
        <f>IF(AND(FORSIDE!$B$8&gt;=18,FORSIDE!$F$8&gt;=9,FORSIDE!$B$5&gt;=7),"2054 -&gt; 2285","")</f>
        <v/>
      </c>
      <c r="C6378" t="str">
        <f>FORSIDE!$C$3</f>
        <v>S355, Stål / VFHUP 140x140x8.0</v>
      </c>
    </row>
    <row r="6379" spans="1:3" x14ac:dyDescent="0.3">
      <c r="A6379" t="str">
        <f>IF(AND(FORSIDE!$B$8&gt;=18,FORSIDE!$F$8&gt;=9,FORSIDE!$B$5&gt;=8),"S6378","")</f>
        <v/>
      </c>
      <c r="B6379" t="str">
        <f>IF(AND(FORSIDE!$B$8&gt;=18,FORSIDE!$F$8&gt;=9,FORSIDE!$B$5&gt;=8),"2055 -&gt; 2286","")</f>
        <v/>
      </c>
      <c r="C6379" t="str">
        <f>FORSIDE!$C$3</f>
        <v>S355, Stål / VFHUP 140x140x8.0</v>
      </c>
    </row>
    <row r="6380" spans="1:3" x14ac:dyDescent="0.3">
      <c r="A6380" t="str">
        <f>IF(AND(FORSIDE!$B$8&gt;=18,FORSIDE!$F$8&gt;=9,FORSIDE!$B$5&gt;=9),"S6379","")</f>
        <v/>
      </c>
      <c r="B6380" t="str">
        <f>IF(AND(FORSIDE!$B$8&gt;=18,FORSIDE!$F$8&gt;=9,FORSIDE!$B$5&gt;=9),"2056 -&gt; 2287","")</f>
        <v/>
      </c>
      <c r="C6380" t="str">
        <f>FORSIDE!$C$3</f>
        <v>S355, Stål / VFHUP 140x140x8.0</v>
      </c>
    </row>
    <row r="6381" spans="1:3" x14ac:dyDescent="0.3">
      <c r="A6381" t="str">
        <f>IF(AND(FORSIDE!$B$8&gt;=18,FORSIDE!$F$8&gt;=9,FORSIDE!$B$5&gt;=10),"S6380","")</f>
        <v/>
      </c>
      <c r="B6381" t="str">
        <f>IF(AND(FORSIDE!$B$8&gt;=18,FORSIDE!$F$8&gt;=9,FORSIDE!$B$5&gt;=10),"2057 -&gt; 2288","")</f>
        <v/>
      </c>
      <c r="C6381" t="str">
        <f>FORSIDE!$C$3</f>
        <v>S355, Stål / VFHUP 140x140x8.0</v>
      </c>
    </row>
    <row r="6382" spans="1:3" x14ac:dyDescent="0.3">
      <c r="A6382" t="str">
        <f>IF(AND(FORSIDE!$B$8&gt;=19,FORSIDE!$F$8&gt;=9,FORSIDE!$B$5&gt;=1),"S6381","")</f>
        <v/>
      </c>
      <c r="B6382" t="str">
        <f>IF(AND(FORSIDE!$B$8&gt;=19,FORSIDE!$F$8&gt;=9,FORSIDE!$B$5&gt;=1),"2059 -&gt; 2290","")</f>
        <v/>
      </c>
      <c r="C6382" t="str">
        <f>FORSIDE!$C$3</f>
        <v>S355, Stål / VFHUP 140x140x8.0</v>
      </c>
    </row>
    <row r="6383" spans="1:3" x14ac:dyDescent="0.3">
      <c r="A6383" t="str">
        <f>IF(AND(FORSIDE!$B$8&gt;=19,FORSIDE!$F$8&gt;=9,FORSIDE!$B$5&gt;=2),"S6382","")</f>
        <v/>
      </c>
      <c r="B6383" t="str">
        <f>IF(AND(FORSIDE!$B$8&gt;=19,FORSIDE!$F$8&gt;=9,FORSIDE!$B$5&gt;=2),"2060 -&gt; 2291","")</f>
        <v/>
      </c>
      <c r="C6383" t="str">
        <f>FORSIDE!$C$3</f>
        <v>S355, Stål / VFHUP 140x140x8.0</v>
      </c>
    </row>
    <row r="6384" spans="1:3" x14ac:dyDescent="0.3">
      <c r="A6384" t="str">
        <f>IF(AND(FORSIDE!$B$8&gt;=19,FORSIDE!$F$8&gt;=9,FORSIDE!$B$5&gt;=3),"S6383","")</f>
        <v/>
      </c>
      <c r="B6384" t="str">
        <f>IF(AND(FORSIDE!$B$8&gt;=19,FORSIDE!$F$8&gt;=9,FORSIDE!$B$5&gt;=3),"2061 -&gt; 2292","")</f>
        <v/>
      </c>
      <c r="C6384" t="str">
        <f>FORSIDE!$C$3</f>
        <v>S355, Stål / VFHUP 140x140x8.0</v>
      </c>
    </row>
    <row r="6385" spans="1:3" x14ac:dyDescent="0.3">
      <c r="A6385" t="str">
        <f>IF(AND(FORSIDE!$B$8&gt;=19,FORSIDE!$F$8&gt;=9,FORSIDE!$B$5&gt;=4),"S6384","")</f>
        <v/>
      </c>
      <c r="B6385" t="str">
        <f>IF(AND(FORSIDE!$B$8&gt;=19,FORSIDE!$F$8&gt;=9,FORSIDE!$B$5&gt;=4),"2062 -&gt; 2293","")</f>
        <v/>
      </c>
      <c r="C6385" t="str">
        <f>FORSIDE!$C$3</f>
        <v>S355, Stål / VFHUP 140x140x8.0</v>
      </c>
    </row>
    <row r="6386" spans="1:3" x14ac:dyDescent="0.3">
      <c r="A6386" t="str">
        <f>IF(AND(FORSIDE!$B$8&gt;=19,FORSIDE!$F$8&gt;=9,FORSIDE!$B$5&gt;=5),"S6385","")</f>
        <v/>
      </c>
      <c r="B6386" t="str">
        <f>IF(AND(FORSIDE!$B$8&gt;=19,FORSIDE!$F$8&gt;=9,FORSIDE!$B$5&gt;=5),"2063 -&gt; 2294","")</f>
        <v/>
      </c>
      <c r="C6386" t="str">
        <f>FORSIDE!$C$3</f>
        <v>S355, Stål / VFHUP 140x140x8.0</v>
      </c>
    </row>
    <row r="6387" spans="1:3" x14ac:dyDescent="0.3">
      <c r="A6387" t="str">
        <f>IF(AND(FORSIDE!$B$8&gt;=19,FORSIDE!$F$8&gt;=9,FORSIDE!$B$5&gt;=6),"S6386","")</f>
        <v/>
      </c>
      <c r="B6387" t="str">
        <f>IF(AND(FORSIDE!$B$8&gt;=19,FORSIDE!$F$8&gt;=9,FORSIDE!$B$5&gt;=6),"2064 -&gt; 2295","")</f>
        <v/>
      </c>
      <c r="C6387" t="str">
        <f>FORSIDE!$C$3</f>
        <v>S355, Stål / VFHUP 140x140x8.0</v>
      </c>
    </row>
    <row r="6388" spans="1:3" x14ac:dyDescent="0.3">
      <c r="A6388" t="str">
        <f>IF(AND(FORSIDE!$B$8&gt;=19,FORSIDE!$F$8&gt;=9,FORSIDE!$B$5&gt;=7),"S6387","")</f>
        <v/>
      </c>
      <c r="B6388" t="str">
        <f>IF(AND(FORSIDE!$B$8&gt;=19,FORSIDE!$F$8&gt;=9,FORSIDE!$B$5&gt;=7),"2065 -&gt; 2296","")</f>
        <v/>
      </c>
      <c r="C6388" t="str">
        <f>FORSIDE!$C$3</f>
        <v>S355, Stål / VFHUP 140x140x8.0</v>
      </c>
    </row>
    <row r="6389" spans="1:3" x14ac:dyDescent="0.3">
      <c r="A6389" t="str">
        <f>IF(AND(FORSIDE!$B$8&gt;=19,FORSIDE!$F$8&gt;=9,FORSIDE!$B$5&gt;=8),"S6388","")</f>
        <v/>
      </c>
      <c r="B6389" t="str">
        <f>IF(AND(FORSIDE!$B$8&gt;=19,FORSIDE!$F$8&gt;=9,FORSIDE!$B$5&gt;=8),"2066 -&gt; 2297","")</f>
        <v/>
      </c>
      <c r="C6389" t="str">
        <f>FORSIDE!$C$3</f>
        <v>S355, Stål / VFHUP 140x140x8.0</v>
      </c>
    </row>
    <row r="6390" spans="1:3" x14ac:dyDescent="0.3">
      <c r="A6390" t="str">
        <f>IF(AND(FORSIDE!$B$8&gt;=19,FORSIDE!$F$8&gt;=9,FORSIDE!$B$5&gt;=9),"S6389","")</f>
        <v/>
      </c>
      <c r="B6390" t="str">
        <f>IF(AND(FORSIDE!$B$8&gt;=19,FORSIDE!$F$8&gt;=9,FORSIDE!$B$5&gt;=9),"2067 -&gt; 2298","")</f>
        <v/>
      </c>
      <c r="C6390" t="str">
        <f>FORSIDE!$C$3</f>
        <v>S355, Stål / VFHUP 140x140x8.0</v>
      </c>
    </row>
    <row r="6391" spans="1:3" x14ac:dyDescent="0.3">
      <c r="A6391" t="str">
        <f>IF(AND(FORSIDE!$B$8&gt;=19,FORSIDE!$F$8&gt;=9,FORSIDE!$B$5&gt;=10),"S6390","")</f>
        <v/>
      </c>
      <c r="B6391" t="str">
        <f>IF(AND(FORSIDE!$B$8&gt;=19,FORSIDE!$F$8&gt;=9,FORSIDE!$B$5&gt;=10),"2068 -&gt; 2299","")</f>
        <v/>
      </c>
      <c r="C6391" t="str">
        <f>FORSIDE!$C$3</f>
        <v>S355, Stål / VFHUP 140x140x8.0</v>
      </c>
    </row>
    <row r="6392" spans="1:3" x14ac:dyDescent="0.3">
      <c r="A6392" t="str">
        <f>IF(AND(FORSIDE!$B$8&gt;=20,FORSIDE!$F$8&gt;=9,FORSIDE!$B$5&gt;=1),"S6391","")</f>
        <v/>
      </c>
      <c r="B6392" t="str">
        <f>IF(AND(FORSIDE!$B$8&gt;=20,FORSIDE!$F$8&gt;=9,FORSIDE!$B$5&gt;=1),"2070 -&gt; 2301","")</f>
        <v/>
      </c>
      <c r="C6392" t="str">
        <f>FORSIDE!$C$3</f>
        <v>S355, Stål / VFHUP 140x140x8.0</v>
      </c>
    </row>
    <row r="6393" spans="1:3" x14ac:dyDescent="0.3">
      <c r="A6393" t="str">
        <f>IF(AND(FORSIDE!$B$8&gt;=20,FORSIDE!$F$8&gt;=9,FORSIDE!$B$5&gt;=2),"S6392","")</f>
        <v/>
      </c>
      <c r="B6393" t="str">
        <f>IF(AND(FORSIDE!$B$8&gt;=20,FORSIDE!$F$8&gt;=9,FORSIDE!$B$5&gt;=2),"2071 -&gt; 2302","")</f>
        <v/>
      </c>
      <c r="C6393" t="str">
        <f>FORSIDE!$C$3</f>
        <v>S355, Stål / VFHUP 140x140x8.0</v>
      </c>
    </row>
    <row r="6394" spans="1:3" x14ac:dyDescent="0.3">
      <c r="A6394" t="str">
        <f>IF(AND(FORSIDE!$B$8&gt;=20,FORSIDE!$F$8&gt;=9,FORSIDE!$B$5&gt;=3),"S6393","")</f>
        <v/>
      </c>
      <c r="B6394" t="str">
        <f>IF(AND(FORSIDE!$B$8&gt;=20,FORSIDE!$F$8&gt;=9,FORSIDE!$B$5&gt;=3),"2072 -&gt; 2303","")</f>
        <v/>
      </c>
      <c r="C6394" t="str">
        <f>FORSIDE!$C$3</f>
        <v>S355, Stål / VFHUP 140x140x8.0</v>
      </c>
    </row>
    <row r="6395" spans="1:3" x14ac:dyDescent="0.3">
      <c r="A6395" t="str">
        <f>IF(AND(FORSIDE!$B$8&gt;=20,FORSIDE!$F$8&gt;=9,FORSIDE!$B$5&gt;=4),"S6394","")</f>
        <v/>
      </c>
      <c r="B6395" t="str">
        <f>IF(AND(FORSIDE!$B$8&gt;=20,FORSIDE!$F$8&gt;=9,FORSIDE!$B$5&gt;=4),"2073 -&gt; 2304","")</f>
        <v/>
      </c>
      <c r="C6395" t="str">
        <f>FORSIDE!$C$3</f>
        <v>S355, Stål / VFHUP 140x140x8.0</v>
      </c>
    </row>
    <row r="6396" spans="1:3" x14ac:dyDescent="0.3">
      <c r="A6396" t="str">
        <f>IF(AND(FORSIDE!$B$8&gt;=20,FORSIDE!$F$8&gt;=9,FORSIDE!$B$5&gt;=5),"S6395","")</f>
        <v/>
      </c>
      <c r="B6396" t="str">
        <f>IF(AND(FORSIDE!$B$8&gt;=20,FORSIDE!$F$8&gt;=9,FORSIDE!$B$5&gt;=5),"2074 -&gt; 2305","")</f>
        <v/>
      </c>
      <c r="C6396" t="str">
        <f>FORSIDE!$C$3</f>
        <v>S355, Stål / VFHUP 140x140x8.0</v>
      </c>
    </row>
    <row r="6397" spans="1:3" x14ac:dyDescent="0.3">
      <c r="A6397" t="str">
        <f>IF(AND(FORSIDE!$B$8&gt;=20,FORSIDE!$F$8&gt;=9,FORSIDE!$B$5&gt;=6),"S6396","")</f>
        <v/>
      </c>
      <c r="B6397" t="str">
        <f>IF(AND(FORSIDE!$B$8&gt;=20,FORSIDE!$F$8&gt;=9,FORSIDE!$B$5&gt;=6),"2075 -&gt; 2306","")</f>
        <v/>
      </c>
      <c r="C6397" t="str">
        <f>FORSIDE!$C$3</f>
        <v>S355, Stål / VFHUP 140x140x8.0</v>
      </c>
    </row>
    <row r="6398" spans="1:3" x14ac:dyDescent="0.3">
      <c r="A6398" t="str">
        <f>IF(AND(FORSIDE!$B$8&gt;=20,FORSIDE!$F$8&gt;=9,FORSIDE!$B$5&gt;=7),"S6397","")</f>
        <v/>
      </c>
      <c r="B6398" t="str">
        <f>IF(AND(FORSIDE!$B$8&gt;=20,FORSIDE!$F$8&gt;=9,FORSIDE!$B$5&gt;=7),"2076 -&gt; 2307","")</f>
        <v/>
      </c>
      <c r="C6398" t="str">
        <f>FORSIDE!$C$3</f>
        <v>S355, Stål / VFHUP 140x140x8.0</v>
      </c>
    </row>
    <row r="6399" spans="1:3" x14ac:dyDescent="0.3">
      <c r="A6399" t="str">
        <f>IF(AND(FORSIDE!$B$8&gt;=20,FORSIDE!$F$8&gt;=9,FORSIDE!$B$5&gt;=8),"S6398","")</f>
        <v/>
      </c>
      <c r="B6399" t="str">
        <f>IF(AND(FORSIDE!$B$8&gt;=20,FORSIDE!$F$8&gt;=9,FORSIDE!$B$5&gt;=8),"2077 -&gt; 2308","")</f>
        <v/>
      </c>
      <c r="C6399" t="str">
        <f>FORSIDE!$C$3</f>
        <v>S355, Stål / VFHUP 140x140x8.0</v>
      </c>
    </row>
    <row r="6400" spans="1:3" x14ac:dyDescent="0.3">
      <c r="A6400" t="str">
        <f>IF(AND(FORSIDE!$B$8&gt;=20,FORSIDE!$F$8&gt;=9,FORSIDE!$B$5&gt;=9),"S6399","")</f>
        <v/>
      </c>
      <c r="B6400" t="str">
        <f>IF(AND(FORSIDE!$B$8&gt;=20,FORSIDE!$F$8&gt;=9,FORSIDE!$B$5&gt;=9),"2078 -&gt; 2309","")</f>
        <v/>
      </c>
      <c r="C6400" t="str">
        <f>FORSIDE!$C$3</f>
        <v>S355, Stål / VFHUP 140x140x8.0</v>
      </c>
    </row>
    <row r="6401" spans="1:3" x14ac:dyDescent="0.3">
      <c r="A6401" t="str">
        <f>IF(AND(FORSIDE!$B$8&gt;=20,FORSIDE!$F$8&gt;=9,FORSIDE!$B$5&gt;=10),"S6400","")</f>
        <v/>
      </c>
      <c r="B6401" t="str">
        <f>IF(AND(FORSIDE!$B$8&gt;=20,FORSIDE!$F$8&gt;=9,FORSIDE!$B$5&gt;=10),"2079 -&gt; 2310","")</f>
        <v/>
      </c>
      <c r="C6401" t="str">
        <f>FORSIDE!$C$3</f>
        <v>S355, Stål / VFHUP 140x140x8.0</v>
      </c>
    </row>
    <row r="6402" spans="1:3" x14ac:dyDescent="0.3">
      <c r="A6402" t="str">
        <f>IF(AND(FORSIDE!$B$8&gt;=0,FORSIDE!$F$8&gt;=10,FORSIDE!$B$5&gt;=1),"S6401","")</f>
        <v/>
      </c>
      <c r="B6402" t="str">
        <f>IF(AND(FORSIDE!$B$8&gt;=0,FORSIDE!$F$8&gt;=10,FORSIDE!$B$5&gt;=1),"2081 -&gt; 2312","")</f>
        <v/>
      </c>
      <c r="C6402" t="str">
        <f>FORSIDE!$C$3</f>
        <v>S355, Stål / VFHUP 140x140x8.0</v>
      </c>
    </row>
    <row r="6403" spans="1:3" x14ac:dyDescent="0.3">
      <c r="A6403" t="str">
        <f>IF(AND(FORSIDE!$B$8&gt;=0,FORSIDE!$F$8&gt;=10,FORSIDE!$B$5&gt;=2),"S6402","")</f>
        <v/>
      </c>
      <c r="B6403" t="str">
        <f>IF(AND(FORSIDE!$B$8&gt;=0,FORSIDE!$F$8&gt;=10,FORSIDE!$B$5&gt;=2),"2082 -&gt; 2313","")</f>
        <v/>
      </c>
      <c r="C6403" t="str">
        <f>FORSIDE!$C$3</f>
        <v>S355, Stål / VFHUP 140x140x8.0</v>
      </c>
    </row>
    <row r="6404" spans="1:3" x14ac:dyDescent="0.3">
      <c r="A6404" t="str">
        <f>IF(AND(FORSIDE!$B$8&gt;=0,FORSIDE!$F$8&gt;=10,FORSIDE!$B$5&gt;=3),"S6403","")</f>
        <v/>
      </c>
      <c r="B6404" t="str">
        <f>IF(AND(FORSIDE!$B$8&gt;=0,FORSIDE!$F$8&gt;=10,FORSIDE!$B$5&gt;=3),"2083 -&gt; 2314","")</f>
        <v/>
      </c>
      <c r="C6404" t="str">
        <f>FORSIDE!$C$3</f>
        <v>S355, Stål / VFHUP 140x140x8.0</v>
      </c>
    </row>
    <row r="6405" spans="1:3" x14ac:dyDescent="0.3">
      <c r="A6405" t="str">
        <f>IF(AND(FORSIDE!$B$8&gt;=0,FORSIDE!$F$8&gt;=10,FORSIDE!$B$5&gt;=4),"S6404","")</f>
        <v/>
      </c>
      <c r="B6405" t="str">
        <f>IF(AND(FORSIDE!$B$8&gt;=0,FORSIDE!$F$8&gt;=10,FORSIDE!$B$5&gt;=4),"2084 -&gt; 2315","")</f>
        <v/>
      </c>
      <c r="C6405" t="str">
        <f>FORSIDE!$C$3</f>
        <v>S355, Stål / VFHUP 140x140x8.0</v>
      </c>
    </row>
    <row r="6406" spans="1:3" x14ac:dyDescent="0.3">
      <c r="A6406" t="str">
        <f>IF(AND(FORSIDE!$B$8&gt;=0,FORSIDE!$F$8&gt;=10,FORSIDE!$B$5&gt;=5),"S6405","")</f>
        <v/>
      </c>
      <c r="B6406" t="str">
        <f>IF(AND(FORSIDE!$B$8&gt;=0,FORSIDE!$F$8&gt;=10,FORSIDE!$B$5&gt;=5),"2085 -&gt; 2316","")</f>
        <v/>
      </c>
      <c r="C6406" t="str">
        <f>FORSIDE!$C$3</f>
        <v>S355, Stål / VFHUP 140x140x8.0</v>
      </c>
    </row>
    <row r="6407" spans="1:3" x14ac:dyDescent="0.3">
      <c r="A6407" t="str">
        <f>IF(AND(FORSIDE!$B$8&gt;=0,FORSIDE!$F$8&gt;=10,FORSIDE!$B$5&gt;=6),"S6406","")</f>
        <v/>
      </c>
      <c r="B6407" t="str">
        <f>IF(AND(FORSIDE!$B$8&gt;=0,FORSIDE!$F$8&gt;=10,FORSIDE!$B$5&gt;=6),"2086 -&gt; 2317","")</f>
        <v/>
      </c>
      <c r="C6407" t="str">
        <f>FORSIDE!$C$3</f>
        <v>S355, Stål / VFHUP 140x140x8.0</v>
      </c>
    </row>
    <row r="6408" spans="1:3" x14ac:dyDescent="0.3">
      <c r="A6408" t="str">
        <f>IF(AND(FORSIDE!$B$8&gt;=0,FORSIDE!$F$8&gt;=10,FORSIDE!$B$5&gt;=7),"S6407","")</f>
        <v/>
      </c>
      <c r="B6408" t="str">
        <f>IF(AND(FORSIDE!$B$8&gt;=0,FORSIDE!$F$8&gt;=10,FORSIDE!$B$5&gt;=7),"2087 -&gt; 2318","")</f>
        <v/>
      </c>
      <c r="C6408" t="str">
        <f>FORSIDE!$C$3</f>
        <v>S355, Stål / VFHUP 140x140x8.0</v>
      </c>
    </row>
    <row r="6409" spans="1:3" x14ac:dyDescent="0.3">
      <c r="A6409" t="str">
        <f>IF(AND(FORSIDE!$B$8&gt;=0,FORSIDE!$F$8&gt;=10,FORSIDE!$B$5&gt;=8),"S6408","")</f>
        <v/>
      </c>
      <c r="B6409" t="str">
        <f>IF(AND(FORSIDE!$B$8&gt;=0,FORSIDE!$F$8&gt;=10,FORSIDE!$B$5&gt;=8),"2088 -&gt; 2319","")</f>
        <v/>
      </c>
      <c r="C6409" t="str">
        <f>FORSIDE!$C$3</f>
        <v>S355, Stål / VFHUP 140x140x8.0</v>
      </c>
    </row>
    <row r="6410" spans="1:3" x14ac:dyDescent="0.3">
      <c r="A6410" t="str">
        <f>IF(AND(FORSIDE!$B$8&gt;=0,FORSIDE!$F$8&gt;=10,FORSIDE!$B$5&gt;=9),"S6409","")</f>
        <v/>
      </c>
      <c r="B6410" t="str">
        <f>IF(AND(FORSIDE!$B$8&gt;=0,FORSIDE!$F$8&gt;=10,FORSIDE!$B$5&gt;=9),"2089 -&gt; 2320","")</f>
        <v/>
      </c>
      <c r="C6410" t="str">
        <f>FORSIDE!$C$3</f>
        <v>S355, Stål / VFHUP 140x140x8.0</v>
      </c>
    </row>
    <row r="6411" spans="1:3" x14ac:dyDescent="0.3">
      <c r="A6411" t="str">
        <f>IF(AND(FORSIDE!$B$8&gt;=0,FORSIDE!$F$8&gt;=10,FORSIDE!$B$5&gt;=10),"S6410","")</f>
        <v/>
      </c>
      <c r="B6411" t="str">
        <f>IF(AND(FORSIDE!$B$8&gt;=0,FORSIDE!$F$8&gt;=10,FORSIDE!$B$5&gt;=10),"2090 -&gt; 2321","")</f>
        <v/>
      </c>
      <c r="C6411" t="str">
        <f>FORSIDE!$C$3</f>
        <v>S355, Stål / VFHUP 140x140x8.0</v>
      </c>
    </row>
    <row r="6412" spans="1:3" x14ac:dyDescent="0.3">
      <c r="A6412" t="str">
        <f>IF(AND(FORSIDE!$B$8&gt;=1,FORSIDE!$F$8&gt;=10,FORSIDE!$B$5&gt;=1),"S6411","")</f>
        <v/>
      </c>
      <c r="B6412" t="str">
        <f>IF(AND(FORSIDE!$B$8&gt;=1,FORSIDE!$F$8&gt;=10,FORSIDE!$B$5&gt;=1),"2092 -&gt; 2323","")</f>
        <v/>
      </c>
      <c r="C6412" t="str">
        <f>FORSIDE!$C$3</f>
        <v>S355, Stål / VFHUP 140x140x8.0</v>
      </c>
    </row>
    <row r="6413" spans="1:3" x14ac:dyDescent="0.3">
      <c r="A6413" t="str">
        <f>IF(AND(FORSIDE!$B$8&gt;=1,FORSIDE!$F$8&gt;=10,FORSIDE!$B$5&gt;=2),"S6412","")</f>
        <v/>
      </c>
      <c r="B6413" t="str">
        <f>IF(AND(FORSIDE!$B$8&gt;=1,FORSIDE!$F$8&gt;=10,FORSIDE!$B$5&gt;=2),"2093 -&gt; 2324","")</f>
        <v/>
      </c>
      <c r="C6413" t="str">
        <f>FORSIDE!$C$3</f>
        <v>S355, Stål / VFHUP 140x140x8.0</v>
      </c>
    </row>
    <row r="6414" spans="1:3" x14ac:dyDescent="0.3">
      <c r="A6414" t="str">
        <f>IF(AND(FORSIDE!$B$8&gt;=1,FORSIDE!$F$8&gt;=10,FORSIDE!$B$5&gt;=3),"S6413","")</f>
        <v/>
      </c>
      <c r="B6414" t="str">
        <f>IF(AND(FORSIDE!$B$8&gt;=1,FORSIDE!$F$8&gt;=10,FORSIDE!$B$5&gt;=3),"2094 -&gt; 2325","")</f>
        <v/>
      </c>
      <c r="C6414" t="str">
        <f>FORSIDE!$C$3</f>
        <v>S355, Stål / VFHUP 140x140x8.0</v>
      </c>
    </row>
    <row r="6415" spans="1:3" x14ac:dyDescent="0.3">
      <c r="A6415" t="str">
        <f>IF(AND(FORSIDE!$B$8&gt;=1,FORSIDE!$F$8&gt;=10,FORSIDE!$B$5&gt;=4),"S6414","")</f>
        <v/>
      </c>
      <c r="B6415" t="str">
        <f>IF(AND(FORSIDE!$B$8&gt;=1,FORSIDE!$F$8&gt;=10,FORSIDE!$B$5&gt;=4),"2095 -&gt; 2326","")</f>
        <v/>
      </c>
      <c r="C6415" t="str">
        <f>FORSIDE!$C$3</f>
        <v>S355, Stål / VFHUP 140x140x8.0</v>
      </c>
    </row>
    <row r="6416" spans="1:3" x14ac:dyDescent="0.3">
      <c r="A6416" t="str">
        <f>IF(AND(FORSIDE!$B$8&gt;=1,FORSIDE!$F$8&gt;=10,FORSIDE!$B$5&gt;=5),"S6415","")</f>
        <v/>
      </c>
      <c r="B6416" t="str">
        <f>IF(AND(FORSIDE!$B$8&gt;=1,FORSIDE!$F$8&gt;=10,FORSIDE!$B$5&gt;=5),"2096 -&gt; 2327","")</f>
        <v/>
      </c>
      <c r="C6416" t="str">
        <f>FORSIDE!$C$3</f>
        <v>S355, Stål / VFHUP 140x140x8.0</v>
      </c>
    </row>
    <row r="6417" spans="1:3" x14ac:dyDescent="0.3">
      <c r="A6417" t="str">
        <f>IF(AND(FORSIDE!$B$8&gt;=1,FORSIDE!$F$8&gt;=10,FORSIDE!$B$5&gt;=6),"S6416","")</f>
        <v/>
      </c>
      <c r="B6417" t="str">
        <f>IF(AND(FORSIDE!$B$8&gt;=1,FORSIDE!$F$8&gt;=10,FORSIDE!$B$5&gt;=6),"2097 -&gt; 2328","")</f>
        <v/>
      </c>
      <c r="C6417" t="str">
        <f>FORSIDE!$C$3</f>
        <v>S355, Stål / VFHUP 140x140x8.0</v>
      </c>
    </row>
    <row r="6418" spans="1:3" x14ac:dyDescent="0.3">
      <c r="A6418" t="str">
        <f>IF(AND(FORSIDE!$B$8&gt;=1,FORSIDE!$F$8&gt;=10,FORSIDE!$B$5&gt;=7),"S6417","")</f>
        <v/>
      </c>
      <c r="B6418" t="str">
        <f>IF(AND(FORSIDE!$B$8&gt;=1,FORSIDE!$F$8&gt;=10,FORSIDE!$B$5&gt;=7),"2098 -&gt; 2329","")</f>
        <v/>
      </c>
      <c r="C6418" t="str">
        <f>FORSIDE!$C$3</f>
        <v>S355, Stål / VFHUP 140x140x8.0</v>
      </c>
    </row>
    <row r="6419" spans="1:3" x14ac:dyDescent="0.3">
      <c r="A6419" t="str">
        <f>IF(AND(FORSIDE!$B$8&gt;=1,FORSIDE!$F$8&gt;=10,FORSIDE!$B$5&gt;=8),"S6418","")</f>
        <v/>
      </c>
      <c r="B6419" t="str">
        <f>IF(AND(FORSIDE!$B$8&gt;=1,FORSIDE!$F$8&gt;=10,FORSIDE!$B$5&gt;=8),"2099 -&gt; 2330","")</f>
        <v/>
      </c>
      <c r="C6419" t="str">
        <f>FORSIDE!$C$3</f>
        <v>S355, Stål / VFHUP 140x140x8.0</v>
      </c>
    </row>
    <row r="6420" spans="1:3" x14ac:dyDescent="0.3">
      <c r="A6420" t="str">
        <f>IF(AND(FORSIDE!$B$8&gt;=1,FORSIDE!$F$8&gt;=10,FORSIDE!$B$5&gt;=9),"S6419","")</f>
        <v/>
      </c>
      <c r="B6420" t="str">
        <f>IF(AND(FORSIDE!$B$8&gt;=1,FORSIDE!$F$8&gt;=10,FORSIDE!$B$5&gt;=9),"2100 -&gt; 2331","")</f>
        <v/>
      </c>
      <c r="C6420" t="str">
        <f>FORSIDE!$C$3</f>
        <v>S355, Stål / VFHUP 140x140x8.0</v>
      </c>
    </row>
    <row r="6421" spans="1:3" x14ac:dyDescent="0.3">
      <c r="A6421" t="str">
        <f>IF(AND(FORSIDE!$B$8&gt;=1,FORSIDE!$F$8&gt;=10,FORSIDE!$B$5&gt;=10),"S6420","")</f>
        <v/>
      </c>
      <c r="B6421" t="str">
        <f>IF(AND(FORSIDE!$B$8&gt;=1,FORSIDE!$F$8&gt;=10,FORSIDE!$B$5&gt;=10),"2101 -&gt; 2332","")</f>
        <v/>
      </c>
      <c r="C6421" t="str">
        <f>FORSIDE!$C$3</f>
        <v>S355, Stål / VFHUP 140x140x8.0</v>
      </c>
    </row>
    <row r="6422" spans="1:3" x14ac:dyDescent="0.3">
      <c r="A6422" t="str">
        <f>IF(AND(FORSIDE!$B$8&gt;=2,FORSIDE!$F$8&gt;=10,FORSIDE!$B$5&gt;=1),"S6421","")</f>
        <v/>
      </c>
      <c r="B6422" t="str">
        <f>IF(AND(FORSIDE!$B$8&gt;=2,FORSIDE!$F$8&gt;=10,FORSIDE!$B$5&gt;=1),"2103 -&gt; 2334","")</f>
        <v/>
      </c>
      <c r="C6422" t="str">
        <f>FORSIDE!$C$3</f>
        <v>S355, Stål / VFHUP 140x140x8.0</v>
      </c>
    </row>
    <row r="6423" spans="1:3" x14ac:dyDescent="0.3">
      <c r="A6423" t="str">
        <f>IF(AND(FORSIDE!$B$8&gt;=2,FORSIDE!$F$8&gt;=10,FORSIDE!$B$5&gt;=2),"S6422","")</f>
        <v/>
      </c>
      <c r="B6423" t="str">
        <f>IF(AND(FORSIDE!$B$8&gt;=2,FORSIDE!$F$8&gt;=10,FORSIDE!$B$5&gt;=2),"2104 -&gt; 2335","")</f>
        <v/>
      </c>
      <c r="C6423" t="str">
        <f>FORSIDE!$C$3</f>
        <v>S355, Stål / VFHUP 140x140x8.0</v>
      </c>
    </row>
    <row r="6424" spans="1:3" x14ac:dyDescent="0.3">
      <c r="A6424" t="str">
        <f>IF(AND(FORSIDE!$B$8&gt;=2,FORSIDE!$F$8&gt;=10,FORSIDE!$B$5&gt;=3),"S6423","")</f>
        <v/>
      </c>
      <c r="B6424" t="str">
        <f>IF(AND(FORSIDE!$B$8&gt;=2,FORSIDE!$F$8&gt;=10,FORSIDE!$B$5&gt;=3),"2105 -&gt; 2336","")</f>
        <v/>
      </c>
      <c r="C6424" t="str">
        <f>FORSIDE!$C$3</f>
        <v>S355, Stål / VFHUP 140x140x8.0</v>
      </c>
    </row>
    <row r="6425" spans="1:3" x14ac:dyDescent="0.3">
      <c r="A6425" t="str">
        <f>IF(AND(FORSIDE!$B$8&gt;=2,FORSIDE!$F$8&gt;=10,FORSIDE!$B$5&gt;=4),"S6424","")</f>
        <v/>
      </c>
      <c r="B6425" t="str">
        <f>IF(AND(FORSIDE!$B$8&gt;=2,FORSIDE!$F$8&gt;=10,FORSIDE!$B$5&gt;=4),"2106 -&gt; 2337","")</f>
        <v/>
      </c>
      <c r="C6425" t="str">
        <f>FORSIDE!$C$3</f>
        <v>S355, Stål / VFHUP 140x140x8.0</v>
      </c>
    </row>
    <row r="6426" spans="1:3" x14ac:dyDescent="0.3">
      <c r="A6426" t="str">
        <f>IF(AND(FORSIDE!$B$8&gt;=2,FORSIDE!$F$8&gt;=10,FORSIDE!$B$5&gt;=5),"S6425","")</f>
        <v/>
      </c>
      <c r="B6426" t="str">
        <f>IF(AND(FORSIDE!$B$8&gt;=2,FORSIDE!$F$8&gt;=10,FORSIDE!$B$5&gt;=5),"2107 -&gt; 2338","")</f>
        <v/>
      </c>
      <c r="C6426" t="str">
        <f>FORSIDE!$C$3</f>
        <v>S355, Stål / VFHUP 140x140x8.0</v>
      </c>
    </row>
    <row r="6427" spans="1:3" x14ac:dyDescent="0.3">
      <c r="A6427" t="str">
        <f>IF(AND(FORSIDE!$B$8&gt;=2,FORSIDE!$F$8&gt;=10,FORSIDE!$B$5&gt;=6),"S6426","")</f>
        <v/>
      </c>
      <c r="B6427" t="str">
        <f>IF(AND(FORSIDE!$B$8&gt;=2,FORSIDE!$F$8&gt;=10,FORSIDE!$B$5&gt;=6),"2108 -&gt; 2339","")</f>
        <v/>
      </c>
      <c r="C6427" t="str">
        <f>FORSIDE!$C$3</f>
        <v>S355, Stål / VFHUP 140x140x8.0</v>
      </c>
    </row>
    <row r="6428" spans="1:3" x14ac:dyDescent="0.3">
      <c r="A6428" t="str">
        <f>IF(AND(FORSIDE!$B$8&gt;=2,FORSIDE!$F$8&gt;=10,FORSIDE!$B$5&gt;=7),"S6427","")</f>
        <v/>
      </c>
      <c r="B6428" t="str">
        <f>IF(AND(FORSIDE!$B$8&gt;=2,FORSIDE!$F$8&gt;=10,FORSIDE!$B$5&gt;=7),"2109 -&gt; 2340","")</f>
        <v/>
      </c>
      <c r="C6428" t="str">
        <f>FORSIDE!$C$3</f>
        <v>S355, Stål / VFHUP 140x140x8.0</v>
      </c>
    </row>
    <row r="6429" spans="1:3" x14ac:dyDescent="0.3">
      <c r="A6429" t="str">
        <f>IF(AND(FORSIDE!$B$8&gt;=2,FORSIDE!$F$8&gt;=10,FORSIDE!$B$5&gt;=8),"S6428","")</f>
        <v/>
      </c>
      <c r="B6429" t="str">
        <f>IF(AND(FORSIDE!$B$8&gt;=2,FORSIDE!$F$8&gt;=10,FORSIDE!$B$5&gt;=8),"2110 -&gt; 2341","")</f>
        <v/>
      </c>
      <c r="C6429" t="str">
        <f>FORSIDE!$C$3</f>
        <v>S355, Stål / VFHUP 140x140x8.0</v>
      </c>
    </row>
    <row r="6430" spans="1:3" x14ac:dyDescent="0.3">
      <c r="A6430" t="str">
        <f>IF(AND(FORSIDE!$B$8&gt;=2,FORSIDE!$F$8&gt;=10,FORSIDE!$B$5&gt;=9),"S6429","")</f>
        <v/>
      </c>
      <c r="B6430" t="str">
        <f>IF(AND(FORSIDE!$B$8&gt;=2,FORSIDE!$F$8&gt;=10,FORSIDE!$B$5&gt;=9),"2111 -&gt; 2342","")</f>
        <v/>
      </c>
      <c r="C6430" t="str">
        <f>FORSIDE!$C$3</f>
        <v>S355, Stål / VFHUP 140x140x8.0</v>
      </c>
    </row>
    <row r="6431" spans="1:3" x14ac:dyDescent="0.3">
      <c r="A6431" t="str">
        <f>IF(AND(FORSIDE!$B$8&gt;=2,FORSIDE!$F$8&gt;=10,FORSIDE!$B$5&gt;=10),"S6430","")</f>
        <v/>
      </c>
      <c r="B6431" t="str">
        <f>IF(AND(FORSIDE!$B$8&gt;=2,FORSIDE!$F$8&gt;=10,FORSIDE!$B$5&gt;=10),"2112 -&gt; 2343","")</f>
        <v/>
      </c>
      <c r="C6431" t="str">
        <f>FORSIDE!$C$3</f>
        <v>S355, Stål / VFHUP 140x140x8.0</v>
      </c>
    </row>
    <row r="6432" spans="1:3" x14ac:dyDescent="0.3">
      <c r="A6432" t="str">
        <f>IF(AND(FORSIDE!$B$8&gt;=3,FORSIDE!$F$8&gt;=10,FORSIDE!$B$5&gt;=1),"S6431","")</f>
        <v/>
      </c>
      <c r="B6432" t="str">
        <f>IF(AND(FORSIDE!$B$8&gt;=3,FORSIDE!$F$8&gt;=10,FORSIDE!$B$5&gt;=1),"2114 -&gt; 2345","")</f>
        <v/>
      </c>
      <c r="C6432" t="str">
        <f>FORSIDE!$C$3</f>
        <v>S355, Stål / VFHUP 140x140x8.0</v>
      </c>
    </row>
    <row r="6433" spans="1:3" x14ac:dyDescent="0.3">
      <c r="A6433" t="str">
        <f>IF(AND(FORSIDE!$B$8&gt;=3,FORSIDE!$F$8&gt;=10,FORSIDE!$B$5&gt;=2),"S6432","")</f>
        <v/>
      </c>
      <c r="B6433" t="str">
        <f>IF(AND(FORSIDE!$B$8&gt;=3,FORSIDE!$F$8&gt;=10,FORSIDE!$B$5&gt;=2),"2115 -&gt; 2346","")</f>
        <v/>
      </c>
      <c r="C6433" t="str">
        <f>FORSIDE!$C$3</f>
        <v>S355, Stål / VFHUP 140x140x8.0</v>
      </c>
    </row>
    <row r="6434" spans="1:3" x14ac:dyDescent="0.3">
      <c r="A6434" t="str">
        <f>IF(AND(FORSIDE!$B$8&gt;=3,FORSIDE!$F$8&gt;=10,FORSIDE!$B$5&gt;=3),"S6433","")</f>
        <v/>
      </c>
      <c r="B6434" t="str">
        <f>IF(AND(FORSIDE!$B$8&gt;=3,FORSIDE!$F$8&gt;=10,FORSIDE!$B$5&gt;=3),"2116 -&gt; 2347","")</f>
        <v/>
      </c>
      <c r="C6434" t="str">
        <f>FORSIDE!$C$3</f>
        <v>S355, Stål / VFHUP 140x140x8.0</v>
      </c>
    </row>
    <row r="6435" spans="1:3" x14ac:dyDescent="0.3">
      <c r="A6435" t="str">
        <f>IF(AND(FORSIDE!$B$8&gt;=3,FORSIDE!$F$8&gt;=10,FORSIDE!$B$5&gt;=4),"S6434","")</f>
        <v/>
      </c>
      <c r="B6435" t="str">
        <f>IF(AND(FORSIDE!$B$8&gt;=3,FORSIDE!$F$8&gt;=10,FORSIDE!$B$5&gt;=4),"2117 -&gt; 2348","")</f>
        <v/>
      </c>
      <c r="C6435" t="str">
        <f>FORSIDE!$C$3</f>
        <v>S355, Stål / VFHUP 140x140x8.0</v>
      </c>
    </row>
    <row r="6436" spans="1:3" x14ac:dyDescent="0.3">
      <c r="A6436" t="str">
        <f>IF(AND(FORSIDE!$B$8&gt;=3,FORSIDE!$F$8&gt;=10,FORSIDE!$B$5&gt;=5),"S6435","")</f>
        <v/>
      </c>
      <c r="B6436" t="str">
        <f>IF(AND(FORSIDE!$B$8&gt;=3,FORSIDE!$F$8&gt;=10,FORSIDE!$B$5&gt;=5),"2118 -&gt; 2349","")</f>
        <v/>
      </c>
      <c r="C6436" t="str">
        <f>FORSIDE!$C$3</f>
        <v>S355, Stål / VFHUP 140x140x8.0</v>
      </c>
    </row>
    <row r="6437" spans="1:3" x14ac:dyDescent="0.3">
      <c r="A6437" t="str">
        <f>IF(AND(FORSIDE!$B$8&gt;=3,FORSIDE!$F$8&gt;=10,FORSIDE!$B$5&gt;=6),"S6436","")</f>
        <v/>
      </c>
      <c r="B6437" t="str">
        <f>IF(AND(FORSIDE!$B$8&gt;=3,FORSIDE!$F$8&gt;=10,FORSIDE!$B$5&gt;=6),"2119 -&gt; 2350","")</f>
        <v/>
      </c>
      <c r="C6437" t="str">
        <f>FORSIDE!$C$3</f>
        <v>S355, Stål / VFHUP 140x140x8.0</v>
      </c>
    </row>
    <row r="6438" spans="1:3" x14ac:dyDescent="0.3">
      <c r="A6438" t="str">
        <f>IF(AND(FORSIDE!$B$8&gt;=3,FORSIDE!$F$8&gt;=10,FORSIDE!$B$5&gt;=7),"S6437","")</f>
        <v/>
      </c>
      <c r="B6438" t="str">
        <f>IF(AND(FORSIDE!$B$8&gt;=3,FORSIDE!$F$8&gt;=10,FORSIDE!$B$5&gt;=7),"2120 -&gt; 2351","")</f>
        <v/>
      </c>
      <c r="C6438" t="str">
        <f>FORSIDE!$C$3</f>
        <v>S355, Stål / VFHUP 140x140x8.0</v>
      </c>
    </row>
    <row r="6439" spans="1:3" x14ac:dyDescent="0.3">
      <c r="A6439" t="str">
        <f>IF(AND(FORSIDE!$B$8&gt;=3,FORSIDE!$F$8&gt;=10,FORSIDE!$B$5&gt;=8),"S6438","")</f>
        <v/>
      </c>
      <c r="B6439" t="str">
        <f>IF(AND(FORSIDE!$B$8&gt;=3,FORSIDE!$F$8&gt;=10,FORSIDE!$B$5&gt;=8),"2121 -&gt; 2352","")</f>
        <v/>
      </c>
      <c r="C6439" t="str">
        <f>FORSIDE!$C$3</f>
        <v>S355, Stål / VFHUP 140x140x8.0</v>
      </c>
    </row>
    <row r="6440" spans="1:3" x14ac:dyDescent="0.3">
      <c r="A6440" t="str">
        <f>IF(AND(FORSIDE!$B$8&gt;=3,FORSIDE!$F$8&gt;=10,FORSIDE!$B$5&gt;=9),"S6439","")</f>
        <v/>
      </c>
      <c r="B6440" t="str">
        <f>IF(AND(FORSIDE!$B$8&gt;=3,FORSIDE!$F$8&gt;=10,FORSIDE!$B$5&gt;=9),"2122 -&gt; 2353","")</f>
        <v/>
      </c>
      <c r="C6440" t="str">
        <f>FORSIDE!$C$3</f>
        <v>S355, Stål / VFHUP 140x140x8.0</v>
      </c>
    </row>
    <row r="6441" spans="1:3" x14ac:dyDescent="0.3">
      <c r="A6441" t="str">
        <f>IF(AND(FORSIDE!$B$8&gt;=3,FORSIDE!$F$8&gt;=10,FORSIDE!$B$5&gt;=10),"S6440","")</f>
        <v/>
      </c>
      <c r="B6441" t="str">
        <f>IF(AND(FORSIDE!$B$8&gt;=3,FORSIDE!$F$8&gt;=10,FORSIDE!$B$5&gt;=10),"2123 -&gt; 2354","")</f>
        <v/>
      </c>
      <c r="C6441" t="str">
        <f>FORSIDE!$C$3</f>
        <v>S355, Stål / VFHUP 140x140x8.0</v>
      </c>
    </row>
    <row r="6442" spans="1:3" x14ac:dyDescent="0.3">
      <c r="A6442" t="str">
        <f>IF(AND(FORSIDE!$B$8&gt;=4,FORSIDE!$F$8&gt;=10,FORSIDE!$B$5&gt;=1),"S6441","")</f>
        <v/>
      </c>
      <c r="B6442" t="str">
        <f>IF(AND(FORSIDE!$B$8&gt;=4,FORSIDE!$F$8&gt;=10,FORSIDE!$B$5&gt;=1),"2125 -&gt; 2356","")</f>
        <v/>
      </c>
      <c r="C6442" t="str">
        <f>FORSIDE!$C$3</f>
        <v>S355, Stål / VFHUP 140x140x8.0</v>
      </c>
    </row>
    <row r="6443" spans="1:3" x14ac:dyDescent="0.3">
      <c r="A6443" t="str">
        <f>IF(AND(FORSIDE!$B$8&gt;=4,FORSIDE!$F$8&gt;=10,FORSIDE!$B$5&gt;=2),"S6442","")</f>
        <v/>
      </c>
      <c r="B6443" t="str">
        <f>IF(AND(FORSIDE!$B$8&gt;=4,FORSIDE!$F$8&gt;=10,FORSIDE!$B$5&gt;=2),"2126 -&gt; 2357","")</f>
        <v/>
      </c>
      <c r="C6443" t="str">
        <f>FORSIDE!$C$3</f>
        <v>S355, Stål / VFHUP 140x140x8.0</v>
      </c>
    </row>
    <row r="6444" spans="1:3" x14ac:dyDescent="0.3">
      <c r="A6444" t="str">
        <f>IF(AND(FORSIDE!$B$8&gt;=4,FORSIDE!$F$8&gt;=10,FORSIDE!$B$5&gt;=3),"S6443","")</f>
        <v/>
      </c>
      <c r="B6444" t="str">
        <f>IF(AND(FORSIDE!$B$8&gt;=4,FORSIDE!$F$8&gt;=10,FORSIDE!$B$5&gt;=3),"2127 -&gt; 2358","")</f>
        <v/>
      </c>
      <c r="C6444" t="str">
        <f>FORSIDE!$C$3</f>
        <v>S355, Stål / VFHUP 140x140x8.0</v>
      </c>
    </row>
    <row r="6445" spans="1:3" x14ac:dyDescent="0.3">
      <c r="A6445" t="str">
        <f>IF(AND(FORSIDE!$B$8&gt;=4,FORSIDE!$F$8&gt;=10,FORSIDE!$B$5&gt;=4),"S6444","")</f>
        <v/>
      </c>
      <c r="B6445" t="str">
        <f>IF(AND(FORSIDE!$B$8&gt;=4,FORSIDE!$F$8&gt;=10,FORSIDE!$B$5&gt;=4),"2128 -&gt; 2359","")</f>
        <v/>
      </c>
      <c r="C6445" t="str">
        <f>FORSIDE!$C$3</f>
        <v>S355, Stål / VFHUP 140x140x8.0</v>
      </c>
    </row>
    <row r="6446" spans="1:3" x14ac:dyDescent="0.3">
      <c r="A6446" t="str">
        <f>IF(AND(FORSIDE!$B$8&gt;=4,FORSIDE!$F$8&gt;=10,FORSIDE!$B$5&gt;=5),"S6445","")</f>
        <v/>
      </c>
      <c r="B6446" t="str">
        <f>IF(AND(FORSIDE!$B$8&gt;=4,FORSIDE!$F$8&gt;=10,FORSIDE!$B$5&gt;=5),"2129 -&gt; 2360","")</f>
        <v/>
      </c>
      <c r="C6446" t="str">
        <f>FORSIDE!$C$3</f>
        <v>S355, Stål / VFHUP 140x140x8.0</v>
      </c>
    </row>
    <row r="6447" spans="1:3" x14ac:dyDescent="0.3">
      <c r="A6447" t="str">
        <f>IF(AND(FORSIDE!$B$8&gt;=4,FORSIDE!$F$8&gt;=10,FORSIDE!$B$5&gt;=6),"S6446","")</f>
        <v/>
      </c>
      <c r="B6447" t="str">
        <f>IF(AND(FORSIDE!$B$8&gt;=4,FORSIDE!$F$8&gt;=10,FORSIDE!$B$5&gt;=6),"2130 -&gt; 2361","")</f>
        <v/>
      </c>
      <c r="C6447" t="str">
        <f>FORSIDE!$C$3</f>
        <v>S355, Stål / VFHUP 140x140x8.0</v>
      </c>
    </row>
    <row r="6448" spans="1:3" x14ac:dyDescent="0.3">
      <c r="A6448" t="str">
        <f>IF(AND(FORSIDE!$B$8&gt;=4,FORSIDE!$F$8&gt;=10,FORSIDE!$B$5&gt;=7),"S6447","")</f>
        <v/>
      </c>
      <c r="B6448" t="str">
        <f>IF(AND(FORSIDE!$B$8&gt;=4,FORSIDE!$F$8&gt;=10,FORSIDE!$B$5&gt;=7),"2131 -&gt; 2362","")</f>
        <v/>
      </c>
      <c r="C6448" t="str">
        <f>FORSIDE!$C$3</f>
        <v>S355, Stål / VFHUP 140x140x8.0</v>
      </c>
    </row>
    <row r="6449" spans="1:3" x14ac:dyDescent="0.3">
      <c r="A6449" t="str">
        <f>IF(AND(FORSIDE!$B$8&gt;=4,FORSIDE!$F$8&gt;=10,FORSIDE!$B$5&gt;=8),"S6448","")</f>
        <v/>
      </c>
      <c r="B6449" t="str">
        <f>IF(AND(FORSIDE!$B$8&gt;=4,FORSIDE!$F$8&gt;=10,FORSIDE!$B$5&gt;=8),"2132 -&gt; 2363","")</f>
        <v/>
      </c>
      <c r="C6449" t="str">
        <f>FORSIDE!$C$3</f>
        <v>S355, Stål / VFHUP 140x140x8.0</v>
      </c>
    </row>
    <row r="6450" spans="1:3" x14ac:dyDescent="0.3">
      <c r="A6450" t="str">
        <f>IF(AND(FORSIDE!$B$8&gt;=4,FORSIDE!$F$8&gt;=10,FORSIDE!$B$5&gt;=9),"S6449","")</f>
        <v/>
      </c>
      <c r="B6450" t="str">
        <f>IF(AND(FORSIDE!$B$8&gt;=4,FORSIDE!$F$8&gt;=10,FORSIDE!$B$5&gt;=9),"2133 -&gt; 2364","")</f>
        <v/>
      </c>
      <c r="C6450" t="str">
        <f>FORSIDE!$C$3</f>
        <v>S355, Stål / VFHUP 140x140x8.0</v>
      </c>
    </row>
    <row r="6451" spans="1:3" x14ac:dyDescent="0.3">
      <c r="A6451" t="str">
        <f>IF(AND(FORSIDE!$B$8&gt;=4,FORSIDE!$F$8&gt;=10,FORSIDE!$B$5&gt;=10),"S6450","")</f>
        <v/>
      </c>
      <c r="B6451" t="str">
        <f>IF(AND(FORSIDE!$B$8&gt;=4,FORSIDE!$F$8&gt;=10,FORSIDE!$B$5&gt;=10),"2134 -&gt; 2365","")</f>
        <v/>
      </c>
      <c r="C6451" t="str">
        <f>FORSIDE!$C$3</f>
        <v>S355, Stål / VFHUP 140x140x8.0</v>
      </c>
    </row>
    <row r="6452" spans="1:3" x14ac:dyDescent="0.3">
      <c r="A6452" t="str">
        <f>IF(AND(FORSIDE!$B$8&gt;=5,FORSIDE!$F$8&gt;=10,FORSIDE!$B$5&gt;=1),"S6451","")</f>
        <v/>
      </c>
      <c r="B6452" t="str">
        <f>IF(AND(FORSIDE!$B$8&gt;=5,FORSIDE!$F$8&gt;=10,FORSIDE!$B$5&gt;=1),"2136 -&gt; 2367","")</f>
        <v/>
      </c>
      <c r="C6452" t="str">
        <f>FORSIDE!$C$3</f>
        <v>S355, Stål / VFHUP 140x140x8.0</v>
      </c>
    </row>
    <row r="6453" spans="1:3" x14ac:dyDescent="0.3">
      <c r="A6453" t="str">
        <f>IF(AND(FORSIDE!$B$8&gt;=5,FORSIDE!$F$8&gt;=10,FORSIDE!$B$5&gt;=2),"S6452","")</f>
        <v/>
      </c>
      <c r="B6453" t="str">
        <f>IF(AND(FORSIDE!$B$8&gt;=5,FORSIDE!$F$8&gt;=10,FORSIDE!$B$5&gt;=2),"2137 -&gt; 2368","")</f>
        <v/>
      </c>
      <c r="C6453" t="str">
        <f>FORSIDE!$C$3</f>
        <v>S355, Stål / VFHUP 140x140x8.0</v>
      </c>
    </row>
    <row r="6454" spans="1:3" x14ac:dyDescent="0.3">
      <c r="A6454" t="str">
        <f>IF(AND(FORSIDE!$B$8&gt;=5,FORSIDE!$F$8&gt;=10,FORSIDE!$B$5&gt;=3),"S6453","")</f>
        <v/>
      </c>
      <c r="B6454" t="str">
        <f>IF(AND(FORSIDE!$B$8&gt;=5,FORSIDE!$F$8&gt;=10,FORSIDE!$B$5&gt;=3),"2138 -&gt; 2369","")</f>
        <v/>
      </c>
      <c r="C6454" t="str">
        <f>FORSIDE!$C$3</f>
        <v>S355, Stål / VFHUP 140x140x8.0</v>
      </c>
    </row>
    <row r="6455" spans="1:3" x14ac:dyDescent="0.3">
      <c r="A6455" t="str">
        <f>IF(AND(FORSIDE!$B$8&gt;=5,FORSIDE!$F$8&gt;=10,FORSIDE!$B$5&gt;=4),"S6454","")</f>
        <v/>
      </c>
      <c r="B6455" t="str">
        <f>IF(AND(FORSIDE!$B$8&gt;=5,FORSIDE!$F$8&gt;=10,FORSIDE!$B$5&gt;=4),"2139 -&gt; 2370","")</f>
        <v/>
      </c>
      <c r="C6455" t="str">
        <f>FORSIDE!$C$3</f>
        <v>S355, Stål / VFHUP 140x140x8.0</v>
      </c>
    </row>
    <row r="6456" spans="1:3" x14ac:dyDescent="0.3">
      <c r="A6456" t="str">
        <f>IF(AND(FORSIDE!$B$8&gt;=5,FORSIDE!$F$8&gt;=10,FORSIDE!$B$5&gt;=5),"S6455","")</f>
        <v/>
      </c>
      <c r="B6456" t="str">
        <f>IF(AND(FORSIDE!$B$8&gt;=5,FORSIDE!$F$8&gt;=10,FORSIDE!$B$5&gt;=5),"2140 -&gt; 2371","")</f>
        <v/>
      </c>
      <c r="C6456" t="str">
        <f>FORSIDE!$C$3</f>
        <v>S355, Stål / VFHUP 140x140x8.0</v>
      </c>
    </row>
    <row r="6457" spans="1:3" x14ac:dyDescent="0.3">
      <c r="A6457" t="str">
        <f>IF(AND(FORSIDE!$B$8&gt;=5,FORSIDE!$F$8&gt;=10,FORSIDE!$B$5&gt;=6),"S6456","")</f>
        <v/>
      </c>
      <c r="B6457" t="str">
        <f>IF(AND(FORSIDE!$B$8&gt;=5,FORSIDE!$F$8&gt;=10,FORSIDE!$B$5&gt;=6),"2141 -&gt; 2372","")</f>
        <v/>
      </c>
      <c r="C6457" t="str">
        <f>FORSIDE!$C$3</f>
        <v>S355, Stål / VFHUP 140x140x8.0</v>
      </c>
    </row>
    <row r="6458" spans="1:3" x14ac:dyDescent="0.3">
      <c r="A6458" t="str">
        <f>IF(AND(FORSIDE!$B$8&gt;=5,FORSIDE!$F$8&gt;=10,FORSIDE!$B$5&gt;=7),"S6457","")</f>
        <v/>
      </c>
      <c r="B6458" t="str">
        <f>IF(AND(FORSIDE!$B$8&gt;=5,FORSIDE!$F$8&gt;=10,FORSIDE!$B$5&gt;=7),"2142 -&gt; 2373","")</f>
        <v/>
      </c>
      <c r="C6458" t="str">
        <f>FORSIDE!$C$3</f>
        <v>S355, Stål / VFHUP 140x140x8.0</v>
      </c>
    </row>
    <row r="6459" spans="1:3" x14ac:dyDescent="0.3">
      <c r="A6459" t="str">
        <f>IF(AND(FORSIDE!$B$8&gt;=5,FORSIDE!$F$8&gt;=10,FORSIDE!$B$5&gt;=8),"S6458","")</f>
        <v/>
      </c>
      <c r="B6459" t="str">
        <f>IF(AND(FORSIDE!$B$8&gt;=5,FORSIDE!$F$8&gt;=10,FORSIDE!$B$5&gt;=8),"2143 -&gt; 2374","")</f>
        <v/>
      </c>
      <c r="C6459" t="str">
        <f>FORSIDE!$C$3</f>
        <v>S355, Stål / VFHUP 140x140x8.0</v>
      </c>
    </row>
    <row r="6460" spans="1:3" x14ac:dyDescent="0.3">
      <c r="A6460" t="str">
        <f>IF(AND(FORSIDE!$B$8&gt;=5,FORSIDE!$F$8&gt;=10,FORSIDE!$B$5&gt;=9),"S6459","")</f>
        <v/>
      </c>
      <c r="B6460" t="str">
        <f>IF(AND(FORSIDE!$B$8&gt;=5,FORSIDE!$F$8&gt;=10,FORSIDE!$B$5&gt;=9),"2144 -&gt; 2375","")</f>
        <v/>
      </c>
      <c r="C6460" t="str">
        <f>FORSIDE!$C$3</f>
        <v>S355, Stål / VFHUP 140x140x8.0</v>
      </c>
    </row>
    <row r="6461" spans="1:3" x14ac:dyDescent="0.3">
      <c r="A6461" t="str">
        <f>IF(AND(FORSIDE!$B$8&gt;=5,FORSIDE!$F$8&gt;=10,FORSIDE!$B$5&gt;=10),"S6460","")</f>
        <v/>
      </c>
      <c r="B6461" t="str">
        <f>IF(AND(FORSIDE!$B$8&gt;=5,FORSIDE!$F$8&gt;=10,FORSIDE!$B$5&gt;=10),"2145 -&gt; 2376","")</f>
        <v/>
      </c>
      <c r="C6461" t="str">
        <f>FORSIDE!$C$3</f>
        <v>S355, Stål / VFHUP 140x140x8.0</v>
      </c>
    </row>
    <row r="6462" spans="1:3" x14ac:dyDescent="0.3">
      <c r="A6462" t="str">
        <f>IF(AND(FORSIDE!$B$8&gt;=6,FORSIDE!$F$8&gt;=10,FORSIDE!$B$5&gt;=1),"S6461","")</f>
        <v/>
      </c>
      <c r="B6462" t="str">
        <f>IF(AND(FORSIDE!$B$8&gt;=6,FORSIDE!$F$8&gt;=10,FORSIDE!$B$5&gt;=1),"2147 -&gt; 2378","")</f>
        <v/>
      </c>
      <c r="C6462" t="str">
        <f>FORSIDE!$C$3</f>
        <v>S355, Stål / VFHUP 140x140x8.0</v>
      </c>
    </row>
    <row r="6463" spans="1:3" x14ac:dyDescent="0.3">
      <c r="A6463" t="str">
        <f>IF(AND(FORSIDE!$B$8&gt;=6,FORSIDE!$F$8&gt;=10,FORSIDE!$B$5&gt;=2),"S6462","")</f>
        <v/>
      </c>
      <c r="B6463" t="str">
        <f>IF(AND(FORSIDE!$B$8&gt;=6,FORSIDE!$F$8&gt;=10,FORSIDE!$B$5&gt;=2),"2148 -&gt; 2379","")</f>
        <v/>
      </c>
      <c r="C6463" t="str">
        <f>FORSIDE!$C$3</f>
        <v>S355, Stål / VFHUP 140x140x8.0</v>
      </c>
    </row>
    <row r="6464" spans="1:3" x14ac:dyDescent="0.3">
      <c r="A6464" t="str">
        <f>IF(AND(FORSIDE!$B$8&gt;=6,FORSIDE!$F$8&gt;=10,FORSIDE!$B$5&gt;=3),"S6463","")</f>
        <v/>
      </c>
      <c r="B6464" t="str">
        <f>IF(AND(FORSIDE!$B$8&gt;=6,FORSIDE!$F$8&gt;=10,FORSIDE!$B$5&gt;=3),"2149 -&gt; 2380","")</f>
        <v/>
      </c>
      <c r="C6464" t="str">
        <f>FORSIDE!$C$3</f>
        <v>S355, Stål / VFHUP 140x140x8.0</v>
      </c>
    </row>
    <row r="6465" spans="1:3" x14ac:dyDescent="0.3">
      <c r="A6465" t="str">
        <f>IF(AND(FORSIDE!$B$8&gt;=6,FORSIDE!$F$8&gt;=10,FORSIDE!$B$5&gt;=4),"S6464","")</f>
        <v/>
      </c>
      <c r="B6465" t="str">
        <f>IF(AND(FORSIDE!$B$8&gt;=6,FORSIDE!$F$8&gt;=10,FORSIDE!$B$5&gt;=4),"2150 -&gt; 2381","")</f>
        <v/>
      </c>
      <c r="C6465" t="str">
        <f>FORSIDE!$C$3</f>
        <v>S355, Stål / VFHUP 140x140x8.0</v>
      </c>
    </row>
    <row r="6466" spans="1:3" x14ac:dyDescent="0.3">
      <c r="A6466" t="str">
        <f>IF(AND(FORSIDE!$B$8&gt;=6,FORSIDE!$F$8&gt;=10,FORSIDE!$B$5&gt;=5),"S6465","")</f>
        <v/>
      </c>
      <c r="B6466" t="str">
        <f>IF(AND(FORSIDE!$B$8&gt;=6,FORSIDE!$F$8&gt;=10,FORSIDE!$B$5&gt;=5),"2151 -&gt; 2382","")</f>
        <v/>
      </c>
      <c r="C6466" t="str">
        <f>FORSIDE!$C$3</f>
        <v>S355, Stål / VFHUP 140x140x8.0</v>
      </c>
    </row>
    <row r="6467" spans="1:3" x14ac:dyDescent="0.3">
      <c r="A6467" t="str">
        <f>IF(AND(FORSIDE!$B$8&gt;=6,FORSIDE!$F$8&gt;=10,FORSIDE!$B$5&gt;=6),"S6466","")</f>
        <v/>
      </c>
      <c r="B6467" t="str">
        <f>IF(AND(FORSIDE!$B$8&gt;=6,FORSIDE!$F$8&gt;=10,FORSIDE!$B$5&gt;=6),"2152 -&gt; 2383","")</f>
        <v/>
      </c>
      <c r="C6467" t="str">
        <f>FORSIDE!$C$3</f>
        <v>S355, Stål / VFHUP 140x140x8.0</v>
      </c>
    </row>
    <row r="6468" spans="1:3" x14ac:dyDescent="0.3">
      <c r="A6468" t="str">
        <f>IF(AND(FORSIDE!$B$8&gt;=6,FORSIDE!$F$8&gt;=10,FORSIDE!$B$5&gt;=7),"S6467","")</f>
        <v/>
      </c>
      <c r="B6468" t="str">
        <f>IF(AND(FORSIDE!$B$8&gt;=6,FORSIDE!$F$8&gt;=10,FORSIDE!$B$5&gt;=7),"2153 -&gt; 2384","")</f>
        <v/>
      </c>
      <c r="C6468" t="str">
        <f>FORSIDE!$C$3</f>
        <v>S355, Stål / VFHUP 140x140x8.0</v>
      </c>
    </row>
    <row r="6469" spans="1:3" x14ac:dyDescent="0.3">
      <c r="A6469" t="str">
        <f>IF(AND(FORSIDE!$B$8&gt;=6,FORSIDE!$F$8&gt;=10,FORSIDE!$B$5&gt;=8),"S6468","")</f>
        <v/>
      </c>
      <c r="B6469" t="str">
        <f>IF(AND(FORSIDE!$B$8&gt;=6,FORSIDE!$F$8&gt;=10,FORSIDE!$B$5&gt;=8),"2154 -&gt; 2385","")</f>
        <v/>
      </c>
      <c r="C6469" t="str">
        <f>FORSIDE!$C$3</f>
        <v>S355, Stål / VFHUP 140x140x8.0</v>
      </c>
    </row>
    <row r="6470" spans="1:3" x14ac:dyDescent="0.3">
      <c r="A6470" t="str">
        <f>IF(AND(FORSIDE!$B$8&gt;=6,FORSIDE!$F$8&gt;=10,FORSIDE!$B$5&gt;=9),"S6469","")</f>
        <v/>
      </c>
      <c r="B6470" t="str">
        <f>IF(AND(FORSIDE!$B$8&gt;=6,FORSIDE!$F$8&gt;=10,FORSIDE!$B$5&gt;=9),"2155 -&gt; 2386","")</f>
        <v/>
      </c>
      <c r="C6470" t="str">
        <f>FORSIDE!$C$3</f>
        <v>S355, Stål / VFHUP 140x140x8.0</v>
      </c>
    </row>
    <row r="6471" spans="1:3" x14ac:dyDescent="0.3">
      <c r="A6471" t="str">
        <f>IF(AND(FORSIDE!$B$8&gt;=6,FORSIDE!$F$8&gt;=10,FORSIDE!$B$5&gt;=10),"S6470","")</f>
        <v/>
      </c>
      <c r="B6471" t="str">
        <f>IF(AND(FORSIDE!$B$8&gt;=6,FORSIDE!$F$8&gt;=10,FORSIDE!$B$5&gt;=10),"2156 -&gt; 2387","")</f>
        <v/>
      </c>
      <c r="C6471" t="str">
        <f>FORSIDE!$C$3</f>
        <v>S355, Stål / VFHUP 140x140x8.0</v>
      </c>
    </row>
    <row r="6472" spans="1:3" x14ac:dyDescent="0.3">
      <c r="A6472" t="str">
        <f>IF(AND(FORSIDE!$B$8&gt;=7,FORSIDE!$F$8&gt;=10,FORSIDE!$B$5&gt;=1),"S6471","")</f>
        <v/>
      </c>
      <c r="B6472" t="str">
        <f>IF(AND(FORSIDE!$B$8&gt;=7,FORSIDE!$F$8&gt;=10,FORSIDE!$B$5&gt;=1),"2158 -&gt; 2389","")</f>
        <v/>
      </c>
      <c r="C6472" t="str">
        <f>FORSIDE!$C$3</f>
        <v>S355, Stål / VFHUP 140x140x8.0</v>
      </c>
    </row>
    <row r="6473" spans="1:3" x14ac:dyDescent="0.3">
      <c r="A6473" t="str">
        <f>IF(AND(FORSIDE!$B$8&gt;=7,FORSIDE!$F$8&gt;=10,FORSIDE!$B$5&gt;=2),"S6472","")</f>
        <v/>
      </c>
      <c r="B6473" t="str">
        <f>IF(AND(FORSIDE!$B$8&gt;=7,FORSIDE!$F$8&gt;=10,FORSIDE!$B$5&gt;=2),"2159 -&gt; 2390","")</f>
        <v/>
      </c>
      <c r="C6473" t="str">
        <f>FORSIDE!$C$3</f>
        <v>S355, Stål / VFHUP 140x140x8.0</v>
      </c>
    </row>
    <row r="6474" spans="1:3" x14ac:dyDescent="0.3">
      <c r="A6474" t="str">
        <f>IF(AND(FORSIDE!$B$8&gt;=7,FORSIDE!$F$8&gt;=10,FORSIDE!$B$5&gt;=3),"S6473","")</f>
        <v/>
      </c>
      <c r="B6474" t="str">
        <f>IF(AND(FORSIDE!$B$8&gt;=7,FORSIDE!$F$8&gt;=10,FORSIDE!$B$5&gt;=3),"2160 -&gt; 2391","")</f>
        <v/>
      </c>
      <c r="C6474" t="str">
        <f>FORSIDE!$C$3</f>
        <v>S355, Stål / VFHUP 140x140x8.0</v>
      </c>
    </row>
    <row r="6475" spans="1:3" x14ac:dyDescent="0.3">
      <c r="A6475" t="str">
        <f>IF(AND(FORSIDE!$B$8&gt;=7,FORSIDE!$F$8&gt;=10,FORSIDE!$B$5&gt;=4),"S6474","")</f>
        <v/>
      </c>
      <c r="B6475" t="str">
        <f>IF(AND(FORSIDE!$B$8&gt;=7,FORSIDE!$F$8&gt;=10,FORSIDE!$B$5&gt;=4),"2161 -&gt; 2392","")</f>
        <v/>
      </c>
      <c r="C6475" t="str">
        <f>FORSIDE!$C$3</f>
        <v>S355, Stål / VFHUP 140x140x8.0</v>
      </c>
    </row>
    <row r="6476" spans="1:3" x14ac:dyDescent="0.3">
      <c r="A6476" t="str">
        <f>IF(AND(FORSIDE!$B$8&gt;=7,FORSIDE!$F$8&gt;=10,FORSIDE!$B$5&gt;=5),"S6475","")</f>
        <v/>
      </c>
      <c r="B6476" t="str">
        <f>IF(AND(FORSIDE!$B$8&gt;=7,FORSIDE!$F$8&gt;=10,FORSIDE!$B$5&gt;=5),"2162 -&gt; 2393","")</f>
        <v/>
      </c>
      <c r="C6476" t="str">
        <f>FORSIDE!$C$3</f>
        <v>S355, Stål / VFHUP 140x140x8.0</v>
      </c>
    </row>
    <row r="6477" spans="1:3" x14ac:dyDescent="0.3">
      <c r="A6477" t="str">
        <f>IF(AND(FORSIDE!$B$8&gt;=7,FORSIDE!$F$8&gt;=10,FORSIDE!$B$5&gt;=6),"S6476","")</f>
        <v/>
      </c>
      <c r="B6477" t="str">
        <f>IF(AND(FORSIDE!$B$8&gt;=7,FORSIDE!$F$8&gt;=10,FORSIDE!$B$5&gt;=6),"2163 -&gt; 2394","")</f>
        <v/>
      </c>
      <c r="C6477" t="str">
        <f>FORSIDE!$C$3</f>
        <v>S355, Stål / VFHUP 140x140x8.0</v>
      </c>
    </row>
    <row r="6478" spans="1:3" x14ac:dyDescent="0.3">
      <c r="A6478" t="str">
        <f>IF(AND(FORSIDE!$B$8&gt;=7,FORSIDE!$F$8&gt;=10,FORSIDE!$B$5&gt;=7),"S6477","")</f>
        <v/>
      </c>
      <c r="B6478" t="str">
        <f>IF(AND(FORSIDE!$B$8&gt;=7,FORSIDE!$F$8&gt;=10,FORSIDE!$B$5&gt;=7),"2164 -&gt; 2395","")</f>
        <v/>
      </c>
      <c r="C6478" t="str">
        <f>FORSIDE!$C$3</f>
        <v>S355, Stål / VFHUP 140x140x8.0</v>
      </c>
    </row>
    <row r="6479" spans="1:3" x14ac:dyDescent="0.3">
      <c r="A6479" t="str">
        <f>IF(AND(FORSIDE!$B$8&gt;=7,FORSIDE!$F$8&gt;=10,FORSIDE!$B$5&gt;=8),"S6478","")</f>
        <v/>
      </c>
      <c r="B6479" t="str">
        <f>IF(AND(FORSIDE!$B$8&gt;=7,FORSIDE!$F$8&gt;=10,FORSIDE!$B$5&gt;=8),"2165 -&gt; 2396","")</f>
        <v/>
      </c>
      <c r="C6479" t="str">
        <f>FORSIDE!$C$3</f>
        <v>S355, Stål / VFHUP 140x140x8.0</v>
      </c>
    </row>
    <row r="6480" spans="1:3" x14ac:dyDescent="0.3">
      <c r="A6480" t="str">
        <f>IF(AND(FORSIDE!$B$8&gt;=7,FORSIDE!$F$8&gt;=10,FORSIDE!$B$5&gt;=9),"S6479","")</f>
        <v/>
      </c>
      <c r="B6480" t="str">
        <f>IF(AND(FORSIDE!$B$8&gt;=7,FORSIDE!$F$8&gt;=10,FORSIDE!$B$5&gt;=9),"2166 -&gt; 2397","")</f>
        <v/>
      </c>
      <c r="C6480" t="str">
        <f>FORSIDE!$C$3</f>
        <v>S355, Stål / VFHUP 140x140x8.0</v>
      </c>
    </row>
    <row r="6481" spans="1:3" x14ac:dyDescent="0.3">
      <c r="A6481" t="str">
        <f>IF(AND(FORSIDE!$B$8&gt;=7,FORSIDE!$F$8&gt;=10,FORSIDE!$B$5&gt;=10),"S6480","")</f>
        <v/>
      </c>
      <c r="B6481" t="str">
        <f>IF(AND(FORSIDE!$B$8&gt;=7,FORSIDE!$F$8&gt;=10,FORSIDE!$B$5&gt;=10),"2167 -&gt; 2398","")</f>
        <v/>
      </c>
      <c r="C6481" t="str">
        <f>FORSIDE!$C$3</f>
        <v>S355, Stål / VFHUP 140x140x8.0</v>
      </c>
    </row>
    <row r="6482" spans="1:3" x14ac:dyDescent="0.3">
      <c r="A6482" t="str">
        <f>IF(AND(FORSIDE!$B$8&gt;=8,FORSIDE!$F$8&gt;=10,FORSIDE!$B$5&gt;=1),"S6481","")</f>
        <v/>
      </c>
      <c r="B6482" t="str">
        <f>IF(AND(FORSIDE!$B$8&gt;=8,FORSIDE!$F$8&gt;=10,FORSIDE!$B$5&gt;=1),"2169 -&gt; 2400","")</f>
        <v/>
      </c>
      <c r="C6482" t="str">
        <f>FORSIDE!$C$3</f>
        <v>S355, Stål / VFHUP 140x140x8.0</v>
      </c>
    </row>
    <row r="6483" spans="1:3" x14ac:dyDescent="0.3">
      <c r="A6483" t="str">
        <f>IF(AND(FORSIDE!$B$8&gt;=8,FORSIDE!$F$8&gt;=10,FORSIDE!$B$5&gt;=2),"S6482","")</f>
        <v/>
      </c>
      <c r="B6483" t="str">
        <f>IF(AND(FORSIDE!$B$8&gt;=8,FORSIDE!$F$8&gt;=10,FORSIDE!$B$5&gt;=2),"2170 -&gt; 2401","")</f>
        <v/>
      </c>
      <c r="C6483" t="str">
        <f>FORSIDE!$C$3</f>
        <v>S355, Stål / VFHUP 140x140x8.0</v>
      </c>
    </row>
    <row r="6484" spans="1:3" x14ac:dyDescent="0.3">
      <c r="A6484" t="str">
        <f>IF(AND(FORSIDE!$B$8&gt;=8,FORSIDE!$F$8&gt;=10,FORSIDE!$B$5&gt;=3),"S6483","")</f>
        <v/>
      </c>
      <c r="B6484" t="str">
        <f>IF(AND(FORSIDE!$B$8&gt;=8,FORSIDE!$F$8&gt;=10,FORSIDE!$B$5&gt;=3),"2171 -&gt; 2402","")</f>
        <v/>
      </c>
      <c r="C6484" t="str">
        <f>FORSIDE!$C$3</f>
        <v>S355, Stål / VFHUP 140x140x8.0</v>
      </c>
    </row>
    <row r="6485" spans="1:3" x14ac:dyDescent="0.3">
      <c r="A6485" t="str">
        <f>IF(AND(FORSIDE!$B$8&gt;=8,FORSIDE!$F$8&gt;=10,FORSIDE!$B$5&gt;=4),"S6484","")</f>
        <v/>
      </c>
      <c r="B6485" t="str">
        <f>IF(AND(FORSIDE!$B$8&gt;=8,FORSIDE!$F$8&gt;=10,FORSIDE!$B$5&gt;=4),"2172 -&gt; 2403","")</f>
        <v/>
      </c>
      <c r="C6485" t="str">
        <f>FORSIDE!$C$3</f>
        <v>S355, Stål / VFHUP 140x140x8.0</v>
      </c>
    </row>
    <row r="6486" spans="1:3" x14ac:dyDescent="0.3">
      <c r="A6486" t="str">
        <f>IF(AND(FORSIDE!$B$8&gt;=8,FORSIDE!$F$8&gt;=10,FORSIDE!$B$5&gt;=5),"S6485","")</f>
        <v/>
      </c>
      <c r="B6486" t="str">
        <f>IF(AND(FORSIDE!$B$8&gt;=8,FORSIDE!$F$8&gt;=10,FORSIDE!$B$5&gt;=5),"2173 -&gt; 2404","")</f>
        <v/>
      </c>
      <c r="C6486" t="str">
        <f>FORSIDE!$C$3</f>
        <v>S355, Stål / VFHUP 140x140x8.0</v>
      </c>
    </row>
    <row r="6487" spans="1:3" x14ac:dyDescent="0.3">
      <c r="A6487" t="str">
        <f>IF(AND(FORSIDE!$B$8&gt;=8,FORSIDE!$F$8&gt;=10,FORSIDE!$B$5&gt;=6),"S6486","")</f>
        <v/>
      </c>
      <c r="B6487" t="str">
        <f>IF(AND(FORSIDE!$B$8&gt;=8,FORSIDE!$F$8&gt;=10,FORSIDE!$B$5&gt;=6),"2174 -&gt; 2405","")</f>
        <v/>
      </c>
      <c r="C6487" t="str">
        <f>FORSIDE!$C$3</f>
        <v>S355, Stål / VFHUP 140x140x8.0</v>
      </c>
    </row>
    <row r="6488" spans="1:3" x14ac:dyDescent="0.3">
      <c r="A6488" t="str">
        <f>IF(AND(FORSIDE!$B$8&gt;=8,FORSIDE!$F$8&gt;=10,FORSIDE!$B$5&gt;=7),"S6487","")</f>
        <v/>
      </c>
      <c r="B6488" t="str">
        <f>IF(AND(FORSIDE!$B$8&gt;=8,FORSIDE!$F$8&gt;=10,FORSIDE!$B$5&gt;=7),"2175 -&gt; 2406","")</f>
        <v/>
      </c>
      <c r="C6488" t="str">
        <f>FORSIDE!$C$3</f>
        <v>S355, Stål / VFHUP 140x140x8.0</v>
      </c>
    </row>
    <row r="6489" spans="1:3" x14ac:dyDescent="0.3">
      <c r="A6489" t="str">
        <f>IF(AND(FORSIDE!$B$8&gt;=8,FORSIDE!$F$8&gt;=10,FORSIDE!$B$5&gt;=8),"S6488","")</f>
        <v/>
      </c>
      <c r="B6489" t="str">
        <f>IF(AND(FORSIDE!$B$8&gt;=8,FORSIDE!$F$8&gt;=10,FORSIDE!$B$5&gt;=8),"2176 -&gt; 2407","")</f>
        <v/>
      </c>
      <c r="C6489" t="str">
        <f>FORSIDE!$C$3</f>
        <v>S355, Stål / VFHUP 140x140x8.0</v>
      </c>
    </row>
    <row r="6490" spans="1:3" x14ac:dyDescent="0.3">
      <c r="A6490" t="str">
        <f>IF(AND(FORSIDE!$B$8&gt;=8,FORSIDE!$F$8&gt;=10,FORSIDE!$B$5&gt;=9),"S6489","")</f>
        <v/>
      </c>
      <c r="B6490" t="str">
        <f>IF(AND(FORSIDE!$B$8&gt;=8,FORSIDE!$F$8&gt;=10,FORSIDE!$B$5&gt;=9),"2177 -&gt; 2408","")</f>
        <v/>
      </c>
      <c r="C6490" t="str">
        <f>FORSIDE!$C$3</f>
        <v>S355, Stål / VFHUP 140x140x8.0</v>
      </c>
    </row>
    <row r="6491" spans="1:3" x14ac:dyDescent="0.3">
      <c r="A6491" t="str">
        <f>IF(AND(FORSIDE!$B$8&gt;=8,FORSIDE!$F$8&gt;=10,FORSIDE!$B$5&gt;=10),"S6490","")</f>
        <v/>
      </c>
      <c r="B6491" t="str">
        <f>IF(AND(FORSIDE!$B$8&gt;=8,FORSIDE!$F$8&gt;=10,FORSIDE!$B$5&gt;=10),"2178 -&gt; 2409","")</f>
        <v/>
      </c>
      <c r="C6491" t="str">
        <f>FORSIDE!$C$3</f>
        <v>S355, Stål / VFHUP 140x140x8.0</v>
      </c>
    </row>
    <row r="6492" spans="1:3" x14ac:dyDescent="0.3">
      <c r="A6492" t="str">
        <f>IF(AND(FORSIDE!$B$8&gt;=9,FORSIDE!$F$8&gt;=10,FORSIDE!$B$5&gt;=1),"S6491","")</f>
        <v/>
      </c>
      <c r="B6492" t="str">
        <f>IF(AND(FORSIDE!$B$8&gt;=9,FORSIDE!$F$8&gt;=10,FORSIDE!$B$5&gt;=1),"2180 -&gt; 2411","")</f>
        <v/>
      </c>
      <c r="C6492" t="str">
        <f>FORSIDE!$C$3</f>
        <v>S355, Stål / VFHUP 140x140x8.0</v>
      </c>
    </row>
    <row r="6493" spans="1:3" x14ac:dyDescent="0.3">
      <c r="A6493" t="str">
        <f>IF(AND(FORSIDE!$B$8&gt;=9,FORSIDE!$F$8&gt;=10,FORSIDE!$B$5&gt;=2),"S6492","")</f>
        <v/>
      </c>
      <c r="B6493" t="str">
        <f>IF(AND(FORSIDE!$B$8&gt;=9,FORSIDE!$F$8&gt;=10,FORSIDE!$B$5&gt;=2),"2181 -&gt; 2412","")</f>
        <v/>
      </c>
      <c r="C6493" t="str">
        <f>FORSIDE!$C$3</f>
        <v>S355, Stål / VFHUP 140x140x8.0</v>
      </c>
    </row>
    <row r="6494" spans="1:3" x14ac:dyDescent="0.3">
      <c r="A6494" t="str">
        <f>IF(AND(FORSIDE!$B$8&gt;=9,FORSIDE!$F$8&gt;=10,FORSIDE!$B$5&gt;=3),"S6493","")</f>
        <v/>
      </c>
      <c r="B6494" t="str">
        <f>IF(AND(FORSIDE!$B$8&gt;=9,FORSIDE!$F$8&gt;=10,FORSIDE!$B$5&gt;=3),"2182 -&gt; 2413","")</f>
        <v/>
      </c>
      <c r="C6494" t="str">
        <f>FORSIDE!$C$3</f>
        <v>S355, Stål / VFHUP 140x140x8.0</v>
      </c>
    </row>
    <row r="6495" spans="1:3" x14ac:dyDescent="0.3">
      <c r="A6495" t="str">
        <f>IF(AND(FORSIDE!$B$8&gt;=9,FORSIDE!$F$8&gt;=10,FORSIDE!$B$5&gt;=4),"S6494","")</f>
        <v/>
      </c>
      <c r="B6495" t="str">
        <f>IF(AND(FORSIDE!$B$8&gt;=9,FORSIDE!$F$8&gt;=10,FORSIDE!$B$5&gt;=4),"2183 -&gt; 2414","")</f>
        <v/>
      </c>
      <c r="C6495" t="str">
        <f>FORSIDE!$C$3</f>
        <v>S355, Stål / VFHUP 140x140x8.0</v>
      </c>
    </row>
    <row r="6496" spans="1:3" x14ac:dyDescent="0.3">
      <c r="A6496" t="str">
        <f>IF(AND(FORSIDE!$B$8&gt;=9,FORSIDE!$F$8&gt;=10,FORSIDE!$B$5&gt;=5),"S6495","")</f>
        <v/>
      </c>
      <c r="B6496" t="str">
        <f>IF(AND(FORSIDE!$B$8&gt;=9,FORSIDE!$F$8&gt;=10,FORSIDE!$B$5&gt;=5),"2184 -&gt; 2415","")</f>
        <v/>
      </c>
      <c r="C6496" t="str">
        <f>FORSIDE!$C$3</f>
        <v>S355, Stål / VFHUP 140x140x8.0</v>
      </c>
    </row>
    <row r="6497" spans="1:3" x14ac:dyDescent="0.3">
      <c r="A6497" t="str">
        <f>IF(AND(FORSIDE!$B$8&gt;=9,FORSIDE!$F$8&gt;=10,FORSIDE!$B$5&gt;=6),"S6496","")</f>
        <v/>
      </c>
      <c r="B6497" t="str">
        <f>IF(AND(FORSIDE!$B$8&gt;=9,FORSIDE!$F$8&gt;=10,FORSIDE!$B$5&gt;=6),"2185 -&gt; 2416","")</f>
        <v/>
      </c>
      <c r="C6497" t="str">
        <f>FORSIDE!$C$3</f>
        <v>S355, Stål / VFHUP 140x140x8.0</v>
      </c>
    </row>
    <row r="6498" spans="1:3" x14ac:dyDescent="0.3">
      <c r="A6498" t="str">
        <f>IF(AND(FORSIDE!$B$8&gt;=9,FORSIDE!$F$8&gt;=10,FORSIDE!$B$5&gt;=7),"S6497","")</f>
        <v/>
      </c>
      <c r="B6498" t="str">
        <f>IF(AND(FORSIDE!$B$8&gt;=9,FORSIDE!$F$8&gt;=10,FORSIDE!$B$5&gt;=7),"2186 -&gt; 2417","")</f>
        <v/>
      </c>
      <c r="C6498" t="str">
        <f>FORSIDE!$C$3</f>
        <v>S355, Stål / VFHUP 140x140x8.0</v>
      </c>
    </row>
    <row r="6499" spans="1:3" x14ac:dyDescent="0.3">
      <c r="A6499" t="str">
        <f>IF(AND(FORSIDE!$B$8&gt;=9,FORSIDE!$F$8&gt;=10,FORSIDE!$B$5&gt;=8),"S6498","")</f>
        <v/>
      </c>
      <c r="B6499" t="str">
        <f>IF(AND(FORSIDE!$B$8&gt;=9,FORSIDE!$F$8&gt;=10,FORSIDE!$B$5&gt;=8),"2187 -&gt; 2418","")</f>
        <v/>
      </c>
      <c r="C6499" t="str">
        <f>FORSIDE!$C$3</f>
        <v>S355, Stål / VFHUP 140x140x8.0</v>
      </c>
    </row>
    <row r="6500" spans="1:3" x14ac:dyDescent="0.3">
      <c r="A6500" t="str">
        <f>IF(AND(FORSIDE!$B$8&gt;=9,FORSIDE!$F$8&gt;=10,FORSIDE!$B$5&gt;=9),"S6499","")</f>
        <v/>
      </c>
      <c r="B6500" t="str">
        <f>IF(AND(FORSIDE!$B$8&gt;=9,FORSIDE!$F$8&gt;=10,FORSIDE!$B$5&gt;=9),"2188 -&gt; 2419","")</f>
        <v/>
      </c>
      <c r="C6500" t="str">
        <f>FORSIDE!$C$3</f>
        <v>S355, Stål / VFHUP 140x140x8.0</v>
      </c>
    </row>
    <row r="6501" spans="1:3" x14ac:dyDescent="0.3">
      <c r="A6501" t="str">
        <f>IF(AND(FORSIDE!$B$8&gt;=9,FORSIDE!$F$8&gt;=10,FORSIDE!$B$5&gt;=10),"S6500","")</f>
        <v/>
      </c>
      <c r="B6501" t="str">
        <f>IF(AND(FORSIDE!$B$8&gt;=9,FORSIDE!$F$8&gt;=10,FORSIDE!$B$5&gt;=10),"2189 -&gt; 2420","")</f>
        <v/>
      </c>
      <c r="C6501" t="str">
        <f>FORSIDE!$C$3</f>
        <v>S355, Stål / VFHUP 140x140x8.0</v>
      </c>
    </row>
    <row r="6502" spans="1:3" x14ac:dyDescent="0.3">
      <c r="A6502" t="str">
        <f>IF(AND(FORSIDE!$B$8&gt;=10,FORSIDE!$F$8&gt;=10,FORSIDE!$B$5&gt;=1),"S6501","")</f>
        <v/>
      </c>
      <c r="B6502" t="str">
        <f>IF(AND(FORSIDE!$B$8&gt;=10,FORSIDE!$F$8&gt;=10,FORSIDE!$B$5&gt;=1),"2191 -&gt; 2422","")</f>
        <v/>
      </c>
      <c r="C6502" t="str">
        <f>FORSIDE!$C$3</f>
        <v>S355, Stål / VFHUP 140x140x8.0</v>
      </c>
    </row>
    <row r="6503" spans="1:3" x14ac:dyDescent="0.3">
      <c r="A6503" t="str">
        <f>IF(AND(FORSIDE!$B$8&gt;=10,FORSIDE!$F$8&gt;=10,FORSIDE!$B$5&gt;=2),"S6502","")</f>
        <v/>
      </c>
      <c r="B6503" t="str">
        <f>IF(AND(FORSIDE!$B$8&gt;=10,FORSIDE!$F$8&gt;=10,FORSIDE!$B$5&gt;=2),"2192 -&gt; 2423","")</f>
        <v/>
      </c>
      <c r="C6503" t="str">
        <f>FORSIDE!$C$3</f>
        <v>S355, Stål / VFHUP 140x140x8.0</v>
      </c>
    </row>
    <row r="6504" spans="1:3" x14ac:dyDescent="0.3">
      <c r="A6504" t="str">
        <f>IF(AND(FORSIDE!$B$8&gt;=10,FORSIDE!$F$8&gt;=10,FORSIDE!$B$5&gt;=3),"S6503","")</f>
        <v/>
      </c>
      <c r="B6504" t="str">
        <f>IF(AND(FORSIDE!$B$8&gt;=10,FORSIDE!$F$8&gt;=10,FORSIDE!$B$5&gt;=3),"2193 -&gt; 2424","")</f>
        <v/>
      </c>
      <c r="C6504" t="str">
        <f>FORSIDE!$C$3</f>
        <v>S355, Stål / VFHUP 140x140x8.0</v>
      </c>
    </row>
    <row r="6505" spans="1:3" x14ac:dyDescent="0.3">
      <c r="A6505" t="str">
        <f>IF(AND(FORSIDE!$B$8&gt;=10,FORSIDE!$F$8&gt;=10,FORSIDE!$B$5&gt;=4),"S6504","")</f>
        <v/>
      </c>
      <c r="B6505" t="str">
        <f>IF(AND(FORSIDE!$B$8&gt;=10,FORSIDE!$F$8&gt;=10,FORSIDE!$B$5&gt;=4),"2194 -&gt; 2425","")</f>
        <v/>
      </c>
      <c r="C6505" t="str">
        <f>FORSIDE!$C$3</f>
        <v>S355, Stål / VFHUP 140x140x8.0</v>
      </c>
    </row>
    <row r="6506" spans="1:3" x14ac:dyDescent="0.3">
      <c r="A6506" t="str">
        <f>IF(AND(FORSIDE!$B$8&gt;=10,FORSIDE!$F$8&gt;=10,FORSIDE!$B$5&gt;=5),"S6505","")</f>
        <v/>
      </c>
      <c r="B6506" t="str">
        <f>IF(AND(FORSIDE!$B$8&gt;=10,FORSIDE!$F$8&gt;=10,FORSIDE!$B$5&gt;=5),"2195 -&gt; 2426","")</f>
        <v/>
      </c>
      <c r="C6506" t="str">
        <f>FORSIDE!$C$3</f>
        <v>S355, Stål / VFHUP 140x140x8.0</v>
      </c>
    </row>
    <row r="6507" spans="1:3" x14ac:dyDescent="0.3">
      <c r="A6507" t="str">
        <f>IF(AND(FORSIDE!$B$8&gt;=10,FORSIDE!$F$8&gt;=10,FORSIDE!$B$5&gt;=6),"S6506","")</f>
        <v/>
      </c>
      <c r="B6507" t="str">
        <f>IF(AND(FORSIDE!$B$8&gt;=10,FORSIDE!$F$8&gt;=10,FORSIDE!$B$5&gt;=6),"2196 -&gt; 2427","")</f>
        <v/>
      </c>
      <c r="C6507" t="str">
        <f>FORSIDE!$C$3</f>
        <v>S355, Stål / VFHUP 140x140x8.0</v>
      </c>
    </row>
    <row r="6508" spans="1:3" x14ac:dyDescent="0.3">
      <c r="A6508" t="str">
        <f>IF(AND(FORSIDE!$B$8&gt;=10,FORSIDE!$F$8&gt;=10,FORSIDE!$B$5&gt;=7),"S6507","")</f>
        <v/>
      </c>
      <c r="B6508" t="str">
        <f>IF(AND(FORSIDE!$B$8&gt;=10,FORSIDE!$F$8&gt;=10,FORSIDE!$B$5&gt;=7),"2197 -&gt; 2428","")</f>
        <v/>
      </c>
      <c r="C6508" t="str">
        <f>FORSIDE!$C$3</f>
        <v>S355, Stål / VFHUP 140x140x8.0</v>
      </c>
    </row>
    <row r="6509" spans="1:3" x14ac:dyDescent="0.3">
      <c r="A6509" t="str">
        <f>IF(AND(FORSIDE!$B$8&gt;=10,FORSIDE!$F$8&gt;=10,FORSIDE!$B$5&gt;=8),"S6508","")</f>
        <v/>
      </c>
      <c r="B6509" t="str">
        <f>IF(AND(FORSIDE!$B$8&gt;=10,FORSIDE!$F$8&gt;=10,FORSIDE!$B$5&gt;=8),"2198 -&gt; 2429","")</f>
        <v/>
      </c>
      <c r="C6509" t="str">
        <f>FORSIDE!$C$3</f>
        <v>S355, Stål / VFHUP 140x140x8.0</v>
      </c>
    </row>
    <row r="6510" spans="1:3" x14ac:dyDescent="0.3">
      <c r="A6510" t="str">
        <f>IF(AND(FORSIDE!$B$8&gt;=10,FORSIDE!$F$8&gt;=10,FORSIDE!$B$5&gt;=9),"S6509","")</f>
        <v/>
      </c>
      <c r="B6510" t="str">
        <f>IF(AND(FORSIDE!$B$8&gt;=10,FORSIDE!$F$8&gt;=10,FORSIDE!$B$5&gt;=9),"2199 -&gt; 2430","")</f>
        <v/>
      </c>
      <c r="C6510" t="str">
        <f>FORSIDE!$C$3</f>
        <v>S355, Stål / VFHUP 140x140x8.0</v>
      </c>
    </row>
    <row r="6511" spans="1:3" x14ac:dyDescent="0.3">
      <c r="A6511" t="str">
        <f>IF(AND(FORSIDE!$B$8&gt;=10,FORSIDE!$F$8&gt;=10,FORSIDE!$B$5&gt;=10),"S6510","")</f>
        <v/>
      </c>
      <c r="B6511" t="str">
        <f>IF(AND(FORSIDE!$B$8&gt;=10,FORSIDE!$F$8&gt;=10,FORSIDE!$B$5&gt;=10),"2200 -&gt; 2431","")</f>
        <v/>
      </c>
      <c r="C6511" t="str">
        <f>FORSIDE!$C$3</f>
        <v>S355, Stål / VFHUP 140x140x8.0</v>
      </c>
    </row>
    <row r="6512" spans="1:3" x14ac:dyDescent="0.3">
      <c r="A6512" t="str">
        <f>IF(AND(FORSIDE!$B$8&gt;=11,FORSIDE!$F$8&gt;=10,FORSIDE!$B$5&gt;=1),"S6511","")</f>
        <v/>
      </c>
      <c r="B6512" t="str">
        <f>IF(AND(FORSIDE!$B$8&gt;=11,FORSIDE!$F$8&gt;=10,FORSIDE!$B$5&gt;=1),"2202 -&gt; 2433","")</f>
        <v/>
      </c>
      <c r="C6512" t="str">
        <f>FORSIDE!$C$3</f>
        <v>S355, Stål / VFHUP 140x140x8.0</v>
      </c>
    </row>
    <row r="6513" spans="1:3" x14ac:dyDescent="0.3">
      <c r="A6513" t="str">
        <f>IF(AND(FORSIDE!$B$8&gt;=11,FORSIDE!$F$8&gt;=10,FORSIDE!$B$5&gt;=2),"S6512","")</f>
        <v/>
      </c>
      <c r="B6513" t="str">
        <f>IF(AND(FORSIDE!$B$8&gt;=11,FORSIDE!$F$8&gt;=10,FORSIDE!$B$5&gt;=2),"2203 -&gt; 2434","")</f>
        <v/>
      </c>
      <c r="C6513" t="str">
        <f>FORSIDE!$C$3</f>
        <v>S355, Stål / VFHUP 140x140x8.0</v>
      </c>
    </row>
    <row r="6514" spans="1:3" x14ac:dyDescent="0.3">
      <c r="A6514" t="str">
        <f>IF(AND(FORSIDE!$B$8&gt;=11,FORSIDE!$F$8&gt;=10,FORSIDE!$B$5&gt;=3),"S6513","")</f>
        <v/>
      </c>
      <c r="B6514" t="str">
        <f>IF(AND(FORSIDE!$B$8&gt;=11,FORSIDE!$F$8&gt;=10,FORSIDE!$B$5&gt;=3),"2204 -&gt; 2435","")</f>
        <v/>
      </c>
      <c r="C6514" t="str">
        <f>FORSIDE!$C$3</f>
        <v>S355, Stål / VFHUP 140x140x8.0</v>
      </c>
    </row>
    <row r="6515" spans="1:3" x14ac:dyDescent="0.3">
      <c r="A6515" t="str">
        <f>IF(AND(FORSIDE!$B$8&gt;=11,FORSIDE!$F$8&gt;=10,FORSIDE!$B$5&gt;=4),"S6514","")</f>
        <v/>
      </c>
      <c r="B6515" t="str">
        <f>IF(AND(FORSIDE!$B$8&gt;=11,FORSIDE!$F$8&gt;=10,FORSIDE!$B$5&gt;=4),"2205 -&gt; 2436","")</f>
        <v/>
      </c>
      <c r="C6515" t="str">
        <f>FORSIDE!$C$3</f>
        <v>S355, Stål / VFHUP 140x140x8.0</v>
      </c>
    </row>
    <row r="6516" spans="1:3" x14ac:dyDescent="0.3">
      <c r="A6516" t="str">
        <f>IF(AND(FORSIDE!$B$8&gt;=11,FORSIDE!$F$8&gt;=10,FORSIDE!$B$5&gt;=5),"S6515","")</f>
        <v/>
      </c>
      <c r="B6516" t="str">
        <f>IF(AND(FORSIDE!$B$8&gt;=11,FORSIDE!$F$8&gt;=10,FORSIDE!$B$5&gt;=5),"2206 -&gt; 2437","")</f>
        <v/>
      </c>
      <c r="C6516" t="str">
        <f>FORSIDE!$C$3</f>
        <v>S355, Stål / VFHUP 140x140x8.0</v>
      </c>
    </row>
    <row r="6517" spans="1:3" x14ac:dyDescent="0.3">
      <c r="A6517" t="str">
        <f>IF(AND(FORSIDE!$B$8&gt;=11,FORSIDE!$F$8&gt;=10,FORSIDE!$B$5&gt;=6),"S6516","")</f>
        <v/>
      </c>
      <c r="B6517" t="str">
        <f>IF(AND(FORSIDE!$B$8&gt;=11,FORSIDE!$F$8&gt;=10,FORSIDE!$B$5&gt;=6),"2207 -&gt; 2438","")</f>
        <v/>
      </c>
      <c r="C6517" t="str">
        <f>FORSIDE!$C$3</f>
        <v>S355, Stål / VFHUP 140x140x8.0</v>
      </c>
    </row>
    <row r="6518" spans="1:3" x14ac:dyDescent="0.3">
      <c r="A6518" t="str">
        <f>IF(AND(FORSIDE!$B$8&gt;=11,FORSIDE!$F$8&gt;=10,FORSIDE!$B$5&gt;=7),"S6517","")</f>
        <v/>
      </c>
      <c r="B6518" t="str">
        <f>IF(AND(FORSIDE!$B$8&gt;=11,FORSIDE!$F$8&gt;=10,FORSIDE!$B$5&gt;=7),"2208 -&gt; 2439","")</f>
        <v/>
      </c>
      <c r="C6518" t="str">
        <f>FORSIDE!$C$3</f>
        <v>S355, Stål / VFHUP 140x140x8.0</v>
      </c>
    </row>
    <row r="6519" spans="1:3" x14ac:dyDescent="0.3">
      <c r="A6519" t="str">
        <f>IF(AND(FORSIDE!$B$8&gt;=11,FORSIDE!$F$8&gt;=10,FORSIDE!$B$5&gt;=8),"S6518","")</f>
        <v/>
      </c>
      <c r="B6519" t="str">
        <f>IF(AND(FORSIDE!$B$8&gt;=11,FORSIDE!$F$8&gt;=10,FORSIDE!$B$5&gt;=8),"2209 -&gt; 2440","")</f>
        <v/>
      </c>
      <c r="C6519" t="str">
        <f>FORSIDE!$C$3</f>
        <v>S355, Stål / VFHUP 140x140x8.0</v>
      </c>
    </row>
    <row r="6520" spans="1:3" x14ac:dyDescent="0.3">
      <c r="A6520" t="str">
        <f>IF(AND(FORSIDE!$B$8&gt;=11,FORSIDE!$F$8&gt;=10,FORSIDE!$B$5&gt;=9),"S6519","")</f>
        <v/>
      </c>
      <c r="B6520" t="str">
        <f>IF(AND(FORSIDE!$B$8&gt;=11,FORSIDE!$F$8&gt;=10,FORSIDE!$B$5&gt;=9),"2210 -&gt; 2441","")</f>
        <v/>
      </c>
      <c r="C6520" t="str">
        <f>FORSIDE!$C$3</f>
        <v>S355, Stål / VFHUP 140x140x8.0</v>
      </c>
    </row>
    <row r="6521" spans="1:3" x14ac:dyDescent="0.3">
      <c r="A6521" t="str">
        <f>IF(AND(FORSIDE!$B$8&gt;=11,FORSIDE!$F$8&gt;=10,FORSIDE!$B$5&gt;=10),"S6520","")</f>
        <v/>
      </c>
      <c r="B6521" t="str">
        <f>IF(AND(FORSIDE!$B$8&gt;=11,FORSIDE!$F$8&gt;=10,FORSIDE!$B$5&gt;=10),"2211 -&gt; 2442","")</f>
        <v/>
      </c>
      <c r="C6521" t="str">
        <f>FORSIDE!$C$3</f>
        <v>S355, Stål / VFHUP 140x140x8.0</v>
      </c>
    </row>
    <row r="6522" spans="1:3" x14ac:dyDescent="0.3">
      <c r="A6522" t="str">
        <f>IF(AND(FORSIDE!$B$8&gt;=12,FORSIDE!$F$8&gt;=10,FORSIDE!$B$5&gt;=1),"S6521","")</f>
        <v/>
      </c>
      <c r="B6522" t="str">
        <f>IF(AND(FORSIDE!$B$8&gt;=12,FORSIDE!$F$8&gt;=10,FORSIDE!$B$5&gt;=1),"2213 -&gt; 2444","")</f>
        <v/>
      </c>
      <c r="C6522" t="str">
        <f>FORSIDE!$C$3</f>
        <v>S355, Stål / VFHUP 140x140x8.0</v>
      </c>
    </row>
    <row r="6523" spans="1:3" x14ac:dyDescent="0.3">
      <c r="A6523" t="str">
        <f>IF(AND(FORSIDE!$B$8&gt;=12,FORSIDE!$F$8&gt;=10,FORSIDE!$B$5&gt;=2),"S6522","")</f>
        <v/>
      </c>
      <c r="B6523" t="str">
        <f>IF(AND(FORSIDE!$B$8&gt;=12,FORSIDE!$F$8&gt;=10,FORSIDE!$B$5&gt;=2),"2214 -&gt; 2445","")</f>
        <v/>
      </c>
      <c r="C6523" t="str">
        <f>FORSIDE!$C$3</f>
        <v>S355, Stål / VFHUP 140x140x8.0</v>
      </c>
    </row>
    <row r="6524" spans="1:3" x14ac:dyDescent="0.3">
      <c r="A6524" t="str">
        <f>IF(AND(FORSIDE!$B$8&gt;=12,FORSIDE!$F$8&gt;=10,FORSIDE!$B$5&gt;=3),"S6523","")</f>
        <v/>
      </c>
      <c r="B6524" t="str">
        <f>IF(AND(FORSIDE!$B$8&gt;=12,FORSIDE!$F$8&gt;=10,FORSIDE!$B$5&gt;=3),"2215 -&gt; 2446","")</f>
        <v/>
      </c>
      <c r="C6524" t="str">
        <f>FORSIDE!$C$3</f>
        <v>S355, Stål / VFHUP 140x140x8.0</v>
      </c>
    </row>
    <row r="6525" spans="1:3" x14ac:dyDescent="0.3">
      <c r="A6525" t="str">
        <f>IF(AND(FORSIDE!$B$8&gt;=12,FORSIDE!$F$8&gt;=10,FORSIDE!$B$5&gt;=4),"S6524","")</f>
        <v/>
      </c>
      <c r="B6525" t="str">
        <f>IF(AND(FORSIDE!$B$8&gt;=12,FORSIDE!$F$8&gt;=10,FORSIDE!$B$5&gt;=4),"2216 -&gt; 2447","")</f>
        <v/>
      </c>
      <c r="C6525" t="str">
        <f>FORSIDE!$C$3</f>
        <v>S355, Stål / VFHUP 140x140x8.0</v>
      </c>
    </row>
    <row r="6526" spans="1:3" x14ac:dyDescent="0.3">
      <c r="A6526" t="str">
        <f>IF(AND(FORSIDE!$B$8&gt;=12,FORSIDE!$F$8&gt;=10,FORSIDE!$B$5&gt;=5),"S6525","")</f>
        <v/>
      </c>
      <c r="B6526" t="str">
        <f>IF(AND(FORSIDE!$B$8&gt;=12,FORSIDE!$F$8&gt;=10,FORSIDE!$B$5&gt;=5),"2217 -&gt; 2448","")</f>
        <v/>
      </c>
      <c r="C6526" t="str">
        <f>FORSIDE!$C$3</f>
        <v>S355, Stål / VFHUP 140x140x8.0</v>
      </c>
    </row>
    <row r="6527" spans="1:3" x14ac:dyDescent="0.3">
      <c r="A6527" t="str">
        <f>IF(AND(FORSIDE!$B$8&gt;=12,FORSIDE!$F$8&gt;=10,FORSIDE!$B$5&gt;=6),"S6526","")</f>
        <v/>
      </c>
      <c r="B6527" t="str">
        <f>IF(AND(FORSIDE!$B$8&gt;=12,FORSIDE!$F$8&gt;=10,FORSIDE!$B$5&gt;=6),"2218 -&gt; 2449","")</f>
        <v/>
      </c>
      <c r="C6527" t="str">
        <f>FORSIDE!$C$3</f>
        <v>S355, Stål / VFHUP 140x140x8.0</v>
      </c>
    </row>
    <row r="6528" spans="1:3" x14ac:dyDescent="0.3">
      <c r="A6528" t="str">
        <f>IF(AND(FORSIDE!$B$8&gt;=12,FORSIDE!$F$8&gt;=10,FORSIDE!$B$5&gt;=7),"S6527","")</f>
        <v/>
      </c>
      <c r="B6528" t="str">
        <f>IF(AND(FORSIDE!$B$8&gt;=12,FORSIDE!$F$8&gt;=10,FORSIDE!$B$5&gt;=7),"2219 -&gt; 2450","")</f>
        <v/>
      </c>
      <c r="C6528" t="str">
        <f>FORSIDE!$C$3</f>
        <v>S355, Stål / VFHUP 140x140x8.0</v>
      </c>
    </row>
    <row r="6529" spans="1:3" x14ac:dyDescent="0.3">
      <c r="A6529" t="str">
        <f>IF(AND(FORSIDE!$B$8&gt;=12,FORSIDE!$F$8&gt;=10,FORSIDE!$B$5&gt;=8),"S6528","")</f>
        <v/>
      </c>
      <c r="B6529" t="str">
        <f>IF(AND(FORSIDE!$B$8&gt;=12,FORSIDE!$F$8&gt;=10,FORSIDE!$B$5&gt;=8),"2220 -&gt; 2451","")</f>
        <v/>
      </c>
      <c r="C6529" t="str">
        <f>FORSIDE!$C$3</f>
        <v>S355, Stål / VFHUP 140x140x8.0</v>
      </c>
    </row>
    <row r="6530" spans="1:3" x14ac:dyDescent="0.3">
      <c r="A6530" t="str">
        <f>IF(AND(FORSIDE!$B$8&gt;=12,FORSIDE!$F$8&gt;=10,FORSIDE!$B$5&gt;=9),"S6529","")</f>
        <v/>
      </c>
      <c r="B6530" t="str">
        <f>IF(AND(FORSIDE!$B$8&gt;=12,FORSIDE!$F$8&gt;=10,FORSIDE!$B$5&gt;=9),"2221 -&gt; 2452","")</f>
        <v/>
      </c>
      <c r="C6530" t="str">
        <f>FORSIDE!$C$3</f>
        <v>S355, Stål / VFHUP 140x140x8.0</v>
      </c>
    </row>
    <row r="6531" spans="1:3" x14ac:dyDescent="0.3">
      <c r="A6531" t="str">
        <f>IF(AND(FORSIDE!$B$8&gt;=12,FORSIDE!$F$8&gt;=10,FORSIDE!$B$5&gt;=10),"S6530","")</f>
        <v/>
      </c>
      <c r="B6531" t="str">
        <f>IF(AND(FORSIDE!$B$8&gt;=12,FORSIDE!$F$8&gt;=10,FORSIDE!$B$5&gt;=10),"2222 -&gt; 2453","")</f>
        <v/>
      </c>
      <c r="C6531" t="str">
        <f>FORSIDE!$C$3</f>
        <v>S355, Stål / VFHUP 140x140x8.0</v>
      </c>
    </row>
    <row r="6532" spans="1:3" x14ac:dyDescent="0.3">
      <c r="A6532" t="str">
        <f>IF(AND(FORSIDE!$B$8&gt;=13,FORSIDE!$F$8&gt;=10,FORSIDE!$B$5&gt;=1),"S6531","")</f>
        <v/>
      </c>
      <c r="B6532" t="str">
        <f>IF(AND(FORSIDE!$B$8&gt;=13,FORSIDE!$F$8&gt;=10,FORSIDE!$B$5&gt;=1),"2224 -&gt; 2455","")</f>
        <v/>
      </c>
      <c r="C6532" t="str">
        <f>FORSIDE!$C$3</f>
        <v>S355, Stål / VFHUP 140x140x8.0</v>
      </c>
    </row>
    <row r="6533" spans="1:3" x14ac:dyDescent="0.3">
      <c r="A6533" t="str">
        <f>IF(AND(FORSIDE!$B$8&gt;=13,FORSIDE!$F$8&gt;=10,FORSIDE!$B$5&gt;=2),"S6532","")</f>
        <v/>
      </c>
      <c r="B6533" t="str">
        <f>IF(AND(FORSIDE!$B$8&gt;=13,FORSIDE!$F$8&gt;=10,FORSIDE!$B$5&gt;=2),"2225 -&gt; 2456","")</f>
        <v/>
      </c>
      <c r="C6533" t="str">
        <f>FORSIDE!$C$3</f>
        <v>S355, Stål / VFHUP 140x140x8.0</v>
      </c>
    </row>
    <row r="6534" spans="1:3" x14ac:dyDescent="0.3">
      <c r="A6534" t="str">
        <f>IF(AND(FORSIDE!$B$8&gt;=13,FORSIDE!$F$8&gt;=10,FORSIDE!$B$5&gt;=3),"S6533","")</f>
        <v/>
      </c>
      <c r="B6534" t="str">
        <f>IF(AND(FORSIDE!$B$8&gt;=13,FORSIDE!$F$8&gt;=10,FORSIDE!$B$5&gt;=3),"2226 -&gt; 2457","")</f>
        <v/>
      </c>
      <c r="C6534" t="str">
        <f>FORSIDE!$C$3</f>
        <v>S355, Stål / VFHUP 140x140x8.0</v>
      </c>
    </row>
    <row r="6535" spans="1:3" x14ac:dyDescent="0.3">
      <c r="A6535" t="str">
        <f>IF(AND(FORSIDE!$B$8&gt;=13,FORSIDE!$F$8&gt;=10,FORSIDE!$B$5&gt;=4),"S6534","")</f>
        <v/>
      </c>
      <c r="B6535" t="str">
        <f>IF(AND(FORSIDE!$B$8&gt;=13,FORSIDE!$F$8&gt;=10,FORSIDE!$B$5&gt;=4),"2227 -&gt; 2458","")</f>
        <v/>
      </c>
      <c r="C6535" t="str">
        <f>FORSIDE!$C$3</f>
        <v>S355, Stål / VFHUP 140x140x8.0</v>
      </c>
    </row>
    <row r="6536" spans="1:3" x14ac:dyDescent="0.3">
      <c r="A6536" t="str">
        <f>IF(AND(FORSIDE!$B$8&gt;=13,FORSIDE!$F$8&gt;=10,FORSIDE!$B$5&gt;=5),"S6535","")</f>
        <v/>
      </c>
      <c r="B6536" t="str">
        <f>IF(AND(FORSIDE!$B$8&gt;=13,FORSIDE!$F$8&gt;=10,FORSIDE!$B$5&gt;=5),"2228 -&gt; 2459","")</f>
        <v/>
      </c>
      <c r="C6536" t="str">
        <f>FORSIDE!$C$3</f>
        <v>S355, Stål / VFHUP 140x140x8.0</v>
      </c>
    </row>
    <row r="6537" spans="1:3" x14ac:dyDescent="0.3">
      <c r="A6537" t="str">
        <f>IF(AND(FORSIDE!$B$8&gt;=13,FORSIDE!$F$8&gt;=10,FORSIDE!$B$5&gt;=6),"S6536","")</f>
        <v/>
      </c>
      <c r="B6537" t="str">
        <f>IF(AND(FORSIDE!$B$8&gt;=13,FORSIDE!$F$8&gt;=10,FORSIDE!$B$5&gt;=6),"2229 -&gt; 2460","")</f>
        <v/>
      </c>
      <c r="C6537" t="str">
        <f>FORSIDE!$C$3</f>
        <v>S355, Stål / VFHUP 140x140x8.0</v>
      </c>
    </row>
    <row r="6538" spans="1:3" x14ac:dyDescent="0.3">
      <c r="A6538" t="str">
        <f>IF(AND(FORSIDE!$B$8&gt;=13,FORSIDE!$F$8&gt;=10,FORSIDE!$B$5&gt;=7),"S6537","")</f>
        <v/>
      </c>
      <c r="B6538" t="str">
        <f>IF(AND(FORSIDE!$B$8&gt;=13,FORSIDE!$F$8&gt;=10,FORSIDE!$B$5&gt;=7),"2230 -&gt; 2461","")</f>
        <v/>
      </c>
      <c r="C6538" t="str">
        <f>FORSIDE!$C$3</f>
        <v>S355, Stål / VFHUP 140x140x8.0</v>
      </c>
    </row>
    <row r="6539" spans="1:3" x14ac:dyDescent="0.3">
      <c r="A6539" t="str">
        <f>IF(AND(FORSIDE!$B$8&gt;=13,FORSIDE!$F$8&gt;=10,FORSIDE!$B$5&gt;=8),"S6538","")</f>
        <v/>
      </c>
      <c r="B6539" t="str">
        <f>IF(AND(FORSIDE!$B$8&gt;=13,FORSIDE!$F$8&gt;=10,FORSIDE!$B$5&gt;=8),"2231 -&gt; 2462","")</f>
        <v/>
      </c>
      <c r="C6539" t="str">
        <f>FORSIDE!$C$3</f>
        <v>S355, Stål / VFHUP 140x140x8.0</v>
      </c>
    </row>
    <row r="6540" spans="1:3" x14ac:dyDescent="0.3">
      <c r="A6540" t="str">
        <f>IF(AND(FORSIDE!$B$8&gt;=13,FORSIDE!$F$8&gt;=10,FORSIDE!$B$5&gt;=9),"S6539","")</f>
        <v/>
      </c>
      <c r="B6540" t="str">
        <f>IF(AND(FORSIDE!$B$8&gt;=13,FORSIDE!$F$8&gt;=10,FORSIDE!$B$5&gt;=9),"2232 -&gt; 2463","")</f>
        <v/>
      </c>
      <c r="C6540" t="str">
        <f>FORSIDE!$C$3</f>
        <v>S355, Stål / VFHUP 140x140x8.0</v>
      </c>
    </row>
    <row r="6541" spans="1:3" x14ac:dyDescent="0.3">
      <c r="A6541" t="str">
        <f>IF(AND(FORSIDE!$B$8&gt;=13,FORSIDE!$F$8&gt;=10,FORSIDE!$B$5&gt;=10),"S6540","")</f>
        <v/>
      </c>
      <c r="B6541" t="str">
        <f>IF(AND(FORSIDE!$B$8&gt;=13,FORSIDE!$F$8&gt;=10,FORSIDE!$B$5&gt;=10),"2233 -&gt; 2464","")</f>
        <v/>
      </c>
      <c r="C6541" t="str">
        <f>FORSIDE!$C$3</f>
        <v>S355, Stål / VFHUP 140x140x8.0</v>
      </c>
    </row>
    <row r="6542" spans="1:3" x14ac:dyDescent="0.3">
      <c r="A6542" t="str">
        <f>IF(AND(FORSIDE!$B$8&gt;=14,FORSIDE!$F$8&gt;=10,FORSIDE!$B$5&gt;=1),"S6541","")</f>
        <v/>
      </c>
      <c r="B6542" t="str">
        <f>IF(AND(FORSIDE!$B$8&gt;=14,FORSIDE!$F$8&gt;=10,FORSIDE!$B$5&gt;=1),"2235 -&gt; 2466","")</f>
        <v/>
      </c>
      <c r="C6542" t="str">
        <f>FORSIDE!$C$3</f>
        <v>S355, Stål / VFHUP 140x140x8.0</v>
      </c>
    </row>
    <row r="6543" spans="1:3" x14ac:dyDescent="0.3">
      <c r="A6543" t="str">
        <f>IF(AND(FORSIDE!$B$8&gt;=14,FORSIDE!$F$8&gt;=10,FORSIDE!$B$5&gt;=2),"S6542","")</f>
        <v/>
      </c>
      <c r="B6543" t="str">
        <f>IF(AND(FORSIDE!$B$8&gt;=14,FORSIDE!$F$8&gt;=10,FORSIDE!$B$5&gt;=2),"2236 -&gt; 2467","")</f>
        <v/>
      </c>
      <c r="C6543" t="str">
        <f>FORSIDE!$C$3</f>
        <v>S355, Stål / VFHUP 140x140x8.0</v>
      </c>
    </row>
    <row r="6544" spans="1:3" x14ac:dyDescent="0.3">
      <c r="A6544" t="str">
        <f>IF(AND(FORSIDE!$B$8&gt;=14,FORSIDE!$F$8&gt;=10,FORSIDE!$B$5&gt;=3),"S6543","")</f>
        <v/>
      </c>
      <c r="B6544" t="str">
        <f>IF(AND(FORSIDE!$B$8&gt;=14,FORSIDE!$F$8&gt;=10,FORSIDE!$B$5&gt;=3),"2237 -&gt; 2468","")</f>
        <v/>
      </c>
      <c r="C6544" t="str">
        <f>FORSIDE!$C$3</f>
        <v>S355, Stål / VFHUP 140x140x8.0</v>
      </c>
    </row>
    <row r="6545" spans="1:3" x14ac:dyDescent="0.3">
      <c r="A6545" t="str">
        <f>IF(AND(FORSIDE!$B$8&gt;=14,FORSIDE!$F$8&gt;=10,FORSIDE!$B$5&gt;=4),"S6544","")</f>
        <v/>
      </c>
      <c r="B6545" t="str">
        <f>IF(AND(FORSIDE!$B$8&gt;=14,FORSIDE!$F$8&gt;=10,FORSIDE!$B$5&gt;=4),"2238 -&gt; 2469","")</f>
        <v/>
      </c>
      <c r="C6545" t="str">
        <f>FORSIDE!$C$3</f>
        <v>S355, Stål / VFHUP 140x140x8.0</v>
      </c>
    </row>
    <row r="6546" spans="1:3" x14ac:dyDescent="0.3">
      <c r="A6546" t="str">
        <f>IF(AND(FORSIDE!$B$8&gt;=14,FORSIDE!$F$8&gt;=10,FORSIDE!$B$5&gt;=5),"S6545","")</f>
        <v/>
      </c>
      <c r="B6546" t="str">
        <f>IF(AND(FORSIDE!$B$8&gt;=14,FORSIDE!$F$8&gt;=10,FORSIDE!$B$5&gt;=5),"2239 -&gt; 2470","")</f>
        <v/>
      </c>
      <c r="C6546" t="str">
        <f>FORSIDE!$C$3</f>
        <v>S355, Stål / VFHUP 140x140x8.0</v>
      </c>
    </row>
    <row r="6547" spans="1:3" x14ac:dyDescent="0.3">
      <c r="A6547" t="str">
        <f>IF(AND(FORSIDE!$B$8&gt;=14,FORSIDE!$F$8&gt;=10,FORSIDE!$B$5&gt;=6),"S6546","")</f>
        <v/>
      </c>
      <c r="B6547" t="str">
        <f>IF(AND(FORSIDE!$B$8&gt;=14,FORSIDE!$F$8&gt;=10,FORSIDE!$B$5&gt;=6),"2240 -&gt; 2471","")</f>
        <v/>
      </c>
      <c r="C6547" t="str">
        <f>FORSIDE!$C$3</f>
        <v>S355, Stål / VFHUP 140x140x8.0</v>
      </c>
    </row>
    <row r="6548" spans="1:3" x14ac:dyDescent="0.3">
      <c r="A6548" t="str">
        <f>IF(AND(FORSIDE!$B$8&gt;=14,FORSIDE!$F$8&gt;=10,FORSIDE!$B$5&gt;=7),"S6547","")</f>
        <v/>
      </c>
      <c r="B6548" t="str">
        <f>IF(AND(FORSIDE!$B$8&gt;=14,FORSIDE!$F$8&gt;=10,FORSIDE!$B$5&gt;=7),"2241 -&gt; 2472","")</f>
        <v/>
      </c>
      <c r="C6548" t="str">
        <f>FORSIDE!$C$3</f>
        <v>S355, Stål / VFHUP 140x140x8.0</v>
      </c>
    </row>
    <row r="6549" spans="1:3" x14ac:dyDescent="0.3">
      <c r="A6549" t="str">
        <f>IF(AND(FORSIDE!$B$8&gt;=14,FORSIDE!$F$8&gt;=10,FORSIDE!$B$5&gt;=8),"S6548","")</f>
        <v/>
      </c>
      <c r="B6549" t="str">
        <f>IF(AND(FORSIDE!$B$8&gt;=14,FORSIDE!$F$8&gt;=10,FORSIDE!$B$5&gt;=8),"2242 -&gt; 2473","")</f>
        <v/>
      </c>
      <c r="C6549" t="str">
        <f>FORSIDE!$C$3</f>
        <v>S355, Stål / VFHUP 140x140x8.0</v>
      </c>
    </row>
    <row r="6550" spans="1:3" x14ac:dyDescent="0.3">
      <c r="A6550" t="str">
        <f>IF(AND(FORSIDE!$B$8&gt;=14,FORSIDE!$F$8&gt;=10,FORSIDE!$B$5&gt;=9),"S6549","")</f>
        <v/>
      </c>
      <c r="B6550" t="str">
        <f>IF(AND(FORSIDE!$B$8&gt;=14,FORSIDE!$F$8&gt;=10,FORSIDE!$B$5&gt;=9),"2243 -&gt; 2474","")</f>
        <v/>
      </c>
      <c r="C6550" t="str">
        <f>FORSIDE!$C$3</f>
        <v>S355, Stål / VFHUP 140x140x8.0</v>
      </c>
    </row>
    <row r="6551" spans="1:3" x14ac:dyDescent="0.3">
      <c r="A6551" t="str">
        <f>IF(AND(FORSIDE!$B$8&gt;=14,FORSIDE!$F$8&gt;=10,FORSIDE!$B$5&gt;=10),"S6550","")</f>
        <v/>
      </c>
      <c r="B6551" t="str">
        <f>IF(AND(FORSIDE!$B$8&gt;=14,FORSIDE!$F$8&gt;=10,FORSIDE!$B$5&gt;=10),"2244 -&gt; 2475","")</f>
        <v/>
      </c>
      <c r="C6551" t="str">
        <f>FORSIDE!$C$3</f>
        <v>S355, Stål / VFHUP 140x140x8.0</v>
      </c>
    </row>
    <row r="6552" spans="1:3" x14ac:dyDescent="0.3">
      <c r="A6552" t="str">
        <f>IF(AND(FORSIDE!$B$8&gt;=15,FORSIDE!$F$8&gt;=10,FORSIDE!$B$5&gt;=1),"S6551","")</f>
        <v/>
      </c>
      <c r="B6552" t="str">
        <f>IF(AND(FORSIDE!$B$8&gt;=15,FORSIDE!$F$8&gt;=10,FORSIDE!$B$5&gt;=1),"2246 -&gt; 2477","")</f>
        <v/>
      </c>
      <c r="C6552" t="str">
        <f>FORSIDE!$C$3</f>
        <v>S355, Stål / VFHUP 140x140x8.0</v>
      </c>
    </row>
    <row r="6553" spans="1:3" x14ac:dyDescent="0.3">
      <c r="A6553" t="str">
        <f>IF(AND(FORSIDE!$B$8&gt;=15,FORSIDE!$F$8&gt;=10,FORSIDE!$B$5&gt;=2),"S6552","")</f>
        <v/>
      </c>
      <c r="B6553" t="str">
        <f>IF(AND(FORSIDE!$B$8&gt;=15,FORSIDE!$F$8&gt;=10,FORSIDE!$B$5&gt;=2),"2247 -&gt; 2478","")</f>
        <v/>
      </c>
      <c r="C6553" t="str">
        <f>FORSIDE!$C$3</f>
        <v>S355, Stål / VFHUP 140x140x8.0</v>
      </c>
    </row>
    <row r="6554" spans="1:3" x14ac:dyDescent="0.3">
      <c r="A6554" t="str">
        <f>IF(AND(FORSIDE!$B$8&gt;=15,FORSIDE!$F$8&gt;=10,FORSIDE!$B$5&gt;=3),"S6553","")</f>
        <v/>
      </c>
      <c r="B6554" t="str">
        <f>IF(AND(FORSIDE!$B$8&gt;=15,FORSIDE!$F$8&gt;=10,FORSIDE!$B$5&gt;=3),"2248 -&gt; 2479","")</f>
        <v/>
      </c>
      <c r="C6554" t="str">
        <f>FORSIDE!$C$3</f>
        <v>S355, Stål / VFHUP 140x140x8.0</v>
      </c>
    </row>
    <row r="6555" spans="1:3" x14ac:dyDescent="0.3">
      <c r="A6555" t="str">
        <f>IF(AND(FORSIDE!$B$8&gt;=15,FORSIDE!$F$8&gt;=10,FORSIDE!$B$5&gt;=4),"S6554","")</f>
        <v/>
      </c>
      <c r="B6555" t="str">
        <f>IF(AND(FORSIDE!$B$8&gt;=15,FORSIDE!$F$8&gt;=10,FORSIDE!$B$5&gt;=4),"2249 -&gt; 2480","")</f>
        <v/>
      </c>
      <c r="C6555" t="str">
        <f>FORSIDE!$C$3</f>
        <v>S355, Stål / VFHUP 140x140x8.0</v>
      </c>
    </row>
    <row r="6556" spans="1:3" x14ac:dyDescent="0.3">
      <c r="A6556" t="str">
        <f>IF(AND(FORSIDE!$B$8&gt;=15,FORSIDE!$F$8&gt;=10,FORSIDE!$B$5&gt;=5),"S6555","")</f>
        <v/>
      </c>
      <c r="B6556" t="str">
        <f>IF(AND(FORSIDE!$B$8&gt;=15,FORSIDE!$F$8&gt;=10,FORSIDE!$B$5&gt;=5),"2250 -&gt; 2481","")</f>
        <v/>
      </c>
      <c r="C6556" t="str">
        <f>FORSIDE!$C$3</f>
        <v>S355, Stål / VFHUP 140x140x8.0</v>
      </c>
    </row>
    <row r="6557" spans="1:3" x14ac:dyDescent="0.3">
      <c r="A6557" t="str">
        <f>IF(AND(FORSIDE!$B$8&gt;=15,FORSIDE!$F$8&gt;=10,FORSIDE!$B$5&gt;=6),"S6556","")</f>
        <v/>
      </c>
      <c r="B6557" t="str">
        <f>IF(AND(FORSIDE!$B$8&gt;=15,FORSIDE!$F$8&gt;=10,FORSIDE!$B$5&gt;=6),"2251 -&gt; 2482","")</f>
        <v/>
      </c>
      <c r="C6557" t="str">
        <f>FORSIDE!$C$3</f>
        <v>S355, Stål / VFHUP 140x140x8.0</v>
      </c>
    </row>
    <row r="6558" spans="1:3" x14ac:dyDescent="0.3">
      <c r="A6558" t="str">
        <f>IF(AND(FORSIDE!$B$8&gt;=15,FORSIDE!$F$8&gt;=10,FORSIDE!$B$5&gt;=7),"S6557","")</f>
        <v/>
      </c>
      <c r="B6558" t="str">
        <f>IF(AND(FORSIDE!$B$8&gt;=15,FORSIDE!$F$8&gt;=10,FORSIDE!$B$5&gt;=7),"2252 -&gt; 2483","")</f>
        <v/>
      </c>
      <c r="C6558" t="str">
        <f>FORSIDE!$C$3</f>
        <v>S355, Stål / VFHUP 140x140x8.0</v>
      </c>
    </row>
    <row r="6559" spans="1:3" x14ac:dyDescent="0.3">
      <c r="A6559" t="str">
        <f>IF(AND(FORSIDE!$B$8&gt;=15,FORSIDE!$F$8&gt;=10,FORSIDE!$B$5&gt;=8),"S6558","")</f>
        <v/>
      </c>
      <c r="B6559" t="str">
        <f>IF(AND(FORSIDE!$B$8&gt;=15,FORSIDE!$F$8&gt;=10,FORSIDE!$B$5&gt;=8),"2253 -&gt; 2484","")</f>
        <v/>
      </c>
      <c r="C6559" t="str">
        <f>FORSIDE!$C$3</f>
        <v>S355, Stål / VFHUP 140x140x8.0</v>
      </c>
    </row>
    <row r="6560" spans="1:3" x14ac:dyDescent="0.3">
      <c r="A6560" t="str">
        <f>IF(AND(FORSIDE!$B$8&gt;=15,FORSIDE!$F$8&gt;=10,FORSIDE!$B$5&gt;=9),"S6559","")</f>
        <v/>
      </c>
      <c r="B6560" t="str">
        <f>IF(AND(FORSIDE!$B$8&gt;=15,FORSIDE!$F$8&gt;=10,FORSIDE!$B$5&gt;=9),"2254 -&gt; 2485","")</f>
        <v/>
      </c>
      <c r="C6560" t="str">
        <f>FORSIDE!$C$3</f>
        <v>S355, Stål / VFHUP 140x140x8.0</v>
      </c>
    </row>
    <row r="6561" spans="1:3" x14ac:dyDescent="0.3">
      <c r="A6561" t="str">
        <f>IF(AND(FORSIDE!$B$8&gt;=15,FORSIDE!$F$8&gt;=10,FORSIDE!$B$5&gt;=10),"S6560","")</f>
        <v/>
      </c>
      <c r="B6561" t="str">
        <f>IF(AND(FORSIDE!$B$8&gt;=15,FORSIDE!$F$8&gt;=10,FORSIDE!$B$5&gt;=10),"2255 -&gt; 2486","")</f>
        <v/>
      </c>
      <c r="C6561" t="str">
        <f>FORSIDE!$C$3</f>
        <v>S355, Stål / VFHUP 140x140x8.0</v>
      </c>
    </row>
    <row r="6562" spans="1:3" x14ac:dyDescent="0.3">
      <c r="A6562" t="str">
        <f>IF(AND(FORSIDE!$B$8&gt;=16,FORSIDE!$F$8&gt;=10,FORSIDE!$B$5&gt;=1),"S6561","")</f>
        <v/>
      </c>
      <c r="B6562" t="str">
        <f>IF(AND(FORSIDE!$B$8&gt;=16,FORSIDE!$F$8&gt;=10,FORSIDE!$B$5&gt;=1),"2257 -&gt; 2488","")</f>
        <v/>
      </c>
      <c r="C6562" t="str">
        <f>FORSIDE!$C$3</f>
        <v>S355, Stål / VFHUP 140x140x8.0</v>
      </c>
    </row>
    <row r="6563" spans="1:3" x14ac:dyDescent="0.3">
      <c r="A6563" t="str">
        <f>IF(AND(FORSIDE!$B$8&gt;=16,FORSIDE!$F$8&gt;=10,FORSIDE!$B$5&gt;=2),"S6562","")</f>
        <v/>
      </c>
      <c r="B6563" t="str">
        <f>IF(AND(FORSIDE!$B$8&gt;=16,FORSIDE!$F$8&gt;=10,FORSIDE!$B$5&gt;=2),"2258 -&gt; 2489","")</f>
        <v/>
      </c>
      <c r="C6563" t="str">
        <f>FORSIDE!$C$3</f>
        <v>S355, Stål / VFHUP 140x140x8.0</v>
      </c>
    </row>
    <row r="6564" spans="1:3" x14ac:dyDescent="0.3">
      <c r="A6564" t="str">
        <f>IF(AND(FORSIDE!$B$8&gt;=16,FORSIDE!$F$8&gt;=10,FORSIDE!$B$5&gt;=3),"S6563","")</f>
        <v/>
      </c>
      <c r="B6564" t="str">
        <f>IF(AND(FORSIDE!$B$8&gt;=16,FORSIDE!$F$8&gt;=10,FORSIDE!$B$5&gt;=3),"2259 -&gt; 2490","")</f>
        <v/>
      </c>
      <c r="C6564" t="str">
        <f>FORSIDE!$C$3</f>
        <v>S355, Stål / VFHUP 140x140x8.0</v>
      </c>
    </row>
    <row r="6565" spans="1:3" x14ac:dyDescent="0.3">
      <c r="A6565" t="str">
        <f>IF(AND(FORSIDE!$B$8&gt;=16,FORSIDE!$F$8&gt;=10,FORSIDE!$B$5&gt;=4),"S6564","")</f>
        <v/>
      </c>
      <c r="B6565" t="str">
        <f>IF(AND(FORSIDE!$B$8&gt;=16,FORSIDE!$F$8&gt;=10,FORSIDE!$B$5&gt;=4),"2260 -&gt; 2491","")</f>
        <v/>
      </c>
      <c r="C6565" t="str">
        <f>FORSIDE!$C$3</f>
        <v>S355, Stål / VFHUP 140x140x8.0</v>
      </c>
    </row>
    <row r="6566" spans="1:3" x14ac:dyDescent="0.3">
      <c r="A6566" t="str">
        <f>IF(AND(FORSIDE!$B$8&gt;=16,FORSIDE!$F$8&gt;=10,FORSIDE!$B$5&gt;=5),"S6565","")</f>
        <v/>
      </c>
      <c r="B6566" t="str">
        <f>IF(AND(FORSIDE!$B$8&gt;=16,FORSIDE!$F$8&gt;=10,FORSIDE!$B$5&gt;=5),"2261 -&gt; 2492","")</f>
        <v/>
      </c>
      <c r="C6566" t="str">
        <f>FORSIDE!$C$3</f>
        <v>S355, Stål / VFHUP 140x140x8.0</v>
      </c>
    </row>
    <row r="6567" spans="1:3" x14ac:dyDescent="0.3">
      <c r="A6567" t="str">
        <f>IF(AND(FORSIDE!$B$8&gt;=16,FORSIDE!$F$8&gt;=10,FORSIDE!$B$5&gt;=6),"S6566","")</f>
        <v/>
      </c>
      <c r="B6567" t="str">
        <f>IF(AND(FORSIDE!$B$8&gt;=16,FORSIDE!$F$8&gt;=10,FORSIDE!$B$5&gt;=6),"2262 -&gt; 2493","")</f>
        <v/>
      </c>
      <c r="C6567" t="str">
        <f>FORSIDE!$C$3</f>
        <v>S355, Stål / VFHUP 140x140x8.0</v>
      </c>
    </row>
    <row r="6568" spans="1:3" x14ac:dyDescent="0.3">
      <c r="A6568" t="str">
        <f>IF(AND(FORSIDE!$B$8&gt;=16,FORSIDE!$F$8&gt;=10,FORSIDE!$B$5&gt;=7),"S6567","")</f>
        <v/>
      </c>
      <c r="B6568" t="str">
        <f>IF(AND(FORSIDE!$B$8&gt;=16,FORSIDE!$F$8&gt;=10,FORSIDE!$B$5&gt;=7),"2263 -&gt; 2494","")</f>
        <v/>
      </c>
      <c r="C6568" t="str">
        <f>FORSIDE!$C$3</f>
        <v>S355, Stål / VFHUP 140x140x8.0</v>
      </c>
    </row>
    <row r="6569" spans="1:3" x14ac:dyDescent="0.3">
      <c r="A6569" t="str">
        <f>IF(AND(FORSIDE!$B$8&gt;=16,FORSIDE!$F$8&gt;=10,FORSIDE!$B$5&gt;=8),"S6568","")</f>
        <v/>
      </c>
      <c r="B6569" t="str">
        <f>IF(AND(FORSIDE!$B$8&gt;=16,FORSIDE!$F$8&gt;=10,FORSIDE!$B$5&gt;=8),"2264 -&gt; 2495","")</f>
        <v/>
      </c>
      <c r="C6569" t="str">
        <f>FORSIDE!$C$3</f>
        <v>S355, Stål / VFHUP 140x140x8.0</v>
      </c>
    </row>
    <row r="6570" spans="1:3" x14ac:dyDescent="0.3">
      <c r="A6570" t="str">
        <f>IF(AND(FORSIDE!$B$8&gt;=16,FORSIDE!$F$8&gt;=10,FORSIDE!$B$5&gt;=9),"S6569","")</f>
        <v/>
      </c>
      <c r="B6570" t="str">
        <f>IF(AND(FORSIDE!$B$8&gt;=16,FORSIDE!$F$8&gt;=10,FORSIDE!$B$5&gt;=9),"2265 -&gt; 2496","")</f>
        <v/>
      </c>
      <c r="C6570" t="str">
        <f>FORSIDE!$C$3</f>
        <v>S355, Stål / VFHUP 140x140x8.0</v>
      </c>
    </row>
    <row r="6571" spans="1:3" x14ac:dyDescent="0.3">
      <c r="A6571" t="str">
        <f>IF(AND(FORSIDE!$B$8&gt;=16,FORSIDE!$F$8&gt;=10,FORSIDE!$B$5&gt;=10),"S6570","")</f>
        <v/>
      </c>
      <c r="B6571" t="str">
        <f>IF(AND(FORSIDE!$B$8&gt;=16,FORSIDE!$F$8&gt;=10,FORSIDE!$B$5&gt;=10),"2266 -&gt; 2497","")</f>
        <v/>
      </c>
      <c r="C6571" t="str">
        <f>FORSIDE!$C$3</f>
        <v>S355, Stål / VFHUP 140x140x8.0</v>
      </c>
    </row>
    <row r="6572" spans="1:3" x14ac:dyDescent="0.3">
      <c r="A6572" t="str">
        <f>IF(AND(FORSIDE!$B$8&gt;=17,FORSIDE!$F$8&gt;=10,FORSIDE!$B$5&gt;=1),"S6571","")</f>
        <v/>
      </c>
      <c r="B6572" t="str">
        <f>IF(AND(FORSIDE!$B$8&gt;=17,FORSIDE!$F$8&gt;=10,FORSIDE!$B$5&gt;=1),"2268 -&gt; 2499","")</f>
        <v/>
      </c>
      <c r="C6572" t="str">
        <f>FORSIDE!$C$3</f>
        <v>S355, Stål / VFHUP 140x140x8.0</v>
      </c>
    </row>
    <row r="6573" spans="1:3" x14ac:dyDescent="0.3">
      <c r="A6573" t="str">
        <f>IF(AND(FORSIDE!$B$8&gt;=17,FORSIDE!$F$8&gt;=10,FORSIDE!$B$5&gt;=2),"S6572","")</f>
        <v/>
      </c>
      <c r="B6573" t="str">
        <f>IF(AND(FORSIDE!$B$8&gt;=17,FORSIDE!$F$8&gt;=10,FORSIDE!$B$5&gt;=2),"2269 -&gt; 2500","")</f>
        <v/>
      </c>
      <c r="C6573" t="str">
        <f>FORSIDE!$C$3</f>
        <v>S355, Stål / VFHUP 140x140x8.0</v>
      </c>
    </row>
    <row r="6574" spans="1:3" x14ac:dyDescent="0.3">
      <c r="A6574" t="str">
        <f>IF(AND(FORSIDE!$B$8&gt;=17,FORSIDE!$F$8&gt;=10,FORSIDE!$B$5&gt;=3),"S6573","")</f>
        <v/>
      </c>
      <c r="B6574" t="str">
        <f>IF(AND(FORSIDE!$B$8&gt;=17,FORSIDE!$F$8&gt;=10,FORSIDE!$B$5&gt;=3),"2270 -&gt; 2501","")</f>
        <v/>
      </c>
      <c r="C6574" t="str">
        <f>FORSIDE!$C$3</f>
        <v>S355, Stål / VFHUP 140x140x8.0</v>
      </c>
    </row>
    <row r="6575" spans="1:3" x14ac:dyDescent="0.3">
      <c r="A6575" t="str">
        <f>IF(AND(FORSIDE!$B$8&gt;=17,FORSIDE!$F$8&gt;=10,FORSIDE!$B$5&gt;=4),"S6574","")</f>
        <v/>
      </c>
      <c r="B6575" t="str">
        <f>IF(AND(FORSIDE!$B$8&gt;=17,FORSIDE!$F$8&gt;=10,FORSIDE!$B$5&gt;=4),"2271 -&gt; 2502","")</f>
        <v/>
      </c>
      <c r="C6575" t="str">
        <f>FORSIDE!$C$3</f>
        <v>S355, Stål / VFHUP 140x140x8.0</v>
      </c>
    </row>
    <row r="6576" spans="1:3" x14ac:dyDescent="0.3">
      <c r="A6576" t="str">
        <f>IF(AND(FORSIDE!$B$8&gt;=17,FORSIDE!$F$8&gt;=10,FORSIDE!$B$5&gt;=5),"S6575","")</f>
        <v/>
      </c>
      <c r="B6576" t="str">
        <f>IF(AND(FORSIDE!$B$8&gt;=17,FORSIDE!$F$8&gt;=10,FORSIDE!$B$5&gt;=5),"2272 -&gt; 2503","")</f>
        <v/>
      </c>
      <c r="C6576" t="str">
        <f>FORSIDE!$C$3</f>
        <v>S355, Stål / VFHUP 140x140x8.0</v>
      </c>
    </row>
    <row r="6577" spans="1:3" x14ac:dyDescent="0.3">
      <c r="A6577" t="str">
        <f>IF(AND(FORSIDE!$B$8&gt;=17,FORSIDE!$F$8&gt;=10,FORSIDE!$B$5&gt;=6),"S6576","")</f>
        <v/>
      </c>
      <c r="B6577" t="str">
        <f>IF(AND(FORSIDE!$B$8&gt;=17,FORSIDE!$F$8&gt;=10,FORSIDE!$B$5&gt;=6),"2273 -&gt; 2504","")</f>
        <v/>
      </c>
      <c r="C6577" t="str">
        <f>FORSIDE!$C$3</f>
        <v>S355, Stål / VFHUP 140x140x8.0</v>
      </c>
    </row>
    <row r="6578" spans="1:3" x14ac:dyDescent="0.3">
      <c r="A6578" t="str">
        <f>IF(AND(FORSIDE!$B$8&gt;=17,FORSIDE!$F$8&gt;=10,FORSIDE!$B$5&gt;=7),"S6577","")</f>
        <v/>
      </c>
      <c r="B6578" t="str">
        <f>IF(AND(FORSIDE!$B$8&gt;=17,FORSIDE!$F$8&gt;=10,FORSIDE!$B$5&gt;=7),"2274 -&gt; 2505","")</f>
        <v/>
      </c>
      <c r="C6578" t="str">
        <f>FORSIDE!$C$3</f>
        <v>S355, Stål / VFHUP 140x140x8.0</v>
      </c>
    </row>
    <row r="6579" spans="1:3" x14ac:dyDescent="0.3">
      <c r="A6579" t="str">
        <f>IF(AND(FORSIDE!$B$8&gt;=17,FORSIDE!$F$8&gt;=10,FORSIDE!$B$5&gt;=8),"S6578","")</f>
        <v/>
      </c>
      <c r="B6579" t="str">
        <f>IF(AND(FORSIDE!$B$8&gt;=17,FORSIDE!$F$8&gt;=10,FORSIDE!$B$5&gt;=8),"2275 -&gt; 2506","")</f>
        <v/>
      </c>
      <c r="C6579" t="str">
        <f>FORSIDE!$C$3</f>
        <v>S355, Stål / VFHUP 140x140x8.0</v>
      </c>
    </row>
    <row r="6580" spans="1:3" x14ac:dyDescent="0.3">
      <c r="A6580" t="str">
        <f>IF(AND(FORSIDE!$B$8&gt;=17,FORSIDE!$F$8&gt;=10,FORSIDE!$B$5&gt;=9),"S6579","")</f>
        <v/>
      </c>
      <c r="B6580" t="str">
        <f>IF(AND(FORSIDE!$B$8&gt;=17,FORSIDE!$F$8&gt;=10,FORSIDE!$B$5&gt;=9),"2276 -&gt; 2507","")</f>
        <v/>
      </c>
      <c r="C6580" t="str">
        <f>FORSIDE!$C$3</f>
        <v>S355, Stål / VFHUP 140x140x8.0</v>
      </c>
    </row>
    <row r="6581" spans="1:3" x14ac:dyDescent="0.3">
      <c r="A6581" t="str">
        <f>IF(AND(FORSIDE!$B$8&gt;=17,FORSIDE!$F$8&gt;=10,FORSIDE!$B$5&gt;=10),"S6580","")</f>
        <v/>
      </c>
      <c r="B6581" t="str">
        <f>IF(AND(FORSIDE!$B$8&gt;=17,FORSIDE!$F$8&gt;=10,FORSIDE!$B$5&gt;=10),"2277 -&gt; 2508","")</f>
        <v/>
      </c>
      <c r="C6581" t="str">
        <f>FORSIDE!$C$3</f>
        <v>S355, Stål / VFHUP 140x140x8.0</v>
      </c>
    </row>
    <row r="6582" spans="1:3" x14ac:dyDescent="0.3">
      <c r="A6582" t="str">
        <f>IF(AND(FORSIDE!$B$8&gt;=18,FORSIDE!$F$8&gt;=10,FORSIDE!$B$5&gt;=1),"S6581","")</f>
        <v/>
      </c>
      <c r="B6582" t="str">
        <f>IF(AND(FORSIDE!$B$8&gt;=18,FORSIDE!$F$8&gt;=10,FORSIDE!$B$5&gt;=1),"2279 -&gt; 2510","")</f>
        <v/>
      </c>
      <c r="C6582" t="str">
        <f>FORSIDE!$C$3</f>
        <v>S355, Stål / VFHUP 140x140x8.0</v>
      </c>
    </row>
    <row r="6583" spans="1:3" x14ac:dyDescent="0.3">
      <c r="A6583" t="str">
        <f>IF(AND(FORSIDE!$B$8&gt;=18,FORSIDE!$F$8&gt;=10,FORSIDE!$B$5&gt;=2),"S6582","")</f>
        <v/>
      </c>
      <c r="B6583" t="str">
        <f>IF(AND(FORSIDE!$B$8&gt;=18,FORSIDE!$F$8&gt;=10,FORSIDE!$B$5&gt;=2),"2280 -&gt; 2511","")</f>
        <v/>
      </c>
      <c r="C6583" t="str">
        <f>FORSIDE!$C$3</f>
        <v>S355, Stål / VFHUP 140x140x8.0</v>
      </c>
    </row>
    <row r="6584" spans="1:3" x14ac:dyDescent="0.3">
      <c r="A6584" t="str">
        <f>IF(AND(FORSIDE!$B$8&gt;=18,FORSIDE!$F$8&gt;=10,FORSIDE!$B$5&gt;=3),"S6583","")</f>
        <v/>
      </c>
      <c r="B6584" t="str">
        <f>IF(AND(FORSIDE!$B$8&gt;=18,FORSIDE!$F$8&gt;=10,FORSIDE!$B$5&gt;=3),"2281 -&gt; 2512","")</f>
        <v/>
      </c>
      <c r="C6584" t="str">
        <f>FORSIDE!$C$3</f>
        <v>S355, Stål / VFHUP 140x140x8.0</v>
      </c>
    </row>
    <row r="6585" spans="1:3" x14ac:dyDescent="0.3">
      <c r="A6585" t="str">
        <f>IF(AND(FORSIDE!$B$8&gt;=18,FORSIDE!$F$8&gt;=10,FORSIDE!$B$5&gt;=4),"S6584","")</f>
        <v/>
      </c>
      <c r="B6585" t="str">
        <f>IF(AND(FORSIDE!$B$8&gt;=18,FORSIDE!$F$8&gt;=10,FORSIDE!$B$5&gt;=4),"2282 -&gt; 2513","")</f>
        <v/>
      </c>
      <c r="C6585" t="str">
        <f>FORSIDE!$C$3</f>
        <v>S355, Stål / VFHUP 140x140x8.0</v>
      </c>
    </row>
    <row r="6586" spans="1:3" x14ac:dyDescent="0.3">
      <c r="A6586" t="str">
        <f>IF(AND(FORSIDE!$B$8&gt;=18,FORSIDE!$F$8&gt;=10,FORSIDE!$B$5&gt;=5),"S6585","")</f>
        <v/>
      </c>
      <c r="B6586" t="str">
        <f>IF(AND(FORSIDE!$B$8&gt;=18,FORSIDE!$F$8&gt;=10,FORSIDE!$B$5&gt;=5),"2283 -&gt; 2514","")</f>
        <v/>
      </c>
      <c r="C6586" t="str">
        <f>FORSIDE!$C$3</f>
        <v>S355, Stål / VFHUP 140x140x8.0</v>
      </c>
    </row>
    <row r="6587" spans="1:3" x14ac:dyDescent="0.3">
      <c r="A6587" t="str">
        <f>IF(AND(FORSIDE!$B$8&gt;=18,FORSIDE!$F$8&gt;=10,FORSIDE!$B$5&gt;=6),"S6586","")</f>
        <v/>
      </c>
      <c r="B6587" t="str">
        <f>IF(AND(FORSIDE!$B$8&gt;=18,FORSIDE!$F$8&gt;=10,FORSIDE!$B$5&gt;=6),"2284 -&gt; 2515","")</f>
        <v/>
      </c>
      <c r="C6587" t="str">
        <f>FORSIDE!$C$3</f>
        <v>S355, Stål / VFHUP 140x140x8.0</v>
      </c>
    </row>
    <row r="6588" spans="1:3" x14ac:dyDescent="0.3">
      <c r="A6588" t="str">
        <f>IF(AND(FORSIDE!$B$8&gt;=18,FORSIDE!$F$8&gt;=10,FORSIDE!$B$5&gt;=7),"S6587","")</f>
        <v/>
      </c>
      <c r="B6588" t="str">
        <f>IF(AND(FORSIDE!$B$8&gt;=18,FORSIDE!$F$8&gt;=10,FORSIDE!$B$5&gt;=7),"2285 -&gt; 2516","")</f>
        <v/>
      </c>
      <c r="C6588" t="str">
        <f>FORSIDE!$C$3</f>
        <v>S355, Stål / VFHUP 140x140x8.0</v>
      </c>
    </row>
    <row r="6589" spans="1:3" x14ac:dyDescent="0.3">
      <c r="A6589" t="str">
        <f>IF(AND(FORSIDE!$B$8&gt;=18,FORSIDE!$F$8&gt;=10,FORSIDE!$B$5&gt;=8),"S6588","")</f>
        <v/>
      </c>
      <c r="B6589" t="str">
        <f>IF(AND(FORSIDE!$B$8&gt;=18,FORSIDE!$F$8&gt;=10,FORSIDE!$B$5&gt;=8),"2286 -&gt; 2517","")</f>
        <v/>
      </c>
      <c r="C6589" t="str">
        <f>FORSIDE!$C$3</f>
        <v>S355, Stål / VFHUP 140x140x8.0</v>
      </c>
    </row>
    <row r="6590" spans="1:3" x14ac:dyDescent="0.3">
      <c r="A6590" t="str">
        <f>IF(AND(FORSIDE!$B$8&gt;=18,FORSIDE!$F$8&gt;=10,FORSIDE!$B$5&gt;=9),"S6589","")</f>
        <v/>
      </c>
      <c r="B6590" t="str">
        <f>IF(AND(FORSIDE!$B$8&gt;=18,FORSIDE!$F$8&gt;=10,FORSIDE!$B$5&gt;=9),"2287 -&gt; 2518","")</f>
        <v/>
      </c>
      <c r="C6590" t="str">
        <f>FORSIDE!$C$3</f>
        <v>S355, Stål / VFHUP 140x140x8.0</v>
      </c>
    </row>
    <row r="6591" spans="1:3" x14ac:dyDescent="0.3">
      <c r="A6591" t="str">
        <f>IF(AND(FORSIDE!$B$8&gt;=18,FORSIDE!$F$8&gt;=10,FORSIDE!$B$5&gt;=10),"S6590","")</f>
        <v/>
      </c>
      <c r="B6591" t="str">
        <f>IF(AND(FORSIDE!$B$8&gt;=18,FORSIDE!$F$8&gt;=10,FORSIDE!$B$5&gt;=10),"2288 -&gt; 2519","")</f>
        <v/>
      </c>
      <c r="C6591" t="str">
        <f>FORSIDE!$C$3</f>
        <v>S355, Stål / VFHUP 140x140x8.0</v>
      </c>
    </row>
    <row r="6592" spans="1:3" x14ac:dyDescent="0.3">
      <c r="A6592" t="str">
        <f>IF(AND(FORSIDE!$B$8&gt;=19,FORSIDE!$F$8&gt;=10,FORSIDE!$B$5&gt;=1),"S6591","")</f>
        <v/>
      </c>
      <c r="B6592" t="str">
        <f>IF(AND(FORSIDE!$B$8&gt;=19,FORSIDE!$F$8&gt;=10,FORSIDE!$B$5&gt;=1),"2290 -&gt; 2521","")</f>
        <v/>
      </c>
      <c r="C6592" t="str">
        <f>FORSIDE!$C$3</f>
        <v>S355, Stål / VFHUP 140x140x8.0</v>
      </c>
    </row>
    <row r="6593" spans="1:3" x14ac:dyDescent="0.3">
      <c r="A6593" t="str">
        <f>IF(AND(FORSIDE!$B$8&gt;=19,FORSIDE!$F$8&gt;=10,FORSIDE!$B$5&gt;=2),"S6592","")</f>
        <v/>
      </c>
      <c r="B6593" t="str">
        <f>IF(AND(FORSIDE!$B$8&gt;=19,FORSIDE!$F$8&gt;=10,FORSIDE!$B$5&gt;=2),"2291 -&gt; 2522","")</f>
        <v/>
      </c>
      <c r="C6593" t="str">
        <f>FORSIDE!$C$3</f>
        <v>S355, Stål / VFHUP 140x140x8.0</v>
      </c>
    </row>
    <row r="6594" spans="1:3" x14ac:dyDescent="0.3">
      <c r="A6594" t="str">
        <f>IF(AND(FORSIDE!$B$8&gt;=19,FORSIDE!$F$8&gt;=10,FORSIDE!$B$5&gt;=3),"S6593","")</f>
        <v/>
      </c>
      <c r="B6594" t="str">
        <f>IF(AND(FORSIDE!$B$8&gt;=19,FORSIDE!$F$8&gt;=10,FORSIDE!$B$5&gt;=3),"2292 -&gt; 2523","")</f>
        <v/>
      </c>
      <c r="C6594" t="str">
        <f>FORSIDE!$C$3</f>
        <v>S355, Stål / VFHUP 140x140x8.0</v>
      </c>
    </row>
    <row r="6595" spans="1:3" x14ac:dyDescent="0.3">
      <c r="A6595" t="str">
        <f>IF(AND(FORSIDE!$B$8&gt;=19,FORSIDE!$F$8&gt;=10,FORSIDE!$B$5&gt;=4),"S6594","")</f>
        <v/>
      </c>
      <c r="B6595" t="str">
        <f>IF(AND(FORSIDE!$B$8&gt;=19,FORSIDE!$F$8&gt;=10,FORSIDE!$B$5&gt;=4),"2293 -&gt; 2524","")</f>
        <v/>
      </c>
      <c r="C6595" t="str">
        <f>FORSIDE!$C$3</f>
        <v>S355, Stål / VFHUP 140x140x8.0</v>
      </c>
    </row>
    <row r="6596" spans="1:3" x14ac:dyDescent="0.3">
      <c r="A6596" t="str">
        <f>IF(AND(FORSIDE!$B$8&gt;=19,FORSIDE!$F$8&gt;=10,FORSIDE!$B$5&gt;=5),"S6595","")</f>
        <v/>
      </c>
      <c r="B6596" t="str">
        <f>IF(AND(FORSIDE!$B$8&gt;=19,FORSIDE!$F$8&gt;=10,FORSIDE!$B$5&gt;=5),"2294 -&gt; 2525","")</f>
        <v/>
      </c>
      <c r="C6596" t="str">
        <f>FORSIDE!$C$3</f>
        <v>S355, Stål / VFHUP 140x140x8.0</v>
      </c>
    </row>
    <row r="6597" spans="1:3" x14ac:dyDescent="0.3">
      <c r="A6597" t="str">
        <f>IF(AND(FORSIDE!$B$8&gt;=19,FORSIDE!$F$8&gt;=10,FORSIDE!$B$5&gt;=6),"S6596","")</f>
        <v/>
      </c>
      <c r="B6597" t="str">
        <f>IF(AND(FORSIDE!$B$8&gt;=19,FORSIDE!$F$8&gt;=10,FORSIDE!$B$5&gt;=6),"2295 -&gt; 2526","")</f>
        <v/>
      </c>
      <c r="C6597" t="str">
        <f>FORSIDE!$C$3</f>
        <v>S355, Stål / VFHUP 140x140x8.0</v>
      </c>
    </row>
    <row r="6598" spans="1:3" x14ac:dyDescent="0.3">
      <c r="A6598" t="str">
        <f>IF(AND(FORSIDE!$B$8&gt;=19,FORSIDE!$F$8&gt;=10,FORSIDE!$B$5&gt;=7),"S6597","")</f>
        <v/>
      </c>
      <c r="B6598" t="str">
        <f>IF(AND(FORSIDE!$B$8&gt;=19,FORSIDE!$F$8&gt;=10,FORSIDE!$B$5&gt;=7),"2296 -&gt; 2527","")</f>
        <v/>
      </c>
      <c r="C6598" t="str">
        <f>FORSIDE!$C$3</f>
        <v>S355, Stål / VFHUP 140x140x8.0</v>
      </c>
    </row>
    <row r="6599" spans="1:3" x14ac:dyDescent="0.3">
      <c r="A6599" t="str">
        <f>IF(AND(FORSIDE!$B$8&gt;=19,FORSIDE!$F$8&gt;=10,FORSIDE!$B$5&gt;=8),"S6598","")</f>
        <v/>
      </c>
      <c r="B6599" t="str">
        <f>IF(AND(FORSIDE!$B$8&gt;=19,FORSIDE!$F$8&gt;=10,FORSIDE!$B$5&gt;=8),"2297 -&gt; 2528","")</f>
        <v/>
      </c>
      <c r="C6599" t="str">
        <f>FORSIDE!$C$3</f>
        <v>S355, Stål / VFHUP 140x140x8.0</v>
      </c>
    </row>
    <row r="6600" spans="1:3" x14ac:dyDescent="0.3">
      <c r="A6600" t="str">
        <f>IF(AND(FORSIDE!$B$8&gt;=19,FORSIDE!$F$8&gt;=10,FORSIDE!$B$5&gt;=9),"S6599","")</f>
        <v/>
      </c>
      <c r="B6600" t="str">
        <f>IF(AND(FORSIDE!$B$8&gt;=19,FORSIDE!$F$8&gt;=10,FORSIDE!$B$5&gt;=9),"2298 -&gt; 2529","")</f>
        <v/>
      </c>
      <c r="C6600" t="str">
        <f>FORSIDE!$C$3</f>
        <v>S355, Stål / VFHUP 140x140x8.0</v>
      </c>
    </row>
    <row r="6601" spans="1:3" x14ac:dyDescent="0.3">
      <c r="A6601" t="str">
        <f>IF(AND(FORSIDE!$B$8&gt;=19,FORSIDE!$F$8&gt;=10,FORSIDE!$B$5&gt;=10),"S6600","")</f>
        <v/>
      </c>
      <c r="B6601" t="str">
        <f>IF(AND(FORSIDE!$B$8&gt;=19,FORSIDE!$F$8&gt;=10,FORSIDE!$B$5&gt;=10),"2299 -&gt; 2530","")</f>
        <v/>
      </c>
      <c r="C6601" t="str">
        <f>FORSIDE!$C$3</f>
        <v>S355, Stål / VFHUP 140x140x8.0</v>
      </c>
    </row>
    <row r="6602" spans="1:3" x14ac:dyDescent="0.3">
      <c r="A6602" t="str">
        <f>IF(AND(FORSIDE!$B$8&gt;=20,FORSIDE!$F$8&gt;=10,FORSIDE!$B$5&gt;=1),"S6601","")</f>
        <v/>
      </c>
      <c r="B6602" t="str">
        <f>IF(AND(FORSIDE!$B$8&gt;=20,FORSIDE!$F$8&gt;=10,FORSIDE!$B$5&gt;=1),"2301 -&gt; 2532","")</f>
        <v/>
      </c>
      <c r="C6602" t="str">
        <f>FORSIDE!$C$3</f>
        <v>S355, Stål / VFHUP 140x140x8.0</v>
      </c>
    </row>
    <row r="6603" spans="1:3" x14ac:dyDescent="0.3">
      <c r="A6603" t="str">
        <f>IF(AND(FORSIDE!$B$8&gt;=20,FORSIDE!$F$8&gt;=10,FORSIDE!$B$5&gt;=2),"S6602","")</f>
        <v/>
      </c>
      <c r="B6603" t="str">
        <f>IF(AND(FORSIDE!$B$8&gt;=20,FORSIDE!$F$8&gt;=10,FORSIDE!$B$5&gt;=2),"2302 -&gt; 2533","")</f>
        <v/>
      </c>
      <c r="C6603" t="str">
        <f>FORSIDE!$C$3</f>
        <v>S355, Stål / VFHUP 140x140x8.0</v>
      </c>
    </row>
    <row r="6604" spans="1:3" x14ac:dyDescent="0.3">
      <c r="A6604" t="str">
        <f>IF(AND(FORSIDE!$B$8&gt;=20,FORSIDE!$F$8&gt;=10,FORSIDE!$B$5&gt;=3),"S6603","")</f>
        <v/>
      </c>
      <c r="B6604" t="str">
        <f>IF(AND(FORSIDE!$B$8&gt;=20,FORSIDE!$F$8&gt;=10,FORSIDE!$B$5&gt;=3),"2303 -&gt; 2534","")</f>
        <v/>
      </c>
      <c r="C6604" t="str">
        <f>FORSIDE!$C$3</f>
        <v>S355, Stål / VFHUP 140x140x8.0</v>
      </c>
    </row>
    <row r="6605" spans="1:3" x14ac:dyDescent="0.3">
      <c r="A6605" t="str">
        <f>IF(AND(FORSIDE!$B$8&gt;=20,FORSIDE!$F$8&gt;=10,FORSIDE!$B$5&gt;=4),"S6604","")</f>
        <v/>
      </c>
      <c r="B6605" t="str">
        <f>IF(AND(FORSIDE!$B$8&gt;=20,FORSIDE!$F$8&gt;=10,FORSIDE!$B$5&gt;=4),"2304 -&gt; 2535","")</f>
        <v/>
      </c>
      <c r="C6605" t="str">
        <f>FORSIDE!$C$3</f>
        <v>S355, Stål / VFHUP 140x140x8.0</v>
      </c>
    </row>
    <row r="6606" spans="1:3" x14ac:dyDescent="0.3">
      <c r="A6606" t="str">
        <f>IF(AND(FORSIDE!$B$8&gt;=20,FORSIDE!$F$8&gt;=10,FORSIDE!$B$5&gt;=5),"S6605","")</f>
        <v/>
      </c>
      <c r="B6606" t="str">
        <f>IF(AND(FORSIDE!$B$8&gt;=20,FORSIDE!$F$8&gt;=10,FORSIDE!$B$5&gt;=5),"2305 -&gt; 2536","")</f>
        <v/>
      </c>
      <c r="C6606" t="str">
        <f>FORSIDE!$C$3</f>
        <v>S355, Stål / VFHUP 140x140x8.0</v>
      </c>
    </row>
    <row r="6607" spans="1:3" x14ac:dyDescent="0.3">
      <c r="A6607" t="str">
        <f>IF(AND(FORSIDE!$B$8&gt;=20,FORSIDE!$F$8&gt;=10,FORSIDE!$B$5&gt;=6),"S6606","")</f>
        <v/>
      </c>
      <c r="B6607" t="str">
        <f>IF(AND(FORSIDE!$B$8&gt;=20,FORSIDE!$F$8&gt;=10,FORSIDE!$B$5&gt;=6),"2306 -&gt; 2537","")</f>
        <v/>
      </c>
      <c r="C6607" t="str">
        <f>FORSIDE!$C$3</f>
        <v>S355, Stål / VFHUP 140x140x8.0</v>
      </c>
    </row>
    <row r="6608" spans="1:3" x14ac:dyDescent="0.3">
      <c r="A6608" t="str">
        <f>IF(AND(FORSIDE!$B$8&gt;=20,FORSIDE!$F$8&gt;=10,FORSIDE!$B$5&gt;=7),"S6607","")</f>
        <v/>
      </c>
      <c r="B6608" t="str">
        <f>IF(AND(FORSIDE!$B$8&gt;=20,FORSIDE!$F$8&gt;=10,FORSIDE!$B$5&gt;=7),"2307 -&gt; 2538","")</f>
        <v/>
      </c>
      <c r="C6608" t="str">
        <f>FORSIDE!$C$3</f>
        <v>S355, Stål / VFHUP 140x140x8.0</v>
      </c>
    </row>
    <row r="6609" spans="1:3" x14ac:dyDescent="0.3">
      <c r="A6609" t="str">
        <f>IF(AND(FORSIDE!$B$8&gt;=20,FORSIDE!$F$8&gt;=10,FORSIDE!$B$5&gt;=8),"S6608","")</f>
        <v/>
      </c>
      <c r="B6609" t="str">
        <f>IF(AND(FORSIDE!$B$8&gt;=20,FORSIDE!$F$8&gt;=10,FORSIDE!$B$5&gt;=8),"2308 -&gt; 2539","")</f>
        <v/>
      </c>
      <c r="C6609" t="str">
        <f>FORSIDE!$C$3</f>
        <v>S355, Stål / VFHUP 140x140x8.0</v>
      </c>
    </row>
    <row r="6610" spans="1:3" x14ac:dyDescent="0.3">
      <c r="A6610" t="str">
        <f>IF(AND(FORSIDE!$B$8&gt;=20,FORSIDE!$F$8&gt;=10,FORSIDE!$B$5&gt;=9),"S6609","")</f>
        <v/>
      </c>
      <c r="B6610" t="str">
        <f>IF(AND(FORSIDE!$B$8&gt;=20,FORSIDE!$F$8&gt;=10,FORSIDE!$B$5&gt;=9),"2309 -&gt; 2540","")</f>
        <v/>
      </c>
      <c r="C6610" t="str">
        <f>FORSIDE!$C$3</f>
        <v>S355, Stål / VFHUP 140x140x8.0</v>
      </c>
    </row>
    <row r="6611" spans="1:3" x14ac:dyDescent="0.3">
      <c r="A6611" t="str">
        <f>IF(AND(FORSIDE!$B$8&gt;=20,FORSIDE!$F$8&gt;=10,FORSIDE!$B$5&gt;=10),"S6610","")</f>
        <v/>
      </c>
      <c r="B6611" t="str">
        <f>IF(AND(FORSIDE!$B$8&gt;=20,FORSIDE!$F$8&gt;=10,FORSIDE!$B$5&gt;=10),"2310 -&gt; 2541","")</f>
        <v/>
      </c>
      <c r="C6611" t="str">
        <f>FORSIDE!$C$3</f>
        <v>S355, Stål / VFHUP 140x140x8.0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3">
      <c r="A2">
        <v>1</v>
      </c>
      <c r="B2" t="s">
        <v>61</v>
      </c>
      <c r="C2" t="s">
        <v>61</v>
      </c>
      <c r="D2" t="s">
        <v>61</v>
      </c>
      <c r="E2" t="s">
        <v>61</v>
      </c>
      <c r="F2" t="s">
        <v>61</v>
      </c>
      <c r="G2" t="s">
        <v>61</v>
      </c>
    </row>
    <row r="3" spans="1:7" x14ac:dyDescent="0.3">
      <c r="A3">
        <v>12</v>
      </c>
      <c r="B3" t="s">
        <v>61</v>
      </c>
      <c r="C3" t="s">
        <v>61</v>
      </c>
      <c r="D3" t="s">
        <v>61</v>
      </c>
      <c r="E3" t="s">
        <v>61</v>
      </c>
      <c r="F3" t="s">
        <v>61</v>
      </c>
      <c r="G3" t="s">
        <v>61</v>
      </c>
    </row>
    <row r="4" spans="1:7" x14ac:dyDescent="0.3">
      <c r="A4">
        <v>23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</row>
    <row r="5" spans="1:7" x14ac:dyDescent="0.3">
      <c r="A5">
        <v>34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</row>
    <row r="6" spans="1:7" x14ac:dyDescent="0.3">
      <c r="A6">
        <v>45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</row>
    <row r="7" spans="1:7" x14ac:dyDescent="0.3">
      <c r="A7">
        <v>56</v>
      </c>
      <c r="B7" t="s">
        <v>61</v>
      </c>
      <c r="C7" t="s">
        <v>61</v>
      </c>
      <c r="D7" t="s">
        <v>61</v>
      </c>
      <c r="E7" t="s">
        <v>61</v>
      </c>
      <c r="F7" t="s">
        <v>61</v>
      </c>
      <c r="G7" t="s">
        <v>61</v>
      </c>
    </row>
    <row r="8" spans="1:7" x14ac:dyDescent="0.3">
      <c r="A8">
        <v>67</v>
      </c>
      <c r="B8" t="s">
        <v>61</v>
      </c>
      <c r="C8" t="s">
        <v>61</v>
      </c>
      <c r="D8" t="s">
        <v>61</v>
      </c>
      <c r="E8" t="s">
        <v>61</v>
      </c>
      <c r="F8" t="s">
        <v>61</v>
      </c>
      <c r="G8" t="s">
        <v>61</v>
      </c>
    </row>
    <row r="9" spans="1:7" x14ac:dyDescent="0.3">
      <c r="A9">
        <v>78</v>
      </c>
      <c r="B9" t="s">
        <v>61</v>
      </c>
      <c r="C9" t="s">
        <v>61</v>
      </c>
      <c r="D9" t="s">
        <v>61</v>
      </c>
      <c r="E9" t="s">
        <v>61</v>
      </c>
      <c r="F9" t="s">
        <v>61</v>
      </c>
      <c r="G9" t="s">
        <v>61</v>
      </c>
    </row>
    <row r="10" spans="1:7" x14ac:dyDescent="0.3">
      <c r="A10">
        <v>89</v>
      </c>
      <c r="B10" t="s">
        <v>61</v>
      </c>
      <c r="C10" t="s">
        <v>61</v>
      </c>
      <c r="D10" t="s">
        <v>61</v>
      </c>
      <c r="E10" t="s">
        <v>61</v>
      </c>
      <c r="F10" t="s">
        <v>61</v>
      </c>
      <c r="G10" t="s">
        <v>61</v>
      </c>
    </row>
    <row r="11" spans="1:7" x14ac:dyDescent="0.3">
      <c r="A11">
        <v>100</v>
      </c>
      <c r="B11" t="s">
        <v>61</v>
      </c>
      <c r="C11" t="s">
        <v>61</v>
      </c>
      <c r="D11" t="s">
        <v>61</v>
      </c>
      <c r="E11" t="s">
        <v>61</v>
      </c>
      <c r="F11" t="s">
        <v>61</v>
      </c>
      <c r="G11" t="s">
        <v>61</v>
      </c>
    </row>
    <row r="12" spans="1:7" x14ac:dyDescent="0.3">
      <c r="A12">
        <v>111</v>
      </c>
      <c r="B12" t="s">
        <v>61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</row>
    <row r="13" spans="1:7" x14ac:dyDescent="0.3">
      <c r="A13">
        <v>122</v>
      </c>
      <c r="B13" t="s">
        <v>61</v>
      </c>
      <c r="C13" t="s">
        <v>61</v>
      </c>
      <c r="D13" t="s">
        <v>61</v>
      </c>
      <c r="E13" t="s">
        <v>61</v>
      </c>
      <c r="F13" t="s">
        <v>61</v>
      </c>
      <c r="G13" t="s">
        <v>61</v>
      </c>
    </row>
    <row r="14" spans="1:7" x14ac:dyDescent="0.3">
      <c r="A14">
        <v>133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</row>
    <row r="15" spans="1:7" x14ac:dyDescent="0.3">
      <c r="A15">
        <v>144</v>
      </c>
      <c r="B15" t="s">
        <v>61</v>
      </c>
      <c r="C15" t="s">
        <v>61</v>
      </c>
      <c r="D15" t="s">
        <v>61</v>
      </c>
      <c r="E15" t="s">
        <v>61</v>
      </c>
      <c r="F15" t="s">
        <v>61</v>
      </c>
      <c r="G15" t="s">
        <v>61</v>
      </c>
    </row>
    <row r="16" spans="1:7" x14ac:dyDescent="0.3">
      <c r="A16">
        <v>155</v>
      </c>
      <c r="B16" t="s">
        <v>61</v>
      </c>
      <c r="C16" t="s">
        <v>61</v>
      </c>
      <c r="D16" t="s">
        <v>61</v>
      </c>
      <c r="E16" t="s">
        <v>61</v>
      </c>
      <c r="F16" t="s">
        <v>61</v>
      </c>
      <c r="G16" t="s">
        <v>61</v>
      </c>
    </row>
    <row r="17" spans="1:7" x14ac:dyDescent="0.3">
      <c r="A17">
        <v>166</v>
      </c>
      <c r="B17" t="s">
        <v>61</v>
      </c>
      <c r="C17" t="s">
        <v>61</v>
      </c>
      <c r="D17" t="s">
        <v>61</v>
      </c>
      <c r="E17" t="s">
        <v>61</v>
      </c>
      <c r="F17" t="s">
        <v>61</v>
      </c>
      <c r="G17" t="s">
        <v>61</v>
      </c>
    </row>
    <row r="18" spans="1:7" x14ac:dyDescent="0.3">
      <c r="A18">
        <v>177</v>
      </c>
      <c r="B18" t="s">
        <v>61</v>
      </c>
      <c r="C18" t="s">
        <v>61</v>
      </c>
      <c r="D18" t="s">
        <v>61</v>
      </c>
      <c r="E18" t="s">
        <v>61</v>
      </c>
      <c r="F18" t="s">
        <v>61</v>
      </c>
      <c r="G18" t="s">
        <v>61</v>
      </c>
    </row>
    <row r="19" spans="1:7" x14ac:dyDescent="0.3">
      <c r="A19">
        <v>188</v>
      </c>
      <c r="B19" t="s">
        <v>61</v>
      </c>
      <c r="C19" t="s">
        <v>61</v>
      </c>
      <c r="D19" t="s">
        <v>61</v>
      </c>
      <c r="E19" t="s">
        <v>61</v>
      </c>
      <c r="F19" t="s">
        <v>61</v>
      </c>
      <c r="G19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48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3">
      <c r="A2" t="s">
        <v>68</v>
      </c>
      <c r="B2" t="s">
        <v>69</v>
      </c>
      <c r="C2" t="s">
        <v>70</v>
      </c>
      <c r="D2">
        <v>1</v>
      </c>
      <c r="E2">
        <v>1</v>
      </c>
      <c r="F2">
        <v>1</v>
      </c>
      <c r="G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85</v>
      </c>
    </row>
    <row r="2" spans="1:1" x14ac:dyDescent="0.3">
      <c r="A2" t="s">
        <v>85</v>
      </c>
    </row>
    <row r="3" spans="1:1" x14ac:dyDescent="0.3">
      <c r="A3" t="s">
        <v>86</v>
      </c>
    </row>
    <row r="4" spans="1:1" x14ac:dyDescent="0.3">
      <c r="A4" t="e">
        <f ca="1">_xludf.CONCAT("Knutepunkter maks: ",198)</f>
        <v>#NAME?</v>
      </c>
    </row>
    <row r="5" spans="1:1" x14ac:dyDescent="0.3">
      <c r="A5" t="e">
        <f ca="1">_xludf.CONCAT("Segmenter maks: ",430)</f>
        <v>#NAME?</v>
      </c>
    </row>
    <row r="6" spans="1:1" x14ac:dyDescent="0.3">
      <c r="A6" t="e">
        <f ca="1">_xludf.CONCAT("Søylesegmenter maks: ",180)</f>
        <v>#NAME?</v>
      </c>
    </row>
    <row r="7" spans="1:1" x14ac:dyDescent="0.3">
      <c r="A7" t="e">
        <f ca="1">_xludf.CONCAT("Valgt etasjetall: ",FORSIDE!B5)</f>
        <v>#NAME?</v>
      </c>
    </row>
    <row r="8" spans="1:1" x14ac:dyDescent="0.3">
      <c r="A8" t="e">
        <f ca="1">_xludf.CONCAT("Etasjehøyde 1: ",FORSIDE!B6," mm")</f>
        <v>#NAME?</v>
      </c>
    </row>
    <row r="9" spans="1:1" x14ac:dyDescent="0.3">
      <c r="A9" t="e">
        <f ca="1">_xludf.CONCAT("Standard etasjehøyde: ",FORSIDE!B7," mm")</f>
        <v>#NAME?</v>
      </c>
    </row>
    <row r="10" spans="1:1" x14ac:dyDescent="0.3">
      <c r="A10" t="s">
        <v>87</v>
      </c>
    </row>
    <row r="11" spans="1:1" x14ac:dyDescent="0.3">
      <c r="A11" t="s">
        <v>88</v>
      </c>
    </row>
    <row r="12" spans="1:1" x14ac:dyDescent="0.3">
      <c r="A12" t="s">
        <v>89</v>
      </c>
    </row>
    <row r="13" spans="1:1" x14ac:dyDescent="0.3">
      <c r="A13" t="s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91</v>
      </c>
      <c r="B1" s="1" t="s">
        <v>92</v>
      </c>
    </row>
    <row r="2" spans="1:2" x14ac:dyDescent="0.3">
      <c r="A2" t="s">
        <v>93</v>
      </c>
      <c r="B2" t="s">
        <v>94</v>
      </c>
    </row>
    <row r="3" spans="1:2" x14ac:dyDescent="0.3">
      <c r="A3" t="s">
        <v>95</v>
      </c>
      <c r="B3" t="s">
        <v>96</v>
      </c>
    </row>
    <row r="4" spans="1:2" x14ac:dyDescent="0.3">
      <c r="A4" t="s">
        <v>97</v>
      </c>
      <c r="B4" t="s">
        <v>98</v>
      </c>
    </row>
    <row r="5" spans="1:2" x14ac:dyDescent="0.3">
      <c r="A5" t="s">
        <v>99</v>
      </c>
      <c r="B5" t="s">
        <v>100</v>
      </c>
    </row>
    <row r="6" spans="1:2" x14ac:dyDescent="0.3">
      <c r="A6" t="s">
        <v>52</v>
      </c>
      <c r="B6">
        <v>90</v>
      </c>
    </row>
    <row r="7" spans="1:2" x14ac:dyDescent="0.3">
      <c r="A7" t="s">
        <v>101</v>
      </c>
      <c r="B7">
        <v>172</v>
      </c>
    </row>
    <row r="8" spans="1:2" x14ac:dyDescent="0.3">
      <c r="A8" t="s">
        <v>102</v>
      </c>
      <c r="B8">
        <v>72</v>
      </c>
    </row>
    <row r="9" spans="1:2" x14ac:dyDescent="0.3">
      <c r="A9" t="s">
        <v>103</v>
      </c>
      <c r="B9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tabSelected="1" zoomScale="85" zoomScaleNormal="85" workbookViewId="0">
      <selection activeCell="B8" sqref="B8"/>
    </sheetView>
  </sheetViews>
  <sheetFormatPr baseColWidth="10" defaultColWidth="8.88671875" defaultRowHeight="14.4" x14ac:dyDescent="0.3"/>
  <cols>
    <col min="1" max="1" width="36" customWidth="1"/>
    <col min="2" max="2" width="44.33203125" customWidth="1"/>
    <col min="3" max="3" width="33.6640625" customWidth="1"/>
    <col min="4" max="4" width="24" customWidth="1"/>
    <col min="5" max="5" width="45.77734375" customWidth="1"/>
  </cols>
  <sheetData>
    <row r="1" spans="1:7" ht="18" customHeight="1" x14ac:dyDescent="0.35">
      <c r="A1" s="14" t="s">
        <v>0</v>
      </c>
      <c r="B1" s="15"/>
      <c r="C1" s="15"/>
      <c r="D1" s="15"/>
    </row>
    <row r="3" spans="1:7" x14ac:dyDescent="0.3">
      <c r="A3" s="3" t="s">
        <v>1</v>
      </c>
      <c r="B3" s="4" t="s">
        <v>2</v>
      </c>
      <c r="C3" s="5" t="str">
        <f>IF(B3="Stål",$B$10,$B$11)</f>
        <v>S355, Stål / VFHUP 140x140x8.0</v>
      </c>
      <c r="D3" s="6"/>
    </row>
    <row r="4" spans="1:7" x14ac:dyDescent="0.3">
      <c r="A4" s="3" t="s">
        <v>3</v>
      </c>
      <c r="B4" s="4" t="s">
        <v>2</v>
      </c>
      <c r="C4" s="5" t="str">
        <f>IF(B4="Stål",$B$12,$B$13)</f>
        <v>S355, Stål / KFHUP 180x180x12.5</v>
      </c>
      <c r="D4" s="6"/>
    </row>
    <row r="5" spans="1:7" x14ac:dyDescent="0.3">
      <c r="A5" s="3" t="s">
        <v>4</v>
      </c>
      <c r="B5" s="4">
        <v>6</v>
      </c>
      <c r="C5" s="5" t="s">
        <v>5</v>
      </c>
    </row>
    <row r="6" spans="1:7" x14ac:dyDescent="0.3">
      <c r="A6" s="3" t="s">
        <v>6</v>
      </c>
      <c r="B6" s="4">
        <v>3000</v>
      </c>
    </row>
    <row r="7" spans="1:7" x14ac:dyDescent="0.3">
      <c r="A7" s="3" t="s">
        <v>7</v>
      </c>
      <c r="B7" s="4">
        <v>3000</v>
      </c>
    </row>
    <row r="8" spans="1:7" x14ac:dyDescent="0.3">
      <c r="A8" t="s">
        <v>8</v>
      </c>
      <c r="B8">
        <v>4</v>
      </c>
      <c r="C8" t="s">
        <v>9</v>
      </c>
      <c r="E8" t="s">
        <v>10</v>
      </c>
      <c r="F8">
        <v>2</v>
      </c>
      <c r="G8" t="s">
        <v>11</v>
      </c>
    </row>
    <row r="9" spans="1:7" x14ac:dyDescent="0.3">
      <c r="A9" t="s">
        <v>12</v>
      </c>
      <c r="B9">
        <v>8000</v>
      </c>
      <c r="C9" t="s">
        <v>13</v>
      </c>
      <c r="E9" t="s">
        <v>14</v>
      </c>
      <c r="F9">
        <v>12000</v>
      </c>
      <c r="G9" t="s">
        <v>15</v>
      </c>
    </row>
    <row r="10" spans="1:7" x14ac:dyDescent="0.3">
      <c r="A10" s="7" t="s">
        <v>16</v>
      </c>
      <c r="B10" s="8" t="str">
        <f>"S355, Stål / "&amp;$B$19</f>
        <v>S355, Stål / VFHUP 140x140x8.0</v>
      </c>
      <c r="C10" s="6"/>
      <c r="D10" s="6"/>
    </row>
    <row r="11" spans="1:7" x14ac:dyDescent="0.3">
      <c r="A11" s="7" t="s">
        <v>17</v>
      </c>
      <c r="B11" s="8" t="str">
        <f>"GL30c, Limtre / "&amp;$B$20</f>
        <v>GL30c, Limtre / Limtre 115x585</v>
      </c>
      <c r="C11" s="6"/>
      <c r="D11" s="6"/>
    </row>
    <row r="12" spans="1:7" x14ac:dyDescent="0.3">
      <c r="A12" s="7" t="s">
        <v>18</v>
      </c>
      <c r="B12" s="8" t="str">
        <f>"S355, Stål / "&amp;$B$21</f>
        <v>S355, Stål / KFHUP 180x180x12.5</v>
      </c>
      <c r="C12" s="6"/>
      <c r="D12" s="6"/>
    </row>
    <row r="13" spans="1:7" x14ac:dyDescent="0.3">
      <c r="A13" s="7" t="s">
        <v>19</v>
      </c>
      <c r="B13" s="16" t="str">
        <f>"GL30c, Limtre / "&amp;$B$22</f>
        <v>GL30c, Limtre / Limtre 90x315</v>
      </c>
      <c r="C13" s="17"/>
      <c r="D13" s="18"/>
    </row>
    <row r="16" spans="1:7" x14ac:dyDescent="0.3">
      <c r="A16" s="7" t="s">
        <v>20</v>
      </c>
      <c r="B16" s="6" t="s">
        <v>21</v>
      </c>
      <c r="C16" s="9"/>
      <c r="D16" s="10"/>
    </row>
    <row r="18" spans="1:5" ht="18" customHeight="1" x14ac:dyDescent="0.35">
      <c r="A18" s="2" t="s">
        <v>22</v>
      </c>
      <c r="B18" s="2"/>
      <c r="C18" s="2"/>
    </row>
    <row r="19" spans="1:5" x14ac:dyDescent="0.3">
      <c r="A19" s="3" t="s">
        <v>23</v>
      </c>
      <c r="B19" s="4" t="s">
        <v>24</v>
      </c>
      <c r="C19" s="5" t="s">
        <v>25</v>
      </c>
      <c r="D19" s="7" t="s">
        <v>26</v>
      </c>
      <c r="E19" s="8"/>
    </row>
    <row r="20" spans="1:5" x14ac:dyDescent="0.3">
      <c r="A20" s="3" t="s">
        <v>27</v>
      </c>
      <c r="B20" s="4" t="s">
        <v>28</v>
      </c>
      <c r="C20" s="5" t="s">
        <v>29</v>
      </c>
      <c r="D20" s="7" t="s">
        <v>30</v>
      </c>
      <c r="E20" s="8"/>
    </row>
    <row r="21" spans="1:5" x14ac:dyDescent="0.3">
      <c r="A21" s="3" t="s">
        <v>31</v>
      </c>
      <c r="B21" s="4" t="s">
        <v>32</v>
      </c>
      <c r="C21" s="5" t="s">
        <v>33</v>
      </c>
      <c r="D21" s="7" t="s">
        <v>34</v>
      </c>
      <c r="E21" s="8"/>
    </row>
    <row r="22" spans="1:5" x14ac:dyDescent="0.3">
      <c r="A22" s="3" t="s">
        <v>35</v>
      </c>
      <c r="B22" s="4" t="s">
        <v>36</v>
      </c>
      <c r="C22" s="5" t="s">
        <v>37</v>
      </c>
      <c r="D22" s="7" t="s">
        <v>38</v>
      </c>
      <c r="E22" s="8"/>
    </row>
    <row r="24" spans="1:5" ht="18" customHeight="1" x14ac:dyDescent="0.35">
      <c r="A24" s="2" t="s">
        <v>39</v>
      </c>
      <c r="B24" s="2"/>
      <c r="C24" s="2"/>
    </row>
    <row r="25" spans="1:5" x14ac:dyDescent="0.3">
      <c r="A25" s="3" t="s">
        <v>40</v>
      </c>
      <c r="B25" s="4">
        <f>MENGDER!Q2</f>
        <v>1296</v>
      </c>
      <c r="C25" s="5"/>
    </row>
    <row r="26" spans="1:5" x14ac:dyDescent="0.3">
      <c r="A26" s="3" t="s">
        <v>41</v>
      </c>
      <c r="B26" s="4">
        <f>MENGDER!Q3</f>
        <v>270</v>
      </c>
      <c r="C26" s="5"/>
    </row>
    <row r="27" spans="1:5" x14ac:dyDescent="0.3">
      <c r="A27" s="3" t="s">
        <v>42</v>
      </c>
      <c r="B27" s="4">
        <f>MENGDER!Q4</f>
        <v>0</v>
      </c>
      <c r="C27" s="5"/>
    </row>
    <row r="28" spans="1:5" x14ac:dyDescent="0.3">
      <c r="A28" s="11" t="s">
        <v>43</v>
      </c>
      <c r="B28" s="4">
        <f>MENGDER!Q5</f>
        <v>0</v>
      </c>
      <c r="C28" s="5"/>
    </row>
    <row r="29" spans="1:5" x14ac:dyDescent="0.3">
      <c r="A29" s="13" t="s">
        <v>44</v>
      </c>
      <c r="B29">
        <f>MENGDER!Q6</f>
        <v>0</v>
      </c>
    </row>
    <row r="30" spans="1:5" x14ac:dyDescent="0.3">
      <c r="A30" s="11" t="s">
        <v>45</v>
      </c>
      <c r="B30" s="6">
        <f>MENGDER!Q7</f>
        <v>0</v>
      </c>
    </row>
    <row r="31" spans="1:5" x14ac:dyDescent="0.3">
      <c r="A31" s="12" t="s">
        <v>46</v>
      </c>
      <c r="B31" t="str">
        <f>IF(B3="Stål",TEXT(B27,"0")&amp;" kg",TEXT(B28,"0.000")&amp;" m3")</f>
        <v>0 kg</v>
      </c>
    </row>
    <row r="32" spans="1:5" x14ac:dyDescent="0.3">
      <c r="A32" s="12" t="s">
        <v>47</v>
      </c>
      <c r="B32" t="str">
        <f>IF(B4="Stål",TEXT(B29,"0")&amp;" kg",TEXT(B30,"0.000")&amp;" m3")</f>
        <v>0 kg</v>
      </c>
    </row>
  </sheetData>
  <mergeCells count="2">
    <mergeCell ref="A1:D1"/>
    <mergeCell ref="B13:D13"/>
  </mergeCells>
  <dataValidations count="7">
    <dataValidation type="list" sqref="B3 B4" xr:uid="{00000000-0002-0000-0700-000000000000}">
      <formula1>"Stål,Limtre"</formula1>
    </dataValidation>
    <dataValidation type="list" sqref="B5 F8" xr:uid="{00000000-0002-0000-0700-000001000000}">
      <formula1>"1,2,3,4,5,6,7,8,9,10"</formula1>
    </dataValidation>
    <dataValidation type="list" sqref="B19" xr:uid="{00000000-0002-0000-0700-000002000000}">
      <formula1>"VFHUP 70x70x3.2,VFHUP 80x80x4.0,VFHUP 90x90x5.0,VFHUP 100x100x5.0,VFHUP 120x120x6.3,VFHUP 140x140x8.0"</formula1>
    </dataValidation>
    <dataValidation type="list" sqref="B20" xr:uid="{00000000-0002-0000-0700-000003000000}">
      <formula1>"Limtre 115x225,Limtre 115x315,Limtre 115x405,Limtre 115x495,Limtre 115x585"</formula1>
    </dataValidation>
    <dataValidation type="list" sqref="B21" xr:uid="{00000000-0002-0000-0700-000004000000}">
      <formula1>"KFHUP 120x120x8,KFHUP 150x150x8,KFHUP 150x150x12.5,KFHUP 160x160x10,KFHUP 180x180x12.5"</formula1>
    </dataValidation>
    <dataValidation type="list" sqref="B22" xr:uid="{00000000-0002-0000-0700-000005000000}">
      <formula1>"Limtre 90x200,Limtre 90x315,Limtre 90x405,Limtre 90x495,Limtre 90x585"</formula1>
    </dataValidation>
    <dataValidation type="list" sqref="B8" xr:uid="{00000000-0002-0000-0700-000006000000}">
      <formula1>"1,2,3,4,5,6,7,8,9,10,11,12,13,14,15,16,17,18,19,20"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611"/>
  <sheetViews>
    <sheetView workbookViewId="0"/>
  </sheetViews>
  <sheetFormatPr baseColWidth="10" defaultColWidth="8.88671875" defaultRowHeight="14.4" x14ac:dyDescent="0.3"/>
  <sheetData>
    <row r="1" spans="1:17" x14ac:dyDescent="0.3">
      <c r="A1" t="s">
        <v>105</v>
      </c>
      <c r="B1" t="s">
        <v>52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P1" t="s">
        <v>117</v>
      </c>
      <c r="Q1" t="s">
        <v>118</v>
      </c>
    </row>
    <row r="2" spans="1:17" x14ac:dyDescent="0.3">
      <c r="A2" t="str">
        <f>Segmenter!A2</f>
        <v>S1</v>
      </c>
      <c r="B2" t="str">
        <f>Segmenter!B2</f>
        <v>1 -&gt; 2</v>
      </c>
      <c r="C2" t="str">
        <f t="shared" ref="C2:C65" si="0">IF(B2="","",IF(AND(F2=I2,G2=J2,H2&lt;&gt;K2),"Søyle","Bjelke"))</f>
        <v>Søyle</v>
      </c>
      <c r="D2">
        <f t="shared" ref="D2:D65" si="1">IF(B2="","",VALUE(LEFT(B2,FIND(" -&gt; ",B2)-1)))</f>
        <v>1</v>
      </c>
      <c r="E2">
        <f t="shared" ref="E2:E65" si="2">IF(B2="","",VALUE(MID(B2,FIND(" -&gt; ",B2)+4,99)))</f>
        <v>2</v>
      </c>
      <c r="F2">
        <f>IF(D2="","",INDEX(Knutepunkter!$B:$B,D2+1))</f>
        <v>354</v>
      </c>
      <c r="G2">
        <f>IF(D2="","",INDEX(Knutepunkter!$C:$C,D2+1))</f>
        <v>0</v>
      </c>
      <c r="H2">
        <f>IF(D2="","",INDEX(Knutepunkter!$D:$D,D2+1))</f>
        <v>0</v>
      </c>
      <c r="I2">
        <f>IF(E2="","",INDEX(Knutepunkter!$B:$B,E2+1))</f>
        <v>354</v>
      </c>
      <c r="J2">
        <f>IF(E2="","",INDEX(Knutepunkter!$C:$C,E2+1))</f>
        <v>0</v>
      </c>
      <c r="K2">
        <f>IF(E2="","",INDEX(Knutepunkter!$D:$D,E2+1))</f>
        <v>3000</v>
      </c>
      <c r="L2">
        <f t="shared" ref="L2:L65" si="3">IF(B2="","",SQRT((I2-F2)^2+(J2-G2)^2+(K2-H2)^2))</f>
        <v>3000</v>
      </c>
      <c r="M2">
        <f t="shared" ref="M2:M65" si="4">IF(L2="","",L2/1000)</f>
        <v>3</v>
      </c>
      <c r="P2" t="s">
        <v>40</v>
      </c>
      <c r="Q2">
        <f>SUMIFS(M:M,C:C,"Bjelke",A:A,"&lt;&gt;")</f>
        <v>1296</v>
      </c>
    </row>
    <row r="3" spans="1:17" x14ac:dyDescent="0.3">
      <c r="A3" t="str">
        <f>Segmenter!A3</f>
        <v>S2</v>
      </c>
      <c r="B3" t="str">
        <f>Segmenter!B3</f>
        <v>2 -&gt; 3</v>
      </c>
      <c r="C3" t="str">
        <f t="shared" si="0"/>
        <v>Søyle</v>
      </c>
      <c r="D3">
        <f t="shared" si="1"/>
        <v>2</v>
      </c>
      <c r="E3">
        <f t="shared" si="2"/>
        <v>3</v>
      </c>
      <c r="F3">
        <f>IF(D3="","",INDEX(Knutepunkter!$B:$B,D3+1))</f>
        <v>354</v>
      </c>
      <c r="G3">
        <f>IF(D3="","",INDEX(Knutepunkter!$C:$C,D3+1))</f>
        <v>0</v>
      </c>
      <c r="H3">
        <f>IF(D3="","",INDEX(Knutepunkter!$D:$D,D3+1))</f>
        <v>3000</v>
      </c>
      <c r="I3">
        <f>IF(E3="","",INDEX(Knutepunkter!$B:$B,E3+1))</f>
        <v>354</v>
      </c>
      <c r="J3">
        <f>IF(E3="","",INDEX(Knutepunkter!$C:$C,E3+1))</f>
        <v>0</v>
      </c>
      <c r="K3">
        <f>IF(E3="","",INDEX(Knutepunkter!$D:$D,E3+1))</f>
        <v>6000</v>
      </c>
      <c r="L3">
        <f t="shared" si="3"/>
        <v>3000</v>
      </c>
      <c r="M3">
        <f t="shared" si="4"/>
        <v>3</v>
      </c>
      <c r="P3" t="s">
        <v>41</v>
      </c>
      <c r="Q3">
        <f>SUMIFS(M:M,C:C,"Søyle",A:A,"&lt;&gt;")</f>
        <v>270</v>
      </c>
    </row>
    <row r="4" spans="1:17" x14ac:dyDescent="0.3">
      <c r="A4" t="str">
        <f>Segmenter!A4</f>
        <v>S3</v>
      </c>
      <c r="B4" t="str">
        <f>Segmenter!B4</f>
        <v>3 -&gt; 4</v>
      </c>
      <c r="C4" t="str">
        <f t="shared" si="0"/>
        <v>Søyle</v>
      </c>
      <c r="D4">
        <f t="shared" si="1"/>
        <v>3</v>
      </c>
      <c r="E4">
        <f t="shared" si="2"/>
        <v>4</v>
      </c>
      <c r="F4">
        <f>IF(D4="","",INDEX(Knutepunkter!$B:$B,D4+1))</f>
        <v>354</v>
      </c>
      <c r="G4">
        <f>IF(D4="","",INDEX(Knutepunkter!$C:$C,D4+1))</f>
        <v>0</v>
      </c>
      <c r="H4">
        <f>IF(D4="","",INDEX(Knutepunkter!$D:$D,D4+1))</f>
        <v>6000</v>
      </c>
      <c r="I4">
        <f>IF(E4="","",INDEX(Knutepunkter!$B:$B,E4+1))</f>
        <v>354</v>
      </c>
      <c r="J4">
        <f>IF(E4="","",INDEX(Knutepunkter!$C:$C,E4+1))</f>
        <v>0</v>
      </c>
      <c r="K4">
        <f>IF(E4="","",INDEX(Knutepunkter!$D:$D,E4+1))</f>
        <v>9000</v>
      </c>
      <c r="L4">
        <f t="shared" si="3"/>
        <v>3000</v>
      </c>
      <c r="M4">
        <f t="shared" si="4"/>
        <v>3</v>
      </c>
      <c r="P4" t="s">
        <v>42</v>
      </c>
      <c r="Q4">
        <f>IF(FORSIDE!B3="Stål",ROUND(Q2*FORSIDE!E19/1000000*7850,0),0)</f>
        <v>0</v>
      </c>
    </row>
    <row r="5" spans="1:17" x14ac:dyDescent="0.3">
      <c r="A5" t="str">
        <f>Segmenter!A5</f>
        <v>S4</v>
      </c>
      <c r="B5" t="str">
        <f>Segmenter!B5</f>
        <v>4 -&gt; 5</v>
      </c>
      <c r="C5" t="str">
        <f t="shared" si="0"/>
        <v>Søyle</v>
      </c>
      <c r="D5">
        <f t="shared" si="1"/>
        <v>4</v>
      </c>
      <c r="E5">
        <f t="shared" si="2"/>
        <v>5</v>
      </c>
      <c r="F5">
        <f>IF(D5="","",INDEX(Knutepunkter!$B:$B,D5+1))</f>
        <v>354</v>
      </c>
      <c r="G5">
        <f>IF(D5="","",INDEX(Knutepunkter!$C:$C,D5+1))</f>
        <v>0</v>
      </c>
      <c r="H5">
        <f>IF(D5="","",INDEX(Knutepunkter!$D:$D,D5+1))</f>
        <v>9000</v>
      </c>
      <c r="I5">
        <f>IF(E5="","",INDEX(Knutepunkter!$B:$B,E5+1))</f>
        <v>354</v>
      </c>
      <c r="J5">
        <f>IF(E5="","",INDEX(Knutepunkter!$C:$C,E5+1))</f>
        <v>0</v>
      </c>
      <c r="K5">
        <f>IF(E5="","",INDEX(Knutepunkter!$D:$D,E5+1))</f>
        <v>12000</v>
      </c>
      <c r="L5">
        <f t="shared" si="3"/>
        <v>3000</v>
      </c>
      <c r="M5">
        <f t="shared" si="4"/>
        <v>3</v>
      </c>
      <c r="P5" t="s">
        <v>43</v>
      </c>
      <c r="Q5">
        <f>IF(FORSIDE!B3="Limtre",ROUND(Q2*FORSIDE!E20/1000000,3),0)</f>
        <v>0</v>
      </c>
    </row>
    <row r="6" spans="1:17" x14ac:dyDescent="0.3">
      <c r="A6" t="str">
        <f>Segmenter!A6</f>
        <v>S5</v>
      </c>
      <c r="B6" t="str">
        <f>Segmenter!B6</f>
        <v>5 -&gt; 6</v>
      </c>
      <c r="C6" t="str">
        <f t="shared" si="0"/>
        <v>Søyle</v>
      </c>
      <c r="D6">
        <f t="shared" si="1"/>
        <v>5</v>
      </c>
      <c r="E6">
        <f t="shared" si="2"/>
        <v>6</v>
      </c>
      <c r="F6">
        <f>IF(D6="","",INDEX(Knutepunkter!$B:$B,D6+1))</f>
        <v>354</v>
      </c>
      <c r="G6">
        <f>IF(D6="","",INDEX(Knutepunkter!$C:$C,D6+1))</f>
        <v>0</v>
      </c>
      <c r="H6">
        <f>IF(D6="","",INDEX(Knutepunkter!$D:$D,D6+1))</f>
        <v>12000</v>
      </c>
      <c r="I6">
        <f>IF(E6="","",INDEX(Knutepunkter!$B:$B,E6+1))</f>
        <v>354</v>
      </c>
      <c r="J6">
        <f>IF(E6="","",INDEX(Knutepunkter!$C:$C,E6+1))</f>
        <v>0</v>
      </c>
      <c r="K6">
        <f>IF(E6="","",INDEX(Knutepunkter!$D:$D,E6+1))</f>
        <v>15000</v>
      </c>
      <c r="L6">
        <f t="shared" si="3"/>
        <v>3000</v>
      </c>
      <c r="M6">
        <f t="shared" si="4"/>
        <v>3</v>
      </c>
      <c r="P6" t="s">
        <v>44</v>
      </c>
      <c r="Q6">
        <f>IF(FORSIDE!B4="Stål",ROUND(Q3*FORSIDE!E21/1000000*7850,0),0)</f>
        <v>0</v>
      </c>
    </row>
    <row r="7" spans="1:17" x14ac:dyDescent="0.3">
      <c r="A7" t="str">
        <f>Segmenter!A7</f>
        <v>S6</v>
      </c>
      <c r="B7" t="str">
        <f>Segmenter!B7</f>
        <v>6 -&gt; 7</v>
      </c>
      <c r="C7" t="str">
        <f t="shared" si="0"/>
        <v>Søyle</v>
      </c>
      <c r="D7">
        <f t="shared" si="1"/>
        <v>6</v>
      </c>
      <c r="E7">
        <f t="shared" si="2"/>
        <v>7</v>
      </c>
      <c r="F7">
        <f>IF(D7="","",INDEX(Knutepunkter!$B:$B,D7+1))</f>
        <v>354</v>
      </c>
      <c r="G7">
        <f>IF(D7="","",INDEX(Knutepunkter!$C:$C,D7+1))</f>
        <v>0</v>
      </c>
      <c r="H7">
        <f>IF(D7="","",INDEX(Knutepunkter!$D:$D,D7+1))</f>
        <v>15000</v>
      </c>
      <c r="I7">
        <f>IF(E7="","",INDEX(Knutepunkter!$B:$B,E7+1))</f>
        <v>354</v>
      </c>
      <c r="J7">
        <f>IF(E7="","",INDEX(Knutepunkter!$C:$C,E7+1))</f>
        <v>0</v>
      </c>
      <c r="K7">
        <f>IF(E7="","",INDEX(Knutepunkter!$D:$D,E7+1))</f>
        <v>18000</v>
      </c>
      <c r="L7">
        <f t="shared" si="3"/>
        <v>3000</v>
      </c>
      <c r="M7">
        <f t="shared" si="4"/>
        <v>3</v>
      </c>
      <c r="P7" t="s">
        <v>45</v>
      </c>
      <c r="Q7">
        <f>IF(FORSIDE!B4="Limtre",ROUND(Q3*FORSIDE!E22/1000000,3),0)</f>
        <v>0</v>
      </c>
    </row>
    <row r="8" spans="1:17" x14ac:dyDescent="0.3">
      <c r="A8" t="str">
        <f>Segmenter!A8</f>
        <v/>
      </c>
      <c r="B8" t="str">
        <f>Segmenter!B8</f>
        <v/>
      </c>
      <c r="C8" t="str">
        <f t="shared" si="0"/>
        <v/>
      </c>
      <c r="D8" t="str">
        <f t="shared" si="1"/>
        <v/>
      </c>
      <c r="E8" t="str">
        <f t="shared" si="2"/>
        <v/>
      </c>
      <c r="F8" t="str">
        <f>IF(D8="","",INDEX(Knutepunkter!$B:$B,D8+1))</f>
        <v/>
      </c>
      <c r="G8" t="str">
        <f>IF(D8="","",INDEX(Knutepunkter!$C:$C,D8+1))</f>
        <v/>
      </c>
      <c r="H8" t="str">
        <f>IF(D8="","",INDEX(Knutepunkter!$D:$D,D8+1))</f>
        <v/>
      </c>
      <c r="I8" t="str">
        <f>IF(E8="","",INDEX(Knutepunkter!$B:$B,E8+1))</f>
        <v/>
      </c>
      <c r="J8" t="str">
        <f>IF(E8="","",INDEX(Knutepunkter!$C:$C,E8+1))</f>
        <v/>
      </c>
      <c r="K8" t="str">
        <f>IF(E8="","",INDEX(Knutepunkter!$D:$D,E8+1))</f>
        <v/>
      </c>
      <c r="L8" t="str">
        <f t="shared" si="3"/>
        <v/>
      </c>
      <c r="M8" t="str">
        <f t="shared" si="4"/>
        <v/>
      </c>
    </row>
    <row r="9" spans="1:17" x14ac:dyDescent="0.3">
      <c r="A9" t="str">
        <f>Segmenter!A9</f>
        <v/>
      </c>
      <c r="B9" t="str">
        <f>Segmenter!B9</f>
        <v/>
      </c>
      <c r="C9" t="str">
        <f t="shared" si="0"/>
        <v/>
      </c>
      <c r="D9" t="str">
        <f t="shared" si="1"/>
        <v/>
      </c>
      <c r="E9" t="str">
        <f t="shared" si="2"/>
        <v/>
      </c>
      <c r="F9" t="str">
        <f>IF(D9="","",INDEX(Knutepunkter!$B:$B,D9+1))</f>
        <v/>
      </c>
      <c r="G9" t="str">
        <f>IF(D9="","",INDEX(Knutepunkter!$C:$C,D9+1))</f>
        <v/>
      </c>
      <c r="H9" t="str">
        <f>IF(D9="","",INDEX(Knutepunkter!$D:$D,D9+1))</f>
        <v/>
      </c>
      <c r="I9" t="str">
        <f>IF(E9="","",INDEX(Knutepunkter!$B:$B,E9+1))</f>
        <v/>
      </c>
      <c r="J9" t="str">
        <f>IF(E9="","",INDEX(Knutepunkter!$C:$C,E9+1))</f>
        <v/>
      </c>
      <c r="K9" t="str">
        <f>IF(E9="","",INDEX(Knutepunkter!$D:$D,E9+1))</f>
        <v/>
      </c>
      <c r="L9" t="str">
        <f t="shared" si="3"/>
        <v/>
      </c>
      <c r="M9" t="str">
        <f t="shared" si="4"/>
        <v/>
      </c>
    </row>
    <row r="10" spans="1:17" x14ac:dyDescent="0.3">
      <c r="A10" t="str">
        <f>Segmenter!A10</f>
        <v/>
      </c>
      <c r="B10" t="str">
        <f>Segmenter!B10</f>
        <v/>
      </c>
      <c r="C10" t="str">
        <f t="shared" si="0"/>
        <v/>
      </c>
      <c r="D10" t="str">
        <f t="shared" si="1"/>
        <v/>
      </c>
      <c r="E10" t="str">
        <f t="shared" si="2"/>
        <v/>
      </c>
      <c r="F10" t="str">
        <f>IF(D10="","",INDEX(Knutepunkter!$B:$B,D10+1))</f>
        <v/>
      </c>
      <c r="G10" t="str">
        <f>IF(D10="","",INDEX(Knutepunkter!$C:$C,D10+1))</f>
        <v/>
      </c>
      <c r="H10" t="str">
        <f>IF(D10="","",INDEX(Knutepunkter!$D:$D,D10+1))</f>
        <v/>
      </c>
      <c r="I10" t="str">
        <f>IF(E10="","",INDEX(Knutepunkter!$B:$B,E10+1))</f>
        <v/>
      </c>
      <c r="J10" t="str">
        <f>IF(E10="","",INDEX(Knutepunkter!$C:$C,E10+1))</f>
        <v/>
      </c>
      <c r="K10" t="str">
        <f>IF(E10="","",INDEX(Knutepunkter!$D:$D,E10+1))</f>
        <v/>
      </c>
      <c r="L10" t="str">
        <f t="shared" si="3"/>
        <v/>
      </c>
      <c r="M10" t="str">
        <f t="shared" si="4"/>
        <v/>
      </c>
    </row>
    <row r="11" spans="1:17" x14ac:dyDescent="0.3">
      <c r="A11" t="str">
        <f>Segmenter!A11</f>
        <v/>
      </c>
      <c r="B11" t="str">
        <f>Segmenter!B11</f>
        <v/>
      </c>
      <c r="C11" t="str">
        <f t="shared" si="0"/>
        <v/>
      </c>
      <c r="D11" t="str">
        <f t="shared" si="1"/>
        <v/>
      </c>
      <c r="E11" t="str">
        <f t="shared" si="2"/>
        <v/>
      </c>
      <c r="F11" t="str">
        <f>IF(D11="","",INDEX(Knutepunkter!$B:$B,D11+1))</f>
        <v/>
      </c>
      <c r="G11" t="str">
        <f>IF(D11="","",INDEX(Knutepunkter!$C:$C,D11+1))</f>
        <v/>
      </c>
      <c r="H11" t="str">
        <f>IF(D11="","",INDEX(Knutepunkter!$D:$D,D11+1))</f>
        <v/>
      </c>
      <c r="I11" t="str">
        <f>IF(E11="","",INDEX(Knutepunkter!$B:$B,E11+1))</f>
        <v/>
      </c>
      <c r="J11" t="str">
        <f>IF(E11="","",INDEX(Knutepunkter!$C:$C,E11+1))</f>
        <v/>
      </c>
      <c r="K11" t="str">
        <f>IF(E11="","",INDEX(Knutepunkter!$D:$D,E11+1))</f>
        <v/>
      </c>
      <c r="L11" t="str">
        <f t="shared" si="3"/>
        <v/>
      </c>
      <c r="M11" t="str">
        <f t="shared" si="4"/>
        <v/>
      </c>
    </row>
    <row r="12" spans="1:17" x14ac:dyDescent="0.3">
      <c r="A12" t="str">
        <f>Segmenter!A12</f>
        <v>S11</v>
      </c>
      <c r="B12" t="str">
        <f>Segmenter!B12</f>
        <v>12 -&gt; 13</v>
      </c>
      <c r="C12" t="str">
        <f t="shared" si="0"/>
        <v>Søyle</v>
      </c>
      <c r="D12">
        <f t="shared" si="1"/>
        <v>12</v>
      </c>
      <c r="E12">
        <f t="shared" si="2"/>
        <v>13</v>
      </c>
      <c r="F12">
        <f>IF(D12="","",INDEX(Knutepunkter!$B:$B,D12+1))</f>
        <v>354</v>
      </c>
      <c r="G12">
        <f>IF(D12="","",INDEX(Knutepunkter!$C:$C,D12+1))</f>
        <v>8000</v>
      </c>
      <c r="H12">
        <f>IF(D12="","",INDEX(Knutepunkter!$D:$D,D12+1))</f>
        <v>0</v>
      </c>
      <c r="I12">
        <f>IF(E12="","",INDEX(Knutepunkter!$B:$B,E12+1))</f>
        <v>354</v>
      </c>
      <c r="J12">
        <f>IF(E12="","",INDEX(Knutepunkter!$C:$C,E12+1))</f>
        <v>8000</v>
      </c>
      <c r="K12">
        <f>IF(E12="","",INDEX(Knutepunkter!$D:$D,E12+1))</f>
        <v>3000</v>
      </c>
      <c r="L12">
        <f t="shared" si="3"/>
        <v>3000</v>
      </c>
      <c r="M12">
        <f t="shared" si="4"/>
        <v>3</v>
      </c>
    </row>
    <row r="13" spans="1:17" x14ac:dyDescent="0.3">
      <c r="A13" t="str">
        <f>Segmenter!A13</f>
        <v>S12</v>
      </c>
      <c r="B13" t="str">
        <f>Segmenter!B13</f>
        <v>13 -&gt; 14</v>
      </c>
      <c r="C13" t="str">
        <f t="shared" si="0"/>
        <v>Søyle</v>
      </c>
      <c r="D13">
        <f t="shared" si="1"/>
        <v>13</v>
      </c>
      <c r="E13">
        <f t="shared" si="2"/>
        <v>14</v>
      </c>
      <c r="F13">
        <f>IF(D13="","",INDEX(Knutepunkter!$B:$B,D13+1))</f>
        <v>354</v>
      </c>
      <c r="G13">
        <f>IF(D13="","",INDEX(Knutepunkter!$C:$C,D13+1))</f>
        <v>8000</v>
      </c>
      <c r="H13">
        <f>IF(D13="","",INDEX(Knutepunkter!$D:$D,D13+1))</f>
        <v>3000</v>
      </c>
      <c r="I13">
        <f>IF(E13="","",INDEX(Knutepunkter!$B:$B,E13+1))</f>
        <v>354</v>
      </c>
      <c r="J13">
        <f>IF(E13="","",INDEX(Knutepunkter!$C:$C,E13+1))</f>
        <v>8000</v>
      </c>
      <c r="K13">
        <f>IF(E13="","",INDEX(Knutepunkter!$D:$D,E13+1))</f>
        <v>6000</v>
      </c>
      <c r="L13">
        <f t="shared" si="3"/>
        <v>3000</v>
      </c>
      <c r="M13">
        <f t="shared" si="4"/>
        <v>3</v>
      </c>
    </row>
    <row r="14" spans="1:17" x14ac:dyDescent="0.3">
      <c r="A14" t="str">
        <f>Segmenter!A14</f>
        <v>S13</v>
      </c>
      <c r="B14" t="str">
        <f>Segmenter!B14</f>
        <v>14 -&gt; 15</v>
      </c>
      <c r="C14" t="str">
        <f t="shared" si="0"/>
        <v>Søyle</v>
      </c>
      <c r="D14">
        <f t="shared" si="1"/>
        <v>14</v>
      </c>
      <c r="E14">
        <f t="shared" si="2"/>
        <v>15</v>
      </c>
      <c r="F14">
        <f>IF(D14="","",INDEX(Knutepunkter!$B:$B,D14+1))</f>
        <v>354</v>
      </c>
      <c r="G14">
        <f>IF(D14="","",INDEX(Knutepunkter!$C:$C,D14+1))</f>
        <v>8000</v>
      </c>
      <c r="H14">
        <f>IF(D14="","",INDEX(Knutepunkter!$D:$D,D14+1))</f>
        <v>6000</v>
      </c>
      <c r="I14">
        <f>IF(E14="","",INDEX(Knutepunkter!$B:$B,E14+1))</f>
        <v>354</v>
      </c>
      <c r="J14">
        <f>IF(E14="","",INDEX(Knutepunkter!$C:$C,E14+1))</f>
        <v>8000</v>
      </c>
      <c r="K14">
        <f>IF(E14="","",INDEX(Knutepunkter!$D:$D,E14+1))</f>
        <v>9000</v>
      </c>
      <c r="L14">
        <f t="shared" si="3"/>
        <v>3000</v>
      </c>
      <c r="M14">
        <f t="shared" si="4"/>
        <v>3</v>
      </c>
    </row>
    <row r="15" spans="1:17" x14ac:dyDescent="0.3">
      <c r="A15" t="str">
        <f>Segmenter!A15</f>
        <v>S14</v>
      </c>
      <c r="B15" t="str">
        <f>Segmenter!B15</f>
        <v>15 -&gt; 16</v>
      </c>
      <c r="C15" t="str">
        <f t="shared" si="0"/>
        <v>Søyle</v>
      </c>
      <c r="D15">
        <f t="shared" si="1"/>
        <v>15</v>
      </c>
      <c r="E15">
        <f t="shared" si="2"/>
        <v>16</v>
      </c>
      <c r="F15">
        <f>IF(D15="","",INDEX(Knutepunkter!$B:$B,D15+1))</f>
        <v>354</v>
      </c>
      <c r="G15">
        <f>IF(D15="","",INDEX(Knutepunkter!$C:$C,D15+1))</f>
        <v>8000</v>
      </c>
      <c r="H15">
        <f>IF(D15="","",INDEX(Knutepunkter!$D:$D,D15+1))</f>
        <v>9000</v>
      </c>
      <c r="I15">
        <f>IF(E15="","",INDEX(Knutepunkter!$B:$B,E15+1))</f>
        <v>354</v>
      </c>
      <c r="J15">
        <f>IF(E15="","",INDEX(Knutepunkter!$C:$C,E15+1))</f>
        <v>8000</v>
      </c>
      <c r="K15">
        <f>IF(E15="","",INDEX(Knutepunkter!$D:$D,E15+1))</f>
        <v>12000</v>
      </c>
      <c r="L15">
        <f t="shared" si="3"/>
        <v>3000</v>
      </c>
      <c r="M15">
        <f t="shared" si="4"/>
        <v>3</v>
      </c>
    </row>
    <row r="16" spans="1:17" x14ac:dyDescent="0.3">
      <c r="A16" t="str">
        <f>Segmenter!A16</f>
        <v>S15</v>
      </c>
      <c r="B16" t="str">
        <f>Segmenter!B16</f>
        <v>16 -&gt; 17</v>
      </c>
      <c r="C16" t="str">
        <f t="shared" si="0"/>
        <v>Søyle</v>
      </c>
      <c r="D16">
        <f t="shared" si="1"/>
        <v>16</v>
      </c>
      <c r="E16">
        <f t="shared" si="2"/>
        <v>17</v>
      </c>
      <c r="F16">
        <f>IF(D16="","",INDEX(Knutepunkter!$B:$B,D16+1))</f>
        <v>354</v>
      </c>
      <c r="G16">
        <f>IF(D16="","",INDEX(Knutepunkter!$C:$C,D16+1))</f>
        <v>8000</v>
      </c>
      <c r="H16">
        <f>IF(D16="","",INDEX(Knutepunkter!$D:$D,D16+1))</f>
        <v>12000</v>
      </c>
      <c r="I16">
        <f>IF(E16="","",INDEX(Knutepunkter!$B:$B,E16+1))</f>
        <v>354</v>
      </c>
      <c r="J16">
        <f>IF(E16="","",INDEX(Knutepunkter!$C:$C,E16+1))</f>
        <v>8000</v>
      </c>
      <c r="K16">
        <f>IF(E16="","",INDEX(Knutepunkter!$D:$D,E16+1))</f>
        <v>15000</v>
      </c>
      <c r="L16">
        <f t="shared" si="3"/>
        <v>3000</v>
      </c>
      <c r="M16">
        <f t="shared" si="4"/>
        <v>3</v>
      </c>
    </row>
    <row r="17" spans="1:13" x14ac:dyDescent="0.3">
      <c r="A17" t="str">
        <f>Segmenter!A17</f>
        <v>S16</v>
      </c>
      <c r="B17" t="str">
        <f>Segmenter!B17</f>
        <v>17 -&gt; 18</v>
      </c>
      <c r="C17" t="str">
        <f t="shared" si="0"/>
        <v>Søyle</v>
      </c>
      <c r="D17">
        <f t="shared" si="1"/>
        <v>17</v>
      </c>
      <c r="E17">
        <f t="shared" si="2"/>
        <v>18</v>
      </c>
      <c r="F17">
        <f>IF(D17="","",INDEX(Knutepunkter!$B:$B,D17+1))</f>
        <v>354</v>
      </c>
      <c r="G17">
        <f>IF(D17="","",INDEX(Knutepunkter!$C:$C,D17+1))</f>
        <v>8000</v>
      </c>
      <c r="H17">
        <f>IF(D17="","",INDEX(Knutepunkter!$D:$D,D17+1))</f>
        <v>15000</v>
      </c>
      <c r="I17">
        <f>IF(E17="","",INDEX(Knutepunkter!$B:$B,E17+1))</f>
        <v>354</v>
      </c>
      <c r="J17">
        <f>IF(E17="","",INDEX(Knutepunkter!$C:$C,E17+1))</f>
        <v>8000</v>
      </c>
      <c r="K17">
        <f>IF(E17="","",INDEX(Knutepunkter!$D:$D,E17+1))</f>
        <v>18000</v>
      </c>
      <c r="L17">
        <f t="shared" si="3"/>
        <v>3000</v>
      </c>
      <c r="M17">
        <f t="shared" si="4"/>
        <v>3</v>
      </c>
    </row>
    <row r="18" spans="1:13" x14ac:dyDescent="0.3">
      <c r="A18" t="str">
        <f>Segmenter!A18</f>
        <v/>
      </c>
      <c r="B18" t="str">
        <f>Segmenter!B18</f>
        <v/>
      </c>
      <c r="C18" t="str">
        <f t="shared" si="0"/>
        <v/>
      </c>
      <c r="D18" t="str">
        <f t="shared" si="1"/>
        <v/>
      </c>
      <c r="E18" t="str">
        <f t="shared" si="2"/>
        <v/>
      </c>
      <c r="F18" t="str">
        <f>IF(D18="","",INDEX(Knutepunkter!$B:$B,D18+1))</f>
        <v/>
      </c>
      <c r="G18" t="str">
        <f>IF(D18="","",INDEX(Knutepunkter!$C:$C,D18+1))</f>
        <v/>
      </c>
      <c r="H18" t="str">
        <f>IF(D18="","",INDEX(Knutepunkter!$D:$D,D18+1))</f>
        <v/>
      </c>
      <c r="I18" t="str">
        <f>IF(E18="","",INDEX(Knutepunkter!$B:$B,E18+1))</f>
        <v/>
      </c>
      <c r="J18" t="str">
        <f>IF(E18="","",INDEX(Knutepunkter!$C:$C,E18+1))</f>
        <v/>
      </c>
      <c r="K18" t="str">
        <f>IF(E18="","",INDEX(Knutepunkter!$D:$D,E18+1))</f>
        <v/>
      </c>
      <c r="L18" t="str">
        <f t="shared" si="3"/>
        <v/>
      </c>
      <c r="M18" t="str">
        <f t="shared" si="4"/>
        <v/>
      </c>
    </row>
    <row r="19" spans="1:13" x14ac:dyDescent="0.3">
      <c r="A19" t="str">
        <f>Segmenter!A19</f>
        <v/>
      </c>
      <c r="B19" t="str">
        <f>Segmenter!B19</f>
        <v/>
      </c>
      <c r="C19" t="str">
        <f t="shared" si="0"/>
        <v/>
      </c>
      <c r="D19" t="str">
        <f t="shared" si="1"/>
        <v/>
      </c>
      <c r="E19" t="str">
        <f t="shared" si="2"/>
        <v/>
      </c>
      <c r="F19" t="str">
        <f>IF(D19="","",INDEX(Knutepunkter!$B:$B,D19+1))</f>
        <v/>
      </c>
      <c r="G19" t="str">
        <f>IF(D19="","",INDEX(Knutepunkter!$C:$C,D19+1))</f>
        <v/>
      </c>
      <c r="H19" t="str">
        <f>IF(D19="","",INDEX(Knutepunkter!$D:$D,D19+1))</f>
        <v/>
      </c>
      <c r="I19" t="str">
        <f>IF(E19="","",INDEX(Knutepunkter!$B:$B,E19+1))</f>
        <v/>
      </c>
      <c r="J19" t="str">
        <f>IF(E19="","",INDEX(Knutepunkter!$C:$C,E19+1))</f>
        <v/>
      </c>
      <c r="K19" t="str">
        <f>IF(E19="","",INDEX(Knutepunkter!$D:$D,E19+1))</f>
        <v/>
      </c>
      <c r="L19" t="str">
        <f t="shared" si="3"/>
        <v/>
      </c>
      <c r="M19" t="str">
        <f t="shared" si="4"/>
        <v/>
      </c>
    </row>
    <row r="20" spans="1:13" x14ac:dyDescent="0.3">
      <c r="A20" t="str">
        <f>Segmenter!A20</f>
        <v/>
      </c>
      <c r="B20" t="str">
        <f>Segmenter!B20</f>
        <v/>
      </c>
      <c r="C20" t="str">
        <f t="shared" si="0"/>
        <v/>
      </c>
      <c r="D20" t="str">
        <f t="shared" si="1"/>
        <v/>
      </c>
      <c r="E20" t="str">
        <f t="shared" si="2"/>
        <v/>
      </c>
      <c r="F20" t="str">
        <f>IF(D20="","",INDEX(Knutepunkter!$B:$B,D20+1))</f>
        <v/>
      </c>
      <c r="G20" t="str">
        <f>IF(D20="","",INDEX(Knutepunkter!$C:$C,D20+1))</f>
        <v/>
      </c>
      <c r="H20" t="str">
        <f>IF(D20="","",INDEX(Knutepunkter!$D:$D,D20+1))</f>
        <v/>
      </c>
      <c r="I20" t="str">
        <f>IF(E20="","",INDEX(Knutepunkter!$B:$B,E20+1))</f>
        <v/>
      </c>
      <c r="J20" t="str">
        <f>IF(E20="","",INDEX(Knutepunkter!$C:$C,E20+1))</f>
        <v/>
      </c>
      <c r="K20" t="str">
        <f>IF(E20="","",INDEX(Knutepunkter!$D:$D,E20+1))</f>
        <v/>
      </c>
      <c r="L20" t="str">
        <f t="shared" si="3"/>
        <v/>
      </c>
      <c r="M20" t="str">
        <f t="shared" si="4"/>
        <v/>
      </c>
    </row>
    <row r="21" spans="1:13" x14ac:dyDescent="0.3">
      <c r="A21" t="str">
        <f>Segmenter!A21</f>
        <v/>
      </c>
      <c r="B21" t="str">
        <f>Segmenter!B21</f>
        <v/>
      </c>
      <c r="C21" t="str">
        <f t="shared" si="0"/>
        <v/>
      </c>
      <c r="D21" t="str">
        <f t="shared" si="1"/>
        <v/>
      </c>
      <c r="E21" t="str">
        <f t="shared" si="2"/>
        <v/>
      </c>
      <c r="F21" t="str">
        <f>IF(D21="","",INDEX(Knutepunkter!$B:$B,D21+1))</f>
        <v/>
      </c>
      <c r="G21" t="str">
        <f>IF(D21="","",INDEX(Knutepunkter!$C:$C,D21+1))</f>
        <v/>
      </c>
      <c r="H21" t="str">
        <f>IF(D21="","",INDEX(Knutepunkter!$D:$D,D21+1))</f>
        <v/>
      </c>
      <c r="I21" t="str">
        <f>IF(E21="","",INDEX(Knutepunkter!$B:$B,E21+1))</f>
        <v/>
      </c>
      <c r="J21" t="str">
        <f>IF(E21="","",INDEX(Knutepunkter!$C:$C,E21+1))</f>
        <v/>
      </c>
      <c r="K21" t="str">
        <f>IF(E21="","",INDEX(Knutepunkter!$D:$D,E21+1))</f>
        <v/>
      </c>
      <c r="L21" t="str">
        <f t="shared" si="3"/>
        <v/>
      </c>
      <c r="M21" t="str">
        <f t="shared" si="4"/>
        <v/>
      </c>
    </row>
    <row r="22" spans="1:13" x14ac:dyDescent="0.3">
      <c r="A22" t="str">
        <f>Segmenter!A22</f>
        <v>S21</v>
      </c>
      <c r="B22" t="str">
        <f>Segmenter!B22</f>
        <v>23 -&gt; 24</v>
      </c>
      <c r="C22" t="str">
        <f t="shared" si="0"/>
        <v>Søyle</v>
      </c>
      <c r="D22">
        <f t="shared" si="1"/>
        <v>23</v>
      </c>
      <c r="E22">
        <f t="shared" si="2"/>
        <v>24</v>
      </c>
      <c r="F22">
        <f>IF(D22="","",INDEX(Knutepunkter!$B:$B,D22+1))</f>
        <v>354</v>
      </c>
      <c r="G22">
        <f>IF(D22="","",INDEX(Knutepunkter!$C:$C,D22+1))</f>
        <v>16000</v>
      </c>
      <c r="H22">
        <f>IF(D22="","",INDEX(Knutepunkter!$D:$D,D22+1))</f>
        <v>0</v>
      </c>
      <c r="I22">
        <f>IF(E22="","",INDEX(Knutepunkter!$B:$B,E22+1))</f>
        <v>354</v>
      </c>
      <c r="J22">
        <f>IF(E22="","",INDEX(Knutepunkter!$C:$C,E22+1))</f>
        <v>16000</v>
      </c>
      <c r="K22">
        <f>IF(E22="","",INDEX(Knutepunkter!$D:$D,E22+1))</f>
        <v>3000</v>
      </c>
      <c r="L22">
        <f t="shared" si="3"/>
        <v>3000</v>
      </c>
      <c r="M22">
        <f t="shared" si="4"/>
        <v>3</v>
      </c>
    </row>
    <row r="23" spans="1:13" x14ac:dyDescent="0.3">
      <c r="A23" t="str">
        <f>Segmenter!A23</f>
        <v>S22</v>
      </c>
      <c r="B23" t="str">
        <f>Segmenter!B23</f>
        <v>24 -&gt; 25</v>
      </c>
      <c r="C23" t="str">
        <f t="shared" si="0"/>
        <v>Søyle</v>
      </c>
      <c r="D23">
        <f t="shared" si="1"/>
        <v>24</v>
      </c>
      <c r="E23">
        <f t="shared" si="2"/>
        <v>25</v>
      </c>
      <c r="F23">
        <f>IF(D23="","",INDEX(Knutepunkter!$B:$B,D23+1))</f>
        <v>354</v>
      </c>
      <c r="G23">
        <f>IF(D23="","",INDEX(Knutepunkter!$C:$C,D23+1))</f>
        <v>16000</v>
      </c>
      <c r="H23">
        <f>IF(D23="","",INDEX(Knutepunkter!$D:$D,D23+1))</f>
        <v>3000</v>
      </c>
      <c r="I23">
        <f>IF(E23="","",INDEX(Knutepunkter!$B:$B,E23+1))</f>
        <v>354</v>
      </c>
      <c r="J23">
        <f>IF(E23="","",INDEX(Knutepunkter!$C:$C,E23+1))</f>
        <v>16000</v>
      </c>
      <c r="K23">
        <f>IF(E23="","",INDEX(Knutepunkter!$D:$D,E23+1))</f>
        <v>6000</v>
      </c>
      <c r="L23">
        <f t="shared" si="3"/>
        <v>3000</v>
      </c>
      <c r="M23">
        <f t="shared" si="4"/>
        <v>3</v>
      </c>
    </row>
    <row r="24" spans="1:13" x14ac:dyDescent="0.3">
      <c r="A24" t="str">
        <f>Segmenter!A24</f>
        <v>S23</v>
      </c>
      <c r="B24" t="str">
        <f>Segmenter!B24</f>
        <v>25 -&gt; 26</v>
      </c>
      <c r="C24" t="str">
        <f t="shared" si="0"/>
        <v>Søyle</v>
      </c>
      <c r="D24">
        <f t="shared" si="1"/>
        <v>25</v>
      </c>
      <c r="E24">
        <f t="shared" si="2"/>
        <v>26</v>
      </c>
      <c r="F24">
        <f>IF(D24="","",INDEX(Knutepunkter!$B:$B,D24+1))</f>
        <v>354</v>
      </c>
      <c r="G24">
        <f>IF(D24="","",INDEX(Knutepunkter!$C:$C,D24+1))</f>
        <v>16000</v>
      </c>
      <c r="H24">
        <f>IF(D24="","",INDEX(Knutepunkter!$D:$D,D24+1))</f>
        <v>6000</v>
      </c>
      <c r="I24">
        <f>IF(E24="","",INDEX(Knutepunkter!$B:$B,E24+1))</f>
        <v>354</v>
      </c>
      <c r="J24">
        <f>IF(E24="","",INDEX(Knutepunkter!$C:$C,E24+1))</f>
        <v>16000</v>
      </c>
      <c r="K24">
        <f>IF(E24="","",INDEX(Knutepunkter!$D:$D,E24+1))</f>
        <v>9000</v>
      </c>
      <c r="L24">
        <f t="shared" si="3"/>
        <v>3000</v>
      </c>
      <c r="M24">
        <f t="shared" si="4"/>
        <v>3</v>
      </c>
    </row>
    <row r="25" spans="1:13" x14ac:dyDescent="0.3">
      <c r="A25" t="str">
        <f>Segmenter!A25</f>
        <v>S24</v>
      </c>
      <c r="B25" t="str">
        <f>Segmenter!B25</f>
        <v>26 -&gt; 27</v>
      </c>
      <c r="C25" t="str">
        <f t="shared" si="0"/>
        <v>Søyle</v>
      </c>
      <c r="D25">
        <f t="shared" si="1"/>
        <v>26</v>
      </c>
      <c r="E25">
        <f t="shared" si="2"/>
        <v>27</v>
      </c>
      <c r="F25">
        <f>IF(D25="","",INDEX(Knutepunkter!$B:$B,D25+1))</f>
        <v>354</v>
      </c>
      <c r="G25">
        <f>IF(D25="","",INDEX(Knutepunkter!$C:$C,D25+1))</f>
        <v>16000</v>
      </c>
      <c r="H25">
        <f>IF(D25="","",INDEX(Knutepunkter!$D:$D,D25+1))</f>
        <v>9000</v>
      </c>
      <c r="I25">
        <f>IF(E25="","",INDEX(Knutepunkter!$B:$B,E25+1))</f>
        <v>354</v>
      </c>
      <c r="J25">
        <f>IF(E25="","",INDEX(Knutepunkter!$C:$C,E25+1))</f>
        <v>16000</v>
      </c>
      <c r="K25">
        <f>IF(E25="","",INDEX(Knutepunkter!$D:$D,E25+1))</f>
        <v>12000</v>
      </c>
      <c r="L25">
        <f t="shared" si="3"/>
        <v>3000</v>
      </c>
      <c r="M25">
        <f t="shared" si="4"/>
        <v>3</v>
      </c>
    </row>
    <row r="26" spans="1:13" x14ac:dyDescent="0.3">
      <c r="A26" t="str">
        <f>Segmenter!A26</f>
        <v>S25</v>
      </c>
      <c r="B26" t="str">
        <f>Segmenter!B26</f>
        <v>27 -&gt; 28</v>
      </c>
      <c r="C26" t="str">
        <f t="shared" si="0"/>
        <v>Søyle</v>
      </c>
      <c r="D26">
        <f t="shared" si="1"/>
        <v>27</v>
      </c>
      <c r="E26">
        <f t="shared" si="2"/>
        <v>28</v>
      </c>
      <c r="F26">
        <f>IF(D26="","",INDEX(Knutepunkter!$B:$B,D26+1))</f>
        <v>354</v>
      </c>
      <c r="G26">
        <f>IF(D26="","",INDEX(Knutepunkter!$C:$C,D26+1))</f>
        <v>16000</v>
      </c>
      <c r="H26">
        <f>IF(D26="","",INDEX(Knutepunkter!$D:$D,D26+1))</f>
        <v>12000</v>
      </c>
      <c r="I26">
        <f>IF(E26="","",INDEX(Knutepunkter!$B:$B,E26+1))</f>
        <v>354</v>
      </c>
      <c r="J26">
        <f>IF(E26="","",INDEX(Knutepunkter!$C:$C,E26+1))</f>
        <v>16000</v>
      </c>
      <c r="K26">
        <f>IF(E26="","",INDEX(Knutepunkter!$D:$D,E26+1))</f>
        <v>15000</v>
      </c>
      <c r="L26">
        <f t="shared" si="3"/>
        <v>3000</v>
      </c>
      <c r="M26">
        <f t="shared" si="4"/>
        <v>3</v>
      </c>
    </row>
    <row r="27" spans="1:13" x14ac:dyDescent="0.3">
      <c r="A27" t="str">
        <f>Segmenter!A27</f>
        <v>S26</v>
      </c>
      <c r="B27" t="str">
        <f>Segmenter!B27</f>
        <v>28 -&gt; 29</v>
      </c>
      <c r="C27" t="str">
        <f t="shared" si="0"/>
        <v>Søyle</v>
      </c>
      <c r="D27">
        <f t="shared" si="1"/>
        <v>28</v>
      </c>
      <c r="E27">
        <f t="shared" si="2"/>
        <v>29</v>
      </c>
      <c r="F27">
        <f>IF(D27="","",INDEX(Knutepunkter!$B:$B,D27+1))</f>
        <v>354</v>
      </c>
      <c r="G27">
        <f>IF(D27="","",INDEX(Knutepunkter!$C:$C,D27+1))</f>
        <v>16000</v>
      </c>
      <c r="H27">
        <f>IF(D27="","",INDEX(Knutepunkter!$D:$D,D27+1))</f>
        <v>15000</v>
      </c>
      <c r="I27">
        <f>IF(E27="","",INDEX(Knutepunkter!$B:$B,E27+1))</f>
        <v>354</v>
      </c>
      <c r="J27">
        <f>IF(E27="","",INDEX(Knutepunkter!$C:$C,E27+1))</f>
        <v>16000</v>
      </c>
      <c r="K27">
        <f>IF(E27="","",INDEX(Knutepunkter!$D:$D,E27+1))</f>
        <v>18000</v>
      </c>
      <c r="L27">
        <f t="shared" si="3"/>
        <v>3000</v>
      </c>
      <c r="M27">
        <f t="shared" si="4"/>
        <v>3</v>
      </c>
    </row>
    <row r="28" spans="1:13" x14ac:dyDescent="0.3">
      <c r="A28" t="str">
        <f>Segmenter!A28</f>
        <v/>
      </c>
      <c r="B28" t="str">
        <f>Segmenter!B28</f>
        <v/>
      </c>
      <c r="C28" t="str">
        <f t="shared" si="0"/>
        <v/>
      </c>
      <c r="D28" t="str">
        <f t="shared" si="1"/>
        <v/>
      </c>
      <c r="E28" t="str">
        <f t="shared" si="2"/>
        <v/>
      </c>
      <c r="F28" t="str">
        <f>IF(D28="","",INDEX(Knutepunkter!$B:$B,D28+1))</f>
        <v/>
      </c>
      <c r="G28" t="str">
        <f>IF(D28="","",INDEX(Knutepunkter!$C:$C,D28+1))</f>
        <v/>
      </c>
      <c r="H28" t="str">
        <f>IF(D28="","",INDEX(Knutepunkter!$D:$D,D28+1))</f>
        <v/>
      </c>
      <c r="I28" t="str">
        <f>IF(E28="","",INDEX(Knutepunkter!$B:$B,E28+1))</f>
        <v/>
      </c>
      <c r="J28" t="str">
        <f>IF(E28="","",INDEX(Knutepunkter!$C:$C,E28+1))</f>
        <v/>
      </c>
      <c r="K28" t="str">
        <f>IF(E28="","",INDEX(Knutepunkter!$D:$D,E28+1))</f>
        <v/>
      </c>
      <c r="L28" t="str">
        <f t="shared" si="3"/>
        <v/>
      </c>
      <c r="M28" t="str">
        <f t="shared" si="4"/>
        <v/>
      </c>
    </row>
    <row r="29" spans="1:13" x14ac:dyDescent="0.3">
      <c r="A29" t="str">
        <f>Segmenter!A29</f>
        <v/>
      </c>
      <c r="B29" t="str">
        <f>Segmenter!B29</f>
        <v/>
      </c>
      <c r="C29" t="str">
        <f t="shared" si="0"/>
        <v/>
      </c>
      <c r="D29" t="str">
        <f t="shared" si="1"/>
        <v/>
      </c>
      <c r="E29" t="str">
        <f t="shared" si="2"/>
        <v/>
      </c>
      <c r="F29" t="str">
        <f>IF(D29="","",INDEX(Knutepunkter!$B:$B,D29+1))</f>
        <v/>
      </c>
      <c r="G29" t="str">
        <f>IF(D29="","",INDEX(Knutepunkter!$C:$C,D29+1))</f>
        <v/>
      </c>
      <c r="H29" t="str">
        <f>IF(D29="","",INDEX(Knutepunkter!$D:$D,D29+1))</f>
        <v/>
      </c>
      <c r="I29" t="str">
        <f>IF(E29="","",INDEX(Knutepunkter!$B:$B,E29+1))</f>
        <v/>
      </c>
      <c r="J29" t="str">
        <f>IF(E29="","",INDEX(Knutepunkter!$C:$C,E29+1))</f>
        <v/>
      </c>
      <c r="K29" t="str">
        <f>IF(E29="","",INDEX(Knutepunkter!$D:$D,E29+1))</f>
        <v/>
      </c>
      <c r="L29" t="str">
        <f t="shared" si="3"/>
        <v/>
      </c>
      <c r="M29" t="str">
        <f t="shared" si="4"/>
        <v/>
      </c>
    </row>
    <row r="30" spans="1:13" x14ac:dyDescent="0.3">
      <c r="A30" t="str">
        <f>Segmenter!A30</f>
        <v/>
      </c>
      <c r="B30" t="str">
        <f>Segmenter!B30</f>
        <v/>
      </c>
      <c r="C30" t="str">
        <f t="shared" si="0"/>
        <v/>
      </c>
      <c r="D30" t="str">
        <f t="shared" si="1"/>
        <v/>
      </c>
      <c r="E30" t="str">
        <f t="shared" si="2"/>
        <v/>
      </c>
      <c r="F30" t="str">
        <f>IF(D30="","",INDEX(Knutepunkter!$B:$B,D30+1))</f>
        <v/>
      </c>
      <c r="G30" t="str">
        <f>IF(D30="","",INDEX(Knutepunkter!$C:$C,D30+1))</f>
        <v/>
      </c>
      <c r="H30" t="str">
        <f>IF(D30="","",INDEX(Knutepunkter!$D:$D,D30+1))</f>
        <v/>
      </c>
      <c r="I30" t="str">
        <f>IF(E30="","",INDEX(Knutepunkter!$B:$B,E30+1))</f>
        <v/>
      </c>
      <c r="J30" t="str">
        <f>IF(E30="","",INDEX(Knutepunkter!$C:$C,E30+1))</f>
        <v/>
      </c>
      <c r="K30" t="str">
        <f>IF(E30="","",INDEX(Knutepunkter!$D:$D,E30+1))</f>
        <v/>
      </c>
      <c r="L30" t="str">
        <f t="shared" si="3"/>
        <v/>
      </c>
      <c r="M30" t="str">
        <f t="shared" si="4"/>
        <v/>
      </c>
    </row>
    <row r="31" spans="1:13" x14ac:dyDescent="0.3">
      <c r="A31" t="str">
        <f>Segmenter!A31</f>
        <v/>
      </c>
      <c r="B31" t="str">
        <f>Segmenter!B31</f>
        <v/>
      </c>
      <c r="C31" t="str">
        <f t="shared" si="0"/>
        <v/>
      </c>
      <c r="D31" t="str">
        <f t="shared" si="1"/>
        <v/>
      </c>
      <c r="E31" t="str">
        <f t="shared" si="2"/>
        <v/>
      </c>
      <c r="F31" t="str">
        <f>IF(D31="","",INDEX(Knutepunkter!$B:$B,D31+1))</f>
        <v/>
      </c>
      <c r="G31" t="str">
        <f>IF(D31="","",INDEX(Knutepunkter!$C:$C,D31+1))</f>
        <v/>
      </c>
      <c r="H31" t="str">
        <f>IF(D31="","",INDEX(Knutepunkter!$D:$D,D31+1))</f>
        <v/>
      </c>
      <c r="I31" t="str">
        <f>IF(E31="","",INDEX(Knutepunkter!$B:$B,E31+1))</f>
        <v/>
      </c>
      <c r="J31" t="str">
        <f>IF(E31="","",INDEX(Knutepunkter!$C:$C,E31+1))</f>
        <v/>
      </c>
      <c r="K31" t="str">
        <f>IF(E31="","",INDEX(Knutepunkter!$D:$D,E31+1))</f>
        <v/>
      </c>
      <c r="L31" t="str">
        <f t="shared" si="3"/>
        <v/>
      </c>
      <c r="M31" t="str">
        <f t="shared" si="4"/>
        <v/>
      </c>
    </row>
    <row r="32" spans="1:13" x14ac:dyDescent="0.3">
      <c r="A32" t="str">
        <f>Segmenter!A32</f>
        <v>S31</v>
      </c>
      <c r="B32" t="str">
        <f>Segmenter!B32</f>
        <v>34 -&gt; 35</v>
      </c>
      <c r="C32" t="str">
        <f t="shared" si="0"/>
        <v>Søyle</v>
      </c>
      <c r="D32">
        <f t="shared" si="1"/>
        <v>34</v>
      </c>
      <c r="E32">
        <f t="shared" si="2"/>
        <v>35</v>
      </c>
      <c r="F32">
        <f>IF(D32="","",INDEX(Knutepunkter!$B:$B,D32+1))</f>
        <v>354</v>
      </c>
      <c r="G32">
        <f>IF(D32="","",INDEX(Knutepunkter!$C:$C,D32+1))</f>
        <v>24000</v>
      </c>
      <c r="H32">
        <f>IF(D32="","",INDEX(Knutepunkter!$D:$D,D32+1))</f>
        <v>0</v>
      </c>
      <c r="I32">
        <f>IF(E32="","",INDEX(Knutepunkter!$B:$B,E32+1))</f>
        <v>354</v>
      </c>
      <c r="J32">
        <f>IF(E32="","",INDEX(Knutepunkter!$C:$C,E32+1))</f>
        <v>24000</v>
      </c>
      <c r="K32">
        <f>IF(E32="","",INDEX(Knutepunkter!$D:$D,E32+1))</f>
        <v>3000</v>
      </c>
      <c r="L32">
        <f t="shared" si="3"/>
        <v>3000</v>
      </c>
      <c r="M32">
        <f t="shared" si="4"/>
        <v>3</v>
      </c>
    </row>
    <row r="33" spans="1:13" x14ac:dyDescent="0.3">
      <c r="A33" t="str">
        <f>Segmenter!A33</f>
        <v>S32</v>
      </c>
      <c r="B33" t="str">
        <f>Segmenter!B33</f>
        <v>35 -&gt; 36</v>
      </c>
      <c r="C33" t="str">
        <f t="shared" si="0"/>
        <v>Søyle</v>
      </c>
      <c r="D33">
        <f t="shared" si="1"/>
        <v>35</v>
      </c>
      <c r="E33">
        <f t="shared" si="2"/>
        <v>36</v>
      </c>
      <c r="F33">
        <f>IF(D33="","",INDEX(Knutepunkter!$B:$B,D33+1))</f>
        <v>354</v>
      </c>
      <c r="G33">
        <f>IF(D33="","",INDEX(Knutepunkter!$C:$C,D33+1))</f>
        <v>24000</v>
      </c>
      <c r="H33">
        <f>IF(D33="","",INDEX(Knutepunkter!$D:$D,D33+1))</f>
        <v>3000</v>
      </c>
      <c r="I33">
        <f>IF(E33="","",INDEX(Knutepunkter!$B:$B,E33+1))</f>
        <v>354</v>
      </c>
      <c r="J33">
        <f>IF(E33="","",INDEX(Knutepunkter!$C:$C,E33+1))</f>
        <v>24000</v>
      </c>
      <c r="K33">
        <f>IF(E33="","",INDEX(Knutepunkter!$D:$D,E33+1))</f>
        <v>6000</v>
      </c>
      <c r="L33">
        <f t="shared" si="3"/>
        <v>3000</v>
      </c>
      <c r="M33">
        <f t="shared" si="4"/>
        <v>3</v>
      </c>
    </row>
    <row r="34" spans="1:13" x14ac:dyDescent="0.3">
      <c r="A34" t="str">
        <f>Segmenter!A34</f>
        <v>S33</v>
      </c>
      <c r="B34" t="str">
        <f>Segmenter!B34</f>
        <v>36 -&gt; 37</v>
      </c>
      <c r="C34" t="str">
        <f t="shared" si="0"/>
        <v>Søyle</v>
      </c>
      <c r="D34">
        <f t="shared" si="1"/>
        <v>36</v>
      </c>
      <c r="E34">
        <f t="shared" si="2"/>
        <v>37</v>
      </c>
      <c r="F34">
        <f>IF(D34="","",INDEX(Knutepunkter!$B:$B,D34+1))</f>
        <v>354</v>
      </c>
      <c r="G34">
        <f>IF(D34="","",INDEX(Knutepunkter!$C:$C,D34+1))</f>
        <v>24000</v>
      </c>
      <c r="H34">
        <f>IF(D34="","",INDEX(Knutepunkter!$D:$D,D34+1))</f>
        <v>6000</v>
      </c>
      <c r="I34">
        <f>IF(E34="","",INDEX(Knutepunkter!$B:$B,E34+1))</f>
        <v>354</v>
      </c>
      <c r="J34">
        <f>IF(E34="","",INDEX(Knutepunkter!$C:$C,E34+1))</f>
        <v>24000</v>
      </c>
      <c r="K34">
        <f>IF(E34="","",INDEX(Knutepunkter!$D:$D,E34+1))</f>
        <v>9000</v>
      </c>
      <c r="L34">
        <f t="shared" si="3"/>
        <v>3000</v>
      </c>
      <c r="M34">
        <f t="shared" si="4"/>
        <v>3</v>
      </c>
    </row>
    <row r="35" spans="1:13" x14ac:dyDescent="0.3">
      <c r="A35" t="str">
        <f>Segmenter!A35</f>
        <v>S34</v>
      </c>
      <c r="B35" t="str">
        <f>Segmenter!B35</f>
        <v>37 -&gt; 38</v>
      </c>
      <c r="C35" t="str">
        <f t="shared" si="0"/>
        <v>Søyle</v>
      </c>
      <c r="D35">
        <f t="shared" si="1"/>
        <v>37</v>
      </c>
      <c r="E35">
        <f t="shared" si="2"/>
        <v>38</v>
      </c>
      <c r="F35">
        <f>IF(D35="","",INDEX(Knutepunkter!$B:$B,D35+1))</f>
        <v>354</v>
      </c>
      <c r="G35">
        <f>IF(D35="","",INDEX(Knutepunkter!$C:$C,D35+1))</f>
        <v>24000</v>
      </c>
      <c r="H35">
        <f>IF(D35="","",INDEX(Knutepunkter!$D:$D,D35+1))</f>
        <v>9000</v>
      </c>
      <c r="I35">
        <f>IF(E35="","",INDEX(Knutepunkter!$B:$B,E35+1))</f>
        <v>354</v>
      </c>
      <c r="J35">
        <f>IF(E35="","",INDEX(Knutepunkter!$C:$C,E35+1))</f>
        <v>24000</v>
      </c>
      <c r="K35">
        <f>IF(E35="","",INDEX(Knutepunkter!$D:$D,E35+1))</f>
        <v>12000</v>
      </c>
      <c r="L35">
        <f t="shared" si="3"/>
        <v>3000</v>
      </c>
      <c r="M35">
        <f t="shared" si="4"/>
        <v>3</v>
      </c>
    </row>
    <row r="36" spans="1:13" x14ac:dyDescent="0.3">
      <c r="A36" t="str">
        <f>Segmenter!A36</f>
        <v>S35</v>
      </c>
      <c r="B36" t="str">
        <f>Segmenter!B36</f>
        <v>38 -&gt; 39</v>
      </c>
      <c r="C36" t="str">
        <f t="shared" si="0"/>
        <v>Søyle</v>
      </c>
      <c r="D36">
        <f t="shared" si="1"/>
        <v>38</v>
      </c>
      <c r="E36">
        <f t="shared" si="2"/>
        <v>39</v>
      </c>
      <c r="F36">
        <f>IF(D36="","",INDEX(Knutepunkter!$B:$B,D36+1))</f>
        <v>354</v>
      </c>
      <c r="G36">
        <f>IF(D36="","",INDEX(Knutepunkter!$C:$C,D36+1))</f>
        <v>24000</v>
      </c>
      <c r="H36">
        <f>IF(D36="","",INDEX(Knutepunkter!$D:$D,D36+1))</f>
        <v>12000</v>
      </c>
      <c r="I36">
        <f>IF(E36="","",INDEX(Knutepunkter!$B:$B,E36+1))</f>
        <v>354</v>
      </c>
      <c r="J36">
        <f>IF(E36="","",INDEX(Knutepunkter!$C:$C,E36+1))</f>
        <v>24000</v>
      </c>
      <c r="K36">
        <f>IF(E36="","",INDEX(Knutepunkter!$D:$D,E36+1))</f>
        <v>15000</v>
      </c>
      <c r="L36">
        <f t="shared" si="3"/>
        <v>3000</v>
      </c>
      <c r="M36">
        <f t="shared" si="4"/>
        <v>3</v>
      </c>
    </row>
    <row r="37" spans="1:13" x14ac:dyDescent="0.3">
      <c r="A37" t="str">
        <f>Segmenter!A37</f>
        <v>S36</v>
      </c>
      <c r="B37" t="str">
        <f>Segmenter!B37</f>
        <v>39 -&gt; 40</v>
      </c>
      <c r="C37" t="str">
        <f t="shared" si="0"/>
        <v>Søyle</v>
      </c>
      <c r="D37">
        <f t="shared" si="1"/>
        <v>39</v>
      </c>
      <c r="E37">
        <f t="shared" si="2"/>
        <v>40</v>
      </c>
      <c r="F37">
        <f>IF(D37="","",INDEX(Knutepunkter!$B:$B,D37+1))</f>
        <v>354</v>
      </c>
      <c r="G37">
        <f>IF(D37="","",INDEX(Knutepunkter!$C:$C,D37+1))</f>
        <v>24000</v>
      </c>
      <c r="H37">
        <f>IF(D37="","",INDEX(Knutepunkter!$D:$D,D37+1))</f>
        <v>15000</v>
      </c>
      <c r="I37">
        <f>IF(E37="","",INDEX(Knutepunkter!$B:$B,E37+1))</f>
        <v>354</v>
      </c>
      <c r="J37">
        <f>IF(E37="","",INDEX(Knutepunkter!$C:$C,E37+1))</f>
        <v>24000</v>
      </c>
      <c r="K37">
        <f>IF(E37="","",INDEX(Knutepunkter!$D:$D,E37+1))</f>
        <v>18000</v>
      </c>
      <c r="L37">
        <f t="shared" si="3"/>
        <v>3000</v>
      </c>
      <c r="M37">
        <f t="shared" si="4"/>
        <v>3</v>
      </c>
    </row>
    <row r="38" spans="1:13" x14ac:dyDescent="0.3">
      <c r="A38" t="str">
        <f>Segmenter!A38</f>
        <v/>
      </c>
      <c r="B38" t="str">
        <f>Segmenter!B38</f>
        <v/>
      </c>
      <c r="C38" t="str">
        <f t="shared" si="0"/>
        <v/>
      </c>
      <c r="D38" t="str">
        <f t="shared" si="1"/>
        <v/>
      </c>
      <c r="E38" t="str">
        <f t="shared" si="2"/>
        <v/>
      </c>
      <c r="F38" t="str">
        <f>IF(D38="","",INDEX(Knutepunkter!$B:$B,D38+1))</f>
        <v/>
      </c>
      <c r="G38" t="str">
        <f>IF(D38="","",INDEX(Knutepunkter!$C:$C,D38+1))</f>
        <v/>
      </c>
      <c r="H38" t="str">
        <f>IF(D38="","",INDEX(Knutepunkter!$D:$D,D38+1))</f>
        <v/>
      </c>
      <c r="I38" t="str">
        <f>IF(E38="","",INDEX(Knutepunkter!$B:$B,E38+1))</f>
        <v/>
      </c>
      <c r="J38" t="str">
        <f>IF(E38="","",INDEX(Knutepunkter!$C:$C,E38+1))</f>
        <v/>
      </c>
      <c r="K38" t="str">
        <f>IF(E38="","",INDEX(Knutepunkter!$D:$D,E38+1))</f>
        <v/>
      </c>
      <c r="L38" t="str">
        <f t="shared" si="3"/>
        <v/>
      </c>
      <c r="M38" t="str">
        <f t="shared" si="4"/>
        <v/>
      </c>
    </row>
    <row r="39" spans="1:13" x14ac:dyDescent="0.3">
      <c r="A39" t="str">
        <f>Segmenter!A39</f>
        <v/>
      </c>
      <c r="B39" t="str">
        <f>Segmenter!B39</f>
        <v/>
      </c>
      <c r="C39" t="str">
        <f t="shared" si="0"/>
        <v/>
      </c>
      <c r="D39" t="str">
        <f t="shared" si="1"/>
        <v/>
      </c>
      <c r="E39" t="str">
        <f t="shared" si="2"/>
        <v/>
      </c>
      <c r="F39" t="str">
        <f>IF(D39="","",INDEX(Knutepunkter!$B:$B,D39+1))</f>
        <v/>
      </c>
      <c r="G39" t="str">
        <f>IF(D39="","",INDEX(Knutepunkter!$C:$C,D39+1))</f>
        <v/>
      </c>
      <c r="H39" t="str">
        <f>IF(D39="","",INDEX(Knutepunkter!$D:$D,D39+1))</f>
        <v/>
      </c>
      <c r="I39" t="str">
        <f>IF(E39="","",INDEX(Knutepunkter!$B:$B,E39+1))</f>
        <v/>
      </c>
      <c r="J39" t="str">
        <f>IF(E39="","",INDEX(Knutepunkter!$C:$C,E39+1))</f>
        <v/>
      </c>
      <c r="K39" t="str">
        <f>IF(E39="","",INDEX(Knutepunkter!$D:$D,E39+1))</f>
        <v/>
      </c>
      <c r="L39" t="str">
        <f t="shared" si="3"/>
        <v/>
      </c>
      <c r="M39" t="str">
        <f t="shared" si="4"/>
        <v/>
      </c>
    </row>
    <row r="40" spans="1:13" x14ac:dyDescent="0.3">
      <c r="A40" t="str">
        <f>Segmenter!A40</f>
        <v/>
      </c>
      <c r="B40" t="str">
        <f>Segmenter!B40</f>
        <v/>
      </c>
      <c r="C40" t="str">
        <f t="shared" si="0"/>
        <v/>
      </c>
      <c r="D40" t="str">
        <f t="shared" si="1"/>
        <v/>
      </c>
      <c r="E40" t="str">
        <f t="shared" si="2"/>
        <v/>
      </c>
      <c r="F40" t="str">
        <f>IF(D40="","",INDEX(Knutepunkter!$B:$B,D40+1))</f>
        <v/>
      </c>
      <c r="G40" t="str">
        <f>IF(D40="","",INDEX(Knutepunkter!$C:$C,D40+1))</f>
        <v/>
      </c>
      <c r="H40" t="str">
        <f>IF(D40="","",INDEX(Knutepunkter!$D:$D,D40+1))</f>
        <v/>
      </c>
      <c r="I40" t="str">
        <f>IF(E40="","",INDEX(Knutepunkter!$B:$B,E40+1))</f>
        <v/>
      </c>
      <c r="J40" t="str">
        <f>IF(E40="","",INDEX(Knutepunkter!$C:$C,E40+1))</f>
        <v/>
      </c>
      <c r="K40" t="str">
        <f>IF(E40="","",INDEX(Knutepunkter!$D:$D,E40+1))</f>
        <v/>
      </c>
      <c r="L40" t="str">
        <f t="shared" si="3"/>
        <v/>
      </c>
      <c r="M40" t="str">
        <f t="shared" si="4"/>
        <v/>
      </c>
    </row>
    <row r="41" spans="1:13" x14ac:dyDescent="0.3">
      <c r="A41" t="str">
        <f>Segmenter!A41</f>
        <v/>
      </c>
      <c r="B41" t="str">
        <f>Segmenter!B41</f>
        <v/>
      </c>
      <c r="C41" t="str">
        <f t="shared" si="0"/>
        <v/>
      </c>
      <c r="D41" t="str">
        <f t="shared" si="1"/>
        <v/>
      </c>
      <c r="E41" t="str">
        <f t="shared" si="2"/>
        <v/>
      </c>
      <c r="F41" t="str">
        <f>IF(D41="","",INDEX(Knutepunkter!$B:$B,D41+1))</f>
        <v/>
      </c>
      <c r="G41" t="str">
        <f>IF(D41="","",INDEX(Knutepunkter!$C:$C,D41+1))</f>
        <v/>
      </c>
      <c r="H41" t="str">
        <f>IF(D41="","",INDEX(Knutepunkter!$D:$D,D41+1))</f>
        <v/>
      </c>
      <c r="I41" t="str">
        <f>IF(E41="","",INDEX(Knutepunkter!$B:$B,E41+1))</f>
        <v/>
      </c>
      <c r="J41" t="str">
        <f>IF(E41="","",INDEX(Knutepunkter!$C:$C,E41+1))</f>
        <v/>
      </c>
      <c r="K41" t="str">
        <f>IF(E41="","",INDEX(Knutepunkter!$D:$D,E41+1))</f>
        <v/>
      </c>
      <c r="L41" t="str">
        <f t="shared" si="3"/>
        <v/>
      </c>
      <c r="M41" t="str">
        <f t="shared" si="4"/>
        <v/>
      </c>
    </row>
    <row r="42" spans="1:13" x14ac:dyDescent="0.3">
      <c r="A42" t="str">
        <f>Segmenter!A42</f>
        <v>S41</v>
      </c>
      <c r="B42" t="str">
        <f>Segmenter!B42</f>
        <v>45 -&gt; 46</v>
      </c>
      <c r="C42" t="str">
        <f t="shared" si="0"/>
        <v>Søyle</v>
      </c>
      <c r="D42">
        <f t="shared" si="1"/>
        <v>45</v>
      </c>
      <c r="E42">
        <f t="shared" si="2"/>
        <v>46</v>
      </c>
      <c r="F42">
        <f>IF(D42="","",INDEX(Knutepunkter!$B:$B,D42+1))</f>
        <v>354</v>
      </c>
      <c r="G42">
        <f>IF(D42="","",INDEX(Knutepunkter!$C:$C,D42+1))</f>
        <v>32000</v>
      </c>
      <c r="H42">
        <f>IF(D42="","",INDEX(Knutepunkter!$D:$D,D42+1))</f>
        <v>0</v>
      </c>
      <c r="I42">
        <f>IF(E42="","",INDEX(Knutepunkter!$B:$B,E42+1))</f>
        <v>354</v>
      </c>
      <c r="J42">
        <f>IF(E42="","",INDEX(Knutepunkter!$C:$C,E42+1))</f>
        <v>32000</v>
      </c>
      <c r="K42">
        <f>IF(E42="","",INDEX(Knutepunkter!$D:$D,E42+1))</f>
        <v>3000</v>
      </c>
      <c r="L42">
        <f t="shared" si="3"/>
        <v>3000</v>
      </c>
      <c r="M42">
        <f t="shared" si="4"/>
        <v>3</v>
      </c>
    </row>
    <row r="43" spans="1:13" x14ac:dyDescent="0.3">
      <c r="A43" t="str">
        <f>Segmenter!A43</f>
        <v>S42</v>
      </c>
      <c r="B43" t="str">
        <f>Segmenter!B43</f>
        <v>46 -&gt; 47</v>
      </c>
      <c r="C43" t="str">
        <f t="shared" si="0"/>
        <v>Søyle</v>
      </c>
      <c r="D43">
        <f t="shared" si="1"/>
        <v>46</v>
      </c>
      <c r="E43">
        <f t="shared" si="2"/>
        <v>47</v>
      </c>
      <c r="F43">
        <f>IF(D43="","",INDEX(Knutepunkter!$B:$B,D43+1))</f>
        <v>354</v>
      </c>
      <c r="G43">
        <f>IF(D43="","",INDEX(Knutepunkter!$C:$C,D43+1))</f>
        <v>32000</v>
      </c>
      <c r="H43">
        <f>IF(D43="","",INDEX(Knutepunkter!$D:$D,D43+1))</f>
        <v>3000</v>
      </c>
      <c r="I43">
        <f>IF(E43="","",INDEX(Knutepunkter!$B:$B,E43+1))</f>
        <v>354</v>
      </c>
      <c r="J43">
        <f>IF(E43="","",INDEX(Knutepunkter!$C:$C,E43+1))</f>
        <v>32000</v>
      </c>
      <c r="K43">
        <f>IF(E43="","",INDEX(Knutepunkter!$D:$D,E43+1))</f>
        <v>6000</v>
      </c>
      <c r="L43">
        <f t="shared" si="3"/>
        <v>3000</v>
      </c>
      <c r="M43">
        <f t="shared" si="4"/>
        <v>3</v>
      </c>
    </row>
    <row r="44" spans="1:13" x14ac:dyDescent="0.3">
      <c r="A44" t="str">
        <f>Segmenter!A44</f>
        <v>S43</v>
      </c>
      <c r="B44" t="str">
        <f>Segmenter!B44</f>
        <v>47 -&gt; 48</v>
      </c>
      <c r="C44" t="str">
        <f t="shared" si="0"/>
        <v>Søyle</v>
      </c>
      <c r="D44">
        <f t="shared" si="1"/>
        <v>47</v>
      </c>
      <c r="E44">
        <f t="shared" si="2"/>
        <v>48</v>
      </c>
      <c r="F44">
        <f>IF(D44="","",INDEX(Knutepunkter!$B:$B,D44+1))</f>
        <v>354</v>
      </c>
      <c r="G44">
        <f>IF(D44="","",INDEX(Knutepunkter!$C:$C,D44+1))</f>
        <v>32000</v>
      </c>
      <c r="H44">
        <f>IF(D44="","",INDEX(Knutepunkter!$D:$D,D44+1))</f>
        <v>6000</v>
      </c>
      <c r="I44">
        <f>IF(E44="","",INDEX(Knutepunkter!$B:$B,E44+1))</f>
        <v>354</v>
      </c>
      <c r="J44">
        <f>IF(E44="","",INDEX(Knutepunkter!$C:$C,E44+1))</f>
        <v>32000</v>
      </c>
      <c r="K44">
        <f>IF(E44="","",INDEX(Knutepunkter!$D:$D,E44+1))</f>
        <v>9000</v>
      </c>
      <c r="L44">
        <f t="shared" si="3"/>
        <v>3000</v>
      </c>
      <c r="M44">
        <f t="shared" si="4"/>
        <v>3</v>
      </c>
    </row>
    <row r="45" spans="1:13" x14ac:dyDescent="0.3">
      <c r="A45" t="str">
        <f>Segmenter!A45</f>
        <v>S44</v>
      </c>
      <c r="B45" t="str">
        <f>Segmenter!B45</f>
        <v>48 -&gt; 49</v>
      </c>
      <c r="C45" t="str">
        <f t="shared" si="0"/>
        <v>Søyle</v>
      </c>
      <c r="D45">
        <f t="shared" si="1"/>
        <v>48</v>
      </c>
      <c r="E45">
        <f t="shared" si="2"/>
        <v>49</v>
      </c>
      <c r="F45">
        <f>IF(D45="","",INDEX(Knutepunkter!$B:$B,D45+1))</f>
        <v>354</v>
      </c>
      <c r="G45">
        <f>IF(D45="","",INDEX(Knutepunkter!$C:$C,D45+1))</f>
        <v>32000</v>
      </c>
      <c r="H45">
        <f>IF(D45="","",INDEX(Knutepunkter!$D:$D,D45+1))</f>
        <v>9000</v>
      </c>
      <c r="I45">
        <f>IF(E45="","",INDEX(Knutepunkter!$B:$B,E45+1))</f>
        <v>354</v>
      </c>
      <c r="J45">
        <f>IF(E45="","",INDEX(Knutepunkter!$C:$C,E45+1))</f>
        <v>32000</v>
      </c>
      <c r="K45">
        <f>IF(E45="","",INDEX(Knutepunkter!$D:$D,E45+1))</f>
        <v>12000</v>
      </c>
      <c r="L45">
        <f t="shared" si="3"/>
        <v>3000</v>
      </c>
      <c r="M45">
        <f t="shared" si="4"/>
        <v>3</v>
      </c>
    </row>
    <row r="46" spans="1:13" x14ac:dyDescent="0.3">
      <c r="A46" t="str">
        <f>Segmenter!A46</f>
        <v>S45</v>
      </c>
      <c r="B46" t="str">
        <f>Segmenter!B46</f>
        <v>49 -&gt; 50</v>
      </c>
      <c r="C46" t="str">
        <f t="shared" si="0"/>
        <v>Søyle</v>
      </c>
      <c r="D46">
        <f t="shared" si="1"/>
        <v>49</v>
      </c>
      <c r="E46">
        <f t="shared" si="2"/>
        <v>50</v>
      </c>
      <c r="F46">
        <f>IF(D46="","",INDEX(Knutepunkter!$B:$B,D46+1))</f>
        <v>354</v>
      </c>
      <c r="G46">
        <f>IF(D46="","",INDEX(Knutepunkter!$C:$C,D46+1))</f>
        <v>32000</v>
      </c>
      <c r="H46">
        <f>IF(D46="","",INDEX(Knutepunkter!$D:$D,D46+1))</f>
        <v>12000</v>
      </c>
      <c r="I46">
        <f>IF(E46="","",INDEX(Knutepunkter!$B:$B,E46+1))</f>
        <v>354</v>
      </c>
      <c r="J46">
        <f>IF(E46="","",INDEX(Knutepunkter!$C:$C,E46+1))</f>
        <v>32000</v>
      </c>
      <c r="K46">
        <f>IF(E46="","",INDEX(Knutepunkter!$D:$D,E46+1))</f>
        <v>15000</v>
      </c>
      <c r="L46">
        <f t="shared" si="3"/>
        <v>3000</v>
      </c>
      <c r="M46">
        <f t="shared" si="4"/>
        <v>3</v>
      </c>
    </row>
    <row r="47" spans="1:13" x14ac:dyDescent="0.3">
      <c r="A47" t="str">
        <f>Segmenter!A47</f>
        <v>S46</v>
      </c>
      <c r="B47" t="str">
        <f>Segmenter!B47</f>
        <v>50 -&gt; 51</v>
      </c>
      <c r="C47" t="str">
        <f t="shared" si="0"/>
        <v>Søyle</v>
      </c>
      <c r="D47">
        <f t="shared" si="1"/>
        <v>50</v>
      </c>
      <c r="E47">
        <f t="shared" si="2"/>
        <v>51</v>
      </c>
      <c r="F47">
        <f>IF(D47="","",INDEX(Knutepunkter!$B:$B,D47+1))</f>
        <v>354</v>
      </c>
      <c r="G47">
        <f>IF(D47="","",INDEX(Knutepunkter!$C:$C,D47+1))</f>
        <v>32000</v>
      </c>
      <c r="H47">
        <f>IF(D47="","",INDEX(Knutepunkter!$D:$D,D47+1))</f>
        <v>15000</v>
      </c>
      <c r="I47">
        <f>IF(E47="","",INDEX(Knutepunkter!$B:$B,E47+1))</f>
        <v>354</v>
      </c>
      <c r="J47">
        <f>IF(E47="","",INDEX(Knutepunkter!$C:$C,E47+1))</f>
        <v>32000</v>
      </c>
      <c r="K47">
        <f>IF(E47="","",INDEX(Knutepunkter!$D:$D,E47+1))</f>
        <v>18000</v>
      </c>
      <c r="L47">
        <f t="shared" si="3"/>
        <v>3000</v>
      </c>
      <c r="M47">
        <f t="shared" si="4"/>
        <v>3</v>
      </c>
    </row>
    <row r="48" spans="1:13" x14ac:dyDescent="0.3">
      <c r="A48" t="str">
        <f>Segmenter!A48</f>
        <v/>
      </c>
      <c r="B48" t="str">
        <f>Segmenter!B48</f>
        <v/>
      </c>
      <c r="C48" t="str">
        <f t="shared" si="0"/>
        <v/>
      </c>
      <c r="D48" t="str">
        <f t="shared" si="1"/>
        <v/>
      </c>
      <c r="E48" t="str">
        <f t="shared" si="2"/>
        <v/>
      </c>
      <c r="F48" t="str">
        <f>IF(D48="","",INDEX(Knutepunkter!$B:$B,D48+1))</f>
        <v/>
      </c>
      <c r="G48" t="str">
        <f>IF(D48="","",INDEX(Knutepunkter!$C:$C,D48+1))</f>
        <v/>
      </c>
      <c r="H48" t="str">
        <f>IF(D48="","",INDEX(Knutepunkter!$D:$D,D48+1))</f>
        <v/>
      </c>
      <c r="I48" t="str">
        <f>IF(E48="","",INDEX(Knutepunkter!$B:$B,E48+1))</f>
        <v/>
      </c>
      <c r="J48" t="str">
        <f>IF(E48="","",INDEX(Knutepunkter!$C:$C,E48+1))</f>
        <v/>
      </c>
      <c r="K48" t="str">
        <f>IF(E48="","",INDEX(Knutepunkter!$D:$D,E48+1))</f>
        <v/>
      </c>
      <c r="L48" t="str">
        <f t="shared" si="3"/>
        <v/>
      </c>
      <c r="M48" t="str">
        <f t="shared" si="4"/>
        <v/>
      </c>
    </row>
    <row r="49" spans="1:13" x14ac:dyDescent="0.3">
      <c r="A49" t="str">
        <f>Segmenter!A49</f>
        <v/>
      </c>
      <c r="B49" t="str">
        <f>Segmenter!B49</f>
        <v/>
      </c>
      <c r="C49" t="str">
        <f t="shared" si="0"/>
        <v/>
      </c>
      <c r="D49" t="str">
        <f t="shared" si="1"/>
        <v/>
      </c>
      <c r="E49" t="str">
        <f t="shared" si="2"/>
        <v/>
      </c>
      <c r="F49" t="str">
        <f>IF(D49="","",INDEX(Knutepunkter!$B:$B,D49+1))</f>
        <v/>
      </c>
      <c r="G49" t="str">
        <f>IF(D49="","",INDEX(Knutepunkter!$C:$C,D49+1))</f>
        <v/>
      </c>
      <c r="H49" t="str">
        <f>IF(D49="","",INDEX(Knutepunkter!$D:$D,D49+1))</f>
        <v/>
      </c>
      <c r="I49" t="str">
        <f>IF(E49="","",INDEX(Knutepunkter!$B:$B,E49+1))</f>
        <v/>
      </c>
      <c r="J49" t="str">
        <f>IF(E49="","",INDEX(Knutepunkter!$C:$C,E49+1))</f>
        <v/>
      </c>
      <c r="K49" t="str">
        <f>IF(E49="","",INDEX(Knutepunkter!$D:$D,E49+1))</f>
        <v/>
      </c>
      <c r="L49" t="str">
        <f t="shared" si="3"/>
        <v/>
      </c>
      <c r="M49" t="str">
        <f t="shared" si="4"/>
        <v/>
      </c>
    </row>
    <row r="50" spans="1:13" x14ac:dyDescent="0.3">
      <c r="A50" t="str">
        <f>Segmenter!A50</f>
        <v/>
      </c>
      <c r="B50" t="str">
        <f>Segmenter!B50</f>
        <v/>
      </c>
      <c r="C50" t="str">
        <f t="shared" si="0"/>
        <v/>
      </c>
      <c r="D50" t="str">
        <f t="shared" si="1"/>
        <v/>
      </c>
      <c r="E50" t="str">
        <f t="shared" si="2"/>
        <v/>
      </c>
      <c r="F50" t="str">
        <f>IF(D50="","",INDEX(Knutepunkter!$B:$B,D50+1))</f>
        <v/>
      </c>
      <c r="G50" t="str">
        <f>IF(D50="","",INDEX(Knutepunkter!$C:$C,D50+1))</f>
        <v/>
      </c>
      <c r="H50" t="str">
        <f>IF(D50="","",INDEX(Knutepunkter!$D:$D,D50+1))</f>
        <v/>
      </c>
      <c r="I50" t="str">
        <f>IF(E50="","",INDEX(Knutepunkter!$B:$B,E50+1))</f>
        <v/>
      </c>
      <c r="J50" t="str">
        <f>IF(E50="","",INDEX(Knutepunkter!$C:$C,E50+1))</f>
        <v/>
      </c>
      <c r="K50" t="str">
        <f>IF(E50="","",INDEX(Knutepunkter!$D:$D,E50+1))</f>
        <v/>
      </c>
      <c r="L50" t="str">
        <f t="shared" si="3"/>
        <v/>
      </c>
      <c r="M50" t="str">
        <f t="shared" si="4"/>
        <v/>
      </c>
    </row>
    <row r="51" spans="1:13" x14ac:dyDescent="0.3">
      <c r="A51" t="str">
        <f>Segmenter!A51</f>
        <v/>
      </c>
      <c r="B51" t="str">
        <f>Segmenter!B51</f>
        <v/>
      </c>
      <c r="C51" t="str">
        <f t="shared" si="0"/>
        <v/>
      </c>
      <c r="D51" t="str">
        <f t="shared" si="1"/>
        <v/>
      </c>
      <c r="E51" t="str">
        <f t="shared" si="2"/>
        <v/>
      </c>
      <c r="F51" t="str">
        <f>IF(D51="","",INDEX(Knutepunkter!$B:$B,D51+1))</f>
        <v/>
      </c>
      <c r="G51" t="str">
        <f>IF(D51="","",INDEX(Knutepunkter!$C:$C,D51+1))</f>
        <v/>
      </c>
      <c r="H51" t="str">
        <f>IF(D51="","",INDEX(Knutepunkter!$D:$D,D51+1))</f>
        <v/>
      </c>
      <c r="I51" t="str">
        <f>IF(E51="","",INDEX(Knutepunkter!$B:$B,E51+1))</f>
        <v/>
      </c>
      <c r="J51" t="str">
        <f>IF(E51="","",INDEX(Knutepunkter!$C:$C,E51+1))</f>
        <v/>
      </c>
      <c r="K51" t="str">
        <f>IF(E51="","",INDEX(Knutepunkter!$D:$D,E51+1))</f>
        <v/>
      </c>
      <c r="L51" t="str">
        <f t="shared" si="3"/>
        <v/>
      </c>
      <c r="M51" t="str">
        <f t="shared" si="4"/>
        <v/>
      </c>
    </row>
    <row r="52" spans="1:13" x14ac:dyDescent="0.3">
      <c r="A52" t="str">
        <f>Segmenter!A52</f>
        <v/>
      </c>
      <c r="B52" t="str">
        <f>Segmenter!B52</f>
        <v/>
      </c>
      <c r="C52" t="str">
        <f t="shared" si="0"/>
        <v/>
      </c>
      <c r="D52" t="str">
        <f t="shared" si="1"/>
        <v/>
      </c>
      <c r="E52" t="str">
        <f t="shared" si="2"/>
        <v/>
      </c>
      <c r="F52" t="str">
        <f>IF(D52="","",INDEX(Knutepunkter!$B:$B,D52+1))</f>
        <v/>
      </c>
      <c r="G52" t="str">
        <f>IF(D52="","",INDEX(Knutepunkter!$C:$C,D52+1))</f>
        <v/>
      </c>
      <c r="H52" t="str">
        <f>IF(D52="","",INDEX(Knutepunkter!$D:$D,D52+1))</f>
        <v/>
      </c>
      <c r="I52" t="str">
        <f>IF(E52="","",INDEX(Knutepunkter!$B:$B,E52+1))</f>
        <v/>
      </c>
      <c r="J52" t="str">
        <f>IF(E52="","",INDEX(Knutepunkter!$C:$C,E52+1))</f>
        <v/>
      </c>
      <c r="K52" t="str">
        <f>IF(E52="","",INDEX(Knutepunkter!$D:$D,E52+1))</f>
        <v/>
      </c>
      <c r="L52" t="str">
        <f t="shared" si="3"/>
        <v/>
      </c>
      <c r="M52" t="str">
        <f t="shared" si="4"/>
        <v/>
      </c>
    </row>
    <row r="53" spans="1:13" x14ac:dyDescent="0.3">
      <c r="A53" t="str">
        <f>Segmenter!A53</f>
        <v/>
      </c>
      <c r="B53" t="str">
        <f>Segmenter!B53</f>
        <v/>
      </c>
      <c r="C53" t="str">
        <f t="shared" si="0"/>
        <v/>
      </c>
      <c r="D53" t="str">
        <f t="shared" si="1"/>
        <v/>
      </c>
      <c r="E53" t="str">
        <f t="shared" si="2"/>
        <v/>
      </c>
      <c r="F53" t="str">
        <f>IF(D53="","",INDEX(Knutepunkter!$B:$B,D53+1))</f>
        <v/>
      </c>
      <c r="G53" t="str">
        <f>IF(D53="","",INDEX(Knutepunkter!$C:$C,D53+1))</f>
        <v/>
      </c>
      <c r="H53" t="str">
        <f>IF(D53="","",INDEX(Knutepunkter!$D:$D,D53+1))</f>
        <v/>
      </c>
      <c r="I53" t="str">
        <f>IF(E53="","",INDEX(Knutepunkter!$B:$B,E53+1))</f>
        <v/>
      </c>
      <c r="J53" t="str">
        <f>IF(E53="","",INDEX(Knutepunkter!$C:$C,E53+1))</f>
        <v/>
      </c>
      <c r="K53" t="str">
        <f>IF(E53="","",INDEX(Knutepunkter!$D:$D,E53+1))</f>
        <v/>
      </c>
      <c r="L53" t="str">
        <f t="shared" si="3"/>
        <v/>
      </c>
      <c r="M53" t="str">
        <f t="shared" si="4"/>
        <v/>
      </c>
    </row>
    <row r="54" spans="1:13" x14ac:dyDescent="0.3">
      <c r="A54" t="str">
        <f>Segmenter!A54</f>
        <v/>
      </c>
      <c r="B54" t="str">
        <f>Segmenter!B54</f>
        <v/>
      </c>
      <c r="C54" t="str">
        <f t="shared" si="0"/>
        <v/>
      </c>
      <c r="D54" t="str">
        <f t="shared" si="1"/>
        <v/>
      </c>
      <c r="E54" t="str">
        <f t="shared" si="2"/>
        <v/>
      </c>
      <c r="F54" t="str">
        <f>IF(D54="","",INDEX(Knutepunkter!$B:$B,D54+1))</f>
        <v/>
      </c>
      <c r="G54" t="str">
        <f>IF(D54="","",INDEX(Knutepunkter!$C:$C,D54+1))</f>
        <v/>
      </c>
      <c r="H54" t="str">
        <f>IF(D54="","",INDEX(Knutepunkter!$D:$D,D54+1))</f>
        <v/>
      </c>
      <c r="I54" t="str">
        <f>IF(E54="","",INDEX(Knutepunkter!$B:$B,E54+1))</f>
        <v/>
      </c>
      <c r="J54" t="str">
        <f>IF(E54="","",INDEX(Knutepunkter!$C:$C,E54+1))</f>
        <v/>
      </c>
      <c r="K54" t="str">
        <f>IF(E54="","",INDEX(Knutepunkter!$D:$D,E54+1))</f>
        <v/>
      </c>
      <c r="L54" t="str">
        <f t="shared" si="3"/>
        <v/>
      </c>
      <c r="M54" t="str">
        <f t="shared" si="4"/>
        <v/>
      </c>
    </row>
    <row r="55" spans="1:13" x14ac:dyDescent="0.3">
      <c r="A55" t="str">
        <f>Segmenter!A55</f>
        <v/>
      </c>
      <c r="B55" t="str">
        <f>Segmenter!B55</f>
        <v/>
      </c>
      <c r="C55" t="str">
        <f t="shared" si="0"/>
        <v/>
      </c>
      <c r="D55" t="str">
        <f t="shared" si="1"/>
        <v/>
      </c>
      <c r="E55" t="str">
        <f t="shared" si="2"/>
        <v/>
      </c>
      <c r="F55" t="str">
        <f>IF(D55="","",INDEX(Knutepunkter!$B:$B,D55+1))</f>
        <v/>
      </c>
      <c r="G55" t="str">
        <f>IF(D55="","",INDEX(Knutepunkter!$C:$C,D55+1))</f>
        <v/>
      </c>
      <c r="H55" t="str">
        <f>IF(D55="","",INDEX(Knutepunkter!$D:$D,D55+1))</f>
        <v/>
      </c>
      <c r="I55" t="str">
        <f>IF(E55="","",INDEX(Knutepunkter!$B:$B,E55+1))</f>
        <v/>
      </c>
      <c r="J55" t="str">
        <f>IF(E55="","",INDEX(Knutepunkter!$C:$C,E55+1))</f>
        <v/>
      </c>
      <c r="K55" t="str">
        <f>IF(E55="","",INDEX(Knutepunkter!$D:$D,E55+1))</f>
        <v/>
      </c>
      <c r="L55" t="str">
        <f t="shared" si="3"/>
        <v/>
      </c>
      <c r="M55" t="str">
        <f t="shared" si="4"/>
        <v/>
      </c>
    </row>
    <row r="56" spans="1:13" x14ac:dyDescent="0.3">
      <c r="A56" t="str">
        <f>Segmenter!A56</f>
        <v/>
      </c>
      <c r="B56" t="str">
        <f>Segmenter!B56</f>
        <v/>
      </c>
      <c r="C56" t="str">
        <f t="shared" si="0"/>
        <v/>
      </c>
      <c r="D56" t="str">
        <f t="shared" si="1"/>
        <v/>
      </c>
      <c r="E56" t="str">
        <f t="shared" si="2"/>
        <v/>
      </c>
      <c r="F56" t="str">
        <f>IF(D56="","",INDEX(Knutepunkter!$B:$B,D56+1))</f>
        <v/>
      </c>
      <c r="G56" t="str">
        <f>IF(D56="","",INDEX(Knutepunkter!$C:$C,D56+1))</f>
        <v/>
      </c>
      <c r="H56" t="str">
        <f>IF(D56="","",INDEX(Knutepunkter!$D:$D,D56+1))</f>
        <v/>
      </c>
      <c r="I56" t="str">
        <f>IF(E56="","",INDEX(Knutepunkter!$B:$B,E56+1))</f>
        <v/>
      </c>
      <c r="J56" t="str">
        <f>IF(E56="","",INDEX(Knutepunkter!$C:$C,E56+1))</f>
        <v/>
      </c>
      <c r="K56" t="str">
        <f>IF(E56="","",INDEX(Knutepunkter!$D:$D,E56+1))</f>
        <v/>
      </c>
      <c r="L56" t="str">
        <f t="shared" si="3"/>
        <v/>
      </c>
      <c r="M56" t="str">
        <f t="shared" si="4"/>
        <v/>
      </c>
    </row>
    <row r="57" spans="1:13" x14ac:dyDescent="0.3">
      <c r="A57" t="str">
        <f>Segmenter!A57</f>
        <v/>
      </c>
      <c r="B57" t="str">
        <f>Segmenter!B57</f>
        <v/>
      </c>
      <c r="C57" t="str">
        <f t="shared" si="0"/>
        <v/>
      </c>
      <c r="D57" t="str">
        <f t="shared" si="1"/>
        <v/>
      </c>
      <c r="E57" t="str">
        <f t="shared" si="2"/>
        <v/>
      </c>
      <c r="F57" t="str">
        <f>IF(D57="","",INDEX(Knutepunkter!$B:$B,D57+1))</f>
        <v/>
      </c>
      <c r="G57" t="str">
        <f>IF(D57="","",INDEX(Knutepunkter!$C:$C,D57+1))</f>
        <v/>
      </c>
      <c r="H57" t="str">
        <f>IF(D57="","",INDEX(Knutepunkter!$D:$D,D57+1))</f>
        <v/>
      </c>
      <c r="I57" t="str">
        <f>IF(E57="","",INDEX(Knutepunkter!$B:$B,E57+1))</f>
        <v/>
      </c>
      <c r="J57" t="str">
        <f>IF(E57="","",INDEX(Knutepunkter!$C:$C,E57+1))</f>
        <v/>
      </c>
      <c r="K57" t="str">
        <f>IF(E57="","",INDEX(Knutepunkter!$D:$D,E57+1))</f>
        <v/>
      </c>
      <c r="L57" t="str">
        <f t="shared" si="3"/>
        <v/>
      </c>
      <c r="M57" t="str">
        <f t="shared" si="4"/>
        <v/>
      </c>
    </row>
    <row r="58" spans="1:13" x14ac:dyDescent="0.3">
      <c r="A58" t="str">
        <f>Segmenter!A58</f>
        <v/>
      </c>
      <c r="B58" t="str">
        <f>Segmenter!B58</f>
        <v/>
      </c>
      <c r="C58" t="str">
        <f t="shared" si="0"/>
        <v/>
      </c>
      <c r="D58" t="str">
        <f t="shared" si="1"/>
        <v/>
      </c>
      <c r="E58" t="str">
        <f t="shared" si="2"/>
        <v/>
      </c>
      <c r="F58" t="str">
        <f>IF(D58="","",INDEX(Knutepunkter!$B:$B,D58+1))</f>
        <v/>
      </c>
      <c r="G58" t="str">
        <f>IF(D58="","",INDEX(Knutepunkter!$C:$C,D58+1))</f>
        <v/>
      </c>
      <c r="H58" t="str">
        <f>IF(D58="","",INDEX(Knutepunkter!$D:$D,D58+1))</f>
        <v/>
      </c>
      <c r="I58" t="str">
        <f>IF(E58="","",INDEX(Knutepunkter!$B:$B,E58+1))</f>
        <v/>
      </c>
      <c r="J58" t="str">
        <f>IF(E58="","",INDEX(Knutepunkter!$C:$C,E58+1))</f>
        <v/>
      </c>
      <c r="K58" t="str">
        <f>IF(E58="","",INDEX(Knutepunkter!$D:$D,E58+1))</f>
        <v/>
      </c>
      <c r="L58" t="str">
        <f t="shared" si="3"/>
        <v/>
      </c>
      <c r="M58" t="str">
        <f t="shared" si="4"/>
        <v/>
      </c>
    </row>
    <row r="59" spans="1:13" x14ac:dyDescent="0.3">
      <c r="A59" t="str">
        <f>Segmenter!A59</f>
        <v/>
      </c>
      <c r="B59" t="str">
        <f>Segmenter!B59</f>
        <v/>
      </c>
      <c r="C59" t="str">
        <f t="shared" si="0"/>
        <v/>
      </c>
      <c r="D59" t="str">
        <f t="shared" si="1"/>
        <v/>
      </c>
      <c r="E59" t="str">
        <f t="shared" si="2"/>
        <v/>
      </c>
      <c r="F59" t="str">
        <f>IF(D59="","",INDEX(Knutepunkter!$B:$B,D59+1))</f>
        <v/>
      </c>
      <c r="G59" t="str">
        <f>IF(D59="","",INDEX(Knutepunkter!$C:$C,D59+1))</f>
        <v/>
      </c>
      <c r="H59" t="str">
        <f>IF(D59="","",INDEX(Knutepunkter!$D:$D,D59+1))</f>
        <v/>
      </c>
      <c r="I59" t="str">
        <f>IF(E59="","",INDEX(Knutepunkter!$B:$B,E59+1))</f>
        <v/>
      </c>
      <c r="J59" t="str">
        <f>IF(E59="","",INDEX(Knutepunkter!$C:$C,E59+1))</f>
        <v/>
      </c>
      <c r="K59" t="str">
        <f>IF(E59="","",INDEX(Knutepunkter!$D:$D,E59+1))</f>
        <v/>
      </c>
      <c r="L59" t="str">
        <f t="shared" si="3"/>
        <v/>
      </c>
      <c r="M59" t="str">
        <f t="shared" si="4"/>
        <v/>
      </c>
    </row>
    <row r="60" spans="1:13" x14ac:dyDescent="0.3">
      <c r="A60" t="str">
        <f>Segmenter!A60</f>
        <v/>
      </c>
      <c r="B60" t="str">
        <f>Segmenter!B60</f>
        <v/>
      </c>
      <c r="C60" t="str">
        <f t="shared" si="0"/>
        <v/>
      </c>
      <c r="D60" t="str">
        <f t="shared" si="1"/>
        <v/>
      </c>
      <c r="E60" t="str">
        <f t="shared" si="2"/>
        <v/>
      </c>
      <c r="F60" t="str">
        <f>IF(D60="","",INDEX(Knutepunkter!$B:$B,D60+1))</f>
        <v/>
      </c>
      <c r="G60" t="str">
        <f>IF(D60="","",INDEX(Knutepunkter!$C:$C,D60+1))</f>
        <v/>
      </c>
      <c r="H60" t="str">
        <f>IF(D60="","",INDEX(Knutepunkter!$D:$D,D60+1))</f>
        <v/>
      </c>
      <c r="I60" t="str">
        <f>IF(E60="","",INDEX(Knutepunkter!$B:$B,E60+1))</f>
        <v/>
      </c>
      <c r="J60" t="str">
        <f>IF(E60="","",INDEX(Knutepunkter!$C:$C,E60+1))</f>
        <v/>
      </c>
      <c r="K60" t="str">
        <f>IF(E60="","",INDEX(Knutepunkter!$D:$D,E60+1))</f>
        <v/>
      </c>
      <c r="L60" t="str">
        <f t="shared" si="3"/>
        <v/>
      </c>
      <c r="M60" t="str">
        <f t="shared" si="4"/>
        <v/>
      </c>
    </row>
    <row r="61" spans="1:13" x14ac:dyDescent="0.3">
      <c r="A61" t="str">
        <f>Segmenter!A61</f>
        <v/>
      </c>
      <c r="B61" t="str">
        <f>Segmenter!B61</f>
        <v/>
      </c>
      <c r="C61" t="str">
        <f t="shared" si="0"/>
        <v/>
      </c>
      <c r="D61" t="str">
        <f t="shared" si="1"/>
        <v/>
      </c>
      <c r="E61" t="str">
        <f t="shared" si="2"/>
        <v/>
      </c>
      <c r="F61" t="str">
        <f>IF(D61="","",INDEX(Knutepunkter!$B:$B,D61+1))</f>
        <v/>
      </c>
      <c r="G61" t="str">
        <f>IF(D61="","",INDEX(Knutepunkter!$C:$C,D61+1))</f>
        <v/>
      </c>
      <c r="H61" t="str">
        <f>IF(D61="","",INDEX(Knutepunkter!$D:$D,D61+1))</f>
        <v/>
      </c>
      <c r="I61" t="str">
        <f>IF(E61="","",INDEX(Knutepunkter!$B:$B,E61+1))</f>
        <v/>
      </c>
      <c r="J61" t="str">
        <f>IF(E61="","",INDEX(Knutepunkter!$C:$C,E61+1))</f>
        <v/>
      </c>
      <c r="K61" t="str">
        <f>IF(E61="","",INDEX(Knutepunkter!$D:$D,E61+1))</f>
        <v/>
      </c>
      <c r="L61" t="str">
        <f t="shared" si="3"/>
        <v/>
      </c>
      <c r="M61" t="str">
        <f t="shared" si="4"/>
        <v/>
      </c>
    </row>
    <row r="62" spans="1:13" x14ac:dyDescent="0.3">
      <c r="A62" t="str">
        <f>Segmenter!A62</f>
        <v/>
      </c>
      <c r="B62" t="str">
        <f>Segmenter!B62</f>
        <v/>
      </c>
      <c r="C62" t="str">
        <f t="shared" si="0"/>
        <v/>
      </c>
      <c r="D62" t="str">
        <f t="shared" si="1"/>
        <v/>
      </c>
      <c r="E62" t="str">
        <f t="shared" si="2"/>
        <v/>
      </c>
      <c r="F62" t="str">
        <f>IF(D62="","",INDEX(Knutepunkter!$B:$B,D62+1))</f>
        <v/>
      </c>
      <c r="G62" t="str">
        <f>IF(D62="","",INDEX(Knutepunkter!$C:$C,D62+1))</f>
        <v/>
      </c>
      <c r="H62" t="str">
        <f>IF(D62="","",INDEX(Knutepunkter!$D:$D,D62+1))</f>
        <v/>
      </c>
      <c r="I62" t="str">
        <f>IF(E62="","",INDEX(Knutepunkter!$B:$B,E62+1))</f>
        <v/>
      </c>
      <c r="J62" t="str">
        <f>IF(E62="","",INDEX(Knutepunkter!$C:$C,E62+1))</f>
        <v/>
      </c>
      <c r="K62" t="str">
        <f>IF(E62="","",INDEX(Knutepunkter!$D:$D,E62+1))</f>
        <v/>
      </c>
      <c r="L62" t="str">
        <f t="shared" si="3"/>
        <v/>
      </c>
      <c r="M62" t="str">
        <f t="shared" si="4"/>
        <v/>
      </c>
    </row>
    <row r="63" spans="1:13" x14ac:dyDescent="0.3">
      <c r="A63" t="str">
        <f>Segmenter!A63</f>
        <v/>
      </c>
      <c r="B63" t="str">
        <f>Segmenter!B63</f>
        <v/>
      </c>
      <c r="C63" t="str">
        <f t="shared" si="0"/>
        <v/>
      </c>
      <c r="D63" t="str">
        <f t="shared" si="1"/>
        <v/>
      </c>
      <c r="E63" t="str">
        <f t="shared" si="2"/>
        <v/>
      </c>
      <c r="F63" t="str">
        <f>IF(D63="","",INDEX(Knutepunkter!$B:$B,D63+1))</f>
        <v/>
      </c>
      <c r="G63" t="str">
        <f>IF(D63="","",INDEX(Knutepunkter!$C:$C,D63+1))</f>
        <v/>
      </c>
      <c r="H63" t="str">
        <f>IF(D63="","",INDEX(Knutepunkter!$D:$D,D63+1))</f>
        <v/>
      </c>
      <c r="I63" t="str">
        <f>IF(E63="","",INDEX(Knutepunkter!$B:$B,E63+1))</f>
        <v/>
      </c>
      <c r="J63" t="str">
        <f>IF(E63="","",INDEX(Knutepunkter!$C:$C,E63+1))</f>
        <v/>
      </c>
      <c r="K63" t="str">
        <f>IF(E63="","",INDEX(Knutepunkter!$D:$D,E63+1))</f>
        <v/>
      </c>
      <c r="L63" t="str">
        <f t="shared" si="3"/>
        <v/>
      </c>
      <c r="M63" t="str">
        <f t="shared" si="4"/>
        <v/>
      </c>
    </row>
    <row r="64" spans="1:13" x14ac:dyDescent="0.3">
      <c r="A64" t="str">
        <f>Segmenter!A64</f>
        <v/>
      </c>
      <c r="B64" t="str">
        <f>Segmenter!B64</f>
        <v/>
      </c>
      <c r="C64" t="str">
        <f t="shared" si="0"/>
        <v/>
      </c>
      <c r="D64" t="str">
        <f t="shared" si="1"/>
        <v/>
      </c>
      <c r="E64" t="str">
        <f t="shared" si="2"/>
        <v/>
      </c>
      <c r="F64" t="str">
        <f>IF(D64="","",INDEX(Knutepunkter!$B:$B,D64+1))</f>
        <v/>
      </c>
      <c r="G64" t="str">
        <f>IF(D64="","",INDEX(Knutepunkter!$C:$C,D64+1))</f>
        <v/>
      </c>
      <c r="H64" t="str">
        <f>IF(D64="","",INDEX(Knutepunkter!$D:$D,D64+1))</f>
        <v/>
      </c>
      <c r="I64" t="str">
        <f>IF(E64="","",INDEX(Knutepunkter!$B:$B,E64+1))</f>
        <v/>
      </c>
      <c r="J64" t="str">
        <f>IF(E64="","",INDEX(Knutepunkter!$C:$C,E64+1))</f>
        <v/>
      </c>
      <c r="K64" t="str">
        <f>IF(E64="","",INDEX(Knutepunkter!$D:$D,E64+1))</f>
        <v/>
      </c>
      <c r="L64" t="str">
        <f t="shared" si="3"/>
        <v/>
      </c>
      <c r="M64" t="str">
        <f t="shared" si="4"/>
        <v/>
      </c>
    </row>
    <row r="65" spans="1:13" x14ac:dyDescent="0.3">
      <c r="A65" t="str">
        <f>Segmenter!A65</f>
        <v/>
      </c>
      <c r="B65" t="str">
        <f>Segmenter!B65</f>
        <v/>
      </c>
      <c r="C65" t="str">
        <f t="shared" si="0"/>
        <v/>
      </c>
      <c r="D65" t="str">
        <f t="shared" si="1"/>
        <v/>
      </c>
      <c r="E65" t="str">
        <f t="shared" si="2"/>
        <v/>
      </c>
      <c r="F65" t="str">
        <f>IF(D65="","",INDEX(Knutepunkter!$B:$B,D65+1))</f>
        <v/>
      </c>
      <c r="G65" t="str">
        <f>IF(D65="","",INDEX(Knutepunkter!$C:$C,D65+1))</f>
        <v/>
      </c>
      <c r="H65" t="str">
        <f>IF(D65="","",INDEX(Knutepunkter!$D:$D,D65+1))</f>
        <v/>
      </c>
      <c r="I65" t="str">
        <f>IF(E65="","",INDEX(Knutepunkter!$B:$B,E65+1))</f>
        <v/>
      </c>
      <c r="J65" t="str">
        <f>IF(E65="","",INDEX(Knutepunkter!$C:$C,E65+1))</f>
        <v/>
      </c>
      <c r="K65" t="str">
        <f>IF(E65="","",INDEX(Knutepunkter!$D:$D,E65+1))</f>
        <v/>
      </c>
      <c r="L65" t="str">
        <f t="shared" si="3"/>
        <v/>
      </c>
      <c r="M65" t="str">
        <f t="shared" si="4"/>
        <v/>
      </c>
    </row>
    <row r="66" spans="1:13" x14ac:dyDescent="0.3">
      <c r="A66" t="str">
        <f>Segmenter!A66</f>
        <v/>
      </c>
      <c r="B66" t="str">
        <f>Segmenter!B66</f>
        <v/>
      </c>
      <c r="C66" t="str">
        <f t="shared" ref="C66:C129" si="5">IF(B66="","",IF(AND(F66=I66,G66=J66,H66&lt;&gt;K66),"Søyle","Bjelke"))</f>
        <v/>
      </c>
      <c r="D66" t="str">
        <f t="shared" ref="D66:D129" si="6">IF(B66="","",VALUE(LEFT(B66,FIND(" -&gt; ",B66)-1)))</f>
        <v/>
      </c>
      <c r="E66" t="str">
        <f t="shared" ref="E66:E129" si="7">IF(B66="","",VALUE(MID(B66,FIND(" -&gt; ",B66)+4,99)))</f>
        <v/>
      </c>
      <c r="F66" t="str">
        <f>IF(D66="","",INDEX(Knutepunkter!$B:$B,D66+1))</f>
        <v/>
      </c>
      <c r="G66" t="str">
        <f>IF(D66="","",INDEX(Knutepunkter!$C:$C,D66+1))</f>
        <v/>
      </c>
      <c r="H66" t="str">
        <f>IF(D66="","",INDEX(Knutepunkter!$D:$D,D66+1))</f>
        <v/>
      </c>
      <c r="I66" t="str">
        <f>IF(E66="","",INDEX(Knutepunkter!$B:$B,E66+1))</f>
        <v/>
      </c>
      <c r="J66" t="str">
        <f>IF(E66="","",INDEX(Knutepunkter!$C:$C,E66+1))</f>
        <v/>
      </c>
      <c r="K66" t="str">
        <f>IF(E66="","",INDEX(Knutepunkter!$D:$D,E66+1))</f>
        <v/>
      </c>
      <c r="L66" t="str">
        <f t="shared" ref="L66:L129" si="8">IF(B66="","",SQRT((I66-F66)^2+(J66-G66)^2+(K66-H66)^2))</f>
        <v/>
      </c>
      <c r="M66" t="str">
        <f t="shared" ref="M66:M129" si="9">IF(L66="","",L66/1000)</f>
        <v/>
      </c>
    </row>
    <row r="67" spans="1:13" x14ac:dyDescent="0.3">
      <c r="A67" t="str">
        <f>Segmenter!A67</f>
        <v/>
      </c>
      <c r="B67" t="str">
        <f>Segmenter!B67</f>
        <v/>
      </c>
      <c r="C67" t="str">
        <f t="shared" si="5"/>
        <v/>
      </c>
      <c r="D67" t="str">
        <f t="shared" si="6"/>
        <v/>
      </c>
      <c r="E67" t="str">
        <f t="shared" si="7"/>
        <v/>
      </c>
      <c r="F67" t="str">
        <f>IF(D67="","",INDEX(Knutepunkter!$B:$B,D67+1))</f>
        <v/>
      </c>
      <c r="G67" t="str">
        <f>IF(D67="","",INDEX(Knutepunkter!$C:$C,D67+1))</f>
        <v/>
      </c>
      <c r="H67" t="str">
        <f>IF(D67="","",INDEX(Knutepunkter!$D:$D,D67+1))</f>
        <v/>
      </c>
      <c r="I67" t="str">
        <f>IF(E67="","",INDEX(Knutepunkter!$B:$B,E67+1))</f>
        <v/>
      </c>
      <c r="J67" t="str">
        <f>IF(E67="","",INDEX(Knutepunkter!$C:$C,E67+1))</f>
        <v/>
      </c>
      <c r="K67" t="str">
        <f>IF(E67="","",INDEX(Knutepunkter!$D:$D,E67+1))</f>
        <v/>
      </c>
      <c r="L67" t="str">
        <f t="shared" si="8"/>
        <v/>
      </c>
      <c r="M67" t="str">
        <f t="shared" si="9"/>
        <v/>
      </c>
    </row>
    <row r="68" spans="1:13" x14ac:dyDescent="0.3">
      <c r="A68" t="str">
        <f>Segmenter!A68</f>
        <v/>
      </c>
      <c r="B68" t="str">
        <f>Segmenter!B68</f>
        <v/>
      </c>
      <c r="C68" t="str">
        <f t="shared" si="5"/>
        <v/>
      </c>
      <c r="D68" t="str">
        <f t="shared" si="6"/>
        <v/>
      </c>
      <c r="E68" t="str">
        <f t="shared" si="7"/>
        <v/>
      </c>
      <c r="F68" t="str">
        <f>IF(D68="","",INDEX(Knutepunkter!$B:$B,D68+1))</f>
        <v/>
      </c>
      <c r="G68" t="str">
        <f>IF(D68="","",INDEX(Knutepunkter!$C:$C,D68+1))</f>
        <v/>
      </c>
      <c r="H68" t="str">
        <f>IF(D68="","",INDEX(Knutepunkter!$D:$D,D68+1))</f>
        <v/>
      </c>
      <c r="I68" t="str">
        <f>IF(E68="","",INDEX(Knutepunkter!$B:$B,E68+1))</f>
        <v/>
      </c>
      <c r="J68" t="str">
        <f>IF(E68="","",INDEX(Knutepunkter!$C:$C,E68+1))</f>
        <v/>
      </c>
      <c r="K68" t="str">
        <f>IF(E68="","",INDEX(Knutepunkter!$D:$D,E68+1))</f>
        <v/>
      </c>
      <c r="L68" t="str">
        <f t="shared" si="8"/>
        <v/>
      </c>
      <c r="M68" t="str">
        <f t="shared" si="9"/>
        <v/>
      </c>
    </row>
    <row r="69" spans="1:13" x14ac:dyDescent="0.3">
      <c r="A69" t="str">
        <f>Segmenter!A69</f>
        <v/>
      </c>
      <c r="B69" t="str">
        <f>Segmenter!B69</f>
        <v/>
      </c>
      <c r="C69" t="str">
        <f t="shared" si="5"/>
        <v/>
      </c>
      <c r="D69" t="str">
        <f t="shared" si="6"/>
        <v/>
      </c>
      <c r="E69" t="str">
        <f t="shared" si="7"/>
        <v/>
      </c>
      <c r="F69" t="str">
        <f>IF(D69="","",INDEX(Knutepunkter!$B:$B,D69+1))</f>
        <v/>
      </c>
      <c r="G69" t="str">
        <f>IF(D69="","",INDEX(Knutepunkter!$C:$C,D69+1))</f>
        <v/>
      </c>
      <c r="H69" t="str">
        <f>IF(D69="","",INDEX(Knutepunkter!$D:$D,D69+1))</f>
        <v/>
      </c>
      <c r="I69" t="str">
        <f>IF(E69="","",INDEX(Knutepunkter!$B:$B,E69+1))</f>
        <v/>
      </c>
      <c r="J69" t="str">
        <f>IF(E69="","",INDEX(Knutepunkter!$C:$C,E69+1))</f>
        <v/>
      </c>
      <c r="K69" t="str">
        <f>IF(E69="","",INDEX(Knutepunkter!$D:$D,E69+1))</f>
        <v/>
      </c>
      <c r="L69" t="str">
        <f t="shared" si="8"/>
        <v/>
      </c>
      <c r="M69" t="str">
        <f t="shared" si="9"/>
        <v/>
      </c>
    </row>
    <row r="70" spans="1:13" x14ac:dyDescent="0.3">
      <c r="A70" t="str">
        <f>Segmenter!A70</f>
        <v/>
      </c>
      <c r="B70" t="str">
        <f>Segmenter!B70</f>
        <v/>
      </c>
      <c r="C70" t="str">
        <f t="shared" si="5"/>
        <v/>
      </c>
      <c r="D70" t="str">
        <f t="shared" si="6"/>
        <v/>
      </c>
      <c r="E70" t="str">
        <f t="shared" si="7"/>
        <v/>
      </c>
      <c r="F70" t="str">
        <f>IF(D70="","",INDEX(Knutepunkter!$B:$B,D70+1))</f>
        <v/>
      </c>
      <c r="G70" t="str">
        <f>IF(D70="","",INDEX(Knutepunkter!$C:$C,D70+1))</f>
        <v/>
      </c>
      <c r="H70" t="str">
        <f>IF(D70="","",INDEX(Knutepunkter!$D:$D,D70+1))</f>
        <v/>
      </c>
      <c r="I70" t="str">
        <f>IF(E70="","",INDEX(Knutepunkter!$B:$B,E70+1))</f>
        <v/>
      </c>
      <c r="J70" t="str">
        <f>IF(E70="","",INDEX(Knutepunkter!$C:$C,E70+1))</f>
        <v/>
      </c>
      <c r="K70" t="str">
        <f>IF(E70="","",INDEX(Knutepunkter!$D:$D,E70+1))</f>
        <v/>
      </c>
      <c r="L70" t="str">
        <f t="shared" si="8"/>
        <v/>
      </c>
      <c r="M70" t="str">
        <f t="shared" si="9"/>
        <v/>
      </c>
    </row>
    <row r="71" spans="1:13" x14ac:dyDescent="0.3">
      <c r="A71" t="str">
        <f>Segmenter!A71</f>
        <v/>
      </c>
      <c r="B71" t="str">
        <f>Segmenter!B71</f>
        <v/>
      </c>
      <c r="C71" t="str">
        <f t="shared" si="5"/>
        <v/>
      </c>
      <c r="D71" t="str">
        <f t="shared" si="6"/>
        <v/>
      </c>
      <c r="E71" t="str">
        <f t="shared" si="7"/>
        <v/>
      </c>
      <c r="F71" t="str">
        <f>IF(D71="","",INDEX(Knutepunkter!$B:$B,D71+1))</f>
        <v/>
      </c>
      <c r="G71" t="str">
        <f>IF(D71="","",INDEX(Knutepunkter!$C:$C,D71+1))</f>
        <v/>
      </c>
      <c r="H71" t="str">
        <f>IF(D71="","",INDEX(Knutepunkter!$D:$D,D71+1))</f>
        <v/>
      </c>
      <c r="I71" t="str">
        <f>IF(E71="","",INDEX(Knutepunkter!$B:$B,E71+1))</f>
        <v/>
      </c>
      <c r="J71" t="str">
        <f>IF(E71="","",INDEX(Knutepunkter!$C:$C,E71+1))</f>
        <v/>
      </c>
      <c r="K71" t="str">
        <f>IF(E71="","",INDEX(Knutepunkter!$D:$D,E71+1))</f>
        <v/>
      </c>
      <c r="L71" t="str">
        <f t="shared" si="8"/>
        <v/>
      </c>
      <c r="M71" t="str">
        <f t="shared" si="9"/>
        <v/>
      </c>
    </row>
    <row r="72" spans="1:13" x14ac:dyDescent="0.3">
      <c r="A72" t="str">
        <f>Segmenter!A72</f>
        <v/>
      </c>
      <c r="B72" t="str">
        <f>Segmenter!B72</f>
        <v/>
      </c>
      <c r="C72" t="str">
        <f t="shared" si="5"/>
        <v/>
      </c>
      <c r="D72" t="str">
        <f t="shared" si="6"/>
        <v/>
      </c>
      <c r="E72" t="str">
        <f t="shared" si="7"/>
        <v/>
      </c>
      <c r="F72" t="str">
        <f>IF(D72="","",INDEX(Knutepunkter!$B:$B,D72+1))</f>
        <v/>
      </c>
      <c r="G72" t="str">
        <f>IF(D72="","",INDEX(Knutepunkter!$C:$C,D72+1))</f>
        <v/>
      </c>
      <c r="H72" t="str">
        <f>IF(D72="","",INDEX(Knutepunkter!$D:$D,D72+1))</f>
        <v/>
      </c>
      <c r="I72" t="str">
        <f>IF(E72="","",INDEX(Knutepunkter!$B:$B,E72+1))</f>
        <v/>
      </c>
      <c r="J72" t="str">
        <f>IF(E72="","",INDEX(Knutepunkter!$C:$C,E72+1))</f>
        <v/>
      </c>
      <c r="K72" t="str">
        <f>IF(E72="","",INDEX(Knutepunkter!$D:$D,E72+1))</f>
        <v/>
      </c>
      <c r="L72" t="str">
        <f t="shared" si="8"/>
        <v/>
      </c>
      <c r="M72" t="str">
        <f t="shared" si="9"/>
        <v/>
      </c>
    </row>
    <row r="73" spans="1:13" x14ac:dyDescent="0.3">
      <c r="A73" t="str">
        <f>Segmenter!A73</f>
        <v/>
      </c>
      <c r="B73" t="str">
        <f>Segmenter!B73</f>
        <v/>
      </c>
      <c r="C73" t="str">
        <f t="shared" si="5"/>
        <v/>
      </c>
      <c r="D73" t="str">
        <f t="shared" si="6"/>
        <v/>
      </c>
      <c r="E73" t="str">
        <f t="shared" si="7"/>
        <v/>
      </c>
      <c r="F73" t="str">
        <f>IF(D73="","",INDEX(Knutepunkter!$B:$B,D73+1))</f>
        <v/>
      </c>
      <c r="G73" t="str">
        <f>IF(D73="","",INDEX(Knutepunkter!$C:$C,D73+1))</f>
        <v/>
      </c>
      <c r="H73" t="str">
        <f>IF(D73="","",INDEX(Knutepunkter!$D:$D,D73+1))</f>
        <v/>
      </c>
      <c r="I73" t="str">
        <f>IF(E73="","",INDEX(Knutepunkter!$B:$B,E73+1))</f>
        <v/>
      </c>
      <c r="J73" t="str">
        <f>IF(E73="","",INDEX(Knutepunkter!$C:$C,E73+1))</f>
        <v/>
      </c>
      <c r="K73" t="str">
        <f>IF(E73="","",INDEX(Knutepunkter!$D:$D,E73+1))</f>
        <v/>
      </c>
      <c r="L73" t="str">
        <f t="shared" si="8"/>
        <v/>
      </c>
      <c r="M73" t="str">
        <f t="shared" si="9"/>
        <v/>
      </c>
    </row>
    <row r="74" spans="1:13" x14ac:dyDescent="0.3">
      <c r="A74" t="str">
        <f>Segmenter!A74</f>
        <v/>
      </c>
      <c r="B74" t="str">
        <f>Segmenter!B74</f>
        <v/>
      </c>
      <c r="C74" t="str">
        <f t="shared" si="5"/>
        <v/>
      </c>
      <c r="D74" t="str">
        <f t="shared" si="6"/>
        <v/>
      </c>
      <c r="E74" t="str">
        <f t="shared" si="7"/>
        <v/>
      </c>
      <c r="F74" t="str">
        <f>IF(D74="","",INDEX(Knutepunkter!$B:$B,D74+1))</f>
        <v/>
      </c>
      <c r="G74" t="str">
        <f>IF(D74="","",INDEX(Knutepunkter!$C:$C,D74+1))</f>
        <v/>
      </c>
      <c r="H74" t="str">
        <f>IF(D74="","",INDEX(Knutepunkter!$D:$D,D74+1))</f>
        <v/>
      </c>
      <c r="I74" t="str">
        <f>IF(E74="","",INDEX(Knutepunkter!$B:$B,E74+1))</f>
        <v/>
      </c>
      <c r="J74" t="str">
        <f>IF(E74="","",INDEX(Knutepunkter!$C:$C,E74+1))</f>
        <v/>
      </c>
      <c r="K74" t="str">
        <f>IF(E74="","",INDEX(Knutepunkter!$D:$D,E74+1))</f>
        <v/>
      </c>
      <c r="L74" t="str">
        <f t="shared" si="8"/>
        <v/>
      </c>
      <c r="M74" t="str">
        <f t="shared" si="9"/>
        <v/>
      </c>
    </row>
    <row r="75" spans="1:13" x14ac:dyDescent="0.3">
      <c r="A75" t="str">
        <f>Segmenter!A75</f>
        <v/>
      </c>
      <c r="B75" t="str">
        <f>Segmenter!B75</f>
        <v/>
      </c>
      <c r="C75" t="str">
        <f t="shared" si="5"/>
        <v/>
      </c>
      <c r="D75" t="str">
        <f t="shared" si="6"/>
        <v/>
      </c>
      <c r="E75" t="str">
        <f t="shared" si="7"/>
        <v/>
      </c>
      <c r="F75" t="str">
        <f>IF(D75="","",INDEX(Knutepunkter!$B:$B,D75+1))</f>
        <v/>
      </c>
      <c r="G75" t="str">
        <f>IF(D75="","",INDEX(Knutepunkter!$C:$C,D75+1))</f>
        <v/>
      </c>
      <c r="H75" t="str">
        <f>IF(D75="","",INDEX(Knutepunkter!$D:$D,D75+1))</f>
        <v/>
      </c>
      <c r="I75" t="str">
        <f>IF(E75="","",INDEX(Knutepunkter!$B:$B,E75+1))</f>
        <v/>
      </c>
      <c r="J75" t="str">
        <f>IF(E75="","",INDEX(Knutepunkter!$C:$C,E75+1))</f>
        <v/>
      </c>
      <c r="K75" t="str">
        <f>IF(E75="","",INDEX(Knutepunkter!$D:$D,E75+1))</f>
        <v/>
      </c>
      <c r="L75" t="str">
        <f t="shared" si="8"/>
        <v/>
      </c>
      <c r="M75" t="str">
        <f t="shared" si="9"/>
        <v/>
      </c>
    </row>
    <row r="76" spans="1:13" x14ac:dyDescent="0.3">
      <c r="A76" t="str">
        <f>Segmenter!A76</f>
        <v/>
      </c>
      <c r="B76" t="str">
        <f>Segmenter!B76</f>
        <v/>
      </c>
      <c r="C76" t="str">
        <f t="shared" si="5"/>
        <v/>
      </c>
      <c r="D76" t="str">
        <f t="shared" si="6"/>
        <v/>
      </c>
      <c r="E76" t="str">
        <f t="shared" si="7"/>
        <v/>
      </c>
      <c r="F76" t="str">
        <f>IF(D76="","",INDEX(Knutepunkter!$B:$B,D76+1))</f>
        <v/>
      </c>
      <c r="G76" t="str">
        <f>IF(D76="","",INDEX(Knutepunkter!$C:$C,D76+1))</f>
        <v/>
      </c>
      <c r="H76" t="str">
        <f>IF(D76="","",INDEX(Knutepunkter!$D:$D,D76+1))</f>
        <v/>
      </c>
      <c r="I76" t="str">
        <f>IF(E76="","",INDEX(Knutepunkter!$B:$B,E76+1))</f>
        <v/>
      </c>
      <c r="J76" t="str">
        <f>IF(E76="","",INDEX(Knutepunkter!$C:$C,E76+1))</f>
        <v/>
      </c>
      <c r="K76" t="str">
        <f>IF(E76="","",INDEX(Knutepunkter!$D:$D,E76+1))</f>
        <v/>
      </c>
      <c r="L76" t="str">
        <f t="shared" si="8"/>
        <v/>
      </c>
      <c r="M76" t="str">
        <f t="shared" si="9"/>
        <v/>
      </c>
    </row>
    <row r="77" spans="1:13" x14ac:dyDescent="0.3">
      <c r="A77" t="str">
        <f>Segmenter!A77</f>
        <v/>
      </c>
      <c r="B77" t="str">
        <f>Segmenter!B77</f>
        <v/>
      </c>
      <c r="C77" t="str">
        <f t="shared" si="5"/>
        <v/>
      </c>
      <c r="D77" t="str">
        <f t="shared" si="6"/>
        <v/>
      </c>
      <c r="E77" t="str">
        <f t="shared" si="7"/>
        <v/>
      </c>
      <c r="F77" t="str">
        <f>IF(D77="","",INDEX(Knutepunkter!$B:$B,D77+1))</f>
        <v/>
      </c>
      <c r="G77" t="str">
        <f>IF(D77="","",INDEX(Knutepunkter!$C:$C,D77+1))</f>
        <v/>
      </c>
      <c r="H77" t="str">
        <f>IF(D77="","",INDEX(Knutepunkter!$D:$D,D77+1))</f>
        <v/>
      </c>
      <c r="I77" t="str">
        <f>IF(E77="","",INDEX(Knutepunkter!$B:$B,E77+1))</f>
        <v/>
      </c>
      <c r="J77" t="str">
        <f>IF(E77="","",INDEX(Knutepunkter!$C:$C,E77+1))</f>
        <v/>
      </c>
      <c r="K77" t="str">
        <f>IF(E77="","",INDEX(Knutepunkter!$D:$D,E77+1))</f>
        <v/>
      </c>
      <c r="L77" t="str">
        <f t="shared" si="8"/>
        <v/>
      </c>
      <c r="M77" t="str">
        <f t="shared" si="9"/>
        <v/>
      </c>
    </row>
    <row r="78" spans="1:13" x14ac:dyDescent="0.3">
      <c r="A78" t="str">
        <f>Segmenter!A78</f>
        <v/>
      </c>
      <c r="B78" t="str">
        <f>Segmenter!B78</f>
        <v/>
      </c>
      <c r="C78" t="str">
        <f t="shared" si="5"/>
        <v/>
      </c>
      <c r="D78" t="str">
        <f t="shared" si="6"/>
        <v/>
      </c>
      <c r="E78" t="str">
        <f t="shared" si="7"/>
        <v/>
      </c>
      <c r="F78" t="str">
        <f>IF(D78="","",INDEX(Knutepunkter!$B:$B,D78+1))</f>
        <v/>
      </c>
      <c r="G78" t="str">
        <f>IF(D78="","",INDEX(Knutepunkter!$C:$C,D78+1))</f>
        <v/>
      </c>
      <c r="H78" t="str">
        <f>IF(D78="","",INDEX(Knutepunkter!$D:$D,D78+1))</f>
        <v/>
      </c>
      <c r="I78" t="str">
        <f>IF(E78="","",INDEX(Knutepunkter!$B:$B,E78+1))</f>
        <v/>
      </c>
      <c r="J78" t="str">
        <f>IF(E78="","",INDEX(Knutepunkter!$C:$C,E78+1))</f>
        <v/>
      </c>
      <c r="K78" t="str">
        <f>IF(E78="","",INDEX(Knutepunkter!$D:$D,E78+1))</f>
        <v/>
      </c>
      <c r="L78" t="str">
        <f t="shared" si="8"/>
        <v/>
      </c>
      <c r="M78" t="str">
        <f t="shared" si="9"/>
        <v/>
      </c>
    </row>
    <row r="79" spans="1:13" x14ac:dyDescent="0.3">
      <c r="A79" t="str">
        <f>Segmenter!A79</f>
        <v/>
      </c>
      <c r="B79" t="str">
        <f>Segmenter!B79</f>
        <v/>
      </c>
      <c r="C79" t="str">
        <f t="shared" si="5"/>
        <v/>
      </c>
      <c r="D79" t="str">
        <f t="shared" si="6"/>
        <v/>
      </c>
      <c r="E79" t="str">
        <f t="shared" si="7"/>
        <v/>
      </c>
      <c r="F79" t="str">
        <f>IF(D79="","",INDEX(Knutepunkter!$B:$B,D79+1))</f>
        <v/>
      </c>
      <c r="G79" t="str">
        <f>IF(D79="","",INDEX(Knutepunkter!$C:$C,D79+1))</f>
        <v/>
      </c>
      <c r="H79" t="str">
        <f>IF(D79="","",INDEX(Knutepunkter!$D:$D,D79+1))</f>
        <v/>
      </c>
      <c r="I79" t="str">
        <f>IF(E79="","",INDEX(Knutepunkter!$B:$B,E79+1))</f>
        <v/>
      </c>
      <c r="J79" t="str">
        <f>IF(E79="","",INDEX(Knutepunkter!$C:$C,E79+1))</f>
        <v/>
      </c>
      <c r="K79" t="str">
        <f>IF(E79="","",INDEX(Knutepunkter!$D:$D,E79+1))</f>
        <v/>
      </c>
      <c r="L79" t="str">
        <f t="shared" si="8"/>
        <v/>
      </c>
      <c r="M79" t="str">
        <f t="shared" si="9"/>
        <v/>
      </c>
    </row>
    <row r="80" spans="1:13" x14ac:dyDescent="0.3">
      <c r="A80" t="str">
        <f>Segmenter!A80</f>
        <v/>
      </c>
      <c r="B80" t="str">
        <f>Segmenter!B80</f>
        <v/>
      </c>
      <c r="C80" t="str">
        <f t="shared" si="5"/>
        <v/>
      </c>
      <c r="D80" t="str">
        <f t="shared" si="6"/>
        <v/>
      </c>
      <c r="E80" t="str">
        <f t="shared" si="7"/>
        <v/>
      </c>
      <c r="F80" t="str">
        <f>IF(D80="","",INDEX(Knutepunkter!$B:$B,D80+1))</f>
        <v/>
      </c>
      <c r="G80" t="str">
        <f>IF(D80="","",INDEX(Knutepunkter!$C:$C,D80+1))</f>
        <v/>
      </c>
      <c r="H80" t="str">
        <f>IF(D80="","",INDEX(Knutepunkter!$D:$D,D80+1))</f>
        <v/>
      </c>
      <c r="I80" t="str">
        <f>IF(E80="","",INDEX(Knutepunkter!$B:$B,E80+1))</f>
        <v/>
      </c>
      <c r="J80" t="str">
        <f>IF(E80="","",INDEX(Knutepunkter!$C:$C,E80+1))</f>
        <v/>
      </c>
      <c r="K80" t="str">
        <f>IF(E80="","",INDEX(Knutepunkter!$D:$D,E80+1))</f>
        <v/>
      </c>
      <c r="L80" t="str">
        <f t="shared" si="8"/>
        <v/>
      </c>
      <c r="M80" t="str">
        <f t="shared" si="9"/>
        <v/>
      </c>
    </row>
    <row r="81" spans="1:13" x14ac:dyDescent="0.3">
      <c r="A81" t="str">
        <f>Segmenter!A81</f>
        <v/>
      </c>
      <c r="B81" t="str">
        <f>Segmenter!B81</f>
        <v/>
      </c>
      <c r="C81" t="str">
        <f t="shared" si="5"/>
        <v/>
      </c>
      <c r="D81" t="str">
        <f t="shared" si="6"/>
        <v/>
      </c>
      <c r="E81" t="str">
        <f t="shared" si="7"/>
        <v/>
      </c>
      <c r="F81" t="str">
        <f>IF(D81="","",INDEX(Knutepunkter!$B:$B,D81+1))</f>
        <v/>
      </c>
      <c r="G81" t="str">
        <f>IF(D81="","",INDEX(Knutepunkter!$C:$C,D81+1))</f>
        <v/>
      </c>
      <c r="H81" t="str">
        <f>IF(D81="","",INDEX(Knutepunkter!$D:$D,D81+1))</f>
        <v/>
      </c>
      <c r="I81" t="str">
        <f>IF(E81="","",INDEX(Knutepunkter!$B:$B,E81+1))</f>
        <v/>
      </c>
      <c r="J81" t="str">
        <f>IF(E81="","",INDEX(Knutepunkter!$C:$C,E81+1))</f>
        <v/>
      </c>
      <c r="K81" t="str">
        <f>IF(E81="","",INDEX(Knutepunkter!$D:$D,E81+1))</f>
        <v/>
      </c>
      <c r="L81" t="str">
        <f t="shared" si="8"/>
        <v/>
      </c>
      <c r="M81" t="str">
        <f t="shared" si="9"/>
        <v/>
      </c>
    </row>
    <row r="82" spans="1:13" x14ac:dyDescent="0.3">
      <c r="A82" t="str">
        <f>Segmenter!A82</f>
        <v/>
      </c>
      <c r="B82" t="str">
        <f>Segmenter!B82</f>
        <v/>
      </c>
      <c r="C82" t="str">
        <f t="shared" si="5"/>
        <v/>
      </c>
      <c r="D82" t="str">
        <f t="shared" si="6"/>
        <v/>
      </c>
      <c r="E82" t="str">
        <f t="shared" si="7"/>
        <v/>
      </c>
      <c r="F82" t="str">
        <f>IF(D82="","",INDEX(Knutepunkter!$B:$B,D82+1))</f>
        <v/>
      </c>
      <c r="G82" t="str">
        <f>IF(D82="","",INDEX(Knutepunkter!$C:$C,D82+1))</f>
        <v/>
      </c>
      <c r="H82" t="str">
        <f>IF(D82="","",INDEX(Knutepunkter!$D:$D,D82+1))</f>
        <v/>
      </c>
      <c r="I82" t="str">
        <f>IF(E82="","",INDEX(Knutepunkter!$B:$B,E82+1))</f>
        <v/>
      </c>
      <c r="J82" t="str">
        <f>IF(E82="","",INDEX(Knutepunkter!$C:$C,E82+1))</f>
        <v/>
      </c>
      <c r="K82" t="str">
        <f>IF(E82="","",INDEX(Knutepunkter!$D:$D,E82+1))</f>
        <v/>
      </c>
      <c r="L82" t="str">
        <f t="shared" si="8"/>
        <v/>
      </c>
      <c r="M82" t="str">
        <f t="shared" si="9"/>
        <v/>
      </c>
    </row>
    <row r="83" spans="1:13" x14ac:dyDescent="0.3">
      <c r="A83" t="str">
        <f>Segmenter!A83</f>
        <v/>
      </c>
      <c r="B83" t="str">
        <f>Segmenter!B83</f>
        <v/>
      </c>
      <c r="C83" t="str">
        <f t="shared" si="5"/>
        <v/>
      </c>
      <c r="D83" t="str">
        <f t="shared" si="6"/>
        <v/>
      </c>
      <c r="E83" t="str">
        <f t="shared" si="7"/>
        <v/>
      </c>
      <c r="F83" t="str">
        <f>IF(D83="","",INDEX(Knutepunkter!$B:$B,D83+1))</f>
        <v/>
      </c>
      <c r="G83" t="str">
        <f>IF(D83="","",INDEX(Knutepunkter!$C:$C,D83+1))</f>
        <v/>
      </c>
      <c r="H83" t="str">
        <f>IF(D83="","",INDEX(Knutepunkter!$D:$D,D83+1))</f>
        <v/>
      </c>
      <c r="I83" t="str">
        <f>IF(E83="","",INDEX(Knutepunkter!$B:$B,E83+1))</f>
        <v/>
      </c>
      <c r="J83" t="str">
        <f>IF(E83="","",INDEX(Knutepunkter!$C:$C,E83+1))</f>
        <v/>
      </c>
      <c r="K83" t="str">
        <f>IF(E83="","",INDEX(Knutepunkter!$D:$D,E83+1))</f>
        <v/>
      </c>
      <c r="L83" t="str">
        <f t="shared" si="8"/>
        <v/>
      </c>
      <c r="M83" t="str">
        <f t="shared" si="9"/>
        <v/>
      </c>
    </row>
    <row r="84" spans="1:13" x14ac:dyDescent="0.3">
      <c r="A84" t="str">
        <f>Segmenter!A84</f>
        <v/>
      </c>
      <c r="B84" t="str">
        <f>Segmenter!B84</f>
        <v/>
      </c>
      <c r="C84" t="str">
        <f t="shared" si="5"/>
        <v/>
      </c>
      <c r="D84" t="str">
        <f t="shared" si="6"/>
        <v/>
      </c>
      <c r="E84" t="str">
        <f t="shared" si="7"/>
        <v/>
      </c>
      <c r="F84" t="str">
        <f>IF(D84="","",INDEX(Knutepunkter!$B:$B,D84+1))</f>
        <v/>
      </c>
      <c r="G84" t="str">
        <f>IF(D84="","",INDEX(Knutepunkter!$C:$C,D84+1))</f>
        <v/>
      </c>
      <c r="H84" t="str">
        <f>IF(D84="","",INDEX(Knutepunkter!$D:$D,D84+1))</f>
        <v/>
      </c>
      <c r="I84" t="str">
        <f>IF(E84="","",INDEX(Knutepunkter!$B:$B,E84+1))</f>
        <v/>
      </c>
      <c r="J84" t="str">
        <f>IF(E84="","",INDEX(Knutepunkter!$C:$C,E84+1))</f>
        <v/>
      </c>
      <c r="K84" t="str">
        <f>IF(E84="","",INDEX(Knutepunkter!$D:$D,E84+1))</f>
        <v/>
      </c>
      <c r="L84" t="str">
        <f t="shared" si="8"/>
        <v/>
      </c>
      <c r="M84" t="str">
        <f t="shared" si="9"/>
        <v/>
      </c>
    </row>
    <row r="85" spans="1:13" x14ac:dyDescent="0.3">
      <c r="A85" t="str">
        <f>Segmenter!A85</f>
        <v/>
      </c>
      <c r="B85" t="str">
        <f>Segmenter!B85</f>
        <v/>
      </c>
      <c r="C85" t="str">
        <f t="shared" si="5"/>
        <v/>
      </c>
      <c r="D85" t="str">
        <f t="shared" si="6"/>
        <v/>
      </c>
      <c r="E85" t="str">
        <f t="shared" si="7"/>
        <v/>
      </c>
      <c r="F85" t="str">
        <f>IF(D85="","",INDEX(Knutepunkter!$B:$B,D85+1))</f>
        <v/>
      </c>
      <c r="G85" t="str">
        <f>IF(D85="","",INDEX(Knutepunkter!$C:$C,D85+1))</f>
        <v/>
      </c>
      <c r="H85" t="str">
        <f>IF(D85="","",INDEX(Knutepunkter!$D:$D,D85+1))</f>
        <v/>
      </c>
      <c r="I85" t="str">
        <f>IF(E85="","",INDEX(Knutepunkter!$B:$B,E85+1))</f>
        <v/>
      </c>
      <c r="J85" t="str">
        <f>IF(E85="","",INDEX(Knutepunkter!$C:$C,E85+1))</f>
        <v/>
      </c>
      <c r="K85" t="str">
        <f>IF(E85="","",INDEX(Knutepunkter!$D:$D,E85+1))</f>
        <v/>
      </c>
      <c r="L85" t="str">
        <f t="shared" si="8"/>
        <v/>
      </c>
      <c r="M85" t="str">
        <f t="shared" si="9"/>
        <v/>
      </c>
    </row>
    <row r="86" spans="1:13" x14ac:dyDescent="0.3">
      <c r="A86" t="str">
        <f>Segmenter!A86</f>
        <v/>
      </c>
      <c r="B86" t="str">
        <f>Segmenter!B86</f>
        <v/>
      </c>
      <c r="C86" t="str">
        <f t="shared" si="5"/>
        <v/>
      </c>
      <c r="D86" t="str">
        <f t="shared" si="6"/>
        <v/>
      </c>
      <c r="E86" t="str">
        <f t="shared" si="7"/>
        <v/>
      </c>
      <c r="F86" t="str">
        <f>IF(D86="","",INDEX(Knutepunkter!$B:$B,D86+1))</f>
        <v/>
      </c>
      <c r="G86" t="str">
        <f>IF(D86="","",INDEX(Knutepunkter!$C:$C,D86+1))</f>
        <v/>
      </c>
      <c r="H86" t="str">
        <f>IF(D86="","",INDEX(Knutepunkter!$D:$D,D86+1))</f>
        <v/>
      </c>
      <c r="I86" t="str">
        <f>IF(E86="","",INDEX(Knutepunkter!$B:$B,E86+1))</f>
        <v/>
      </c>
      <c r="J86" t="str">
        <f>IF(E86="","",INDEX(Knutepunkter!$C:$C,E86+1))</f>
        <v/>
      </c>
      <c r="K86" t="str">
        <f>IF(E86="","",INDEX(Knutepunkter!$D:$D,E86+1))</f>
        <v/>
      </c>
      <c r="L86" t="str">
        <f t="shared" si="8"/>
        <v/>
      </c>
      <c r="M86" t="str">
        <f t="shared" si="9"/>
        <v/>
      </c>
    </row>
    <row r="87" spans="1:13" x14ac:dyDescent="0.3">
      <c r="A87" t="str">
        <f>Segmenter!A87</f>
        <v/>
      </c>
      <c r="B87" t="str">
        <f>Segmenter!B87</f>
        <v/>
      </c>
      <c r="C87" t="str">
        <f t="shared" si="5"/>
        <v/>
      </c>
      <c r="D87" t="str">
        <f t="shared" si="6"/>
        <v/>
      </c>
      <c r="E87" t="str">
        <f t="shared" si="7"/>
        <v/>
      </c>
      <c r="F87" t="str">
        <f>IF(D87="","",INDEX(Knutepunkter!$B:$B,D87+1))</f>
        <v/>
      </c>
      <c r="G87" t="str">
        <f>IF(D87="","",INDEX(Knutepunkter!$C:$C,D87+1))</f>
        <v/>
      </c>
      <c r="H87" t="str">
        <f>IF(D87="","",INDEX(Knutepunkter!$D:$D,D87+1))</f>
        <v/>
      </c>
      <c r="I87" t="str">
        <f>IF(E87="","",INDEX(Knutepunkter!$B:$B,E87+1))</f>
        <v/>
      </c>
      <c r="J87" t="str">
        <f>IF(E87="","",INDEX(Knutepunkter!$C:$C,E87+1))</f>
        <v/>
      </c>
      <c r="K87" t="str">
        <f>IF(E87="","",INDEX(Knutepunkter!$D:$D,E87+1))</f>
        <v/>
      </c>
      <c r="L87" t="str">
        <f t="shared" si="8"/>
        <v/>
      </c>
      <c r="M87" t="str">
        <f t="shared" si="9"/>
        <v/>
      </c>
    </row>
    <row r="88" spans="1:13" x14ac:dyDescent="0.3">
      <c r="A88" t="str">
        <f>Segmenter!A88</f>
        <v/>
      </c>
      <c r="B88" t="str">
        <f>Segmenter!B88</f>
        <v/>
      </c>
      <c r="C88" t="str">
        <f t="shared" si="5"/>
        <v/>
      </c>
      <c r="D88" t="str">
        <f t="shared" si="6"/>
        <v/>
      </c>
      <c r="E88" t="str">
        <f t="shared" si="7"/>
        <v/>
      </c>
      <c r="F88" t="str">
        <f>IF(D88="","",INDEX(Knutepunkter!$B:$B,D88+1))</f>
        <v/>
      </c>
      <c r="G88" t="str">
        <f>IF(D88="","",INDEX(Knutepunkter!$C:$C,D88+1))</f>
        <v/>
      </c>
      <c r="H88" t="str">
        <f>IF(D88="","",INDEX(Knutepunkter!$D:$D,D88+1))</f>
        <v/>
      </c>
      <c r="I88" t="str">
        <f>IF(E88="","",INDEX(Knutepunkter!$B:$B,E88+1))</f>
        <v/>
      </c>
      <c r="J88" t="str">
        <f>IF(E88="","",INDEX(Knutepunkter!$C:$C,E88+1))</f>
        <v/>
      </c>
      <c r="K88" t="str">
        <f>IF(E88="","",INDEX(Knutepunkter!$D:$D,E88+1))</f>
        <v/>
      </c>
      <c r="L88" t="str">
        <f t="shared" si="8"/>
        <v/>
      </c>
      <c r="M88" t="str">
        <f t="shared" si="9"/>
        <v/>
      </c>
    </row>
    <row r="89" spans="1:13" x14ac:dyDescent="0.3">
      <c r="A89" t="str">
        <f>Segmenter!A89</f>
        <v/>
      </c>
      <c r="B89" t="str">
        <f>Segmenter!B89</f>
        <v/>
      </c>
      <c r="C89" t="str">
        <f t="shared" si="5"/>
        <v/>
      </c>
      <c r="D89" t="str">
        <f t="shared" si="6"/>
        <v/>
      </c>
      <c r="E89" t="str">
        <f t="shared" si="7"/>
        <v/>
      </c>
      <c r="F89" t="str">
        <f>IF(D89="","",INDEX(Knutepunkter!$B:$B,D89+1))</f>
        <v/>
      </c>
      <c r="G89" t="str">
        <f>IF(D89="","",INDEX(Knutepunkter!$C:$C,D89+1))</f>
        <v/>
      </c>
      <c r="H89" t="str">
        <f>IF(D89="","",INDEX(Knutepunkter!$D:$D,D89+1))</f>
        <v/>
      </c>
      <c r="I89" t="str">
        <f>IF(E89="","",INDEX(Knutepunkter!$B:$B,E89+1))</f>
        <v/>
      </c>
      <c r="J89" t="str">
        <f>IF(E89="","",INDEX(Knutepunkter!$C:$C,E89+1))</f>
        <v/>
      </c>
      <c r="K89" t="str">
        <f>IF(E89="","",INDEX(Knutepunkter!$D:$D,E89+1))</f>
        <v/>
      </c>
      <c r="L89" t="str">
        <f t="shared" si="8"/>
        <v/>
      </c>
      <c r="M89" t="str">
        <f t="shared" si="9"/>
        <v/>
      </c>
    </row>
    <row r="90" spans="1:13" x14ac:dyDescent="0.3">
      <c r="A90" t="str">
        <f>Segmenter!A90</f>
        <v/>
      </c>
      <c r="B90" t="str">
        <f>Segmenter!B90</f>
        <v/>
      </c>
      <c r="C90" t="str">
        <f t="shared" si="5"/>
        <v/>
      </c>
      <c r="D90" t="str">
        <f t="shared" si="6"/>
        <v/>
      </c>
      <c r="E90" t="str">
        <f t="shared" si="7"/>
        <v/>
      </c>
      <c r="F90" t="str">
        <f>IF(D90="","",INDEX(Knutepunkter!$B:$B,D90+1))</f>
        <v/>
      </c>
      <c r="G90" t="str">
        <f>IF(D90="","",INDEX(Knutepunkter!$C:$C,D90+1))</f>
        <v/>
      </c>
      <c r="H90" t="str">
        <f>IF(D90="","",INDEX(Knutepunkter!$D:$D,D90+1))</f>
        <v/>
      </c>
      <c r="I90" t="str">
        <f>IF(E90="","",INDEX(Knutepunkter!$B:$B,E90+1))</f>
        <v/>
      </c>
      <c r="J90" t="str">
        <f>IF(E90="","",INDEX(Knutepunkter!$C:$C,E90+1))</f>
        <v/>
      </c>
      <c r="K90" t="str">
        <f>IF(E90="","",INDEX(Knutepunkter!$D:$D,E90+1))</f>
        <v/>
      </c>
      <c r="L90" t="str">
        <f t="shared" si="8"/>
        <v/>
      </c>
      <c r="M90" t="str">
        <f t="shared" si="9"/>
        <v/>
      </c>
    </row>
    <row r="91" spans="1:13" x14ac:dyDescent="0.3">
      <c r="A91" t="str">
        <f>Segmenter!A91</f>
        <v/>
      </c>
      <c r="B91" t="str">
        <f>Segmenter!B91</f>
        <v/>
      </c>
      <c r="C91" t="str">
        <f t="shared" si="5"/>
        <v/>
      </c>
      <c r="D91" t="str">
        <f t="shared" si="6"/>
        <v/>
      </c>
      <c r="E91" t="str">
        <f t="shared" si="7"/>
        <v/>
      </c>
      <c r="F91" t="str">
        <f>IF(D91="","",INDEX(Knutepunkter!$B:$B,D91+1))</f>
        <v/>
      </c>
      <c r="G91" t="str">
        <f>IF(D91="","",INDEX(Knutepunkter!$C:$C,D91+1))</f>
        <v/>
      </c>
      <c r="H91" t="str">
        <f>IF(D91="","",INDEX(Knutepunkter!$D:$D,D91+1))</f>
        <v/>
      </c>
      <c r="I91" t="str">
        <f>IF(E91="","",INDEX(Knutepunkter!$B:$B,E91+1))</f>
        <v/>
      </c>
      <c r="J91" t="str">
        <f>IF(E91="","",INDEX(Knutepunkter!$C:$C,E91+1))</f>
        <v/>
      </c>
      <c r="K91" t="str">
        <f>IF(E91="","",INDEX(Knutepunkter!$D:$D,E91+1))</f>
        <v/>
      </c>
      <c r="L91" t="str">
        <f t="shared" si="8"/>
        <v/>
      </c>
      <c r="M91" t="str">
        <f t="shared" si="9"/>
        <v/>
      </c>
    </row>
    <row r="92" spans="1:13" x14ac:dyDescent="0.3">
      <c r="A92" t="str">
        <f>Segmenter!A92</f>
        <v/>
      </c>
      <c r="B92" t="str">
        <f>Segmenter!B92</f>
        <v/>
      </c>
      <c r="C92" t="str">
        <f t="shared" si="5"/>
        <v/>
      </c>
      <c r="D92" t="str">
        <f t="shared" si="6"/>
        <v/>
      </c>
      <c r="E92" t="str">
        <f t="shared" si="7"/>
        <v/>
      </c>
      <c r="F92" t="str">
        <f>IF(D92="","",INDEX(Knutepunkter!$B:$B,D92+1))</f>
        <v/>
      </c>
      <c r="G92" t="str">
        <f>IF(D92="","",INDEX(Knutepunkter!$C:$C,D92+1))</f>
        <v/>
      </c>
      <c r="H92" t="str">
        <f>IF(D92="","",INDEX(Knutepunkter!$D:$D,D92+1))</f>
        <v/>
      </c>
      <c r="I92" t="str">
        <f>IF(E92="","",INDEX(Knutepunkter!$B:$B,E92+1))</f>
        <v/>
      </c>
      <c r="J92" t="str">
        <f>IF(E92="","",INDEX(Knutepunkter!$C:$C,E92+1))</f>
        <v/>
      </c>
      <c r="K92" t="str">
        <f>IF(E92="","",INDEX(Knutepunkter!$D:$D,E92+1))</f>
        <v/>
      </c>
      <c r="L92" t="str">
        <f t="shared" si="8"/>
        <v/>
      </c>
      <c r="M92" t="str">
        <f t="shared" si="9"/>
        <v/>
      </c>
    </row>
    <row r="93" spans="1:13" x14ac:dyDescent="0.3">
      <c r="A93" t="str">
        <f>Segmenter!A93</f>
        <v/>
      </c>
      <c r="B93" t="str">
        <f>Segmenter!B93</f>
        <v/>
      </c>
      <c r="C93" t="str">
        <f t="shared" si="5"/>
        <v/>
      </c>
      <c r="D93" t="str">
        <f t="shared" si="6"/>
        <v/>
      </c>
      <c r="E93" t="str">
        <f t="shared" si="7"/>
        <v/>
      </c>
      <c r="F93" t="str">
        <f>IF(D93="","",INDEX(Knutepunkter!$B:$B,D93+1))</f>
        <v/>
      </c>
      <c r="G93" t="str">
        <f>IF(D93="","",INDEX(Knutepunkter!$C:$C,D93+1))</f>
        <v/>
      </c>
      <c r="H93" t="str">
        <f>IF(D93="","",INDEX(Knutepunkter!$D:$D,D93+1))</f>
        <v/>
      </c>
      <c r="I93" t="str">
        <f>IF(E93="","",INDEX(Knutepunkter!$B:$B,E93+1))</f>
        <v/>
      </c>
      <c r="J93" t="str">
        <f>IF(E93="","",INDEX(Knutepunkter!$C:$C,E93+1))</f>
        <v/>
      </c>
      <c r="K93" t="str">
        <f>IF(E93="","",INDEX(Knutepunkter!$D:$D,E93+1))</f>
        <v/>
      </c>
      <c r="L93" t="str">
        <f t="shared" si="8"/>
        <v/>
      </c>
      <c r="M93" t="str">
        <f t="shared" si="9"/>
        <v/>
      </c>
    </row>
    <row r="94" spans="1:13" x14ac:dyDescent="0.3">
      <c r="A94" t="str">
        <f>Segmenter!A94</f>
        <v/>
      </c>
      <c r="B94" t="str">
        <f>Segmenter!B94</f>
        <v/>
      </c>
      <c r="C94" t="str">
        <f t="shared" si="5"/>
        <v/>
      </c>
      <c r="D94" t="str">
        <f t="shared" si="6"/>
        <v/>
      </c>
      <c r="E94" t="str">
        <f t="shared" si="7"/>
        <v/>
      </c>
      <c r="F94" t="str">
        <f>IF(D94="","",INDEX(Knutepunkter!$B:$B,D94+1))</f>
        <v/>
      </c>
      <c r="G94" t="str">
        <f>IF(D94="","",INDEX(Knutepunkter!$C:$C,D94+1))</f>
        <v/>
      </c>
      <c r="H94" t="str">
        <f>IF(D94="","",INDEX(Knutepunkter!$D:$D,D94+1))</f>
        <v/>
      </c>
      <c r="I94" t="str">
        <f>IF(E94="","",INDEX(Knutepunkter!$B:$B,E94+1))</f>
        <v/>
      </c>
      <c r="J94" t="str">
        <f>IF(E94="","",INDEX(Knutepunkter!$C:$C,E94+1))</f>
        <v/>
      </c>
      <c r="K94" t="str">
        <f>IF(E94="","",INDEX(Knutepunkter!$D:$D,E94+1))</f>
        <v/>
      </c>
      <c r="L94" t="str">
        <f t="shared" si="8"/>
        <v/>
      </c>
      <c r="M94" t="str">
        <f t="shared" si="9"/>
        <v/>
      </c>
    </row>
    <row r="95" spans="1:13" x14ac:dyDescent="0.3">
      <c r="A95" t="str">
        <f>Segmenter!A95</f>
        <v/>
      </c>
      <c r="B95" t="str">
        <f>Segmenter!B95</f>
        <v/>
      </c>
      <c r="C95" t="str">
        <f t="shared" si="5"/>
        <v/>
      </c>
      <c r="D95" t="str">
        <f t="shared" si="6"/>
        <v/>
      </c>
      <c r="E95" t="str">
        <f t="shared" si="7"/>
        <v/>
      </c>
      <c r="F95" t="str">
        <f>IF(D95="","",INDEX(Knutepunkter!$B:$B,D95+1))</f>
        <v/>
      </c>
      <c r="G95" t="str">
        <f>IF(D95="","",INDEX(Knutepunkter!$C:$C,D95+1))</f>
        <v/>
      </c>
      <c r="H95" t="str">
        <f>IF(D95="","",INDEX(Knutepunkter!$D:$D,D95+1))</f>
        <v/>
      </c>
      <c r="I95" t="str">
        <f>IF(E95="","",INDEX(Knutepunkter!$B:$B,E95+1))</f>
        <v/>
      </c>
      <c r="J95" t="str">
        <f>IF(E95="","",INDEX(Knutepunkter!$C:$C,E95+1))</f>
        <v/>
      </c>
      <c r="K95" t="str">
        <f>IF(E95="","",INDEX(Knutepunkter!$D:$D,E95+1))</f>
        <v/>
      </c>
      <c r="L95" t="str">
        <f t="shared" si="8"/>
        <v/>
      </c>
      <c r="M95" t="str">
        <f t="shared" si="9"/>
        <v/>
      </c>
    </row>
    <row r="96" spans="1:13" x14ac:dyDescent="0.3">
      <c r="A96" t="str">
        <f>Segmenter!A96</f>
        <v/>
      </c>
      <c r="B96" t="str">
        <f>Segmenter!B96</f>
        <v/>
      </c>
      <c r="C96" t="str">
        <f t="shared" si="5"/>
        <v/>
      </c>
      <c r="D96" t="str">
        <f t="shared" si="6"/>
        <v/>
      </c>
      <c r="E96" t="str">
        <f t="shared" si="7"/>
        <v/>
      </c>
      <c r="F96" t="str">
        <f>IF(D96="","",INDEX(Knutepunkter!$B:$B,D96+1))</f>
        <v/>
      </c>
      <c r="G96" t="str">
        <f>IF(D96="","",INDEX(Knutepunkter!$C:$C,D96+1))</f>
        <v/>
      </c>
      <c r="H96" t="str">
        <f>IF(D96="","",INDEX(Knutepunkter!$D:$D,D96+1))</f>
        <v/>
      </c>
      <c r="I96" t="str">
        <f>IF(E96="","",INDEX(Knutepunkter!$B:$B,E96+1))</f>
        <v/>
      </c>
      <c r="J96" t="str">
        <f>IF(E96="","",INDEX(Knutepunkter!$C:$C,E96+1))</f>
        <v/>
      </c>
      <c r="K96" t="str">
        <f>IF(E96="","",INDEX(Knutepunkter!$D:$D,E96+1))</f>
        <v/>
      </c>
      <c r="L96" t="str">
        <f t="shared" si="8"/>
        <v/>
      </c>
      <c r="M96" t="str">
        <f t="shared" si="9"/>
        <v/>
      </c>
    </row>
    <row r="97" spans="1:13" x14ac:dyDescent="0.3">
      <c r="A97" t="str">
        <f>Segmenter!A97</f>
        <v/>
      </c>
      <c r="B97" t="str">
        <f>Segmenter!B97</f>
        <v/>
      </c>
      <c r="C97" t="str">
        <f t="shared" si="5"/>
        <v/>
      </c>
      <c r="D97" t="str">
        <f t="shared" si="6"/>
        <v/>
      </c>
      <c r="E97" t="str">
        <f t="shared" si="7"/>
        <v/>
      </c>
      <c r="F97" t="str">
        <f>IF(D97="","",INDEX(Knutepunkter!$B:$B,D97+1))</f>
        <v/>
      </c>
      <c r="G97" t="str">
        <f>IF(D97="","",INDEX(Knutepunkter!$C:$C,D97+1))</f>
        <v/>
      </c>
      <c r="H97" t="str">
        <f>IF(D97="","",INDEX(Knutepunkter!$D:$D,D97+1))</f>
        <v/>
      </c>
      <c r="I97" t="str">
        <f>IF(E97="","",INDEX(Knutepunkter!$B:$B,E97+1))</f>
        <v/>
      </c>
      <c r="J97" t="str">
        <f>IF(E97="","",INDEX(Knutepunkter!$C:$C,E97+1))</f>
        <v/>
      </c>
      <c r="K97" t="str">
        <f>IF(E97="","",INDEX(Knutepunkter!$D:$D,E97+1))</f>
        <v/>
      </c>
      <c r="L97" t="str">
        <f t="shared" si="8"/>
        <v/>
      </c>
      <c r="M97" t="str">
        <f t="shared" si="9"/>
        <v/>
      </c>
    </row>
    <row r="98" spans="1:13" x14ac:dyDescent="0.3">
      <c r="A98" t="str">
        <f>Segmenter!A98</f>
        <v/>
      </c>
      <c r="B98" t="str">
        <f>Segmenter!B98</f>
        <v/>
      </c>
      <c r="C98" t="str">
        <f t="shared" si="5"/>
        <v/>
      </c>
      <c r="D98" t="str">
        <f t="shared" si="6"/>
        <v/>
      </c>
      <c r="E98" t="str">
        <f t="shared" si="7"/>
        <v/>
      </c>
      <c r="F98" t="str">
        <f>IF(D98="","",INDEX(Knutepunkter!$B:$B,D98+1))</f>
        <v/>
      </c>
      <c r="G98" t="str">
        <f>IF(D98="","",INDEX(Knutepunkter!$C:$C,D98+1))</f>
        <v/>
      </c>
      <c r="H98" t="str">
        <f>IF(D98="","",INDEX(Knutepunkter!$D:$D,D98+1))</f>
        <v/>
      </c>
      <c r="I98" t="str">
        <f>IF(E98="","",INDEX(Knutepunkter!$B:$B,E98+1))</f>
        <v/>
      </c>
      <c r="J98" t="str">
        <f>IF(E98="","",INDEX(Knutepunkter!$C:$C,E98+1))</f>
        <v/>
      </c>
      <c r="K98" t="str">
        <f>IF(E98="","",INDEX(Knutepunkter!$D:$D,E98+1))</f>
        <v/>
      </c>
      <c r="L98" t="str">
        <f t="shared" si="8"/>
        <v/>
      </c>
      <c r="M98" t="str">
        <f t="shared" si="9"/>
        <v/>
      </c>
    </row>
    <row r="99" spans="1:13" x14ac:dyDescent="0.3">
      <c r="A99" t="str">
        <f>Segmenter!A99</f>
        <v/>
      </c>
      <c r="B99" t="str">
        <f>Segmenter!B99</f>
        <v/>
      </c>
      <c r="C99" t="str">
        <f t="shared" si="5"/>
        <v/>
      </c>
      <c r="D99" t="str">
        <f t="shared" si="6"/>
        <v/>
      </c>
      <c r="E99" t="str">
        <f t="shared" si="7"/>
        <v/>
      </c>
      <c r="F99" t="str">
        <f>IF(D99="","",INDEX(Knutepunkter!$B:$B,D99+1))</f>
        <v/>
      </c>
      <c r="G99" t="str">
        <f>IF(D99="","",INDEX(Knutepunkter!$C:$C,D99+1))</f>
        <v/>
      </c>
      <c r="H99" t="str">
        <f>IF(D99="","",INDEX(Knutepunkter!$D:$D,D99+1))</f>
        <v/>
      </c>
      <c r="I99" t="str">
        <f>IF(E99="","",INDEX(Knutepunkter!$B:$B,E99+1))</f>
        <v/>
      </c>
      <c r="J99" t="str">
        <f>IF(E99="","",INDEX(Knutepunkter!$C:$C,E99+1))</f>
        <v/>
      </c>
      <c r="K99" t="str">
        <f>IF(E99="","",INDEX(Knutepunkter!$D:$D,E99+1))</f>
        <v/>
      </c>
      <c r="L99" t="str">
        <f t="shared" si="8"/>
        <v/>
      </c>
      <c r="M99" t="str">
        <f t="shared" si="9"/>
        <v/>
      </c>
    </row>
    <row r="100" spans="1:13" x14ac:dyDescent="0.3">
      <c r="A100" t="str">
        <f>Segmenter!A100</f>
        <v/>
      </c>
      <c r="B100" t="str">
        <f>Segmenter!B100</f>
        <v/>
      </c>
      <c r="C100" t="str">
        <f t="shared" si="5"/>
        <v/>
      </c>
      <c r="D100" t="str">
        <f t="shared" si="6"/>
        <v/>
      </c>
      <c r="E100" t="str">
        <f t="shared" si="7"/>
        <v/>
      </c>
      <c r="F100" t="str">
        <f>IF(D100="","",INDEX(Knutepunkter!$B:$B,D100+1))</f>
        <v/>
      </c>
      <c r="G100" t="str">
        <f>IF(D100="","",INDEX(Knutepunkter!$C:$C,D100+1))</f>
        <v/>
      </c>
      <c r="H100" t="str">
        <f>IF(D100="","",INDEX(Knutepunkter!$D:$D,D100+1))</f>
        <v/>
      </c>
      <c r="I100" t="str">
        <f>IF(E100="","",INDEX(Knutepunkter!$B:$B,E100+1))</f>
        <v/>
      </c>
      <c r="J100" t="str">
        <f>IF(E100="","",INDEX(Knutepunkter!$C:$C,E100+1))</f>
        <v/>
      </c>
      <c r="K100" t="str">
        <f>IF(E100="","",INDEX(Knutepunkter!$D:$D,E100+1))</f>
        <v/>
      </c>
      <c r="L100" t="str">
        <f t="shared" si="8"/>
        <v/>
      </c>
      <c r="M100" t="str">
        <f t="shared" si="9"/>
        <v/>
      </c>
    </row>
    <row r="101" spans="1:13" x14ac:dyDescent="0.3">
      <c r="A101" t="str">
        <f>Segmenter!A101</f>
        <v/>
      </c>
      <c r="B101" t="str">
        <f>Segmenter!B101</f>
        <v/>
      </c>
      <c r="C101" t="str">
        <f t="shared" si="5"/>
        <v/>
      </c>
      <c r="D101" t="str">
        <f t="shared" si="6"/>
        <v/>
      </c>
      <c r="E101" t="str">
        <f t="shared" si="7"/>
        <v/>
      </c>
      <c r="F101" t="str">
        <f>IF(D101="","",INDEX(Knutepunkter!$B:$B,D101+1))</f>
        <v/>
      </c>
      <c r="G101" t="str">
        <f>IF(D101="","",INDEX(Knutepunkter!$C:$C,D101+1))</f>
        <v/>
      </c>
      <c r="H101" t="str">
        <f>IF(D101="","",INDEX(Knutepunkter!$D:$D,D101+1))</f>
        <v/>
      </c>
      <c r="I101" t="str">
        <f>IF(E101="","",INDEX(Knutepunkter!$B:$B,E101+1))</f>
        <v/>
      </c>
      <c r="J101" t="str">
        <f>IF(E101="","",INDEX(Knutepunkter!$C:$C,E101+1))</f>
        <v/>
      </c>
      <c r="K101" t="str">
        <f>IF(E101="","",INDEX(Knutepunkter!$D:$D,E101+1))</f>
        <v/>
      </c>
      <c r="L101" t="str">
        <f t="shared" si="8"/>
        <v/>
      </c>
      <c r="M101" t="str">
        <f t="shared" si="9"/>
        <v/>
      </c>
    </row>
    <row r="102" spans="1:13" x14ac:dyDescent="0.3">
      <c r="A102" t="str">
        <f>Segmenter!A102</f>
        <v/>
      </c>
      <c r="B102" t="str">
        <f>Segmenter!B102</f>
        <v/>
      </c>
      <c r="C102" t="str">
        <f t="shared" si="5"/>
        <v/>
      </c>
      <c r="D102" t="str">
        <f t="shared" si="6"/>
        <v/>
      </c>
      <c r="E102" t="str">
        <f t="shared" si="7"/>
        <v/>
      </c>
      <c r="F102" t="str">
        <f>IF(D102="","",INDEX(Knutepunkter!$B:$B,D102+1))</f>
        <v/>
      </c>
      <c r="G102" t="str">
        <f>IF(D102="","",INDEX(Knutepunkter!$C:$C,D102+1))</f>
        <v/>
      </c>
      <c r="H102" t="str">
        <f>IF(D102="","",INDEX(Knutepunkter!$D:$D,D102+1))</f>
        <v/>
      </c>
      <c r="I102" t="str">
        <f>IF(E102="","",INDEX(Knutepunkter!$B:$B,E102+1))</f>
        <v/>
      </c>
      <c r="J102" t="str">
        <f>IF(E102="","",INDEX(Knutepunkter!$C:$C,E102+1))</f>
        <v/>
      </c>
      <c r="K102" t="str">
        <f>IF(E102="","",INDEX(Knutepunkter!$D:$D,E102+1))</f>
        <v/>
      </c>
      <c r="L102" t="str">
        <f t="shared" si="8"/>
        <v/>
      </c>
      <c r="M102" t="str">
        <f t="shared" si="9"/>
        <v/>
      </c>
    </row>
    <row r="103" spans="1:13" x14ac:dyDescent="0.3">
      <c r="A103" t="str">
        <f>Segmenter!A103</f>
        <v/>
      </c>
      <c r="B103" t="str">
        <f>Segmenter!B103</f>
        <v/>
      </c>
      <c r="C103" t="str">
        <f t="shared" si="5"/>
        <v/>
      </c>
      <c r="D103" t="str">
        <f t="shared" si="6"/>
        <v/>
      </c>
      <c r="E103" t="str">
        <f t="shared" si="7"/>
        <v/>
      </c>
      <c r="F103" t="str">
        <f>IF(D103="","",INDEX(Knutepunkter!$B:$B,D103+1))</f>
        <v/>
      </c>
      <c r="G103" t="str">
        <f>IF(D103="","",INDEX(Knutepunkter!$C:$C,D103+1))</f>
        <v/>
      </c>
      <c r="H103" t="str">
        <f>IF(D103="","",INDEX(Knutepunkter!$D:$D,D103+1))</f>
        <v/>
      </c>
      <c r="I103" t="str">
        <f>IF(E103="","",INDEX(Knutepunkter!$B:$B,E103+1))</f>
        <v/>
      </c>
      <c r="J103" t="str">
        <f>IF(E103="","",INDEX(Knutepunkter!$C:$C,E103+1))</f>
        <v/>
      </c>
      <c r="K103" t="str">
        <f>IF(E103="","",INDEX(Knutepunkter!$D:$D,E103+1))</f>
        <v/>
      </c>
      <c r="L103" t="str">
        <f t="shared" si="8"/>
        <v/>
      </c>
      <c r="M103" t="str">
        <f t="shared" si="9"/>
        <v/>
      </c>
    </row>
    <row r="104" spans="1:13" x14ac:dyDescent="0.3">
      <c r="A104" t="str">
        <f>Segmenter!A104</f>
        <v/>
      </c>
      <c r="B104" t="str">
        <f>Segmenter!B104</f>
        <v/>
      </c>
      <c r="C104" t="str">
        <f t="shared" si="5"/>
        <v/>
      </c>
      <c r="D104" t="str">
        <f t="shared" si="6"/>
        <v/>
      </c>
      <c r="E104" t="str">
        <f t="shared" si="7"/>
        <v/>
      </c>
      <c r="F104" t="str">
        <f>IF(D104="","",INDEX(Knutepunkter!$B:$B,D104+1))</f>
        <v/>
      </c>
      <c r="G104" t="str">
        <f>IF(D104="","",INDEX(Knutepunkter!$C:$C,D104+1))</f>
        <v/>
      </c>
      <c r="H104" t="str">
        <f>IF(D104="","",INDEX(Knutepunkter!$D:$D,D104+1))</f>
        <v/>
      </c>
      <c r="I104" t="str">
        <f>IF(E104="","",INDEX(Knutepunkter!$B:$B,E104+1))</f>
        <v/>
      </c>
      <c r="J104" t="str">
        <f>IF(E104="","",INDEX(Knutepunkter!$C:$C,E104+1))</f>
        <v/>
      </c>
      <c r="K104" t="str">
        <f>IF(E104="","",INDEX(Knutepunkter!$D:$D,E104+1))</f>
        <v/>
      </c>
      <c r="L104" t="str">
        <f t="shared" si="8"/>
        <v/>
      </c>
      <c r="M104" t="str">
        <f t="shared" si="9"/>
        <v/>
      </c>
    </row>
    <row r="105" spans="1:13" x14ac:dyDescent="0.3">
      <c r="A105" t="str">
        <f>Segmenter!A105</f>
        <v/>
      </c>
      <c r="B105" t="str">
        <f>Segmenter!B105</f>
        <v/>
      </c>
      <c r="C105" t="str">
        <f t="shared" si="5"/>
        <v/>
      </c>
      <c r="D105" t="str">
        <f t="shared" si="6"/>
        <v/>
      </c>
      <c r="E105" t="str">
        <f t="shared" si="7"/>
        <v/>
      </c>
      <c r="F105" t="str">
        <f>IF(D105="","",INDEX(Knutepunkter!$B:$B,D105+1))</f>
        <v/>
      </c>
      <c r="G105" t="str">
        <f>IF(D105="","",INDEX(Knutepunkter!$C:$C,D105+1))</f>
        <v/>
      </c>
      <c r="H105" t="str">
        <f>IF(D105="","",INDEX(Knutepunkter!$D:$D,D105+1))</f>
        <v/>
      </c>
      <c r="I105" t="str">
        <f>IF(E105="","",INDEX(Knutepunkter!$B:$B,E105+1))</f>
        <v/>
      </c>
      <c r="J105" t="str">
        <f>IF(E105="","",INDEX(Knutepunkter!$C:$C,E105+1))</f>
        <v/>
      </c>
      <c r="K105" t="str">
        <f>IF(E105="","",INDEX(Knutepunkter!$D:$D,E105+1))</f>
        <v/>
      </c>
      <c r="L105" t="str">
        <f t="shared" si="8"/>
        <v/>
      </c>
      <c r="M105" t="str">
        <f t="shared" si="9"/>
        <v/>
      </c>
    </row>
    <row r="106" spans="1:13" x14ac:dyDescent="0.3">
      <c r="A106" t="str">
        <f>Segmenter!A106</f>
        <v/>
      </c>
      <c r="B106" t="str">
        <f>Segmenter!B106</f>
        <v/>
      </c>
      <c r="C106" t="str">
        <f t="shared" si="5"/>
        <v/>
      </c>
      <c r="D106" t="str">
        <f t="shared" si="6"/>
        <v/>
      </c>
      <c r="E106" t="str">
        <f t="shared" si="7"/>
        <v/>
      </c>
      <c r="F106" t="str">
        <f>IF(D106="","",INDEX(Knutepunkter!$B:$B,D106+1))</f>
        <v/>
      </c>
      <c r="G106" t="str">
        <f>IF(D106="","",INDEX(Knutepunkter!$C:$C,D106+1))</f>
        <v/>
      </c>
      <c r="H106" t="str">
        <f>IF(D106="","",INDEX(Knutepunkter!$D:$D,D106+1))</f>
        <v/>
      </c>
      <c r="I106" t="str">
        <f>IF(E106="","",INDEX(Knutepunkter!$B:$B,E106+1))</f>
        <v/>
      </c>
      <c r="J106" t="str">
        <f>IF(E106="","",INDEX(Knutepunkter!$C:$C,E106+1))</f>
        <v/>
      </c>
      <c r="K106" t="str">
        <f>IF(E106="","",INDEX(Knutepunkter!$D:$D,E106+1))</f>
        <v/>
      </c>
      <c r="L106" t="str">
        <f t="shared" si="8"/>
        <v/>
      </c>
      <c r="M106" t="str">
        <f t="shared" si="9"/>
        <v/>
      </c>
    </row>
    <row r="107" spans="1:13" x14ac:dyDescent="0.3">
      <c r="A107" t="str">
        <f>Segmenter!A107</f>
        <v/>
      </c>
      <c r="B107" t="str">
        <f>Segmenter!B107</f>
        <v/>
      </c>
      <c r="C107" t="str">
        <f t="shared" si="5"/>
        <v/>
      </c>
      <c r="D107" t="str">
        <f t="shared" si="6"/>
        <v/>
      </c>
      <c r="E107" t="str">
        <f t="shared" si="7"/>
        <v/>
      </c>
      <c r="F107" t="str">
        <f>IF(D107="","",INDEX(Knutepunkter!$B:$B,D107+1))</f>
        <v/>
      </c>
      <c r="G107" t="str">
        <f>IF(D107="","",INDEX(Knutepunkter!$C:$C,D107+1))</f>
        <v/>
      </c>
      <c r="H107" t="str">
        <f>IF(D107="","",INDEX(Knutepunkter!$D:$D,D107+1))</f>
        <v/>
      </c>
      <c r="I107" t="str">
        <f>IF(E107="","",INDEX(Knutepunkter!$B:$B,E107+1))</f>
        <v/>
      </c>
      <c r="J107" t="str">
        <f>IF(E107="","",INDEX(Knutepunkter!$C:$C,E107+1))</f>
        <v/>
      </c>
      <c r="K107" t="str">
        <f>IF(E107="","",INDEX(Knutepunkter!$D:$D,E107+1))</f>
        <v/>
      </c>
      <c r="L107" t="str">
        <f t="shared" si="8"/>
        <v/>
      </c>
      <c r="M107" t="str">
        <f t="shared" si="9"/>
        <v/>
      </c>
    </row>
    <row r="108" spans="1:13" x14ac:dyDescent="0.3">
      <c r="A108" t="str">
        <f>Segmenter!A108</f>
        <v/>
      </c>
      <c r="B108" t="str">
        <f>Segmenter!B108</f>
        <v/>
      </c>
      <c r="C108" t="str">
        <f t="shared" si="5"/>
        <v/>
      </c>
      <c r="D108" t="str">
        <f t="shared" si="6"/>
        <v/>
      </c>
      <c r="E108" t="str">
        <f t="shared" si="7"/>
        <v/>
      </c>
      <c r="F108" t="str">
        <f>IF(D108="","",INDEX(Knutepunkter!$B:$B,D108+1))</f>
        <v/>
      </c>
      <c r="G108" t="str">
        <f>IF(D108="","",INDEX(Knutepunkter!$C:$C,D108+1))</f>
        <v/>
      </c>
      <c r="H108" t="str">
        <f>IF(D108="","",INDEX(Knutepunkter!$D:$D,D108+1))</f>
        <v/>
      </c>
      <c r="I108" t="str">
        <f>IF(E108="","",INDEX(Knutepunkter!$B:$B,E108+1))</f>
        <v/>
      </c>
      <c r="J108" t="str">
        <f>IF(E108="","",INDEX(Knutepunkter!$C:$C,E108+1))</f>
        <v/>
      </c>
      <c r="K108" t="str">
        <f>IF(E108="","",INDEX(Knutepunkter!$D:$D,E108+1))</f>
        <v/>
      </c>
      <c r="L108" t="str">
        <f t="shared" si="8"/>
        <v/>
      </c>
      <c r="M108" t="str">
        <f t="shared" si="9"/>
        <v/>
      </c>
    </row>
    <row r="109" spans="1:13" x14ac:dyDescent="0.3">
      <c r="A109" t="str">
        <f>Segmenter!A109</f>
        <v/>
      </c>
      <c r="B109" t="str">
        <f>Segmenter!B109</f>
        <v/>
      </c>
      <c r="C109" t="str">
        <f t="shared" si="5"/>
        <v/>
      </c>
      <c r="D109" t="str">
        <f t="shared" si="6"/>
        <v/>
      </c>
      <c r="E109" t="str">
        <f t="shared" si="7"/>
        <v/>
      </c>
      <c r="F109" t="str">
        <f>IF(D109="","",INDEX(Knutepunkter!$B:$B,D109+1))</f>
        <v/>
      </c>
      <c r="G109" t="str">
        <f>IF(D109="","",INDEX(Knutepunkter!$C:$C,D109+1))</f>
        <v/>
      </c>
      <c r="H109" t="str">
        <f>IF(D109="","",INDEX(Knutepunkter!$D:$D,D109+1))</f>
        <v/>
      </c>
      <c r="I109" t="str">
        <f>IF(E109="","",INDEX(Knutepunkter!$B:$B,E109+1))</f>
        <v/>
      </c>
      <c r="J109" t="str">
        <f>IF(E109="","",INDEX(Knutepunkter!$C:$C,E109+1))</f>
        <v/>
      </c>
      <c r="K109" t="str">
        <f>IF(E109="","",INDEX(Knutepunkter!$D:$D,E109+1))</f>
        <v/>
      </c>
      <c r="L109" t="str">
        <f t="shared" si="8"/>
        <v/>
      </c>
      <c r="M109" t="str">
        <f t="shared" si="9"/>
        <v/>
      </c>
    </row>
    <row r="110" spans="1:13" x14ac:dyDescent="0.3">
      <c r="A110" t="str">
        <f>Segmenter!A110</f>
        <v/>
      </c>
      <c r="B110" t="str">
        <f>Segmenter!B110</f>
        <v/>
      </c>
      <c r="C110" t="str">
        <f t="shared" si="5"/>
        <v/>
      </c>
      <c r="D110" t="str">
        <f t="shared" si="6"/>
        <v/>
      </c>
      <c r="E110" t="str">
        <f t="shared" si="7"/>
        <v/>
      </c>
      <c r="F110" t="str">
        <f>IF(D110="","",INDEX(Knutepunkter!$B:$B,D110+1))</f>
        <v/>
      </c>
      <c r="G110" t="str">
        <f>IF(D110="","",INDEX(Knutepunkter!$C:$C,D110+1))</f>
        <v/>
      </c>
      <c r="H110" t="str">
        <f>IF(D110="","",INDEX(Knutepunkter!$D:$D,D110+1))</f>
        <v/>
      </c>
      <c r="I110" t="str">
        <f>IF(E110="","",INDEX(Knutepunkter!$B:$B,E110+1))</f>
        <v/>
      </c>
      <c r="J110" t="str">
        <f>IF(E110="","",INDEX(Knutepunkter!$C:$C,E110+1))</f>
        <v/>
      </c>
      <c r="K110" t="str">
        <f>IF(E110="","",INDEX(Knutepunkter!$D:$D,E110+1))</f>
        <v/>
      </c>
      <c r="L110" t="str">
        <f t="shared" si="8"/>
        <v/>
      </c>
      <c r="M110" t="str">
        <f t="shared" si="9"/>
        <v/>
      </c>
    </row>
    <row r="111" spans="1:13" x14ac:dyDescent="0.3">
      <c r="A111" t="str">
        <f>Segmenter!A111</f>
        <v/>
      </c>
      <c r="B111" t="str">
        <f>Segmenter!B111</f>
        <v/>
      </c>
      <c r="C111" t="str">
        <f t="shared" si="5"/>
        <v/>
      </c>
      <c r="D111" t="str">
        <f t="shared" si="6"/>
        <v/>
      </c>
      <c r="E111" t="str">
        <f t="shared" si="7"/>
        <v/>
      </c>
      <c r="F111" t="str">
        <f>IF(D111="","",INDEX(Knutepunkter!$B:$B,D111+1))</f>
        <v/>
      </c>
      <c r="G111" t="str">
        <f>IF(D111="","",INDEX(Knutepunkter!$C:$C,D111+1))</f>
        <v/>
      </c>
      <c r="H111" t="str">
        <f>IF(D111="","",INDEX(Knutepunkter!$D:$D,D111+1))</f>
        <v/>
      </c>
      <c r="I111" t="str">
        <f>IF(E111="","",INDEX(Knutepunkter!$B:$B,E111+1))</f>
        <v/>
      </c>
      <c r="J111" t="str">
        <f>IF(E111="","",INDEX(Knutepunkter!$C:$C,E111+1))</f>
        <v/>
      </c>
      <c r="K111" t="str">
        <f>IF(E111="","",INDEX(Knutepunkter!$D:$D,E111+1))</f>
        <v/>
      </c>
      <c r="L111" t="str">
        <f t="shared" si="8"/>
        <v/>
      </c>
      <c r="M111" t="str">
        <f t="shared" si="9"/>
        <v/>
      </c>
    </row>
    <row r="112" spans="1:13" x14ac:dyDescent="0.3">
      <c r="A112" t="str">
        <f>Segmenter!A112</f>
        <v/>
      </c>
      <c r="B112" t="str">
        <f>Segmenter!B112</f>
        <v/>
      </c>
      <c r="C112" t="str">
        <f t="shared" si="5"/>
        <v/>
      </c>
      <c r="D112" t="str">
        <f t="shared" si="6"/>
        <v/>
      </c>
      <c r="E112" t="str">
        <f t="shared" si="7"/>
        <v/>
      </c>
      <c r="F112" t="str">
        <f>IF(D112="","",INDEX(Knutepunkter!$B:$B,D112+1))</f>
        <v/>
      </c>
      <c r="G112" t="str">
        <f>IF(D112="","",INDEX(Knutepunkter!$C:$C,D112+1))</f>
        <v/>
      </c>
      <c r="H112" t="str">
        <f>IF(D112="","",INDEX(Knutepunkter!$D:$D,D112+1))</f>
        <v/>
      </c>
      <c r="I112" t="str">
        <f>IF(E112="","",INDEX(Knutepunkter!$B:$B,E112+1))</f>
        <v/>
      </c>
      <c r="J112" t="str">
        <f>IF(E112="","",INDEX(Knutepunkter!$C:$C,E112+1))</f>
        <v/>
      </c>
      <c r="K112" t="str">
        <f>IF(E112="","",INDEX(Knutepunkter!$D:$D,E112+1))</f>
        <v/>
      </c>
      <c r="L112" t="str">
        <f t="shared" si="8"/>
        <v/>
      </c>
      <c r="M112" t="str">
        <f t="shared" si="9"/>
        <v/>
      </c>
    </row>
    <row r="113" spans="1:13" x14ac:dyDescent="0.3">
      <c r="A113" t="str">
        <f>Segmenter!A113</f>
        <v/>
      </c>
      <c r="B113" t="str">
        <f>Segmenter!B113</f>
        <v/>
      </c>
      <c r="C113" t="str">
        <f t="shared" si="5"/>
        <v/>
      </c>
      <c r="D113" t="str">
        <f t="shared" si="6"/>
        <v/>
      </c>
      <c r="E113" t="str">
        <f t="shared" si="7"/>
        <v/>
      </c>
      <c r="F113" t="str">
        <f>IF(D113="","",INDEX(Knutepunkter!$B:$B,D113+1))</f>
        <v/>
      </c>
      <c r="G113" t="str">
        <f>IF(D113="","",INDEX(Knutepunkter!$C:$C,D113+1))</f>
        <v/>
      </c>
      <c r="H113" t="str">
        <f>IF(D113="","",INDEX(Knutepunkter!$D:$D,D113+1))</f>
        <v/>
      </c>
      <c r="I113" t="str">
        <f>IF(E113="","",INDEX(Knutepunkter!$B:$B,E113+1))</f>
        <v/>
      </c>
      <c r="J113" t="str">
        <f>IF(E113="","",INDEX(Knutepunkter!$C:$C,E113+1))</f>
        <v/>
      </c>
      <c r="K113" t="str">
        <f>IF(E113="","",INDEX(Knutepunkter!$D:$D,E113+1))</f>
        <v/>
      </c>
      <c r="L113" t="str">
        <f t="shared" si="8"/>
        <v/>
      </c>
      <c r="M113" t="str">
        <f t="shared" si="9"/>
        <v/>
      </c>
    </row>
    <row r="114" spans="1:13" x14ac:dyDescent="0.3">
      <c r="A114" t="str">
        <f>Segmenter!A114</f>
        <v/>
      </c>
      <c r="B114" t="str">
        <f>Segmenter!B114</f>
        <v/>
      </c>
      <c r="C114" t="str">
        <f t="shared" si="5"/>
        <v/>
      </c>
      <c r="D114" t="str">
        <f t="shared" si="6"/>
        <v/>
      </c>
      <c r="E114" t="str">
        <f t="shared" si="7"/>
        <v/>
      </c>
      <c r="F114" t="str">
        <f>IF(D114="","",INDEX(Knutepunkter!$B:$B,D114+1))</f>
        <v/>
      </c>
      <c r="G114" t="str">
        <f>IF(D114="","",INDEX(Knutepunkter!$C:$C,D114+1))</f>
        <v/>
      </c>
      <c r="H114" t="str">
        <f>IF(D114="","",INDEX(Knutepunkter!$D:$D,D114+1))</f>
        <v/>
      </c>
      <c r="I114" t="str">
        <f>IF(E114="","",INDEX(Knutepunkter!$B:$B,E114+1))</f>
        <v/>
      </c>
      <c r="J114" t="str">
        <f>IF(E114="","",INDEX(Knutepunkter!$C:$C,E114+1))</f>
        <v/>
      </c>
      <c r="K114" t="str">
        <f>IF(E114="","",INDEX(Knutepunkter!$D:$D,E114+1))</f>
        <v/>
      </c>
      <c r="L114" t="str">
        <f t="shared" si="8"/>
        <v/>
      </c>
      <c r="M114" t="str">
        <f t="shared" si="9"/>
        <v/>
      </c>
    </row>
    <row r="115" spans="1:13" x14ac:dyDescent="0.3">
      <c r="A115" t="str">
        <f>Segmenter!A115</f>
        <v/>
      </c>
      <c r="B115" t="str">
        <f>Segmenter!B115</f>
        <v/>
      </c>
      <c r="C115" t="str">
        <f t="shared" si="5"/>
        <v/>
      </c>
      <c r="D115" t="str">
        <f t="shared" si="6"/>
        <v/>
      </c>
      <c r="E115" t="str">
        <f t="shared" si="7"/>
        <v/>
      </c>
      <c r="F115" t="str">
        <f>IF(D115="","",INDEX(Knutepunkter!$B:$B,D115+1))</f>
        <v/>
      </c>
      <c r="G115" t="str">
        <f>IF(D115="","",INDEX(Knutepunkter!$C:$C,D115+1))</f>
        <v/>
      </c>
      <c r="H115" t="str">
        <f>IF(D115="","",INDEX(Knutepunkter!$D:$D,D115+1))</f>
        <v/>
      </c>
      <c r="I115" t="str">
        <f>IF(E115="","",INDEX(Knutepunkter!$B:$B,E115+1))</f>
        <v/>
      </c>
      <c r="J115" t="str">
        <f>IF(E115="","",INDEX(Knutepunkter!$C:$C,E115+1))</f>
        <v/>
      </c>
      <c r="K115" t="str">
        <f>IF(E115="","",INDEX(Knutepunkter!$D:$D,E115+1))</f>
        <v/>
      </c>
      <c r="L115" t="str">
        <f t="shared" si="8"/>
        <v/>
      </c>
      <c r="M115" t="str">
        <f t="shared" si="9"/>
        <v/>
      </c>
    </row>
    <row r="116" spans="1:13" x14ac:dyDescent="0.3">
      <c r="A116" t="str">
        <f>Segmenter!A116</f>
        <v/>
      </c>
      <c r="B116" t="str">
        <f>Segmenter!B116</f>
        <v/>
      </c>
      <c r="C116" t="str">
        <f t="shared" si="5"/>
        <v/>
      </c>
      <c r="D116" t="str">
        <f t="shared" si="6"/>
        <v/>
      </c>
      <c r="E116" t="str">
        <f t="shared" si="7"/>
        <v/>
      </c>
      <c r="F116" t="str">
        <f>IF(D116="","",INDEX(Knutepunkter!$B:$B,D116+1))</f>
        <v/>
      </c>
      <c r="G116" t="str">
        <f>IF(D116="","",INDEX(Knutepunkter!$C:$C,D116+1))</f>
        <v/>
      </c>
      <c r="H116" t="str">
        <f>IF(D116="","",INDEX(Knutepunkter!$D:$D,D116+1))</f>
        <v/>
      </c>
      <c r="I116" t="str">
        <f>IF(E116="","",INDEX(Knutepunkter!$B:$B,E116+1))</f>
        <v/>
      </c>
      <c r="J116" t="str">
        <f>IF(E116="","",INDEX(Knutepunkter!$C:$C,E116+1))</f>
        <v/>
      </c>
      <c r="K116" t="str">
        <f>IF(E116="","",INDEX(Knutepunkter!$D:$D,E116+1))</f>
        <v/>
      </c>
      <c r="L116" t="str">
        <f t="shared" si="8"/>
        <v/>
      </c>
      <c r="M116" t="str">
        <f t="shared" si="9"/>
        <v/>
      </c>
    </row>
    <row r="117" spans="1:13" x14ac:dyDescent="0.3">
      <c r="A117" t="str">
        <f>Segmenter!A117</f>
        <v/>
      </c>
      <c r="B117" t="str">
        <f>Segmenter!B117</f>
        <v/>
      </c>
      <c r="C117" t="str">
        <f t="shared" si="5"/>
        <v/>
      </c>
      <c r="D117" t="str">
        <f t="shared" si="6"/>
        <v/>
      </c>
      <c r="E117" t="str">
        <f t="shared" si="7"/>
        <v/>
      </c>
      <c r="F117" t="str">
        <f>IF(D117="","",INDEX(Knutepunkter!$B:$B,D117+1))</f>
        <v/>
      </c>
      <c r="G117" t="str">
        <f>IF(D117="","",INDEX(Knutepunkter!$C:$C,D117+1))</f>
        <v/>
      </c>
      <c r="H117" t="str">
        <f>IF(D117="","",INDEX(Knutepunkter!$D:$D,D117+1))</f>
        <v/>
      </c>
      <c r="I117" t="str">
        <f>IF(E117="","",INDEX(Knutepunkter!$B:$B,E117+1))</f>
        <v/>
      </c>
      <c r="J117" t="str">
        <f>IF(E117="","",INDEX(Knutepunkter!$C:$C,E117+1))</f>
        <v/>
      </c>
      <c r="K117" t="str">
        <f>IF(E117="","",INDEX(Knutepunkter!$D:$D,E117+1))</f>
        <v/>
      </c>
      <c r="L117" t="str">
        <f t="shared" si="8"/>
        <v/>
      </c>
      <c r="M117" t="str">
        <f t="shared" si="9"/>
        <v/>
      </c>
    </row>
    <row r="118" spans="1:13" x14ac:dyDescent="0.3">
      <c r="A118" t="str">
        <f>Segmenter!A118</f>
        <v/>
      </c>
      <c r="B118" t="str">
        <f>Segmenter!B118</f>
        <v/>
      </c>
      <c r="C118" t="str">
        <f t="shared" si="5"/>
        <v/>
      </c>
      <c r="D118" t="str">
        <f t="shared" si="6"/>
        <v/>
      </c>
      <c r="E118" t="str">
        <f t="shared" si="7"/>
        <v/>
      </c>
      <c r="F118" t="str">
        <f>IF(D118="","",INDEX(Knutepunkter!$B:$B,D118+1))</f>
        <v/>
      </c>
      <c r="G118" t="str">
        <f>IF(D118="","",INDEX(Knutepunkter!$C:$C,D118+1))</f>
        <v/>
      </c>
      <c r="H118" t="str">
        <f>IF(D118="","",INDEX(Knutepunkter!$D:$D,D118+1))</f>
        <v/>
      </c>
      <c r="I118" t="str">
        <f>IF(E118="","",INDEX(Knutepunkter!$B:$B,E118+1))</f>
        <v/>
      </c>
      <c r="J118" t="str">
        <f>IF(E118="","",INDEX(Knutepunkter!$C:$C,E118+1))</f>
        <v/>
      </c>
      <c r="K118" t="str">
        <f>IF(E118="","",INDEX(Knutepunkter!$D:$D,E118+1))</f>
        <v/>
      </c>
      <c r="L118" t="str">
        <f t="shared" si="8"/>
        <v/>
      </c>
      <c r="M118" t="str">
        <f t="shared" si="9"/>
        <v/>
      </c>
    </row>
    <row r="119" spans="1:13" x14ac:dyDescent="0.3">
      <c r="A119" t="str">
        <f>Segmenter!A119</f>
        <v/>
      </c>
      <c r="B119" t="str">
        <f>Segmenter!B119</f>
        <v/>
      </c>
      <c r="C119" t="str">
        <f t="shared" si="5"/>
        <v/>
      </c>
      <c r="D119" t="str">
        <f t="shared" si="6"/>
        <v/>
      </c>
      <c r="E119" t="str">
        <f t="shared" si="7"/>
        <v/>
      </c>
      <c r="F119" t="str">
        <f>IF(D119="","",INDEX(Knutepunkter!$B:$B,D119+1))</f>
        <v/>
      </c>
      <c r="G119" t="str">
        <f>IF(D119="","",INDEX(Knutepunkter!$C:$C,D119+1))</f>
        <v/>
      </c>
      <c r="H119" t="str">
        <f>IF(D119="","",INDEX(Knutepunkter!$D:$D,D119+1))</f>
        <v/>
      </c>
      <c r="I119" t="str">
        <f>IF(E119="","",INDEX(Knutepunkter!$B:$B,E119+1))</f>
        <v/>
      </c>
      <c r="J119" t="str">
        <f>IF(E119="","",INDEX(Knutepunkter!$C:$C,E119+1))</f>
        <v/>
      </c>
      <c r="K119" t="str">
        <f>IF(E119="","",INDEX(Knutepunkter!$D:$D,E119+1))</f>
        <v/>
      </c>
      <c r="L119" t="str">
        <f t="shared" si="8"/>
        <v/>
      </c>
      <c r="M119" t="str">
        <f t="shared" si="9"/>
        <v/>
      </c>
    </row>
    <row r="120" spans="1:13" x14ac:dyDescent="0.3">
      <c r="A120" t="str">
        <f>Segmenter!A120</f>
        <v/>
      </c>
      <c r="B120" t="str">
        <f>Segmenter!B120</f>
        <v/>
      </c>
      <c r="C120" t="str">
        <f t="shared" si="5"/>
        <v/>
      </c>
      <c r="D120" t="str">
        <f t="shared" si="6"/>
        <v/>
      </c>
      <c r="E120" t="str">
        <f t="shared" si="7"/>
        <v/>
      </c>
      <c r="F120" t="str">
        <f>IF(D120="","",INDEX(Knutepunkter!$B:$B,D120+1))</f>
        <v/>
      </c>
      <c r="G120" t="str">
        <f>IF(D120="","",INDEX(Knutepunkter!$C:$C,D120+1))</f>
        <v/>
      </c>
      <c r="H120" t="str">
        <f>IF(D120="","",INDEX(Knutepunkter!$D:$D,D120+1))</f>
        <v/>
      </c>
      <c r="I120" t="str">
        <f>IF(E120="","",INDEX(Knutepunkter!$B:$B,E120+1))</f>
        <v/>
      </c>
      <c r="J120" t="str">
        <f>IF(E120="","",INDEX(Knutepunkter!$C:$C,E120+1))</f>
        <v/>
      </c>
      <c r="K120" t="str">
        <f>IF(E120="","",INDEX(Knutepunkter!$D:$D,E120+1))</f>
        <v/>
      </c>
      <c r="L120" t="str">
        <f t="shared" si="8"/>
        <v/>
      </c>
      <c r="M120" t="str">
        <f t="shared" si="9"/>
        <v/>
      </c>
    </row>
    <row r="121" spans="1:13" x14ac:dyDescent="0.3">
      <c r="A121" t="str">
        <f>Segmenter!A121</f>
        <v/>
      </c>
      <c r="B121" t="str">
        <f>Segmenter!B121</f>
        <v/>
      </c>
      <c r="C121" t="str">
        <f t="shared" si="5"/>
        <v/>
      </c>
      <c r="D121" t="str">
        <f t="shared" si="6"/>
        <v/>
      </c>
      <c r="E121" t="str">
        <f t="shared" si="7"/>
        <v/>
      </c>
      <c r="F121" t="str">
        <f>IF(D121="","",INDEX(Knutepunkter!$B:$B,D121+1))</f>
        <v/>
      </c>
      <c r="G121" t="str">
        <f>IF(D121="","",INDEX(Knutepunkter!$C:$C,D121+1))</f>
        <v/>
      </c>
      <c r="H121" t="str">
        <f>IF(D121="","",INDEX(Knutepunkter!$D:$D,D121+1))</f>
        <v/>
      </c>
      <c r="I121" t="str">
        <f>IF(E121="","",INDEX(Knutepunkter!$B:$B,E121+1))</f>
        <v/>
      </c>
      <c r="J121" t="str">
        <f>IF(E121="","",INDEX(Knutepunkter!$C:$C,E121+1))</f>
        <v/>
      </c>
      <c r="K121" t="str">
        <f>IF(E121="","",INDEX(Knutepunkter!$D:$D,E121+1))</f>
        <v/>
      </c>
      <c r="L121" t="str">
        <f t="shared" si="8"/>
        <v/>
      </c>
      <c r="M121" t="str">
        <f t="shared" si="9"/>
        <v/>
      </c>
    </row>
    <row r="122" spans="1:13" x14ac:dyDescent="0.3">
      <c r="A122" t="str">
        <f>Segmenter!A122</f>
        <v/>
      </c>
      <c r="B122" t="str">
        <f>Segmenter!B122</f>
        <v/>
      </c>
      <c r="C122" t="str">
        <f t="shared" si="5"/>
        <v/>
      </c>
      <c r="D122" t="str">
        <f t="shared" si="6"/>
        <v/>
      </c>
      <c r="E122" t="str">
        <f t="shared" si="7"/>
        <v/>
      </c>
      <c r="F122" t="str">
        <f>IF(D122="","",INDEX(Knutepunkter!$B:$B,D122+1))</f>
        <v/>
      </c>
      <c r="G122" t="str">
        <f>IF(D122="","",INDEX(Knutepunkter!$C:$C,D122+1))</f>
        <v/>
      </c>
      <c r="H122" t="str">
        <f>IF(D122="","",INDEX(Knutepunkter!$D:$D,D122+1))</f>
        <v/>
      </c>
      <c r="I122" t="str">
        <f>IF(E122="","",INDEX(Knutepunkter!$B:$B,E122+1))</f>
        <v/>
      </c>
      <c r="J122" t="str">
        <f>IF(E122="","",INDEX(Knutepunkter!$C:$C,E122+1))</f>
        <v/>
      </c>
      <c r="K122" t="str">
        <f>IF(E122="","",INDEX(Knutepunkter!$D:$D,E122+1))</f>
        <v/>
      </c>
      <c r="L122" t="str">
        <f t="shared" si="8"/>
        <v/>
      </c>
      <c r="M122" t="str">
        <f t="shared" si="9"/>
        <v/>
      </c>
    </row>
    <row r="123" spans="1:13" x14ac:dyDescent="0.3">
      <c r="A123" t="str">
        <f>Segmenter!A123</f>
        <v/>
      </c>
      <c r="B123" t="str">
        <f>Segmenter!B123</f>
        <v/>
      </c>
      <c r="C123" t="str">
        <f t="shared" si="5"/>
        <v/>
      </c>
      <c r="D123" t="str">
        <f t="shared" si="6"/>
        <v/>
      </c>
      <c r="E123" t="str">
        <f t="shared" si="7"/>
        <v/>
      </c>
      <c r="F123" t="str">
        <f>IF(D123="","",INDEX(Knutepunkter!$B:$B,D123+1))</f>
        <v/>
      </c>
      <c r="G123" t="str">
        <f>IF(D123="","",INDEX(Knutepunkter!$C:$C,D123+1))</f>
        <v/>
      </c>
      <c r="H123" t="str">
        <f>IF(D123="","",INDEX(Knutepunkter!$D:$D,D123+1))</f>
        <v/>
      </c>
      <c r="I123" t="str">
        <f>IF(E123="","",INDEX(Knutepunkter!$B:$B,E123+1))</f>
        <v/>
      </c>
      <c r="J123" t="str">
        <f>IF(E123="","",INDEX(Knutepunkter!$C:$C,E123+1))</f>
        <v/>
      </c>
      <c r="K123" t="str">
        <f>IF(E123="","",INDEX(Knutepunkter!$D:$D,E123+1))</f>
        <v/>
      </c>
      <c r="L123" t="str">
        <f t="shared" si="8"/>
        <v/>
      </c>
      <c r="M123" t="str">
        <f t="shared" si="9"/>
        <v/>
      </c>
    </row>
    <row r="124" spans="1:13" x14ac:dyDescent="0.3">
      <c r="A124" t="str">
        <f>Segmenter!A124</f>
        <v/>
      </c>
      <c r="B124" t="str">
        <f>Segmenter!B124</f>
        <v/>
      </c>
      <c r="C124" t="str">
        <f t="shared" si="5"/>
        <v/>
      </c>
      <c r="D124" t="str">
        <f t="shared" si="6"/>
        <v/>
      </c>
      <c r="E124" t="str">
        <f t="shared" si="7"/>
        <v/>
      </c>
      <c r="F124" t="str">
        <f>IF(D124="","",INDEX(Knutepunkter!$B:$B,D124+1))</f>
        <v/>
      </c>
      <c r="G124" t="str">
        <f>IF(D124="","",INDEX(Knutepunkter!$C:$C,D124+1))</f>
        <v/>
      </c>
      <c r="H124" t="str">
        <f>IF(D124="","",INDEX(Knutepunkter!$D:$D,D124+1))</f>
        <v/>
      </c>
      <c r="I124" t="str">
        <f>IF(E124="","",INDEX(Knutepunkter!$B:$B,E124+1))</f>
        <v/>
      </c>
      <c r="J124" t="str">
        <f>IF(E124="","",INDEX(Knutepunkter!$C:$C,E124+1))</f>
        <v/>
      </c>
      <c r="K124" t="str">
        <f>IF(E124="","",INDEX(Knutepunkter!$D:$D,E124+1))</f>
        <v/>
      </c>
      <c r="L124" t="str">
        <f t="shared" si="8"/>
        <v/>
      </c>
      <c r="M124" t="str">
        <f t="shared" si="9"/>
        <v/>
      </c>
    </row>
    <row r="125" spans="1:13" x14ac:dyDescent="0.3">
      <c r="A125" t="str">
        <f>Segmenter!A125</f>
        <v/>
      </c>
      <c r="B125" t="str">
        <f>Segmenter!B125</f>
        <v/>
      </c>
      <c r="C125" t="str">
        <f t="shared" si="5"/>
        <v/>
      </c>
      <c r="D125" t="str">
        <f t="shared" si="6"/>
        <v/>
      </c>
      <c r="E125" t="str">
        <f t="shared" si="7"/>
        <v/>
      </c>
      <c r="F125" t="str">
        <f>IF(D125="","",INDEX(Knutepunkter!$B:$B,D125+1))</f>
        <v/>
      </c>
      <c r="G125" t="str">
        <f>IF(D125="","",INDEX(Knutepunkter!$C:$C,D125+1))</f>
        <v/>
      </c>
      <c r="H125" t="str">
        <f>IF(D125="","",INDEX(Knutepunkter!$D:$D,D125+1))</f>
        <v/>
      </c>
      <c r="I125" t="str">
        <f>IF(E125="","",INDEX(Knutepunkter!$B:$B,E125+1))</f>
        <v/>
      </c>
      <c r="J125" t="str">
        <f>IF(E125="","",INDEX(Knutepunkter!$C:$C,E125+1))</f>
        <v/>
      </c>
      <c r="K125" t="str">
        <f>IF(E125="","",INDEX(Knutepunkter!$D:$D,E125+1))</f>
        <v/>
      </c>
      <c r="L125" t="str">
        <f t="shared" si="8"/>
        <v/>
      </c>
      <c r="M125" t="str">
        <f t="shared" si="9"/>
        <v/>
      </c>
    </row>
    <row r="126" spans="1:13" x14ac:dyDescent="0.3">
      <c r="A126" t="str">
        <f>Segmenter!A126</f>
        <v/>
      </c>
      <c r="B126" t="str">
        <f>Segmenter!B126</f>
        <v/>
      </c>
      <c r="C126" t="str">
        <f t="shared" si="5"/>
        <v/>
      </c>
      <c r="D126" t="str">
        <f t="shared" si="6"/>
        <v/>
      </c>
      <c r="E126" t="str">
        <f t="shared" si="7"/>
        <v/>
      </c>
      <c r="F126" t="str">
        <f>IF(D126="","",INDEX(Knutepunkter!$B:$B,D126+1))</f>
        <v/>
      </c>
      <c r="G126" t="str">
        <f>IF(D126="","",INDEX(Knutepunkter!$C:$C,D126+1))</f>
        <v/>
      </c>
      <c r="H126" t="str">
        <f>IF(D126="","",INDEX(Knutepunkter!$D:$D,D126+1))</f>
        <v/>
      </c>
      <c r="I126" t="str">
        <f>IF(E126="","",INDEX(Knutepunkter!$B:$B,E126+1))</f>
        <v/>
      </c>
      <c r="J126" t="str">
        <f>IF(E126="","",INDEX(Knutepunkter!$C:$C,E126+1))</f>
        <v/>
      </c>
      <c r="K126" t="str">
        <f>IF(E126="","",INDEX(Knutepunkter!$D:$D,E126+1))</f>
        <v/>
      </c>
      <c r="L126" t="str">
        <f t="shared" si="8"/>
        <v/>
      </c>
      <c r="M126" t="str">
        <f t="shared" si="9"/>
        <v/>
      </c>
    </row>
    <row r="127" spans="1:13" x14ac:dyDescent="0.3">
      <c r="A127" t="str">
        <f>Segmenter!A127</f>
        <v/>
      </c>
      <c r="B127" t="str">
        <f>Segmenter!B127</f>
        <v/>
      </c>
      <c r="C127" t="str">
        <f t="shared" si="5"/>
        <v/>
      </c>
      <c r="D127" t="str">
        <f t="shared" si="6"/>
        <v/>
      </c>
      <c r="E127" t="str">
        <f t="shared" si="7"/>
        <v/>
      </c>
      <c r="F127" t="str">
        <f>IF(D127="","",INDEX(Knutepunkter!$B:$B,D127+1))</f>
        <v/>
      </c>
      <c r="G127" t="str">
        <f>IF(D127="","",INDEX(Knutepunkter!$C:$C,D127+1))</f>
        <v/>
      </c>
      <c r="H127" t="str">
        <f>IF(D127="","",INDEX(Knutepunkter!$D:$D,D127+1))</f>
        <v/>
      </c>
      <c r="I127" t="str">
        <f>IF(E127="","",INDEX(Knutepunkter!$B:$B,E127+1))</f>
        <v/>
      </c>
      <c r="J127" t="str">
        <f>IF(E127="","",INDEX(Knutepunkter!$C:$C,E127+1))</f>
        <v/>
      </c>
      <c r="K127" t="str">
        <f>IF(E127="","",INDEX(Knutepunkter!$D:$D,E127+1))</f>
        <v/>
      </c>
      <c r="L127" t="str">
        <f t="shared" si="8"/>
        <v/>
      </c>
      <c r="M127" t="str">
        <f t="shared" si="9"/>
        <v/>
      </c>
    </row>
    <row r="128" spans="1:13" x14ac:dyDescent="0.3">
      <c r="A128" t="str">
        <f>Segmenter!A128</f>
        <v/>
      </c>
      <c r="B128" t="str">
        <f>Segmenter!B128</f>
        <v/>
      </c>
      <c r="C128" t="str">
        <f t="shared" si="5"/>
        <v/>
      </c>
      <c r="D128" t="str">
        <f t="shared" si="6"/>
        <v/>
      </c>
      <c r="E128" t="str">
        <f t="shared" si="7"/>
        <v/>
      </c>
      <c r="F128" t="str">
        <f>IF(D128="","",INDEX(Knutepunkter!$B:$B,D128+1))</f>
        <v/>
      </c>
      <c r="G128" t="str">
        <f>IF(D128="","",INDEX(Knutepunkter!$C:$C,D128+1))</f>
        <v/>
      </c>
      <c r="H128" t="str">
        <f>IF(D128="","",INDEX(Knutepunkter!$D:$D,D128+1))</f>
        <v/>
      </c>
      <c r="I128" t="str">
        <f>IF(E128="","",INDEX(Knutepunkter!$B:$B,E128+1))</f>
        <v/>
      </c>
      <c r="J128" t="str">
        <f>IF(E128="","",INDEX(Knutepunkter!$C:$C,E128+1))</f>
        <v/>
      </c>
      <c r="K128" t="str">
        <f>IF(E128="","",INDEX(Knutepunkter!$D:$D,E128+1))</f>
        <v/>
      </c>
      <c r="L128" t="str">
        <f t="shared" si="8"/>
        <v/>
      </c>
      <c r="M128" t="str">
        <f t="shared" si="9"/>
        <v/>
      </c>
    </row>
    <row r="129" spans="1:13" x14ac:dyDescent="0.3">
      <c r="A129" t="str">
        <f>Segmenter!A129</f>
        <v/>
      </c>
      <c r="B129" t="str">
        <f>Segmenter!B129</f>
        <v/>
      </c>
      <c r="C129" t="str">
        <f t="shared" si="5"/>
        <v/>
      </c>
      <c r="D129" t="str">
        <f t="shared" si="6"/>
        <v/>
      </c>
      <c r="E129" t="str">
        <f t="shared" si="7"/>
        <v/>
      </c>
      <c r="F129" t="str">
        <f>IF(D129="","",INDEX(Knutepunkter!$B:$B,D129+1))</f>
        <v/>
      </c>
      <c r="G129" t="str">
        <f>IF(D129="","",INDEX(Knutepunkter!$C:$C,D129+1))</f>
        <v/>
      </c>
      <c r="H129" t="str">
        <f>IF(D129="","",INDEX(Knutepunkter!$D:$D,D129+1))</f>
        <v/>
      </c>
      <c r="I129" t="str">
        <f>IF(E129="","",INDEX(Knutepunkter!$B:$B,E129+1))</f>
        <v/>
      </c>
      <c r="J129" t="str">
        <f>IF(E129="","",INDEX(Knutepunkter!$C:$C,E129+1))</f>
        <v/>
      </c>
      <c r="K129" t="str">
        <f>IF(E129="","",INDEX(Knutepunkter!$D:$D,E129+1))</f>
        <v/>
      </c>
      <c r="L129" t="str">
        <f t="shared" si="8"/>
        <v/>
      </c>
      <c r="M129" t="str">
        <f t="shared" si="9"/>
        <v/>
      </c>
    </row>
    <row r="130" spans="1:13" x14ac:dyDescent="0.3">
      <c r="A130" t="str">
        <f>Segmenter!A130</f>
        <v/>
      </c>
      <c r="B130" t="str">
        <f>Segmenter!B130</f>
        <v/>
      </c>
      <c r="C130" t="str">
        <f t="shared" ref="C130:C193" si="10">IF(B130="","",IF(AND(F130=I130,G130=J130,H130&lt;&gt;K130),"Søyle","Bjelke"))</f>
        <v/>
      </c>
      <c r="D130" t="str">
        <f t="shared" ref="D130:D193" si="11">IF(B130="","",VALUE(LEFT(B130,FIND(" -&gt; ",B130)-1)))</f>
        <v/>
      </c>
      <c r="E130" t="str">
        <f t="shared" ref="E130:E193" si="12">IF(B130="","",VALUE(MID(B130,FIND(" -&gt; ",B130)+4,99)))</f>
        <v/>
      </c>
      <c r="F130" t="str">
        <f>IF(D130="","",INDEX(Knutepunkter!$B:$B,D130+1))</f>
        <v/>
      </c>
      <c r="G130" t="str">
        <f>IF(D130="","",INDEX(Knutepunkter!$C:$C,D130+1))</f>
        <v/>
      </c>
      <c r="H130" t="str">
        <f>IF(D130="","",INDEX(Knutepunkter!$D:$D,D130+1))</f>
        <v/>
      </c>
      <c r="I130" t="str">
        <f>IF(E130="","",INDEX(Knutepunkter!$B:$B,E130+1))</f>
        <v/>
      </c>
      <c r="J130" t="str">
        <f>IF(E130="","",INDEX(Knutepunkter!$C:$C,E130+1))</f>
        <v/>
      </c>
      <c r="K130" t="str">
        <f>IF(E130="","",INDEX(Knutepunkter!$D:$D,E130+1))</f>
        <v/>
      </c>
      <c r="L130" t="str">
        <f t="shared" ref="L130:L193" si="13">IF(B130="","",SQRT((I130-F130)^2+(J130-G130)^2+(K130-H130)^2))</f>
        <v/>
      </c>
      <c r="M130" t="str">
        <f t="shared" ref="M130:M193" si="14">IF(L130="","",L130/1000)</f>
        <v/>
      </c>
    </row>
    <row r="131" spans="1:13" x14ac:dyDescent="0.3">
      <c r="A131" t="str">
        <f>Segmenter!A131</f>
        <v/>
      </c>
      <c r="B131" t="str">
        <f>Segmenter!B131</f>
        <v/>
      </c>
      <c r="C131" t="str">
        <f t="shared" si="10"/>
        <v/>
      </c>
      <c r="D131" t="str">
        <f t="shared" si="11"/>
        <v/>
      </c>
      <c r="E131" t="str">
        <f t="shared" si="12"/>
        <v/>
      </c>
      <c r="F131" t="str">
        <f>IF(D131="","",INDEX(Knutepunkter!$B:$B,D131+1))</f>
        <v/>
      </c>
      <c r="G131" t="str">
        <f>IF(D131="","",INDEX(Knutepunkter!$C:$C,D131+1))</f>
        <v/>
      </c>
      <c r="H131" t="str">
        <f>IF(D131="","",INDEX(Knutepunkter!$D:$D,D131+1))</f>
        <v/>
      </c>
      <c r="I131" t="str">
        <f>IF(E131="","",INDEX(Knutepunkter!$B:$B,E131+1))</f>
        <v/>
      </c>
      <c r="J131" t="str">
        <f>IF(E131="","",INDEX(Knutepunkter!$C:$C,E131+1))</f>
        <v/>
      </c>
      <c r="K131" t="str">
        <f>IF(E131="","",INDEX(Knutepunkter!$D:$D,E131+1))</f>
        <v/>
      </c>
      <c r="L131" t="str">
        <f t="shared" si="13"/>
        <v/>
      </c>
      <c r="M131" t="str">
        <f t="shared" si="14"/>
        <v/>
      </c>
    </row>
    <row r="132" spans="1:13" x14ac:dyDescent="0.3">
      <c r="A132" t="str">
        <f>Segmenter!A132</f>
        <v/>
      </c>
      <c r="B132" t="str">
        <f>Segmenter!B132</f>
        <v/>
      </c>
      <c r="C132" t="str">
        <f t="shared" si="10"/>
        <v/>
      </c>
      <c r="D132" t="str">
        <f t="shared" si="11"/>
        <v/>
      </c>
      <c r="E132" t="str">
        <f t="shared" si="12"/>
        <v/>
      </c>
      <c r="F132" t="str">
        <f>IF(D132="","",INDEX(Knutepunkter!$B:$B,D132+1))</f>
        <v/>
      </c>
      <c r="G132" t="str">
        <f>IF(D132="","",INDEX(Knutepunkter!$C:$C,D132+1))</f>
        <v/>
      </c>
      <c r="H132" t="str">
        <f>IF(D132="","",INDEX(Knutepunkter!$D:$D,D132+1))</f>
        <v/>
      </c>
      <c r="I132" t="str">
        <f>IF(E132="","",INDEX(Knutepunkter!$B:$B,E132+1))</f>
        <v/>
      </c>
      <c r="J132" t="str">
        <f>IF(E132="","",INDEX(Knutepunkter!$C:$C,E132+1))</f>
        <v/>
      </c>
      <c r="K132" t="str">
        <f>IF(E132="","",INDEX(Knutepunkter!$D:$D,E132+1))</f>
        <v/>
      </c>
      <c r="L132" t="str">
        <f t="shared" si="13"/>
        <v/>
      </c>
      <c r="M132" t="str">
        <f t="shared" si="14"/>
        <v/>
      </c>
    </row>
    <row r="133" spans="1:13" x14ac:dyDescent="0.3">
      <c r="A133" t="str">
        <f>Segmenter!A133</f>
        <v/>
      </c>
      <c r="B133" t="str">
        <f>Segmenter!B133</f>
        <v/>
      </c>
      <c r="C133" t="str">
        <f t="shared" si="10"/>
        <v/>
      </c>
      <c r="D133" t="str">
        <f t="shared" si="11"/>
        <v/>
      </c>
      <c r="E133" t="str">
        <f t="shared" si="12"/>
        <v/>
      </c>
      <c r="F133" t="str">
        <f>IF(D133="","",INDEX(Knutepunkter!$B:$B,D133+1))</f>
        <v/>
      </c>
      <c r="G133" t="str">
        <f>IF(D133="","",INDEX(Knutepunkter!$C:$C,D133+1))</f>
        <v/>
      </c>
      <c r="H133" t="str">
        <f>IF(D133="","",INDEX(Knutepunkter!$D:$D,D133+1))</f>
        <v/>
      </c>
      <c r="I133" t="str">
        <f>IF(E133="","",INDEX(Knutepunkter!$B:$B,E133+1))</f>
        <v/>
      </c>
      <c r="J133" t="str">
        <f>IF(E133="","",INDEX(Knutepunkter!$C:$C,E133+1))</f>
        <v/>
      </c>
      <c r="K133" t="str">
        <f>IF(E133="","",INDEX(Knutepunkter!$D:$D,E133+1))</f>
        <v/>
      </c>
      <c r="L133" t="str">
        <f t="shared" si="13"/>
        <v/>
      </c>
      <c r="M133" t="str">
        <f t="shared" si="14"/>
        <v/>
      </c>
    </row>
    <row r="134" spans="1:13" x14ac:dyDescent="0.3">
      <c r="A134" t="str">
        <f>Segmenter!A134</f>
        <v/>
      </c>
      <c r="B134" t="str">
        <f>Segmenter!B134</f>
        <v/>
      </c>
      <c r="C134" t="str">
        <f t="shared" si="10"/>
        <v/>
      </c>
      <c r="D134" t="str">
        <f t="shared" si="11"/>
        <v/>
      </c>
      <c r="E134" t="str">
        <f t="shared" si="12"/>
        <v/>
      </c>
      <c r="F134" t="str">
        <f>IF(D134="","",INDEX(Knutepunkter!$B:$B,D134+1))</f>
        <v/>
      </c>
      <c r="G134" t="str">
        <f>IF(D134="","",INDEX(Knutepunkter!$C:$C,D134+1))</f>
        <v/>
      </c>
      <c r="H134" t="str">
        <f>IF(D134="","",INDEX(Knutepunkter!$D:$D,D134+1))</f>
        <v/>
      </c>
      <c r="I134" t="str">
        <f>IF(E134="","",INDEX(Knutepunkter!$B:$B,E134+1))</f>
        <v/>
      </c>
      <c r="J134" t="str">
        <f>IF(E134="","",INDEX(Knutepunkter!$C:$C,E134+1))</f>
        <v/>
      </c>
      <c r="K134" t="str">
        <f>IF(E134="","",INDEX(Knutepunkter!$D:$D,E134+1))</f>
        <v/>
      </c>
      <c r="L134" t="str">
        <f t="shared" si="13"/>
        <v/>
      </c>
      <c r="M134" t="str">
        <f t="shared" si="14"/>
        <v/>
      </c>
    </row>
    <row r="135" spans="1:13" x14ac:dyDescent="0.3">
      <c r="A135" t="str">
        <f>Segmenter!A135</f>
        <v/>
      </c>
      <c r="B135" t="str">
        <f>Segmenter!B135</f>
        <v/>
      </c>
      <c r="C135" t="str">
        <f t="shared" si="10"/>
        <v/>
      </c>
      <c r="D135" t="str">
        <f t="shared" si="11"/>
        <v/>
      </c>
      <c r="E135" t="str">
        <f t="shared" si="12"/>
        <v/>
      </c>
      <c r="F135" t="str">
        <f>IF(D135="","",INDEX(Knutepunkter!$B:$B,D135+1))</f>
        <v/>
      </c>
      <c r="G135" t="str">
        <f>IF(D135="","",INDEX(Knutepunkter!$C:$C,D135+1))</f>
        <v/>
      </c>
      <c r="H135" t="str">
        <f>IF(D135="","",INDEX(Knutepunkter!$D:$D,D135+1))</f>
        <v/>
      </c>
      <c r="I135" t="str">
        <f>IF(E135="","",INDEX(Knutepunkter!$B:$B,E135+1))</f>
        <v/>
      </c>
      <c r="J135" t="str">
        <f>IF(E135="","",INDEX(Knutepunkter!$C:$C,E135+1))</f>
        <v/>
      </c>
      <c r="K135" t="str">
        <f>IF(E135="","",INDEX(Knutepunkter!$D:$D,E135+1))</f>
        <v/>
      </c>
      <c r="L135" t="str">
        <f t="shared" si="13"/>
        <v/>
      </c>
      <c r="M135" t="str">
        <f t="shared" si="14"/>
        <v/>
      </c>
    </row>
    <row r="136" spans="1:13" x14ac:dyDescent="0.3">
      <c r="A136" t="str">
        <f>Segmenter!A136</f>
        <v/>
      </c>
      <c r="B136" t="str">
        <f>Segmenter!B136</f>
        <v/>
      </c>
      <c r="C136" t="str">
        <f t="shared" si="10"/>
        <v/>
      </c>
      <c r="D136" t="str">
        <f t="shared" si="11"/>
        <v/>
      </c>
      <c r="E136" t="str">
        <f t="shared" si="12"/>
        <v/>
      </c>
      <c r="F136" t="str">
        <f>IF(D136="","",INDEX(Knutepunkter!$B:$B,D136+1))</f>
        <v/>
      </c>
      <c r="G136" t="str">
        <f>IF(D136="","",INDEX(Knutepunkter!$C:$C,D136+1))</f>
        <v/>
      </c>
      <c r="H136" t="str">
        <f>IF(D136="","",INDEX(Knutepunkter!$D:$D,D136+1))</f>
        <v/>
      </c>
      <c r="I136" t="str">
        <f>IF(E136="","",INDEX(Knutepunkter!$B:$B,E136+1))</f>
        <v/>
      </c>
      <c r="J136" t="str">
        <f>IF(E136="","",INDEX(Knutepunkter!$C:$C,E136+1))</f>
        <v/>
      </c>
      <c r="K136" t="str">
        <f>IF(E136="","",INDEX(Knutepunkter!$D:$D,E136+1))</f>
        <v/>
      </c>
      <c r="L136" t="str">
        <f t="shared" si="13"/>
        <v/>
      </c>
      <c r="M136" t="str">
        <f t="shared" si="14"/>
        <v/>
      </c>
    </row>
    <row r="137" spans="1:13" x14ac:dyDescent="0.3">
      <c r="A137" t="str">
        <f>Segmenter!A137</f>
        <v/>
      </c>
      <c r="B137" t="str">
        <f>Segmenter!B137</f>
        <v/>
      </c>
      <c r="C137" t="str">
        <f t="shared" si="10"/>
        <v/>
      </c>
      <c r="D137" t="str">
        <f t="shared" si="11"/>
        <v/>
      </c>
      <c r="E137" t="str">
        <f t="shared" si="12"/>
        <v/>
      </c>
      <c r="F137" t="str">
        <f>IF(D137="","",INDEX(Knutepunkter!$B:$B,D137+1))</f>
        <v/>
      </c>
      <c r="G137" t="str">
        <f>IF(D137="","",INDEX(Knutepunkter!$C:$C,D137+1))</f>
        <v/>
      </c>
      <c r="H137" t="str">
        <f>IF(D137="","",INDEX(Knutepunkter!$D:$D,D137+1))</f>
        <v/>
      </c>
      <c r="I137" t="str">
        <f>IF(E137="","",INDEX(Knutepunkter!$B:$B,E137+1))</f>
        <v/>
      </c>
      <c r="J137" t="str">
        <f>IF(E137="","",INDEX(Knutepunkter!$C:$C,E137+1))</f>
        <v/>
      </c>
      <c r="K137" t="str">
        <f>IF(E137="","",INDEX(Knutepunkter!$D:$D,E137+1))</f>
        <v/>
      </c>
      <c r="L137" t="str">
        <f t="shared" si="13"/>
        <v/>
      </c>
      <c r="M137" t="str">
        <f t="shared" si="14"/>
        <v/>
      </c>
    </row>
    <row r="138" spans="1:13" x14ac:dyDescent="0.3">
      <c r="A138" t="str">
        <f>Segmenter!A138</f>
        <v/>
      </c>
      <c r="B138" t="str">
        <f>Segmenter!B138</f>
        <v/>
      </c>
      <c r="C138" t="str">
        <f t="shared" si="10"/>
        <v/>
      </c>
      <c r="D138" t="str">
        <f t="shared" si="11"/>
        <v/>
      </c>
      <c r="E138" t="str">
        <f t="shared" si="12"/>
        <v/>
      </c>
      <c r="F138" t="str">
        <f>IF(D138="","",INDEX(Knutepunkter!$B:$B,D138+1))</f>
        <v/>
      </c>
      <c r="G138" t="str">
        <f>IF(D138="","",INDEX(Knutepunkter!$C:$C,D138+1))</f>
        <v/>
      </c>
      <c r="H138" t="str">
        <f>IF(D138="","",INDEX(Knutepunkter!$D:$D,D138+1))</f>
        <v/>
      </c>
      <c r="I138" t="str">
        <f>IF(E138="","",INDEX(Knutepunkter!$B:$B,E138+1))</f>
        <v/>
      </c>
      <c r="J138" t="str">
        <f>IF(E138="","",INDEX(Knutepunkter!$C:$C,E138+1))</f>
        <v/>
      </c>
      <c r="K138" t="str">
        <f>IF(E138="","",INDEX(Knutepunkter!$D:$D,E138+1))</f>
        <v/>
      </c>
      <c r="L138" t="str">
        <f t="shared" si="13"/>
        <v/>
      </c>
      <c r="M138" t="str">
        <f t="shared" si="14"/>
        <v/>
      </c>
    </row>
    <row r="139" spans="1:13" x14ac:dyDescent="0.3">
      <c r="A139" t="str">
        <f>Segmenter!A139</f>
        <v/>
      </c>
      <c r="B139" t="str">
        <f>Segmenter!B139</f>
        <v/>
      </c>
      <c r="C139" t="str">
        <f t="shared" si="10"/>
        <v/>
      </c>
      <c r="D139" t="str">
        <f t="shared" si="11"/>
        <v/>
      </c>
      <c r="E139" t="str">
        <f t="shared" si="12"/>
        <v/>
      </c>
      <c r="F139" t="str">
        <f>IF(D139="","",INDEX(Knutepunkter!$B:$B,D139+1))</f>
        <v/>
      </c>
      <c r="G139" t="str">
        <f>IF(D139="","",INDEX(Knutepunkter!$C:$C,D139+1))</f>
        <v/>
      </c>
      <c r="H139" t="str">
        <f>IF(D139="","",INDEX(Knutepunkter!$D:$D,D139+1))</f>
        <v/>
      </c>
      <c r="I139" t="str">
        <f>IF(E139="","",INDEX(Knutepunkter!$B:$B,E139+1))</f>
        <v/>
      </c>
      <c r="J139" t="str">
        <f>IF(E139="","",INDEX(Knutepunkter!$C:$C,E139+1))</f>
        <v/>
      </c>
      <c r="K139" t="str">
        <f>IF(E139="","",INDEX(Knutepunkter!$D:$D,E139+1))</f>
        <v/>
      </c>
      <c r="L139" t="str">
        <f t="shared" si="13"/>
        <v/>
      </c>
      <c r="M139" t="str">
        <f t="shared" si="14"/>
        <v/>
      </c>
    </row>
    <row r="140" spans="1:13" x14ac:dyDescent="0.3">
      <c r="A140" t="str">
        <f>Segmenter!A140</f>
        <v/>
      </c>
      <c r="B140" t="str">
        <f>Segmenter!B140</f>
        <v/>
      </c>
      <c r="C140" t="str">
        <f t="shared" si="10"/>
        <v/>
      </c>
      <c r="D140" t="str">
        <f t="shared" si="11"/>
        <v/>
      </c>
      <c r="E140" t="str">
        <f t="shared" si="12"/>
        <v/>
      </c>
      <c r="F140" t="str">
        <f>IF(D140="","",INDEX(Knutepunkter!$B:$B,D140+1))</f>
        <v/>
      </c>
      <c r="G140" t="str">
        <f>IF(D140="","",INDEX(Knutepunkter!$C:$C,D140+1))</f>
        <v/>
      </c>
      <c r="H140" t="str">
        <f>IF(D140="","",INDEX(Knutepunkter!$D:$D,D140+1))</f>
        <v/>
      </c>
      <c r="I140" t="str">
        <f>IF(E140="","",INDEX(Knutepunkter!$B:$B,E140+1))</f>
        <v/>
      </c>
      <c r="J140" t="str">
        <f>IF(E140="","",INDEX(Knutepunkter!$C:$C,E140+1))</f>
        <v/>
      </c>
      <c r="K140" t="str">
        <f>IF(E140="","",INDEX(Knutepunkter!$D:$D,E140+1))</f>
        <v/>
      </c>
      <c r="L140" t="str">
        <f t="shared" si="13"/>
        <v/>
      </c>
      <c r="M140" t="str">
        <f t="shared" si="14"/>
        <v/>
      </c>
    </row>
    <row r="141" spans="1:13" x14ac:dyDescent="0.3">
      <c r="A141" t="str">
        <f>Segmenter!A141</f>
        <v/>
      </c>
      <c r="B141" t="str">
        <f>Segmenter!B141</f>
        <v/>
      </c>
      <c r="C141" t="str">
        <f t="shared" si="10"/>
        <v/>
      </c>
      <c r="D141" t="str">
        <f t="shared" si="11"/>
        <v/>
      </c>
      <c r="E141" t="str">
        <f t="shared" si="12"/>
        <v/>
      </c>
      <c r="F141" t="str">
        <f>IF(D141="","",INDEX(Knutepunkter!$B:$B,D141+1))</f>
        <v/>
      </c>
      <c r="G141" t="str">
        <f>IF(D141="","",INDEX(Knutepunkter!$C:$C,D141+1))</f>
        <v/>
      </c>
      <c r="H141" t="str">
        <f>IF(D141="","",INDEX(Knutepunkter!$D:$D,D141+1))</f>
        <v/>
      </c>
      <c r="I141" t="str">
        <f>IF(E141="","",INDEX(Knutepunkter!$B:$B,E141+1))</f>
        <v/>
      </c>
      <c r="J141" t="str">
        <f>IF(E141="","",INDEX(Knutepunkter!$C:$C,E141+1))</f>
        <v/>
      </c>
      <c r="K141" t="str">
        <f>IF(E141="","",INDEX(Knutepunkter!$D:$D,E141+1))</f>
        <v/>
      </c>
      <c r="L141" t="str">
        <f t="shared" si="13"/>
        <v/>
      </c>
      <c r="M141" t="str">
        <f t="shared" si="14"/>
        <v/>
      </c>
    </row>
    <row r="142" spans="1:13" x14ac:dyDescent="0.3">
      <c r="A142" t="str">
        <f>Segmenter!A142</f>
        <v/>
      </c>
      <c r="B142" t="str">
        <f>Segmenter!B142</f>
        <v/>
      </c>
      <c r="C142" t="str">
        <f t="shared" si="10"/>
        <v/>
      </c>
      <c r="D142" t="str">
        <f t="shared" si="11"/>
        <v/>
      </c>
      <c r="E142" t="str">
        <f t="shared" si="12"/>
        <v/>
      </c>
      <c r="F142" t="str">
        <f>IF(D142="","",INDEX(Knutepunkter!$B:$B,D142+1))</f>
        <v/>
      </c>
      <c r="G142" t="str">
        <f>IF(D142="","",INDEX(Knutepunkter!$C:$C,D142+1))</f>
        <v/>
      </c>
      <c r="H142" t="str">
        <f>IF(D142="","",INDEX(Knutepunkter!$D:$D,D142+1))</f>
        <v/>
      </c>
      <c r="I142" t="str">
        <f>IF(E142="","",INDEX(Knutepunkter!$B:$B,E142+1))</f>
        <v/>
      </c>
      <c r="J142" t="str">
        <f>IF(E142="","",INDEX(Knutepunkter!$C:$C,E142+1))</f>
        <v/>
      </c>
      <c r="K142" t="str">
        <f>IF(E142="","",INDEX(Knutepunkter!$D:$D,E142+1))</f>
        <v/>
      </c>
      <c r="L142" t="str">
        <f t="shared" si="13"/>
        <v/>
      </c>
      <c r="M142" t="str">
        <f t="shared" si="14"/>
        <v/>
      </c>
    </row>
    <row r="143" spans="1:13" x14ac:dyDescent="0.3">
      <c r="A143" t="str">
        <f>Segmenter!A143</f>
        <v/>
      </c>
      <c r="B143" t="str">
        <f>Segmenter!B143</f>
        <v/>
      </c>
      <c r="C143" t="str">
        <f t="shared" si="10"/>
        <v/>
      </c>
      <c r="D143" t="str">
        <f t="shared" si="11"/>
        <v/>
      </c>
      <c r="E143" t="str">
        <f t="shared" si="12"/>
        <v/>
      </c>
      <c r="F143" t="str">
        <f>IF(D143="","",INDEX(Knutepunkter!$B:$B,D143+1))</f>
        <v/>
      </c>
      <c r="G143" t="str">
        <f>IF(D143="","",INDEX(Knutepunkter!$C:$C,D143+1))</f>
        <v/>
      </c>
      <c r="H143" t="str">
        <f>IF(D143="","",INDEX(Knutepunkter!$D:$D,D143+1))</f>
        <v/>
      </c>
      <c r="I143" t="str">
        <f>IF(E143="","",INDEX(Knutepunkter!$B:$B,E143+1))</f>
        <v/>
      </c>
      <c r="J143" t="str">
        <f>IF(E143="","",INDEX(Knutepunkter!$C:$C,E143+1))</f>
        <v/>
      </c>
      <c r="K143" t="str">
        <f>IF(E143="","",INDEX(Knutepunkter!$D:$D,E143+1))</f>
        <v/>
      </c>
      <c r="L143" t="str">
        <f t="shared" si="13"/>
        <v/>
      </c>
      <c r="M143" t="str">
        <f t="shared" si="14"/>
        <v/>
      </c>
    </row>
    <row r="144" spans="1:13" x14ac:dyDescent="0.3">
      <c r="A144" t="str">
        <f>Segmenter!A144</f>
        <v/>
      </c>
      <c r="B144" t="str">
        <f>Segmenter!B144</f>
        <v/>
      </c>
      <c r="C144" t="str">
        <f t="shared" si="10"/>
        <v/>
      </c>
      <c r="D144" t="str">
        <f t="shared" si="11"/>
        <v/>
      </c>
      <c r="E144" t="str">
        <f t="shared" si="12"/>
        <v/>
      </c>
      <c r="F144" t="str">
        <f>IF(D144="","",INDEX(Knutepunkter!$B:$B,D144+1))</f>
        <v/>
      </c>
      <c r="G144" t="str">
        <f>IF(D144="","",INDEX(Knutepunkter!$C:$C,D144+1))</f>
        <v/>
      </c>
      <c r="H144" t="str">
        <f>IF(D144="","",INDEX(Knutepunkter!$D:$D,D144+1))</f>
        <v/>
      </c>
      <c r="I144" t="str">
        <f>IF(E144="","",INDEX(Knutepunkter!$B:$B,E144+1))</f>
        <v/>
      </c>
      <c r="J144" t="str">
        <f>IF(E144="","",INDEX(Knutepunkter!$C:$C,E144+1))</f>
        <v/>
      </c>
      <c r="K144" t="str">
        <f>IF(E144="","",INDEX(Knutepunkter!$D:$D,E144+1))</f>
        <v/>
      </c>
      <c r="L144" t="str">
        <f t="shared" si="13"/>
        <v/>
      </c>
      <c r="M144" t="str">
        <f t="shared" si="14"/>
        <v/>
      </c>
    </row>
    <row r="145" spans="1:13" x14ac:dyDescent="0.3">
      <c r="A145" t="str">
        <f>Segmenter!A145</f>
        <v/>
      </c>
      <c r="B145" t="str">
        <f>Segmenter!B145</f>
        <v/>
      </c>
      <c r="C145" t="str">
        <f t="shared" si="10"/>
        <v/>
      </c>
      <c r="D145" t="str">
        <f t="shared" si="11"/>
        <v/>
      </c>
      <c r="E145" t="str">
        <f t="shared" si="12"/>
        <v/>
      </c>
      <c r="F145" t="str">
        <f>IF(D145="","",INDEX(Knutepunkter!$B:$B,D145+1))</f>
        <v/>
      </c>
      <c r="G145" t="str">
        <f>IF(D145="","",INDEX(Knutepunkter!$C:$C,D145+1))</f>
        <v/>
      </c>
      <c r="H145" t="str">
        <f>IF(D145="","",INDEX(Knutepunkter!$D:$D,D145+1))</f>
        <v/>
      </c>
      <c r="I145" t="str">
        <f>IF(E145="","",INDEX(Knutepunkter!$B:$B,E145+1))</f>
        <v/>
      </c>
      <c r="J145" t="str">
        <f>IF(E145="","",INDEX(Knutepunkter!$C:$C,E145+1))</f>
        <v/>
      </c>
      <c r="K145" t="str">
        <f>IF(E145="","",INDEX(Knutepunkter!$D:$D,E145+1))</f>
        <v/>
      </c>
      <c r="L145" t="str">
        <f t="shared" si="13"/>
        <v/>
      </c>
      <c r="M145" t="str">
        <f t="shared" si="14"/>
        <v/>
      </c>
    </row>
    <row r="146" spans="1:13" x14ac:dyDescent="0.3">
      <c r="A146" t="str">
        <f>Segmenter!A146</f>
        <v/>
      </c>
      <c r="B146" t="str">
        <f>Segmenter!B146</f>
        <v/>
      </c>
      <c r="C146" t="str">
        <f t="shared" si="10"/>
        <v/>
      </c>
      <c r="D146" t="str">
        <f t="shared" si="11"/>
        <v/>
      </c>
      <c r="E146" t="str">
        <f t="shared" si="12"/>
        <v/>
      </c>
      <c r="F146" t="str">
        <f>IF(D146="","",INDEX(Knutepunkter!$B:$B,D146+1))</f>
        <v/>
      </c>
      <c r="G146" t="str">
        <f>IF(D146="","",INDEX(Knutepunkter!$C:$C,D146+1))</f>
        <v/>
      </c>
      <c r="H146" t="str">
        <f>IF(D146="","",INDEX(Knutepunkter!$D:$D,D146+1))</f>
        <v/>
      </c>
      <c r="I146" t="str">
        <f>IF(E146="","",INDEX(Knutepunkter!$B:$B,E146+1))</f>
        <v/>
      </c>
      <c r="J146" t="str">
        <f>IF(E146="","",INDEX(Knutepunkter!$C:$C,E146+1))</f>
        <v/>
      </c>
      <c r="K146" t="str">
        <f>IF(E146="","",INDEX(Knutepunkter!$D:$D,E146+1))</f>
        <v/>
      </c>
      <c r="L146" t="str">
        <f t="shared" si="13"/>
        <v/>
      </c>
      <c r="M146" t="str">
        <f t="shared" si="14"/>
        <v/>
      </c>
    </row>
    <row r="147" spans="1:13" x14ac:dyDescent="0.3">
      <c r="A147" t="str">
        <f>Segmenter!A147</f>
        <v/>
      </c>
      <c r="B147" t="str">
        <f>Segmenter!B147</f>
        <v/>
      </c>
      <c r="C147" t="str">
        <f t="shared" si="10"/>
        <v/>
      </c>
      <c r="D147" t="str">
        <f t="shared" si="11"/>
        <v/>
      </c>
      <c r="E147" t="str">
        <f t="shared" si="12"/>
        <v/>
      </c>
      <c r="F147" t="str">
        <f>IF(D147="","",INDEX(Knutepunkter!$B:$B,D147+1))</f>
        <v/>
      </c>
      <c r="G147" t="str">
        <f>IF(D147="","",INDEX(Knutepunkter!$C:$C,D147+1))</f>
        <v/>
      </c>
      <c r="H147" t="str">
        <f>IF(D147="","",INDEX(Knutepunkter!$D:$D,D147+1))</f>
        <v/>
      </c>
      <c r="I147" t="str">
        <f>IF(E147="","",INDEX(Knutepunkter!$B:$B,E147+1))</f>
        <v/>
      </c>
      <c r="J147" t="str">
        <f>IF(E147="","",INDEX(Knutepunkter!$C:$C,E147+1))</f>
        <v/>
      </c>
      <c r="K147" t="str">
        <f>IF(E147="","",INDEX(Knutepunkter!$D:$D,E147+1))</f>
        <v/>
      </c>
      <c r="L147" t="str">
        <f t="shared" si="13"/>
        <v/>
      </c>
      <c r="M147" t="str">
        <f t="shared" si="14"/>
        <v/>
      </c>
    </row>
    <row r="148" spans="1:13" x14ac:dyDescent="0.3">
      <c r="A148" t="str">
        <f>Segmenter!A148</f>
        <v/>
      </c>
      <c r="B148" t="str">
        <f>Segmenter!B148</f>
        <v/>
      </c>
      <c r="C148" t="str">
        <f t="shared" si="10"/>
        <v/>
      </c>
      <c r="D148" t="str">
        <f t="shared" si="11"/>
        <v/>
      </c>
      <c r="E148" t="str">
        <f t="shared" si="12"/>
        <v/>
      </c>
      <c r="F148" t="str">
        <f>IF(D148="","",INDEX(Knutepunkter!$B:$B,D148+1))</f>
        <v/>
      </c>
      <c r="G148" t="str">
        <f>IF(D148="","",INDEX(Knutepunkter!$C:$C,D148+1))</f>
        <v/>
      </c>
      <c r="H148" t="str">
        <f>IF(D148="","",INDEX(Knutepunkter!$D:$D,D148+1))</f>
        <v/>
      </c>
      <c r="I148" t="str">
        <f>IF(E148="","",INDEX(Knutepunkter!$B:$B,E148+1))</f>
        <v/>
      </c>
      <c r="J148" t="str">
        <f>IF(E148="","",INDEX(Knutepunkter!$C:$C,E148+1))</f>
        <v/>
      </c>
      <c r="K148" t="str">
        <f>IF(E148="","",INDEX(Knutepunkter!$D:$D,E148+1))</f>
        <v/>
      </c>
      <c r="L148" t="str">
        <f t="shared" si="13"/>
        <v/>
      </c>
      <c r="M148" t="str">
        <f t="shared" si="14"/>
        <v/>
      </c>
    </row>
    <row r="149" spans="1:13" x14ac:dyDescent="0.3">
      <c r="A149" t="str">
        <f>Segmenter!A149</f>
        <v/>
      </c>
      <c r="B149" t="str">
        <f>Segmenter!B149</f>
        <v/>
      </c>
      <c r="C149" t="str">
        <f t="shared" si="10"/>
        <v/>
      </c>
      <c r="D149" t="str">
        <f t="shared" si="11"/>
        <v/>
      </c>
      <c r="E149" t="str">
        <f t="shared" si="12"/>
        <v/>
      </c>
      <c r="F149" t="str">
        <f>IF(D149="","",INDEX(Knutepunkter!$B:$B,D149+1))</f>
        <v/>
      </c>
      <c r="G149" t="str">
        <f>IF(D149="","",INDEX(Knutepunkter!$C:$C,D149+1))</f>
        <v/>
      </c>
      <c r="H149" t="str">
        <f>IF(D149="","",INDEX(Knutepunkter!$D:$D,D149+1))</f>
        <v/>
      </c>
      <c r="I149" t="str">
        <f>IF(E149="","",INDEX(Knutepunkter!$B:$B,E149+1))</f>
        <v/>
      </c>
      <c r="J149" t="str">
        <f>IF(E149="","",INDEX(Knutepunkter!$C:$C,E149+1))</f>
        <v/>
      </c>
      <c r="K149" t="str">
        <f>IF(E149="","",INDEX(Knutepunkter!$D:$D,E149+1))</f>
        <v/>
      </c>
      <c r="L149" t="str">
        <f t="shared" si="13"/>
        <v/>
      </c>
      <c r="M149" t="str">
        <f t="shared" si="14"/>
        <v/>
      </c>
    </row>
    <row r="150" spans="1:13" x14ac:dyDescent="0.3">
      <c r="A150" t="str">
        <f>Segmenter!A150</f>
        <v/>
      </c>
      <c r="B150" t="str">
        <f>Segmenter!B150</f>
        <v/>
      </c>
      <c r="C150" t="str">
        <f t="shared" si="10"/>
        <v/>
      </c>
      <c r="D150" t="str">
        <f t="shared" si="11"/>
        <v/>
      </c>
      <c r="E150" t="str">
        <f t="shared" si="12"/>
        <v/>
      </c>
      <c r="F150" t="str">
        <f>IF(D150="","",INDEX(Knutepunkter!$B:$B,D150+1))</f>
        <v/>
      </c>
      <c r="G150" t="str">
        <f>IF(D150="","",INDEX(Knutepunkter!$C:$C,D150+1))</f>
        <v/>
      </c>
      <c r="H150" t="str">
        <f>IF(D150="","",INDEX(Knutepunkter!$D:$D,D150+1))</f>
        <v/>
      </c>
      <c r="I150" t="str">
        <f>IF(E150="","",INDEX(Knutepunkter!$B:$B,E150+1))</f>
        <v/>
      </c>
      <c r="J150" t="str">
        <f>IF(E150="","",INDEX(Knutepunkter!$C:$C,E150+1))</f>
        <v/>
      </c>
      <c r="K150" t="str">
        <f>IF(E150="","",INDEX(Knutepunkter!$D:$D,E150+1))</f>
        <v/>
      </c>
      <c r="L150" t="str">
        <f t="shared" si="13"/>
        <v/>
      </c>
      <c r="M150" t="str">
        <f t="shared" si="14"/>
        <v/>
      </c>
    </row>
    <row r="151" spans="1:13" x14ac:dyDescent="0.3">
      <c r="A151" t="str">
        <f>Segmenter!A151</f>
        <v/>
      </c>
      <c r="B151" t="str">
        <f>Segmenter!B151</f>
        <v/>
      </c>
      <c r="C151" t="str">
        <f t="shared" si="10"/>
        <v/>
      </c>
      <c r="D151" t="str">
        <f t="shared" si="11"/>
        <v/>
      </c>
      <c r="E151" t="str">
        <f t="shared" si="12"/>
        <v/>
      </c>
      <c r="F151" t="str">
        <f>IF(D151="","",INDEX(Knutepunkter!$B:$B,D151+1))</f>
        <v/>
      </c>
      <c r="G151" t="str">
        <f>IF(D151="","",INDEX(Knutepunkter!$C:$C,D151+1))</f>
        <v/>
      </c>
      <c r="H151" t="str">
        <f>IF(D151="","",INDEX(Knutepunkter!$D:$D,D151+1))</f>
        <v/>
      </c>
      <c r="I151" t="str">
        <f>IF(E151="","",INDEX(Knutepunkter!$B:$B,E151+1))</f>
        <v/>
      </c>
      <c r="J151" t="str">
        <f>IF(E151="","",INDEX(Knutepunkter!$C:$C,E151+1))</f>
        <v/>
      </c>
      <c r="K151" t="str">
        <f>IF(E151="","",INDEX(Knutepunkter!$D:$D,E151+1))</f>
        <v/>
      </c>
      <c r="L151" t="str">
        <f t="shared" si="13"/>
        <v/>
      </c>
      <c r="M151" t="str">
        <f t="shared" si="14"/>
        <v/>
      </c>
    </row>
    <row r="152" spans="1:13" x14ac:dyDescent="0.3">
      <c r="A152" t="str">
        <f>Segmenter!A152</f>
        <v/>
      </c>
      <c r="B152" t="str">
        <f>Segmenter!B152</f>
        <v/>
      </c>
      <c r="C152" t="str">
        <f t="shared" si="10"/>
        <v/>
      </c>
      <c r="D152" t="str">
        <f t="shared" si="11"/>
        <v/>
      </c>
      <c r="E152" t="str">
        <f t="shared" si="12"/>
        <v/>
      </c>
      <c r="F152" t="str">
        <f>IF(D152="","",INDEX(Knutepunkter!$B:$B,D152+1))</f>
        <v/>
      </c>
      <c r="G152" t="str">
        <f>IF(D152="","",INDEX(Knutepunkter!$C:$C,D152+1))</f>
        <v/>
      </c>
      <c r="H152" t="str">
        <f>IF(D152="","",INDEX(Knutepunkter!$D:$D,D152+1))</f>
        <v/>
      </c>
      <c r="I152" t="str">
        <f>IF(E152="","",INDEX(Knutepunkter!$B:$B,E152+1))</f>
        <v/>
      </c>
      <c r="J152" t="str">
        <f>IF(E152="","",INDEX(Knutepunkter!$C:$C,E152+1))</f>
        <v/>
      </c>
      <c r="K152" t="str">
        <f>IF(E152="","",INDEX(Knutepunkter!$D:$D,E152+1))</f>
        <v/>
      </c>
      <c r="L152" t="str">
        <f t="shared" si="13"/>
        <v/>
      </c>
      <c r="M152" t="str">
        <f t="shared" si="14"/>
        <v/>
      </c>
    </row>
    <row r="153" spans="1:13" x14ac:dyDescent="0.3">
      <c r="A153" t="str">
        <f>Segmenter!A153</f>
        <v/>
      </c>
      <c r="B153" t="str">
        <f>Segmenter!B153</f>
        <v/>
      </c>
      <c r="C153" t="str">
        <f t="shared" si="10"/>
        <v/>
      </c>
      <c r="D153" t="str">
        <f t="shared" si="11"/>
        <v/>
      </c>
      <c r="E153" t="str">
        <f t="shared" si="12"/>
        <v/>
      </c>
      <c r="F153" t="str">
        <f>IF(D153="","",INDEX(Knutepunkter!$B:$B,D153+1))</f>
        <v/>
      </c>
      <c r="G153" t="str">
        <f>IF(D153="","",INDEX(Knutepunkter!$C:$C,D153+1))</f>
        <v/>
      </c>
      <c r="H153" t="str">
        <f>IF(D153="","",INDEX(Knutepunkter!$D:$D,D153+1))</f>
        <v/>
      </c>
      <c r="I153" t="str">
        <f>IF(E153="","",INDEX(Knutepunkter!$B:$B,E153+1))</f>
        <v/>
      </c>
      <c r="J153" t="str">
        <f>IF(E153="","",INDEX(Knutepunkter!$C:$C,E153+1))</f>
        <v/>
      </c>
      <c r="K153" t="str">
        <f>IF(E153="","",INDEX(Knutepunkter!$D:$D,E153+1))</f>
        <v/>
      </c>
      <c r="L153" t="str">
        <f t="shared" si="13"/>
        <v/>
      </c>
      <c r="M153" t="str">
        <f t="shared" si="14"/>
        <v/>
      </c>
    </row>
    <row r="154" spans="1:13" x14ac:dyDescent="0.3">
      <c r="A154" t="str">
        <f>Segmenter!A154</f>
        <v/>
      </c>
      <c r="B154" t="str">
        <f>Segmenter!B154</f>
        <v/>
      </c>
      <c r="C154" t="str">
        <f t="shared" si="10"/>
        <v/>
      </c>
      <c r="D154" t="str">
        <f t="shared" si="11"/>
        <v/>
      </c>
      <c r="E154" t="str">
        <f t="shared" si="12"/>
        <v/>
      </c>
      <c r="F154" t="str">
        <f>IF(D154="","",INDEX(Knutepunkter!$B:$B,D154+1))</f>
        <v/>
      </c>
      <c r="G154" t="str">
        <f>IF(D154="","",INDEX(Knutepunkter!$C:$C,D154+1))</f>
        <v/>
      </c>
      <c r="H154" t="str">
        <f>IF(D154="","",INDEX(Knutepunkter!$D:$D,D154+1))</f>
        <v/>
      </c>
      <c r="I154" t="str">
        <f>IF(E154="","",INDEX(Knutepunkter!$B:$B,E154+1))</f>
        <v/>
      </c>
      <c r="J154" t="str">
        <f>IF(E154="","",INDEX(Knutepunkter!$C:$C,E154+1))</f>
        <v/>
      </c>
      <c r="K154" t="str">
        <f>IF(E154="","",INDEX(Knutepunkter!$D:$D,E154+1))</f>
        <v/>
      </c>
      <c r="L154" t="str">
        <f t="shared" si="13"/>
        <v/>
      </c>
      <c r="M154" t="str">
        <f t="shared" si="14"/>
        <v/>
      </c>
    </row>
    <row r="155" spans="1:13" x14ac:dyDescent="0.3">
      <c r="A155" t="str">
        <f>Segmenter!A155</f>
        <v/>
      </c>
      <c r="B155" t="str">
        <f>Segmenter!B155</f>
        <v/>
      </c>
      <c r="C155" t="str">
        <f t="shared" si="10"/>
        <v/>
      </c>
      <c r="D155" t="str">
        <f t="shared" si="11"/>
        <v/>
      </c>
      <c r="E155" t="str">
        <f t="shared" si="12"/>
        <v/>
      </c>
      <c r="F155" t="str">
        <f>IF(D155="","",INDEX(Knutepunkter!$B:$B,D155+1))</f>
        <v/>
      </c>
      <c r="G155" t="str">
        <f>IF(D155="","",INDEX(Knutepunkter!$C:$C,D155+1))</f>
        <v/>
      </c>
      <c r="H155" t="str">
        <f>IF(D155="","",INDEX(Knutepunkter!$D:$D,D155+1))</f>
        <v/>
      </c>
      <c r="I155" t="str">
        <f>IF(E155="","",INDEX(Knutepunkter!$B:$B,E155+1))</f>
        <v/>
      </c>
      <c r="J155" t="str">
        <f>IF(E155="","",INDEX(Knutepunkter!$C:$C,E155+1))</f>
        <v/>
      </c>
      <c r="K155" t="str">
        <f>IF(E155="","",INDEX(Knutepunkter!$D:$D,E155+1))</f>
        <v/>
      </c>
      <c r="L155" t="str">
        <f t="shared" si="13"/>
        <v/>
      </c>
      <c r="M155" t="str">
        <f t="shared" si="14"/>
        <v/>
      </c>
    </row>
    <row r="156" spans="1:13" x14ac:dyDescent="0.3">
      <c r="A156" t="str">
        <f>Segmenter!A156</f>
        <v/>
      </c>
      <c r="B156" t="str">
        <f>Segmenter!B156</f>
        <v/>
      </c>
      <c r="C156" t="str">
        <f t="shared" si="10"/>
        <v/>
      </c>
      <c r="D156" t="str">
        <f t="shared" si="11"/>
        <v/>
      </c>
      <c r="E156" t="str">
        <f t="shared" si="12"/>
        <v/>
      </c>
      <c r="F156" t="str">
        <f>IF(D156="","",INDEX(Knutepunkter!$B:$B,D156+1))</f>
        <v/>
      </c>
      <c r="G156" t="str">
        <f>IF(D156="","",INDEX(Knutepunkter!$C:$C,D156+1))</f>
        <v/>
      </c>
      <c r="H156" t="str">
        <f>IF(D156="","",INDEX(Knutepunkter!$D:$D,D156+1))</f>
        <v/>
      </c>
      <c r="I156" t="str">
        <f>IF(E156="","",INDEX(Knutepunkter!$B:$B,E156+1))</f>
        <v/>
      </c>
      <c r="J156" t="str">
        <f>IF(E156="","",INDEX(Knutepunkter!$C:$C,E156+1))</f>
        <v/>
      </c>
      <c r="K156" t="str">
        <f>IF(E156="","",INDEX(Knutepunkter!$D:$D,E156+1))</f>
        <v/>
      </c>
      <c r="L156" t="str">
        <f t="shared" si="13"/>
        <v/>
      </c>
      <c r="M156" t="str">
        <f t="shared" si="14"/>
        <v/>
      </c>
    </row>
    <row r="157" spans="1:13" x14ac:dyDescent="0.3">
      <c r="A157" t="str">
        <f>Segmenter!A157</f>
        <v/>
      </c>
      <c r="B157" t="str">
        <f>Segmenter!B157</f>
        <v/>
      </c>
      <c r="C157" t="str">
        <f t="shared" si="10"/>
        <v/>
      </c>
      <c r="D157" t="str">
        <f t="shared" si="11"/>
        <v/>
      </c>
      <c r="E157" t="str">
        <f t="shared" si="12"/>
        <v/>
      </c>
      <c r="F157" t="str">
        <f>IF(D157="","",INDEX(Knutepunkter!$B:$B,D157+1))</f>
        <v/>
      </c>
      <c r="G157" t="str">
        <f>IF(D157="","",INDEX(Knutepunkter!$C:$C,D157+1))</f>
        <v/>
      </c>
      <c r="H157" t="str">
        <f>IF(D157="","",INDEX(Knutepunkter!$D:$D,D157+1))</f>
        <v/>
      </c>
      <c r="I157" t="str">
        <f>IF(E157="","",INDEX(Knutepunkter!$B:$B,E157+1))</f>
        <v/>
      </c>
      <c r="J157" t="str">
        <f>IF(E157="","",INDEX(Knutepunkter!$C:$C,E157+1))</f>
        <v/>
      </c>
      <c r="K157" t="str">
        <f>IF(E157="","",INDEX(Knutepunkter!$D:$D,E157+1))</f>
        <v/>
      </c>
      <c r="L157" t="str">
        <f t="shared" si="13"/>
        <v/>
      </c>
      <c r="M157" t="str">
        <f t="shared" si="14"/>
        <v/>
      </c>
    </row>
    <row r="158" spans="1:13" x14ac:dyDescent="0.3">
      <c r="A158" t="str">
        <f>Segmenter!A158</f>
        <v/>
      </c>
      <c r="B158" t="str">
        <f>Segmenter!B158</f>
        <v/>
      </c>
      <c r="C158" t="str">
        <f t="shared" si="10"/>
        <v/>
      </c>
      <c r="D158" t="str">
        <f t="shared" si="11"/>
        <v/>
      </c>
      <c r="E158" t="str">
        <f t="shared" si="12"/>
        <v/>
      </c>
      <c r="F158" t="str">
        <f>IF(D158="","",INDEX(Knutepunkter!$B:$B,D158+1))</f>
        <v/>
      </c>
      <c r="G158" t="str">
        <f>IF(D158="","",INDEX(Knutepunkter!$C:$C,D158+1))</f>
        <v/>
      </c>
      <c r="H158" t="str">
        <f>IF(D158="","",INDEX(Knutepunkter!$D:$D,D158+1))</f>
        <v/>
      </c>
      <c r="I158" t="str">
        <f>IF(E158="","",INDEX(Knutepunkter!$B:$B,E158+1))</f>
        <v/>
      </c>
      <c r="J158" t="str">
        <f>IF(E158="","",INDEX(Knutepunkter!$C:$C,E158+1))</f>
        <v/>
      </c>
      <c r="K158" t="str">
        <f>IF(E158="","",INDEX(Knutepunkter!$D:$D,E158+1))</f>
        <v/>
      </c>
      <c r="L158" t="str">
        <f t="shared" si="13"/>
        <v/>
      </c>
      <c r="M158" t="str">
        <f t="shared" si="14"/>
        <v/>
      </c>
    </row>
    <row r="159" spans="1:13" x14ac:dyDescent="0.3">
      <c r="A159" t="str">
        <f>Segmenter!A159</f>
        <v/>
      </c>
      <c r="B159" t="str">
        <f>Segmenter!B159</f>
        <v/>
      </c>
      <c r="C159" t="str">
        <f t="shared" si="10"/>
        <v/>
      </c>
      <c r="D159" t="str">
        <f t="shared" si="11"/>
        <v/>
      </c>
      <c r="E159" t="str">
        <f t="shared" si="12"/>
        <v/>
      </c>
      <c r="F159" t="str">
        <f>IF(D159="","",INDEX(Knutepunkter!$B:$B,D159+1))</f>
        <v/>
      </c>
      <c r="G159" t="str">
        <f>IF(D159="","",INDEX(Knutepunkter!$C:$C,D159+1))</f>
        <v/>
      </c>
      <c r="H159" t="str">
        <f>IF(D159="","",INDEX(Knutepunkter!$D:$D,D159+1))</f>
        <v/>
      </c>
      <c r="I159" t="str">
        <f>IF(E159="","",INDEX(Knutepunkter!$B:$B,E159+1))</f>
        <v/>
      </c>
      <c r="J159" t="str">
        <f>IF(E159="","",INDEX(Knutepunkter!$C:$C,E159+1))</f>
        <v/>
      </c>
      <c r="K159" t="str">
        <f>IF(E159="","",INDEX(Knutepunkter!$D:$D,E159+1))</f>
        <v/>
      </c>
      <c r="L159" t="str">
        <f t="shared" si="13"/>
        <v/>
      </c>
      <c r="M159" t="str">
        <f t="shared" si="14"/>
        <v/>
      </c>
    </row>
    <row r="160" spans="1:13" x14ac:dyDescent="0.3">
      <c r="A160" t="str">
        <f>Segmenter!A160</f>
        <v/>
      </c>
      <c r="B160" t="str">
        <f>Segmenter!B160</f>
        <v/>
      </c>
      <c r="C160" t="str">
        <f t="shared" si="10"/>
        <v/>
      </c>
      <c r="D160" t="str">
        <f t="shared" si="11"/>
        <v/>
      </c>
      <c r="E160" t="str">
        <f t="shared" si="12"/>
        <v/>
      </c>
      <c r="F160" t="str">
        <f>IF(D160="","",INDEX(Knutepunkter!$B:$B,D160+1))</f>
        <v/>
      </c>
      <c r="G160" t="str">
        <f>IF(D160="","",INDEX(Knutepunkter!$C:$C,D160+1))</f>
        <v/>
      </c>
      <c r="H160" t="str">
        <f>IF(D160="","",INDEX(Knutepunkter!$D:$D,D160+1))</f>
        <v/>
      </c>
      <c r="I160" t="str">
        <f>IF(E160="","",INDEX(Knutepunkter!$B:$B,E160+1))</f>
        <v/>
      </c>
      <c r="J160" t="str">
        <f>IF(E160="","",INDEX(Knutepunkter!$C:$C,E160+1))</f>
        <v/>
      </c>
      <c r="K160" t="str">
        <f>IF(E160="","",INDEX(Knutepunkter!$D:$D,E160+1))</f>
        <v/>
      </c>
      <c r="L160" t="str">
        <f t="shared" si="13"/>
        <v/>
      </c>
      <c r="M160" t="str">
        <f t="shared" si="14"/>
        <v/>
      </c>
    </row>
    <row r="161" spans="1:13" x14ac:dyDescent="0.3">
      <c r="A161" t="str">
        <f>Segmenter!A161</f>
        <v/>
      </c>
      <c r="B161" t="str">
        <f>Segmenter!B161</f>
        <v/>
      </c>
      <c r="C161" t="str">
        <f t="shared" si="10"/>
        <v/>
      </c>
      <c r="D161" t="str">
        <f t="shared" si="11"/>
        <v/>
      </c>
      <c r="E161" t="str">
        <f t="shared" si="12"/>
        <v/>
      </c>
      <c r="F161" t="str">
        <f>IF(D161="","",INDEX(Knutepunkter!$B:$B,D161+1))</f>
        <v/>
      </c>
      <c r="G161" t="str">
        <f>IF(D161="","",INDEX(Knutepunkter!$C:$C,D161+1))</f>
        <v/>
      </c>
      <c r="H161" t="str">
        <f>IF(D161="","",INDEX(Knutepunkter!$D:$D,D161+1))</f>
        <v/>
      </c>
      <c r="I161" t="str">
        <f>IF(E161="","",INDEX(Knutepunkter!$B:$B,E161+1))</f>
        <v/>
      </c>
      <c r="J161" t="str">
        <f>IF(E161="","",INDEX(Knutepunkter!$C:$C,E161+1))</f>
        <v/>
      </c>
      <c r="K161" t="str">
        <f>IF(E161="","",INDEX(Knutepunkter!$D:$D,E161+1))</f>
        <v/>
      </c>
      <c r="L161" t="str">
        <f t="shared" si="13"/>
        <v/>
      </c>
      <c r="M161" t="str">
        <f t="shared" si="14"/>
        <v/>
      </c>
    </row>
    <row r="162" spans="1:13" x14ac:dyDescent="0.3">
      <c r="A162" t="str">
        <f>Segmenter!A162</f>
        <v/>
      </c>
      <c r="B162" t="str">
        <f>Segmenter!B162</f>
        <v/>
      </c>
      <c r="C162" t="str">
        <f t="shared" si="10"/>
        <v/>
      </c>
      <c r="D162" t="str">
        <f t="shared" si="11"/>
        <v/>
      </c>
      <c r="E162" t="str">
        <f t="shared" si="12"/>
        <v/>
      </c>
      <c r="F162" t="str">
        <f>IF(D162="","",INDEX(Knutepunkter!$B:$B,D162+1))</f>
        <v/>
      </c>
      <c r="G162" t="str">
        <f>IF(D162="","",INDEX(Knutepunkter!$C:$C,D162+1))</f>
        <v/>
      </c>
      <c r="H162" t="str">
        <f>IF(D162="","",INDEX(Knutepunkter!$D:$D,D162+1))</f>
        <v/>
      </c>
      <c r="I162" t="str">
        <f>IF(E162="","",INDEX(Knutepunkter!$B:$B,E162+1))</f>
        <v/>
      </c>
      <c r="J162" t="str">
        <f>IF(E162="","",INDEX(Knutepunkter!$C:$C,E162+1))</f>
        <v/>
      </c>
      <c r="K162" t="str">
        <f>IF(E162="","",INDEX(Knutepunkter!$D:$D,E162+1))</f>
        <v/>
      </c>
      <c r="L162" t="str">
        <f t="shared" si="13"/>
        <v/>
      </c>
      <c r="M162" t="str">
        <f t="shared" si="14"/>
        <v/>
      </c>
    </row>
    <row r="163" spans="1:13" x14ac:dyDescent="0.3">
      <c r="A163" t="str">
        <f>Segmenter!A163</f>
        <v/>
      </c>
      <c r="B163" t="str">
        <f>Segmenter!B163</f>
        <v/>
      </c>
      <c r="C163" t="str">
        <f t="shared" si="10"/>
        <v/>
      </c>
      <c r="D163" t="str">
        <f t="shared" si="11"/>
        <v/>
      </c>
      <c r="E163" t="str">
        <f t="shared" si="12"/>
        <v/>
      </c>
      <c r="F163" t="str">
        <f>IF(D163="","",INDEX(Knutepunkter!$B:$B,D163+1))</f>
        <v/>
      </c>
      <c r="G163" t="str">
        <f>IF(D163="","",INDEX(Knutepunkter!$C:$C,D163+1))</f>
        <v/>
      </c>
      <c r="H163" t="str">
        <f>IF(D163="","",INDEX(Knutepunkter!$D:$D,D163+1))</f>
        <v/>
      </c>
      <c r="I163" t="str">
        <f>IF(E163="","",INDEX(Knutepunkter!$B:$B,E163+1))</f>
        <v/>
      </c>
      <c r="J163" t="str">
        <f>IF(E163="","",INDEX(Knutepunkter!$C:$C,E163+1))</f>
        <v/>
      </c>
      <c r="K163" t="str">
        <f>IF(E163="","",INDEX(Knutepunkter!$D:$D,E163+1))</f>
        <v/>
      </c>
      <c r="L163" t="str">
        <f t="shared" si="13"/>
        <v/>
      </c>
      <c r="M163" t="str">
        <f t="shared" si="14"/>
        <v/>
      </c>
    </row>
    <row r="164" spans="1:13" x14ac:dyDescent="0.3">
      <c r="A164" t="str">
        <f>Segmenter!A164</f>
        <v/>
      </c>
      <c r="B164" t="str">
        <f>Segmenter!B164</f>
        <v/>
      </c>
      <c r="C164" t="str">
        <f t="shared" si="10"/>
        <v/>
      </c>
      <c r="D164" t="str">
        <f t="shared" si="11"/>
        <v/>
      </c>
      <c r="E164" t="str">
        <f t="shared" si="12"/>
        <v/>
      </c>
      <c r="F164" t="str">
        <f>IF(D164="","",INDEX(Knutepunkter!$B:$B,D164+1))</f>
        <v/>
      </c>
      <c r="G164" t="str">
        <f>IF(D164="","",INDEX(Knutepunkter!$C:$C,D164+1))</f>
        <v/>
      </c>
      <c r="H164" t="str">
        <f>IF(D164="","",INDEX(Knutepunkter!$D:$D,D164+1))</f>
        <v/>
      </c>
      <c r="I164" t="str">
        <f>IF(E164="","",INDEX(Knutepunkter!$B:$B,E164+1))</f>
        <v/>
      </c>
      <c r="J164" t="str">
        <f>IF(E164="","",INDEX(Knutepunkter!$C:$C,E164+1))</f>
        <v/>
      </c>
      <c r="K164" t="str">
        <f>IF(E164="","",INDEX(Knutepunkter!$D:$D,E164+1))</f>
        <v/>
      </c>
      <c r="L164" t="str">
        <f t="shared" si="13"/>
        <v/>
      </c>
      <c r="M164" t="str">
        <f t="shared" si="14"/>
        <v/>
      </c>
    </row>
    <row r="165" spans="1:13" x14ac:dyDescent="0.3">
      <c r="A165" t="str">
        <f>Segmenter!A165</f>
        <v/>
      </c>
      <c r="B165" t="str">
        <f>Segmenter!B165</f>
        <v/>
      </c>
      <c r="C165" t="str">
        <f t="shared" si="10"/>
        <v/>
      </c>
      <c r="D165" t="str">
        <f t="shared" si="11"/>
        <v/>
      </c>
      <c r="E165" t="str">
        <f t="shared" si="12"/>
        <v/>
      </c>
      <c r="F165" t="str">
        <f>IF(D165="","",INDEX(Knutepunkter!$B:$B,D165+1))</f>
        <v/>
      </c>
      <c r="G165" t="str">
        <f>IF(D165="","",INDEX(Knutepunkter!$C:$C,D165+1))</f>
        <v/>
      </c>
      <c r="H165" t="str">
        <f>IF(D165="","",INDEX(Knutepunkter!$D:$D,D165+1))</f>
        <v/>
      </c>
      <c r="I165" t="str">
        <f>IF(E165="","",INDEX(Knutepunkter!$B:$B,E165+1))</f>
        <v/>
      </c>
      <c r="J165" t="str">
        <f>IF(E165="","",INDEX(Knutepunkter!$C:$C,E165+1))</f>
        <v/>
      </c>
      <c r="K165" t="str">
        <f>IF(E165="","",INDEX(Knutepunkter!$D:$D,E165+1))</f>
        <v/>
      </c>
      <c r="L165" t="str">
        <f t="shared" si="13"/>
        <v/>
      </c>
      <c r="M165" t="str">
        <f t="shared" si="14"/>
        <v/>
      </c>
    </row>
    <row r="166" spans="1:13" x14ac:dyDescent="0.3">
      <c r="A166" t="str">
        <f>Segmenter!A166</f>
        <v/>
      </c>
      <c r="B166" t="str">
        <f>Segmenter!B166</f>
        <v/>
      </c>
      <c r="C166" t="str">
        <f t="shared" si="10"/>
        <v/>
      </c>
      <c r="D166" t="str">
        <f t="shared" si="11"/>
        <v/>
      </c>
      <c r="E166" t="str">
        <f t="shared" si="12"/>
        <v/>
      </c>
      <c r="F166" t="str">
        <f>IF(D166="","",INDEX(Knutepunkter!$B:$B,D166+1))</f>
        <v/>
      </c>
      <c r="G166" t="str">
        <f>IF(D166="","",INDEX(Knutepunkter!$C:$C,D166+1))</f>
        <v/>
      </c>
      <c r="H166" t="str">
        <f>IF(D166="","",INDEX(Knutepunkter!$D:$D,D166+1))</f>
        <v/>
      </c>
      <c r="I166" t="str">
        <f>IF(E166="","",INDEX(Knutepunkter!$B:$B,E166+1))</f>
        <v/>
      </c>
      <c r="J166" t="str">
        <f>IF(E166="","",INDEX(Knutepunkter!$C:$C,E166+1))</f>
        <v/>
      </c>
      <c r="K166" t="str">
        <f>IF(E166="","",INDEX(Knutepunkter!$D:$D,E166+1))</f>
        <v/>
      </c>
      <c r="L166" t="str">
        <f t="shared" si="13"/>
        <v/>
      </c>
      <c r="M166" t="str">
        <f t="shared" si="14"/>
        <v/>
      </c>
    </row>
    <row r="167" spans="1:13" x14ac:dyDescent="0.3">
      <c r="A167" t="str">
        <f>Segmenter!A167</f>
        <v/>
      </c>
      <c r="B167" t="str">
        <f>Segmenter!B167</f>
        <v/>
      </c>
      <c r="C167" t="str">
        <f t="shared" si="10"/>
        <v/>
      </c>
      <c r="D167" t="str">
        <f t="shared" si="11"/>
        <v/>
      </c>
      <c r="E167" t="str">
        <f t="shared" si="12"/>
        <v/>
      </c>
      <c r="F167" t="str">
        <f>IF(D167="","",INDEX(Knutepunkter!$B:$B,D167+1))</f>
        <v/>
      </c>
      <c r="G167" t="str">
        <f>IF(D167="","",INDEX(Knutepunkter!$C:$C,D167+1))</f>
        <v/>
      </c>
      <c r="H167" t="str">
        <f>IF(D167="","",INDEX(Knutepunkter!$D:$D,D167+1))</f>
        <v/>
      </c>
      <c r="I167" t="str">
        <f>IF(E167="","",INDEX(Knutepunkter!$B:$B,E167+1))</f>
        <v/>
      </c>
      <c r="J167" t="str">
        <f>IF(E167="","",INDEX(Knutepunkter!$C:$C,E167+1))</f>
        <v/>
      </c>
      <c r="K167" t="str">
        <f>IF(E167="","",INDEX(Knutepunkter!$D:$D,E167+1))</f>
        <v/>
      </c>
      <c r="L167" t="str">
        <f t="shared" si="13"/>
        <v/>
      </c>
      <c r="M167" t="str">
        <f t="shared" si="14"/>
        <v/>
      </c>
    </row>
    <row r="168" spans="1:13" x14ac:dyDescent="0.3">
      <c r="A168" t="str">
        <f>Segmenter!A168</f>
        <v/>
      </c>
      <c r="B168" t="str">
        <f>Segmenter!B168</f>
        <v/>
      </c>
      <c r="C168" t="str">
        <f t="shared" si="10"/>
        <v/>
      </c>
      <c r="D168" t="str">
        <f t="shared" si="11"/>
        <v/>
      </c>
      <c r="E168" t="str">
        <f t="shared" si="12"/>
        <v/>
      </c>
      <c r="F168" t="str">
        <f>IF(D168="","",INDEX(Knutepunkter!$B:$B,D168+1))</f>
        <v/>
      </c>
      <c r="G168" t="str">
        <f>IF(D168="","",INDEX(Knutepunkter!$C:$C,D168+1))</f>
        <v/>
      </c>
      <c r="H168" t="str">
        <f>IF(D168="","",INDEX(Knutepunkter!$D:$D,D168+1))</f>
        <v/>
      </c>
      <c r="I168" t="str">
        <f>IF(E168="","",INDEX(Knutepunkter!$B:$B,E168+1))</f>
        <v/>
      </c>
      <c r="J168" t="str">
        <f>IF(E168="","",INDEX(Knutepunkter!$C:$C,E168+1))</f>
        <v/>
      </c>
      <c r="K168" t="str">
        <f>IF(E168="","",INDEX(Knutepunkter!$D:$D,E168+1))</f>
        <v/>
      </c>
      <c r="L168" t="str">
        <f t="shared" si="13"/>
        <v/>
      </c>
      <c r="M168" t="str">
        <f t="shared" si="14"/>
        <v/>
      </c>
    </row>
    <row r="169" spans="1:13" x14ac:dyDescent="0.3">
      <c r="A169" t="str">
        <f>Segmenter!A169</f>
        <v/>
      </c>
      <c r="B169" t="str">
        <f>Segmenter!B169</f>
        <v/>
      </c>
      <c r="C169" t="str">
        <f t="shared" si="10"/>
        <v/>
      </c>
      <c r="D169" t="str">
        <f t="shared" si="11"/>
        <v/>
      </c>
      <c r="E169" t="str">
        <f t="shared" si="12"/>
        <v/>
      </c>
      <c r="F169" t="str">
        <f>IF(D169="","",INDEX(Knutepunkter!$B:$B,D169+1))</f>
        <v/>
      </c>
      <c r="G169" t="str">
        <f>IF(D169="","",INDEX(Knutepunkter!$C:$C,D169+1))</f>
        <v/>
      </c>
      <c r="H169" t="str">
        <f>IF(D169="","",INDEX(Knutepunkter!$D:$D,D169+1))</f>
        <v/>
      </c>
      <c r="I169" t="str">
        <f>IF(E169="","",INDEX(Knutepunkter!$B:$B,E169+1))</f>
        <v/>
      </c>
      <c r="J169" t="str">
        <f>IF(E169="","",INDEX(Knutepunkter!$C:$C,E169+1))</f>
        <v/>
      </c>
      <c r="K169" t="str">
        <f>IF(E169="","",INDEX(Knutepunkter!$D:$D,E169+1))</f>
        <v/>
      </c>
      <c r="L169" t="str">
        <f t="shared" si="13"/>
        <v/>
      </c>
      <c r="M169" t="str">
        <f t="shared" si="14"/>
        <v/>
      </c>
    </row>
    <row r="170" spans="1:13" x14ac:dyDescent="0.3">
      <c r="A170" t="str">
        <f>Segmenter!A170</f>
        <v/>
      </c>
      <c r="B170" t="str">
        <f>Segmenter!B170</f>
        <v/>
      </c>
      <c r="C170" t="str">
        <f t="shared" si="10"/>
        <v/>
      </c>
      <c r="D170" t="str">
        <f t="shared" si="11"/>
        <v/>
      </c>
      <c r="E170" t="str">
        <f t="shared" si="12"/>
        <v/>
      </c>
      <c r="F170" t="str">
        <f>IF(D170="","",INDEX(Knutepunkter!$B:$B,D170+1))</f>
        <v/>
      </c>
      <c r="G170" t="str">
        <f>IF(D170="","",INDEX(Knutepunkter!$C:$C,D170+1))</f>
        <v/>
      </c>
      <c r="H170" t="str">
        <f>IF(D170="","",INDEX(Knutepunkter!$D:$D,D170+1))</f>
        <v/>
      </c>
      <c r="I170" t="str">
        <f>IF(E170="","",INDEX(Knutepunkter!$B:$B,E170+1))</f>
        <v/>
      </c>
      <c r="J170" t="str">
        <f>IF(E170="","",INDEX(Knutepunkter!$C:$C,E170+1))</f>
        <v/>
      </c>
      <c r="K170" t="str">
        <f>IF(E170="","",INDEX(Knutepunkter!$D:$D,E170+1))</f>
        <v/>
      </c>
      <c r="L170" t="str">
        <f t="shared" si="13"/>
        <v/>
      </c>
      <c r="M170" t="str">
        <f t="shared" si="14"/>
        <v/>
      </c>
    </row>
    <row r="171" spans="1:13" x14ac:dyDescent="0.3">
      <c r="A171" t="str">
        <f>Segmenter!A171</f>
        <v/>
      </c>
      <c r="B171" t="str">
        <f>Segmenter!B171</f>
        <v/>
      </c>
      <c r="C171" t="str">
        <f t="shared" si="10"/>
        <v/>
      </c>
      <c r="D171" t="str">
        <f t="shared" si="11"/>
        <v/>
      </c>
      <c r="E171" t="str">
        <f t="shared" si="12"/>
        <v/>
      </c>
      <c r="F171" t="str">
        <f>IF(D171="","",INDEX(Knutepunkter!$B:$B,D171+1))</f>
        <v/>
      </c>
      <c r="G171" t="str">
        <f>IF(D171="","",INDEX(Knutepunkter!$C:$C,D171+1))</f>
        <v/>
      </c>
      <c r="H171" t="str">
        <f>IF(D171="","",INDEX(Knutepunkter!$D:$D,D171+1))</f>
        <v/>
      </c>
      <c r="I171" t="str">
        <f>IF(E171="","",INDEX(Knutepunkter!$B:$B,E171+1))</f>
        <v/>
      </c>
      <c r="J171" t="str">
        <f>IF(E171="","",INDEX(Knutepunkter!$C:$C,E171+1))</f>
        <v/>
      </c>
      <c r="K171" t="str">
        <f>IF(E171="","",INDEX(Knutepunkter!$D:$D,E171+1))</f>
        <v/>
      </c>
      <c r="L171" t="str">
        <f t="shared" si="13"/>
        <v/>
      </c>
      <c r="M171" t="str">
        <f t="shared" si="14"/>
        <v/>
      </c>
    </row>
    <row r="172" spans="1:13" x14ac:dyDescent="0.3">
      <c r="A172" t="str">
        <f>Segmenter!A172</f>
        <v/>
      </c>
      <c r="B172" t="str">
        <f>Segmenter!B172</f>
        <v/>
      </c>
      <c r="C172" t="str">
        <f t="shared" si="10"/>
        <v/>
      </c>
      <c r="D172" t="str">
        <f t="shared" si="11"/>
        <v/>
      </c>
      <c r="E172" t="str">
        <f t="shared" si="12"/>
        <v/>
      </c>
      <c r="F172" t="str">
        <f>IF(D172="","",INDEX(Knutepunkter!$B:$B,D172+1))</f>
        <v/>
      </c>
      <c r="G172" t="str">
        <f>IF(D172="","",INDEX(Knutepunkter!$C:$C,D172+1))</f>
        <v/>
      </c>
      <c r="H172" t="str">
        <f>IF(D172="","",INDEX(Knutepunkter!$D:$D,D172+1))</f>
        <v/>
      </c>
      <c r="I172" t="str">
        <f>IF(E172="","",INDEX(Knutepunkter!$B:$B,E172+1))</f>
        <v/>
      </c>
      <c r="J172" t="str">
        <f>IF(E172="","",INDEX(Knutepunkter!$C:$C,E172+1))</f>
        <v/>
      </c>
      <c r="K172" t="str">
        <f>IF(E172="","",INDEX(Knutepunkter!$D:$D,E172+1))</f>
        <v/>
      </c>
      <c r="L172" t="str">
        <f t="shared" si="13"/>
        <v/>
      </c>
      <c r="M172" t="str">
        <f t="shared" si="14"/>
        <v/>
      </c>
    </row>
    <row r="173" spans="1:13" x14ac:dyDescent="0.3">
      <c r="A173" t="str">
        <f>Segmenter!A173</f>
        <v/>
      </c>
      <c r="B173" t="str">
        <f>Segmenter!B173</f>
        <v/>
      </c>
      <c r="C173" t="str">
        <f t="shared" si="10"/>
        <v/>
      </c>
      <c r="D173" t="str">
        <f t="shared" si="11"/>
        <v/>
      </c>
      <c r="E173" t="str">
        <f t="shared" si="12"/>
        <v/>
      </c>
      <c r="F173" t="str">
        <f>IF(D173="","",INDEX(Knutepunkter!$B:$B,D173+1))</f>
        <v/>
      </c>
      <c r="G173" t="str">
        <f>IF(D173="","",INDEX(Knutepunkter!$C:$C,D173+1))</f>
        <v/>
      </c>
      <c r="H173" t="str">
        <f>IF(D173="","",INDEX(Knutepunkter!$D:$D,D173+1))</f>
        <v/>
      </c>
      <c r="I173" t="str">
        <f>IF(E173="","",INDEX(Knutepunkter!$B:$B,E173+1))</f>
        <v/>
      </c>
      <c r="J173" t="str">
        <f>IF(E173="","",INDEX(Knutepunkter!$C:$C,E173+1))</f>
        <v/>
      </c>
      <c r="K173" t="str">
        <f>IF(E173="","",INDEX(Knutepunkter!$D:$D,E173+1))</f>
        <v/>
      </c>
      <c r="L173" t="str">
        <f t="shared" si="13"/>
        <v/>
      </c>
      <c r="M173" t="str">
        <f t="shared" si="14"/>
        <v/>
      </c>
    </row>
    <row r="174" spans="1:13" x14ac:dyDescent="0.3">
      <c r="A174" t="str">
        <f>Segmenter!A174</f>
        <v/>
      </c>
      <c r="B174" t="str">
        <f>Segmenter!B174</f>
        <v/>
      </c>
      <c r="C174" t="str">
        <f t="shared" si="10"/>
        <v/>
      </c>
      <c r="D174" t="str">
        <f t="shared" si="11"/>
        <v/>
      </c>
      <c r="E174" t="str">
        <f t="shared" si="12"/>
        <v/>
      </c>
      <c r="F174" t="str">
        <f>IF(D174="","",INDEX(Knutepunkter!$B:$B,D174+1))</f>
        <v/>
      </c>
      <c r="G174" t="str">
        <f>IF(D174="","",INDEX(Knutepunkter!$C:$C,D174+1))</f>
        <v/>
      </c>
      <c r="H174" t="str">
        <f>IF(D174="","",INDEX(Knutepunkter!$D:$D,D174+1))</f>
        <v/>
      </c>
      <c r="I174" t="str">
        <f>IF(E174="","",INDEX(Knutepunkter!$B:$B,E174+1))</f>
        <v/>
      </c>
      <c r="J174" t="str">
        <f>IF(E174="","",INDEX(Knutepunkter!$C:$C,E174+1))</f>
        <v/>
      </c>
      <c r="K174" t="str">
        <f>IF(E174="","",INDEX(Knutepunkter!$D:$D,E174+1))</f>
        <v/>
      </c>
      <c r="L174" t="str">
        <f t="shared" si="13"/>
        <v/>
      </c>
      <c r="M174" t="str">
        <f t="shared" si="14"/>
        <v/>
      </c>
    </row>
    <row r="175" spans="1:13" x14ac:dyDescent="0.3">
      <c r="A175" t="str">
        <f>Segmenter!A175</f>
        <v/>
      </c>
      <c r="B175" t="str">
        <f>Segmenter!B175</f>
        <v/>
      </c>
      <c r="C175" t="str">
        <f t="shared" si="10"/>
        <v/>
      </c>
      <c r="D175" t="str">
        <f t="shared" si="11"/>
        <v/>
      </c>
      <c r="E175" t="str">
        <f t="shared" si="12"/>
        <v/>
      </c>
      <c r="F175" t="str">
        <f>IF(D175="","",INDEX(Knutepunkter!$B:$B,D175+1))</f>
        <v/>
      </c>
      <c r="G175" t="str">
        <f>IF(D175="","",INDEX(Knutepunkter!$C:$C,D175+1))</f>
        <v/>
      </c>
      <c r="H175" t="str">
        <f>IF(D175="","",INDEX(Knutepunkter!$D:$D,D175+1))</f>
        <v/>
      </c>
      <c r="I175" t="str">
        <f>IF(E175="","",INDEX(Knutepunkter!$B:$B,E175+1))</f>
        <v/>
      </c>
      <c r="J175" t="str">
        <f>IF(E175="","",INDEX(Knutepunkter!$C:$C,E175+1))</f>
        <v/>
      </c>
      <c r="K175" t="str">
        <f>IF(E175="","",INDEX(Knutepunkter!$D:$D,E175+1))</f>
        <v/>
      </c>
      <c r="L175" t="str">
        <f t="shared" si="13"/>
        <v/>
      </c>
      <c r="M175" t="str">
        <f t="shared" si="14"/>
        <v/>
      </c>
    </row>
    <row r="176" spans="1:13" x14ac:dyDescent="0.3">
      <c r="A176" t="str">
        <f>Segmenter!A176</f>
        <v/>
      </c>
      <c r="B176" t="str">
        <f>Segmenter!B176</f>
        <v/>
      </c>
      <c r="C176" t="str">
        <f t="shared" si="10"/>
        <v/>
      </c>
      <c r="D176" t="str">
        <f t="shared" si="11"/>
        <v/>
      </c>
      <c r="E176" t="str">
        <f t="shared" si="12"/>
        <v/>
      </c>
      <c r="F176" t="str">
        <f>IF(D176="","",INDEX(Knutepunkter!$B:$B,D176+1))</f>
        <v/>
      </c>
      <c r="G176" t="str">
        <f>IF(D176="","",INDEX(Knutepunkter!$C:$C,D176+1))</f>
        <v/>
      </c>
      <c r="H176" t="str">
        <f>IF(D176="","",INDEX(Knutepunkter!$D:$D,D176+1))</f>
        <v/>
      </c>
      <c r="I176" t="str">
        <f>IF(E176="","",INDEX(Knutepunkter!$B:$B,E176+1))</f>
        <v/>
      </c>
      <c r="J176" t="str">
        <f>IF(E176="","",INDEX(Knutepunkter!$C:$C,E176+1))</f>
        <v/>
      </c>
      <c r="K176" t="str">
        <f>IF(E176="","",INDEX(Knutepunkter!$D:$D,E176+1))</f>
        <v/>
      </c>
      <c r="L176" t="str">
        <f t="shared" si="13"/>
        <v/>
      </c>
      <c r="M176" t="str">
        <f t="shared" si="14"/>
        <v/>
      </c>
    </row>
    <row r="177" spans="1:13" x14ac:dyDescent="0.3">
      <c r="A177" t="str">
        <f>Segmenter!A177</f>
        <v/>
      </c>
      <c r="B177" t="str">
        <f>Segmenter!B177</f>
        <v/>
      </c>
      <c r="C177" t="str">
        <f t="shared" si="10"/>
        <v/>
      </c>
      <c r="D177" t="str">
        <f t="shared" si="11"/>
        <v/>
      </c>
      <c r="E177" t="str">
        <f t="shared" si="12"/>
        <v/>
      </c>
      <c r="F177" t="str">
        <f>IF(D177="","",INDEX(Knutepunkter!$B:$B,D177+1))</f>
        <v/>
      </c>
      <c r="G177" t="str">
        <f>IF(D177="","",INDEX(Knutepunkter!$C:$C,D177+1))</f>
        <v/>
      </c>
      <c r="H177" t="str">
        <f>IF(D177="","",INDEX(Knutepunkter!$D:$D,D177+1))</f>
        <v/>
      </c>
      <c r="I177" t="str">
        <f>IF(E177="","",INDEX(Knutepunkter!$B:$B,E177+1))</f>
        <v/>
      </c>
      <c r="J177" t="str">
        <f>IF(E177="","",INDEX(Knutepunkter!$C:$C,E177+1))</f>
        <v/>
      </c>
      <c r="K177" t="str">
        <f>IF(E177="","",INDEX(Knutepunkter!$D:$D,E177+1))</f>
        <v/>
      </c>
      <c r="L177" t="str">
        <f t="shared" si="13"/>
        <v/>
      </c>
      <c r="M177" t="str">
        <f t="shared" si="14"/>
        <v/>
      </c>
    </row>
    <row r="178" spans="1:13" x14ac:dyDescent="0.3">
      <c r="A178" t="str">
        <f>Segmenter!A178</f>
        <v/>
      </c>
      <c r="B178" t="str">
        <f>Segmenter!B178</f>
        <v/>
      </c>
      <c r="C178" t="str">
        <f t="shared" si="10"/>
        <v/>
      </c>
      <c r="D178" t="str">
        <f t="shared" si="11"/>
        <v/>
      </c>
      <c r="E178" t="str">
        <f t="shared" si="12"/>
        <v/>
      </c>
      <c r="F178" t="str">
        <f>IF(D178="","",INDEX(Knutepunkter!$B:$B,D178+1))</f>
        <v/>
      </c>
      <c r="G178" t="str">
        <f>IF(D178="","",INDEX(Knutepunkter!$C:$C,D178+1))</f>
        <v/>
      </c>
      <c r="H178" t="str">
        <f>IF(D178="","",INDEX(Knutepunkter!$D:$D,D178+1))</f>
        <v/>
      </c>
      <c r="I178" t="str">
        <f>IF(E178="","",INDEX(Knutepunkter!$B:$B,E178+1))</f>
        <v/>
      </c>
      <c r="J178" t="str">
        <f>IF(E178="","",INDEX(Knutepunkter!$C:$C,E178+1))</f>
        <v/>
      </c>
      <c r="K178" t="str">
        <f>IF(E178="","",INDEX(Knutepunkter!$D:$D,E178+1))</f>
        <v/>
      </c>
      <c r="L178" t="str">
        <f t="shared" si="13"/>
        <v/>
      </c>
      <c r="M178" t="str">
        <f t="shared" si="14"/>
        <v/>
      </c>
    </row>
    <row r="179" spans="1:13" x14ac:dyDescent="0.3">
      <c r="A179" t="str">
        <f>Segmenter!A179</f>
        <v/>
      </c>
      <c r="B179" t="str">
        <f>Segmenter!B179</f>
        <v/>
      </c>
      <c r="C179" t="str">
        <f t="shared" si="10"/>
        <v/>
      </c>
      <c r="D179" t="str">
        <f t="shared" si="11"/>
        <v/>
      </c>
      <c r="E179" t="str">
        <f t="shared" si="12"/>
        <v/>
      </c>
      <c r="F179" t="str">
        <f>IF(D179="","",INDEX(Knutepunkter!$B:$B,D179+1))</f>
        <v/>
      </c>
      <c r="G179" t="str">
        <f>IF(D179="","",INDEX(Knutepunkter!$C:$C,D179+1))</f>
        <v/>
      </c>
      <c r="H179" t="str">
        <f>IF(D179="","",INDEX(Knutepunkter!$D:$D,D179+1))</f>
        <v/>
      </c>
      <c r="I179" t="str">
        <f>IF(E179="","",INDEX(Knutepunkter!$B:$B,E179+1))</f>
        <v/>
      </c>
      <c r="J179" t="str">
        <f>IF(E179="","",INDEX(Knutepunkter!$C:$C,E179+1))</f>
        <v/>
      </c>
      <c r="K179" t="str">
        <f>IF(E179="","",INDEX(Knutepunkter!$D:$D,E179+1))</f>
        <v/>
      </c>
      <c r="L179" t="str">
        <f t="shared" si="13"/>
        <v/>
      </c>
      <c r="M179" t="str">
        <f t="shared" si="14"/>
        <v/>
      </c>
    </row>
    <row r="180" spans="1:13" x14ac:dyDescent="0.3">
      <c r="A180" t="str">
        <f>Segmenter!A180</f>
        <v/>
      </c>
      <c r="B180" t="str">
        <f>Segmenter!B180</f>
        <v/>
      </c>
      <c r="C180" t="str">
        <f t="shared" si="10"/>
        <v/>
      </c>
      <c r="D180" t="str">
        <f t="shared" si="11"/>
        <v/>
      </c>
      <c r="E180" t="str">
        <f t="shared" si="12"/>
        <v/>
      </c>
      <c r="F180" t="str">
        <f>IF(D180="","",INDEX(Knutepunkter!$B:$B,D180+1))</f>
        <v/>
      </c>
      <c r="G180" t="str">
        <f>IF(D180="","",INDEX(Knutepunkter!$C:$C,D180+1))</f>
        <v/>
      </c>
      <c r="H180" t="str">
        <f>IF(D180="","",INDEX(Knutepunkter!$D:$D,D180+1))</f>
        <v/>
      </c>
      <c r="I180" t="str">
        <f>IF(E180="","",INDEX(Knutepunkter!$B:$B,E180+1))</f>
        <v/>
      </c>
      <c r="J180" t="str">
        <f>IF(E180="","",INDEX(Knutepunkter!$C:$C,E180+1))</f>
        <v/>
      </c>
      <c r="K180" t="str">
        <f>IF(E180="","",INDEX(Knutepunkter!$D:$D,E180+1))</f>
        <v/>
      </c>
      <c r="L180" t="str">
        <f t="shared" si="13"/>
        <v/>
      </c>
      <c r="M180" t="str">
        <f t="shared" si="14"/>
        <v/>
      </c>
    </row>
    <row r="181" spans="1:13" x14ac:dyDescent="0.3">
      <c r="A181" t="str">
        <f>Segmenter!A181</f>
        <v/>
      </c>
      <c r="B181" t="str">
        <f>Segmenter!B181</f>
        <v/>
      </c>
      <c r="C181" t="str">
        <f t="shared" si="10"/>
        <v/>
      </c>
      <c r="D181" t="str">
        <f t="shared" si="11"/>
        <v/>
      </c>
      <c r="E181" t="str">
        <f t="shared" si="12"/>
        <v/>
      </c>
      <c r="F181" t="str">
        <f>IF(D181="","",INDEX(Knutepunkter!$B:$B,D181+1))</f>
        <v/>
      </c>
      <c r="G181" t="str">
        <f>IF(D181="","",INDEX(Knutepunkter!$C:$C,D181+1))</f>
        <v/>
      </c>
      <c r="H181" t="str">
        <f>IF(D181="","",INDEX(Knutepunkter!$D:$D,D181+1))</f>
        <v/>
      </c>
      <c r="I181" t="str">
        <f>IF(E181="","",INDEX(Knutepunkter!$B:$B,E181+1))</f>
        <v/>
      </c>
      <c r="J181" t="str">
        <f>IF(E181="","",INDEX(Knutepunkter!$C:$C,E181+1))</f>
        <v/>
      </c>
      <c r="K181" t="str">
        <f>IF(E181="","",INDEX(Knutepunkter!$D:$D,E181+1))</f>
        <v/>
      </c>
      <c r="L181" t="str">
        <f t="shared" si="13"/>
        <v/>
      </c>
      <c r="M181" t="str">
        <f t="shared" si="14"/>
        <v/>
      </c>
    </row>
    <row r="182" spans="1:13" x14ac:dyDescent="0.3">
      <c r="A182" t="str">
        <f>Segmenter!A182</f>
        <v/>
      </c>
      <c r="B182" t="str">
        <f>Segmenter!B182</f>
        <v/>
      </c>
      <c r="C182" t="str">
        <f t="shared" si="10"/>
        <v/>
      </c>
      <c r="D182" t="str">
        <f t="shared" si="11"/>
        <v/>
      </c>
      <c r="E182" t="str">
        <f t="shared" si="12"/>
        <v/>
      </c>
      <c r="F182" t="str">
        <f>IF(D182="","",INDEX(Knutepunkter!$B:$B,D182+1))</f>
        <v/>
      </c>
      <c r="G182" t="str">
        <f>IF(D182="","",INDEX(Knutepunkter!$C:$C,D182+1))</f>
        <v/>
      </c>
      <c r="H182" t="str">
        <f>IF(D182="","",INDEX(Knutepunkter!$D:$D,D182+1))</f>
        <v/>
      </c>
      <c r="I182" t="str">
        <f>IF(E182="","",INDEX(Knutepunkter!$B:$B,E182+1))</f>
        <v/>
      </c>
      <c r="J182" t="str">
        <f>IF(E182="","",INDEX(Knutepunkter!$C:$C,E182+1))</f>
        <v/>
      </c>
      <c r="K182" t="str">
        <f>IF(E182="","",INDEX(Knutepunkter!$D:$D,E182+1))</f>
        <v/>
      </c>
      <c r="L182" t="str">
        <f t="shared" si="13"/>
        <v/>
      </c>
      <c r="M182" t="str">
        <f t="shared" si="14"/>
        <v/>
      </c>
    </row>
    <row r="183" spans="1:13" x14ac:dyDescent="0.3">
      <c r="A183" t="str">
        <f>Segmenter!A183</f>
        <v/>
      </c>
      <c r="B183" t="str">
        <f>Segmenter!B183</f>
        <v/>
      </c>
      <c r="C183" t="str">
        <f t="shared" si="10"/>
        <v/>
      </c>
      <c r="D183" t="str">
        <f t="shared" si="11"/>
        <v/>
      </c>
      <c r="E183" t="str">
        <f t="shared" si="12"/>
        <v/>
      </c>
      <c r="F183" t="str">
        <f>IF(D183="","",INDEX(Knutepunkter!$B:$B,D183+1))</f>
        <v/>
      </c>
      <c r="G183" t="str">
        <f>IF(D183="","",INDEX(Knutepunkter!$C:$C,D183+1))</f>
        <v/>
      </c>
      <c r="H183" t="str">
        <f>IF(D183="","",INDEX(Knutepunkter!$D:$D,D183+1))</f>
        <v/>
      </c>
      <c r="I183" t="str">
        <f>IF(E183="","",INDEX(Knutepunkter!$B:$B,E183+1))</f>
        <v/>
      </c>
      <c r="J183" t="str">
        <f>IF(E183="","",INDEX(Knutepunkter!$C:$C,E183+1))</f>
        <v/>
      </c>
      <c r="K183" t="str">
        <f>IF(E183="","",INDEX(Knutepunkter!$D:$D,E183+1))</f>
        <v/>
      </c>
      <c r="L183" t="str">
        <f t="shared" si="13"/>
        <v/>
      </c>
      <c r="M183" t="str">
        <f t="shared" si="14"/>
        <v/>
      </c>
    </row>
    <row r="184" spans="1:13" x14ac:dyDescent="0.3">
      <c r="A184" t="str">
        <f>Segmenter!A184</f>
        <v/>
      </c>
      <c r="B184" t="str">
        <f>Segmenter!B184</f>
        <v/>
      </c>
      <c r="C184" t="str">
        <f t="shared" si="10"/>
        <v/>
      </c>
      <c r="D184" t="str">
        <f t="shared" si="11"/>
        <v/>
      </c>
      <c r="E184" t="str">
        <f t="shared" si="12"/>
        <v/>
      </c>
      <c r="F184" t="str">
        <f>IF(D184="","",INDEX(Knutepunkter!$B:$B,D184+1))</f>
        <v/>
      </c>
      <c r="G184" t="str">
        <f>IF(D184="","",INDEX(Knutepunkter!$C:$C,D184+1))</f>
        <v/>
      </c>
      <c r="H184" t="str">
        <f>IF(D184="","",INDEX(Knutepunkter!$D:$D,D184+1))</f>
        <v/>
      </c>
      <c r="I184" t="str">
        <f>IF(E184="","",INDEX(Knutepunkter!$B:$B,E184+1))</f>
        <v/>
      </c>
      <c r="J184" t="str">
        <f>IF(E184="","",INDEX(Knutepunkter!$C:$C,E184+1))</f>
        <v/>
      </c>
      <c r="K184" t="str">
        <f>IF(E184="","",INDEX(Knutepunkter!$D:$D,E184+1))</f>
        <v/>
      </c>
      <c r="L184" t="str">
        <f t="shared" si="13"/>
        <v/>
      </c>
      <c r="M184" t="str">
        <f t="shared" si="14"/>
        <v/>
      </c>
    </row>
    <row r="185" spans="1:13" x14ac:dyDescent="0.3">
      <c r="A185" t="str">
        <f>Segmenter!A185</f>
        <v/>
      </c>
      <c r="B185" t="str">
        <f>Segmenter!B185</f>
        <v/>
      </c>
      <c r="C185" t="str">
        <f t="shared" si="10"/>
        <v/>
      </c>
      <c r="D185" t="str">
        <f t="shared" si="11"/>
        <v/>
      </c>
      <c r="E185" t="str">
        <f t="shared" si="12"/>
        <v/>
      </c>
      <c r="F185" t="str">
        <f>IF(D185="","",INDEX(Knutepunkter!$B:$B,D185+1))</f>
        <v/>
      </c>
      <c r="G185" t="str">
        <f>IF(D185="","",INDEX(Knutepunkter!$C:$C,D185+1))</f>
        <v/>
      </c>
      <c r="H185" t="str">
        <f>IF(D185="","",INDEX(Knutepunkter!$D:$D,D185+1))</f>
        <v/>
      </c>
      <c r="I185" t="str">
        <f>IF(E185="","",INDEX(Knutepunkter!$B:$B,E185+1))</f>
        <v/>
      </c>
      <c r="J185" t="str">
        <f>IF(E185="","",INDEX(Knutepunkter!$C:$C,E185+1))</f>
        <v/>
      </c>
      <c r="K185" t="str">
        <f>IF(E185="","",INDEX(Knutepunkter!$D:$D,E185+1))</f>
        <v/>
      </c>
      <c r="L185" t="str">
        <f t="shared" si="13"/>
        <v/>
      </c>
      <c r="M185" t="str">
        <f t="shared" si="14"/>
        <v/>
      </c>
    </row>
    <row r="186" spans="1:13" x14ac:dyDescent="0.3">
      <c r="A186" t="str">
        <f>Segmenter!A186</f>
        <v/>
      </c>
      <c r="B186" t="str">
        <f>Segmenter!B186</f>
        <v/>
      </c>
      <c r="C186" t="str">
        <f t="shared" si="10"/>
        <v/>
      </c>
      <c r="D186" t="str">
        <f t="shared" si="11"/>
        <v/>
      </c>
      <c r="E186" t="str">
        <f t="shared" si="12"/>
        <v/>
      </c>
      <c r="F186" t="str">
        <f>IF(D186="","",INDEX(Knutepunkter!$B:$B,D186+1))</f>
        <v/>
      </c>
      <c r="G186" t="str">
        <f>IF(D186="","",INDEX(Knutepunkter!$C:$C,D186+1))</f>
        <v/>
      </c>
      <c r="H186" t="str">
        <f>IF(D186="","",INDEX(Knutepunkter!$D:$D,D186+1))</f>
        <v/>
      </c>
      <c r="I186" t="str">
        <f>IF(E186="","",INDEX(Knutepunkter!$B:$B,E186+1))</f>
        <v/>
      </c>
      <c r="J186" t="str">
        <f>IF(E186="","",INDEX(Knutepunkter!$C:$C,E186+1))</f>
        <v/>
      </c>
      <c r="K186" t="str">
        <f>IF(E186="","",INDEX(Knutepunkter!$D:$D,E186+1))</f>
        <v/>
      </c>
      <c r="L186" t="str">
        <f t="shared" si="13"/>
        <v/>
      </c>
      <c r="M186" t="str">
        <f t="shared" si="14"/>
        <v/>
      </c>
    </row>
    <row r="187" spans="1:13" x14ac:dyDescent="0.3">
      <c r="A187" t="str">
        <f>Segmenter!A187</f>
        <v/>
      </c>
      <c r="B187" t="str">
        <f>Segmenter!B187</f>
        <v/>
      </c>
      <c r="C187" t="str">
        <f t="shared" si="10"/>
        <v/>
      </c>
      <c r="D187" t="str">
        <f t="shared" si="11"/>
        <v/>
      </c>
      <c r="E187" t="str">
        <f t="shared" si="12"/>
        <v/>
      </c>
      <c r="F187" t="str">
        <f>IF(D187="","",INDEX(Knutepunkter!$B:$B,D187+1))</f>
        <v/>
      </c>
      <c r="G187" t="str">
        <f>IF(D187="","",INDEX(Knutepunkter!$C:$C,D187+1))</f>
        <v/>
      </c>
      <c r="H187" t="str">
        <f>IF(D187="","",INDEX(Knutepunkter!$D:$D,D187+1))</f>
        <v/>
      </c>
      <c r="I187" t="str">
        <f>IF(E187="","",INDEX(Knutepunkter!$B:$B,E187+1))</f>
        <v/>
      </c>
      <c r="J187" t="str">
        <f>IF(E187="","",INDEX(Knutepunkter!$C:$C,E187+1))</f>
        <v/>
      </c>
      <c r="K187" t="str">
        <f>IF(E187="","",INDEX(Knutepunkter!$D:$D,E187+1))</f>
        <v/>
      </c>
      <c r="L187" t="str">
        <f t="shared" si="13"/>
        <v/>
      </c>
      <c r="M187" t="str">
        <f t="shared" si="14"/>
        <v/>
      </c>
    </row>
    <row r="188" spans="1:13" x14ac:dyDescent="0.3">
      <c r="A188" t="str">
        <f>Segmenter!A188</f>
        <v/>
      </c>
      <c r="B188" t="str">
        <f>Segmenter!B188</f>
        <v/>
      </c>
      <c r="C188" t="str">
        <f t="shared" si="10"/>
        <v/>
      </c>
      <c r="D188" t="str">
        <f t="shared" si="11"/>
        <v/>
      </c>
      <c r="E188" t="str">
        <f t="shared" si="12"/>
        <v/>
      </c>
      <c r="F188" t="str">
        <f>IF(D188="","",INDEX(Knutepunkter!$B:$B,D188+1))</f>
        <v/>
      </c>
      <c r="G188" t="str">
        <f>IF(D188="","",INDEX(Knutepunkter!$C:$C,D188+1))</f>
        <v/>
      </c>
      <c r="H188" t="str">
        <f>IF(D188="","",INDEX(Knutepunkter!$D:$D,D188+1))</f>
        <v/>
      </c>
      <c r="I188" t="str">
        <f>IF(E188="","",INDEX(Knutepunkter!$B:$B,E188+1))</f>
        <v/>
      </c>
      <c r="J188" t="str">
        <f>IF(E188="","",INDEX(Knutepunkter!$C:$C,E188+1))</f>
        <v/>
      </c>
      <c r="K188" t="str">
        <f>IF(E188="","",INDEX(Knutepunkter!$D:$D,E188+1))</f>
        <v/>
      </c>
      <c r="L188" t="str">
        <f t="shared" si="13"/>
        <v/>
      </c>
      <c r="M188" t="str">
        <f t="shared" si="14"/>
        <v/>
      </c>
    </row>
    <row r="189" spans="1:13" x14ac:dyDescent="0.3">
      <c r="A189" t="str">
        <f>Segmenter!A189</f>
        <v/>
      </c>
      <c r="B189" t="str">
        <f>Segmenter!B189</f>
        <v/>
      </c>
      <c r="C189" t="str">
        <f t="shared" si="10"/>
        <v/>
      </c>
      <c r="D189" t="str">
        <f t="shared" si="11"/>
        <v/>
      </c>
      <c r="E189" t="str">
        <f t="shared" si="12"/>
        <v/>
      </c>
      <c r="F189" t="str">
        <f>IF(D189="","",INDEX(Knutepunkter!$B:$B,D189+1))</f>
        <v/>
      </c>
      <c r="G189" t="str">
        <f>IF(D189="","",INDEX(Knutepunkter!$C:$C,D189+1))</f>
        <v/>
      </c>
      <c r="H189" t="str">
        <f>IF(D189="","",INDEX(Knutepunkter!$D:$D,D189+1))</f>
        <v/>
      </c>
      <c r="I189" t="str">
        <f>IF(E189="","",INDEX(Knutepunkter!$B:$B,E189+1))</f>
        <v/>
      </c>
      <c r="J189" t="str">
        <f>IF(E189="","",INDEX(Knutepunkter!$C:$C,E189+1))</f>
        <v/>
      </c>
      <c r="K189" t="str">
        <f>IF(E189="","",INDEX(Knutepunkter!$D:$D,E189+1))</f>
        <v/>
      </c>
      <c r="L189" t="str">
        <f t="shared" si="13"/>
        <v/>
      </c>
      <c r="M189" t="str">
        <f t="shared" si="14"/>
        <v/>
      </c>
    </row>
    <row r="190" spans="1:13" x14ac:dyDescent="0.3">
      <c r="A190" t="str">
        <f>Segmenter!A190</f>
        <v/>
      </c>
      <c r="B190" t="str">
        <f>Segmenter!B190</f>
        <v/>
      </c>
      <c r="C190" t="str">
        <f t="shared" si="10"/>
        <v/>
      </c>
      <c r="D190" t="str">
        <f t="shared" si="11"/>
        <v/>
      </c>
      <c r="E190" t="str">
        <f t="shared" si="12"/>
        <v/>
      </c>
      <c r="F190" t="str">
        <f>IF(D190="","",INDEX(Knutepunkter!$B:$B,D190+1))</f>
        <v/>
      </c>
      <c r="G190" t="str">
        <f>IF(D190="","",INDEX(Knutepunkter!$C:$C,D190+1))</f>
        <v/>
      </c>
      <c r="H190" t="str">
        <f>IF(D190="","",INDEX(Knutepunkter!$D:$D,D190+1))</f>
        <v/>
      </c>
      <c r="I190" t="str">
        <f>IF(E190="","",INDEX(Knutepunkter!$B:$B,E190+1))</f>
        <v/>
      </c>
      <c r="J190" t="str">
        <f>IF(E190="","",INDEX(Knutepunkter!$C:$C,E190+1))</f>
        <v/>
      </c>
      <c r="K190" t="str">
        <f>IF(E190="","",INDEX(Knutepunkter!$D:$D,E190+1))</f>
        <v/>
      </c>
      <c r="L190" t="str">
        <f t="shared" si="13"/>
        <v/>
      </c>
      <c r="M190" t="str">
        <f t="shared" si="14"/>
        <v/>
      </c>
    </row>
    <row r="191" spans="1:13" x14ac:dyDescent="0.3">
      <c r="A191" t="str">
        <f>Segmenter!A191</f>
        <v/>
      </c>
      <c r="B191" t="str">
        <f>Segmenter!B191</f>
        <v/>
      </c>
      <c r="C191" t="str">
        <f t="shared" si="10"/>
        <v/>
      </c>
      <c r="D191" t="str">
        <f t="shared" si="11"/>
        <v/>
      </c>
      <c r="E191" t="str">
        <f t="shared" si="12"/>
        <v/>
      </c>
      <c r="F191" t="str">
        <f>IF(D191="","",INDEX(Knutepunkter!$B:$B,D191+1))</f>
        <v/>
      </c>
      <c r="G191" t="str">
        <f>IF(D191="","",INDEX(Knutepunkter!$C:$C,D191+1))</f>
        <v/>
      </c>
      <c r="H191" t="str">
        <f>IF(D191="","",INDEX(Knutepunkter!$D:$D,D191+1))</f>
        <v/>
      </c>
      <c r="I191" t="str">
        <f>IF(E191="","",INDEX(Knutepunkter!$B:$B,E191+1))</f>
        <v/>
      </c>
      <c r="J191" t="str">
        <f>IF(E191="","",INDEX(Knutepunkter!$C:$C,E191+1))</f>
        <v/>
      </c>
      <c r="K191" t="str">
        <f>IF(E191="","",INDEX(Knutepunkter!$D:$D,E191+1))</f>
        <v/>
      </c>
      <c r="L191" t="str">
        <f t="shared" si="13"/>
        <v/>
      </c>
      <c r="M191" t="str">
        <f t="shared" si="14"/>
        <v/>
      </c>
    </row>
    <row r="192" spans="1:13" x14ac:dyDescent="0.3">
      <c r="A192" t="str">
        <f>Segmenter!A192</f>
        <v/>
      </c>
      <c r="B192" t="str">
        <f>Segmenter!B192</f>
        <v/>
      </c>
      <c r="C192" t="str">
        <f t="shared" si="10"/>
        <v/>
      </c>
      <c r="D192" t="str">
        <f t="shared" si="11"/>
        <v/>
      </c>
      <c r="E192" t="str">
        <f t="shared" si="12"/>
        <v/>
      </c>
      <c r="F192" t="str">
        <f>IF(D192="","",INDEX(Knutepunkter!$B:$B,D192+1))</f>
        <v/>
      </c>
      <c r="G192" t="str">
        <f>IF(D192="","",INDEX(Knutepunkter!$C:$C,D192+1))</f>
        <v/>
      </c>
      <c r="H192" t="str">
        <f>IF(D192="","",INDEX(Knutepunkter!$D:$D,D192+1))</f>
        <v/>
      </c>
      <c r="I192" t="str">
        <f>IF(E192="","",INDEX(Knutepunkter!$B:$B,E192+1))</f>
        <v/>
      </c>
      <c r="J192" t="str">
        <f>IF(E192="","",INDEX(Knutepunkter!$C:$C,E192+1))</f>
        <v/>
      </c>
      <c r="K192" t="str">
        <f>IF(E192="","",INDEX(Knutepunkter!$D:$D,E192+1))</f>
        <v/>
      </c>
      <c r="L192" t="str">
        <f t="shared" si="13"/>
        <v/>
      </c>
      <c r="M192" t="str">
        <f t="shared" si="14"/>
        <v/>
      </c>
    </row>
    <row r="193" spans="1:13" x14ac:dyDescent="0.3">
      <c r="A193" t="str">
        <f>Segmenter!A193</f>
        <v/>
      </c>
      <c r="B193" t="str">
        <f>Segmenter!B193</f>
        <v/>
      </c>
      <c r="C193" t="str">
        <f t="shared" si="10"/>
        <v/>
      </c>
      <c r="D193" t="str">
        <f t="shared" si="11"/>
        <v/>
      </c>
      <c r="E193" t="str">
        <f t="shared" si="12"/>
        <v/>
      </c>
      <c r="F193" t="str">
        <f>IF(D193="","",INDEX(Knutepunkter!$B:$B,D193+1))</f>
        <v/>
      </c>
      <c r="G193" t="str">
        <f>IF(D193="","",INDEX(Knutepunkter!$C:$C,D193+1))</f>
        <v/>
      </c>
      <c r="H193" t="str">
        <f>IF(D193="","",INDEX(Knutepunkter!$D:$D,D193+1))</f>
        <v/>
      </c>
      <c r="I193" t="str">
        <f>IF(E193="","",INDEX(Knutepunkter!$B:$B,E193+1))</f>
        <v/>
      </c>
      <c r="J193" t="str">
        <f>IF(E193="","",INDEX(Knutepunkter!$C:$C,E193+1))</f>
        <v/>
      </c>
      <c r="K193" t="str">
        <f>IF(E193="","",INDEX(Knutepunkter!$D:$D,E193+1))</f>
        <v/>
      </c>
      <c r="L193" t="str">
        <f t="shared" si="13"/>
        <v/>
      </c>
      <c r="M193" t="str">
        <f t="shared" si="14"/>
        <v/>
      </c>
    </row>
    <row r="194" spans="1:13" x14ac:dyDescent="0.3">
      <c r="A194" t="str">
        <f>Segmenter!A194</f>
        <v/>
      </c>
      <c r="B194" t="str">
        <f>Segmenter!B194</f>
        <v/>
      </c>
      <c r="C194" t="str">
        <f t="shared" ref="C194:C257" si="15">IF(B194="","",IF(AND(F194=I194,G194=J194,H194&lt;&gt;K194),"Søyle","Bjelke"))</f>
        <v/>
      </c>
      <c r="D194" t="str">
        <f t="shared" ref="D194:D257" si="16">IF(B194="","",VALUE(LEFT(B194,FIND(" -&gt; ",B194)-1)))</f>
        <v/>
      </c>
      <c r="E194" t="str">
        <f t="shared" ref="E194:E257" si="17">IF(B194="","",VALUE(MID(B194,FIND(" -&gt; ",B194)+4,99)))</f>
        <v/>
      </c>
      <c r="F194" t="str">
        <f>IF(D194="","",INDEX(Knutepunkter!$B:$B,D194+1))</f>
        <v/>
      </c>
      <c r="G194" t="str">
        <f>IF(D194="","",INDEX(Knutepunkter!$C:$C,D194+1))</f>
        <v/>
      </c>
      <c r="H194" t="str">
        <f>IF(D194="","",INDEX(Knutepunkter!$D:$D,D194+1))</f>
        <v/>
      </c>
      <c r="I194" t="str">
        <f>IF(E194="","",INDEX(Knutepunkter!$B:$B,E194+1))</f>
        <v/>
      </c>
      <c r="J194" t="str">
        <f>IF(E194="","",INDEX(Knutepunkter!$C:$C,E194+1))</f>
        <v/>
      </c>
      <c r="K194" t="str">
        <f>IF(E194="","",INDEX(Knutepunkter!$D:$D,E194+1))</f>
        <v/>
      </c>
      <c r="L194" t="str">
        <f t="shared" ref="L194:L257" si="18">IF(B194="","",SQRT((I194-F194)^2+(J194-G194)^2+(K194-H194)^2))</f>
        <v/>
      </c>
      <c r="M194" t="str">
        <f t="shared" ref="M194:M257" si="19">IF(L194="","",L194/1000)</f>
        <v/>
      </c>
    </row>
    <row r="195" spans="1:13" x14ac:dyDescent="0.3">
      <c r="A195" t="str">
        <f>Segmenter!A195</f>
        <v/>
      </c>
      <c r="B195" t="str">
        <f>Segmenter!B195</f>
        <v/>
      </c>
      <c r="C195" t="str">
        <f t="shared" si="15"/>
        <v/>
      </c>
      <c r="D195" t="str">
        <f t="shared" si="16"/>
        <v/>
      </c>
      <c r="E195" t="str">
        <f t="shared" si="17"/>
        <v/>
      </c>
      <c r="F195" t="str">
        <f>IF(D195="","",INDEX(Knutepunkter!$B:$B,D195+1))</f>
        <v/>
      </c>
      <c r="G195" t="str">
        <f>IF(D195="","",INDEX(Knutepunkter!$C:$C,D195+1))</f>
        <v/>
      </c>
      <c r="H195" t="str">
        <f>IF(D195="","",INDEX(Knutepunkter!$D:$D,D195+1))</f>
        <v/>
      </c>
      <c r="I195" t="str">
        <f>IF(E195="","",INDEX(Knutepunkter!$B:$B,E195+1))</f>
        <v/>
      </c>
      <c r="J195" t="str">
        <f>IF(E195="","",INDEX(Knutepunkter!$C:$C,E195+1))</f>
        <v/>
      </c>
      <c r="K195" t="str">
        <f>IF(E195="","",INDEX(Knutepunkter!$D:$D,E195+1))</f>
        <v/>
      </c>
      <c r="L195" t="str">
        <f t="shared" si="18"/>
        <v/>
      </c>
      <c r="M195" t="str">
        <f t="shared" si="19"/>
        <v/>
      </c>
    </row>
    <row r="196" spans="1:13" x14ac:dyDescent="0.3">
      <c r="A196" t="str">
        <f>Segmenter!A196</f>
        <v/>
      </c>
      <c r="B196" t="str">
        <f>Segmenter!B196</f>
        <v/>
      </c>
      <c r="C196" t="str">
        <f t="shared" si="15"/>
        <v/>
      </c>
      <c r="D196" t="str">
        <f t="shared" si="16"/>
        <v/>
      </c>
      <c r="E196" t="str">
        <f t="shared" si="17"/>
        <v/>
      </c>
      <c r="F196" t="str">
        <f>IF(D196="","",INDEX(Knutepunkter!$B:$B,D196+1))</f>
        <v/>
      </c>
      <c r="G196" t="str">
        <f>IF(D196="","",INDEX(Knutepunkter!$C:$C,D196+1))</f>
        <v/>
      </c>
      <c r="H196" t="str">
        <f>IF(D196="","",INDEX(Knutepunkter!$D:$D,D196+1))</f>
        <v/>
      </c>
      <c r="I196" t="str">
        <f>IF(E196="","",INDEX(Knutepunkter!$B:$B,E196+1))</f>
        <v/>
      </c>
      <c r="J196" t="str">
        <f>IF(E196="","",INDEX(Knutepunkter!$C:$C,E196+1))</f>
        <v/>
      </c>
      <c r="K196" t="str">
        <f>IF(E196="","",INDEX(Knutepunkter!$D:$D,E196+1))</f>
        <v/>
      </c>
      <c r="L196" t="str">
        <f t="shared" si="18"/>
        <v/>
      </c>
      <c r="M196" t="str">
        <f t="shared" si="19"/>
        <v/>
      </c>
    </row>
    <row r="197" spans="1:13" x14ac:dyDescent="0.3">
      <c r="A197" t="str">
        <f>Segmenter!A197</f>
        <v/>
      </c>
      <c r="B197" t="str">
        <f>Segmenter!B197</f>
        <v/>
      </c>
      <c r="C197" t="str">
        <f t="shared" si="15"/>
        <v/>
      </c>
      <c r="D197" t="str">
        <f t="shared" si="16"/>
        <v/>
      </c>
      <c r="E197" t="str">
        <f t="shared" si="17"/>
        <v/>
      </c>
      <c r="F197" t="str">
        <f>IF(D197="","",INDEX(Knutepunkter!$B:$B,D197+1))</f>
        <v/>
      </c>
      <c r="G197" t="str">
        <f>IF(D197="","",INDEX(Knutepunkter!$C:$C,D197+1))</f>
        <v/>
      </c>
      <c r="H197" t="str">
        <f>IF(D197="","",INDEX(Knutepunkter!$D:$D,D197+1))</f>
        <v/>
      </c>
      <c r="I197" t="str">
        <f>IF(E197="","",INDEX(Knutepunkter!$B:$B,E197+1))</f>
        <v/>
      </c>
      <c r="J197" t="str">
        <f>IF(E197="","",INDEX(Knutepunkter!$C:$C,E197+1))</f>
        <v/>
      </c>
      <c r="K197" t="str">
        <f>IF(E197="","",INDEX(Knutepunkter!$D:$D,E197+1))</f>
        <v/>
      </c>
      <c r="L197" t="str">
        <f t="shared" si="18"/>
        <v/>
      </c>
      <c r="M197" t="str">
        <f t="shared" si="19"/>
        <v/>
      </c>
    </row>
    <row r="198" spans="1:13" x14ac:dyDescent="0.3">
      <c r="A198" t="str">
        <f>Segmenter!A198</f>
        <v/>
      </c>
      <c r="B198" t="str">
        <f>Segmenter!B198</f>
        <v/>
      </c>
      <c r="C198" t="str">
        <f t="shared" si="15"/>
        <v/>
      </c>
      <c r="D198" t="str">
        <f t="shared" si="16"/>
        <v/>
      </c>
      <c r="E198" t="str">
        <f t="shared" si="17"/>
        <v/>
      </c>
      <c r="F198" t="str">
        <f>IF(D198="","",INDEX(Knutepunkter!$B:$B,D198+1))</f>
        <v/>
      </c>
      <c r="G198" t="str">
        <f>IF(D198="","",INDEX(Knutepunkter!$C:$C,D198+1))</f>
        <v/>
      </c>
      <c r="H198" t="str">
        <f>IF(D198="","",INDEX(Knutepunkter!$D:$D,D198+1))</f>
        <v/>
      </c>
      <c r="I198" t="str">
        <f>IF(E198="","",INDEX(Knutepunkter!$B:$B,E198+1))</f>
        <v/>
      </c>
      <c r="J198" t="str">
        <f>IF(E198="","",INDEX(Knutepunkter!$C:$C,E198+1))</f>
        <v/>
      </c>
      <c r="K198" t="str">
        <f>IF(E198="","",INDEX(Knutepunkter!$D:$D,E198+1))</f>
        <v/>
      </c>
      <c r="L198" t="str">
        <f t="shared" si="18"/>
        <v/>
      </c>
      <c r="M198" t="str">
        <f t="shared" si="19"/>
        <v/>
      </c>
    </row>
    <row r="199" spans="1:13" x14ac:dyDescent="0.3">
      <c r="A199" t="str">
        <f>Segmenter!A199</f>
        <v/>
      </c>
      <c r="B199" t="str">
        <f>Segmenter!B199</f>
        <v/>
      </c>
      <c r="C199" t="str">
        <f t="shared" si="15"/>
        <v/>
      </c>
      <c r="D199" t="str">
        <f t="shared" si="16"/>
        <v/>
      </c>
      <c r="E199" t="str">
        <f t="shared" si="17"/>
        <v/>
      </c>
      <c r="F199" t="str">
        <f>IF(D199="","",INDEX(Knutepunkter!$B:$B,D199+1))</f>
        <v/>
      </c>
      <c r="G199" t="str">
        <f>IF(D199="","",INDEX(Knutepunkter!$C:$C,D199+1))</f>
        <v/>
      </c>
      <c r="H199" t="str">
        <f>IF(D199="","",INDEX(Knutepunkter!$D:$D,D199+1))</f>
        <v/>
      </c>
      <c r="I199" t="str">
        <f>IF(E199="","",INDEX(Knutepunkter!$B:$B,E199+1))</f>
        <v/>
      </c>
      <c r="J199" t="str">
        <f>IF(E199="","",INDEX(Knutepunkter!$C:$C,E199+1))</f>
        <v/>
      </c>
      <c r="K199" t="str">
        <f>IF(E199="","",INDEX(Knutepunkter!$D:$D,E199+1))</f>
        <v/>
      </c>
      <c r="L199" t="str">
        <f t="shared" si="18"/>
        <v/>
      </c>
      <c r="M199" t="str">
        <f t="shared" si="19"/>
        <v/>
      </c>
    </row>
    <row r="200" spans="1:13" x14ac:dyDescent="0.3">
      <c r="A200" t="str">
        <f>Segmenter!A200</f>
        <v/>
      </c>
      <c r="B200" t="str">
        <f>Segmenter!B200</f>
        <v/>
      </c>
      <c r="C200" t="str">
        <f t="shared" si="15"/>
        <v/>
      </c>
      <c r="D200" t="str">
        <f t="shared" si="16"/>
        <v/>
      </c>
      <c r="E200" t="str">
        <f t="shared" si="17"/>
        <v/>
      </c>
      <c r="F200" t="str">
        <f>IF(D200="","",INDEX(Knutepunkter!$B:$B,D200+1))</f>
        <v/>
      </c>
      <c r="G200" t="str">
        <f>IF(D200="","",INDEX(Knutepunkter!$C:$C,D200+1))</f>
        <v/>
      </c>
      <c r="H200" t="str">
        <f>IF(D200="","",INDEX(Knutepunkter!$D:$D,D200+1))</f>
        <v/>
      </c>
      <c r="I200" t="str">
        <f>IF(E200="","",INDEX(Knutepunkter!$B:$B,E200+1))</f>
        <v/>
      </c>
      <c r="J200" t="str">
        <f>IF(E200="","",INDEX(Knutepunkter!$C:$C,E200+1))</f>
        <v/>
      </c>
      <c r="K200" t="str">
        <f>IF(E200="","",INDEX(Knutepunkter!$D:$D,E200+1))</f>
        <v/>
      </c>
      <c r="L200" t="str">
        <f t="shared" si="18"/>
        <v/>
      </c>
      <c r="M200" t="str">
        <f t="shared" si="19"/>
        <v/>
      </c>
    </row>
    <row r="201" spans="1:13" x14ac:dyDescent="0.3">
      <c r="A201" t="str">
        <f>Segmenter!A201</f>
        <v/>
      </c>
      <c r="B201" t="str">
        <f>Segmenter!B201</f>
        <v/>
      </c>
      <c r="C201" t="str">
        <f t="shared" si="15"/>
        <v/>
      </c>
      <c r="D201" t="str">
        <f t="shared" si="16"/>
        <v/>
      </c>
      <c r="E201" t="str">
        <f t="shared" si="17"/>
        <v/>
      </c>
      <c r="F201" t="str">
        <f>IF(D201="","",INDEX(Knutepunkter!$B:$B,D201+1))</f>
        <v/>
      </c>
      <c r="G201" t="str">
        <f>IF(D201="","",INDEX(Knutepunkter!$C:$C,D201+1))</f>
        <v/>
      </c>
      <c r="H201" t="str">
        <f>IF(D201="","",INDEX(Knutepunkter!$D:$D,D201+1))</f>
        <v/>
      </c>
      <c r="I201" t="str">
        <f>IF(E201="","",INDEX(Knutepunkter!$B:$B,E201+1))</f>
        <v/>
      </c>
      <c r="J201" t="str">
        <f>IF(E201="","",INDEX(Knutepunkter!$C:$C,E201+1))</f>
        <v/>
      </c>
      <c r="K201" t="str">
        <f>IF(E201="","",INDEX(Knutepunkter!$D:$D,E201+1))</f>
        <v/>
      </c>
      <c r="L201" t="str">
        <f t="shared" si="18"/>
        <v/>
      </c>
      <c r="M201" t="str">
        <f t="shared" si="19"/>
        <v/>
      </c>
    </row>
    <row r="202" spans="1:13" x14ac:dyDescent="0.3">
      <c r="A202" t="str">
        <f>Segmenter!A202</f>
        <v/>
      </c>
      <c r="B202" t="str">
        <f>Segmenter!B202</f>
        <v/>
      </c>
      <c r="C202" t="str">
        <f t="shared" si="15"/>
        <v/>
      </c>
      <c r="D202" t="str">
        <f t="shared" si="16"/>
        <v/>
      </c>
      <c r="E202" t="str">
        <f t="shared" si="17"/>
        <v/>
      </c>
      <c r="F202" t="str">
        <f>IF(D202="","",INDEX(Knutepunkter!$B:$B,D202+1))</f>
        <v/>
      </c>
      <c r="G202" t="str">
        <f>IF(D202="","",INDEX(Knutepunkter!$C:$C,D202+1))</f>
        <v/>
      </c>
      <c r="H202" t="str">
        <f>IF(D202="","",INDEX(Knutepunkter!$D:$D,D202+1))</f>
        <v/>
      </c>
      <c r="I202" t="str">
        <f>IF(E202="","",INDEX(Knutepunkter!$B:$B,E202+1))</f>
        <v/>
      </c>
      <c r="J202" t="str">
        <f>IF(E202="","",INDEX(Knutepunkter!$C:$C,E202+1))</f>
        <v/>
      </c>
      <c r="K202" t="str">
        <f>IF(E202="","",INDEX(Knutepunkter!$D:$D,E202+1))</f>
        <v/>
      </c>
      <c r="L202" t="str">
        <f t="shared" si="18"/>
        <v/>
      </c>
      <c r="M202" t="str">
        <f t="shared" si="19"/>
        <v/>
      </c>
    </row>
    <row r="203" spans="1:13" x14ac:dyDescent="0.3">
      <c r="A203" t="str">
        <f>Segmenter!A203</f>
        <v/>
      </c>
      <c r="B203" t="str">
        <f>Segmenter!B203</f>
        <v/>
      </c>
      <c r="C203" t="str">
        <f t="shared" si="15"/>
        <v/>
      </c>
      <c r="D203" t="str">
        <f t="shared" si="16"/>
        <v/>
      </c>
      <c r="E203" t="str">
        <f t="shared" si="17"/>
        <v/>
      </c>
      <c r="F203" t="str">
        <f>IF(D203="","",INDEX(Knutepunkter!$B:$B,D203+1))</f>
        <v/>
      </c>
      <c r="G203" t="str">
        <f>IF(D203="","",INDEX(Knutepunkter!$C:$C,D203+1))</f>
        <v/>
      </c>
      <c r="H203" t="str">
        <f>IF(D203="","",INDEX(Knutepunkter!$D:$D,D203+1))</f>
        <v/>
      </c>
      <c r="I203" t="str">
        <f>IF(E203="","",INDEX(Knutepunkter!$B:$B,E203+1))</f>
        <v/>
      </c>
      <c r="J203" t="str">
        <f>IF(E203="","",INDEX(Knutepunkter!$C:$C,E203+1))</f>
        <v/>
      </c>
      <c r="K203" t="str">
        <f>IF(E203="","",INDEX(Knutepunkter!$D:$D,E203+1))</f>
        <v/>
      </c>
      <c r="L203" t="str">
        <f t="shared" si="18"/>
        <v/>
      </c>
      <c r="M203" t="str">
        <f t="shared" si="19"/>
        <v/>
      </c>
    </row>
    <row r="204" spans="1:13" x14ac:dyDescent="0.3">
      <c r="A204" t="str">
        <f>Segmenter!A204</f>
        <v/>
      </c>
      <c r="B204" t="str">
        <f>Segmenter!B204</f>
        <v/>
      </c>
      <c r="C204" t="str">
        <f t="shared" si="15"/>
        <v/>
      </c>
      <c r="D204" t="str">
        <f t="shared" si="16"/>
        <v/>
      </c>
      <c r="E204" t="str">
        <f t="shared" si="17"/>
        <v/>
      </c>
      <c r="F204" t="str">
        <f>IF(D204="","",INDEX(Knutepunkter!$B:$B,D204+1))</f>
        <v/>
      </c>
      <c r="G204" t="str">
        <f>IF(D204="","",INDEX(Knutepunkter!$C:$C,D204+1))</f>
        <v/>
      </c>
      <c r="H204" t="str">
        <f>IF(D204="","",INDEX(Knutepunkter!$D:$D,D204+1))</f>
        <v/>
      </c>
      <c r="I204" t="str">
        <f>IF(E204="","",INDEX(Knutepunkter!$B:$B,E204+1))</f>
        <v/>
      </c>
      <c r="J204" t="str">
        <f>IF(E204="","",INDEX(Knutepunkter!$C:$C,E204+1))</f>
        <v/>
      </c>
      <c r="K204" t="str">
        <f>IF(E204="","",INDEX(Knutepunkter!$D:$D,E204+1))</f>
        <v/>
      </c>
      <c r="L204" t="str">
        <f t="shared" si="18"/>
        <v/>
      </c>
      <c r="M204" t="str">
        <f t="shared" si="19"/>
        <v/>
      </c>
    </row>
    <row r="205" spans="1:13" x14ac:dyDescent="0.3">
      <c r="A205" t="str">
        <f>Segmenter!A205</f>
        <v/>
      </c>
      <c r="B205" t="str">
        <f>Segmenter!B205</f>
        <v/>
      </c>
      <c r="C205" t="str">
        <f t="shared" si="15"/>
        <v/>
      </c>
      <c r="D205" t="str">
        <f t="shared" si="16"/>
        <v/>
      </c>
      <c r="E205" t="str">
        <f t="shared" si="17"/>
        <v/>
      </c>
      <c r="F205" t="str">
        <f>IF(D205="","",INDEX(Knutepunkter!$B:$B,D205+1))</f>
        <v/>
      </c>
      <c r="G205" t="str">
        <f>IF(D205="","",INDEX(Knutepunkter!$C:$C,D205+1))</f>
        <v/>
      </c>
      <c r="H205" t="str">
        <f>IF(D205="","",INDEX(Knutepunkter!$D:$D,D205+1))</f>
        <v/>
      </c>
      <c r="I205" t="str">
        <f>IF(E205="","",INDEX(Knutepunkter!$B:$B,E205+1))</f>
        <v/>
      </c>
      <c r="J205" t="str">
        <f>IF(E205="","",INDEX(Knutepunkter!$C:$C,E205+1))</f>
        <v/>
      </c>
      <c r="K205" t="str">
        <f>IF(E205="","",INDEX(Knutepunkter!$D:$D,E205+1))</f>
        <v/>
      </c>
      <c r="L205" t="str">
        <f t="shared" si="18"/>
        <v/>
      </c>
      <c r="M205" t="str">
        <f t="shared" si="19"/>
        <v/>
      </c>
    </row>
    <row r="206" spans="1:13" x14ac:dyDescent="0.3">
      <c r="A206" t="str">
        <f>Segmenter!A206</f>
        <v/>
      </c>
      <c r="B206" t="str">
        <f>Segmenter!B206</f>
        <v/>
      </c>
      <c r="C206" t="str">
        <f t="shared" si="15"/>
        <v/>
      </c>
      <c r="D206" t="str">
        <f t="shared" si="16"/>
        <v/>
      </c>
      <c r="E206" t="str">
        <f t="shared" si="17"/>
        <v/>
      </c>
      <c r="F206" t="str">
        <f>IF(D206="","",INDEX(Knutepunkter!$B:$B,D206+1))</f>
        <v/>
      </c>
      <c r="G206" t="str">
        <f>IF(D206="","",INDEX(Knutepunkter!$C:$C,D206+1))</f>
        <v/>
      </c>
      <c r="H206" t="str">
        <f>IF(D206="","",INDEX(Knutepunkter!$D:$D,D206+1))</f>
        <v/>
      </c>
      <c r="I206" t="str">
        <f>IF(E206="","",INDEX(Knutepunkter!$B:$B,E206+1))</f>
        <v/>
      </c>
      <c r="J206" t="str">
        <f>IF(E206="","",INDEX(Knutepunkter!$C:$C,E206+1))</f>
        <v/>
      </c>
      <c r="K206" t="str">
        <f>IF(E206="","",INDEX(Knutepunkter!$D:$D,E206+1))</f>
        <v/>
      </c>
      <c r="L206" t="str">
        <f t="shared" si="18"/>
        <v/>
      </c>
      <c r="M206" t="str">
        <f t="shared" si="19"/>
        <v/>
      </c>
    </row>
    <row r="207" spans="1:13" x14ac:dyDescent="0.3">
      <c r="A207" t="str">
        <f>Segmenter!A207</f>
        <v/>
      </c>
      <c r="B207" t="str">
        <f>Segmenter!B207</f>
        <v/>
      </c>
      <c r="C207" t="str">
        <f t="shared" si="15"/>
        <v/>
      </c>
      <c r="D207" t="str">
        <f t="shared" si="16"/>
        <v/>
      </c>
      <c r="E207" t="str">
        <f t="shared" si="17"/>
        <v/>
      </c>
      <c r="F207" t="str">
        <f>IF(D207="","",INDEX(Knutepunkter!$B:$B,D207+1))</f>
        <v/>
      </c>
      <c r="G207" t="str">
        <f>IF(D207="","",INDEX(Knutepunkter!$C:$C,D207+1))</f>
        <v/>
      </c>
      <c r="H207" t="str">
        <f>IF(D207="","",INDEX(Knutepunkter!$D:$D,D207+1))</f>
        <v/>
      </c>
      <c r="I207" t="str">
        <f>IF(E207="","",INDEX(Knutepunkter!$B:$B,E207+1))</f>
        <v/>
      </c>
      <c r="J207" t="str">
        <f>IF(E207="","",INDEX(Knutepunkter!$C:$C,E207+1))</f>
        <v/>
      </c>
      <c r="K207" t="str">
        <f>IF(E207="","",INDEX(Knutepunkter!$D:$D,E207+1))</f>
        <v/>
      </c>
      <c r="L207" t="str">
        <f t="shared" si="18"/>
        <v/>
      </c>
      <c r="M207" t="str">
        <f t="shared" si="19"/>
        <v/>
      </c>
    </row>
    <row r="208" spans="1:13" x14ac:dyDescent="0.3">
      <c r="A208" t="str">
        <f>Segmenter!A208</f>
        <v/>
      </c>
      <c r="B208" t="str">
        <f>Segmenter!B208</f>
        <v/>
      </c>
      <c r="C208" t="str">
        <f t="shared" si="15"/>
        <v/>
      </c>
      <c r="D208" t="str">
        <f t="shared" si="16"/>
        <v/>
      </c>
      <c r="E208" t="str">
        <f t="shared" si="17"/>
        <v/>
      </c>
      <c r="F208" t="str">
        <f>IF(D208="","",INDEX(Knutepunkter!$B:$B,D208+1))</f>
        <v/>
      </c>
      <c r="G208" t="str">
        <f>IF(D208="","",INDEX(Knutepunkter!$C:$C,D208+1))</f>
        <v/>
      </c>
      <c r="H208" t="str">
        <f>IF(D208="","",INDEX(Knutepunkter!$D:$D,D208+1))</f>
        <v/>
      </c>
      <c r="I208" t="str">
        <f>IF(E208="","",INDEX(Knutepunkter!$B:$B,E208+1))</f>
        <v/>
      </c>
      <c r="J208" t="str">
        <f>IF(E208="","",INDEX(Knutepunkter!$C:$C,E208+1))</f>
        <v/>
      </c>
      <c r="K208" t="str">
        <f>IF(E208="","",INDEX(Knutepunkter!$D:$D,E208+1))</f>
        <v/>
      </c>
      <c r="L208" t="str">
        <f t="shared" si="18"/>
        <v/>
      </c>
      <c r="M208" t="str">
        <f t="shared" si="19"/>
        <v/>
      </c>
    </row>
    <row r="209" spans="1:13" x14ac:dyDescent="0.3">
      <c r="A209" t="str">
        <f>Segmenter!A209</f>
        <v/>
      </c>
      <c r="B209" t="str">
        <f>Segmenter!B209</f>
        <v/>
      </c>
      <c r="C209" t="str">
        <f t="shared" si="15"/>
        <v/>
      </c>
      <c r="D209" t="str">
        <f t="shared" si="16"/>
        <v/>
      </c>
      <c r="E209" t="str">
        <f t="shared" si="17"/>
        <v/>
      </c>
      <c r="F209" t="str">
        <f>IF(D209="","",INDEX(Knutepunkter!$B:$B,D209+1))</f>
        <v/>
      </c>
      <c r="G209" t="str">
        <f>IF(D209="","",INDEX(Knutepunkter!$C:$C,D209+1))</f>
        <v/>
      </c>
      <c r="H209" t="str">
        <f>IF(D209="","",INDEX(Knutepunkter!$D:$D,D209+1))</f>
        <v/>
      </c>
      <c r="I209" t="str">
        <f>IF(E209="","",INDEX(Knutepunkter!$B:$B,E209+1))</f>
        <v/>
      </c>
      <c r="J209" t="str">
        <f>IF(E209="","",INDEX(Knutepunkter!$C:$C,E209+1))</f>
        <v/>
      </c>
      <c r="K209" t="str">
        <f>IF(E209="","",INDEX(Knutepunkter!$D:$D,E209+1))</f>
        <v/>
      </c>
      <c r="L209" t="str">
        <f t="shared" si="18"/>
        <v/>
      </c>
      <c r="M209" t="str">
        <f t="shared" si="19"/>
        <v/>
      </c>
    </row>
    <row r="210" spans="1:13" x14ac:dyDescent="0.3">
      <c r="A210" t="str">
        <f>Segmenter!A210</f>
        <v/>
      </c>
      <c r="B210" t="str">
        <f>Segmenter!B210</f>
        <v/>
      </c>
      <c r="C210" t="str">
        <f t="shared" si="15"/>
        <v/>
      </c>
      <c r="D210" t="str">
        <f t="shared" si="16"/>
        <v/>
      </c>
      <c r="E210" t="str">
        <f t="shared" si="17"/>
        <v/>
      </c>
      <c r="F210" t="str">
        <f>IF(D210="","",INDEX(Knutepunkter!$B:$B,D210+1))</f>
        <v/>
      </c>
      <c r="G210" t="str">
        <f>IF(D210="","",INDEX(Knutepunkter!$C:$C,D210+1))</f>
        <v/>
      </c>
      <c r="H210" t="str">
        <f>IF(D210="","",INDEX(Knutepunkter!$D:$D,D210+1))</f>
        <v/>
      </c>
      <c r="I210" t="str">
        <f>IF(E210="","",INDEX(Knutepunkter!$B:$B,E210+1))</f>
        <v/>
      </c>
      <c r="J210" t="str">
        <f>IF(E210="","",INDEX(Knutepunkter!$C:$C,E210+1))</f>
        <v/>
      </c>
      <c r="K210" t="str">
        <f>IF(E210="","",INDEX(Knutepunkter!$D:$D,E210+1))</f>
        <v/>
      </c>
      <c r="L210" t="str">
        <f t="shared" si="18"/>
        <v/>
      </c>
      <c r="M210" t="str">
        <f t="shared" si="19"/>
        <v/>
      </c>
    </row>
    <row r="211" spans="1:13" x14ac:dyDescent="0.3">
      <c r="A211" t="str">
        <f>Segmenter!A211</f>
        <v/>
      </c>
      <c r="B211" t="str">
        <f>Segmenter!B211</f>
        <v/>
      </c>
      <c r="C211" t="str">
        <f t="shared" si="15"/>
        <v/>
      </c>
      <c r="D211" t="str">
        <f t="shared" si="16"/>
        <v/>
      </c>
      <c r="E211" t="str">
        <f t="shared" si="17"/>
        <v/>
      </c>
      <c r="F211" t="str">
        <f>IF(D211="","",INDEX(Knutepunkter!$B:$B,D211+1))</f>
        <v/>
      </c>
      <c r="G211" t="str">
        <f>IF(D211="","",INDEX(Knutepunkter!$C:$C,D211+1))</f>
        <v/>
      </c>
      <c r="H211" t="str">
        <f>IF(D211="","",INDEX(Knutepunkter!$D:$D,D211+1))</f>
        <v/>
      </c>
      <c r="I211" t="str">
        <f>IF(E211="","",INDEX(Knutepunkter!$B:$B,E211+1))</f>
        <v/>
      </c>
      <c r="J211" t="str">
        <f>IF(E211="","",INDEX(Knutepunkter!$C:$C,E211+1))</f>
        <v/>
      </c>
      <c r="K211" t="str">
        <f>IF(E211="","",INDEX(Knutepunkter!$D:$D,E211+1))</f>
        <v/>
      </c>
      <c r="L211" t="str">
        <f t="shared" si="18"/>
        <v/>
      </c>
      <c r="M211" t="str">
        <f t="shared" si="19"/>
        <v/>
      </c>
    </row>
    <row r="212" spans="1:13" x14ac:dyDescent="0.3">
      <c r="A212" t="str">
        <f>Segmenter!A212</f>
        <v>S211</v>
      </c>
      <c r="B212" t="str">
        <f>Segmenter!B212</f>
        <v>232 -&gt; 233</v>
      </c>
      <c r="C212" t="str">
        <f t="shared" si="15"/>
        <v>Søyle</v>
      </c>
      <c r="D212">
        <f t="shared" si="16"/>
        <v>232</v>
      </c>
      <c r="E212">
        <f t="shared" si="17"/>
        <v>233</v>
      </c>
      <c r="F212">
        <f>IF(D212="","",INDEX(Knutepunkter!$B:$B,D212+1))</f>
        <v>12354</v>
      </c>
      <c r="G212">
        <f>IF(D212="","",INDEX(Knutepunkter!$C:$C,D212+1))</f>
        <v>0</v>
      </c>
      <c r="H212">
        <f>IF(D212="","",INDEX(Knutepunkter!$D:$D,D212+1))</f>
        <v>0</v>
      </c>
      <c r="I212">
        <f>IF(E212="","",INDEX(Knutepunkter!$B:$B,E212+1))</f>
        <v>12354</v>
      </c>
      <c r="J212">
        <f>IF(E212="","",INDEX(Knutepunkter!$C:$C,E212+1))</f>
        <v>0</v>
      </c>
      <c r="K212">
        <f>IF(E212="","",INDEX(Knutepunkter!$D:$D,E212+1))</f>
        <v>3000</v>
      </c>
      <c r="L212">
        <f t="shared" si="18"/>
        <v>3000</v>
      </c>
      <c r="M212">
        <f t="shared" si="19"/>
        <v>3</v>
      </c>
    </row>
    <row r="213" spans="1:13" x14ac:dyDescent="0.3">
      <c r="A213" t="str">
        <f>Segmenter!A213</f>
        <v>S212</v>
      </c>
      <c r="B213" t="str">
        <f>Segmenter!B213</f>
        <v>233 -&gt; 234</v>
      </c>
      <c r="C213" t="str">
        <f t="shared" si="15"/>
        <v>Søyle</v>
      </c>
      <c r="D213">
        <f t="shared" si="16"/>
        <v>233</v>
      </c>
      <c r="E213">
        <f t="shared" si="17"/>
        <v>234</v>
      </c>
      <c r="F213">
        <f>IF(D213="","",INDEX(Knutepunkter!$B:$B,D213+1))</f>
        <v>12354</v>
      </c>
      <c r="G213">
        <f>IF(D213="","",INDEX(Knutepunkter!$C:$C,D213+1))</f>
        <v>0</v>
      </c>
      <c r="H213">
        <f>IF(D213="","",INDEX(Knutepunkter!$D:$D,D213+1))</f>
        <v>3000</v>
      </c>
      <c r="I213">
        <f>IF(E213="","",INDEX(Knutepunkter!$B:$B,E213+1))</f>
        <v>12354</v>
      </c>
      <c r="J213">
        <f>IF(E213="","",INDEX(Knutepunkter!$C:$C,E213+1))</f>
        <v>0</v>
      </c>
      <c r="K213">
        <f>IF(E213="","",INDEX(Knutepunkter!$D:$D,E213+1))</f>
        <v>6000</v>
      </c>
      <c r="L213">
        <f t="shared" si="18"/>
        <v>3000</v>
      </c>
      <c r="M213">
        <f t="shared" si="19"/>
        <v>3</v>
      </c>
    </row>
    <row r="214" spans="1:13" x14ac:dyDescent="0.3">
      <c r="A214" t="str">
        <f>Segmenter!A214</f>
        <v>S213</v>
      </c>
      <c r="B214" t="str">
        <f>Segmenter!B214</f>
        <v>234 -&gt; 235</v>
      </c>
      <c r="C214" t="str">
        <f t="shared" si="15"/>
        <v>Søyle</v>
      </c>
      <c r="D214">
        <f t="shared" si="16"/>
        <v>234</v>
      </c>
      <c r="E214">
        <f t="shared" si="17"/>
        <v>235</v>
      </c>
      <c r="F214">
        <f>IF(D214="","",INDEX(Knutepunkter!$B:$B,D214+1))</f>
        <v>12354</v>
      </c>
      <c r="G214">
        <f>IF(D214="","",INDEX(Knutepunkter!$C:$C,D214+1))</f>
        <v>0</v>
      </c>
      <c r="H214">
        <f>IF(D214="","",INDEX(Knutepunkter!$D:$D,D214+1))</f>
        <v>6000</v>
      </c>
      <c r="I214">
        <f>IF(E214="","",INDEX(Knutepunkter!$B:$B,E214+1))</f>
        <v>12354</v>
      </c>
      <c r="J214">
        <f>IF(E214="","",INDEX(Knutepunkter!$C:$C,E214+1))</f>
        <v>0</v>
      </c>
      <c r="K214">
        <f>IF(E214="","",INDEX(Knutepunkter!$D:$D,E214+1))</f>
        <v>9000</v>
      </c>
      <c r="L214">
        <f t="shared" si="18"/>
        <v>3000</v>
      </c>
      <c r="M214">
        <f t="shared" si="19"/>
        <v>3</v>
      </c>
    </row>
    <row r="215" spans="1:13" x14ac:dyDescent="0.3">
      <c r="A215" t="str">
        <f>Segmenter!A215</f>
        <v>S214</v>
      </c>
      <c r="B215" t="str">
        <f>Segmenter!B215</f>
        <v>235 -&gt; 236</v>
      </c>
      <c r="C215" t="str">
        <f t="shared" si="15"/>
        <v>Søyle</v>
      </c>
      <c r="D215">
        <f t="shared" si="16"/>
        <v>235</v>
      </c>
      <c r="E215">
        <f t="shared" si="17"/>
        <v>236</v>
      </c>
      <c r="F215">
        <f>IF(D215="","",INDEX(Knutepunkter!$B:$B,D215+1))</f>
        <v>12354</v>
      </c>
      <c r="G215">
        <f>IF(D215="","",INDEX(Knutepunkter!$C:$C,D215+1))</f>
        <v>0</v>
      </c>
      <c r="H215">
        <f>IF(D215="","",INDEX(Knutepunkter!$D:$D,D215+1))</f>
        <v>9000</v>
      </c>
      <c r="I215">
        <f>IF(E215="","",INDEX(Knutepunkter!$B:$B,E215+1))</f>
        <v>12354</v>
      </c>
      <c r="J215">
        <f>IF(E215="","",INDEX(Knutepunkter!$C:$C,E215+1))</f>
        <v>0</v>
      </c>
      <c r="K215">
        <f>IF(E215="","",INDEX(Knutepunkter!$D:$D,E215+1))</f>
        <v>12000</v>
      </c>
      <c r="L215">
        <f t="shared" si="18"/>
        <v>3000</v>
      </c>
      <c r="M215">
        <f t="shared" si="19"/>
        <v>3</v>
      </c>
    </row>
    <row r="216" spans="1:13" x14ac:dyDescent="0.3">
      <c r="A216" t="str">
        <f>Segmenter!A216</f>
        <v>S215</v>
      </c>
      <c r="B216" t="str">
        <f>Segmenter!B216</f>
        <v>236 -&gt; 237</v>
      </c>
      <c r="C216" t="str">
        <f t="shared" si="15"/>
        <v>Søyle</v>
      </c>
      <c r="D216">
        <f t="shared" si="16"/>
        <v>236</v>
      </c>
      <c r="E216">
        <f t="shared" si="17"/>
        <v>237</v>
      </c>
      <c r="F216">
        <f>IF(D216="","",INDEX(Knutepunkter!$B:$B,D216+1))</f>
        <v>12354</v>
      </c>
      <c r="G216">
        <f>IF(D216="","",INDEX(Knutepunkter!$C:$C,D216+1))</f>
        <v>0</v>
      </c>
      <c r="H216">
        <f>IF(D216="","",INDEX(Knutepunkter!$D:$D,D216+1))</f>
        <v>12000</v>
      </c>
      <c r="I216">
        <f>IF(E216="","",INDEX(Knutepunkter!$B:$B,E216+1))</f>
        <v>12354</v>
      </c>
      <c r="J216">
        <f>IF(E216="","",INDEX(Knutepunkter!$C:$C,E216+1))</f>
        <v>0</v>
      </c>
      <c r="K216">
        <f>IF(E216="","",INDEX(Knutepunkter!$D:$D,E216+1))</f>
        <v>15000</v>
      </c>
      <c r="L216">
        <f t="shared" si="18"/>
        <v>3000</v>
      </c>
      <c r="M216">
        <f t="shared" si="19"/>
        <v>3</v>
      </c>
    </row>
    <row r="217" spans="1:13" x14ac:dyDescent="0.3">
      <c r="A217" t="str">
        <f>Segmenter!A217</f>
        <v>S216</v>
      </c>
      <c r="B217" t="str">
        <f>Segmenter!B217</f>
        <v>237 -&gt; 238</v>
      </c>
      <c r="C217" t="str">
        <f t="shared" si="15"/>
        <v>Søyle</v>
      </c>
      <c r="D217">
        <f t="shared" si="16"/>
        <v>237</v>
      </c>
      <c r="E217">
        <f t="shared" si="17"/>
        <v>238</v>
      </c>
      <c r="F217">
        <f>IF(D217="","",INDEX(Knutepunkter!$B:$B,D217+1))</f>
        <v>12354</v>
      </c>
      <c r="G217">
        <f>IF(D217="","",INDEX(Knutepunkter!$C:$C,D217+1))</f>
        <v>0</v>
      </c>
      <c r="H217">
        <f>IF(D217="","",INDEX(Knutepunkter!$D:$D,D217+1))</f>
        <v>15000</v>
      </c>
      <c r="I217">
        <f>IF(E217="","",INDEX(Knutepunkter!$B:$B,E217+1))</f>
        <v>12354</v>
      </c>
      <c r="J217">
        <f>IF(E217="","",INDEX(Knutepunkter!$C:$C,E217+1))</f>
        <v>0</v>
      </c>
      <c r="K217">
        <f>IF(E217="","",INDEX(Knutepunkter!$D:$D,E217+1))</f>
        <v>18000</v>
      </c>
      <c r="L217">
        <f t="shared" si="18"/>
        <v>3000</v>
      </c>
      <c r="M217">
        <f t="shared" si="19"/>
        <v>3</v>
      </c>
    </row>
    <row r="218" spans="1:13" x14ac:dyDescent="0.3">
      <c r="A218" t="str">
        <f>Segmenter!A218</f>
        <v/>
      </c>
      <c r="B218" t="str">
        <f>Segmenter!B218</f>
        <v/>
      </c>
      <c r="C218" t="str">
        <f t="shared" si="15"/>
        <v/>
      </c>
      <c r="D218" t="str">
        <f t="shared" si="16"/>
        <v/>
      </c>
      <c r="E218" t="str">
        <f t="shared" si="17"/>
        <v/>
      </c>
      <c r="F218" t="str">
        <f>IF(D218="","",INDEX(Knutepunkter!$B:$B,D218+1))</f>
        <v/>
      </c>
      <c r="G218" t="str">
        <f>IF(D218="","",INDEX(Knutepunkter!$C:$C,D218+1))</f>
        <v/>
      </c>
      <c r="H218" t="str">
        <f>IF(D218="","",INDEX(Knutepunkter!$D:$D,D218+1))</f>
        <v/>
      </c>
      <c r="I218" t="str">
        <f>IF(E218="","",INDEX(Knutepunkter!$B:$B,E218+1))</f>
        <v/>
      </c>
      <c r="J218" t="str">
        <f>IF(E218="","",INDEX(Knutepunkter!$C:$C,E218+1))</f>
        <v/>
      </c>
      <c r="K218" t="str">
        <f>IF(E218="","",INDEX(Knutepunkter!$D:$D,E218+1))</f>
        <v/>
      </c>
      <c r="L218" t="str">
        <f t="shared" si="18"/>
        <v/>
      </c>
      <c r="M218" t="str">
        <f t="shared" si="19"/>
        <v/>
      </c>
    </row>
    <row r="219" spans="1:13" x14ac:dyDescent="0.3">
      <c r="A219" t="str">
        <f>Segmenter!A219</f>
        <v/>
      </c>
      <c r="B219" t="str">
        <f>Segmenter!B219</f>
        <v/>
      </c>
      <c r="C219" t="str">
        <f t="shared" si="15"/>
        <v/>
      </c>
      <c r="D219" t="str">
        <f t="shared" si="16"/>
        <v/>
      </c>
      <c r="E219" t="str">
        <f t="shared" si="17"/>
        <v/>
      </c>
      <c r="F219" t="str">
        <f>IF(D219="","",INDEX(Knutepunkter!$B:$B,D219+1))</f>
        <v/>
      </c>
      <c r="G219" t="str">
        <f>IF(D219="","",INDEX(Knutepunkter!$C:$C,D219+1))</f>
        <v/>
      </c>
      <c r="H219" t="str">
        <f>IF(D219="","",INDEX(Knutepunkter!$D:$D,D219+1))</f>
        <v/>
      </c>
      <c r="I219" t="str">
        <f>IF(E219="","",INDEX(Knutepunkter!$B:$B,E219+1))</f>
        <v/>
      </c>
      <c r="J219" t="str">
        <f>IF(E219="","",INDEX(Knutepunkter!$C:$C,E219+1))</f>
        <v/>
      </c>
      <c r="K219" t="str">
        <f>IF(E219="","",INDEX(Knutepunkter!$D:$D,E219+1))</f>
        <v/>
      </c>
      <c r="L219" t="str">
        <f t="shared" si="18"/>
        <v/>
      </c>
      <c r="M219" t="str">
        <f t="shared" si="19"/>
        <v/>
      </c>
    </row>
    <row r="220" spans="1:13" x14ac:dyDescent="0.3">
      <c r="A220" t="str">
        <f>Segmenter!A220</f>
        <v/>
      </c>
      <c r="B220" t="str">
        <f>Segmenter!B220</f>
        <v/>
      </c>
      <c r="C220" t="str">
        <f t="shared" si="15"/>
        <v/>
      </c>
      <c r="D220" t="str">
        <f t="shared" si="16"/>
        <v/>
      </c>
      <c r="E220" t="str">
        <f t="shared" si="17"/>
        <v/>
      </c>
      <c r="F220" t="str">
        <f>IF(D220="","",INDEX(Knutepunkter!$B:$B,D220+1))</f>
        <v/>
      </c>
      <c r="G220" t="str">
        <f>IF(D220="","",INDEX(Knutepunkter!$C:$C,D220+1))</f>
        <v/>
      </c>
      <c r="H220" t="str">
        <f>IF(D220="","",INDEX(Knutepunkter!$D:$D,D220+1))</f>
        <v/>
      </c>
      <c r="I220" t="str">
        <f>IF(E220="","",INDEX(Knutepunkter!$B:$B,E220+1))</f>
        <v/>
      </c>
      <c r="J220" t="str">
        <f>IF(E220="","",INDEX(Knutepunkter!$C:$C,E220+1))</f>
        <v/>
      </c>
      <c r="K220" t="str">
        <f>IF(E220="","",INDEX(Knutepunkter!$D:$D,E220+1))</f>
        <v/>
      </c>
      <c r="L220" t="str">
        <f t="shared" si="18"/>
        <v/>
      </c>
      <c r="M220" t="str">
        <f t="shared" si="19"/>
        <v/>
      </c>
    </row>
    <row r="221" spans="1:13" x14ac:dyDescent="0.3">
      <c r="A221" t="str">
        <f>Segmenter!A221</f>
        <v/>
      </c>
      <c r="B221" t="str">
        <f>Segmenter!B221</f>
        <v/>
      </c>
      <c r="C221" t="str">
        <f t="shared" si="15"/>
        <v/>
      </c>
      <c r="D221" t="str">
        <f t="shared" si="16"/>
        <v/>
      </c>
      <c r="E221" t="str">
        <f t="shared" si="17"/>
        <v/>
      </c>
      <c r="F221" t="str">
        <f>IF(D221="","",INDEX(Knutepunkter!$B:$B,D221+1))</f>
        <v/>
      </c>
      <c r="G221" t="str">
        <f>IF(D221="","",INDEX(Knutepunkter!$C:$C,D221+1))</f>
        <v/>
      </c>
      <c r="H221" t="str">
        <f>IF(D221="","",INDEX(Knutepunkter!$D:$D,D221+1))</f>
        <v/>
      </c>
      <c r="I221" t="str">
        <f>IF(E221="","",INDEX(Knutepunkter!$B:$B,E221+1))</f>
        <v/>
      </c>
      <c r="J221" t="str">
        <f>IF(E221="","",INDEX(Knutepunkter!$C:$C,E221+1))</f>
        <v/>
      </c>
      <c r="K221" t="str">
        <f>IF(E221="","",INDEX(Knutepunkter!$D:$D,E221+1))</f>
        <v/>
      </c>
      <c r="L221" t="str">
        <f t="shared" si="18"/>
        <v/>
      </c>
      <c r="M221" t="str">
        <f t="shared" si="19"/>
        <v/>
      </c>
    </row>
    <row r="222" spans="1:13" x14ac:dyDescent="0.3">
      <c r="A222" t="str">
        <f>Segmenter!A222</f>
        <v>S221</v>
      </c>
      <c r="B222" t="str">
        <f>Segmenter!B222</f>
        <v>243 -&gt; 244</v>
      </c>
      <c r="C222" t="str">
        <f t="shared" si="15"/>
        <v>Søyle</v>
      </c>
      <c r="D222">
        <f t="shared" si="16"/>
        <v>243</v>
      </c>
      <c r="E222">
        <f t="shared" si="17"/>
        <v>244</v>
      </c>
      <c r="F222">
        <f>IF(D222="","",INDEX(Knutepunkter!$B:$B,D222+1))</f>
        <v>12354</v>
      </c>
      <c r="G222">
        <f>IF(D222="","",INDEX(Knutepunkter!$C:$C,D222+1))</f>
        <v>8000</v>
      </c>
      <c r="H222">
        <f>IF(D222="","",INDEX(Knutepunkter!$D:$D,D222+1))</f>
        <v>0</v>
      </c>
      <c r="I222">
        <f>IF(E222="","",INDEX(Knutepunkter!$B:$B,E222+1))</f>
        <v>12354</v>
      </c>
      <c r="J222">
        <f>IF(E222="","",INDEX(Knutepunkter!$C:$C,E222+1))</f>
        <v>8000</v>
      </c>
      <c r="K222">
        <f>IF(E222="","",INDEX(Knutepunkter!$D:$D,E222+1))</f>
        <v>3000</v>
      </c>
      <c r="L222">
        <f t="shared" si="18"/>
        <v>3000</v>
      </c>
      <c r="M222">
        <f t="shared" si="19"/>
        <v>3</v>
      </c>
    </row>
    <row r="223" spans="1:13" x14ac:dyDescent="0.3">
      <c r="A223" t="str">
        <f>Segmenter!A223</f>
        <v>S222</v>
      </c>
      <c r="B223" t="str">
        <f>Segmenter!B223</f>
        <v>244 -&gt; 245</v>
      </c>
      <c r="C223" t="str">
        <f t="shared" si="15"/>
        <v>Søyle</v>
      </c>
      <c r="D223">
        <f t="shared" si="16"/>
        <v>244</v>
      </c>
      <c r="E223">
        <f t="shared" si="17"/>
        <v>245</v>
      </c>
      <c r="F223">
        <f>IF(D223="","",INDEX(Knutepunkter!$B:$B,D223+1))</f>
        <v>12354</v>
      </c>
      <c r="G223">
        <f>IF(D223="","",INDEX(Knutepunkter!$C:$C,D223+1))</f>
        <v>8000</v>
      </c>
      <c r="H223">
        <f>IF(D223="","",INDEX(Knutepunkter!$D:$D,D223+1))</f>
        <v>3000</v>
      </c>
      <c r="I223">
        <f>IF(E223="","",INDEX(Knutepunkter!$B:$B,E223+1))</f>
        <v>12354</v>
      </c>
      <c r="J223">
        <f>IF(E223="","",INDEX(Knutepunkter!$C:$C,E223+1))</f>
        <v>8000</v>
      </c>
      <c r="K223">
        <f>IF(E223="","",INDEX(Knutepunkter!$D:$D,E223+1))</f>
        <v>6000</v>
      </c>
      <c r="L223">
        <f t="shared" si="18"/>
        <v>3000</v>
      </c>
      <c r="M223">
        <f t="shared" si="19"/>
        <v>3</v>
      </c>
    </row>
    <row r="224" spans="1:13" x14ac:dyDescent="0.3">
      <c r="A224" t="str">
        <f>Segmenter!A224</f>
        <v>S223</v>
      </c>
      <c r="B224" t="str">
        <f>Segmenter!B224</f>
        <v>245 -&gt; 246</v>
      </c>
      <c r="C224" t="str">
        <f t="shared" si="15"/>
        <v>Søyle</v>
      </c>
      <c r="D224">
        <f t="shared" si="16"/>
        <v>245</v>
      </c>
      <c r="E224">
        <f t="shared" si="17"/>
        <v>246</v>
      </c>
      <c r="F224">
        <f>IF(D224="","",INDEX(Knutepunkter!$B:$B,D224+1))</f>
        <v>12354</v>
      </c>
      <c r="G224">
        <f>IF(D224="","",INDEX(Knutepunkter!$C:$C,D224+1))</f>
        <v>8000</v>
      </c>
      <c r="H224">
        <f>IF(D224="","",INDEX(Knutepunkter!$D:$D,D224+1))</f>
        <v>6000</v>
      </c>
      <c r="I224">
        <f>IF(E224="","",INDEX(Knutepunkter!$B:$B,E224+1))</f>
        <v>12354</v>
      </c>
      <c r="J224">
        <f>IF(E224="","",INDEX(Knutepunkter!$C:$C,E224+1))</f>
        <v>8000</v>
      </c>
      <c r="K224">
        <f>IF(E224="","",INDEX(Knutepunkter!$D:$D,E224+1))</f>
        <v>9000</v>
      </c>
      <c r="L224">
        <f t="shared" si="18"/>
        <v>3000</v>
      </c>
      <c r="M224">
        <f t="shared" si="19"/>
        <v>3</v>
      </c>
    </row>
    <row r="225" spans="1:13" x14ac:dyDescent="0.3">
      <c r="A225" t="str">
        <f>Segmenter!A225</f>
        <v>S224</v>
      </c>
      <c r="B225" t="str">
        <f>Segmenter!B225</f>
        <v>246 -&gt; 247</v>
      </c>
      <c r="C225" t="str">
        <f t="shared" si="15"/>
        <v>Søyle</v>
      </c>
      <c r="D225">
        <f t="shared" si="16"/>
        <v>246</v>
      </c>
      <c r="E225">
        <f t="shared" si="17"/>
        <v>247</v>
      </c>
      <c r="F225">
        <f>IF(D225="","",INDEX(Knutepunkter!$B:$B,D225+1))</f>
        <v>12354</v>
      </c>
      <c r="G225">
        <f>IF(D225="","",INDEX(Knutepunkter!$C:$C,D225+1))</f>
        <v>8000</v>
      </c>
      <c r="H225">
        <f>IF(D225="","",INDEX(Knutepunkter!$D:$D,D225+1))</f>
        <v>9000</v>
      </c>
      <c r="I225">
        <f>IF(E225="","",INDEX(Knutepunkter!$B:$B,E225+1))</f>
        <v>12354</v>
      </c>
      <c r="J225">
        <f>IF(E225="","",INDEX(Knutepunkter!$C:$C,E225+1))</f>
        <v>8000</v>
      </c>
      <c r="K225">
        <f>IF(E225="","",INDEX(Knutepunkter!$D:$D,E225+1))</f>
        <v>12000</v>
      </c>
      <c r="L225">
        <f t="shared" si="18"/>
        <v>3000</v>
      </c>
      <c r="M225">
        <f t="shared" si="19"/>
        <v>3</v>
      </c>
    </row>
    <row r="226" spans="1:13" x14ac:dyDescent="0.3">
      <c r="A226" t="str">
        <f>Segmenter!A226</f>
        <v>S225</v>
      </c>
      <c r="B226" t="str">
        <f>Segmenter!B226</f>
        <v>247 -&gt; 248</v>
      </c>
      <c r="C226" t="str">
        <f t="shared" si="15"/>
        <v>Søyle</v>
      </c>
      <c r="D226">
        <f t="shared" si="16"/>
        <v>247</v>
      </c>
      <c r="E226">
        <f t="shared" si="17"/>
        <v>248</v>
      </c>
      <c r="F226">
        <f>IF(D226="","",INDEX(Knutepunkter!$B:$B,D226+1))</f>
        <v>12354</v>
      </c>
      <c r="G226">
        <f>IF(D226="","",INDEX(Knutepunkter!$C:$C,D226+1))</f>
        <v>8000</v>
      </c>
      <c r="H226">
        <f>IF(D226="","",INDEX(Knutepunkter!$D:$D,D226+1))</f>
        <v>12000</v>
      </c>
      <c r="I226">
        <f>IF(E226="","",INDEX(Knutepunkter!$B:$B,E226+1))</f>
        <v>12354</v>
      </c>
      <c r="J226">
        <f>IF(E226="","",INDEX(Knutepunkter!$C:$C,E226+1))</f>
        <v>8000</v>
      </c>
      <c r="K226">
        <f>IF(E226="","",INDEX(Knutepunkter!$D:$D,E226+1))</f>
        <v>15000</v>
      </c>
      <c r="L226">
        <f t="shared" si="18"/>
        <v>3000</v>
      </c>
      <c r="M226">
        <f t="shared" si="19"/>
        <v>3</v>
      </c>
    </row>
    <row r="227" spans="1:13" x14ac:dyDescent="0.3">
      <c r="A227" t="str">
        <f>Segmenter!A227</f>
        <v>S226</v>
      </c>
      <c r="B227" t="str">
        <f>Segmenter!B227</f>
        <v>248 -&gt; 249</v>
      </c>
      <c r="C227" t="str">
        <f t="shared" si="15"/>
        <v>Søyle</v>
      </c>
      <c r="D227">
        <f t="shared" si="16"/>
        <v>248</v>
      </c>
      <c r="E227">
        <f t="shared" si="17"/>
        <v>249</v>
      </c>
      <c r="F227">
        <f>IF(D227="","",INDEX(Knutepunkter!$B:$B,D227+1))</f>
        <v>12354</v>
      </c>
      <c r="G227">
        <f>IF(D227="","",INDEX(Knutepunkter!$C:$C,D227+1))</f>
        <v>8000</v>
      </c>
      <c r="H227">
        <f>IF(D227="","",INDEX(Knutepunkter!$D:$D,D227+1))</f>
        <v>15000</v>
      </c>
      <c r="I227">
        <f>IF(E227="","",INDEX(Knutepunkter!$B:$B,E227+1))</f>
        <v>12354</v>
      </c>
      <c r="J227">
        <f>IF(E227="","",INDEX(Knutepunkter!$C:$C,E227+1))</f>
        <v>8000</v>
      </c>
      <c r="K227">
        <f>IF(E227="","",INDEX(Knutepunkter!$D:$D,E227+1))</f>
        <v>18000</v>
      </c>
      <c r="L227">
        <f t="shared" si="18"/>
        <v>3000</v>
      </c>
      <c r="M227">
        <f t="shared" si="19"/>
        <v>3</v>
      </c>
    </row>
    <row r="228" spans="1:13" x14ac:dyDescent="0.3">
      <c r="A228" t="str">
        <f>Segmenter!A228</f>
        <v/>
      </c>
      <c r="B228" t="str">
        <f>Segmenter!B228</f>
        <v/>
      </c>
      <c r="C228" t="str">
        <f t="shared" si="15"/>
        <v/>
      </c>
      <c r="D228" t="str">
        <f t="shared" si="16"/>
        <v/>
      </c>
      <c r="E228" t="str">
        <f t="shared" si="17"/>
        <v/>
      </c>
      <c r="F228" t="str">
        <f>IF(D228="","",INDEX(Knutepunkter!$B:$B,D228+1))</f>
        <v/>
      </c>
      <c r="G228" t="str">
        <f>IF(D228="","",INDEX(Knutepunkter!$C:$C,D228+1))</f>
        <v/>
      </c>
      <c r="H228" t="str">
        <f>IF(D228="","",INDEX(Knutepunkter!$D:$D,D228+1))</f>
        <v/>
      </c>
      <c r="I228" t="str">
        <f>IF(E228="","",INDEX(Knutepunkter!$B:$B,E228+1))</f>
        <v/>
      </c>
      <c r="J228" t="str">
        <f>IF(E228="","",INDEX(Knutepunkter!$C:$C,E228+1))</f>
        <v/>
      </c>
      <c r="K228" t="str">
        <f>IF(E228="","",INDEX(Knutepunkter!$D:$D,E228+1))</f>
        <v/>
      </c>
      <c r="L228" t="str">
        <f t="shared" si="18"/>
        <v/>
      </c>
      <c r="M228" t="str">
        <f t="shared" si="19"/>
        <v/>
      </c>
    </row>
    <row r="229" spans="1:13" x14ac:dyDescent="0.3">
      <c r="A229" t="str">
        <f>Segmenter!A229</f>
        <v/>
      </c>
      <c r="B229" t="str">
        <f>Segmenter!B229</f>
        <v/>
      </c>
      <c r="C229" t="str">
        <f t="shared" si="15"/>
        <v/>
      </c>
      <c r="D229" t="str">
        <f t="shared" si="16"/>
        <v/>
      </c>
      <c r="E229" t="str">
        <f t="shared" si="17"/>
        <v/>
      </c>
      <c r="F229" t="str">
        <f>IF(D229="","",INDEX(Knutepunkter!$B:$B,D229+1))</f>
        <v/>
      </c>
      <c r="G229" t="str">
        <f>IF(D229="","",INDEX(Knutepunkter!$C:$C,D229+1))</f>
        <v/>
      </c>
      <c r="H229" t="str">
        <f>IF(D229="","",INDEX(Knutepunkter!$D:$D,D229+1))</f>
        <v/>
      </c>
      <c r="I229" t="str">
        <f>IF(E229="","",INDEX(Knutepunkter!$B:$B,E229+1))</f>
        <v/>
      </c>
      <c r="J229" t="str">
        <f>IF(E229="","",INDEX(Knutepunkter!$C:$C,E229+1))</f>
        <v/>
      </c>
      <c r="K229" t="str">
        <f>IF(E229="","",INDEX(Knutepunkter!$D:$D,E229+1))</f>
        <v/>
      </c>
      <c r="L229" t="str">
        <f t="shared" si="18"/>
        <v/>
      </c>
      <c r="M229" t="str">
        <f t="shared" si="19"/>
        <v/>
      </c>
    </row>
    <row r="230" spans="1:13" x14ac:dyDescent="0.3">
      <c r="A230" t="str">
        <f>Segmenter!A230</f>
        <v/>
      </c>
      <c r="B230" t="str">
        <f>Segmenter!B230</f>
        <v/>
      </c>
      <c r="C230" t="str">
        <f t="shared" si="15"/>
        <v/>
      </c>
      <c r="D230" t="str">
        <f t="shared" si="16"/>
        <v/>
      </c>
      <c r="E230" t="str">
        <f t="shared" si="17"/>
        <v/>
      </c>
      <c r="F230" t="str">
        <f>IF(D230="","",INDEX(Knutepunkter!$B:$B,D230+1))</f>
        <v/>
      </c>
      <c r="G230" t="str">
        <f>IF(D230="","",INDEX(Knutepunkter!$C:$C,D230+1))</f>
        <v/>
      </c>
      <c r="H230" t="str">
        <f>IF(D230="","",INDEX(Knutepunkter!$D:$D,D230+1))</f>
        <v/>
      </c>
      <c r="I230" t="str">
        <f>IF(E230="","",INDEX(Knutepunkter!$B:$B,E230+1))</f>
        <v/>
      </c>
      <c r="J230" t="str">
        <f>IF(E230="","",INDEX(Knutepunkter!$C:$C,E230+1))</f>
        <v/>
      </c>
      <c r="K230" t="str">
        <f>IF(E230="","",INDEX(Knutepunkter!$D:$D,E230+1))</f>
        <v/>
      </c>
      <c r="L230" t="str">
        <f t="shared" si="18"/>
        <v/>
      </c>
      <c r="M230" t="str">
        <f t="shared" si="19"/>
        <v/>
      </c>
    </row>
    <row r="231" spans="1:13" x14ac:dyDescent="0.3">
      <c r="A231" t="str">
        <f>Segmenter!A231</f>
        <v/>
      </c>
      <c r="B231" t="str">
        <f>Segmenter!B231</f>
        <v/>
      </c>
      <c r="C231" t="str">
        <f t="shared" si="15"/>
        <v/>
      </c>
      <c r="D231" t="str">
        <f t="shared" si="16"/>
        <v/>
      </c>
      <c r="E231" t="str">
        <f t="shared" si="17"/>
        <v/>
      </c>
      <c r="F231" t="str">
        <f>IF(D231="","",INDEX(Knutepunkter!$B:$B,D231+1))</f>
        <v/>
      </c>
      <c r="G231" t="str">
        <f>IF(D231="","",INDEX(Knutepunkter!$C:$C,D231+1))</f>
        <v/>
      </c>
      <c r="H231" t="str">
        <f>IF(D231="","",INDEX(Knutepunkter!$D:$D,D231+1))</f>
        <v/>
      </c>
      <c r="I231" t="str">
        <f>IF(E231="","",INDEX(Knutepunkter!$B:$B,E231+1))</f>
        <v/>
      </c>
      <c r="J231" t="str">
        <f>IF(E231="","",INDEX(Knutepunkter!$C:$C,E231+1))</f>
        <v/>
      </c>
      <c r="K231" t="str">
        <f>IF(E231="","",INDEX(Knutepunkter!$D:$D,E231+1))</f>
        <v/>
      </c>
      <c r="L231" t="str">
        <f t="shared" si="18"/>
        <v/>
      </c>
      <c r="M231" t="str">
        <f t="shared" si="19"/>
        <v/>
      </c>
    </row>
    <row r="232" spans="1:13" x14ac:dyDescent="0.3">
      <c r="A232" t="str">
        <f>Segmenter!A232</f>
        <v>S231</v>
      </c>
      <c r="B232" t="str">
        <f>Segmenter!B232</f>
        <v>254 -&gt; 255</v>
      </c>
      <c r="C232" t="str">
        <f t="shared" si="15"/>
        <v>Søyle</v>
      </c>
      <c r="D232">
        <f t="shared" si="16"/>
        <v>254</v>
      </c>
      <c r="E232">
        <f t="shared" si="17"/>
        <v>255</v>
      </c>
      <c r="F232">
        <f>IF(D232="","",INDEX(Knutepunkter!$B:$B,D232+1))</f>
        <v>12354</v>
      </c>
      <c r="G232">
        <f>IF(D232="","",INDEX(Knutepunkter!$C:$C,D232+1))</f>
        <v>16000</v>
      </c>
      <c r="H232">
        <f>IF(D232="","",INDEX(Knutepunkter!$D:$D,D232+1))</f>
        <v>0</v>
      </c>
      <c r="I232">
        <f>IF(E232="","",INDEX(Knutepunkter!$B:$B,E232+1))</f>
        <v>12354</v>
      </c>
      <c r="J232">
        <f>IF(E232="","",INDEX(Knutepunkter!$C:$C,E232+1))</f>
        <v>16000</v>
      </c>
      <c r="K232">
        <f>IF(E232="","",INDEX(Knutepunkter!$D:$D,E232+1))</f>
        <v>3000</v>
      </c>
      <c r="L232">
        <f t="shared" si="18"/>
        <v>3000</v>
      </c>
      <c r="M232">
        <f t="shared" si="19"/>
        <v>3</v>
      </c>
    </row>
    <row r="233" spans="1:13" x14ac:dyDescent="0.3">
      <c r="A233" t="str">
        <f>Segmenter!A233</f>
        <v>S232</v>
      </c>
      <c r="B233" t="str">
        <f>Segmenter!B233</f>
        <v>255 -&gt; 256</v>
      </c>
      <c r="C233" t="str">
        <f t="shared" si="15"/>
        <v>Søyle</v>
      </c>
      <c r="D233">
        <f t="shared" si="16"/>
        <v>255</v>
      </c>
      <c r="E233">
        <f t="shared" si="17"/>
        <v>256</v>
      </c>
      <c r="F233">
        <f>IF(D233="","",INDEX(Knutepunkter!$B:$B,D233+1))</f>
        <v>12354</v>
      </c>
      <c r="G233">
        <f>IF(D233="","",INDEX(Knutepunkter!$C:$C,D233+1))</f>
        <v>16000</v>
      </c>
      <c r="H233">
        <f>IF(D233="","",INDEX(Knutepunkter!$D:$D,D233+1))</f>
        <v>3000</v>
      </c>
      <c r="I233">
        <f>IF(E233="","",INDEX(Knutepunkter!$B:$B,E233+1))</f>
        <v>12354</v>
      </c>
      <c r="J233">
        <f>IF(E233="","",INDEX(Knutepunkter!$C:$C,E233+1))</f>
        <v>16000</v>
      </c>
      <c r="K233">
        <f>IF(E233="","",INDEX(Knutepunkter!$D:$D,E233+1))</f>
        <v>6000</v>
      </c>
      <c r="L233">
        <f t="shared" si="18"/>
        <v>3000</v>
      </c>
      <c r="M233">
        <f t="shared" si="19"/>
        <v>3</v>
      </c>
    </row>
    <row r="234" spans="1:13" x14ac:dyDescent="0.3">
      <c r="A234" t="str">
        <f>Segmenter!A234</f>
        <v>S233</v>
      </c>
      <c r="B234" t="str">
        <f>Segmenter!B234</f>
        <v>256 -&gt; 257</v>
      </c>
      <c r="C234" t="str">
        <f t="shared" si="15"/>
        <v>Søyle</v>
      </c>
      <c r="D234">
        <f t="shared" si="16"/>
        <v>256</v>
      </c>
      <c r="E234">
        <f t="shared" si="17"/>
        <v>257</v>
      </c>
      <c r="F234">
        <f>IF(D234="","",INDEX(Knutepunkter!$B:$B,D234+1))</f>
        <v>12354</v>
      </c>
      <c r="G234">
        <f>IF(D234="","",INDEX(Knutepunkter!$C:$C,D234+1))</f>
        <v>16000</v>
      </c>
      <c r="H234">
        <f>IF(D234="","",INDEX(Knutepunkter!$D:$D,D234+1))</f>
        <v>6000</v>
      </c>
      <c r="I234">
        <f>IF(E234="","",INDEX(Knutepunkter!$B:$B,E234+1))</f>
        <v>12354</v>
      </c>
      <c r="J234">
        <f>IF(E234="","",INDEX(Knutepunkter!$C:$C,E234+1))</f>
        <v>16000</v>
      </c>
      <c r="K234">
        <f>IF(E234="","",INDEX(Knutepunkter!$D:$D,E234+1))</f>
        <v>9000</v>
      </c>
      <c r="L234">
        <f t="shared" si="18"/>
        <v>3000</v>
      </c>
      <c r="M234">
        <f t="shared" si="19"/>
        <v>3</v>
      </c>
    </row>
    <row r="235" spans="1:13" x14ac:dyDescent="0.3">
      <c r="A235" t="str">
        <f>Segmenter!A235</f>
        <v>S234</v>
      </c>
      <c r="B235" t="str">
        <f>Segmenter!B235</f>
        <v>257 -&gt; 258</v>
      </c>
      <c r="C235" t="str">
        <f t="shared" si="15"/>
        <v>Søyle</v>
      </c>
      <c r="D235">
        <f t="shared" si="16"/>
        <v>257</v>
      </c>
      <c r="E235">
        <f t="shared" si="17"/>
        <v>258</v>
      </c>
      <c r="F235">
        <f>IF(D235="","",INDEX(Knutepunkter!$B:$B,D235+1))</f>
        <v>12354</v>
      </c>
      <c r="G235">
        <f>IF(D235="","",INDEX(Knutepunkter!$C:$C,D235+1))</f>
        <v>16000</v>
      </c>
      <c r="H235">
        <f>IF(D235="","",INDEX(Knutepunkter!$D:$D,D235+1))</f>
        <v>9000</v>
      </c>
      <c r="I235">
        <f>IF(E235="","",INDEX(Knutepunkter!$B:$B,E235+1))</f>
        <v>12354</v>
      </c>
      <c r="J235">
        <f>IF(E235="","",INDEX(Knutepunkter!$C:$C,E235+1))</f>
        <v>16000</v>
      </c>
      <c r="K235">
        <f>IF(E235="","",INDEX(Knutepunkter!$D:$D,E235+1))</f>
        <v>12000</v>
      </c>
      <c r="L235">
        <f t="shared" si="18"/>
        <v>3000</v>
      </c>
      <c r="M235">
        <f t="shared" si="19"/>
        <v>3</v>
      </c>
    </row>
    <row r="236" spans="1:13" x14ac:dyDescent="0.3">
      <c r="A236" t="str">
        <f>Segmenter!A236</f>
        <v>S235</v>
      </c>
      <c r="B236" t="str">
        <f>Segmenter!B236</f>
        <v>258 -&gt; 259</v>
      </c>
      <c r="C236" t="str">
        <f t="shared" si="15"/>
        <v>Søyle</v>
      </c>
      <c r="D236">
        <f t="shared" si="16"/>
        <v>258</v>
      </c>
      <c r="E236">
        <f t="shared" si="17"/>
        <v>259</v>
      </c>
      <c r="F236">
        <f>IF(D236="","",INDEX(Knutepunkter!$B:$B,D236+1))</f>
        <v>12354</v>
      </c>
      <c r="G236">
        <f>IF(D236="","",INDEX(Knutepunkter!$C:$C,D236+1))</f>
        <v>16000</v>
      </c>
      <c r="H236">
        <f>IF(D236="","",INDEX(Knutepunkter!$D:$D,D236+1))</f>
        <v>12000</v>
      </c>
      <c r="I236">
        <f>IF(E236="","",INDEX(Knutepunkter!$B:$B,E236+1))</f>
        <v>12354</v>
      </c>
      <c r="J236">
        <f>IF(E236="","",INDEX(Knutepunkter!$C:$C,E236+1))</f>
        <v>16000</v>
      </c>
      <c r="K236">
        <f>IF(E236="","",INDEX(Knutepunkter!$D:$D,E236+1))</f>
        <v>15000</v>
      </c>
      <c r="L236">
        <f t="shared" si="18"/>
        <v>3000</v>
      </c>
      <c r="M236">
        <f t="shared" si="19"/>
        <v>3</v>
      </c>
    </row>
    <row r="237" spans="1:13" x14ac:dyDescent="0.3">
      <c r="A237" t="str">
        <f>Segmenter!A237</f>
        <v>S236</v>
      </c>
      <c r="B237" t="str">
        <f>Segmenter!B237</f>
        <v>259 -&gt; 260</v>
      </c>
      <c r="C237" t="str">
        <f t="shared" si="15"/>
        <v>Søyle</v>
      </c>
      <c r="D237">
        <f t="shared" si="16"/>
        <v>259</v>
      </c>
      <c r="E237">
        <f t="shared" si="17"/>
        <v>260</v>
      </c>
      <c r="F237">
        <f>IF(D237="","",INDEX(Knutepunkter!$B:$B,D237+1))</f>
        <v>12354</v>
      </c>
      <c r="G237">
        <f>IF(D237="","",INDEX(Knutepunkter!$C:$C,D237+1))</f>
        <v>16000</v>
      </c>
      <c r="H237">
        <f>IF(D237="","",INDEX(Knutepunkter!$D:$D,D237+1))</f>
        <v>15000</v>
      </c>
      <c r="I237">
        <f>IF(E237="","",INDEX(Knutepunkter!$B:$B,E237+1))</f>
        <v>12354</v>
      </c>
      <c r="J237">
        <f>IF(E237="","",INDEX(Knutepunkter!$C:$C,E237+1))</f>
        <v>16000</v>
      </c>
      <c r="K237">
        <f>IF(E237="","",INDEX(Knutepunkter!$D:$D,E237+1))</f>
        <v>18000</v>
      </c>
      <c r="L237">
        <f t="shared" si="18"/>
        <v>3000</v>
      </c>
      <c r="M237">
        <f t="shared" si="19"/>
        <v>3</v>
      </c>
    </row>
    <row r="238" spans="1:13" x14ac:dyDescent="0.3">
      <c r="A238" t="str">
        <f>Segmenter!A238</f>
        <v/>
      </c>
      <c r="B238" t="str">
        <f>Segmenter!B238</f>
        <v/>
      </c>
      <c r="C238" t="str">
        <f t="shared" si="15"/>
        <v/>
      </c>
      <c r="D238" t="str">
        <f t="shared" si="16"/>
        <v/>
      </c>
      <c r="E238" t="str">
        <f t="shared" si="17"/>
        <v/>
      </c>
      <c r="F238" t="str">
        <f>IF(D238="","",INDEX(Knutepunkter!$B:$B,D238+1))</f>
        <v/>
      </c>
      <c r="G238" t="str">
        <f>IF(D238="","",INDEX(Knutepunkter!$C:$C,D238+1))</f>
        <v/>
      </c>
      <c r="H238" t="str">
        <f>IF(D238="","",INDEX(Knutepunkter!$D:$D,D238+1))</f>
        <v/>
      </c>
      <c r="I238" t="str">
        <f>IF(E238="","",INDEX(Knutepunkter!$B:$B,E238+1))</f>
        <v/>
      </c>
      <c r="J238" t="str">
        <f>IF(E238="","",INDEX(Knutepunkter!$C:$C,E238+1))</f>
        <v/>
      </c>
      <c r="K238" t="str">
        <f>IF(E238="","",INDEX(Knutepunkter!$D:$D,E238+1))</f>
        <v/>
      </c>
      <c r="L238" t="str">
        <f t="shared" si="18"/>
        <v/>
      </c>
      <c r="M238" t="str">
        <f t="shared" si="19"/>
        <v/>
      </c>
    </row>
    <row r="239" spans="1:13" x14ac:dyDescent="0.3">
      <c r="A239" t="str">
        <f>Segmenter!A239</f>
        <v/>
      </c>
      <c r="B239" t="str">
        <f>Segmenter!B239</f>
        <v/>
      </c>
      <c r="C239" t="str">
        <f t="shared" si="15"/>
        <v/>
      </c>
      <c r="D239" t="str">
        <f t="shared" si="16"/>
        <v/>
      </c>
      <c r="E239" t="str">
        <f t="shared" si="17"/>
        <v/>
      </c>
      <c r="F239" t="str">
        <f>IF(D239="","",INDEX(Knutepunkter!$B:$B,D239+1))</f>
        <v/>
      </c>
      <c r="G239" t="str">
        <f>IF(D239="","",INDEX(Knutepunkter!$C:$C,D239+1))</f>
        <v/>
      </c>
      <c r="H239" t="str">
        <f>IF(D239="","",INDEX(Knutepunkter!$D:$D,D239+1))</f>
        <v/>
      </c>
      <c r="I239" t="str">
        <f>IF(E239="","",INDEX(Knutepunkter!$B:$B,E239+1))</f>
        <v/>
      </c>
      <c r="J239" t="str">
        <f>IF(E239="","",INDEX(Knutepunkter!$C:$C,E239+1))</f>
        <v/>
      </c>
      <c r="K239" t="str">
        <f>IF(E239="","",INDEX(Knutepunkter!$D:$D,E239+1))</f>
        <v/>
      </c>
      <c r="L239" t="str">
        <f t="shared" si="18"/>
        <v/>
      </c>
      <c r="M239" t="str">
        <f t="shared" si="19"/>
        <v/>
      </c>
    </row>
    <row r="240" spans="1:13" x14ac:dyDescent="0.3">
      <c r="A240" t="str">
        <f>Segmenter!A240</f>
        <v/>
      </c>
      <c r="B240" t="str">
        <f>Segmenter!B240</f>
        <v/>
      </c>
      <c r="C240" t="str">
        <f t="shared" si="15"/>
        <v/>
      </c>
      <c r="D240" t="str">
        <f t="shared" si="16"/>
        <v/>
      </c>
      <c r="E240" t="str">
        <f t="shared" si="17"/>
        <v/>
      </c>
      <c r="F240" t="str">
        <f>IF(D240="","",INDEX(Knutepunkter!$B:$B,D240+1))</f>
        <v/>
      </c>
      <c r="G240" t="str">
        <f>IF(D240="","",INDEX(Knutepunkter!$C:$C,D240+1))</f>
        <v/>
      </c>
      <c r="H240" t="str">
        <f>IF(D240="","",INDEX(Knutepunkter!$D:$D,D240+1))</f>
        <v/>
      </c>
      <c r="I240" t="str">
        <f>IF(E240="","",INDEX(Knutepunkter!$B:$B,E240+1))</f>
        <v/>
      </c>
      <c r="J240" t="str">
        <f>IF(E240="","",INDEX(Knutepunkter!$C:$C,E240+1))</f>
        <v/>
      </c>
      <c r="K240" t="str">
        <f>IF(E240="","",INDEX(Knutepunkter!$D:$D,E240+1))</f>
        <v/>
      </c>
      <c r="L240" t="str">
        <f t="shared" si="18"/>
        <v/>
      </c>
      <c r="M240" t="str">
        <f t="shared" si="19"/>
        <v/>
      </c>
    </row>
    <row r="241" spans="1:13" x14ac:dyDescent="0.3">
      <c r="A241" t="str">
        <f>Segmenter!A241</f>
        <v/>
      </c>
      <c r="B241" t="str">
        <f>Segmenter!B241</f>
        <v/>
      </c>
      <c r="C241" t="str">
        <f t="shared" si="15"/>
        <v/>
      </c>
      <c r="D241" t="str">
        <f t="shared" si="16"/>
        <v/>
      </c>
      <c r="E241" t="str">
        <f t="shared" si="17"/>
        <v/>
      </c>
      <c r="F241" t="str">
        <f>IF(D241="","",INDEX(Knutepunkter!$B:$B,D241+1))</f>
        <v/>
      </c>
      <c r="G241" t="str">
        <f>IF(D241="","",INDEX(Knutepunkter!$C:$C,D241+1))</f>
        <v/>
      </c>
      <c r="H241" t="str">
        <f>IF(D241="","",INDEX(Knutepunkter!$D:$D,D241+1))</f>
        <v/>
      </c>
      <c r="I241" t="str">
        <f>IF(E241="","",INDEX(Knutepunkter!$B:$B,E241+1))</f>
        <v/>
      </c>
      <c r="J241" t="str">
        <f>IF(E241="","",INDEX(Knutepunkter!$C:$C,E241+1))</f>
        <v/>
      </c>
      <c r="K241" t="str">
        <f>IF(E241="","",INDEX(Knutepunkter!$D:$D,E241+1))</f>
        <v/>
      </c>
      <c r="L241" t="str">
        <f t="shared" si="18"/>
        <v/>
      </c>
      <c r="M241" t="str">
        <f t="shared" si="19"/>
        <v/>
      </c>
    </row>
    <row r="242" spans="1:13" x14ac:dyDescent="0.3">
      <c r="A242" t="str">
        <f>Segmenter!A242</f>
        <v>S241</v>
      </c>
      <c r="B242" t="str">
        <f>Segmenter!B242</f>
        <v>265 -&gt; 266</v>
      </c>
      <c r="C242" t="str">
        <f t="shared" si="15"/>
        <v>Søyle</v>
      </c>
      <c r="D242">
        <f t="shared" si="16"/>
        <v>265</v>
      </c>
      <c r="E242">
        <f t="shared" si="17"/>
        <v>266</v>
      </c>
      <c r="F242">
        <f>IF(D242="","",INDEX(Knutepunkter!$B:$B,D242+1))</f>
        <v>12354</v>
      </c>
      <c r="G242">
        <f>IF(D242="","",INDEX(Knutepunkter!$C:$C,D242+1))</f>
        <v>24000</v>
      </c>
      <c r="H242">
        <f>IF(D242="","",INDEX(Knutepunkter!$D:$D,D242+1))</f>
        <v>0</v>
      </c>
      <c r="I242">
        <f>IF(E242="","",INDEX(Knutepunkter!$B:$B,E242+1))</f>
        <v>12354</v>
      </c>
      <c r="J242">
        <f>IF(E242="","",INDEX(Knutepunkter!$C:$C,E242+1))</f>
        <v>24000</v>
      </c>
      <c r="K242">
        <f>IF(E242="","",INDEX(Knutepunkter!$D:$D,E242+1))</f>
        <v>3000</v>
      </c>
      <c r="L242">
        <f t="shared" si="18"/>
        <v>3000</v>
      </c>
      <c r="M242">
        <f t="shared" si="19"/>
        <v>3</v>
      </c>
    </row>
    <row r="243" spans="1:13" x14ac:dyDescent="0.3">
      <c r="A243" t="str">
        <f>Segmenter!A243</f>
        <v>S242</v>
      </c>
      <c r="B243" t="str">
        <f>Segmenter!B243</f>
        <v>266 -&gt; 267</v>
      </c>
      <c r="C243" t="str">
        <f t="shared" si="15"/>
        <v>Søyle</v>
      </c>
      <c r="D243">
        <f t="shared" si="16"/>
        <v>266</v>
      </c>
      <c r="E243">
        <f t="shared" si="17"/>
        <v>267</v>
      </c>
      <c r="F243">
        <f>IF(D243="","",INDEX(Knutepunkter!$B:$B,D243+1))</f>
        <v>12354</v>
      </c>
      <c r="G243">
        <f>IF(D243="","",INDEX(Knutepunkter!$C:$C,D243+1))</f>
        <v>24000</v>
      </c>
      <c r="H243">
        <f>IF(D243="","",INDEX(Knutepunkter!$D:$D,D243+1))</f>
        <v>3000</v>
      </c>
      <c r="I243">
        <f>IF(E243="","",INDEX(Knutepunkter!$B:$B,E243+1))</f>
        <v>12354</v>
      </c>
      <c r="J243">
        <f>IF(E243="","",INDEX(Knutepunkter!$C:$C,E243+1))</f>
        <v>24000</v>
      </c>
      <c r="K243">
        <f>IF(E243="","",INDEX(Knutepunkter!$D:$D,E243+1))</f>
        <v>6000</v>
      </c>
      <c r="L243">
        <f t="shared" si="18"/>
        <v>3000</v>
      </c>
      <c r="M243">
        <f t="shared" si="19"/>
        <v>3</v>
      </c>
    </row>
    <row r="244" spans="1:13" x14ac:dyDescent="0.3">
      <c r="A244" t="str">
        <f>Segmenter!A244</f>
        <v>S243</v>
      </c>
      <c r="B244" t="str">
        <f>Segmenter!B244</f>
        <v>267 -&gt; 268</v>
      </c>
      <c r="C244" t="str">
        <f t="shared" si="15"/>
        <v>Søyle</v>
      </c>
      <c r="D244">
        <f t="shared" si="16"/>
        <v>267</v>
      </c>
      <c r="E244">
        <f t="shared" si="17"/>
        <v>268</v>
      </c>
      <c r="F244">
        <f>IF(D244="","",INDEX(Knutepunkter!$B:$B,D244+1))</f>
        <v>12354</v>
      </c>
      <c r="G244">
        <f>IF(D244="","",INDEX(Knutepunkter!$C:$C,D244+1))</f>
        <v>24000</v>
      </c>
      <c r="H244">
        <f>IF(D244="","",INDEX(Knutepunkter!$D:$D,D244+1))</f>
        <v>6000</v>
      </c>
      <c r="I244">
        <f>IF(E244="","",INDEX(Knutepunkter!$B:$B,E244+1))</f>
        <v>12354</v>
      </c>
      <c r="J244">
        <f>IF(E244="","",INDEX(Knutepunkter!$C:$C,E244+1))</f>
        <v>24000</v>
      </c>
      <c r="K244">
        <f>IF(E244="","",INDEX(Knutepunkter!$D:$D,E244+1))</f>
        <v>9000</v>
      </c>
      <c r="L244">
        <f t="shared" si="18"/>
        <v>3000</v>
      </c>
      <c r="M244">
        <f t="shared" si="19"/>
        <v>3</v>
      </c>
    </row>
    <row r="245" spans="1:13" x14ac:dyDescent="0.3">
      <c r="A245" t="str">
        <f>Segmenter!A245</f>
        <v>S244</v>
      </c>
      <c r="B245" t="str">
        <f>Segmenter!B245</f>
        <v>268 -&gt; 269</v>
      </c>
      <c r="C245" t="str">
        <f t="shared" si="15"/>
        <v>Søyle</v>
      </c>
      <c r="D245">
        <f t="shared" si="16"/>
        <v>268</v>
      </c>
      <c r="E245">
        <f t="shared" si="17"/>
        <v>269</v>
      </c>
      <c r="F245">
        <f>IF(D245="","",INDEX(Knutepunkter!$B:$B,D245+1))</f>
        <v>12354</v>
      </c>
      <c r="G245">
        <f>IF(D245="","",INDEX(Knutepunkter!$C:$C,D245+1))</f>
        <v>24000</v>
      </c>
      <c r="H245">
        <f>IF(D245="","",INDEX(Knutepunkter!$D:$D,D245+1))</f>
        <v>9000</v>
      </c>
      <c r="I245">
        <f>IF(E245="","",INDEX(Knutepunkter!$B:$B,E245+1))</f>
        <v>12354</v>
      </c>
      <c r="J245">
        <f>IF(E245="","",INDEX(Knutepunkter!$C:$C,E245+1))</f>
        <v>24000</v>
      </c>
      <c r="K245">
        <f>IF(E245="","",INDEX(Knutepunkter!$D:$D,E245+1))</f>
        <v>12000</v>
      </c>
      <c r="L245">
        <f t="shared" si="18"/>
        <v>3000</v>
      </c>
      <c r="M245">
        <f t="shared" si="19"/>
        <v>3</v>
      </c>
    </row>
    <row r="246" spans="1:13" x14ac:dyDescent="0.3">
      <c r="A246" t="str">
        <f>Segmenter!A246</f>
        <v>S245</v>
      </c>
      <c r="B246" t="str">
        <f>Segmenter!B246</f>
        <v>269 -&gt; 270</v>
      </c>
      <c r="C246" t="str">
        <f t="shared" si="15"/>
        <v>Søyle</v>
      </c>
      <c r="D246">
        <f t="shared" si="16"/>
        <v>269</v>
      </c>
      <c r="E246">
        <f t="shared" si="17"/>
        <v>270</v>
      </c>
      <c r="F246">
        <f>IF(D246="","",INDEX(Knutepunkter!$B:$B,D246+1))</f>
        <v>12354</v>
      </c>
      <c r="G246">
        <f>IF(D246="","",INDEX(Knutepunkter!$C:$C,D246+1))</f>
        <v>24000</v>
      </c>
      <c r="H246">
        <f>IF(D246="","",INDEX(Knutepunkter!$D:$D,D246+1))</f>
        <v>12000</v>
      </c>
      <c r="I246">
        <f>IF(E246="","",INDEX(Knutepunkter!$B:$B,E246+1))</f>
        <v>12354</v>
      </c>
      <c r="J246">
        <f>IF(E246="","",INDEX(Knutepunkter!$C:$C,E246+1))</f>
        <v>24000</v>
      </c>
      <c r="K246">
        <f>IF(E246="","",INDEX(Knutepunkter!$D:$D,E246+1))</f>
        <v>15000</v>
      </c>
      <c r="L246">
        <f t="shared" si="18"/>
        <v>3000</v>
      </c>
      <c r="M246">
        <f t="shared" si="19"/>
        <v>3</v>
      </c>
    </row>
    <row r="247" spans="1:13" x14ac:dyDescent="0.3">
      <c r="A247" t="str">
        <f>Segmenter!A247</f>
        <v>S246</v>
      </c>
      <c r="B247" t="str">
        <f>Segmenter!B247</f>
        <v>270 -&gt; 271</v>
      </c>
      <c r="C247" t="str">
        <f t="shared" si="15"/>
        <v>Søyle</v>
      </c>
      <c r="D247">
        <f t="shared" si="16"/>
        <v>270</v>
      </c>
      <c r="E247">
        <f t="shared" si="17"/>
        <v>271</v>
      </c>
      <c r="F247">
        <f>IF(D247="","",INDEX(Knutepunkter!$B:$B,D247+1))</f>
        <v>12354</v>
      </c>
      <c r="G247">
        <f>IF(D247="","",INDEX(Knutepunkter!$C:$C,D247+1))</f>
        <v>24000</v>
      </c>
      <c r="H247">
        <f>IF(D247="","",INDEX(Knutepunkter!$D:$D,D247+1))</f>
        <v>15000</v>
      </c>
      <c r="I247">
        <f>IF(E247="","",INDEX(Knutepunkter!$B:$B,E247+1))</f>
        <v>12354</v>
      </c>
      <c r="J247">
        <f>IF(E247="","",INDEX(Knutepunkter!$C:$C,E247+1))</f>
        <v>24000</v>
      </c>
      <c r="K247">
        <f>IF(E247="","",INDEX(Knutepunkter!$D:$D,E247+1))</f>
        <v>18000</v>
      </c>
      <c r="L247">
        <f t="shared" si="18"/>
        <v>3000</v>
      </c>
      <c r="M247">
        <f t="shared" si="19"/>
        <v>3</v>
      </c>
    </row>
    <row r="248" spans="1:13" x14ac:dyDescent="0.3">
      <c r="A248" t="str">
        <f>Segmenter!A248</f>
        <v/>
      </c>
      <c r="B248" t="str">
        <f>Segmenter!B248</f>
        <v/>
      </c>
      <c r="C248" t="str">
        <f t="shared" si="15"/>
        <v/>
      </c>
      <c r="D248" t="str">
        <f t="shared" si="16"/>
        <v/>
      </c>
      <c r="E248" t="str">
        <f t="shared" si="17"/>
        <v/>
      </c>
      <c r="F248" t="str">
        <f>IF(D248="","",INDEX(Knutepunkter!$B:$B,D248+1))</f>
        <v/>
      </c>
      <c r="G248" t="str">
        <f>IF(D248="","",INDEX(Knutepunkter!$C:$C,D248+1))</f>
        <v/>
      </c>
      <c r="H248" t="str">
        <f>IF(D248="","",INDEX(Knutepunkter!$D:$D,D248+1))</f>
        <v/>
      </c>
      <c r="I248" t="str">
        <f>IF(E248="","",INDEX(Knutepunkter!$B:$B,E248+1))</f>
        <v/>
      </c>
      <c r="J248" t="str">
        <f>IF(E248="","",INDEX(Knutepunkter!$C:$C,E248+1))</f>
        <v/>
      </c>
      <c r="K248" t="str">
        <f>IF(E248="","",INDEX(Knutepunkter!$D:$D,E248+1))</f>
        <v/>
      </c>
      <c r="L248" t="str">
        <f t="shared" si="18"/>
        <v/>
      </c>
      <c r="M248" t="str">
        <f t="shared" si="19"/>
        <v/>
      </c>
    </row>
    <row r="249" spans="1:13" x14ac:dyDescent="0.3">
      <c r="A249" t="str">
        <f>Segmenter!A249</f>
        <v/>
      </c>
      <c r="B249" t="str">
        <f>Segmenter!B249</f>
        <v/>
      </c>
      <c r="C249" t="str">
        <f t="shared" si="15"/>
        <v/>
      </c>
      <c r="D249" t="str">
        <f t="shared" si="16"/>
        <v/>
      </c>
      <c r="E249" t="str">
        <f t="shared" si="17"/>
        <v/>
      </c>
      <c r="F249" t="str">
        <f>IF(D249="","",INDEX(Knutepunkter!$B:$B,D249+1))</f>
        <v/>
      </c>
      <c r="G249" t="str">
        <f>IF(D249="","",INDEX(Knutepunkter!$C:$C,D249+1))</f>
        <v/>
      </c>
      <c r="H249" t="str">
        <f>IF(D249="","",INDEX(Knutepunkter!$D:$D,D249+1))</f>
        <v/>
      </c>
      <c r="I249" t="str">
        <f>IF(E249="","",INDEX(Knutepunkter!$B:$B,E249+1))</f>
        <v/>
      </c>
      <c r="J249" t="str">
        <f>IF(E249="","",INDEX(Knutepunkter!$C:$C,E249+1))</f>
        <v/>
      </c>
      <c r="K249" t="str">
        <f>IF(E249="","",INDEX(Knutepunkter!$D:$D,E249+1))</f>
        <v/>
      </c>
      <c r="L249" t="str">
        <f t="shared" si="18"/>
        <v/>
      </c>
      <c r="M249" t="str">
        <f t="shared" si="19"/>
        <v/>
      </c>
    </row>
    <row r="250" spans="1:13" x14ac:dyDescent="0.3">
      <c r="A250" t="str">
        <f>Segmenter!A250</f>
        <v/>
      </c>
      <c r="B250" t="str">
        <f>Segmenter!B250</f>
        <v/>
      </c>
      <c r="C250" t="str">
        <f t="shared" si="15"/>
        <v/>
      </c>
      <c r="D250" t="str">
        <f t="shared" si="16"/>
        <v/>
      </c>
      <c r="E250" t="str">
        <f t="shared" si="17"/>
        <v/>
      </c>
      <c r="F250" t="str">
        <f>IF(D250="","",INDEX(Knutepunkter!$B:$B,D250+1))</f>
        <v/>
      </c>
      <c r="G250" t="str">
        <f>IF(D250="","",INDEX(Knutepunkter!$C:$C,D250+1))</f>
        <v/>
      </c>
      <c r="H250" t="str">
        <f>IF(D250="","",INDEX(Knutepunkter!$D:$D,D250+1))</f>
        <v/>
      </c>
      <c r="I250" t="str">
        <f>IF(E250="","",INDEX(Knutepunkter!$B:$B,E250+1))</f>
        <v/>
      </c>
      <c r="J250" t="str">
        <f>IF(E250="","",INDEX(Knutepunkter!$C:$C,E250+1))</f>
        <v/>
      </c>
      <c r="K250" t="str">
        <f>IF(E250="","",INDEX(Knutepunkter!$D:$D,E250+1))</f>
        <v/>
      </c>
      <c r="L250" t="str">
        <f t="shared" si="18"/>
        <v/>
      </c>
      <c r="M250" t="str">
        <f t="shared" si="19"/>
        <v/>
      </c>
    </row>
    <row r="251" spans="1:13" x14ac:dyDescent="0.3">
      <c r="A251" t="str">
        <f>Segmenter!A251</f>
        <v/>
      </c>
      <c r="B251" t="str">
        <f>Segmenter!B251</f>
        <v/>
      </c>
      <c r="C251" t="str">
        <f t="shared" si="15"/>
        <v/>
      </c>
      <c r="D251" t="str">
        <f t="shared" si="16"/>
        <v/>
      </c>
      <c r="E251" t="str">
        <f t="shared" si="17"/>
        <v/>
      </c>
      <c r="F251" t="str">
        <f>IF(D251="","",INDEX(Knutepunkter!$B:$B,D251+1))</f>
        <v/>
      </c>
      <c r="G251" t="str">
        <f>IF(D251="","",INDEX(Knutepunkter!$C:$C,D251+1))</f>
        <v/>
      </c>
      <c r="H251" t="str">
        <f>IF(D251="","",INDEX(Knutepunkter!$D:$D,D251+1))</f>
        <v/>
      </c>
      <c r="I251" t="str">
        <f>IF(E251="","",INDEX(Knutepunkter!$B:$B,E251+1))</f>
        <v/>
      </c>
      <c r="J251" t="str">
        <f>IF(E251="","",INDEX(Knutepunkter!$C:$C,E251+1))</f>
        <v/>
      </c>
      <c r="K251" t="str">
        <f>IF(E251="","",INDEX(Knutepunkter!$D:$D,E251+1))</f>
        <v/>
      </c>
      <c r="L251" t="str">
        <f t="shared" si="18"/>
        <v/>
      </c>
      <c r="M251" t="str">
        <f t="shared" si="19"/>
        <v/>
      </c>
    </row>
    <row r="252" spans="1:13" x14ac:dyDescent="0.3">
      <c r="A252" t="str">
        <f>Segmenter!A252</f>
        <v>S251</v>
      </c>
      <c r="B252" t="str">
        <f>Segmenter!B252</f>
        <v>276 -&gt; 277</v>
      </c>
      <c r="C252" t="str">
        <f t="shared" si="15"/>
        <v>Søyle</v>
      </c>
      <c r="D252">
        <f t="shared" si="16"/>
        <v>276</v>
      </c>
      <c r="E252">
        <f t="shared" si="17"/>
        <v>277</v>
      </c>
      <c r="F252">
        <f>IF(D252="","",INDEX(Knutepunkter!$B:$B,D252+1))</f>
        <v>12354</v>
      </c>
      <c r="G252">
        <f>IF(D252="","",INDEX(Knutepunkter!$C:$C,D252+1))</f>
        <v>32000</v>
      </c>
      <c r="H252">
        <f>IF(D252="","",INDEX(Knutepunkter!$D:$D,D252+1))</f>
        <v>0</v>
      </c>
      <c r="I252">
        <f>IF(E252="","",INDEX(Knutepunkter!$B:$B,E252+1))</f>
        <v>12354</v>
      </c>
      <c r="J252">
        <f>IF(E252="","",INDEX(Knutepunkter!$C:$C,E252+1))</f>
        <v>32000</v>
      </c>
      <c r="K252">
        <f>IF(E252="","",INDEX(Knutepunkter!$D:$D,E252+1))</f>
        <v>3000</v>
      </c>
      <c r="L252">
        <f t="shared" si="18"/>
        <v>3000</v>
      </c>
      <c r="M252">
        <f t="shared" si="19"/>
        <v>3</v>
      </c>
    </row>
    <row r="253" spans="1:13" x14ac:dyDescent="0.3">
      <c r="A253" t="str">
        <f>Segmenter!A253</f>
        <v>S252</v>
      </c>
      <c r="B253" t="str">
        <f>Segmenter!B253</f>
        <v>277 -&gt; 278</v>
      </c>
      <c r="C253" t="str">
        <f t="shared" si="15"/>
        <v>Søyle</v>
      </c>
      <c r="D253">
        <f t="shared" si="16"/>
        <v>277</v>
      </c>
      <c r="E253">
        <f t="shared" si="17"/>
        <v>278</v>
      </c>
      <c r="F253">
        <f>IF(D253="","",INDEX(Knutepunkter!$B:$B,D253+1))</f>
        <v>12354</v>
      </c>
      <c r="G253">
        <f>IF(D253="","",INDEX(Knutepunkter!$C:$C,D253+1))</f>
        <v>32000</v>
      </c>
      <c r="H253">
        <f>IF(D253="","",INDEX(Knutepunkter!$D:$D,D253+1))</f>
        <v>3000</v>
      </c>
      <c r="I253">
        <f>IF(E253="","",INDEX(Knutepunkter!$B:$B,E253+1))</f>
        <v>12354</v>
      </c>
      <c r="J253">
        <f>IF(E253="","",INDEX(Knutepunkter!$C:$C,E253+1))</f>
        <v>32000</v>
      </c>
      <c r="K253">
        <f>IF(E253="","",INDEX(Knutepunkter!$D:$D,E253+1))</f>
        <v>6000</v>
      </c>
      <c r="L253">
        <f t="shared" si="18"/>
        <v>3000</v>
      </c>
      <c r="M253">
        <f t="shared" si="19"/>
        <v>3</v>
      </c>
    </row>
    <row r="254" spans="1:13" x14ac:dyDescent="0.3">
      <c r="A254" t="str">
        <f>Segmenter!A254</f>
        <v>S253</v>
      </c>
      <c r="B254" t="str">
        <f>Segmenter!B254</f>
        <v>278 -&gt; 279</v>
      </c>
      <c r="C254" t="str">
        <f t="shared" si="15"/>
        <v>Søyle</v>
      </c>
      <c r="D254">
        <f t="shared" si="16"/>
        <v>278</v>
      </c>
      <c r="E254">
        <f t="shared" si="17"/>
        <v>279</v>
      </c>
      <c r="F254">
        <f>IF(D254="","",INDEX(Knutepunkter!$B:$B,D254+1))</f>
        <v>12354</v>
      </c>
      <c r="G254">
        <f>IF(D254="","",INDEX(Knutepunkter!$C:$C,D254+1))</f>
        <v>32000</v>
      </c>
      <c r="H254">
        <f>IF(D254="","",INDEX(Knutepunkter!$D:$D,D254+1))</f>
        <v>6000</v>
      </c>
      <c r="I254">
        <f>IF(E254="","",INDEX(Knutepunkter!$B:$B,E254+1))</f>
        <v>12354</v>
      </c>
      <c r="J254">
        <f>IF(E254="","",INDEX(Knutepunkter!$C:$C,E254+1))</f>
        <v>32000</v>
      </c>
      <c r="K254">
        <f>IF(E254="","",INDEX(Knutepunkter!$D:$D,E254+1))</f>
        <v>9000</v>
      </c>
      <c r="L254">
        <f t="shared" si="18"/>
        <v>3000</v>
      </c>
      <c r="M254">
        <f t="shared" si="19"/>
        <v>3</v>
      </c>
    </row>
    <row r="255" spans="1:13" x14ac:dyDescent="0.3">
      <c r="A255" t="str">
        <f>Segmenter!A255</f>
        <v>S254</v>
      </c>
      <c r="B255" t="str">
        <f>Segmenter!B255</f>
        <v>279 -&gt; 280</v>
      </c>
      <c r="C255" t="str">
        <f t="shared" si="15"/>
        <v>Søyle</v>
      </c>
      <c r="D255">
        <f t="shared" si="16"/>
        <v>279</v>
      </c>
      <c r="E255">
        <f t="shared" si="17"/>
        <v>280</v>
      </c>
      <c r="F255">
        <f>IF(D255="","",INDEX(Knutepunkter!$B:$B,D255+1))</f>
        <v>12354</v>
      </c>
      <c r="G255">
        <f>IF(D255="","",INDEX(Knutepunkter!$C:$C,D255+1))</f>
        <v>32000</v>
      </c>
      <c r="H255">
        <f>IF(D255="","",INDEX(Knutepunkter!$D:$D,D255+1))</f>
        <v>9000</v>
      </c>
      <c r="I255">
        <f>IF(E255="","",INDEX(Knutepunkter!$B:$B,E255+1))</f>
        <v>12354</v>
      </c>
      <c r="J255">
        <f>IF(E255="","",INDEX(Knutepunkter!$C:$C,E255+1))</f>
        <v>32000</v>
      </c>
      <c r="K255">
        <f>IF(E255="","",INDEX(Knutepunkter!$D:$D,E255+1))</f>
        <v>12000</v>
      </c>
      <c r="L255">
        <f t="shared" si="18"/>
        <v>3000</v>
      </c>
      <c r="M255">
        <f t="shared" si="19"/>
        <v>3</v>
      </c>
    </row>
    <row r="256" spans="1:13" x14ac:dyDescent="0.3">
      <c r="A256" t="str">
        <f>Segmenter!A256</f>
        <v>S255</v>
      </c>
      <c r="B256" t="str">
        <f>Segmenter!B256</f>
        <v>280 -&gt; 281</v>
      </c>
      <c r="C256" t="str">
        <f t="shared" si="15"/>
        <v>Søyle</v>
      </c>
      <c r="D256">
        <f t="shared" si="16"/>
        <v>280</v>
      </c>
      <c r="E256">
        <f t="shared" si="17"/>
        <v>281</v>
      </c>
      <c r="F256">
        <f>IF(D256="","",INDEX(Knutepunkter!$B:$B,D256+1))</f>
        <v>12354</v>
      </c>
      <c r="G256">
        <f>IF(D256="","",INDEX(Knutepunkter!$C:$C,D256+1))</f>
        <v>32000</v>
      </c>
      <c r="H256">
        <f>IF(D256="","",INDEX(Knutepunkter!$D:$D,D256+1))</f>
        <v>12000</v>
      </c>
      <c r="I256">
        <f>IF(E256="","",INDEX(Knutepunkter!$B:$B,E256+1))</f>
        <v>12354</v>
      </c>
      <c r="J256">
        <f>IF(E256="","",INDEX(Knutepunkter!$C:$C,E256+1))</f>
        <v>32000</v>
      </c>
      <c r="K256">
        <f>IF(E256="","",INDEX(Knutepunkter!$D:$D,E256+1))</f>
        <v>15000</v>
      </c>
      <c r="L256">
        <f t="shared" si="18"/>
        <v>3000</v>
      </c>
      <c r="M256">
        <f t="shared" si="19"/>
        <v>3</v>
      </c>
    </row>
    <row r="257" spans="1:13" x14ac:dyDescent="0.3">
      <c r="A257" t="str">
        <f>Segmenter!A257</f>
        <v>S256</v>
      </c>
      <c r="B257" t="str">
        <f>Segmenter!B257</f>
        <v>281 -&gt; 282</v>
      </c>
      <c r="C257" t="str">
        <f t="shared" si="15"/>
        <v>Søyle</v>
      </c>
      <c r="D257">
        <f t="shared" si="16"/>
        <v>281</v>
      </c>
      <c r="E257">
        <f t="shared" si="17"/>
        <v>282</v>
      </c>
      <c r="F257">
        <f>IF(D257="","",INDEX(Knutepunkter!$B:$B,D257+1))</f>
        <v>12354</v>
      </c>
      <c r="G257">
        <f>IF(D257="","",INDEX(Knutepunkter!$C:$C,D257+1))</f>
        <v>32000</v>
      </c>
      <c r="H257">
        <f>IF(D257="","",INDEX(Knutepunkter!$D:$D,D257+1))</f>
        <v>15000</v>
      </c>
      <c r="I257">
        <f>IF(E257="","",INDEX(Knutepunkter!$B:$B,E257+1))</f>
        <v>12354</v>
      </c>
      <c r="J257">
        <f>IF(E257="","",INDEX(Knutepunkter!$C:$C,E257+1))</f>
        <v>32000</v>
      </c>
      <c r="K257">
        <f>IF(E257="","",INDEX(Knutepunkter!$D:$D,E257+1))</f>
        <v>18000</v>
      </c>
      <c r="L257">
        <f t="shared" si="18"/>
        <v>3000</v>
      </c>
      <c r="M257">
        <f t="shared" si="19"/>
        <v>3</v>
      </c>
    </row>
    <row r="258" spans="1:13" x14ac:dyDescent="0.3">
      <c r="A258" t="str">
        <f>Segmenter!A258</f>
        <v/>
      </c>
      <c r="B258" t="str">
        <f>Segmenter!B258</f>
        <v/>
      </c>
      <c r="C258" t="str">
        <f t="shared" ref="C258:C321" si="20">IF(B258="","",IF(AND(F258=I258,G258=J258,H258&lt;&gt;K258),"Søyle","Bjelke"))</f>
        <v/>
      </c>
      <c r="D258" t="str">
        <f t="shared" ref="D258:D321" si="21">IF(B258="","",VALUE(LEFT(B258,FIND(" -&gt; ",B258)-1)))</f>
        <v/>
      </c>
      <c r="E258" t="str">
        <f t="shared" ref="E258:E321" si="22">IF(B258="","",VALUE(MID(B258,FIND(" -&gt; ",B258)+4,99)))</f>
        <v/>
      </c>
      <c r="F258" t="str">
        <f>IF(D258="","",INDEX(Knutepunkter!$B:$B,D258+1))</f>
        <v/>
      </c>
      <c r="G258" t="str">
        <f>IF(D258="","",INDEX(Knutepunkter!$C:$C,D258+1))</f>
        <v/>
      </c>
      <c r="H258" t="str">
        <f>IF(D258="","",INDEX(Knutepunkter!$D:$D,D258+1))</f>
        <v/>
      </c>
      <c r="I258" t="str">
        <f>IF(E258="","",INDEX(Knutepunkter!$B:$B,E258+1))</f>
        <v/>
      </c>
      <c r="J258" t="str">
        <f>IF(E258="","",INDEX(Knutepunkter!$C:$C,E258+1))</f>
        <v/>
      </c>
      <c r="K258" t="str">
        <f>IF(E258="","",INDEX(Knutepunkter!$D:$D,E258+1))</f>
        <v/>
      </c>
      <c r="L258" t="str">
        <f t="shared" ref="L258:L321" si="23">IF(B258="","",SQRT((I258-F258)^2+(J258-G258)^2+(K258-H258)^2))</f>
        <v/>
      </c>
      <c r="M258" t="str">
        <f t="shared" ref="M258:M321" si="24">IF(L258="","",L258/1000)</f>
        <v/>
      </c>
    </row>
    <row r="259" spans="1:13" x14ac:dyDescent="0.3">
      <c r="A259" t="str">
        <f>Segmenter!A259</f>
        <v/>
      </c>
      <c r="B259" t="str">
        <f>Segmenter!B259</f>
        <v/>
      </c>
      <c r="C259" t="str">
        <f t="shared" si="20"/>
        <v/>
      </c>
      <c r="D259" t="str">
        <f t="shared" si="21"/>
        <v/>
      </c>
      <c r="E259" t="str">
        <f t="shared" si="22"/>
        <v/>
      </c>
      <c r="F259" t="str">
        <f>IF(D259="","",INDEX(Knutepunkter!$B:$B,D259+1))</f>
        <v/>
      </c>
      <c r="G259" t="str">
        <f>IF(D259="","",INDEX(Knutepunkter!$C:$C,D259+1))</f>
        <v/>
      </c>
      <c r="H259" t="str">
        <f>IF(D259="","",INDEX(Knutepunkter!$D:$D,D259+1))</f>
        <v/>
      </c>
      <c r="I259" t="str">
        <f>IF(E259="","",INDEX(Knutepunkter!$B:$B,E259+1))</f>
        <v/>
      </c>
      <c r="J259" t="str">
        <f>IF(E259="","",INDEX(Knutepunkter!$C:$C,E259+1))</f>
        <v/>
      </c>
      <c r="K259" t="str">
        <f>IF(E259="","",INDEX(Knutepunkter!$D:$D,E259+1))</f>
        <v/>
      </c>
      <c r="L259" t="str">
        <f t="shared" si="23"/>
        <v/>
      </c>
      <c r="M259" t="str">
        <f t="shared" si="24"/>
        <v/>
      </c>
    </row>
    <row r="260" spans="1:13" x14ac:dyDescent="0.3">
      <c r="A260" t="str">
        <f>Segmenter!A260</f>
        <v/>
      </c>
      <c r="B260" t="str">
        <f>Segmenter!B260</f>
        <v/>
      </c>
      <c r="C260" t="str">
        <f t="shared" si="20"/>
        <v/>
      </c>
      <c r="D260" t="str">
        <f t="shared" si="21"/>
        <v/>
      </c>
      <c r="E260" t="str">
        <f t="shared" si="22"/>
        <v/>
      </c>
      <c r="F260" t="str">
        <f>IF(D260="","",INDEX(Knutepunkter!$B:$B,D260+1))</f>
        <v/>
      </c>
      <c r="G260" t="str">
        <f>IF(D260="","",INDEX(Knutepunkter!$C:$C,D260+1))</f>
        <v/>
      </c>
      <c r="H260" t="str">
        <f>IF(D260="","",INDEX(Knutepunkter!$D:$D,D260+1))</f>
        <v/>
      </c>
      <c r="I260" t="str">
        <f>IF(E260="","",INDEX(Knutepunkter!$B:$B,E260+1))</f>
        <v/>
      </c>
      <c r="J260" t="str">
        <f>IF(E260="","",INDEX(Knutepunkter!$C:$C,E260+1))</f>
        <v/>
      </c>
      <c r="K260" t="str">
        <f>IF(E260="","",INDEX(Knutepunkter!$D:$D,E260+1))</f>
        <v/>
      </c>
      <c r="L260" t="str">
        <f t="shared" si="23"/>
        <v/>
      </c>
      <c r="M260" t="str">
        <f t="shared" si="24"/>
        <v/>
      </c>
    </row>
    <row r="261" spans="1:13" x14ac:dyDescent="0.3">
      <c r="A261" t="str">
        <f>Segmenter!A261</f>
        <v/>
      </c>
      <c r="B261" t="str">
        <f>Segmenter!B261</f>
        <v/>
      </c>
      <c r="C261" t="str">
        <f t="shared" si="20"/>
        <v/>
      </c>
      <c r="D261" t="str">
        <f t="shared" si="21"/>
        <v/>
      </c>
      <c r="E261" t="str">
        <f t="shared" si="22"/>
        <v/>
      </c>
      <c r="F261" t="str">
        <f>IF(D261="","",INDEX(Knutepunkter!$B:$B,D261+1))</f>
        <v/>
      </c>
      <c r="G261" t="str">
        <f>IF(D261="","",INDEX(Knutepunkter!$C:$C,D261+1))</f>
        <v/>
      </c>
      <c r="H261" t="str">
        <f>IF(D261="","",INDEX(Knutepunkter!$D:$D,D261+1))</f>
        <v/>
      </c>
      <c r="I261" t="str">
        <f>IF(E261="","",INDEX(Knutepunkter!$B:$B,E261+1))</f>
        <v/>
      </c>
      <c r="J261" t="str">
        <f>IF(E261="","",INDEX(Knutepunkter!$C:$C,E261+1))</f>
        <v/>
      </c>
      <c r="K261" t="str">
        <f>IF(E261="","",INDEX(Knutepunkter!$D:$D,E261+1))</f>
        <v/>
      </c>
      <c r="L261" t="str">
        <f t="shared" si="23"/>
        <v/>
      </c>
      <c r="M261" t="str">
        <f t="shared" si="24"/>
        <v/>
      </c>
    </row>
    <row r="262" spans="1:13" x14ac:dyDescent="0.3">
      <c r="A262" t="str">
        <f>Segmenter!A262</f>
        <v/>
      </c>
      <c r="B262" t="str">
        <f>Segmenter!B262</f>
        <v/>
      </c>
      <c r="C262" t="str">
        <f t="shared" si="20"/>
        <v/>
      </c>
      <c r="D262" t="str">
        <f t="shared" si="21"/>
        <v/>
      </c>
      <c r="E262" t="str">
        <f t="shared" si="22"/>
        <v/>
      </c>
      <c r="F262" t="str">
        <f>IF(D262="","",INDEX(Knutepunkter!$B:$B,D262+1))</f>
        <v/>
      </c>
      <c r="G262" t="str">
        <f>IF(D262="","",INDEX(Knutepunkter!$C:$C,D262+1))</f>
        <v/>
      </c>
      <c r="H262" t="str">
        <f>IF(D262="","",INDEX(Knutepunkter!$D:$D,D262+1))</f>
        <v/>
      </c>
      <c r="I262" t="str">
        <f>IF(E262="","",INDEX(Knutepunkter!$B:$B,E262+1))</f>
        <v/>
      </c>
      <c r="J262" t="str">
        <f>IF(E262="","",INDEX(Knutepunkter!$C:$C,E262+1))</f>
        <v/>
      </c>
      <c r="K262" t="str">
        <f>IF(E262="","",INDEX(Knutepunkter!$D:$D,E262+1))</f>
        <v/>
      </c>
      <c r="L262" t="str">
        <f t="shared" si="23"/>
        <v/>
      </c>
      <c r="M262" t="str">
        <f t="shared" si="24"/>
        <v/>
      </c>
    </row>
    <row r="263" spans="1:13" x14ac:dyDescent="0.3">
      <c r="A263" t="str">
        <f>Segmenter!A263</f>
        <v/>
      </c>
      <c r="B263" t="str">
        <f>Segmenter!B263</f>
        <v/>
      </c>
      <c r="C263" t="str">
        <f t="shared" si="20"/>
        <v/>
      </c>
      <c r="D263" t="str">
        <f t="shared" si="21"/>
        <v/>
      </c>
      <c r="E263" t="str">
        <f t="shared" si="22"/>
        <v/>
      </c>
      <c r="F263" t="str">
        <f>IF(D263="","",INDEX(Knutepunkter!$B:$B,D263+1))</f>
        <v/>
      </c>
      <c r="G263" t="str">
        <f>IF(D263="","",INDEX(Knutepunkter!$C:$C,D263+1))</f>
        <v/>
      </c>
      <c r="H263" t="str">
        <f>IF(D263="","",INDEX(Knutepunkter!$D:$D,D263+1))</f>
        <v/>
      </c>
      <c r="I263" t="str">
        <f>IF(E263="","",INDEX(Knutepunkter!$B:$B,E263+1))</f>
        <v/>
      </c>
      <c r="J263" t="str">
        <f>IF(E263="","",INDEX(Knutepunkter!$C:$C,E263+1))</f>
        <v/>
      </c>
      <c r="K263" t="str">
        <f>IF(E263="","",INDEX(Knutepunkter!$D:$D,E263+1))</f>
        <v/>
      </c>
      <c r="L263" t="str">
        <f t="shared" si="23"/>
        <v/>
      </c>
      <c r="M263" t="str">
        <f t="shared" si="24"/>
        <v/>
      </c>
    </row>
    <row r="264" spans="1:13" x14ac:dyDescent="0.3">
      <c r="A264" t="str">
        <f>Segmenter!A264</f>
        <v/>
      </c>
      <c r="B264" t="str">
        <f>Segmenter!B264</f>
        <v/>
      </c>
      <c r="C264" t="str">
        <f t="shared" si="20"/>
        <v/>
      </c>
      <c r="D264" t="str">
        <f t="shared" si="21"/>
        <v/>
      </c>
      <c r="E264" t="str">
        <f t="shared" si="22"/>
        <v/>
      </c>
      <c r="F264" t="str">
        <f>IF(D264="","",INDEX(Knutepunkter!$B:$B,D264+1))</f>
        <v/>
      </c>
      <c r="G264" t="str">
        <f>IF(D264="","",INDEX(Knutepunkter!$C:$C,D264+1))</f>
        <v/>
      </c>
      <c r="H264" t="str">
        <f>IF(D264="","",INDEX(Knutepunkter!$D:$D,D264+1))</f>
        <v/>
      </c>
      <c r="I264" t="str">
        <f>IF(E264="","",INDEX(Knutepunkter!$B:$B,E264+1))</f>
        <v/>
      </c>
      <c r="J264" t="str">
        <f>IF(E264="","",INDEX(Knutepunkter!$C:$C,E264+1))</f>
        <v/>
      </c>
      <c r="K264" t="str">
        <f>IF(E264="","",INDEX(Knutepunkter!$D:$D,E264+1))</f>
        <v/>
      </c>
      <c r="L264" t="str">
        <f t="shared" si="23"/>
        <v/>
      </c>
      <c r="M264" t="str">
        <f t="shared" si="24"/>
        <v/>
      </c>
    </row>
    <row r="265" spans="1:13" x14ac:dyDescent="0.3">
      <c r="A265" t="str">
        <f>Segmenter!A265</f>
        <v/>
      </c>
      <c r="B265" t="str">
        <f>Segmenter!B265</f>
        <v/>
      </c>
      <c r="C265" t="str">
        <f t="shared" si="20"/>
        <v/>
      </c>
      <c r="D265" t="str">
        <f t="shared" si="21"/>
        <v/>
      </c>
      <c r="E265" t="str">
        <f t="shared" si="22"/>
        <v/>
      </c>
      <c r="F265" t="str">
        <f>IF(D265="","",INDEX(Knutepunkter!$B:$B,D265+1))</f>
        <v/>
      </c>
      <c r="G265" t="str">
        <f>IF(D265="","",INDEX(Knutepunkter!$C:$C,D265+1))</f>
        <v/>
      </c>
      <c r="H265" t="str">
        <f>IF(D265="","",INDEX(Knutepunkter!$D:$D,D265+1))</f>
        <v/>
      </c>
      <c r="I265" t="str">
        <f>IF(E265="","",INDEX(Knutepunkter!$B:$B,E265+1))</f>
        <v/>
      </c>
      <c r="J265" t="str">
        <f>IF(E265="","",INDEX(Knutepunkter!$C:$C,E265+1))</f>
        <v/>
      </c>
      <c r="K265" t="str">
        <f>IF(E265="","",INDEX(Knutepunkter!$D:$D,E265+1))</f>
        <v/>
      </c>
      <c r="L265" t="str">
        <f t="shared" si="23"/>
        <v/>
      </c>
      <c r="M265" t="str">
        <f t="shared" si="24"/>
        <v/>
      </c>
    </row>
    <row r="266" spans="1:13" x14ac:dyDescent="0.3">
      <c r="A266" t="str">
        <f>Segmenter!A266</f>
        <v/>
      </c>
      <c r="B266" t="str">
        <f>Segmenter!B266</f>
        <v/>
      </c>
      <c r="C266" t="str">
        <f t="shared" si="20"/>
        <v/>
      </c>
      <c r="D266" t="str">
        <f t="shared" si="21"/>
        <v/>
      </c>
      <c r="E266" t="str">
        <f t="shared" si="22"/>
        <v/>
      </c>
      <c r="F266" t="str">
        <f>IF(D266="","",INDEX(Knutepunkter!$B:$B,D266+1))</f>
        <v/>
      </c>
      <c r="G266" t="str">
        <f>IF(D266="","",INDEX(Knutepunkter!$C:$C,D266+1))</f>
        <v/>
      </c>
      <c r="H266" t="str">
        <f>IF(D266="","",INDEX(Knutepunkter!$D:$D,D266+1))</f>
        <v/>
      </c>
      <c r="I266" t="str">
        <f>IF(E266="","",INDEX(Knutepunkter!$B:$B,E266+1))</f>
        <v/>
      </c>
      <c r="J266" t="str">
        <f>IF(E266="","",INDEX(Knutepunkter!$C:$C,E266+1))</f>
        <v/>
      </c>
      <c r="K266" t="str">
        <f>IF(E266="","",INDEX(Knutepunkter!$D:$D,E266+1))</f>
        <v/>
      </c>
      <c r="L266" t="str">
        <f t="shared" si="23"/>
        <v/>
      </c>
      <c r="M266" t="str">
        <f t="shared" si="24"/>
        <v/>
      </c>
    </row>
    <row r="267" spans="1:13" x14ac:dyDescent="0.3">
      <c r="A267" t="str">
        <f>Segmenter!A267</f>
        <v/>
      </c>
      <c r="B267" t="str">
        <f>Segmenter!B267</f>
        <v/>
      </c>
      <c r="C267" t="str">
        <f t="shared" si="20"/>
        <v/>
      </c>
      <c r="D267" t="str">
        <f t="shared" si="21"/>
        <v/>
      </c>
      <c r="E267" t="str">
        <f t="shared" si="22"/>
        <v/>
      </c>
      <c r="F267" t="str">
        <f>IF(D267="","",INDEX(Knutepunkter!$B:$B,D267+1))</f>
        <v/>
      </c>
      <c r="G267" t="str">
        <f>IF(D267="","",INDEX(Knutepunkter!$C:$C,D267+1))</f>
        <v/>
      </c>
      <c r="H267" t="str">
        <f>IF(D267="","",INDEX(Knutepunkter!$D:$D,D267+1))</f>
        <v/>
      </c>
      <c r="I267" t="str">
        <f>IF(E267="","",INDEX(Knutepunkter!$B:$B,E267+1))</f>
        <v/>
      </c>
      <c r="J267" t="str">
        <f>IF(E267="","",INDEX(Knutepunkter!$C:$C,E267+1))</f>
        <v/>
      </c>
      <c r="K267" t="str">
        <f>IF(E267="","",INDEX(Knutepunkter!$D:$D,E267+1))</f>
        <v/>
      </c>
      <c r="L267" t="str">
        <f t="shared" si="23"/>
        <v/>
      </c>
      <c r="M267" t="str">
        <f t="shared" si="24"/>
        <v/>
      </c>
    </row>
    <row r="268" spans="1:13" x14ac:dyDescent="0.3">
      <c r="A268" t="str">
        <f>Segmenter!A268</f>
        <v/>
      </c>
      <c r="B268" t="str">
        <f>Segmenter!B268</f>
        <v/>
      </c>
      <c r="C268" t="str">
        <f t="shared" si="20"/>
        <v/>
      </c>
      <c r="D268" t="str">
        <f t="shared" si="21"/>
        <v/>
      </c>
      <c r="E268" t="str">
        <f t="shared" si="22"/>
        <v/>
      </c>
      <c r="F268" t="str">
        <f>IF(D268="","",INDEX(Knutepunkter!$B:$B,D268+1))</f>
        <v/>
      </c>
      <c r="G268" t="str">
        <f>IF(D268="","",INDEX(Knutepunkter!$C:$C,D268+1))</f>
        <v/>
      </c>
      <c r="H268" t="str">
        <f>IF(D268="","",INDEX(Knutepunkter!$D:$D,D268+1))</f>
        <v/>
      </c>
      <c r="I268" t="str">
        <f>IF(E268="","",INDEX(Knutepunkter!$B:$B,E268+1))</f>
        <v/>
      </c>
      <c r="J268" t="str">
        <f>IF(E268="","",INDEX(Knutepunkter!$C:$C,E268+1))</f>
        <v/>
      </c>
      <c r="K268" t="str">
        <f>IF(E268="","",INDEX(Knutepunkter!$D:$D,E268+1))</f>
        <v/>
      </c>
      <c r="L268" t="str">
        <f t="shared" si="23"/>
        <v/>
      </c>
      <c r="M268" t="str">
        <f t="shared" si="24"/>
        <v/>
      </c>
    </row>
    <row r="269" spans="1:13" x14ac:dyDescent="0.3">
      <c r="A269" t="str">
        <f>Segmenter!A269</f>
        <v/>
      </c>
      <c r="B269" t="str">
        <f>Segmenter!B269</f>
        <v/>
      </c>
      <c r="C269" t="str">
        <f t="shared" si="20"/>
        <v/>
      </c>
      <c r="D269" t="str">
        <f t="shared" si="21"/>
        <v/>
      </c>
      <c r="E269" t="str">
        <f t="shared" si="22"/>
        <v/>
      </c>
      <c r="F269" t="str">
        <f>IF(D269="","",INDEX(Knutepunkter!$B:$B,D269+1))</f>
        <v/>
      </c>
      <c r="G269" t="str">
        <f>IF(D269="","",INDEX(Knutepunkter!$C:$C,D269+1))</f>
        <v/>
      </c>
      <c r="H269" t="str">
        <f>IF(D269="","",INDEX(Knutepunkter!$D:$D,D269+1))</f>
        <v/>
      </c>
      <c r="I269" t="str">
        <f>IF(E269="","",INDEX(Knutepunkter!$B:$B,E269+1))</f>
        <v/>
      </c>
      <c r="J269" t="str">
        <f>IF(E269="","",INDEX(Knutepunkter!$C:$C,E269+1))</f>
        <v/>
      </c>
      <c r="K269" t="str">
        <f>IF(E269="","",INDEX(Knutepunkter!$D:$D,E269+1))</f>
        <v/>
      </c>
      <c r="L269" t="str">
        <f t="shared" si="23"/>
        <v/>
      </c>
      <c r="M269" t="str">
        <f t="shared" si="24"/>
        <v/>
      </c>
    </row>
    <row r="270" spans="1:13" x14ac:dyDescent="0.3">
      <c r="A270" t="str">
        <f>Segmenter!A270</f>
        <v/>
      </c>
      <c r="B270" t="str">
        <f>Segmenter!B270</f>
        <v/>
      </c>
      <c r="C270" t="str">
        <f t="shared" si="20"/>
        <v/>
      </c>
      <c r="D270" t="str">
        <f t="shared" si="21"/>
        <v/>
      </c>
      <c r="E270" t="str">
        <f t="shared" si="22"/>
        <v/>
      </c>
      <c r="F270" t="str">
        <f>IF(D270="","",INDEX(Knutepunkter!$B:$B,D270+1))</f>
        <v/>
      </c>
      <c r="G270" t="str">
        <f>IF(D270="","",INDEX(Knutepunkter!$C:$C,D270+1))</f>
        <v/>
      </c>
      <c r="H270" t="str">
        <f>IF(D270="","",INDEX(Knutepunkter!$D:$D,D270+1))</f>
        <v/>
      </c>
      <c r="I270" t="str">
        <f>IF(E270="","",INDEX(Knutepunkter!$B:$B,E270+1))</f>
        <v/>
      </c>
      <c r="J270" t="str">
        <f>IF(E270="","",INDEX(Knutepunkter!$C:$C,E270+1))</f>
        <v/>
      </c>
      <c r="K270" t="str">
        <f>IF(E270="","",INDEX(Knutepunkter!$D:$D,E270+1))</f>
        <v/>
      </c>
      <c r="L270" t="str">
        <f t="shared" si="23"/>
        <v/>
      </c>
      <c r="M270" t="str">
        <f t="shared" si="24"/>
        <v/>
      </c>
    </row>
    <row r="271" spans="1:13" x14ac:dyDescent="0.3">
      <c r="A271" t="str">
        <f>Segmenter!A271</f>
        <v/>
      </c>
      <c r="B271" t="str">
        <f>Segmenter!B271</f>
        <v/>
      </c>
      <c r="C271" t="str">
        <f t="shared" si="20"/>
        <v/>
      </c>
      <c r="D271" t="str">
        <f t="shared" si="21"/>
        <v/>
      </c>
      <c r="E271" t="str">
        <f t="shared" si="22"/>
        <v/>
      </c>
      <c r="F271" t="str">
        <f>IF(D271="","",INDEX(Knutepunkter!$B:$B,D271+1))</f>
        <v/>
      </c>
      <c r="G271" t="str">
        <f>IF(D271="","",INDEX(Knutepunkter!$C:$C,D271+1))</f>
        <v/>
      </c>
      <c r="H271" t="str">
        <f>IF(D271="","",INDEX(Knutepunkter!$D:$D,D271+1))</f>
        <v/>
      </c>
      <c r="I271" t="str">
        <f>IF(E271="","",INDEX(Knutepunkter!$B:$B,E271+1))</f>
        <v/>
      </c>
      <c r="J271" t="str">
        <f>IF(E271="","",INDEX(Knutepunkter!$C:$C,E271+1))</f>
        <v/>
      </c>
      <c r="K271" t="str">
        <f>IF(E271="","",INDEX(Knutepunkter!$D:$D,E271+1))</f>
        <v/>
      </c>
      <c r="L271" t="str">
        <f t="shared" si="23"/>
        <v/>
      </c>
      <c r="M271" t="str">
        <f t="shared" si="24"/>
        <v/>
      </c>
    </row>
    <row r="272" spans="1:13" x14ac:dyDescent="0.3">
      <c r="A272" t="str">
        <f>Segmenter!A272</f>
        <v/>
      </c>
      <c r="B272" t="str">
        <f>Segmenter!B272</f>
        <v/>
      </c>
      <c r="C272" t="str">
        <f t="shared" si="20"/>
        <v/>
      </c>
      <c r="D272" t="str">
        <f t="shared" si="21"/>
        <v/>
      </c>
      <c r="E272" t="str">
        <f t="shared" si="22"/>
        <v/>
      </c>
      <c r="F272" t="str">
        <f>IF(D272="","",INDEX(Knutepunkter!$B:$B,D272+1))</f>
        <v/>
      </c>
      <c r="G272" t="str">
        <f>IF(D272="","",INDEX(Knutepunkter!$C:$C,D272+1))</f>
        <v/>
      </c>
      <c r="H272" t="str">
        <f>IF(D272="","",INDEX(Knutepunkter!$D:$D,D272+1))</f>
        <v/>
      </c>
      <c r="I272" t="str">
        <f>IF(E272="","",INDEX(Knutepunkter!$B:$B,E272+1))</f>
        <v/>
      </c>
      <c r="J272" t="str">
        <f>IF(E272="","",INDEX(Knutepunkter!$C:$C,E272+1))</f>
        <v/>
      </c>
      <c r="K272" t="str">
        <f>IF(E272="","",INDEX(Knutepunkter!$D:$D,E272+1))</f>
        <v/>
      </c>
      <c r="L272" t="str">
        <f t="shared" si="23"/>
        <v/>
      </c>
      <c r="M272" t="str">
        <f t="shared" si="24"/>
        <v/>
      </c>
    </row>
    <row r="273" spans="1:13" x14ac:dyDescent="0.3">
      <c r="A273" t="str">
        <f>Segmenter!A273</f>
        <v/>
      </c>
      <c r="B273" t="str">
        <f>Segmenter!B273</f>
        <v/>
      </c>
      <c r="C273" t="str">
        <f t="shared" si="20"/>
        <v/>
      </c>
      <c r="D273" t="str">
        <f t="shared" si="21"/>
        <v/>
      </c>
      <c r="E273" t="str">
        <f t="shared" si="22"/>
        <v/>
      </c>
      <c r="F273" t="str">
        <f>IF(D273="","",INDEX(Knutepunkter!$B:$B,D273+1))</f>
        <v/>
      </c>
      <c r="G273" t="str">
        <f>IF(D273="","",INDEX(Knutepunkter!$C:$C,D273+1))</f>
        <v/>
      </c>
      <c r="H273" t="str">
        <f>IF(D273="","",INDEX(Knutepunkter!$D:$D,D273+1))</f>
        <v/>
      </c>
      <c r="I273" t="str">
        <f>IF(E273="","",INDEX(Knutepunkter!$B:$B,E273+1))</f>
        <v/>
      </c>
      <c r="J273" t="str">
        <f>IF(E273="","",INDEX(Knutepunkter!$C:$C,E273+1))</f>
        <v/>
      </c>
      <c r="K273" t="str">
        <f>IF(E273="","",INDEX(Knutepunkter!$D:$D,E273+1))</f>
        <v/>
      </c>
      <c r="L273" t="str">
        <f t="shared" si="23"/>
        <v/>
      </c>
      <c r="M273" t="str">
        <f t="shared" si="24"/>
        <v/>
      </c>
    </row>
    <row r="274" spans="1:13" x14ac:dyDescent="0.3">
      <c r="A274" t="str">
        <f>Segmenter!A274</f>
        <v/>
      </c>
      <c r="B274" t="str">
        <f>Segmenter!B274</f>
        <v/>
      </c>
      <c r="C274" t="str">
        <f t="shared" si="20"/>
        <v/>
      </c>
      <c r="D274" t="str">
        <f t="shared" si="21"/>
        <v/>
      </c>
      <c r="E274" t="str">
        <f t="shared" si="22"/>
        <v/>
      </c>
      <c r="F274" t="str">
        <f>IF(D274="","",INDEX(Knutepunkter!$B:$B,D274+1))</f>
        <v/>
      </c>
      <c r="G274" t="str">
        <f>IF(D274="","",INDEX(Knutepunkter!$C:$C,D274+1))</f>
        <v/>
      </c>
      <c r="H274" t="str">
        <f>IF(D274="","",INDEX(Knutepunkter!$D:$D,D274+1))</f>
        <v/>
      </c>
      <c r="I274" t="str">
        <f>IF(E274="","",INDEX(Knutepunkter!$B:$B,E274+1))</f>
        <v/>
      </c>
      <c r="J274" t="str">
        <f>IF(E274="","",INDEX(Knutepunkter!$C:$C,E274+1))</f>
        <v/>
      </c>
      <c r="K274" t="str">
        <f>IF(E274="","",INDEX(Knutepunkter!$D:$D,E274+1))</f>
        <v/>
      </c>
      <c r="L274" t="str">
        <f t="shared" si="23"/>
        <v/>
      </c>
      <c r="M274" t="str">
        <f t="shared" si="24"/>
        <v/>
      </c>
    </row>
    <row r="275" spans="1:13" x14ac:dyDescent="0.3">
      <c r="A275" t="str">
        <f>Segmenter!A275</f>
        <v/>
      </c>
      <c r="B275" t="str">
        <f>Segmenter!B275</f>
        <v/>
      </c>
      <c r="C275" t="str">
        <f t="shared" si="20"/>
        <v/>
      </c>
      <c r="D275" t="str">
        <f t="shared" si="21"/>
        <v/>
      </c>
      <c r="E275" t="str">
        <f t="shared" si="22"/>
        <v/>
      </c>
      <c r="F275" t="str">
        <f>IF(D275="","",INDEX(Knutepunkter!$B:$B,D275+1))</f>
        <v/>
      </c>
      <c r="G275" t="str">
        <f>IF(D275="","",INDEX(Knutepunkter!$C:$C,D275+1))</f>
        <v/>
      </c>
      <c r="H275" t="str">
        <f>IF(D275="","",INDEX(Knutepunkter!$D:$D,D275+1))</f>
        <v/>
      </c>
      <c r="I275" t="str">
        <f>IF(E275="","",INDEX(Knutepunkter!$B:$B,E275+1))</f>
        <v/>
      </c>
      <c r="J275" t="str">
        <f>IF(E275="","",INDEX(Knutepunkter!$C:$C,E275+1))</f>
        <v/>
      </c>
      <c r="K275" t="str">
        <f>IF(E275="","",INDEX(Knutepunkter!$D:$D,E275+1))</f>
        <v/>
      </c>
      <c r="L275" t="str">
        <f t="shared" si="23"/>
        <v/>
      </c>
      <c r="M275" t="str">
        <f t="shared" si="24"/>
        <v/>
      </c>
    </row>
    <row r="276" spans="1:13" x14ac:dyDescent="0.3">
      <c r="A276" t="str">
        <f>Segmenter!A276</f>
        <v/>
      </c>
      <c r="B276" t="str">
        <f>Segmenter!B276</f>
        <v/>
      </c>
      <c r="C276" t="str">
        <f t="shared" si="20"/>
        <v/>
      </c>
      <c r="D276" t="str">
        <f t="shared" si="21"/>
        <v/>
      </c>
      <c r="E276" t="str">
        <f t="shared" si="22"/>
        <v/>
      </c>
      <c r="F276" t="str">
        <f>IF(D276="","",INDEX(Knutepunkter!$B:$B,D276+1))</f>
        <v/>
      </c>
      <c r="G276" t="str">
        <f>IF(D276="","",INDEX(Knutepunkter!$C:$C,D276+1))</f>
        <v/>
      </c>
      <c r="H276" t="str">
        <f>IF(D276="","",INDEX(Knutepunkter!$D:$D,D276+1))</f>
        <v/>
      </c>
      <c r="I276" t="str">
        <f>IF(E276="","",INDEX(Knutepunkter!$B:$B,E276+1))</f>
        <v/>
      </c>
      <c r="J276" t="str">
        <f>IF(E276="","",INDEX(Knutepunkter!$C:$C,E276+1))</f>
        <v/>
      </c>
      <c r="K276" t="str">
        <f>IF(E276="","",INDEX(Knutepunkter!$D:$D,E276+1))</f>
        <v/>
      </c>
      <c r="L276" t="str">
        <f t="shared" si="23"/>
        <v/>
      </c>
      <c r="M276" t="str">
        <f t="shared" si="24"/>
        <v/>
      </c>
    </row>
    <row r="277" spans="1:13" x14ac:dyDescent="0.3">
      <c r="A277" t="str">
        <f>Segmenter!A277</f>
        <v/>
      </c>
      <c r="B277" t="str">
        <f>Segmenter!B277</f>
        <v/>
      </c>
      <c r="C277" t="str">
        <f t="shared" si="20"/>
        <v/>
      </c>
      <c r="D277" t="str">
        <f t="shared" si="21"/>
        <v/>
      </c>
      <c r="E277" t="str">
        <f t="shared" si="22"/>
        <v/>
      </c>
      <c r="F277" t="str">
        <f>IF(D277="","",INDEX(Knutepunkter!$B:$B,D277+1))</f>
        <v/>
      </c>
      <c r="G277" t="str">
        <f>IF(D277="","",INDEX(Knutepunkter!$C:$C,D277+1))</f>
        <v/>
      </c>
      <c r="H277" t="str">
        <f>IF(D277="","",INDEX(Knutepunkter!$D:$D,D277+1))</f>
        <v/>
      </c>
      <c r="I277" t="str">
        <f>IF(E277="","",INDEX(Knutepunkter!$B:$B,E277+1))</f>
        <v/>
      </c>
      <c r="J277" t="str">
        <f>IF(E277="","",INDEX(Knutepunkter!$C:$C,E277+1))</f>
        <v/>
      </c>
      <c r="K277" t="str">
        <f>IF(E277="","",INDEX(Knutepunkter!$D:$D,E277+1))</f>
        <v/>
      </c>
      <c r="L277" t="str">
        <f t="shared" si="23"/>
        <v/>
      </c>
      <c r="M277" t="str">
        <f t="shared" si="24"/>
        <v/>
      </c>
    </row>
    <row r="278" spans="1:13" x14ac:dyDescent="0.3">
      <c r="A278" t="str">
        <f>Segmenter!A278</f>
        <v/>
      </c>
      <c r="B278" t="str">
        <f>Segmenter!B278</f>
        <v/>
      </c>
      <c r="C278" t="str">
        <f t="shared" si="20"/>
        <v/>
      </c>
      <c r="D278" t="str">
        <f t="shared" si="21"/>
        <v/>
      </c>
      <c r="E278" t="str">
        <f t="shared" si="22"/>
        <v/>
      </c>
      <c r="F278" t="str">
        <f>IF(D278="","",INDEX(Knutepunkter!$B:$B,D278+1))</f>
        <v/>
      </c>
      <c r="G278" t="str">
        <f>IF(D278="","",INDEX(Knutepunkter!$C:$C,D278+1))</f>
        <v/>
      </c>
      <c r="H278" t="str">
        <f>IF(D278="","",INDEX(Knutepunkter!$D:$D,D278+1))</f>
        <v/>
      </c>
      <c r="I278" t="str">
        <f>IF(E278="","",INDEX(Knutepunkter!$B:$B,E278+1))</f>
        <v/>
      </c>
      <c r="J278" t="str">
        <f>IF(E278="","",INDEX(Knutepunkter!$C:$C,E278+1))</f>
        <v/>
      </c>
      <c r="K278" t="str">
        <f>IF(E278="","",INDEX(Knutepunkter!$D:$D,E278+1))</f>
        <v/>
      </c>
      <c r="L278" t="str">
        <f t="shared" si="23"/>
        <v/>
      </c>
      <c r="M278" t="str">
        <f t="shared" si="24"/>
        <v/>
      </c>
    </row>
    <row r="279" spans="1:13" x14ac:dyDescent="0.3">
      <c r="A279" t="str">
        <f>Segmenter!A279</f>
        <v/>
      </c>
      <c r="B279" t="str">
        <f>Segmenter!B279</f>
        <v/>
      </c>
      <c r="C279" t="str">
        <f t="shared" si="20"/>
        <v/>
      </c>
      <c r="D279" t="str">
        <f t="shared" si="21"/>
        <v/>
      </c>
      <c r="E279" t="str">
        <f t="shared" si="22"/>
        <v/>
      </c>
      <c r="F279" t="str">
        <f>IF(D279="","",INDEX(Knutepunkter!$B:$B,D279+1))</f>
        <v/>
      </c>
      <c r="G279" t="str">
        <f>IF(D279="","",INDEX(Knutepunkter!$C:$C,D279+1))</f>
        <v/>
      </c>
      <c r="H279" t="str">
        <f>IF(D279="","",INDEX(Knutepunkter!$D:$D,D279+1))</f>
        <v/>
      </c>
      <c r="I279" t="str">
        <f>IF(E279="","",INDEX(Knutepunkter!$B:$B,E279+1))</f>
        <v/>
      </c>
      <c r="J279" t="str">
        <f>IF(E279="","",INDEX(Knutepunkter!$C:$C,E279+1))</f>
        <v/>
      </c>
      <c r="K279" t="str">
        <f>IF(E279="","",INDEX(Knutepunkter!$D:$D,E279+1))</f>
        <v/>
      </c>
      <c r="L279" t="str">
        <f t="shared" si="23"/>
        <v/>
      </c>
      <c r="M279" t="str">
        <f t="shared" si="24"/>
        <v/>
      </c>
    </row>
    <row r="280" spans="1:13" x14ac:dyDescent="0.3">
      <c r="A280" t="str">
        <f>Segmenter!A280</f>
        <v/>
      </c>
      <c r="B280" t="str">
        <f>Segmenter!B280</f>
        <v/>
      </c>
      <c r="C280" t="str">
        <f t="shared" si="20"/>
        <v/>
      </c>
      <c r="D280" t="str">
        <f t="shared" si="21"/>
        <v/>
      </c>
      <c r="E280" t="str">
        <f t="shared" si="22"/>
        <v/>
      </c>
      <c r="F280" t="str">
        <f>IF(D280="","",INDEX(Knutepunkter!$B:$B,D280+1))</f>
        <v/>
      </c>
      <c r="G280" t="str">
        <f>IF(D280="","",INDEX(Knutepunkter!$C:$C,D280+1))</f>
        <v/>
      </c>
      <c r="H280" t="str">
        <f>IF(D280="","",INDEX(Knutepunkter!$D:$D,D280+1))</f>
        <v/>
      </c>
      <c r="I280" t="str">
        <f>IF(E280="","",INDEX(Knutepunkter!$B:$B,E280+1))</f>
        <v/>
      </c>
      <c r="J280" t="str">
        <f>IF(E280="","",INDEX(Knutepunkter!$C:$C,E280+1))</f>
        <v/>
      </c>
      <c r="K280" t="str">
        <f>IF(E280="","",INDEX(Knutepunkter!$D:$D,E280+1))</f>
        <v/>
      </c>
      <c r="L280" t="str">
        <f t="shared" si="23"/>
        <v/>
      </c>
      <c r="M280" t="str">
        <f t="shared" si="24"/>
        <v/>
      </c>
    </row>
    <row r="281" spans="1:13" x14ac:dyDescent="0.3">
      <c r="A281" t="str">
        <f>Segmenter!A281</f>
        <v/>
      </c>
      <c r="B281" t="str">
        <f>Segmenter!B281</f>
        <v/>
      </c>
      <c r="C281" t="str">
        <f t="shared" si="20"/>
        <v/>
      </c>
      <c r="D281" t="str">
        <f t="shared" si="21"/>
        <v/>
      </c>
      <c r="E281" t="str">
        <f t="shared" si="22"/>
        <v/>
      </c>
      <c r="F281" t="str">
        <f>IF(D281="","",INDEX(Knutepunkter!$B:$B,D281+1))</f>
        <v/>
      </c>
      <c r="G281" t="str">
        <f>IF(D281="","",INDEX(Knutepunkter!$C:$C,D281+1))</f>
        <v/>
      </c>
      <c r="H281" t="str">
        <f>IF(D281="","",INDEX(Knutepunkter!$D:$D,D281+1))</f>
        <v/>
      </c>
      <c r="I281" t="str">
        <f>IF(E281="","",INDEX(Knutepunkter!$B:$B,E281+1))</f>
        <v/>
      </c>
      <c r="J281" t="str">
        <f>IF(E281="","",INDEX(Knutepunkter!$C:$C,E281+1))</f>
        <v/>
      </c>
      <c r="K281" t="str">
        <f>IF(E281="","",INDEX(Knutepunkter!$D:$D,E281+1))</f>
        <v/>
      </c>
      <c r="L281" t="str">
        <f t="shared" si="23"/>
        <v/>
      </c>
      <c r="M281" t="str">
        <f t="shared" si="24"/>
        <v/>
      </c>
    </row>
    <row r="282" spans="1:13" x14ac:dyDescent="0.3">
      <c r="A282" t="str">
        <f>Segmenter!A282</f>
        <v/>
      </c>
      <c r="B282" t="str">
        <f>Segmenter!B282</f>
        <v/>
      </c>
      <c r="C282" t="str">
        <f t="shared" si="20"/>
        <v/>
      </c>
      <c r="D282" t="str">
        <f t="shared" si="21"/>
        <v/>
      </c>
      <c r="E282" t="str">
        <f t="shared" si="22"/>
        <v/>
      </c>
      <c r="F282" t="str">
        <f>IF(D282="","",INDEX(Knutepunkter!$B:$B,D282+1))</f>
        <v/>
      </c>
      <c r="G282" t="str">
        <f>IF(D282="","",INDEX(Knutepunkter!$C:$C,D282+1))</f>
        <v/>
      </c>
      <c r="H282" t="str">
        <f>IF(D282="","",INDEX(Knutepunkter!$D:$D,D282+1))</f>
        <v/>
      </c>
      <c r="I282" t="str">
        <f>IF(E282="","",INDEX(Knutepunkter!$B:$B,E282+1))</f>
        <v/>
      </c>
      <c r="J282" t="str">
        <f>IF(E282="","",INDEX(Knutepunkter!$C:$C,E282+1))</f>
        <v/>
      </c>
      <c r="K282" t="str">
        <f>IF(E282="","",INDEX(Knutepunkter!$D:$D,E282+1))</f>
        <v/>
      </c>
      <c r="L282" t="str">
        <f t="shared" si="23"/>
        <v/>
      </c>
      <c r="M282" t="str">
        <f t="shared" si="24"/>
        <v/>
      </c>
    </row>
    <row r="283" spans="1:13" x14ac:dyDescent="0.3">
      <c r="A283" t="str">
        <f>Segmenter!A283</f>
        <v/>
      </c>
      <c r="B283" t="str">
        <f>Segmenter!B283</f>
        <v/>
      </c>
      <c r="C283" t="str">
        <f t="shared" si="20"/>
        <v/>
      </c>
      <c r="D283" t="str">
        <f t="shared" si="21"/>
        <v/>
      </c>
      <c r="E283" t="str">
        <f t="shared" si="22"/>
        <v/>
      </c>
      <c r="F283" t="str">
        <f>IF(D283="","",INDEX(Knutepunkter!$B:$B,D283+1))</f>
        <v/>
      </c>
      <c r="G283" t="str">
        <f>IF(D283="","",INDEX(Knutepunkter!$C:$C,D283+1))</f>
        <v/>
      </c>
      <c r="H283" t="str">
        <f>IF(D283="","",INDEX(Knutepunkter!$D:$D,D283+1))</f>
        <v/>
      </c>
      <c r="I283" t="str">
        <f>IF(E283="","",INDEX(Knutepunkter!$B:$B,E283+1))</f>
        <v/>
      </c>
      <c r="J283" t="str">
        <f>IF(E283="","",INDEX(Knutepunkter!$C:$C,E283+1))</f>
        <v/>
      </c>
      <c r="K283" t="str">
        <f>IF(E283="","",INDEX(Knutepunkter!$D:$D,E283+1))</f>
        <v/>
      </c>
      <c r="L283" t="str">
        <f t="shared" si="23"/>
        <v/>
      </c>
      <c r="M283" t="str">
        <f t="shared" si="24"/>
        <v/>
      </c>
    </row>
    <row r="284" spans="1:13" x14ac:dyDescent="0.3">
      <c r="A284" t="str">
        <f>Segmenter!A284</f>
        <v/>
      </c>
      <c r="B284" t="str">
        <f>Segmenter!B284</f>
        <v/>
      </c>
      <c r="C284" t="str">
        <f t="shared" si="20"/>
        <v/>
      </c>
      <c r="D284" t="str">
        <f t="shared" si="21"/>
        <v/>
      </c>
      <c r="E284" t="str">
        <f t="shared" si="22"/>
        <v/>
      </c>
      <c r="F284" t="str">
        <f>IF(D284="","",INDEX(Knutepunkter!$B:$B,D284+1))</f>
        <v/>
      </c>
      <c r="G284" t="str">
        <f>IF(D284="","",INDEX(Knutepunkter!$C:$C,D284+1))</f>
        <v/>
      </c>
      <c r="H284" t="str">
        <f>IF(D284="","",INDEX(Knutepunkter!$D:$D,D284+1))</f>
        <v/>
      </c>
      <c r="I284" t="str">
        <f>IF(E284="","",INDEX(Knutepunkter!$B:$B,E284+1))</f>
        <v/>
      </c>
      <c r="J284" t="str">
        <f>IF(E284="","",INDEX(Knutepunkter!$C:$C,E284+1))</f>
        <v/>
      </c>
      <c r="K284" t="str">
        <f>IF(E284="","",INDEX(Knutepunkter!$D:$D,E284+1))</f>
        <v/>
      </c>
      <c r="L284" t="str">
        <f t="shared" si="23"/>
        <v/>
      </c>
      <c r="M284" t="str">
        <f t="shared" si="24"/>
        <v/>
      </c>
    </row>
    <row r="285" spans="1:13" x14ac:dyDescent="0.3">
      <c r="A285" t="str">
        <f>Segmenter!A285</f>
        <v/>
      </c>
      <c r="B285" t="str">
        <f>Segmenter!B285</f>
        <v/>
      </c>
      <c r="C285" t="str">
        <f t="shared" si="20"/>
        <v/>
      </c>
      <c r="D285" t="str">
        <f t="shared" si="21"/>
        <v/>
      </c>
      <c r="E285" t="str">
        <f t="shared" si="22"/>
        <v/>
      </c>
      <c r="F285" t="str">
        <f>IF(D285="","",INDEX(Knutepunkter!$B:$B,D285+1))</f>
        <v/>
      </c>
      <c r="G285" t="str">
        <f>IF(D285="","",INDEX(Knutepunkter!$C:$C,D285+1))</f>
        <v/>
      </c>
      <c r="H285" t="str">
        <f>IF(D285="","",INDEX(Knutepunkter!$D:$D,D285+1))</f>
        <v/>
      </c>
      <c r="I285" t="str">
        <f>IF(E285="","",INDEX(Knutepunkter!$B:$B,E285+1))</f>
        <v/>
      </c>
      <c r="J285" t="str">
        <f>IF(E285="","",INDEX(Knutepunkter!$C:$C,E285+1))</f>
        <v/>
      </c>
      <c r="K285" t="str">
        <f>IF(E285="","",INDEX(Knutepunkter!$D:$D,E285+1))</f>
        <v/>
      </c>
      <c r="L285" t="str">
        <f t="shared" si="23"/>
        <v/>
      </c>
      <c r="M285" t="str">
        <f t="shared" si="24"/>
        <v/>
      </c>
    </row>
    <row r="286" spans="1:13" x14ac:dyDescent="0.3">
      <c r="A286" t="str">
        <f>Segmenter!A286</f>
        <v/>
      </c>
      <c r="B286" t="str">
        <f>Segmenter!B286</f>
        <v/>
      </c>
      <c r="C286" t="str">
        <f t="shared" si="20"/>
        <v/>
      </c>
      <c r="D286" t="str">
        <f t="shared" si="21"/>
        <v/>
      </c>
      <c r="E286" t="str">
        <f t="shared" si="22"/>
        <v/>
      </c>
      <c r="F286" t="str">
        <f>IF(D286="","",INDEX(Knutepunkter!$B:$B,D286+1))</f>
        <v/>
      </c>
      <c r="G286" t="str">
        <f>IF(D286="","",INDEX(Knutepunkter!$C:$C,D286+1))</f>
        <v/>
      </c>
      <c r="H286" t="str">
        <f>IF(D286="","",INDEX(Knutepunkter!$D:$D,D286+1))</f>
        <v/>
      </c>
      <c r="I286" t="str">
        <f>IF(E286="","",INDEX(Knutepunkter!$B:$B,E286+1))</f>
        <v/>
      </c>
      <c r="J286" t="str">
        <f>IF(E286="","",INDEX(Knutepunkter!$C:$C,E286+1))</f>
        <v/>
      </c>
      <c r="K286" t="str">
        <f>IF(E286="","",INDEX(Knutepunkter!$D:$D,E286+1))</f>
        <v/>
      </c>
      <c r="L286" t="str">
        <f t="shared" si="23"/>
        <v/>
      </c>
      <c r="M286" t="str">
        <f t="shared" si="24"/>
        <v/>
      </c>
    </row>
    <row r="287" spans="1:13" x14ac:dyDescent="0.3">
      <c r="A287" t="str">
        <f>Segmenter!A287</f>
        <v/>
      </c>
      <c r="B287" t="str">
        <f>Segmenter!B287</f>
        <v/>
      </c>
      <c r="C287" t="str">
        <f t="shared" si="20"/>
        <v/>
      </c>
      <c r="D287" t="str">
        <f t="shared" si="21"/>
        <v/>
      </c>
      <c r="E287" t="str">
        <f t="shared" si="22"/>
        <v/>
      </c>
      <c r="F287" t="str">
        <f>IF(D287="","",INDEX(Knutepunkter!$B:$B,D287+1))</f>
        <v/>
      </c>
      <c r="G287" t="str">
        <f>IF(D287="","",INDEX(Knutepunkter!$C:$C,D287+1))</f>
        <v/>
      </c>
      <c r="H287" t="str">
        <f>IF(D287="","",INDEX(Knutepunkter!$D:$D,D287+1))</f>
        <v/>
      </c>
      <c r="I287" t="str">
        <f>IF(E287="","",INDEX(Knutepunkter!$B:$B,E287+1))</f>
        <v/>
      </c>
      <c r="J287" t="str">
        <f>IF(E287="","",INDEX(Knutepunkter!$C:$C,E287+1))</f>
        <v/>
      </c>
      <c r="K287" t="str">
        <f>IF(E287="","",INDEX(Knutepunkter!$D:$D,E287+1))</f>
        <v/>
      </c>
      <c r="L287" t="str">
        <f t="shared" si="23"/>
        <v/>
      </c>
      <c r="M287" t="str">
        <f t="shared" si="24"/>
        <v/>
      </c>
    </row>
    <row r="288" spans="1:13" x14ac:dyDescent="0.3">
      <c r="A288" t="str">
        <f>Segmenter!A288</f>
        <v/>
      </c>
      <c r="B288" t="str">
        <f>Segmenter!B288</f>
        <v/>
      </c>
      <c r="C288" t="str">
        <f t="shared" si="20"/>
        <v/>
      </c>
      <c r="D288" t="str">
        <f t="shared" si="21"/>
        <v/>
      </c>
      <c r="E288" t="str">
        <f t="shared" si="22"/>
        <v/>
      </c>
      <c r="F288" t="str">
        <f>IF(D288="","",INDEX(Knutepunkter!$B:$B,D288+1))</f>
        <v/>
      </c>
      <c r="G288" t="str">
        <f>IF(D288="","",INDEX(Knutepunkter!$C:$C,D288+1))</f>
        <v/>
      </c>
      <c r="H288" t="str">
        <f>IF(D288="","",INDEX(Knutepunkter!$D:$D,D288+1))</f>
        <v/>
      </c>
      <c r="I288" t="str">
        <f>IF(E288="","",INDEX(Knutepunkter!$B:$B,E288+1))</f>
        <v/>
      </c>
      <c r="J288" t="str">
        <f>IF(E288="","",INDEX(Knutepunkter!$C:$C,E288+1))</f>
        <v/>
      </c>
      <c r="K288" t="str">
        <f>IF(E288="","",INDEX(Knutepunkter!$D:$D,E288+1))</f>
        <v/>
      </c>
      <c r="L288" t="str">
        <f t="shared" si="23"/>
        <v/>
      </c>
      <c r="M288" t="str">
        <f t="shared" si="24"/>
        <v/>
      </c>
    </row>
    <row r="289" spans="1:13" x14ac:dyDescent="0.3">
      <c r="A289" t="str">
        <f>Segmenter!A289</f>
        <v/>
      </c>
      <c r="B289" t="str">
        <f>Segmenter!B289</f>
        <v/>
      </c>
      <c r="C289" t="str">
        <f t="shared" si="20"/>
        <v/>
      </c>
      <c r="D289" t="str">
        <f t="shared" si="21"/>
        <v/>
      </c>
      <c r="E289" t="str">
        <f t="shared" si="22"/>
        <v/>
      </c>
      <c r="F289" t="str">
        <f>IF(D289="","",INDEX(Knutepunkter!$B:$B,D289+1))</f>
        <v/>
      </c>
      <c r="G289" t="str">
        <f>IF(D289="","",INDEX(Knutepunkter!$C:$C,D289+1))</f>
        <v/>
      </c>
      <c r="H289" t="str">
        <f>IF(D289="","",INDEX(Knutepunkter!$D:$D,D289+1))</f>
        <v/>
      </c>
      <c r="I289" t="str">
        <f>IF(E289="","",INDEX(Knutepunkter!$B:$B,E289+1))</f>
        <v/>
      </c>
      <c r="J289" t="str">
        <f>IF(E289="","",INDEX(Knutepunkter!$C:$C,E289+1))</f>
        <v/>
      </c>
      <c r="K289" t="str">
        <f>IF(E289="","",INDEX(Knutepunkter!$D:$D,E289+1))</f>
        <v/>
      </c>
      <c r="L289" t="str">
        <f t="shared" si="23"/>
        <v/>
      </c>
      <c r="M289" t="str">
        <f t="shared" si="24"/>
        <v/>
      </c>
    </row>
    <row r="290" spans="1:13" x14ac:dyDescent="0.3">
      <c r="A290" t="str">
        <f>Segmenter!A290</f>
        <v/>
      </c>
      <c r="B290" t="str">
        <f>Segmenter!B290</f>
        <v/>
      </c>
      <c r="C290" t="str">
        <f t="shared" si="20"/>
        <v/>
      </c>
      <c r="D290" t="str">
        <f t="shared" si="21"/>
        <v/>
      </c>
      <c r="E290" t="str">
        <f t="shared" si="22"/>
        <v/>
      </c>
      <c r="F290" t="str">
        <f>IF(D290="","",INDEX(Knutepunkter!$B:$B,D290+1))</f>
        <v/>
      </c>
      <c r="G290" t="str">
        <f>IF(D290="","",INDEX(Knutepunkter!$C:$C,D290+1))</f>
        <v/>
      </c>
      <c r="H290" t="str">
        <f>IF(D290="","",INDEX(Knutepunkter!$D:$D,D290+1))</f>
        <v/>
      </c>
      <c r="I290" t="str">
        <f>IF(E290="","",INDEX(Knutepunkter!$B:$B,E290+1))</f>
        <v/>
      </c>
      <c r="J290" t="str">
        <f>IF(E290="","",INDEX(Knutepunkter!$C:$C,E290+1))</f>
        <v/>
      </c>
      <c r="K290" t="str">
        <f>IF(E290="","",INDEX(Knutepunkter!$D:$D,E290+1))</f>
        <v/>
      </c>
      <c r="L290" t="str">
        <f t="shared" si="23"/>
        <v/>
      </c>
      <c r="M290" t="str">
        <f t="shared" si="24"/>
        <v/>
      </c>
    </row>
    <row r="291" spans="1:13" x14ac:dyDescent="0.3">
      <c r="A291" t="str">
        <f>Segmenter!A291</f>
        <v/>
      </c>
      <c r="B291" t="str">
        <f>Segmenter!B291</f>
        <v/>
      </c>
      <c r="C291" t="str">
        <f t="shared" si="20"/>
        <v/>
      </c>
      <c r="D291" t="str">
        <f t="shared" si="21"/>
        <v/>
      </c>
      <c r="E291" t="str">
        <f t="shared" si="22"/>
        <v/>
      </c>
      <c r="F291" t="str">
        <f>IF(D291="","",INDEX(Knutepunkter!$B:$B,D291+1))</f>
        <v/>
      </c>
      <c r="G291" t="str">
        <f>IF(D291="","",INDEX(Knutepunkter!$C:$C,D291+1))</f>
        <v/>
      </c>
      <c r="H291" t="str">
        <f>IF(D291="","",INDEX(Knutepunkter!$D:$D,D291+1))</f>
        <v/>
      </c>
      <c r="I291" t="str">
        <f>IF(E291="","",INDEX(Knutepunkter!$B:$B,E291+1))</f>
        <v/>
      </c>
      <c r="J291" t="str">
        <f>IF(E291="","",INDEX(Knutepunkter!$C:$C,E291+1))</f>
        <v/>
      </c>
      <c r="K291" t="str">
        <f>IF(E291="","",INDEX(Knutepunkter!$D:$D,E291+1))</f>
        <v/>
      </c>
      <c r="L291" t="str">
        <f t="shared" si="23"/>
        <v/>
      </c>
      <c r="M291" t="str">
        <f t="shared" si="24"/>
        <v/>
      </c>
    </row>
    <row r="292" spans="1:13" x14ac:dyDescent="0.3">
      <c r="A292" t="str">
        <f>Segmenter!A292</f>
        <v/>
      </c>
      <c r="B292" t="str">
        <f>Segmenter!B292</f>
        <v/>
      </c>
      <c r="C292" t="str">
        <f t="shared" si="20"/>
        <v/>
      </c>
      <c r="D292" t="str">
        <f t="shared" si="21"/>
        <v/>
      </c>
      <c r="E292" t="str">
        <f t="shared" si="22"/>
        <v/>
      </c>
      <c r="F292" t="str">
        <f>IF(D292="","",INDEX(Knutepunkter!$B:$B,D292+1))</f>
        <v/>
      </c>
      <c r="G292" t="str">
        <f>IF(D292="","",INDEX(Knutepunkter!$C:$C,D292+1))</f>
        <v/>
      </c>
      <c r="H292" t="str">
        <f>IF(D292="","",INDEX(Knutepunkter!$D:$D,D292+1))</f>
        <v/>
      </c>
      <c r="I292" t="str">
        <f>IF(E292="","",INDEX(Knutepunkter!$B:$B,E292+1))</f>
        <v/>
      </c>
      <c r="J292" t="str">
        <f>IF(E292="","",INDEX(Knutepunkter!$C:$C,E292+1))</f>
        <v/>
      </c>
      <c r="K292" t="str">
        <f>IF(E292="","",INDEX(Knutepunkter!$D:$D,E292+1))</f>
        <v/>
      </c>
      <c r="L292" t="str">
        <f t="shared" si="23"/>
        <v/>
      </c>
      <c r="M292" t="str">
        <f t="shared" si="24"/>
        <v/>
      </c>
    </row>
    <row r="293" spans="1:13" x14ac:dyDescent="0.3">
      <c r="A293" t="str">
        <f>Segmenter!A293</f>
        <v/>
      </c>
      <c r="B293" t="str">
        <f>Segmenter!B293</f>
        <v/>
      </c>
      <c r="C293" t="str">
        <f t="shared" si="20"/>
        <v/>
      </c>
      <c r="D293" t="str">
        <f t="shared" si="21"/>
        <v/>
      </c>
      <c r="E293" t="str">
        <f t="shared" si="22"/>
        <v/>
      </c>
      <c r="F293" t="str">
        <f>IF(D293="","",INDEX(Knutepunkter!$B:$B,D293+1))</f>
        <v/>
      </c>
      <c r="G293" t="str">
        <f>IF(D293="","",INDEX(Knutepunkter!$C:$C,D293+1))</f>
        <v/>
      </c>
      <c r="H293" t="str">
        <f>IF(D293="","",INDEX(Knutepunkter!$D:$D,D293+1))</f>
        <v/>
      </c>
      <c r="I293" t="str">
        <f>IF(E293="","",INDEX(Knutepunkter!$B:$B,E293+1))</f>
        <v/>
      </c>
      <c r="J293" t="str">
        <f>IF(E293="","",INDEX(Knutepunkter!$C:$C,E293+1))</f>
        <v/>
      </c>
      <c r="K293" t="str">
        <f>IF(E293="","",INDEX(Knutepunkter!$D:$D,E293+1))</f>
        <v/>
      </c>
      <c r="L293" t="str">
        <f t="shared" si="23"/>
        <v/>
      </c>
      <c r="M293" t="str">
        <f t="shared" si="24"/>
        <v/>
      </c>
    </row>
    <row r="294" spans="1:13" x14ac:dyDescent="0.3">
      <c r="A294" t="str">
        <f>Segmenter!A294</f>
        <v/>
      </c>
      <c r="B294" t="str">
        <f>Segmenter!B294</f>
        <v/>
      </c>
      <c r="C294" t="str">
        <f t="shared" si="20"/>
        <v/>
      </c>
      <c r="D294" t="str">
        <f t="shared" si="21"/>
        <v/>
      </c>
      <c r="E294" t="str">
        <f t="shared" si="22"/>
        <v/>
      </c>
      <c r="F294" t="str">
        <f>IF(D294="","",INDEX(Knutepunkter!$B:$B,D294+1))</f>
        <v/>
      </c>
      <c r="G294" t="str">
        <f>IF(D294="","",INDEX(Knutepunkter!$C:$C,D294+1))</f>
        <v/>
      </c>
      <c r="H294" t="str">
        <f>IF(D294="","",INDEX(Knutepunkter!$D:$D,D294+1))</f>
        <v/>
      </c>
      <c r="I294" t="str">
        <f>IF(E294="","",INDEX(Knutepunkter!$B:$B,E294+1))</f>
        <v/>
      </c>
      <c r="J294" t="str">
        <f>IF(E294="","",INDEX(Knutepunkter!$C:$C,E294+1))</f>
        <v/>
      </c>
      <c r="K294" t="str">
        <f>IF(E294="","",INDEX(Knutepunkter!$D:$D,E294+1))</f>
        <v/>
      </c>
      <c r="L294" t="str">
        <f t="shared" si="23"/>
        <v/>
      </c>
      <c r="M294" t="str">
        <f t="shared" si="24"/>
        <v/>
      </c>
    </row>
    <row r="295" spans="1:13" x14ac:dyDescent="0.3">
      <c r="A295" t="str">
        <f>Segmenter!A295</f>
        <v/>
      </c>
      <c r="B295" t="str">
        <f>Segmenter!B295</f>
        <v/>
      </c>
      <c r="C295" t="str">
        <f t="shared" si="20"/>
        <v/>
      </c>
      <c r="D295" t="str">
        <f t="shared" si="21"/>
        <v/>
      </c>
      <c r="E295" t="str">
        <f t="shared" si="22"/>
        <v/>
      </c>
      <c r="F295" t="str">
        <f>IF(D295="","",INDEX(Knutepunkter!$B:$B,D295+1))</f>
        <v/>
      </c>
      <c r="G295" t="str">
        <f>IF(D295="","",INDEX(Knutepunkter!$C:$C,D295+1))</f>
        <v/>
      </c>
      <c r="H295" t="str">
        <f>IF(D295="","",INDEX(Knutepunkter!$D:$D,D295+1))</f>
        <v/>
      </c>
      <c r="I295" t="str">
        <f>IF(E295="","",INDEX(Knutepunkter!$B:$B,E295+1))</f>
        <v/>
      </c>
      <c r="J295" t="str">
        <f>IF(E295="","",INDEX(Knutepunkter!$C:$C,E295+1))</f>
        <v/>
      </c>
      <c r="K295" t="str">
        <f>IF(E295="","",INDEX(Knutepunkter!$D:$D,E295+1))</f>
        <v/>
      </c>
      <c r="L295" t="str">
        <f t="shared" si="23"/>
        <v/>
      </c>
      <c r="M295" t="str">
        <f t="shared" si="24"/>
        <v/>
      </c>
    </row>
    <row r="296" spans="1:13" x14ac:dyDescent="0.3">
      <c r="A296" t="str">
        <f>Segmenter!A296</f>
        <v/>
      </c>
      <c r="B296" t="str">
        <f>Segmenter!B296</f>
        <v/>
      </c>
      <c r="C296" t="str">
        <f t="shared" si="20"/>
        <v/>
      </c>
      <c r="D296" t="str">
        <f t="shared" si="21"/>
        <v/>
      </c>
      <c r="E296" t="str">
        <f t="shared" si="22"/>
        <v/>
      </c>
      <c r="F296" t="str">
        <f>IF(D296="","",INDEX(Knutepunkter!$B:$B,D296+1))</f>
        <v/>
      </c>
      <c r="G296" t="str">
        <f>IF(D296="","",INDEX(Knutepunkter!$C:$C,D296+1))</f>
        <v/>
      </c>
      <c r="H296" t="str">
        <f>IF(D296="","",INDEX(Knutepunkter!$D:$D,D296+1))</f>
        <v/>
      </c>
      <c r="I296" t="str">
        <f>IF(E296="","",INDEX(Knutepunkter!$B:$B,E296+1))</f>
        <v/>
      </c>
      <c r="J296" t="str">
        <f>IF(E296="","",INDEX(Knutepunkter!$C:$C,E296+1))</f>
        <v/>
      </c>
      <c r="K296" t="str">
        <f>IF(E296="","",INDEX(Knutepunkter!$D:$D,E296+1))</f>
        <v/>
      </c>
      <c r="L296" t="str">
        <f t="shared" si="23"/>
        <v/>
      </c>
      <c r="M296" t="str">
        <f t="shared" si="24"/>
        <v/>
      </c>
    </row>
    <row r="297" spans="1:13" x14ac:dyDescent="0.3">
      <c r="A297" t="str">
        <f>Segmenter!A297</f>
        <v/>
      </c>
      <c r="B297" t="str">
        <f>Segmenter!B297</f>
        <v/>
      </c>
      <c r="C297" t="str">
        <f t="shared" si="20"/>
        <v/>
      </c>
      <c r="D297" t="str">
        <f t="shared" si="21"/>
        <v/>
      </c>
      <c r="E297" t="str">
        <f t="shared" si="22"/>
        <v/>
      </c>
      <c r="F297" t="str">
        <f>IF(D297="","",INDEX(Knutepunkter!$B:$B,D297+1))</f>
        <v/>
      </c>
      <c r="G297" t="str">
        <f>IF(D297="","",INDEX(Knutepunkter!$C:$C,D297+1))</f>
        <v/>
      </c>
      <c r="H297" t="str">
        <f>IF(D297="","",INDEX(Knutepunkter!$D:$D,D297+1))</f>
        <v/>
      </c>
      <c r="I297" t="str">
        <f>IF(E297="","",INDEX(Knutepunkter!$B:$B,E297+1))</f>
        <v/>
      </c>
      <c r="J297" t="str">
        <f>IF(E297="","",INDEX(Knutepunkter!$C:$C,E297+1))</f>
        <v/>
      </c>
      <c r="K297" t="str">
        <f>IF(E297="","",INDEX(Knutepunkter!$D:$D,E297+1))</f>
        <v/>
      </c>
      <c r="L297" t="str">
        <f t="shared" si="23"/>
        <v/>
      </c>
      <c r="M297" t="str">
        <f t="shared" si="24"/>
        <v/>
      </c>
    </row>
    <row r="298" spans="1:13" x14ac:dyDescent="0.3">
      <c r="A298" t="str">
        <f>Segmenter!A298</f>
        <v/>
      </c>
      <c r="B298" t="str">
        <f>Segmenter!B298</f>
        <v/>
      </c>
      <c r="C298" t="str">
        <f t="shared" si="20"/>
        <v/>
      </c>
      <c r="D298" t="str">
        <f t="shared" si="21"/>
        <v/>
      </c>
      <c r="E298" t="str">
        <f t="shared" si="22"/>
        <v/>
      </c>
      <c r="F298" t="str">
        <f>IF(D298="","",INDEX(Knutepunkter!$B:$B,D298+1))</f>
        <v/>
      </c>
      <c r="G298" t="str">
        <f>IF(D298="","",INDEX(Knutepunkter!$C:$C,D298+1))</f>
        <v/>
      </c>
      <c r="H298" t="str">
        <f>IF(D298="","",INDEX(Knutepunkter!$D:$D,D298+1))</f>
        <v/>
      </c>
      <c r="I298" t="str">
        <f>IF(E298="","",INDEX(Knutepunkter!$B:$B,E298+1))</f>
        <v/>
      </c>
      <c r="J298" t="str">
        <f>IF(E298="","",INDEX(Knutepunkter!$C:$C,E298+1))</f>
        <v/>
      </c>
      <c r="K298" t="str">
        <f>IF(E298="","",INDEX(Knutepunkter!$D:$D,E298+1))</f>
        <v/>
      </c>
      <c r="L298" t="str">
        <f t="shared" si="23"/>
        <v/>
      </c>
      <c r="M298" t="str">
        <f t="shared" si="24"/>
        <v/>
      </c>
    </row>
    <row r="299" spans="1:13" x14ac:dyDescent="0.3">
      <c r="A299" t="str">
        <f>Segmenter!A299</f>
        <v/>
      </c>
      <c r="B299" t="str">
        <f>Segmenter!B299</f>
        <v/>
      </c>
      <c r="C299" t="str">
        <f t="shared" si="20"/>
        <v/>
      </c>
      <c r="D299" t="str">
        <f t="shared" si="21"/>
        <v/>
      </c>
      <c r="E299" t="str">
        <f t="shared" si="22"/>
        <v/>
      </c>
      <c r="F299" t="str">
        <f>IF(D299="","",INDEX(Knutepunkter!$B:$B,D299+1))</f>
        <v/>
      </c>
      <c r="G299" t="str">
        <f>IF(D299="","",INDEX(Knutepunkter!$C:$C,D299+1))</f>
        <v/>
      </c>
      <c r="H299" t="str">
        <f>IF(D299="","",INDEX(Knutepunkter!$D:$D,D299+1))</f>
        <v/>
      </c>
      <c r="I299" t="str">
        <f>IF(E299="","",INDEX(Knutepunkter!$B:$B,E299+1))</f>
        <v/>
      </c>
      <c r="J299" t="str">
        <f>IF(E299="","",INDEX(Knutepunkter!$C:$C,E299+1))</f>
        <v/>
      </c>
      <c r="K299" t="str">
        <f>IF(E299="","",INDEX(Knutepunkter!$D:$D,E299+1))</f>
        <v/>
      </c>
      <c r="L299" t="str">
        <f t="shared" si="23"/>
        <v/>
      </c>
      <c r="M299" t="str">
        <f t="shared" si="24"/>
        <v/>
      </c>
    </row>
    <row r="300" spans="1:13" x14ac:dyDescent="0.3">
      <c r="A300" t="str">
        <f>Segmenter!A300</f>
        <v/>
      </c>
      <c r="B300" t="str">
        <f>Segmenter!B300</f>
        <v/>
      </c>
      <c r="C300" t="str">
        <f t="shared" si="20"/>
        <v/>
      </c>
      <c r="D300" t="str">
        <f t="shared" si="21"/>
        <v/>
      </c>
      <c r="E300" t="str">
        <f t="shared" si="22"/>
        <v/>
      </c>
      <c r="F300" t="str">
        <f>IF(D300="","",INDEX(Knutepunkter!$B:$B,D300+1))</f>
        <v/>
      </c>
      <c r="G300" t="str">
        <f>IF(D300="","",INDEX(Knutepunkter!$C:$C,D300+1))</f>
        <v/>
      </c>
      <c r="H300" t="str">
        <f>IF(D300="","",INDEX(Knutepunkter!$D:$D,D300+1))</f>
        <v/>
      </c>
      <c r="I300" t="str">
        <f>IF(E300="","",INDEX(Knutepunkter!$B:$B,E300+1))</f>
        <v/>
      </c>
      <c r="J300" t="str">
        <f>IF(E300="","",INDEX(Knutepunkter!$C:$C,E300+1))</f>
        <v/>
      </c>
      <c r="K300" t="str">
        <f>IF(E300="","",INDEX(Knutepunkter!$D:$D,E300+1))</f>
        <v/>
      </c>
      <c r="L300" t="str">
        <f t="shared" si="23"/>
        <v/>
      </c>
      <c r="M300" t="str">
        <f t="shared" si="24"/>
        <v/>
      </c>
    </row>
    <row r="301" spans="1:13" x14ac:dyDescent="0.3">
      <c r="A301" t="str">
        <f>Segmenter!A301</f>
        <v/>
      </c>
      <c r="B301" t="str">
        <f>Segmenter!B301</f>
        <v/>
      </c>
      <c r="C301" t="str">
        <f t="shared" si="20"/>
        <v/>
      </c>
      <c r="D301" t="str">
        <f t="shared" si="21"/>
        <v/>
      </c>
      <c r="E301" t="str">
        <f t="shared" si="22"/>
        <v/>
      </c>
      <c r="F301" t="str">
        <f>IF(D301="","",INDEX(Knutepunkter!$B:$B,D301+1))</f>
        <v/>
      </c>
      <c r="G301" t="str">
        <f>IF(D301="","",INDEX(Knutepunkter!$C:$C,D301+1))</f>
        <v/>
      </c>
      <c r="H301" t="str">
        <f>IF(D301="","",INDEX(Knutepunkter!$D:$D,D301+1))</f>
        <v/>
      </c>
      <c r="I301" t="str">
        <f>IF(E301="","",INDEX(Knutepunkter!$B:$B,E301+1))</f>
        <v/>
      </c>
      <c r="J301" t="str">
        <f>IF(E301="","",INDEX(Knutepunkter!$C:$C,E301+1))</f>
        <v/>
      </c>
      <c r="K301" t="str">
        <f>IF(E301="","",INDEX(Knutepunkter!$D:$D,E301+1))</f>
        <v/>
      </c>
      <c r="L301" t="str">
        <f t="shared" si="23"/>
        <v/>
      </c>
      <c r="M301" t="str">
        <f t="shared" si="24"/>
        <v/>
      </c>
    </row>
    <row r="302" spans="1:13" x14ac:dyDescent="0.3">
      <c r="A302" t="str">
        <f>Segmenter!A302</f>
        <v/>
      </c>
      <c r="B302" t="str">
        <f>Segmenter!B302</f>
        <v/>
      </c>
      <c r="C302" t="str">
        <f t="shared" si="20"/>
        <v/>
      </c>
      <c r="D302" t="str">
        <f t="shared" si="21"/>
        <v/>
      </c>
      <c r="E302" t="str">
        <f t="shared" si="22"/>
        <v/>
      </c>
      <c r="F302" t="str">
        <f>IF(D302="","",INDEX(Knutepunkter!$B:$B,D302+1))</f>
        <v/>
      </c>
      <c r="G302" t="str">
        <f>IF(D302="","",INDEX(Knutepunkter!$C:$C,D302+1))</f>
        <v/>
      </c>
      <c r="H302" t="str">
        <f>IF(D302="","",INDEX(Knutepunkter!$D:$D,D302+1))</f>
        <v/>
      </c>
      <c r="I302" t="str">
        <f>IF(E302="","",INDEX(Knutepunkter!$B:$B,E302+1))</f>
        <v/>
      </c>
      <c r="J302" t="str">
        <f>IF(E302="","",INDEX(Knutepunkter!$C:$C,E302+1))</f>
        <v/>
      </c>
      <c r="K302" t="str">
        <f>IF(E302="","",INDEX(Knutepunkter!$D:$D,E302+1))</f>
        <v/>
      </c>
      <c r="L302" t="str">
        <f t="shared" si="23"/>
        <v/>
      </c>
      <c r="M302" t="str">
        <f t="shared" si="24"/>
        <v/>
      </c>
    </row>
    <row r="303" spans="1:13" x14ac:dyDescent="0.3">
      <c r="A303" t="str">
        <f>Segmenter!A303</f>
        <v/>
      </c>
      <c r="B303" t="str">
        <f>Segmenter!B303</f>
        <v/>
      </c>
      <c r="C303" t="str">
        <f t="shared" si="20"/>
        <v/>
      </c>
      <c r="D303" t="str">
        <f t="shared" si="21"/>
        <v/>
      </c>
      <c r="E303" t="str">
        <f t="shared" si="22"/>
        <v/>
      </c>
      <c r="F303" t="str">
        <f>IF(D303="","",INDEX(Knutepunkter!$B:$B,D303+1))</f>
        <v/>
      </c>
      <c r="G303" t="str">
        <f>IF(D303="","",INDEX(Knutepunkter!$C:$C,D303+1))</f>
        <v/>
      </c>
      <c r="H303" t="str">
        <f>IF(D303="","",INDEX(Knutepunkter!$D:$D,D303+1))</f>
        <v/>
      </c>
      <c r="I303" t="str">
        <f>IF(E303="","",INDEX(Knutepunkter!$B:$B,E303+1))</f>
        <v/>
      </c>
      <c r="J303" t="str">
        <f>IF(E303="","",INDEX(Knutepunkter!$C:$C,E303+1))</f>
        <v/>
      </c>
      <c r="K303" t="str">
        <f>IF(E303="","",INDEX(Knutepunkter!$D:$D,E303+1))</f>
        <v/>
      </c>
      <c r="L303" t="str">
        <f t="shared" si="23"/>
        <v/>
      </c>
      <c r="M303" t="str">
        <f t="shared" si="24"/>
        <v/>
      </c>
    </row>
    <row r="304" spans="1:13" x14ac:dyDescent="0.3">
      <c r="A304" t="str">
        <f>Segmenter!A304</f>
        <v/>
      </c>
      <c r="B304" t="str">
        <f>Segmenter!B304</f>
        <v/>
      </c>
      <c r="C304" t="str">
        <f t="shared" si="20"/>
        <v/>
      </c>
      <c r="D304" t="str">
        <f t="shared" si="21"/>
        <v/>
      </c>
      <c r="E304" t="str">
        <f t="shared" si="22"/>
        <v/>
      </c>
      <c r="F304" t="str">
        <f>IF(D304="","",INDEX(Knutepunkter!$B:$B,D304+1))</f>
        <v/>
      </c>
      <c r="G304" t="str">
        <f>IF(D304="","",INDEX(Knutepunkter!$C:$C,D304+1))</f>
        <v/>
      </c>
      <c r="H304" t="str">
        <f>IF(D304="","",INDEX(Knutepunkter!$D:$D,D304+1))</f>
        <v/>
      </c>
      <c r="I304" t="str">
        <f>IF(E304="","",INDEX(Knutepunkter!$B:$B,E304+1))</f>
        <v/>
      </c>
      <c r="J304" t="str">
        <f>IF(E304="","",INDEX(Knutepunkter!$C:$C,E304+1))</f>
        <v/>
      </c>
      <c r="K304" t="str">
        <f>IF(E304="","",INDEX(Knutepunkter!$D:$D,E304+1))</f>
        <v/>
      </c>
      <c r="L304" t="str">
        <f t="shared" si="23"/>
        <v/>
      </c>
      <c r="M304" t="str">
        <f t="shared" si="24"/>
        <v/>
      </c>
    </row>
    <row r="305" spans="1:13" x14ac:dyDescent="0.3">
      <c r="A305" t="str">
        <f>Segmenter!A305</f>
        <v/>
      </c>
      <c r="B305" t="str">
        <f>Segmenter!B305</f>
        <v/>
      </c>
      <c r="C305" t="str">
        <f t="shared" si="20"/>
        <v/>
      </c>
      <c r="D305" t="str">
        <f t="shared" si="21"/>
        <v/>
      </c>
      <c r="E305" t="str">
        <f t="shared" si="22"/>
        <v/>
      </c>
      <c r="F305" t="str">
        <f>IF(D305="","",INDEX(Knutepunkter!$B:$B,D305+1))</f>
        <v/>
      </c>
      <c r="G305" t="str">
        <f>IF(D305="","",INDEX(Knutepunkter!$C:$C,D305+1))</f>
        <v/>
      </c>
      <c r="H305" t="str">
        <f>IF(D305="","",INDEX(Knutepunkter!$D:$D,D305+1))</f>
        <v/>
      </c>
      <c r="I305" t="str">
        <f>IF(E305="","",INDEX(Knutepunkter!$B:$B,E305+1))</f>
        <v/>
      </c>
      <c r="J305" t="str">
        <f>IF(E305="","",INDEX(Knutepunkter!$C:$C,E305+1))</f>
        <v/>
      </c>
      <c r="K305" t="str">
        <f>IF(E305="","",INDEX(Knutepunkter!$D:$D,E305+1))</f>
        <v/>
      </c>
      <c r="L305" t="str">
        <f t="shared" si="23"/>
        <v/>
      </c>
      <c r="M305" t="str">
        <f t="shared" si="24"/>
        <v/>
      </c>
    </row>
    <row r="306" spans="1:13" x14ac:dyDescent="0.3">
      <c r="A306" t="str">
        <f>Segmenter!A306</f>
        <v/>
      </c>
      <c r="B306" t="str">
        <f>Segmenter!B306</f>
        <v/>
      </c>
      <c r="C306" t="str">
        <f t="shared" si="20"/>
        <v/>
      </c>
      <c r="D306" t="str">
        <f t="shared" si="21"/>
        <v/>
      </c>
      <c r="E306" t="str">
        <f t="shared" si="22"/>
        <v/>
      </c>
      <c r="F306" t="str">
        <f>IF(D306="","",INDEX(Knutepunkter!$B:$B,D306+1))</f>
        <v/>
      </c>
      <c r="G306" t="str">
        <f>IF(D306="","",INDEX(Knutepunkter!$C:$C,D306+1))</f>
        <v/>
      </c>
      <c r="H306" t="str">
        <f>IF(D306="","",INDEX(Knutepunkter!$D:$D,D306+1))</f>
        <v/>
      </c>
      <c r="I306" t="str">
        <f>IF(E306="","",INDEX(Knutepunkter!$B:$B,E306+1))</f>
        <v/>
      </c>
      <c r="J306" t="str">
        <f>IF(E306="","",INDEX(Knutepunkter!$C:$C,E306+1))</f>
        <v/>
      </c>
      <c r="K306" t="str">
        <f>IF(E306="","",INDEX(Knutepunkter!$D:$D,E306+1))</f>
        <v/>
      </c>
      <c r="L306" t="str">
        <f t="shared" si="23"/>
        <v/>
      </c>
      <c r="M306" t="str">
        <f t="shared" si="24"/>
        <v/>
      </c>
    </row>
    <row r="307" spans="1:13" x14ac:dyDescent="0.3">
      <c r="A307" t="str">
        <f>Segmenter!A307</f>
        <v/>
      </c>
      <c r="B307" t="str">
        <f>Segmenter!B307</f>
        <v/>
      </c>
      <c r="C307" t="str">
        <f t="shared" si="20"/>
        <v/>
      </c>
      <c r="D307" t="str">
        <f t="shared" si="21"/>
        <v/>
      </c>
      <c r="E307" t="str">
        <f t="shared" si="22"/>
        <v/>
      </c>
      <c r="F307" t="str">
        <f>IF(D307="","",INDEX(Knutepunkter!$B:$B,D307+1))</f>
        <v/>
      </c>
      <c r="G307" t="str">
        <f>IF(D307="","",INDEX(Knutepunkter!$C:$C,D307+1))</f>
        <v/>
      </c>
      <c r="H307" t="str">
        <f>IF(D307="","",INDEX(Knutepunkter!$D:$D,D307+1))</f>
        <v/>
      </c>
      <c r="I307" t="str">
        <f>IF(E307="","",INDEX(Knutepunkter!$B:$B,E307+1))</f>
        <v/>
      </c>
      <c r="J307" t="str">
        <f>IF(E307="","",INDEX(Knutepunkter!$C:$C,E307+1))</f>
        <v/>
      </c>
      <c r="K307" t="str">
        <f>IF(E307="","",INDEX(Knutepunkter!$D:$D,E307+1))</f>
        <v/>
      </c>
      <c r="L307" t="str">
        <f t="shared" si="23"/>
        <v/>
      </c>
      <c r="M307" t="str">
        <f t="shared" si="24"/>
        <v/>
      </c>
    </row>
    <row r="308" spans="1:13" x14ac:dyDescent="0.3">
      <c r="A308" t="str">
        <f>Segmenter!A308</f>
        <v/>
      </c>
      <c r="B308" t="str">
        <f>Segmenter!B308</f>
        <v/>
      </c>
      <c r="C308" t="str">
        <f t="shared" si="20"/>
        <v/>
      </c>
      <c r="D308" t="str">
        <f t="shared" si="21"/>
        <v/>
      </c>
      <c r="E308" t="str">
        <f t="shared" si="22"/>
        <v/>
      </c>
      <c r="F308" t="str">
        <f>IF(D308="","",INDEX(Knutepunkter!$B:$B,D308+1))</f>
        <v/>
      </c>
      <c r="G308" t="str">
        <f>IF(D308="","",INDEX(Knutepunkter!$C:$C,D308+1))</f>
        <v/>
      </c>
      <c r="H308" t="str">
        <f>IF(D308="","",INDEX(Knutepunkter!$D:$D,D308+1))</f>
        <v/>
      </c>
      <c r="I308" t="str">
        <f>IF(E308="","",INDEX(Knutepunkter!$B:$B,E308+1))</f>
        <v/>
      </c>
      <c r="J308" t="str">
        <f>IF(E308="","",INDEX(Knutepunkter!$C:$C,E308+1))</f>
        <v/>
      </c>
      <c r="K308" t="str">
        <f>IF(E308="","",INDEX(Knutepunkter!$D:$D,E308+1))</f>
        <v/>
      </c>
      <c r="L308" t="str">
        <f t="shared" si="23"/>
        <v/>
      </c>
      <c r="M308" t="str">
        <f t="shared" si="24"/>
        <v/>
      </c>
    </row>
    <row r="309" spans="1:13" x14ac:dyDescent="0.3">
      <c r="A309" t="str">
        <f>Segmenter!A309</f>
        <v/>
      </c>
      <c r="B309" t="str">
        <f>Segmenter!B309</f>
        <v/>
      </c>
      <c r="C309" t="str">
        <f t="shared" si="20"/>
        <v/>
      </c>
      <c r="D309" t="str">
        <f t="shared" si="21"/>
        <v/>
      </c>
      <c r="E309" t="str">
        <f t="shared" si="22"/>
        <v/>
      </c>
      <c r="F309" t="str">
        <f>IF(D309="","",INDEX(Knutepunkter!$B:$B,D309+1))</f>
        <v/>
      </c>
      <c r="G309" t="str">
        <f>IF(D309="","",INDEX(Knutepunkter!$C:$C,D309+1))</f>
        <v/>
      </c>
      <c r="H309" t="str">
        <f>IF(D309="","",INDEX(Knutepunkter!$D:$D,D309+1))</f>
        <v/>
      </c>
      <c r="I309" t="str">
        <f>IF(E309="","",INDEX(Knutepunkter!$B:$B,E309+1))</f>
        <v/>
      </c>
      <c r="J309" t="str">
        <f>IF(E309="","",INDEX(Knutepunkter!$C:$C,E309+1))</f>
        <v/>
      </c>
      <c r="K309" t="str">
        <f>IF(E309="","",INDEX(Knutepunkter!$D:$D,E309+1))</f>
        <v/>
      </c>
      <c r="L309" t="str">
        <f t="shared" si="23"/>
        <v/>
      </c>
      <c r="M309" t="str">
        <f t="shared" si="24"/>
        <v/>
      </c>
    </row>
    <row r="310" spans="1:13" x14ac:dyDescent="0.3">
      <c r="A310" t="str">
        <f>Segmenter!A310</f>
        <v/>
      </c>
      <c r="B310" t="str">
        <f>Segmenter!B310</f>
        <v/>
      </c>
      <c r="C310" t="str">
        <f t="shared" si="20"/>
        <v/>
      </c>
      <c r="D310" t="str">
        <f t="shared" si="21"/>
        <v/>
      </c>
      <c r="E310" t="str">
        <f t="shared" si="22"/>
        <v/>
      </c>
      <c r="F310" t="str">
        <f>IF(D310="","",INDEX(Knutepunkter!$B:$B,D310+1))</f>
        <v/>
      </c>
      <c r="G310" t="str">
        <f>IF(D310="","",INDEX(Knutepunkter!$C:$C,D310+1))</f>
        <v/>
      </c>
      <c r="H310" t="str">
        <f>IF(D310="","",INDEX(Knutepunkter!$D:$D,D310+1))</f>
        <v/>
      </c>
      <c r="I310" t="str">
        <f>IF(E310="","",INDEX(Knutepunkter!$B:$B,E310+1))</f>
        <v/>
      </c>
      <c r="J310" t="str">
        <f>IF(E310="","",INDEX(Knutepunkter!$C:$C,E310+1))</f>
        <v/>
      </c>
      <c r="K310" t="str">
        <f>IF(E310="","",INDEX(Knutepunkter!$D:$D,E310+1))</f>
        <v/>
      </c>
      <c r="L310" t="str">
        <f t="shared" si="23"/>
        <v/>
      </c>
      <c r="M310" t="str">
        <f t="shared" si="24"/>
        <v/>
      </c>
    </row>
    <row r="311" spans="1:13" x14ac:dyDescent="0.3">
      <c r="A311" t="str">
        <f>Segmenter!A311</f>
        <v/>
      </c>
      <c r="B311" t="str">
        <f>Segmenter!B311</f>
        <v/>
      </c>
      <c r="C311" t="str">
        <f t="shared" si="20"/>
        <v/>
      </c>
      <c r="D311" t="str">
        <f t="shared" si="21"/>
        <v/>
      </c>
      <c r="E311" t="str">
        <f t="shared" si="22"/>
        <v/>
      </c>
      <c r="F311" t="str">
        <f>IF(D311="","",INDEX(Knutepunkter!$B:$B,D311+1))</f>
        <v/>
      </c>
      <c r="G311" t="str">
        <f>IF(D311="","",INDEX(Knutepunkter!$C:$C,D311+1))</f>
        <v/>
      </c>
      <c r="H311" t="str">
        <f>IF(D311="","",INDEX(Knutepunkter!$D:$D,D311+1))</f>
        <v/>
      </c>
      <c r="I311" t="str">
        <f>IF(E311="","",INDEX(Knutepunkter!$B:$B,E311+1))</f>
        <v/>
      </c>
      <c r="J311" t="str">
        <f>IF(E311="","",INDEX(Knutepunkter!$C:$C,E311+1))</f>
        <v/>
      </c>
      <c r="K311" t="str">
        <f>IF(E311="","",INDEX(Knutepunkter!$D:$D,E311+1))</f>
        <v/>
      </c>
      <c r="L311" t="str">
        <f t="shared" si="23"/>
        <v/>
      </c>
      <c r="M311" t="str">
        <f t="shared" si="24"/>
        <v/>
      </c>
    </row>
    <row r="312" spans="1:13" x14ac:dyDescent="0.3">
      <c r="A312" t="str">
        <f>Segmenter!A312</f>
        <v/>
      </c>
      <c r="B312" t="str">
        <f>Segmenter!B312</f>
        <v/>
      </c>
      <c r="C312" t="str">
        <f t="shared" si="20"/>
        <v/>
      </c>
      <c r="D312" t="str">
        <f t="shared" si="21"/>
        <v/>
      </c>
      <c r="E312" t="str">
        <f t="shared" si="22"/>
        <v/>
      </c>
      <c r="F312" t="str">
        <f>IF(D312="","",INDEX(Knutepunkter!$B:$B,D312+1))</f>
        <v/>
      </c>
      <c r="G312" t="str">
        <f>IF(D312="","",INDEX(Knutepunkter!$C:$C,D312+1))</f>
        <v/>
      </c>
      <c r="H312" t="str">
        <f>IF(D312="","",INDEX(Knutepunkter!$D:$D,D312+1))</f>
        <v/>
      </c>
      <c r="I312" t="str">
        <f>IF(E312="","",INDEX(Knutepunkter!$B:$B,E312+1))</f>
        <v/>
      </c>
      <c r="J312" t="str">
        <f>IF(E312="","",INDEX(Knutepunkter!$C:$C,E312+1))</f>
        <v/>
      </c>
      <c r="K312" t="str">
        <f>IF(E312="","",INDEX(Knutepunkter!$D:$D,E312+1))</f>
        <v/>
      </c>
      <c r="L312" t="str">
        <f t="shared" si="23"/>
        <v/>
      </c>
      <c r="M312" t="str">
        <f t="shared" si="24"/>
        <v/>
      </c>
    </row>
    <row r="313" spans="1:13" x14ac:dyDescent="0.3">
      <c r="A313" t="str">
        <f>Segmenter!A313</f>
        <v/>
      </c>
      <c r="B313" t="str">
        <f>Segmenter!B313</f>
        <v/>
      </c>
      <c r="C313" t="str">
        <f t="shared" si="20"/>
        <v/>
      </c>
      <c r="D313" t="str">
        <f t="shared" si="21"/>
        <v/>
      </c>
      <c r="E313" t="str">
        <f t="shared" si="22"/>
        <v/>
      </c>
      <c r="F313" t="str">
        <f>IF(D313="","",INDEX(Knutepunkter!$B:$B,D313+1))</f>
        <v/>
      </c>
      <c r="G313" t="str">
        <f>IF(D313="","",INDEX(Knutepunkter!$C:$C,D313+1))</f>
        <v/>
      </c>
      <c r="H313" t="str">
        <f>IF(D313="","",INDEX(Knutepunkter!$D:$D,D313+1))</f>
        <v/>
      </c>
      <c r="I313" t="str">
        <f>IF(E313="","",INDEX(Knutepunkter!$B:$B,E313+1))</f>
        <v/>
      </c>
      <c r="J313" t="str">
        <f>IF(E313="","",INDEX(Knutepunkter!$C:$C,E313+1))</f>
        <v/>
      </c>
      <c r="K313" t="str">
        <f>IF(E313="","",INDEX(Knutepunkter!$D:$D,E313+1))</f>
        <v/>
      </c>
      <c r="L313" t="str">
        <f t="shared" si="23"/>
        <v/>
      </c>
      <c r="M313" t="str">
        <f t="shared" si="24"/>
        <v/>
      </c>
    </row>
    <row r="314" spans="1:13" x14ac:dyDescent="0.3">
      <c r="A314" t="str">
        <f>Segmenter!A314</f>
        <v/>
      </c>
      <c r="B314" t="str">
        <f>Segmenter!B314</f>
        <v/>
      </c>
      <c r="C314" t="str">
        <f t="shared" si="20"/>
        <v/>
      </c>
      <c r="D314" t="str">
        <f t="shared" si="21"/>
        <v/>
      </c>
      <c r="E314" t="str">
        <f t="shared" si="22"/>
        <v/>
      </c>
      <c r="F314" t="str">
        <f>IF(D314="","",INDEX(Knutepunkter!$B:$B,D314+1))</f>
        <v/>
      </c>
      <c r="G314" t="str">
        <f>IF(D314="","",INDEX(Knutepunkter!$C:$C,D314+1))</f>
        <v/>
      </c>
      <c r="H314" t="str">
        <f>IF(D314="","",INDEX(Knutepunkter!$D:$D,D314+1))</f>
        <v/>
      </c>
      <c r="I314" t="str">
        <f>IF(E314="","",INDEX(Knutepunkter!$B:$B,E314+1))</f>
        <v/>
      </c>
      <c r="J314" t="str">
        <f>IF(E314="","",INDEX(Knutepunkter!$C:$C,E314+1))</f>
        <v/>
      </c>
      <c r="K314" t="str">
        <f>IF(E314="","",INDEX(Knutepunkter!$D:$D,E314+1))</f>
        <v/>
      </c>
      <c r="L314" t="str">
        <f t="shared" si="23"/>
        <v/>
      </c>
      <c r="M314" t="str">
        <f t="shared" si="24"/>
        <v/>
      </c>
    </row>
    <row r="315" spans="1:13" x14ac:dyDescent="0.3">
      <c r="A315" t="str">
        <f>Segmenter!A315</f>
        <v/>
      </c>
      <c r="B315" t="str">
        <f>Segmenter!B315</f>
        <v/>
      </c>
      <c r="C315" t="str">
        <f t="shared" si="20"/>
        <v/>
      </c>
      <c r="D315" t="str">
        <f t="shared" si="21"/>
        <v/>
      </c>
      <c r="E315" t="str">
        <f t="shared" si="22"/>
        <v/>
      </c>
      <c r="F315" t="str">
        <f>IF(D315="","",INDEX(Knutepunkter!$B:$B,D315+1))</f>
        <v/>
      </c>
      <c r="G315" t="str">
        <f>IF(D315="","",INDEX(Knutepunkter!$C:$C,D315+1))</f>
        <v/>
      </c>
      <c r="H315" t="str">
        <f>IF(D315="","",INDEX(Knutepunkter!$D:$D,D315+1))</f>
        <v/>
      </c>
      <c r="I315" t="str">
        <f>IF(E315="","",INDEX(Knutepunkter!$B:$B,E315+1))</f>
        <v/>
      </c>
      <c r="J315" t="str">
        <f>IF(E315="","",INDEX(Knutepunkter!$C:$C,E315+1))</f>
        <v/>
      </c>
      <c r="K315" t="str">
        <f>IF(E315="","",INDEX(Knutepunkter!$D:$D,E315+1))</f>
        <v/>
      </c>
      <c r="L315" t="str">
        <f t="shared" si="23"/>
        <v/>
      </c>
      <c r="M315" t="str">
        <f t="shared" si="24"/>
        <v/>
      </c>
    </row>
    <row r="316" spans="1:13" x14ac:dyDescent="0.3">
      <c r="A316" t="str">
        <f>Segmenter!A316</f>
        <v/>
      </c>
      <c r="B316" t="str">
        <f>Segmenter!B316</f>
        <v/>
      </c>
      <c r="C316" t="str">
        <f t="shared" si="20"/>
        <v/>
      </c>
      <c r="D316" t="str">
        <f t="shared" si="21"/>
        <v/>
      </c>
      <c r="E316" t="str">
        <f t="shared" si="22"/>
        <v/>
      </c>
      <c r="F316" t="str">
        <f>IF(D316="","",INDEX(Knutepunkter!$B:$B,D316+1))</f>
        <v/>
      </c>
      <c r="G316" t="str">
        <f>IF(D316="","",INDEX(Knutepunkter!$C:$C,D316+1))</f>
        <v/>
      </c>
      <c r="H316" t="str">
        <f>IF(D316="","",INDEX(Knutepunkter!$D:$D,D316+1))</f>
        <v/>
      </c>
      <c r="I316" t="str">
        <f>IF(E316="","",INDEX(Knutepunkter!$B:$B,E316+1))</f>
        <v/>
      </c>
      <c r="J316" t="str">
        <f>IF(E316="","",INDEX(Knutepunkter!$C:$C,E316+1))</f>
        <v/>
      </c>
      <c r="K316" t="str">
        <f>IF(E316="","",INDEX(Knutepunkter!$D:$D,E316+1))</f>
        <v/>
      </c>
      <c r="L316" t="str">
        <f t="shared" si="23"/>
        <v/>
      </c>
      <c r="M316" t="str">
        <f t="shared" si="24"/>
        <v/>
      </c>
    </row>
    <row r="317" spans="1:13" x14ac:dyDescent="0.3">
      <c r="A317" t="str">
        <f>Segmenter!A317</f>
        <v/>
      </c>
      <c r="B317" t="str">
        <f>Segmenter!B317</f>
        <v/>
      </c>
      <c r="C317" t="str">
        <f t="shared" si="20"/>
        <v/>
      </c>
      <c r="D317" t="str">
        <f t="shared" si="21"/>
        <v/>
      </c>
      <c r="E317" t="str">
        <f t="shared" si="22"/>
        <v/>
      </c>
      <c r="F317" t="str">
        <f>IF(D317="","",INDEX(Knutepunkter!$B:$B,D317+1))</f>
        <v/>
      </c>
      <c r="G317" t="str">
        <f>IF(D317="","",INDEX(Knutepunkter!$C:$C,D317+1))</f>
        <v/>
      </c>
      <c r="H317" t="str">
        <f>IF(D317="","",INDEX(Knutepunkter!$D:$D,D317+1))</f>
        <v/>
      </c>
      <c r="I317" t="str">
        <f>IF(E317="","",INDEX(Knutepunkter!$B:$B,E317+1))</f>
        <v/>
      </c>
      <c r="J317" t="str">
        <f>IF(E317="","",INDEX(Knutepunkter!$C:$C,E317+1))</f>
        <v/>
      </c>
      <c r="K317" t="str">
        <f>IF(E317="","",INDEX(Knutepunkter!$D:$D,E317+1))</f>
        <v/>
      </c>
      <c r="L317" t="str">
        <f t="shared" si="23"/>
        <v/>
      </c>
      <c r="M317" t="str">
        <f t="shared" si="24"/>
        <v/>
      </c>
    </row>
    <row r="318" spans="1:13" x14ac:dyDescent="0.3">
      <c r="A318" t="str">
        <f>Segmenter!A318</f>
        <v/>
      </c>
      <c r="B318" t="str">
        <f>Segmenter!B318</f>
        <v/>
      </c>
      <c r="C318" t="str">
        <f t="shared" si="20"/>
        <v/>
      </c>
      <c r="D318" t="str">
        <f t="shared" si="21"/>
        <v/>
      </c>
      <c r="E318" t="str">
        <f t="shared" si="22"/>
        <v/>
      </c>
      <c r="F318" t="str">
        <f>IF(D318="","",INDEX(Knutepunkter!$B:$B,D318+1))</f>
        <v/>
      </c>
      <c r="G318" t="str">
        <f>IF(D318="","",INDEX(Knutepunkter!$C:$C,D318+1))</f>
        <v/>
      </c>
      <c r="H318" t="str">
        <f>IF(D318="","",INDEX(Knutepunkter!$D:$D,D318+1))</f>
        <v/>
      </c>
      <c r="I318" t="str">
        <f>IF(E318="","",INDEX(Knutepunkter!$B:$B,E318+1))</f>
        <v/>
      </c>
      <c r="J318" t="str">
        <f>IF(E318="","",INDEX(Knutepunkter!$C:$C,E318+1))</f>
        <v/>
      </c>
      <c r="K318" t="str">
        <f>IF(E318="","",INDEX(Knutepunkter!$D:$D,E318+1))</f>
        <v/>
      </c>
      <c r="L318" t="str">
        <f t="shared" si="23"/>
        <v/>
      </c>
      <c r="M318" t="str">
        <f t="shared" si="24"/>
        <v/>
      </c>
    </row>
    <row r="319" spans="1:13" x14ac:dyDescent="0.3">
      <c r="A319" t="str">
        <f>Segmenter!A319</f>
        <v/>
      </c>
      <c r="B319" t="str">
        <f>Segmenter!B319</f>
        <v/>
      </c>
      <c r="C319" t="str">
        <f t="shared" si="20"/>
        <v/>
      </c>
      <c r="D319" t="str">
        <f t="shared" si="21"/>
        <v/>
      </c>
      <c r="E319" t="str">
        <f t="shared" si="22"/>
        <v/>
      </c>
      <c r="F319" t="str">
        <f>IF(D319="","",INDEX(Knutepunkter!$B:$B,D319+1))</f>
        <v/>
      </c>
      <c r="G319" t="str">
        <f>IF(D319="","",INDEX(Knutepunkter!$C:$C,D319+1))</f>
        <v/>
      </c>
      <c r="H319" t="str">
        <f>IF(D319="","",INDEX(Knutepunkter!$D:$D,D319+1))</f>
        <v/>
      </c>
      <c r="I319" t="str">
        <f>IF(E319="","",INDEX(Knutepunkter!$B:$B,E319+1))</f>
        <v/>
      </c>
      <c r="J319" t="str">
        <f>IF(E319="","",INDEX(Knutepunkter!$C:$C,E319+1))</f>
        <v/>
      </c>
      <c r="K319" t="str">
        <f>IF(E319="","",INDEX(Knutepunkter!$D:$D,E319+1))</f>
        <v/>
      </c>
      <c r="L319" t="str">
        <f t="shared" si="23"/>
        <v/>
      </c>
      <c r="M319" t="str">
        <f t="shared" si="24"/>
        <v/>
      </c>
    </row>
    <row r="320" spans="1:13" x14ac:dyDescent="0.3">
      <c r="A320" t="str">
        <f>Segmenter!A320</f>
        <v/>
      </c>
      <c r="B320" t="str">
        <f>Segmenter!B320</f>
        <v/>
      </c>
      <c r="C320" t="str">
        <f t="shared" si="20"/>
        <v/>
      </c>
      <c r="D320" t="str">
        <f t="shared" si="21"/>
        <v/>
      </c>
      <c r="E320" t="str">
        <f t="shared" si="22"/>
        <v/>
      </c>
      <c r="F320" t="str">
        <f>IF(D320="","",INDEX(Knutepunkter!$B:$B,D320+1))</f>
        <v/>
      </c>
      <c r="G320" t="str">
        <f>IF(D320="","",INDEX(Knutepunkter!$C:$C,D320+1))</f>
        <v/>
      </c>
      <c r="H320" t="str">
        <f>IF(D320="","",INDEX(Knutepunkter!$D:$D,D320+1))</f>
        <v/>
      </c>
      <c r="I320" t="str">
        <f>IF(E320="","",INDEX(Knutepunkter!$B:$B,E320+1))</f>
        <v/>
      </c>
      <c r="J320" t="str">
        <f>IF(E320="","",INDEX(Knutepunkter!$C:$C,E320+1))</f>
        <v/>
      </c>
      <c r="K320" t="str">
        <f>IF(E320="","",INDEX(Knutepunkter!$D:$D,E320+1))</f>
        <v/>
      </c>
      <c r="L320" t="str">
        <f t="shared" si="23"/>
        <v/>
      </c>
      <c r="M320" t="str">
        <f t="shared" si="24"/>
        <v/>
      </c>
    </row>
    <row r="321" spans="1:13" x14ac:dyDescent="0.3">
      <c r="A321" t="str">
        <f>Segmenter!A321</f>
        <v/>
      </c>
      <c r="B321" t="str">
        <f>Segmenter!B321</f>
        <v/>
      </c>
      <c r="C321" t="str">
        <f t="shared" si="20"/>
        <v/>
      </c>
      <c r="D321" t="str">
        <f t="shared" si="21"/>
        <v/>
      </c>
      <c r="E321" t="str">
        <f t="shared" si="22"/>
        <v/>
      </c>
      <c r="F321" t="str">
        <f>IF(D321="","",INDEX(Knutepunkter!$B:$B,D321+1))</f>
        <v/>
      </c>
      <c r="G321" t="str">
        <f>IF(D321="","",INDEX(Knutepunkter!$C:$C,D321+1))</f>
        <v/>
      </c>
      <c r="H321" t="str">
        <f>IF(D321="","",INDEX(Knutepunkter!$D:$D,D321+1))</f>
        <v/>
      </c>
      <c r="I321" t="str">
        <f>IF(E321="","",INDEX(Knutepunkter!$B:$B,E321+1))</f>
        <v/>
      </c>
      <c r="J321" t="str">
        <f>IF(E321="","",INDEX(Knutepunkter!$C:$C,E321+1))</f>
        <v/>
      </c>
      <c r="K321" t="str">
        <f>IF(E321="","",INDEX(Knutepunkter!$D:$D,E321+1))</f>
        <v/>
      </c>
      <c r="L321" t="str">
        <f t="shared" si="23"/>
        <v/>
      </c>
      <c r="M321" t="str">
        <f t="shared" si="24"/>
        <v/>
      </c>
    </row>
    <row r="322" spans="1:13" x14ac:dyDescent="0.3">
      <c r="A322" t="str">
        <f>Segmenter!A322</f>
        <v/>
      </c>
      <c r="B322" t="str">
        <f>Segmenter!B322</f>
        <v/>
      </c>
      <c r="C322" t="str">
        <f t="shared" ref="C322:C385" si="25">IF(B322="","",IF(AND(F322=I322,G322=J322,H322&lt;&gt;K322),"Søyle","Bjelke"))</f>
        <v/>
      </c>
      <c r="D322" t="str">
        <f t="shared" ref="D322:D385" si="26">IF(B322="","",VALUE(LEFT(B322,FIND(" -&gt; ",B322)-1)))</f>
        <v/>
      </c>
      <c r="E322" t="str">
        <f t="shared" ref="E322:E385" si="27">IF(B322="","",VALUE(MID(B322,FIND(" -&gt; ",B322)+4,99)))</f>
        <v/>
      </c>
      <c r="F322" t="str">
        <f>IF(D322="","",INDEX(Knutepunkter!$B:$B,D322+1))</f>
        <v/>
      </c>
      <c r="G322" t="str">
        <f>IF(D322="","",INDEX(Knutepunkter!$C:$C,D322+1))</f>
        <v/>
      </c>
      <c r="H322" t="str">
        <f>IF(D322="","",INDEX(Knutepunkter!$D:$D,D322+1))</f>
        <v/>
      </c>
      <c r="I322" t="str">
        <f>IF(E322="","",INDEX(Knutepunkter!$B:$B,E322+1))</f>
        <v/>
      </c>
      <c r="J322" t="str">
        <f>IF(E322="","",INDEX(Knutepunkter!$C:$C,E322+1))</f>
        <v/>
      </c>
      <c r="K322" t="str">
        <f>IF(E322="","",INDEX(Knutepunkter!$D:$D,E322+1))</f>
        <v/>
      </c>
      <c r="L322" t="str">
        <f t="shared" ref="L322:L385" si="28">IF(B322="","",SQRT((I322-F322)^2+(J322-G322)^2+(K322-H322)^2))</f>
        <v/>
      </c>
      <c r="M322" t="str">
        <f t="shared" ref="M322:M385" si="29">IF(L322="","",L322/1000)</f>
        <v/>
      </c>
    </row>
    <row r="323" spans="1:13" x14ac:dyDescent="0.3">
      <c r="A323" t="str">
        <f>Segmenter!A323</f>
        <v/>
      </c>
      <c r="B323" t="str">
        <f>Segmenter!B323</f>
        <v/>
      </c>
      <c r="C323" t="str">
        <f t="shared" si="25"/>
        <v/>
      </c>
      <c r="D323" t="str">
        <f t="shared" si="26"/>
        <v/>
      </c>
      <c r="E323" t="str">
        <f t="shared" si="27"/>
        <v/>
      </c>
      <c r="F323" t="str">
        <f>IF(D323="","",INDEX(Knutepunkter!$B:$B,D323+1))</f>
        <v/>
      </c>
      <c r="G323" t="str">
        <f>IF(D323="","",INDEX(Knutepunkter!$C:$C,D323+1))</f>
        <v/>
      </c>
      <c r="H323" t="str">
        <f>IF(D323="","",INDEX(Knutepunkter!$D:$D,D323+1))</f>
        <v/>
      </c>
      <c r="I323" t="str">
        <f>IF(E323="","",INDEX(Knutepunkter!$B:$B,E323+1))</f>
        <v/>
      </c>
      <c r="J323" t="str">
        <f>IF(E323="","",INDEX(Knutepunkter!$C:$C,E323+1))</f>
        <v/>
      </c>
      <c r="K323" t="str">
        <f>IF(E323="","",INDEX(Knutepunkter!$D:$D,E323+1))</f>
        <v/>
      </c>
      <c r="L323" t="str">
        <f t="shared" si="28"/>
        <v/>
      </c>
      <c r="M323" t="str">
        <f t="shared" si="29"/>
        <v/>
      </c>
    </row>
    <row r="324" spans="1:13" x14ac:dyDescent="0.3">
      <c r="A324" t="str">
        <f>Segmenter!A324</f>
        <v/>
      </c>
      <c r="B324" t="str">
        <f>Segmenter!B324</f>
        <v/>
      </c>
      <c r="C324" t="str">
        <f t="shared" si="25"/>
        <v/>
      </c>
      <c r="D324" t="str">
        <f t="shared" si="26"/>
        <v/>
      </c>
      <c r="E324" t="str">
        <f t="shared" si="27"/>
        <v/>
      </c>
      <c r="F324" t="str">
        <f>IF(D324="","",INDEX(Knutepunkter!$B:$B,D324+1))</f>
        <v/>
      </c>
      <c r="G324" t="str">
        <f>IF(D324="","",INDEX(Knutepunkter!$C:$C,D324+1))</f>
        <v/>
      </c>
      <c r="H324" t="str">
        <f>IF(D324="","",INDEX(Knutepunkter!$D:$D,D324+1))</f>
        <v/>
      </c>
      <c r="I324" t="str">
        <f>IF(E324="","",INDEX(Knutepunkter!$B:$B,E324+1))</f>
        <v/>
      </c>
      <c r="J324" t="str">
        <f>IF(E324="","",INDEX(Knutepunkter!$C:$C,E324+1))</f>
        <v/>
      </c>
      <c r="K324" t="str">
        <f>IF(E324="","",INDEX(Knutepunkter!$D:$D,E324+1))</f>
        <v/>
      </c>
      <c r="L324" t="str">
        <f t="shared" si="28"/>
        <v/>
      </c>
      <c r="M324" t="str">
        <f t="shared" si="29"/>
        <v/>
      </c>
    </row>
    <row r="325" spans="1:13" x14ac:dyDescent="0.3">
      <c r="A325" t="str">
        <f>Segmenter!A325</f>
        <v/>
      </c>
      <c r="B325" t="str">
        <f>Segmenter!B325</f>
        <v/>
      </c>
      <c r="C325" t="str">
        <f t="shared" si="25"/>
        <v/>
      </c>
      <c r="D325" t="str">
        <f t="shared" si="26"/>
        <v/>
      </c>
      <c r="E325" t="str">
        <f t="shared" si="27"/>
        <v/>
      </c>
      <c r="F325" t="str">
        <f>IF(D325="","",INDEX(Knutepunkter!$B:$B,D325+1))</f>
        <v/>
      </c>
      <c r="G325" t="str">
        <f>IF(D325="","",INDEX(Knutepunkter!$C:$C,D325+1))</f>
        <v/>
      </c>
      <c r="H325" t="str">
        <f>IF(D325="","",INDEX(Knutepunkter!$D:$D,D325+1))</f>
        <v/>
      </c>
      <c r="I325" t="str">
        <f>IF(E325="","",INDEX(Knutepunkter!$B:$B,E325+1))</f>
        <v/>
      </c>
      <c r="J325" t="str">
        <f>IF(E325="","",INDEX(Knutepunkter!$C:$C,E325+1))</f>
        <v/>
      </c>
      <c r="K325" t="str">
        <f>IF(E325="","",INDEX(Knutepunkter!$D:$D,E325+1))</f>
        <v/>
      </c>
      <c r="L325" t="str">
        <f t="shared" si="28"/>
        <v/>
      </c>
      <c r="M325" t="str">
        <f t="shared" si="29"/>
        <v/>
      </c>
    </row>
    <row r="326" spans="1:13" x14ac:dyDescent="0.3">
      <c r="A326" t="str">
        <f>Segmenter!A326</f>
        <v/>
      </c>
      <c r="B326" t="str">
        <f>Segmenter!B326</f>
        <v/>
      </c>
      <c r="C326" t="str">
        <f t="shared" si="25"/>
        <v/>
      </c>
      <c r="D326" t="str">
        <f t="shared" si="26"/>
        <v/>
      </c>
      <c r="E326" t="str">
        <f t="shared" si="27"/>
        <v/>
      </c>
      <c r="F326" t="str">
        <f>IF(D326="","",INDEX(Knutepunkter!$B:$B,D326+1))</f>
        <v/>
      </c>
      <c r="G326" t="str">
        <f>IF(D326="","",INDEX(Knutepunkter!$C:$C,D326+1))</f>
        <v/>
      </c>
      <c r="H326" t="str">
        <f>IF(D326="","",INDEX(Knutepunkter!$D:$D,D326+1))</f>
        <v/>
      </c>
      <c r="I326" t="str">
        <f>IF(E326="","",INDEX(Knutepunkter!$B:$B,E326+1))</f>
        <v/>
      </c>
      <c r="J326" t="str">
        <f>IF(E326="","",INDEX(Knutepunkter!$C:$C,E326+1))</f>
        <v/>
      </c>
      <c r="K326" t="str">
        <f>IF(E326="","",INDEX(Knutepunkter!$D:$D,E326+1))</f>
        <v/>
      </c>
      <c r="L326" t="str">
        <f t="shared" si="28"/>
        <v/>
      </c>
      <c r="M326" t="str">
        <f t="shared" si="29"/>
        <v/>
      </c>
    </row>
    <row r="327" spans="1:13" x14ac:dyDescent="0.3">
      <c r="A327" t="str">
        <f>Segmenter!A327</f>
        <v/>
      </c>
      <c r="B327" t="str">
        <f>Segmenter!B327</f>
        <v/>
      </c>
      <c r="C327" t="str">
        <f t="shared" si="25"/>
        <v/>
      </c>
      <c r="D327" t="str">
        <f t="shared" si="26"/>
        <v/>
      </c>
      <c r="E327" t="str">
        <f t="shared" si="27"/>
        <v/>
      </c>
      <c r="F327" t="str">
        <f>IF(D327="","",INDEX(Knutepunkter!$B:$B,D327+1))</f>
        <v/>
      </c>
      <c r="G327" t="str">
        <f>IF(D327="","",INDEX(Knutepunkter!$C:$C,D327+1))</f>
        <v/>
      </c>
      <c r="H327" t="str">
        <f>IF(D327="","",INDEX(Knutepunkter!$D:$D,D327+1))</f>
        <v/>
      </c>
      <c r="I327" t="str">
        <f>IF(E327="","",INDEX(Knutepunkter!$B:$B,E327+1))</f>
        <v/>
      </c>
      <c r="J327" t="str">
        <f>IF(E327="","",INDEX(Knutepunkter!$C:$C,E327+1))</f>
        <v/>
      </c>
      <c r="K327" t="str">
        <f>IF(E327="","",INDEX(Knutepunkter!$D:$D,E327+1))</f>
        <v/>
      </c>
      <c r="L327" t="str">
        <f t="shared" si="28"/>
        <v/>
      </c>
      <c r="M327" t="str">
        <f t="shared" si="29"/>
        <v/>
      </c>
    </row>
    <row r="328" spans="1:13" x14ac:dyDescent="0.3">
      <c r="A328" t="str">
        <f>Segmenter!A328</f>
        <v/>
      </c>
      <c r="B328" t="str">
        <f>Segmenter!B328</f>
        <v/>
      </c>
      <c r="C328" t="str">
        <f t="shared" si="25"/>
        <v/>
      </c>
      <c r="D328" t="str">
        <f t="shared" si="26"/>
        <v/>
      </c>
      <c r="E328" t="str">
        <f t="shared" si="27"/>
        <v/>
      </c>
      <c r="F328" t="str">
        <f>IF(D328="","",INDEX(Knutepunkter!$B:$B,D328+1))</f>
        <v/>
      </c>
      <c r="G328" t="str">
        <f>IF(D328="","",INDEX(Knutepunkter!$C:$C,D328+1))</f>
        <v/>
      </c>
      <c r="H328" t="str">
        <f>IF(D328="","",INDEX(Knutepunkter!$D:$D,D328+1))</f>
        <v/>
      </c>
      <c r="I328" t="str">
        <f>IF(E328="","",INDEX(Knutepunkter!$B:$B,E328+1))</f>
        <v/>
      </c>
      <c r="J328" t="str">
        <f>IF(E328="","",INDEX(Knutepunkter!$C:$C,E328+1))</f>
        <v/>
      </c>
      <c r="K328" t="str">
        <f>IF(E328="","",INDEX(Knutepunkter!$D:$D,E328+1))</f>
        <v/>
      </c>
      <c r="L328" t="str">
        <f t="shared" si="28"/>
        <v/>
      </c>
      <c r="M328" t="str">
        <f t="shared" si="29"/>
        <v/>
      </c>
    </row>
    <row r="329" spans="1:13" x14ac:dyDescent="0.3">
      <c r="A329" t="str">
        <f>Segmenter!A329</f>
        <v/>
      </c>
      <c r="B329" t="str">
        <f>Segmenter!B329</f>
        <v/>
      </c>
      <c r="C329" t="str">
        <f t="shared" si="25"/>
        <v/>
      </c>
      <c r="D329" t="str">
        <f t="shared" si="26"/>
        <v/>
      </c>
      <c r="E329" t="str">
        <f t="shared" si="27"/>
        <v/>
      </c>
      <c r="F329" t="str">
        <f>IF(D329="","",INDEX(Knutepunkter!$B:$B,D329+1))</f>
        <v/>
      </c>
      <c r="G329" t="str">
        <f>IF(D329="","",INDEX(Knutepunkter!$C:$C,D329+1))</f>
        <v/>
      </c>
      <c r="H329" t="str">
        <f>IF(D329="","",INDEX(Knutepunkter!$D:$D,D329+1))</f>
        <v/>
      </c>
      <c r="I329" t="str">
        <f>IF(E329="","",INDEX(Knutepunkter!$B:$B,E329+1))</f>
        <v/>
      </c>
      <c r="J329" t="str">
        <f>IF(E329="","",INDEX(Knutepunkter!$C:$C,E329+1))</f>
        <v/>
      </c>
      <c r="K329" t="str">
        <f>IF(E329="","",INDEX(Knutepunkter!$D:$D,E329+1))</f>
        <v/>
      </c>
      <c r="L329" t="str">
        <f t="shared" si="28"/>
        <v/>
      </c>
      <c r="M329" t="str">
        <f t="shared" si="29"/>
        <v/>
      </c>
    </row>
    <row r="330" spans="1:13" x14ac:dyDescent="0.3">
      <c r="A330" t="str">
        <f>Segmenter!A330</f>
        <v/>
      </c>
      <c r="B330" t="str">
        <f>Segmenter!B330</f>
        <v/>
      </c>
      <c r="C330" t="str">
        <f t="shared" si="25"/>
        <v/>
      </c>
      <c r="D330" t="str">
        <f t="shared" si="26"/>
        <v/>
      </c>
      <c r="E330" t="str">
        <f t="shared" si="27"/>
        <v/>
      </c>
      <c r="F330" t="str">
        <f>IF(D330="","",INDEX(Knutepunkter!$B:$B,D330+1))</f>
        <v/>
      </c>
      <c r="G330" t="str">
        <f>IF(D330="","",INDEX(Knutepunkter!$C:$C,D330+1))</f>
        <v/>
      </c>
      <c r="H330" t="str">
        <f>IF(D330="","",INDEX(Knutepunkter!$D:$D,D330+1))</f>
        <v/>
      </c>
      <c r="I330" t="str">
        <f>IF(E330="","",INDEX(Knutepunkter!$B:$B,E330+1))</f>
        <v/>
      </c>
      <c r="J330" t="str">
        <f>IF(E330="","",INDEX(Knutepunkter!$C:$C,E330+1))</f>
        <v/>
      </c>
      <c r="K330" t="str">
        <f>IF(E330="","",INDEX(Knutepunkter!$D:$D,E330+1))</f>
        <v/>
      </c>
      <c r="L330" t="str">
        <f t="shared" si="28"/>
        <v/>
      </c>
      <c r="M330" t="str">
        <f t="shared" si="29"/>
        <v/>
      </c>
    </row>
    <row r="331" spans="1:13" x14ac:dyDescent="0.3">
      <c r="A331" t="str">
        <f>Segmenter!A331</f>
        <v/>
      </c>
      <c r="B331" t="str">
        <f>Segmenter!B331</f>
        <v/>
      </c>
      <c r="C331" t="str">
        <f t="shared" si="25"/>
        <v/>
      </c>
      <c r="D331" t="str">
        <f t="shared" si="26"/>
        <v/>
      </c>
      <c r="E331" t="str">
        <f t="shared" si="27"/>
        <v/>
      </c>
      <c r="F331" t="str">
        <f>IF(D331="","",INDEX(Knutepunkter!$B:$B,D331+1))</f>
        <v/>
      </c>
      <c r="G331" t="str">
        <f>IF(D331="","",INDEX(Knutepunkter!$C:$C,D331+1))</f>
        <v/>
      </c>
      <c r="H331" t="str">
        <f>IF(D331="","",INDEX(Knutepunkter!$D:$D,D331+1))</f>
        <v/>
      </c>
      <c r="I331" t="str">
        <f>IF(E331="","",INDEX(Knutepunkter!$B:$B,E331+1))</f>
        <v/>
      </c>
      <c r="J331" t="str">
        <f>IF(E331="","",INDEX(Knutepunkter!$C:$C,E331+1))</f>
        <v/>
      </c>
      <c r="K331" t="str">
        <f>IF(E331="","",INDEX(Knutepunkter!$D:$D,E331+1))</f>
        <v/>
      </c>
      <c r="L331" t="str">
        <f t="shared" si="28"/>
        <v/>
      </c>
      <c r="M331" t="str">
        <f t="shared" si="29"/>
        <v/>
      </c>
    </row>
    <row r="332" spans="1:13" x14ac:dyDescent="0.3">
      <c r="A332" t="str">
        <f>Segmenter!A332</f>
        <v/>
      </c>
      <c r="B332" t="str">
        <f>Segmenter!B332</f>
        <v/>
      </c>
      <c r="C332" t="str">
        <f t="shared" si="25"/>
        <v/>
      </c>
      <c r="D332" t="str">
        <f t="shared" si="26"/>
        <v/>
      </c>
      <c r="E332" t="str">
        <f t="shared" si="27"/>
        <v/>
      </c>
      <c r="F332" t="str">
        <f>IF(D332="","",INDEX(Knutepunkter!$B:$B,D332+1))</f>
        <v/>
      </c>
      <c r="G332" t="str">
        <f>IF(D332="","",INDEX(Knutepunkter!$C:$C,D332+1))</f>
        <v/>
      </c>
      <c r="H332" t="str">
        <f>IF(D332="","",INDEX(Knutepunkter!$D:$D,D332+1))</f>
        <v/>
      </c>
      <c r="I332" t="str">
        <f>IF(E332="","",INDEX(Knutepunkter!$B:$B,E332+1))</f>
        <v/>
      </c>
      <c r="J332" t="str">
        <f>IF(E332="","",INDEX(Knutepunkter!$C:$C,E332+1))</f>
        <v/>
      </c>
      <c r="K332" t="str">
        <f>IF(E332="","",INDEX(Knutepunkter!$D:$D,E332+1))</f>
        <v/>
      </c>
      <c r="L332" t="str">
        <f t="shared" si="28"/>
        <v/>
      </c>
      <c r="M332" t="str">
        <f t="shared" si="29"/>
        <v/>
      </c>
    </row>
    <row r="333" spans="1:13" x14ac:dyDescent="0.3">
      <c r="A333" t="str">
        <f>Segmenter!A333</f>
        <v/>
      </c>
      <c r="B333" t="str">
        <f>Segmenter!B333</f>
        <v/>
      </c>
      <c r="C333" t="str">
        <f t="shared" si="25"/>
        <v/>
      </c>
      <c r="D333" t="str">
        <f t="shared" si="26"/>
        <v/>
      </c>
      <c r="E333" t="str">
        <f t="shared" si="27"/>
        <v/>
      </c>
      <c r="F333" t="str">
        <f>IF(D333="","",INDEX(Knutepunkter!$B:$B,D333+1))</f>
        <v/>
      </c>
      <c r="G333" t="str">
        <f>IF(D333="","",INDEX(Knutepunkter!$C:$C,D333+1))</f>
        <v/>
      </c>
      <c r="H333" t="str">
        <f>IF(D333="","",INDEX(Knutepunkter!$D:$D,D333+1))</f>
        <v/>
      </c>
      <c r="I333" t="str">
        <f>IF(E333="","",INDEX(Knutepunkter!$B:$B,E333+1))</f>
        <v/>
      </c>
      <c r="J333" t="str">
        <f>IF(E333="","",INDEX(Knutepunkter!$C:$C,E333+1))</f>
        <v/>
      </c>
      <c r="K333" t="str">
        <f>IF(E333="","",INDEX(Knutepunkter!$D:$D,E333+1))</f>
        <v/>
      </c>
      <c r="L333" t="str">
        <f t="shared" si="28"/>
        <v/>
      </c>
      <c r="M333" t="str">
        <f t="shared" si="29"/>
        <v/>
      </c>
    </row>
    <row r="334" spans="1:13" x14ac:dyDescent="0.3">
      <c r="A334" t="str">
        <f>Segmenter!A334</f>
        <v/>
      </c>
      <c r="B334" t="str">
        <f>Segmenter!B334</f>
        <v/>
      </c>
      <c r="C334" t="str">
        <f t="shared" si="25"/>
        <v/>
      </c>
      <c r="D334" t="str">
        <f t="shared" si="26"/>
        <v/>
      </c>
      <c r="E334" t="str">
        <f t="shared" si="27"/>
        <v/>
      </c>
      <c r="F334" t="str">
        <f>IF(D334="","",INDEX(Knutepunkter!$B:$B,D334+1))</f>
        <v/>
      </c>
      <c r="G334" t="str">
        <f>IF(D334="","",INDEX(Knutepunkter!$C:$C,D334+1))</f>
        <v/>
      </c>
      <c r="H334" t="str">
        <f>IF(D334="","",INDEX(Knutepunkter!$D:$D,D334+1))</f>
        <v/>
      </c>
      <c r="I334" t="str">
        <f>IF(E334="","",INDEX(Knutepunkter!$B:$B,E334+1))</f>
        <v/>
      </c>
      <c r="J334" t="str">
        <f>IF(E334="","",INDEX(Knutepunkter!$C:$C,E334+1))</f>
        <v/>
      </c>
      <c r="K334" t="str">
        <f>IF(E334="","",INDEX(Knutepunkter!$D:$D,E334+1))</f>
        <v/>
      </c>
      <c r="L334" t="str">
        <f t="shared" si="28"/>
        <v/>
      </c>
      <c r="M334" t="str">
        <f t="shared" si="29"/>
        <v/>
      </c>
    </row>
    <row r="335" spans="1:13" x14ac:dyDescent="0.3">
      <c r="A335" t="str">
        <f>Segmenter!A335</f>
        <v/>
      </c>
      <c r="B335" t="str">
        <f>Segmenter!B335</f>
        <v/>
      </c>
      <c r="C335" t="str">
        <f t="shared" si="25"/>
        <v/>
      </c>
      <c r="D335" t="str">
        <f t="shared" si="26"/>
        <v/>
      </c>
      <c r="E335" t="str">
        <f t="shared" si="27"/>
        <v/>
      </c>
      <c r="F335" t="str">
        <f>IF(D335="","",INDEX(Knutepunkter!$B:$B,D335+1))</f>
        <v/>
      </c>
      <c r="G335" t="str">
        <f>IF(D335="","",INDEX(Knutepunkter!$C:$C,D335+1))</f>
        <v/>
      </c>
      <c r="H335" t="str">
        <f>IF(D335="","",INDEX(Knutepunkter!$D:$D,D335+1))</f>
        <v/>
      </c>
      <c r="I335" t="str">
        <f>IF(E335="","",INDEX(Knutepunkter!$B:$B,E335+1))</f>
        <v/>
      </c>
      <c r="J335" t="str">
        <f>IF(E335="","",INDEX(Knutepunkter!$C:$C,E335+1))</f>
        <v/>
      </c>
      <c r="K335" t="str">
        <f>IF(E335="","",INDEX(Knutepunkter!$D:$D,E335+1))</f>
        <v/>
      </c>
      <c r="L335" t="str">
        <f t="shared" si="28"/>
        <v/>
      </c>
      <c r="M335" t="str">
        <f t="shared" si="29"/>
        <v/>
      </c>
    </row>
    <row r="336" spans="1:13" x14ac:dyDescent="0.3">
      <c r="A336" t="str">
        <f>Segmenter!A336</f>
        <v/>
      </c>
      <c r="B336" t="str">
        <f>Segmenter!B336</f>
        <v/>
      </c>
      <c r="C336" t="str">
        <f t="shared" si="25"/>
        <v/>
      </c>
      <c r="D336" t="str">
        <f t="shared" si="26"/>
        <v/>
      </c>
      <c r="E336" t="str">
        <f t="shared" si="27"/>
        <v/>
      </c>
      <c r="F336" t="str">
        <f>IF(D336="","",INDEX(Knutepunkter!$B:$B,D336+1))</f>
        <v/>
      </c>
      <c r="G336" t="str">
        <f>IF(D336="","",INDEX(Knutepunkter!$C:$C,D336+1))</f>
        <v/>
      </c>
      <c r="H336" t="str">
        <f>IF(D336="","",INDEX(Knutepunkter!$D:$D,D336+1))</f>
        <v/>
      </c>
      <c r="I336" t="str">
        <f>IF(E336="","",INDEX(Knutepunkter!$B:$B,E336+1))</f>
        <v/>
      </c>
      <c r="J336" t="str">
        <f>IF(E336="","",INDEX(Knutepunkter!$C:$C,E336+1))</f>
        <v/>
      </c>
      <c r="K336" t="str">
        <f>IF(E336="","",INDEX(Knutepunkter!$D:$D,E336+1))</f>
        <v/>
      </c>
      <c r="L336" t="str">
        <f t="shared" si="28"/>
        <v/>
      </c>
      <c r="M336" t="str">
        <f t="shared" si="29"/>
        <v/>
      </c>
    </row>
    <row r="337" spans="1:13" x14ac:dyDescent="0.3">
      <c r="A337" t="str">
        <f>Segmenter!A337</f>
        <v/>
      </c>
      <c r="B337" t="str">
        <f>Segmenter!B337</f>
        <v/>
      </c>
      <c r="C337" t="str">
        <f t="shared" si="25"/>
        <v/>
      </c>
      <c r="D337" t="str">
        <f t="shared" si="26"/>
        <v/>
      </c>
      <c r="E337" t="str">
        <f t="shared" si="27"/>
        <v/>
      </c>
      <c r="F337" t="str">
        <f>IF(D337="","",INDEX(Knutepunkter!$B:$B,D337+1))</f>
        <v/>
      </c>
      <c r="G337" t="str">
        <f>IF(D337="","",INDEX(Knutepunkter!$C:$C,D337+1))</f>
        <v/>
      </c>
      <c r="H337" t="str">
        <f>IF(D337="","",INDEX(Knutepunkter!$D:$D,D337+1))</f>
        <v/>
      </c>
      <c r="I337" t="str">
        <f>IF(E337="","",INDEX(Knutepunkter!$B:$B,E337+1))</f>
        <v/>
      </c>
      <c r="J337" t="str">
        <f>IF(E337="","",INDEX(Knutepunkter!$C:$C,E337+1))</f>
        <v/>
      </c>
      <c r="K337" t="str">
        <f>IF(E337="","",INDEX(Knutepunkter!$D:$D,E337+1))</f>
        <v/>
      </c>
      <c r="L337" t="str">
        <f t="shared" si="28"/>
        <v/>
      </c>
      <c r="M337" t="str">
        <f t="shared" si="29"/>
        <v/>
      </c>
    </row>
    <row r="338" spans="1:13" x14ac:dyDescent="0.3">
      <c r="A338" t="str">
        <f>Segmenter!A338</f>
        <v/>
      </c>
      <c r="B338" t="str">
        <f>Segmenter!B338</f>
        <v/>
      </c>
      <c r="C338" t="str">
        <f t="shared" si="25"/>
        <v/>
      </c>
      <c r="D338" t="str">
        <f t="shared" si="26"/>
        <v/>
      </c>
      <c r="E338" t="str">
        <f t="shared" si="27"/>
        <v/>
      </c>
      <c r="F338" t="str">
        <f>IF(D338="","",INDEX(Knutepunkter!$B:$B,D338+1))</f>
        <v/>
      </c>
      <c r="G338" t="str">
        <f>IF(D338="","",INDEX(Knutepunkter!$C:$C,D338+1))</f>
        <v/>
      </c>
      <c r="H338" t="str">
        <f>IF(D338="","",INDEX(Knutepunkter!$D:$D,D338+1))</f>
        <v/>
      </c>
      <c r="I338" t="str">
        <f>IF(E338="","",INDEX(Knutepunkter!$B:$B,E338+1))</f>
        <v/>
      </c>
      <c r="J338" t="str">
        <f>IF(E338="","",INDEX(Knutepunkter!$C:$C,E338+1))</f>
        <v/>
      </c>
      <c r="K338" t="str">
        <f>IF(E338="","",INDEX(Knutepunkter!$D:$D,E338+1))</f>
        <v/>
      </c>
      <c r="L338" t="str">
        <f t="shared" si="28"/>
        <v/>
      </c>
      <c r="M338" t="str">
        <f t="shared" si="29"/>
        <v/>
      </c>
    </row>
    <row r="339" spans="1:13" x14ac:dyDescent="0.3">
      <c r="A339" t="str">
        <f>Segmenter!A339</f>
        <v/>
      </c>
      <c r="B339" t="str">
        <f>Segmenter!B339</f>
        <v/>
      </c>
      <c r="C339" t="str">
        <f t="shared" si="25"/>
        <v/>
      </c>
      <c r="D339" t="str">
        <f t="shared" si="26"/>
        <v/>
      </c>
      <c r="E339" t="str">
        <f t="shared" si="27"/>
        <v/>
      </c>
      <c r="F339" t="str">
        <f>IF(D339="","",INDEX(Knutepunkter!$B:$B,D339+1))</f>
        <v/>
      </c>
      <c r="G339" t="str">
        <f>IF(D339="","",INDEX(Knutepunkter!$C:$C,D339+1))</f>
        <v/>
      </c>
      <c r="H339" t="str">
        <f>IF(D339="","",INDEX(Knutepunkter!$D:$D,D339+1))</f>
        <v/>
      </c>
      <c r="I339" t="str">
        <f>IF(E339="","",INDEX(Knutepunkter!$B:$B,E339+1))</f>
        <v/>
      </c>
      <c r="J339" t="str">
        <f>IF(E339="","",INDEX(Knutepunkter!$C:$C,E339+1))</f>
        <v/>
      </c>
      <c r="K339" t="str">
        <f>IF(E339="","",INDEX(Knutepunkter!$D:$D,E339+1))</f>
        <v/>
      </c>
      <c r="L339" t="str">
        <f t="shared" si="28"/>
        <v/>
      </c>
      <c r="M339" t="str">
        <f t="shared" si="29"/>
        <v/>
      </c>
    </row>
    <row r="340" spans="1:13" x14ac:dyDescent="0.3">
      <c r="A340" t="str">
        <f>Segmenter!A340</f>
        <v/>
      </c>
      <c r="B340" t="str">
        <f>Segmenter!B340</f>
        <v/>
      </c>
      <c r="C340" t="str">
        <f t="shared" si="25"/>
        <v/>
      </c>
      <c r="D340" t="str">
        <f t="shared" si="26"/>
        <v/>
      </c>
      <c r="E340" t="str">
        <f t="shared" si="27"/>
        <v/>
      </c>
      <c r="F340" t="str">
        <f>IF(D340="","",INDEX(Knutepunkter!$B:$B,D340+1))</f>
        <v/>
      </c>
      <c r="G340" t="str">
        <f>IF(D340="","",INDEX(Knutepunkter!$C:$C,D340+1))</f>
        <v/>
      </c>
      <c r="H340" t="str">
        <f>IF(D340="","",INDEX(Knutepunkter!$D:$D,D340+1))</f>
        <v/>
      </c>
      <c r="I340" t="str">
        <f>IF(E340="","",INDEX(Knutepunkter!$B:$B,E340+1))</f>
        <v/>
      </c>
      <c r="J340" t="str">
        <f>IF(E340="","",INDEX(Knutepunkter!$C:$C,E340+1))</f>
        <v/>
      </c>
      <c r="K340" t="str">
        <f>IF(E340="","",INDEX(Knutepunkter!$D:$D,E340+1))</f>
        <v/>
      </c>
      <c r="L340" t="str">
        <f t="shared" si="28"/>
        <v/>
      </c>
      <c r="M340" t="str">
        <f t="shared" si="29"/>
        <v/>
      </c>
    </row>
    <row r="341" spans="1:13" x14ac:dyDescent="0.3">
      <c r="A341" t="str">
        <f>Segmenter!A341</f>
        <v/>
      </c>
      <c r="B341" t="str">
        <f>Segmenter!B341</f>
        <v/>
      </c>
      <c r="C341" t="str">
        <f t="shared" si="25"/>
        <v/>
      </c>
      <c r="D341" t="str">
        <f t="shared" si="26"/>
        <v/>
      </c>
      <c r="E341" t="str">
        <f t="shared" si="27"/>
        <v/>
      </c>
      <c r="F341" t="str">
        <f>IF(D341="","",INDEX(Knutepunkter!$B:$B,D341+1))</f>
        <v/>
      </c>
      <c r="G341" t="str">
        <f>IF(D341="","",INDEX(Knutepunkter!$C:$C,D341+1))</f>
        <v/>
      </c>
      <c r="H341" t="str">
        <f>IF(D341="","",INDEX(Knutepunkter!$D:$D,D341+1))</f>
        <v/>
      </c>
      <c r="I341" t="str">
        <f>IF(E341="","",INDEX(Knutepunkter!$B:$B,E341+1))</f>
        <v/>
      </c>
      <c r="J341" t="str">
        <f>IF(E341="","",INDEX(Knutepunkter!$C:$C,E341+1))</f>
        <v/>
      </c>
      <c r="K341" t="str">
        <f>IF(E341="","",INDEX(Knutepunkter!$D:$D,E341+1))</f>
        <v/>
      </c>
      <c r="L341" t="str">
        <f t="shared" si="28"/>
        <v/>
      </c>
      <c r="M341" t="str">
        <f t="shared" si="29"/>
        <v/>
      </c>
    </row>
    <row r="342" spans="1:13" x14ac:dyDescent="0.3">
      <c r="A342" t="str">
        <f>Segmenter!A342</f>
        <v/>
      </c>
      <c r="B342" t="str">
        <f>Segmenter!B342</f>
        <v/>
      </c>
      <c r="C342" t="str">
        <f t="shared" si="25"/>
        <v/>
      </c>
      <c r="D342" t="str">
        <f t="shared" si="26"/>
        <v/>
      </c>
      <c r="E342" t="str">
        <f t="shared" si="27"/>
        <v/>
      </c>
      <c r="F342" t="str">
        <f>IF(D342="","",INDEX(Knutepunkter!$B:$B,D342+1))</f>
        <v/>
      </c>
      <c r="G342" t="str">
        <f>IF(D342="","",INDEX(Knutepunkter!$C:$C,D342+1))</f>
        <v/>
      </c>
      <c r="H342" t="str">
        <f>IF(D342="","",INDEX(Knutepunkter!$D:$D,D342+1))</f>
        <v/>
      </c>
      <c r="I342" t="str">
        <f>IF(E342="","",INDEX(Knutepunkter!$B:$B,E342+1))</f>
        <v/>
      </c>
      <c r="J342" t="str">
        <f>IF(E342="","",INDEX(Knutepunkter!$C:$C,E342+1))</f>
        <v/>
      </c>
      <c r="K342" t="str">
        <f>IF(E342="","",INDEX(Knutepunkter!$D:$D,E342+1))</f>
        <v/>
      </c>
      <c r="L342" t="str">
        <f t="shared" si="28"/>
        <v/>
      </c>
      <c r="M342" t="str">
        <f t="shared" si="29"/>
        <v/>
      </c>
    </row>
    <row r="343" spans="1:13" x14ac:dyDescent="0.3">
      <c r="A343" t="str">
        <f>Segmenter!A343</f>
        <v/>
      </c>
      <c r="B343" t="str">
        <f>Segmenter!B343</f>
        <v/>
      </c>
      <c r="C343" t="str">
        <f t="shared" si="25"/>
        <v/>
      </c>
      <c r="D343" t="str">
        <f t="shared" si="26"/>
        <v/>
      </c>
      <c r="E343" t="str">
        <f t="shared" si="27"/>
        <v/>
      </c>
      <c r="F343" t="str">
        <f>IF(D343="","",INDEX(Knutepunkter!$B:$B,D343+1))</f>
        <v/>
      </c>
      <c r="G343" t="str">
        <f>IF(D343="","",INDEX(Knutepunkter!$C:$C,D343+1))</f>
        <v/>
      </c>
      <c r="H343" t="str">
        <f>IF(D343="","",INDEX(Knutepunkter!$D:$D,D343+1))</f>
        <v/>
      </c>
      <c r="I343" t="str">
        <f>IF(E343="","",INDEX(Knutepunkter!$B:$B,E343+1))</f>
        <v/>
      </c>
      <c r="J343" t="str">
        <f>IF(E343="","",INDEX(Knutepunkter!$C:$C,E343+1))</f>
        <v/>
      </c>
      <c r="K343" t="str">
        <f>IF(E343="","",INDEX(Knutepunkter!$D:$D,E343+1))</f>
        <v/>
      </c>
      <c r="L343" t="str">
        <f t="shared" si="28"/>
        <v/>
      </c>
      <c r="M343" t="str">
        <f t="shared" si="29"/>
        <v/>
      </c>
    </row>
    <row r="344" spans="1:13" x14ac:dyDescent="0.3">
      <c r="A344" t="str">
        <f>Segmenter!A344</f>
        <v/>
      </c>
      <c r="B344" t="str">
        <f>Segmenter!B344</f>
        <v/>
      </c>
      <c r="C344" t="str">
        <f t="shared" si="25"/>
        <v/>
      </c>
      <c r="D344" t="str">
        <f t="shared" si="26"/>
        <v/>
      </c>
      <c r="E344" t="str">
        <f t="shared" si="27"/>
        <v/>
      </c>
      <c r="F344" t="str">
        <f>IF(D344="","",INDEX(Knutepunkter!$B:$B,D344+1))</f>
        <v/>
      </c>
      <c r="G344" t="str">
        <f>IF(D344="","",INDEX(Knutepunkter!$C:$C,D344+1))</f>
        <v/>
      </c>
      <c r="H344" t="str">
        <f>IF(D344="","",INDEX(Knutepunkter!$D:$D,D344+1))</f>
        <v/>
      </c>
      <c r="I344" t="str">
        <f>IF(E344="","",INDEX(Knutepunkter!$B:$B,E344+1))</f>
        <v/>
      </c>
      <c r="J344" t="str">
        <f>IF(E344="","",INDEX(Knutepunkter!$C:$C,E344+1))</f>
        <v/>
      </c>
      <c r="K344" t="str">
        <f>IF(E344="","",INDEX(Knutepunkter!$D:$D,E344+1))</f>
        <v/>
      </c>
      <c r="L344" t="str">
        <f t="shared" si="28"/>
        <v/>
      </c>
      <c r="M344" t="str">
        <f t="shared" si="29"/>
        <v/>
      </c>
    </row>
    <row r="345" spans="1:13" x14ac:dyDescent="0.3">
      <c r="A345" t="str">
        <f>Segmenter!A345</f>
        <v/>
      </c>
      <c r="B345" t="str">
        <f>Segmenter!B345</f>
        <v/>
      </c>
      <c r="C345" t="str">
        <f t="shared" si="25"/>
        <v/>
      </c>
      <c r="D345" t="str">
        <f t="shared" si="26"/>
        <v/>
      </c>
      <c r="E345" t="str">
        <f t="shared" si="27"/>
        <v/>
      </c>
      <c r="F345" t="str">
        <f>IF(D345="","",INDEX(Knutepunkter!$B:$B,D345+1))</f>
        <v/>
      </c>
      <c r="G345" t="str">
        <f>IF(D345="","",INDEX(Knutepunkter!$C:$C,D345+1))</f>
        <v/>
      </c>
      <c r="H345" t="str">
        <f>IF(D345="","",INDEX(Knutepunkter!$D:$D,D345+1))</f>
        <v/>
      </c>
      <c r="I345" t="str">
        <f>IF(E345="","",INDEX(Knutepunkter!$B:$B,E345+1))</f>
        <v/>
      </c>
      <c r="J345" t="str">
        <f>IF(E345="","",INDEX(Knutepunkter!$C:$C,E345+1))</f>
        <v/>
      </c>
      <c r="K345" t="str">
        <f>IF(E345="","",INDEX(Knutepunkter!$D:$D,E345+1))</f>
        <v/>
      </c>
      <c r="L345" t="str">
        <f t="shared" si="28"/>
        <v/>
      </c>
      <c r="M345" t="str">
        <f t="shared" si="29"/>
        <v/>
      </c>
    </row>
    <row r="346" spans="1:13" x14ac:dyDescent="0.3">
      <c r="A346" t="str">
        <f>Segmenter!A346</f>
        <v/>
      </c>
      <c r="B346" t="str">
        <f>Segmenter!B346</f>
        <v/>
      </c>
      <c r="C346" t="str">
        <f t="shared" si="25"/>
        <v/>
      </c>
      <c r="D346" t="str">
        <f t="shared" si="26"/>
        <v/>
      </c>
      <c r="E346" t="str">
        <f t="shared" si="27"/>
        <v/>
      </c>
      <c r="F346" t="str">
        <f>IF(D346="","",INDEX(Knutepunkter!$B:$B,D346+1))</f>
        <v/>
      </c>
      <c r="G346" t="str">
        <f>IF(D346="","",INDEX(Knutepunkter!$C:$C,D346+1))</f>
        <v/>
      </c>
      <c r="H346" t="str">
        <f>IF(D346="","",INDEX(Knutepunkter!$D:$D,D346+1))</f>
        <v/>
      </c>
      <c r="I346" t="str">
        <f>IF(E346="","",INDEX(Knutepunkter!$B:$B,E346+1))</f>
        <v/>
      </c>
      <c r="J346" t="str">
        <f>IF(E346="","",INDEX(Knutepunkter!$C:$C,E346+1))</f>
        <v/>
      </c>
      <c r="K346" t="str">
        <f>IF(E346="","",INDEX(Knutepunkter!$D:$D,E346+1))</f>
        <v/>
      </c>
      <c r="L346" t="str">
        <f t="shared" si="28"/>
        <v/>
      </c>
      <c r="M346" t="str">
        <f t="shared" si="29"/>
        <v/>
      </c>
    </row>
    <row r="347" spans="1:13" x14ac:dyDescent="0.3">
      <c r="A347" t="str">
        <f>Segmenter!A347</f>
        <v/>
      </c>
      <c r="B347" t="str">
        <f>Segmenter!B347</f>
        <v/>
      </c>
      <c r="C347" t="str">
        <f t="shared" si="25"/>
        <v/>
      </c>
      <c r="D347" t="str">
        <f t="shared" si="26"/>
        <v/>
      </c>
      <c r="E347" t="str">
        <f t="shared" si="27"/>
        <v/>
      </c>
      <c r="F347" t="str">
        <f>IF(D347="","",INDEX(Knutepunkter!$B:$B,D347+1))</f>
        <v/>
      </c>
      <c r="G347" t="str">
        <f>IF(D347="","",INDEX(Knutepunkter!$C:$C,D347+1))</f>
        <v/>
      </c>
      <c r="H347" t="str">
        <f>IF(D347="","",INDEX(Knutepunkter!$D:$D,D347+1))</f>
        <v/>
      </c>
      <c r="I347" t="str">
        <f>IF(E347="","",INDEX(Knutepunkter!$B:$B,E347+1))</f>
        <v/>
      </c>
      <c r="J347" t="str">
        <f>IF(E347="","",INDEX(Knutepunkter!$C:$C,E347+1))</f>
        <v/>
      </c>
      <c r="K347" t="str">
        <f>IF(E347="","",INDEX(Knutepunkter!$D:$D,E347+1))</f>
        <v/>
      </c>
      <c r="L347" t="str">
        <f t="shared" si="28"/>
        <v/>
      </c>
      <c r="M347" t="str">
        <f t="shared" si="29"/>
        <v/>
      </c>
    </row>
    <row r="348" spans="1:13" x14ac:dyDescent="0.3">
      <c r="A348" t="str">
        <f>Segmenter!A348</f>
        <v/>
      </c>
      <c r="B348" t="str">
        <f>Segmenter!B348</f>
        <v/>
      </c>
      <c r="C348" t="str">
        <f t="shared" si="25"/>
        <v/>
      </c>
      <c r="D348" t="str">
        <f t="shared" si="26"/>
        <v/>
      </c>
      <c r="E348" t="str">
        <f t="shared" si="27"/>
        <v/>
      </c>
      <c r="F348" t="str">
        <f>IF(D348="","",INDEX(Knutepunkter!$B:$B,D348+1))</f>
        <v/>
      </c>
      <c r="G348" t="str">
        <f>IF(D348="","",INDEX(Knutepunkter!$C:$C,D348+1))</f>
        <v/>
      </c>
      <c r="H348" t="str">
        <f>IF(D348="","",INDEX(Knutepunkter!$D:$D,D348+1))</f>
        <v/>
      </c>
      <c r="I348" t="str">
        <f>IF(E348="","",INDEX(Knutepunkter!$B:$B,E348+1))</f>
        <v/>
      </c>
      <c r="J348" t="str">
        <f>IF(E348="","",INDEX(Knutepunkter!$C:$C,E348+1))</f>
        <v/>
      </c>
      <c r="K348" t="str">
        <f>IF(E348="","",INDEX(Knutepunkter!$D:$D,E348+1))</f>
        <v/>
      </c>
      <c r="L348" t="str">
        <f t="shared" si="28"/>
        <v/>
      </c>
      <c r="M348" t="str">
        <f t="shared" si="29"/>
        <v/>
      </c>
    </row>
    <row r="349" spans="1:13" x14ac:dyDescent="0.3">
      <c r="A349" t="str">
        <f>Segmenter!A349</f>
        <v/>
      </c>
      <c r="B349" t="str">
        <f>Segmenter!B349</f>
        <v/>
      </c>
      <c r="C349" t="str">
        <f t="shared" si="25"/>
        <v/>
      </c>
      <c r="D349" t="str">
        <f t="shared" si="26"/>
        <v/>
      </c>
      <c r="E349" t="str">
        <f t="shared" si="27"/>
        <v/>
      </c>
      <c r="F349" t="str">
        <f>IF(D349="","",INDEX(Knutepunkter!$B:$B,D349+1))</f>
        <v/>
      </c>
      <c r="G349" t="str">
        <f>IF(D349="","",INDEX(Knutepunkter!$C:$C,D349+1))</f>
        <v/>
      </c>
      <c r="H349" t="str">
        <f>IF(D349="","",INDEX(Knutepunkter!$D:$D,D349+1))</f>
        <v/>
      </c>
      <c r="I349" t="str">
        <f>IF(E349="","",INDEX(Knutepunkter!$B:$B,E349+1))</f>
        <v/>
      </c>
      <c r="J349" t="str">
        <f>IF(E349="","",INDEX(Knutepunkter!$C:$C,E349+1))</f>
        <v/>
      </c>
      <c r="K349" t="str">
        <f>IF(E349="","",INDEX(Knutepunkter!$D:$D,E349+1))</f>
        <v/>
      </c>
      <c r="L349" t="str">
        <f t="shared" si="28"/>
        <v/>
      </c>
      <c r="M349" t="str">
        <f t="shared" si="29"/>
        <v/>
      </c>
    </row>
    <row r="350" spans="1:13" x14ac:dyDescent="0.3">
      <c r="A350" t="str">
        <f>Segmenter!A350</f>
        <v/>
      </c>
      <c r="B350" t="str">
        <f>Segmenter!B350</f>
        <v/>
      </c>
      <c r="C350" t="str">
        <f t="shared" si="25"/>
        <v/>
      </c>
      <c r="D350" t="str">
        <f t="shared" si="26"/>
        <v/>
      </c>
      <c r="E350" t="str">
        <f t="shared" si="27"/>
        <v/>
      </c>
      <c r="F350" t="str">
        <f>IF(D350="","",INDEX(Knutepunkter!$B:$B,D350+1))</f>
        <v/>
      </c>
      <c r="G350" t="str">
        <f>IF(D350="","",INDEX(Knutepunkter!$C:$C,D350+1))</f>
        <v/>
      </c>
      <c r="H350" t="str">
        <f>IF(D350="","",INDEX(Knutepunkter!$D:$D,D350+1))</f>
        <v/>
      </c>
      <c r="I350" t="str">
        <f>IF(E350="","",INDEX(Knutepunkter!$B:$B,E350+1))</f>
        <v/>
      </c>
      <c r="J350" t="str">
        <f>IF(E350="","",INDEX(Knutepunkter!$C:$C,E350+1))</f>
        <v/>
      </c>
      <c r="K350" t="str">
        <f>IF(E350="","",INDEX(Knutepunkter!$D:$D,E350+1))</f>
        <v/>
      </c>
      <c r="L350" t="str">
        <f t="shared" si="28"/>
        <v/>
      </c>
      <c r="M350" t="str">
        <f t="shared" si="29"/>
        <v/>
      </c>
    </row>
    <row r="351" spans="1:13" x14ac:dyDescent="0.3">
      <c r="A351" t="str">
        <f>Segmenter!A351</f>
        <v/>
      </c>
      <c r="B351" t="str">
        <f>Segmenter!B351</f>
        <v/>
      </c>
      <c r="C351" t="str">
        <f t="shared" si="25"/>
        <v/>
      </c>
      <c r="D351" t="str">
        <f t="shared" si="26"/>
        <v/>
      </c>
      <c r="E351" t="str">
        <f t="shared" si="27"/>
        <v/>
      </c>
      <c r="F351" t="str">
        <f>IF(D351="","",INDEX(Knutepunkter!$B:$B,D351+1))</f>
        <v/>
      </c>
      <c r="G351" t="str">
        <f>IF(D351="","",INDEX(Knutepunkter!$C:$C,D351+1))</f>
        <v/>
      </c>
      <c r="H351" t="str">
        <f>IF(D351="","",INDEX(Knutepunkter!$D:$D,D351+1))</f>
        <v/>
      </c>
      <c r="I351" t="str">
        <f>IF(E351="","",INDEX(Knutepunkter!$B:$B,E351+1))</f>
        <v/>
      </c>
      <c r="J351" t="str">
        <f>IF(E351="","",INDEX(Knutepunkter!$C:$C,E351+1))</f>
        <v/>
      </c>
      <c r="K351" t="str">
        <f>IF(E351="","",INDEX(Knutepunkter!$D:$D,E351+1))</f>
        <v/>
      </c>
      <c r="L351" t="str">
        <f t="shared" si="28"/>
        <v/>
      </c>
      <c r="M351" t="str">
        <f t="shared" si="29"/>
        <v/>
      </c>
    </row>
    <row r="352" spans="1:13" x14ac:dyDescent="0.3">
      <c r="A352" t="str">
        <f>Segmenter!A352</f>
        <v/>
      </c>
      <c r="B352" t="str">
        <f>Segmenter!B352</f>
        <v/>
      </c>
      <c r="C352" t="str">
        <f t="shared" si="25"/>
        <v/>
      </c>
      <c r="D352" t="str">
        <f t="shared" si="26"/>
        <v/>
      </c>
      <c r="E352" t="str">
        <f t="shared" si="27"/>
        <v/>
      </c>
      <c r="F352" t="str">
        <f>IF(D352="","",INDEX(Knutepunkter!$B:$B,D352+1))</f>
        <v/>
      </c>
      <c r="G352" t="str">
        <f>IF(D352="","",INDEX(Knutepunkter!$C:$C,D352+1))</f>
        <v/>
      </c>
      <c r="H352" t="str">
        <f>IF(D352="","",INDEX(Knutepunkter!$D:$D,D352+1))</f>
        <v/>
      </c>
      <c r="I352" t="str">
        <f>IF(E352="","",INDEX(Knutepunkter!$B:$B,E352+1))</f>
        <v/>
      </c>
      <c r="J352" t="str">
        <f>IF(E352="","",INDEX(Knutepunkter!$C:$C,E352+1))</f>
        <v/>
      </c>
      <c r="K352" t="str">
        <f>IF(E352="","",INDEX(Knutepunkter!$D:$D,E352+1))</f>
        <v/>
      </c>
      <c r="L352" t="str">
        <f t="shared" si="28"/>
        <v/>
      </c>
      <c r="M352" t="str">
        <f t="shared" si="29"/>
        <v/>
      </c>
    </row>
    <row r="353" spans="1:13" x14ac:dyDescent="0.3">
      <c r="A353" t="str">
        <f>Segmenter!A353</f>
        <v/>
      </c>
      <c r="B353" t="str">
        <f>Segmenter!B353</f>
        <v/>
      </c>
      <c r="C353" t="str">
        <f t="shared" si="25"/>
        <v/>
      </c>
      <c r="D353" t="str">
        <f t="shared" si="26"/>
        <v/>
      </c>
      <c r="E353" t="str">
        <f t="shared" si="27"/>
        <v/>
      </c>
      <c r="F353" t="str">
        <f>IF(D353="","",INDEX(Knutepunkter!$B:$B,D353+1))</f>
        <v/>
      </c>
      <c r="G353" t="str">
        <f>IF(D353="","",INDEX(Knutepunkter!$C:$C,D353+1))</f>
        <v/>
      </c>
      <c r="H353" t="str">
        <f>IF(D353="","",INDEX(Knutepunkter!$D:$D,D353+1))</f>
        <v/>
      </c>
      <c r="I353" t="str">
        <f>IF(E353="","",INDEX(Knutepunkter!$B:$B,E353+1))</f>
        <v/>
      </c>
      <c r="J353" t="str">
        <f>IF(E353="","",INDEX(Knutepunkter!$C:$C,E353+1))</f>
        <v/>
      </c>
      <c r="K353" t="str">
        <f>IF(E353="","",INDEX(Knutepunkter!$D:$D,E353+1))</f>
        <v/>
      </c>
      <c r="L353" t="str">
        <f t="shared" si="28"/>
        <v/>
      </c>
      <c r="M353" t="str">
        <f t="shared" si="29"/>
        <v/>
      </c>
    </row>
    <row r="354" spans="1:13" x14ac:dyDescent="0.3">
      <c r="A354" t="str">
        <f>Segmenter!A354</f>
        <v/>
      </c>
      <c r="B354" t="str">
        <f>Segmenter!B354</f>
        <v/>
      </c>
      <c r="C354" t="str">
        <f t="shared" si="25"/>
        <v/>
      </c>
      <c r="D354" t="str">
        <f t="shared" si="26"/>
        <v/>
      </c>
      <c r="E354" t="str">
        <f t="shared" si="27"/>
        <v/>
      </c>
      <c r="F354" t="str">
        <f>IF(D354="","",INDEX(Knutepunkter!$B:$B,D354+1))</f>
        <v/>
      </c>
      <c r="G354" t="str">
        <f>IF(D354="","",INDEX(Knutepunkter!$C:$C,D354+1))</f>
        <v/>
      </c>
      <c r="H354" t="str">
        <f>IF(D354="","",INDEX(Knutepunkter!$D:$D,D354+1))</f>
        <v/>
      </c>
      <c r="I354" t="str">
        <f>IF(E354="","",INDEX(Knutepunkter!$B:$B,E354+1))</f>
        <v/>
      </c>
      <c r="J354" t="str">
        <f>IF(E354="","",INDEX(Knutepunkter!$C:$C,E354+1))</f>
        <v/>
      </c>
      <c r="K354" t="str">
        <f>IF(E354="","",INDEX(Knutepunkter!$D:$D,E354+1))</f>
        <v/>
      </c>
      <c r="L354" t="str">
        <f t="shared" si="28"/>
        <v/>
      </c>
      <c r="M354" t="str">
        <f t="shared" si="29"/>
        <v/>
      </c>
    </row>
    <row r="355" spans="1:13" x14ac:dyDescent="0.3">
      <c r="A355" t="str">
        <f>Segmenter!A355</f>
        <v/>
      </c>
      <c r="B355" t="str">
        <f>Segmenter!B355</f>
        <v/>
      </c>
      <c r="C355" t="str">
        <f t="shared" si="25"/>
        <v/>
      </c>
      <c r="D355" t="str">
        <f t="shared" si="26"/>
        <v/>
      </c>
      <c r="E355" t="str">
        <f t="shared" si="27"/>
        <v/>
      </c>
      <c r="F355" t="str">
        <f>IF(D355="","",INDEX(Knutepunkter!$B:$B,D355+1))</f>
        <v/>
      </c>
      <c r="G355" t="str">
        <f>IF(D355="","",INDEX(Knutepunkter!$C:$C,D355+1))</f>
        <v/>
      </c>
      <c r="H355" t="str">
        <f>IF(D355="","",INDEX(Knutepunkter!$D:$D,D355+1))</f>
        <v/>
      </c>
      <c r="I355" t="str">
        <f>IF(E355="","",INDEX(Knutepunkter!$B:$B,E355+1))</f>
        <v/>
      </c>
      <c r="J355" t="str">
        <f>IF(E355="","",INDEX(Knutepunkter!$C:$C,E355+1))</f>
        <v/>
      </c>
      <c r="K355" t="str">
        <f>IF(E355="","",INDEX(Knutepunkter!$D:$D,E355+1))</f>
        <v/>
      </c>
      <c r="L355" t="str">
        <f t="shared" si="28"/>
        <v/>
      </c>
      <c r="M355" t="str">
        <f t="shared" si="29"/>
        <v/>
      </c>
    </row>
    <row r="356" spans="1:13" x14ac:dyDescent="0.3">
      <c r="A356" t="str">
        <f>Segmenter!A356</f>
        <v/>
      </c>
      <c r="B356" t="str">
        <f>Segmenter!B356</f>
        <v/>
      </c>
      <c r="C356" t="str">
        <f t="shared" si="25"/>
        <v/>
      </c>
      <c r="D356" t="str">
        <f t="shared" si="26"/>
        <v/>
      </c>
      <c r="E356" t="str">
        <f t="shared" si="27"/>
        <v/>
      </c>
      <c r="F356" t="str">
        <f>IF(D356="","",INDEX(Knutepunkter!$B:$B,D356+1))</f>
        <v/>
      </c>
      <c r="G356" t="str">
        <f>IF(D356="","",INDEX(Knutepunkter!$C:$C,D356+1))</f>
        <v/>
      </c>
      <c r="H356" t="str">
        <f>IF(D356="","",INDEX(Knutepunkter!$D:$D,D356+1))</f>
        <v/>
      </c>
      <c r="I356" t="str">
        <f>IF(E356="","",INDEX(Knutepunkter!$B:$B,E356+1))</f>
        <v/>
      </c>
      <c r="J356" t="str">
        <f>IF(E356="","",INDEX(Knutepunkter!$C:$C,E356+1))</f>
        <v/>
      </c>
      <c r="K356" t="str">
        <f>IF(E356="","",INDEX(Knutepunkter!$D:$D,E356+1))</f>
        <v/>
      </c>
      <c r="L356" t="str">
        <f t="shared" si="28"/>
        <v/>
      </c>
      <c r="M356" t="str">
        <f t="shared" si="29"/>
        <v/>
      </c>
    </row>
    <row r="357" spans="1:13" x14ac:dyDescent="0.3">
      <c r="A357" t="str">
        <f>Segmenter!A357</f>
        <v/>
      </c>
      <c r="B357" t="str">
        <f>Segmenter!B357</f>
        <v/>
      </c>
      <c r="C357" t="str">
        <f t="shared" si="25"/>
        <v/>
      </c>
      <c r="D357" t="str">
        <f t="shared" si="26"/>
        <v/>
      </c>
      <c r="E357" t="str">
        <f t="shared" si="27"/>
        <v/>
      </c>
      <c r="F357" t="str">
        <f>IF(D357="","",INDEX(Knutepunkter!$B:$B,D357+1))</f>
        <v/>
      </c>
      <c r="G357" t="str">
        <f>IF(D357="","",INDEX(Knutepunkter!$C:$C,D357+1))</f>
        <v/>
      </c>
      <c r="H357" t="str">
        <f>IF(D357="","",INDEX(Knutepunkter!$D:$D,D357+1))</f>
        <v/>
      </c>
      <c r="I357" t="str">
        <f>IF(E357="","",INDEX(Knutepunkter!$B:$B,E357+1))</f>
        <v/>
      </c>
      <c r="J357" t="str">
        <f>IF(E357="","",INDEX(Knutepunkter!$C:$C,E357+1))</f>
        <v/>
      </c>
      <c r="K357" t="str">
        <f>IF(E357="","",INDEX(Knutepunkter!$D:$D,E357+1))</f>
        <v/>
      </c>
      <c r="L357" t="str">
        <f t="shared" si="28"/>
        <v/>
      </c>
      <c r="M357" t="str">
        <f t="shared" si="29"/>
        <v/>
      </c>
    </row>
    <row r="358" spans="1:13" x14ac:dyDescent="0.3">
      <c r="A358" t="str">
        <f>Segmenter!A358</f>
        <v/>
      </c>
      <c r="B358" t="str">
        <f>Segmenter!B358</f>
        <v/>
      </c>
      <c r="C358" t="str">
        <f t="shared" si="25"/>
        <v/>
      </c>
      <c r="D358" t="str">
        <f t="shared" si="26"/>
        <v/>
      </c>
      <c r="E358" t="str">
        <f t="shared" si="27"/>
        <v/>
      </c>
      <c r="F358" t="str">
        <f>IF(D358="","",INDEX(Knutepunkter!$B:$B,D358+1))</f>
        <v/>
      </c>
      <c r="G358" t="str">
        <f>IF(D358="","",INDEX(Knutepunkter!$C:$C,D358+1))</f>
        <v/>
      </c>
      <c r="H358" t="str">
        <f>IF(D358="","",INDEX(Knutepunkter!$D:$D,D358+1))</f>
        <v/>
      </c>
      <c r="I358" t="str">
        <f>IF(E358="","",INDEX(Knutepunkter!$B:$B,E358+1))</f>
        <v/>
      </c>
      <c r="J358" t="str">
        <f>IF(E358="","",INDEX(Knutepunkter!$C:$C,E358+1))</f>
        <v/>
      </c>
      <c r="K358" t="str">
        <f>IF(E358="","",INDEX(Knutepunkter!$D:$D,E358+1))</f>
        <v/>
      </c>
      <c r="L358" t="str">
        <f t="shared" si="28"/>
        <v/>
      </c>
      <c r="M358" t="str">
        <f t="shared" si="29"/>
        <v/>
      </c>
    </row>
    <row r="359" spans="1:13" x14ac:dyDescent="0.3">
      <c r="A359" t="str">
        <f>Segmenter!A359</f>
        <v/>
      </c>
      <c r="B359" t="str">
        <f>Segmenter!B359</f>
        <v/>
      </c>
      <c r="C359" t="str">
        <f t="shared" si="25"/>
        <v/>
      </c>
      <c r="D359" t="str">
        <f t="shared" si="26"/>
        <v/>
      </c>
      <c r="E359" t="str">
        <f t="shared" si="27"/>
        <v/>
      </c>
      <c r="F359" t="str">
        <f>IF(D359="","",INDEX(Knutepunkter!$B:$B,D359+1))</f>
        <v/>
      </c>
      <c r="G359" t="str">
        <f>IF(D359="","",INDEX(Knutepunkter!$C:$C,D359+1))</f>
        <v/>
      </c>
      <c r="H359" t="str">
        <f>IF(D359="","",INDEX(Knutepunkter!$D:$D,D359+1))</f>
        <v/>
      </c>
      <c r="I359" t="str">
        <f>IF(E359="","",INDEX(Knutepunkter!$B:$B,E359+1))</f>
        <v/>
      </c>
      <c r="J359" t="str">
        <f>IF(E359="","",INDEX(Knutepunkter!$C:$C,E359+1))</f>
        <v/>
      </c>
      <c r="K359" t="str">
        <f>IF(E359="","",INDEX(Knutepunkter!$D:$D,E359+1))</f>
        <v/>
      </c>
      <c r="L359" t="str">
        <f t="shared" si="28"/>
        <v/>
      </c>
      <c r="M359" t="str">
        <f t="shared" si="29"/>
        <v/>
      </c>
    </row>
    <row r="360" spans="1:13" x14ac:dyDescent="0.3">
      <c r="A360" t="str">
        <f>Segmenter!A360</f>
        <v/>
      </c>
      <c r="B360" t="str">
        <f>Segmenter!B360</f>
        <v/>
      </c>
      <c r="C360" t="str">
        <f t="shared" si="25"/>
        <v/>
      </c>
      <c r="D360" t="str">
        <f t="shared" si="26"/>
        <v/>
      </c>
      <c r="E360" t="str">
        <f t="shared" si="27"/>
        <v/>
      </c>
      <c r="F360" t="str">
        <f>IF(D360="","",INDEX(Knutepunkter!$B:$B,D360+1))</f>
        <v/>
      </c>
      <c r="G360" t="str">
        <f>IF(D360="","",INDEX(Knutepunkter!$C:$C,D360+1))</f>
        <v/>
      </c>
      <c r="H360" t="str">
        <f>IF(D360="","",INDEX(Knutepunkter!$D:$D,D360+1))</f>
        <v/>
      </c>
      <c r="I360" t="str">
        <f>IF(E360="","",INDEX(Knutepunkter!$B:$B,E360+1))</f>
        <v/>
      </c>
      <c r="J360" t="str">
        <f>IF(E360="","",INDEX(Knutepunkter!$C:$C,E360+1))</f>
        <v/>
      </c>
      <c r="K360" t="str">
        <f>IF(E360="","",INDEX(Knutepunkter!$D:$D,E360+1))</f>
        <v/>
      </c>
      <c r="L360" t="str">
        <f t="shared" si="28"/>
        <v/>
      </c>
      <c r="M360" t="str">
        <f t="shared" si="29"/>
        <v/>
      </c>
    </row>
    <row r="361" spans="1:13" x14ac:dyDescent="0.3">
      <c r="A361" t="str">
        <f>Segmenter!A361</f>
        <v/>
      </c>
      <c r="B361" t="str">
        <f>Segmenter!B361</f>
        <v/>
      </c>
      <c r="C361" t="str">
        <f t="shared" si="25"/>
        <v/>
      </c>
      <c r="D361" t="str">
        <f t="shared" si="26"/>
        <v/>
      </c>
      <c r="E361" t="str">
        <f t="shared" si="27"/>
        <v/>
      </c>
      <c r="F361" t="str">
        <f>IF(D361="","",INDEX(Knutepunkter!$B:$B,D361+1))</f>
        <v/>
      </c>
      <c r="G361" t="str">
        <f>IF(D361="","",INDEX(Knutepunkter!$C:$C,D361+1))</f>
        <v/>
      </c>
      <c r="H361" t="str">
        <f>IF(D361="","",INDEX(Knutepunkter!$D:$D,D361+1))</f>
        <v/>
      </c>
      <c r="I361" t="str">
        <f>IF(E361="","",INDEX(Knutepunkter!$B:$B,E361+1))</f>
        <v/>
      </c>
      <c r="J361" t="str">
        <f>IF(E361="","",INDEX(Knutepunkter!$C:$C,E361+1))</f>
        <v/>
      </c>
      <c r="K361" t="str">
        <f>IF(E361="","",INDEX(Knutepunkter!$D:$D,E361+1))</f>
        <v/>
      </c>
      <c r="L361" t="str">
        <f t="shared" si="28"/>
        <v/>
      </c>
      <c r="M361" t="str">
        <f t="shared" si="29"/>
        <v/>
      </c>
    </row>
    <row r="362" spans="1:13" x14ac:dyDescent="0.3">
      <c r="A362" t="str">
        <f>Segmenter!A362</f>
        <v/>
      </c>
      <c r="B362" t="str">
        <f>Segmenter!B362</f>
        <v/>
      </c>
      <c r="C362" t="str">
        <f t="shared" si="25"/>
        <v/>
      </c>
      <c r="D362" t="str">
        <f t="shared" si="26"/>
        <v/>
      </c>
      <c r="E362" t="str">
        <f t="shared" si="27"/>
        <v/>
      </c>
      <c r="F362" t="str">
        <f>IF(D362="","",INDEX(Knutepunkter!$B:$B,D362+1))</f>
        <v/>
      </c>
      <c r="G362" t="str">
        <f>IF(D362="","",INDEX(Knutepunkter!$C:$C,D362+1))</f>
        <v/>
      </c>
      <c r="H362" t="str">
        <f>IF(D362="","",INDEX(Knutepunkter!$D:$D,D362+1))</f>
        <v/>
      </c>
      <c r="I362" t="str">
        <f>IF(E362="","",INDEX(Knutepunkter!$B:$B,E362+1))</f>
        <v/>
      </c>
      <c r="J362" t="str">
        <f>IF(E362="","",INDEX(Knutepunkter!$C:$C,E362+1))</f>
        <v/>
      </c>
      <c r="K362" t="str">
        <f>IF(E362="","",INDEX(Knutepunkter!$D:$D,E362+1))</f>
        <v/>
      </c>
      <c r="L362" t="str">
        <f t="shared" si="28"/>
        <v/>
      </c>
      <c r="M362" t="str">
        <f t="shared" si="29"/>
        <v/>
      </c>
    </row>
    <row r="363" spans="1:13" x14ac:dyDescent="0.3">
      <c r="A363" t="str">
        <f>Segmenter!A363</f>
        <v/>
      </c>
      <c r="B363" t="str">
        <f>Segmenter!B363</f>
        <v/>
      </c>
      <c r="C363" t="str">
        <f t="shared" si="25"/>
        <v/>
      </c>
      <c r="D363" t="str">
        <f t="shared" si="26"/>
        <v/>
      </c>
      <c r="E363" t="str">
        <f t="shared" si="27"/>
        <v/>
      </c>
      <c r="F363" t="str">
        <f>IF(D363="","",INDEX(Knutepunkter!$B:$B,D363+1))</f>
        <v/>
      </c>
      <c r="G363" t="str">
        <f>IF(D363="","",INDEX(Knutepunkter!$C:$C,D363+1))</f>
        <v/>
      </c>
      <c r="H363" t="str">
        <f>IF(D363="","",INDEX(Knutepunkter!$D:$D,D363+1))</f>
        <v/>
      </c>
      <c r="I363" t="str">
        <f>IF(E363="","",INDEX(Knutepunkter!$B:$B,E363+1))</f>
        <v/>
      </c>
      <c r="J363" t="str">
        <f>IF(E363="","",INDEX(Knutepunkter!$C:$C,E363+1))</f>
        <v/>
      </c>
      <c r="K363" t="str">
        <f>IF(E363="","",INDEX(Knutepunkter!$D:$D,E363+1))</f>
        <v/>
      </c>
      <c r="L363" t="str">
        <f t="shared" si="28"/>
        <v/>
      </c>
      <c r="M363" t="str">
        <f t="shared" si="29"/>
        <v/>
      </c>
    </row>
    <row r="364" spans="1:13" x14ac:dyDescent="0.3">
      <c r="A364" t="str">
        <f>Segmenter!A364</f>
        <v/>
      </c>
      <c r="B364" t="str">
        <f>Segmenter!B364</f>
        <v/>
      </c>
      <c r="C364" t="str">
        <f t="shared" si="25"/>
        <v/>
      </c>
      <c r="D364" t="str">
        <f t="shared" si="26"/>
        <v/>
      </c>
      <c r="E364" t="str">
        <f t="shared" si="27"/>
        <v/>
      </c>
      <c r="F364" t="str">
        <f>IF(D364="","",INDEX(Knutepunkter!$B:$B,D364+1))</f>
        <v/>
      </c>
      <c r="G364" t="str">
        <f>IF(D364="","",INDEX(Knutepunkter!$C:$C,D364+1))</f>
        <v/>
      </c>
      <c r="H364" t="str">
        <f>IF(D364="","",INDEX(Knutepunkter!$D:$D,D364+1))</f>
        <v/>
      </c>
      <c r="I364" t="str">
        <f>IF(E364="","",INDEX(Knutepunkter!$B:$B,E364+1))</f>
        <v/>
      </c>
      <c r="J364" t="str">
        <f>IF(E364="","",INDEX(Knutepunkter!$C:$C,E364+1))</f>
        <v/>
      </c>
      <c r="K364" t="str">
        <f>IF(E364="","",INDEX(Knutepunkter!$D:$D,E364+1))</f>
        <v/>
      </c>
      <c r="L364" t="str">
        <f t="shared" si="28"/>
        <v/>
      </c>
      <c r="M364" t="str">
        <f t="shared" si="29"/>
        <v/>
      </c>
    </row>
    <row r="365" spans="1:13" x14ac:dyDescent="0.3">
      <c r="A365" t="str">
        <f>Segmenter!A365</f>
        <v/>
      </c>
      <c r="B365" t="str">
        <f>Segmenter!B365</f>
        <v/>
      </c>
      <c r="C365" t="str">
        <f t="shared" si="25"/>
        <v/>
      </c>
      <c r="D365" t="str">
        <f t="shared" si="26"/>
        <v/>
      </c>
      <c r="E365" t="str">
        <f t="shared" si="27"/>
        <v/>
      </c>
      <c r="F365" t="str">
        <f>IF(D365="","",INDEX(Knutepunkter!$B:$B,D365+1))</f>
        <v/>
      </c>
      <c r="G365" t="str">
        <f>IF(D365="","",INDEX(Knutepunkter!$C:$C,D365+1))</f>
        <v/>
      </c>
      <c r="H365" t="str">
        <f>IF(D365="","",INDEX(Knutepunkter!$D:$D,D365+1))</f>
        <v/>
      </c>
      <c r="I365" t="str">
        <f>IF(E365="","",INDEX(Knutepunkter!$B:$B,E365+1))</f>
        <v/>
      </c>
      <c r="J365" t="str">
        <f>IF(E365="","",INDEX(Knutepunkter!$C:$C,E365+1))</f>
        <v/>
      </c>
      <c r="K365" t="str">
        <f>IF(E365="","",INDEX(Knutepunkter!$D:$D,E365+1))</f>
        <v/>
      </c>
      <c r="L365" t="str">
        <f t="shared" si="28"/>
        <v/>
      </c>
      <c r="M365" t="str">
        <f t="shared" si="29"/>
        <v/>
      </c>
    </row>
    <row r="366" spans="1:13" x14ac:dyDescent="0.3">
      <c r="A366" t="str">
        <f>Segmenter!A366</f>
        <v/>
      </c>
      <c r="B366" t="str">
        <f>Segmenter!B366</f>
        <v/>
      </c>
      <c r="C366" t="str">
        <f t="shared" si="25"/>
        <v/>
      </c>
      <c r="D366" t="str">
        <f t="shared" si="26"/>
        <v/>
      </c>
      <c r="E366" t="str">
        <f t="shared" si="27"/>
        <v/>
      </c>
      <c r="F366" t="str">
        <f>IF(D366="","",INDEX(Knutepunkter!$B:$B,D366+1))</f>
        <v/>
      </c>
      <c r="G366" t="str">
        <f>IF(D366="","",INDEX(Knutepunkter!$C:$C,D366+1))</f>
        <v/>
      </c>
      <c r="H366" t="str">
        <f>IF(D366="","",INDEX(Knutepunkter!$D:$D,D366+1))</f>
        <v/>
      </c>
      <c r="I366" t="str">
        <f>IF(E366="","",INDEX(Knutepunkter!$B:$B,E366+1))</f>
        <v/>
      </c>
      <c r="J366" t="str">
        <f>IF(E366="","",INDEX(Knutepunkter!$C:$C,E366+1))</f>
        <v/>
      </c>
      <c r="K366" t="str">
        <f>IF(E366="","",INDEX(Knutepunkter!$D:$D,E366+1))</f>
        <v/>
      </c>
      <c r="L366" t="str">
        <f t="shared" si="28"/>
        <v/>
      </c>
      <c r="M366" t="str">
        <f t="shared" si="29"/>
        <v/>
      </c>
    </row>
    <row r="367" spans="1:13" x14ac:dyDescent="0.3">
      <c r="A367" t="str">
        <f>Segmenter!A367</f>
        <v/>
      </c>
      <c r="B367" t="str">
        <f>Segmenter!B367</f>
        <v/>
      </c>
      <c r="C367" t="str">
        <f t="shared" si="25"/>
        <v/>
      </c>
      <c r="D367" t="str">
        <f t="shared" si="26"/>
        <v/>
      </c>
      <c r="E367" t="str">
        <f t="shared" si="27"/>
        <v/>
      </c>
      <c r="F367" t="str">
        <f>IF(D367="","",INDEX(Knutepunkter!$B:$B,D367+1))</f>
        <v/>
      </c>
      <c r="G367" t="str">
        <f>IF(D367="","",INDEX(Knutepunkter!$C:$C,D367+1))</f>
        <v/>
      </c>
      <c r="H367" t="str">
        <f>IF(D367="","",INDEX(Knutepunkter!$D:$D,D367+1))</f>
        <v/>
      </c>
      <c r="I367" t="str">
        <f>IF(E367="","",INDEX(Knutepunkter!$B:$B,E367+1))</f>
        <v/>
      </c>
      <c r="J367" t="str">
        <f>IF(E367="","",INDEX(Knutepunkter!$C:$C,E367+1))</f>
        <v/>
      </c>
      <c r="K367" t="str">
        <f>IF(E367="","",INDEX(Knutepunkter!$D:$D,E367+1))</f>
        <v/>
      </c>
      <c r="L367" t="str">
        <f t="shared" si="28"/>
        <v/>
      </c>
      <c r="M367" t="str">
        <f t="shared" si="29"/>
        <v/>
      </c>
    </row>
    <row r="368" spans="1:13" x14ac:dyDescent="0.3">
      <c r="A368" t="str">
        <f>Segmenter!A368</f>
        <v/>
      </c>
      <c r="B368" t="str">
        <f>Segmenter!B368</f>
        <v/>
      </c>
      <c r="C368" t="str">
        <f t="shared" si="25"/>
        <v/>
      </c>
      <c r="D368" t="str">
        <f t="shared" si="26"/>
        <v/>
      </c>
      <c r="E368" t="str">
        <f t="shared" si="27"/>
        <v/>
      </c>
      <c r="F368" t="str">
        <f>IF(D368="","",INDEX(Knutepunkter!$B:$B,D368+1))</f>
        <v/>
      </c>
      <c r="G368" t="str">
        <f>IF(D368="","",INDEX(Knutepunkter!$C:$C,D368+1))</f>
        <v/>
      </c>
      <c r="H368" t="str">
        <f>IF(D368="","",INDEX(Knutepunkter!$D:$D,D368+1))</f>
        <v/>
      </c>
      <c r="I368" t="str">
        <f>IF(E368="","",INDEX(Knutepunkter!$B:$B,E368+1))</f>
        <v/>
      </c>
      <c r="J368" t="str">
        <f>IF(E368="","",INDEX(Knutepunkter!$C:$C,E368+1))</f>
        <v/>
      </c>
      <c r="K368" t="str">
        <f>IF(E368="","",INDEX(Knutepunkter!$D:$D,E368+1))</f>
        <v/>
      </c>
      <c r="L368" t="str">
        <f t="shared" si="28"/>
        <v/>
      </c>
      <c r="M368" t="str">
        <f t="shared" si="29"/>
        <v/>
      </c>
    </row>
    <row r="369" spans="1:13" x14ac:dyDescent="0.3">
      <c r="A369" t="str">
        <f>Segmenter!A369</f>
        <v/>
      </c>
      <c r="B369" t="str">
        <f>Segmenter!B369</f>
        <v/>
      </c>
      <c r="C369" t="str">
        <f t="shared" si="25"/>
        <v/>
      </c>
      <c r="D369" t="str">
        <f t="shared" si="26"/>
        <v/>
      </c>
      <c r="E369" t="str">
        <f t="shared" si="27"/>
        <v/>
      </c>
      <c r="F369" t="str">
        <f>IF(D369="","",INDEX(Knutepunkter!$B:$B,D369+1))</f>
        <v/>
      </c>
      <c r="G369" t="str">
        <f>IF(D369="","",INDEX(Knutepunkter!$C:$C,D369+1))</f>
        <v/>
      </c>
      <c r="H369" t="str">
        <f>IF(D369="","",INDEX(Knutepunkter!$D:$D,D369+1))</f>
        <v/>
      </c>
      <c r="I369" t="str">
        <f>IF(E369="","",INDEX(Knutepunkter!$B:$B,E369+1))</f>
        <v/>
      </c>
      <c r="J369" t="str">
        <f>IF(E369="","",INDEX(Knutepunkter!$C:$C,E369+1))</f>
        <v/>
      </c>
      <c r="K369" t="str">
        <f>IF(E369="","",INDEX(Knutepunkter!$D:$D,E369+1))</f>
        <v/>
      </c>
      <c r="L369" t="str">
        <f t="shared" si="28"/>
        <v/>
      </c>
      <c r="M369" t="str">
        <f t="shared" si="29"/>
        <v/>
      </c>
    </row>
    <row r="370" spans="1:13" x14ac:dyDescent="0.3">
      <c r="A370" t="str">
        <f>Segmenter!A370</f>
        <v/>
      </c>
      <c r="B370" t="str">
        <f>Segmenter!B370</f>
        <v/>
      </c>
      <c r="C370" t="str">
        <f t="shared" si="25"/>
        <v/>
      </c>
      <c r="D370" t="str">
        <f t="shared" si="26"/>
        <v/>
      </c>
      <c r="E370" t="str">
        <f t="shared" si="27"/>
        <v/>
      </c>
      <c r="F370" t="str">
        <f>IF(D370="","",INDEX(Knutepunkter!$B:$B,D370+1))</f>
        <v/>
      </c>
      <c r="G370" t="str">
        <f>IF(D370="","",INDEX(Knutepunkter!$C:$C,D370+1))</f>
        <v/>
      </c>
      <c r="H370" t="str">
        <f>IF(D370="","",INDEX(Knutepunkter!$D:$D,D370+1))</f>
        <v/>
      </c>
      <c r="I370" t="str">
        <f>IF(E370="","",INDEX(Knutepunkter!$B:$B,E370+1))</f>
        <v/>
      </c>
      <c r="J370" t="str">
        <f>IF(E370="","",INDEX(Knutepunkter!$C:$C,E370+1))</f>
        <v/>
      </c>
      <c r="K370" t="str">
        <f>IF(E370="","",INDEX(Knutepunkter!$D:$D,E370+1))</f>
        <v/>
      </c>
      <c r="L370" t="str">
        <f t="shared" si="28"/>
        <v/>
      </c>
      <c r="M370" t="str">
        <f t="shared" si="29"/>
        <v/>
      </c>
    </row>
    <row r="371" spans="1:13" x14ac:dyDescent="0.3">
      <c r="A371" t="str">
        <f>Segmenter!A371</f>
        <v/>
      </c>
      <c r="B371" t="str">
        <f>Segmenter!B371</f>
        <v/>
      </c>
      <c r="C371" t="str">
        <f t="shared" si="25"/>
        <v/>
      </c>
      <c r="D371" t="str">
        <f t="shared" si="26"/>
        <v/>
      </c>
      <c r="E371" t="str">
        <f t="shared" si="27"/>
        <v/>
      </c>
      <c r="F371" t="str">
        <f>IF(D371="","",INDEX(Knutepunkter!$B:$B,D371+1))</f>
        <v/>
      </c>
      <c r="G371" t="str">
        <f>IF(D371="","",INDEX(Knutepunkter!$C:$C,D371+1))</f>
        <v/>
      </c>
      <c r="H371" t="str">
        <f>IF(D371="","",INDEX(Knutepunkter!$D:$D,D371+1))</f>
        <v/>
      </c>
      <c r="I371" t="str">
        <f>IF(E371="","",INDEX(Knutepunkter!$B:$B,E371+1))</f>
        <v/>
      </c>
      <c r="J371" t="str">
        <f>IF(E371="","",INDEX(Knutepunkter!$C:$C,E371+1))</f>
        <v/>
      </c>
      <c r="K371" t="str">
        <f>IF(E371="","",INDEX(Knutepunkter!$D:$D,E371+1))</f>
        <v/>
      </c>
      <c r="L371" t="str">
        <f t="shared" si="28"/>
        <v/>
      </c>
      <c r="M371" t="str">
        <f t="shared" si="29"/>
        <v/>
      </c>
    </row>
    <row r="372" spans="1:13" x14ac:dyDescent="0.3">
      <c r="A372" t="str">
        <f>Segmenter!A372</f>
        <v/>
      </c>
      <c r="B372" t="str">
        <f>Segmenter!B372</f>
        <v/>
      </c>
      <c r="C372" t="str">
        <f t="shared" si="25"/>
        <v/>
      </c>
      <c r="D372" t="str">
        <f t="shared" si="26"/>
        <v/>
      </c>
      <c r="E372" t="str">
        <f t="shared" si="27"/>
        <v/>
      </c>
      <c r="F372" t="str">
        <f>IF(D372="","",INDEX(Knutepunkter!$B:$B,D372+1))</f>
        <v/>
      </c>
      <c r="G372" t="str">
        <f>IF(D372="","",INDEX(Knutepunkter!$C:$C,D372+1))</f>
        <v/>
      </c>
      <c r="H372" t="str">
        <f>IF(D372="","",INDEX(Knutepunkter!$D:$D,D372+1))</f>
        <v/>
      </c>
      <c r="I372" t="str">
        <f>IF(E372="","",INDEX(Knutepunkter!$B:$B,E372+1))</f>
        <v/>
      </c>
      <c r="J372" t="str">
        <f>IF(E372="","",INDEX(Knutepunkter!$C:$C,E372+1))</f>
        <v/>
      </c>
      <c r="K372" t="str">
        <f>IF(E372="","",INDEX(Knutepunkter!$D:$D,E372+1))</f>
        <v/>
      </c>
      <c r="L372" t="str">
        <f t="shared" si="28"/>
        <v/>
      </c>
      <c r="M372" t="str">
        <f t="shared" si="29"/>
        <v/>
      </c>
    </row>
    <row r="373" spans="1:13" x14ac:dyDescent="0.3">
      <c r="A373" t="str">
        <f>Segmenter!A373</f>
        <v/>
      </c>
      <c r="B373" t="str">
        <f>Segmenter!B373</f>
        <v/>
      </c>
      <c r="C373" t="str">
        <f t="shared" si="25"/>
        <v/>
      </c>
      <c r="D373" t="str">
        <f t="shared" si="26"/>
        <v/>
      </c>
      <c r="E373" t="str">
        <f t="shared" si="27"/>
        <v/>
      </c>
      <c r="F373" t="str">
        <f>IF(D373="","",INDEX(Knutepunkter!$B:$B,D373+1))</f>
        <v/>
      </c>
      <c r="G373" t="str">
        <f>IF(D373="","",INDEX(Knutepunkter!$C:$C,D373+1))</f>
        <v/>
      </c>
      <c r="H373" t="str">
        <f>IF(D373="","",INDEX(Knutepunkter!$D:$D,D373+1))</f>
        <v/>
      </c>
      <c r="I373" t="str">
        <f>IF(E373="","",INDEX(Knutepunkter!$B:$B,E373+1))</f>
        <v/>
      </c>
      <c r="J373" t="str">
        <f>IF(E373="","",INDEX(Knutepunkter!$C:$C,E373+1))</f>
        <v/>
      </c>
      <c r="K373" t="str">
        <f>IF(E373="","",INDEX(Knutepunkter!$D:$D,E373+1))</f>
        <v/>
      </c>
      <c r="L373" t="str">
        <f t="shared" si="28"/>
        <v/>
      </c>
      <c r="M373" t="str">
        <f t="shared" si="29"/>
        <v/>
      </c>
    </row>
    <row r="374" spans="1:13" x14ac:dyDescent="0.3">
      <c r="A374" t="str">
        <f>Segmenter!A374</f>
        <v/>
      </c>
      <c r="B374" t="str">
        <f>Segmenter!B374</f>
        <v/>
      </c>
      <c r="C374" t="str">
        <f t="shared" si="25"/>
        <v/>
      </c>
      <c r="D374" t="str">
        <f t="shared" si="26"/>
        <v/>
      </c>
      <c r="E374" t="str">
        <f t="shared" si="27"/>
        <v/>
      </c>
      <c r="F374" t="str">
        <f>IF(D374="","",INDEX(Knutepunkter!$B:$B,D374+1))</f>
        <v/>
      </c>
      <c r="G374" t="str">
        <f>IF(D374="","",INDEX(Knutepunkter!$C:$C,D374+1))</f>
        <v/>
      </c>
      <c r="H374" t="str">
        <f>IF(D374="","",INDEX(Knutepunkter!$D:$D,D374+1))</f>
        <v/>
      </c>
      <c r="I374" t="str">
        <f>IF(E374="","",INDEX(Knutepunkter!$B:$B,E374+1))</f>
        <v/>
      </c>
      <c r="J374" t="str">
        <f>IF(E374="","",INDEX(Knutepunkter!$C:$C,E374+1))</f>
        <v/>
      </c>
      <c r="K374" t="str">
        <f>IF(E374="","",INDEX(Knutepunkter!$D:$D,E374+1))</f>
        <v/>
      </c>
      <c r="L374" t="str">
        <f t="shared" si="28"/>
        <v/>
      </c>
      <c r="M374" t="str">
        <f t="shared" si="29"/>
        <v/>
      </c>
    </row>
    <row r="375" spans="1:13" x14ac:dyDescent="0.3">
      <c r="A375" t="str">
        <f>Segmenter!A375</f>
        <v/>
      </c>
      <c r="B375" t="str">
        <f>Segmenter!B375</f>
        <v/>
      </c>
      <c r="C375" t="str">
        <f t="shared" si="25"/>
        <v/>
      </c>
      <c r="D375" t="str">
        <f t="shared" si="26"/>
        <v/>
      </c>
      <c r="E375" t="str">
        <f t="shared" si="27"/>
        <v/>
      </c>
      <c r="F375" t="str">
        <f>IF(D375="","",INDEX(Knutepunkter!$B:$B,D375+1))</f>
        <v/>
      </c>
      <c r="G375" t="str">
        <f>IF(D375="","",INDEX(Knutepunkter!$C:$C,D375+1))</f>
        <v/>
      </c>
      <c r="H375" t="str">
        <f>IF(D375="","",INDEX(Knutepunkter!$D:$D,D375+1))</f>
        <v/>
      </c>
      <c r="I375" t="str">
        <f>IF(E375="","",INDEX(Knutepunkter!$B:$B,E375+1))</f>
        <v/>
      </c>
      <c r="J375" t="str">
        <f>IF(E375="","",INDEX(Knutepunkter!$C:$C,E375+1))</f>
        <v/>
      </c>
      <c r="K375" t="str">
        <f>IF(E375="","",INDEX(Knutepunkter!$D:$D,E375+1))</f>
        <v/>
      </c>
      <c r="L375" t="str">
        <f t="shared" si="28"/>
        <v/>
      </c>
      <c r="M375" t="str">
        <f t="shared" si="29"/>
        <v/>
      </c>
    </row>
    <row r="376" spans="1:13" x14ac:dyDescent="0.3">
      <c r="A376" t="str">
        <f>Segmenter!A376</f>
        <v/>
      </c>
      <c r="B376" t="str">
        <f>Segmenter!B376</f>
        <v/>
      </c>
      <c r="C376" t="str">
        <f t="shared" si="25"/>
        <v/>
      </c>
      <c r="D376" t="str">
        <f t="shared" si="26"/>
        <v/>
      </c>
      <c r="E376" t="str">
        <f t="shared" si="27"/>
        <v/>
      </c>
      <c r="F376" t="str">
        <f>IF(D376="","",INDEX(Knutepunkter!$B:$B,D376+1))</f>
        <v/>
      </c>
      <c r="G376" t="str">
        <f>IF(D376="","",INDEX(Knutepunkter!$C:$C,D376+1))</f>
        <v/>
      </c>
      <c r="H376" t="str">
        <f>IF(D376="","",INDEX(Knutepunkter!$D:$D,D376+1))</f>
        <v/>
      </c>
      <c r="I376" t="str">
        <f>IF(E376="","",INDEX(Knutepunkter!$B:$B,E376+1))</f>
        <v/>
      </c>
      <c r="J376" t="str">
        <f>IF(E376="","",INDEX(Knutepunkter!$C:$C,E376+1))</f>
        <v/>
      </c>
      <c r="K376" t="str">
        <f>IF(E376="","",INDEX(Knutepunkter!$D:$D,E376+1))</f>
        <v/>
      </c>
      <c r="L376" t="str">
        <f t="shared" si="28"/>
        <v/>
      </c>
      <c r="M376" t="str">
        <f t="shared" si="29"/>
        <v/>
      </c>
    </row>
    <row r="377" spans="1:13" x14ac:dyDescent="0.3">
      <c r="A377" t="str">
        <f>Segmenter!A377</f>
        <v/>
      </c>
      <c r="B377" t="str">
        <f>Segmenter!B377</f>
        <v/>
      </c>
      <c r="C377" t="str">
        <f t="shared" si="25"/>
        <v/>
      </c>
      <c r="D377" t="str">
        <f t="shared" si="26"/>
        <v/>
      </c>
      <c r="E377" t="str">
        <f t="shared" si="27"/>
        <v/>
      </c>
      <c r="F377" t="str">
        <f>IF(D377="","",INDEX(Knutepunkter!$B:$B,D377+1))</f>
        <v/>
      </c>
      <c r="G377" t="str">
        <f>IF(D377="","",INDEX(Knutepunkter!$C:$C,D377+1))</f>
        <v/>
      </c>
      <c r="H377" t="str">
        <f>IF(D377="","",INDEX(Knutepunkter!$D:$D,D377+1))</f>
        <v/>
      </c>
      <c r="I377" t="str">
        <f>IF(E377="","",INDEX(Knutepunkter!$B:$B,E377+1))</f>
        <v/>
      </c>
      <c r="J377" t="str">
        <f>IF(E377="","",INDEX(Knutepunkter!$C:$C,E377+1))</f>
        <v/>
      </c>
      <c r="K377" t="str">
        <f>IF(E377="","",INDEX(Knutepunkter!$D:$D,E377+1))</f>
        <v/>
      </c>
      <c r="L377" t="str">
        <f t="shared" si="28"/>
        <v/>
      </c>
      <c r="M377" t="str">
        <f t="shared" si="29"/>
        <v/>
      </c>
    </row>
    <row r="378" spans="1:13" x14ac:dyDescent="0.3">
      <c r="A378" t="str">
        <f>Segmenter!A378</f>
        <v/>
      </c>
      <c r="B378" t="str">
        <f>Segmenter!B378</f>
        <v/>
      </c>
      <c r="C378" t="str">
        <f t="shared" si="25"/>
        <v/>
      </c>
      <c r="D378" t="str">
        <f t="shared" si="26"/>
        <v/>
      </c>
      <c r="E378" t="str">
        <f t="shared" si="27"/>
        <v/>
      </c>
      <c r="F378" t="str">
        <f>IF(D378="","",INDEX(Knutepunkter!$B:$B,D378+1))</f>
        <v/>
      </c>
      <c r="G378" t="str">
        <f>IF(D378="","",INDEX(Knutepunkter!$C:$C,D378+1))</f>
        <v/>
      </c>
      <c r="H378" t="str">
        <f>IF(D378="","",INDEX(Knutepunkter!$D:$D,D378+1))</f>
        <v/>
      </c>
      <c r="I378" t="str">
        <f>IF(E378="","",INDEX(Knutepunkter!$B:$B,E378+1))</f>
        <v/>
      </c>
      <c r="J378" t="str">
        <f>IF(E378="","",INDEX(Knutepunkter!$C:$C,E378+1))</f>
        <v/>
      </c>
      <c r="K378" t="str">
        <f>IF(E378="","",INDEX(Knutepunkter!$D:$D,E378+1))</f>
        <v/>
      </c>
      <c r="L378" t="str">
        <f t="shared" si="28"/>
        <v/>
      </c>
      <c r="M378" t="str">
        <f t="shared" si="29"/>
        <v/>
      </c>
    </row>
    <row r="379" spans="1:13" x14ac:dyDescent="0.3">
      <c r="A379" t="str">
        <f>Segmenter!A379</f>
        <v/>
      </c>
      <c r="B379" t="str">
        <f>Segmenter!B379</f>
        <v/>
      </c>
      <c r="C379" t="str">
        <f t="shared" si="25"/>
        <v/>
      </c>
      <c r="D379" t="str">
        <f t="shared" si="26"/>
        <v/>
      </c>
      <c r="E379" t="str">
        <f t="shared" si="27"/>
        <v/>
      </c>
      <c r="F379" t="str">
        <f>IF(D379="","",INDEX(Knutepunkter!$B:$B,D379+1))</f>
        <v/>
      </c>
      <c r="G379" t="str">
        <f>IF(D379="","",INDEX(Knutepunkter!$C:$C,D379+1))</f>
        <v/>
      </c>
      <c r="H379" t="str">
        <f>IF(D379="","",INDEX(Knutepunkter!$D:$D,D379+1))</f>
        <v/>
      </c>
      <c r="I379" t="str">
        <f>IF(E379="","",INDEX(Knutepunkter!$B:$B,E379+1))</f>
        <v/>
      </c>
      <c r="J379" t="str">
        <f>IF(E379="","",INDEX(Knutepunkter!$C:$C,E379+1))</f>
        <v/>
      </c>
      <c r="K379" t="str">
        <f>IF(E379="","",INDEX(Knutepunkter!$D:$D,E379+1))</f>
        <v/>
      </c>
      <c r="L379" t="str">
        <f t="shared" si="28"/>
        <v/>
      </c>
      <c r="M379" t="str">
        <f t="shared" si="29"/>
        <v/>
      </c>
    </row>
    <row r="380" spans="1:13" x14ac:dyDescent="0.3">
      <c r="A380" t="str">
        <f>Segmenter!A380</f>
        <v/>
      </c>
      <c r="B380" t="str">
        <f>Segmenter!B380</f>
        <v/>
      </c>
      <c r="C380" t="str">
        <f t="shared" si="25"/>
        <v/>
      </c>
      <c r="D380" t="str">
        <f t="shared" si="26"/>
        <v/>
      </c>
      <c r="E380" t="str">
        <f t="shared" si="27"/>
        <v/>
      </c>
      <c r="F380" t="str">
        <f>IF(D380="","",INDEX(Knutepunkter!$B:$B,D380+1))</f>
        <v/>
      </c>
      <c r="G380" t="str">
        <f>IF(D380="","",INDEX(Knutepunkter!$C:$C,D380+1))</f>
        <v/>
      </c>
      <c r="H380" t="str">
        <f>IF(D380="","",INDEX(Knutepunkter!$D:$D,D380+1))</f>
        <v/>
      </c>
      <c r="I380" t="str">
        <f>IF(E380="","",INDEX(Knutepunkter!$B:$B,E380+1))</f>
        <v/>
      </c>
      <c r="J380" t="str">
        <f>IF(E380="","",INDEX(Knutepunkter!$C:$C,E380+1))</f>
        <v/>
      </c>
      <c r="K380" t="str">
        <f>IF(E380="","",INDEX(Knutepunkter!$D:$D,E380+1))</f>
        <v/>
      </c>
      <c r="L380" t="str">
        <f t="shared" si="28"/>
        <v/>
      </c>
      <c r="M380" t="str">
        <f t="shared" si="29"/>
        <v/>
      </c>
    </row>
    <row r="381" spans="1:13" x14ac:dyDescent="0.3">
      <c r="A381" t="str">
        <f>Segmenter!A381</f>
        <v/>
      </c>
      <c r="B381" t="str">
        <f>Segmenter!B381</f>
        <v/>
      </c>
      <c r="C381" t="str">
        <f t="shared" si="25"/>
        <v/>
      </c>
      <c r="D381" t="str">
        <f t="shared" si="26"/>
        <v/>
      </c>
      <c r="E381" t="str">
        <f t="shared" si="27"/>
        <v/>
      </c>
      <c r="F381" t="str">
        <f>IF(D381="","",INDEX(Knutepunkter!$B:$B,D381+1))</f>
        <v/>
      </c>
      <c r="G381" t="str">
        <f>IF(D381="","",INDEX(Knutepunkter!$C:$C,D381+1))</f>
        <v/>
      </c>
      <c r="H381" t="str">
        <f>IF(D381="","",INDEX(Knutepunkter!$D:$D,D381+1))</f>
        <v/>
      </c>
      <c r="I381" t="str">
        <f>IF(E381="","",INDEX(Knutepunkter!$B:$B,E381+1))</f>
        <v/>
      </c>
      <c r="J381" t="str">
        <f>IF(E381="","",INDEX(Knutepunkter!$C:$C,E381+1))</f>
        <v/>
      </c>
      <c r="K381" t="str">
        <f>IF(E381="","",INDEX(Knutepunkter!$D:$D,E381+1))</f>
        <v/>
      </c>
      <c r="L381" t="str">
        <f t="shared" si="28"/>
        <v/>
      </c>
      <c r="M381" t="str">
        <f t="shared" si="29"/>
        <v/>
      </c>
    </row>
    <row r="382" spans="1:13" x14ac:dyDescent="0.3">
      <c r="A382" t="str">
        <f>Segmenter!A382</f>
        <v/>
      </c>
      <c r="B382" t="str">
        <f>Segmenter!B382</f>
        <v/>
      </c>
      <c r="C382" t="str">
        <f t="shared" si="25"/>
        <v/>
      </c>
      <c r="D382" t="str">
        <f t="shared" si="26"/>
        <v/>
      </c>
      <c r="E382" t="str">
        <f t="shared" si="27"/>
        <v/>
      </c>
      <c r="F382" t="str">
        <f>IF(D382="","",INDEX(Knutepunkter!$B:$B,D382+1))</f>
        <v/>
      </c>
      <c r="G382" t="str">
        <f>IF(D382="","",INDEX(Knutepunkter!$C:$C,D382+1))</f>
        <v/>
      </c>
      <c r="H382" t="str">
        <f>IF(D382="","",INDEX(Knutepunkter!$D:$D,D382+1))</f>
        <v/>
      </c>
      <c r="I382" t="str">
        <f>IF(E382="","",INDEX(Knutepunkter!$B:$B,E382+1))</f>
        <v/>
      </c>
      <c r="J382" t="str">
        <f>IF(E382="","",INDEX(Knutepunkter!$C:$C,E382+1))</f>
        <v/>
      </c>
      <c r="K382" t="str">
        <f>IF(E382="","",INDEX(Knutepunkter!$D:$D,E382+1))</f>
        <v/>
      </c>
      <c r="L382" t="str">
        <f t="shared" si="28"/>
        <v/>
      </c>
      <c r="M382" t="str">
        <f t="shared" si="29"/>
        <v/>
      </c>
    </row>
    <row r="383" spans="1:13" x14ac:dyDescent="0.3">
      <c r="A383" t="str">
        <f>Segmenter!A383</f>
        <v/>
      </c>
      <c r="B383" t="str">
        <f>Segmenter!B383</f>
        <v/>
      </c>
      <c r="C383" t="str">
        <f t="shared" si="25"/>
        <v/>
      </c>
      <c r="D383" t="str">
        <f t="shared" si="26"/>
        <v/>
      </c>
      <c r="E383" t="str">
        <f t="shared" si="27"/>
        <v/>
      </c>
      <c r="F383" t="str">
        <f>IF(D383="","",INDEX(Knutepunkter!$B:$B,D383+1))</f>
        <v/>
      </c>
      <c r="G383" t="str">
        <f>IF(D383="","",INDEX(Knutepunkter!$C:$C,D383+1))</f>
        <v/>
      </c>
      <c r="H383" t="str">
        <f>IF(D383="","",INDEX(Knutepunkter!$D:$D,D383+1))</f>
        <v/>
      </c>
      <c r="I383" t="str">
        <f>IF(E383="","",INDEX(Knutepunkter!$B:$B,E383+1))</f>
        <v/>
      </c>
      <c r="J383" t="str">
        <f>IF(E383="","",INDEX(Knutepunkter!$C:$C,E383+1))</f>
        <v/>
      </c>
      <c r="K383" t="str">
        <f>IF(E383="","",INDEX(Knutepunkter!$D:$D,E383+1))</f>
        <v/>
      </c>
      <c r="L383" t="str">
        <f t="shared" si="28"/>
        <v/>
      </c>
      <c r="M383" t="str">
        <f t="shared" si="29"/>
        <v/>
      </c>
    </row>
    <row r="384" spans="1:13" x14ac:dyDescent="0.3">
      <c r="A384" t="str">
        <f>Segmenter!A384</f>
        <v/>
      </c>
      <c r="B384" t="str">
        <f>Segmenter!B384</f>
        <v/>
      </c>
      <c r="C384" t="str">
        <f t="shared" si="25"/>
        <v/>
      </c>
      <c r="D384" t="str">
        <f t="shared" si="26"/>
        <v/>
      </c>
      <c r="E384" t="str">
        <f t="shared" si="27"/>
        <v/>
      </c>
      <c r="F384" t="str">
        <f>IF(D384="","",INDEX(Knutepunkter!$B:$B,D384+1))</f>
        <v/>
      </c>
      <c r="G384" t="str">
        <f>IF(D384="","",INDEX(Knutepunkter!$C:$C,D384+1))</f>
        <v/>
      </c>
      <c r="H384" t="str">
        <f>IF(D384="","",INDEX(Knutepunkter!$D:$D,D384+1))</f>
        <v/>
      </c>
      <c r="I384" t="str">
        <f>IF(E384="","",INDEX(Knutepunkter!$B:$B,E384+1))</f>
        <v/>
      </c>
      <c r="J384" t="str">
        <f>IF(E384="","",INDEX(Knutepunkter!$C:$C,E384+1))</f>
        <v/>
      </c>
      <c r="K384" t="str">
        <f>IF(E384="","",INDEX(Knutepunkter!$D:$D,E384+1))</f>
        <v/>
      </c>
      <c r="L384" t="str">
        <f t="shared" si="28"/>
        <v/>
      </c>
      <c r="M384" t="str">
        <f t="shared" si="29"/>
        <v/>
      </c>
    </row>
    <row r="385" spans="1:13" x14ac:dyDescent="0.3">
      <c r="A385" t="str">
        <f>Segmenter!A385</f>
        <v/>
      </c>
      <c r="B385" t="str">
        <f>Segmenter!B385</f>
        <v/>
      </c>
      <c r="C385" t="str">
        <f t="shared" si="25"/>
        <v/>
      </c>
      <c r="D385" t="str">
        <f t="shared" si="26"/>
        <v/>
      </c>
      <c r="E385" t="str">
        <f t="shared" si="27"/>
        <v/>
      </c>
      <c r="F385" t="str">
        <f>IF(D385="","",INDEX(Knutepunkter!$B:$B,D385+1))</f>
        <v/>
      </c>
      <c r="G385" t="str">
        <f>IF(D385="","",INDEX(Knutepunkter!$C:$C,D385+1))</f>
        <v/>
      </c>
      <c r="H385" t="str">
        <f>IF(D385="","",INDEX(Knutepunkter!$D:$D,D385+1))</f>
        <v/>
      </c>
      <c r="I385" t="str">
        <f>IF(E385="","",INDEX(Knutepunkter!$B:$B,E385+1))</f>
        <v/>
      </c>
      <c r="J385" t="str">
        <f>IF(E385="","",INDEX(Knutepunkter!$C:$C,E385+1))</f>
        <v/>
      </c>
      <c r="K385" t="str">
        <f>IF(E385="","",INDEX(Knutepunkter!$D:$D,E385+1))</f>
        <v/>
      </c>
      <c r="L385" t="str">
        <f t="shared" si="28"/>
        <v/>
      </c>
      <c r="M385" t="str">
        <f t="shared" si="29"/>
        <v/>
      </c>
    </row>
    <row r="386" spans="1:13" x14ac:dyDescent="0.3">
      <c r="A386" t="str">
        <f>Segmenter!A386</f>
        <v/>
      </c>
      <c r="B386" t="str">
        <f>Segmenter!B386</f>
        <v/>
      </c>
      <c r="C386" t="str">
        <f t="shared" ref="C386:C449" si="30">IF(B386="","",IF(AND(F386=I386,G386=J386,H386&lt;&gt;K386),"Søyle","Bjelke"))</f>
        <v/>
      </c>
      <c r="D386" t="str">
        <f t="shared" ref="D386:D449" si="31">IF(B386="","",VALUE(LEFT(B386,FIND(" -&gt; ",B386)-1)))</f>
        <v/>
      </c>
      <c r="E386" t="str">
        <f t="shared" ref="E386:E449" si="32">IF(B386="","",VALUE(MID(B386,FIND(" -&gt; ",B386)+4,99)))</f>
        <v/>
      </c>
      <c r="F386" t="str">
        <f>IF(D386="","",INDEX(Knutepunkter!$B:$B,D386+1))</f>
        <v/>
      </c>
      <c r="G386" t="str">
        <f>IF(D386="","",INDEX(Knutepunkter!$C:$C,D386+1))</f>
        <v/>
      </c>
      <c r="H386" t="str">
        <f>IF(D386="","",INDEX(Knutepunkter!$D:$D,D386+1))</f>
        <v/>
      </c>
      <c r="I386" t="str">
        <f>IF(E386="","",INDEX(Knutepunkter!$B:$B,E386+1))</f>
        <v/>
      </c>
      <c r="J386" t="str">
        <f>IF(E386="","",INDEX(Knutepunkter!$C:$C,E386+1))</f>
        <v/>
      </c>
      <c r="K386" t="str">
        <f>IF(E386="","",INDEX(Knutepunkter!$D:$D,E386+1))</f>
        <v/>
      </c>
      <c r="L386" t="str">
        <f t="shared" ref="L386:L449" si="33">IF(B386="","",SQRT((I386-F386)^2+(J386-G386)^2+(K386-H386)^2))</f>
        <v/>
      </c>
      <c r="M386" t="str">
        <f t="shared" ref="M386:M449" si="34">IF(L386="","",L386/1000)</f>
        <v/>
      </c>
    </row>
    <row r="387" spans="1:13" x14ac:dyDescent="0.3">
      <c r="A387" t="str">
        <f>Segmenter!A387</f>
        <v/>
      </c>
      <c r="B387" t="str">
        <f>Segmenter!B387</f>
        <v/>
      </c>
      <c r="C387" t="str">
        <f t="shared" si="30"/>
        <v/>
      </c>
      <c r="D387" t="str">
        <f t="shared" si="31"/>
        <v/>
      </c>
      <c r="E387" t="str">
        <f t="shared" si="32"/>
        <v/>
      </c>
      <c r="F387" t="str">
        <f>IF(D387="","",INDEX(Knutepunkter!$B:$B,D387+1))</f>
        <v/>
      </c>
      <c r="G387" t="str">
        <f>IF(D387="","",INDEX(Knutepunkter!$C:$C,D387+1))</f>
        <v/>
      </c>
      <c r="H387" t="str">
        <f>IF(D387="","",INDEX(Knutepunkter!$D:$D,D387+1))</f>
        <v/>
      </c>
      <c r="I387" t="str">
        <f>IF(E387="","",INDEX(Knutepunkter!$B:$B,E387+1))</f>
        <v/>
      </c>
      <c r="J387" t="str">
        <f>IF(E387="","",INDEX(Knutepunkter!$C:$C,E387+1))</f>
        <v/>
      </c>
      <c r="K387" t="str">
        <f>IF(E387="","",INDEX(Knutepunkter!$D:$D,E387+1))</f>
        <v/>
      </c>
      <c r="L387" t="str">
        <f t="shared" si="33"/>
        <v/>
      </c>
      <c r="M387" t="str">
        <f t="shared" si="34"/>
        <v/>
      </c>
    </row>
    <row r="388" spans="1:13" x14ac:dyDescent="0.3">
      <c r="A388" t="str">
        <f>Segmenter!A388</f>
        <v/>
      </c>
      <c r="B388" t="str">
        <f>Segmenter!B388</f>
        <v/>
      </c>
      <c r="C388" t="str">
        <f t="shared" si="30"/>
        <v/>
      </c>
      <c r="D388" t="str">
        <f t="shared" si="31"/>
        <v/>
      </c>
      <c r="E388" t="str">
        <f t="shared" si="32"/>
        <v/>
      </c>
      <c r="F388" t="str">
        <f>IF(D388="","",INDEX(Knutepunkter!$B:$B,D388+1))</f>
        <v/>
      </c>
      <c r="G388" t="str">
        <f>IF(D388="","",INDEX(Knutepunkter!$C:$C,D388+1))</f>
        <v/>
      </c>
      <c r="H388" t="str">
        <f>IF(D388="","",INDEX(Knutepunkter!$D:$D,D388+1))</f>
        <v/>
      </c>
      <c r="I388" t="str">
        <f>IF(E388="","",INDEX(Knutepunkter!$B:$B,E388+1))</f>
        <v/>
      </c>
      <c r="J388" t="str">
        <f>IF(E388="","",INDEX(Knutepunkter!$C:$C,E388+1))</f>
        <v/>
      </c>
      <c r="K388" t="str">
        <f>IF(E388="","",INDEX(Knutepunkter!$D:$D,E388+1))</f>
        <v/>
      </c>
      <c r="L388" t="str">
        <f t="shared" si="33"/>
        <v/>
      </c>
      <c r="M388" t="str">
        <f t="shared" si="34"/>
        <v/>
      </c>
    </row>
    <row r="389" spans="1:13" x14ac:dyDescent="0.3">
      <c r="A389" t="str">
        <f>Segmenter!A389</f>
        <v/>
      </c>
      <c r="B389" t="str">
        <f>Segmenter!B389</f>
        <v/>
      </c>
      <c r="C389" t="str">
        <f t="shared" si="30"/>
        <v/>
      </c>
      <c r="D389" t="str">
        <f t="shared" si="31"/>
        <v/>
      </c>
      <c r="E389" t="str">
        <f t="shared" si="32"/>
        <v/>
      </c>
      <c r="F389" t="str">
        <f>IF(D389="","",INDEX(Knutepunkter!$B:$B,D389+1))</f>
        <v/>
      </c>
      <c r="G389" t="str">
        <f>IF(D389="","",INDEX(Knutepunkter!$C:$C,D389+1))</f>
        <v/>
      </c>
      <c r="H389" t="str">
        <f>IF(D389="","",INDEX(Knutepunkter!$D:$D,D389+1))</f>
        <v/>
      </c>
      <c r="I389" t="str">
        <f>IF(E389="","",INDEX(Knutepunkter!$B:$B,E389+1))</f>
        <v/>
      </c>
      <c r="J389" t="str">
        <f>IF(E389="","",INDEX(Knutepunkter!$C:$C,E389+1))</f>
        <v/>
      </c>
      <c r="K389" t="str">
        <f>IF(E389="","",INDEX(Knutepunkter!$D:$D,E389+1))</f>
        <v/>
      </c>
      <c r="L389" t="str">
        <f t="shared" si="33"/>
        <v/>
      </c>
      <c r="M389" t="str">
        <f t="shared" si="34"/>
        <v/>
      </c>
    </row>
    <row r="390" spans="1:13" x14ac:dyDescent="0.3">
      <c r="A390" t="str">
        <f>Segmenter!A390</f>
        <v/>
      </c>
      <c r="B390" t="str">
        <f>Segmenter!B390</f>
        <v/>
      </c>
      <c r="C390" t="str">
        <f t="shared" si="30"/>
        <v/>
      </c>
      <c r="D390" t="str">
        <f t="shared" si="31"/>
        <v/>
      </c>
      <c r="E390" t="str">
        <f t="shared" si="32"/>
        <v/>
      </c>
      <c r="F390" t="str">
        <f>IF(D390="","",INDEX(Knutepunkter!$B:$B,D390+1))</f>
        <v/>
      </c>
      <c r="G390" t="str">
        <f>IF(D390="","",INDEX(Knutepunkter!$C:$C,D390+1))</f>
        <v/>
      </c>
      <c r="H390" t="str">
        <f>IF(D390="","",INDEX(Knutepunkter!$D:$D,D390+1))</f>
        <v/>
      </c>
      <c r="I390" t="str">
        <f>IF(E390="","",INDEX(Knutepunkter!$B:$B,E390+1))</f>
        <v/>
      </c>
      <c r="J390" t="str">
        <f>IF(E390="","",INDEX(Knutepunkter!$C:$C,E390+1))</f>
        <v/>
      </c>
      <c r="K390" t="str">
        <f>IF(E390="","",INDEX(Knutepunkter!$D:$D,E390+1))</f>
        <v/>
      </c>
      <c r="L390" t="str">
        <f t="shared" si="33"/>
        <v/>
      </c>
      <c r="M390" t="str">
        <f t="shared" si="34"/>
        <v/>
      </c>
    </row>
    <row r="391" spans="1:13" x14ac:dyDescent="0.3">
      <c r="A391" t="str">
        <f>Segmenter!A391</f>
        <v/>
      </c>
      <c r="B391" t="str">
        <f>Segmenter!B391</f>
        <v/>
      </c>
      <c r="C391" t="str">
        <f t="shared" si="30"/>
        <v/>
      </c>
      <c r="D391" t="str">
        <f t="shared" si="31"/>
        <v/>
      </c>
      <c r="E391" t="str">
        <f t="shared" si="32"/>
        <v/>
      </c>
      <c r="F391" t="str">
        <f>IF(D391="","",INDEX(Knutepunkter!$B:$B,D391+1))</f>
        <v/>
      </c>
      <c r="G391" t="str">
        <f>IF(D391="","",INDEX(Knutepunkter!$C:$C,D391+1))</f>
        <v/>
      </c>
      <c r="H391" t="str">
        <f>IF(D391="","",INDEX(Knutepunkter!$D:$D,D391+1))</f>
        <v/>
      </c>
      <c r="I391" t="str">
        <f>IF(E391="","",INDEX(Knutepunkter!$B:$B,E391+1))</f>
        <v/>
      </c>
      <c r="J391" t="str">
        <f>IF(E391="","",INDEX(Knutepunkter!$C:$C,E391+1))</f>
        <v/>
      </c>
      <c r="K391" t="str">
        <f>IF(E391="","",INDEX(Knutepunkter!$D:$D,E391+1))</f>
        <v/>
      </c>
      <c r="L391" t="str">
        <f t="shared" si="33"/>
        <v/>
      </c>
      <c r="M391" t="str">
        <f t="shared" si="34"/>
        <v/>
      </c>
    </row>
    <row r="392" spans="1:13" x14ac:dyDescent="0.3">
      <c r="A392" t="str">
        <f>Segmenter!A392</f>
        <v/>
      </c>
      <c r="B392" t="str">
        <f>Segmenter!B392</f>
        <v/>
      </c>
      <c r="C392" t="str">
        <f t="shared" si="30"/>
        <v/>
      </c>
      <c r="D392" t="str">
        <f t="shared" si="31"/>
        <v/>
      </c>
      <c r="E392" t="str">
        <f t="shared" si="32"/>
        <v/>
      </c>
      <c r="F392" t="str">
        <f>IF(D392="","",INDEX(Knutepunkter!$B:$B,D392+1))</f>
        <v/>
      </c>
      <c r="G392" t="str">
        <f>IF(D392="","",INDEX(Knutepunkter!$C:$C,D392+1))</f>
        <v/>
      </c>
      <c r="H392" t="str">
        <f>IF(D392="","",INDEX(Knutepunkter!$D:$D,D392+1))</f>
        <v/>
      </c>
      <c r="I392" t="str">
        <f>IF(E392="","",INDEX(Knutepunkter!$B:$B,E392+1))</f>
        <v/>
      </c>
      <c r="J392" t="str">
        <f>IF(E392="","",INDEX(Knutepunkter!$C:$C,E392+1))</f>
        <v/>
      </c>
      <c r="K392" t="str">
        <f>IF(E392="","",INDEX(Knutepunkter!$D:$D,E392+1))</f>
        <v/>
      </c>
      <c r="L392" t="str">
        <f t="shared" si="33"/>
        <v/>
      </c>
      <c r="M392" t="str">
        <f t="shared" si="34"/>
        <v/>
      </c>
    </row>
    <row r="393" spans="1:13" x14ac:dyDescent="0.3">
      <c r="A393" t="str">
        <f>Segmenter!A393</f>
        <v/>
      </c>
      <c r="B393" t="str">
        <f>Segmenter!B393</f>
        <v/>
      </c>
      <c r="C393" t="str">
        <f t="shared" si="30"/>
        <v/>
      </c>
      <c r="D393" t="str">
        <f t="shared" si="31"/>
        <v/>
      </c>
      <c r="E393" t="str">
        <f t="shared" si="32"/>
        <v/>
      </c>
      <c r="F393" t="str">
        <f>IF(D393="","",INDEX(Knutepunkter!$B:$B,D393+1))</f>
        <v/>
      </c>
      <c r="G393" t="str">
        <f>IF(D393="","",INDEX(Knutepunkter!$C:$C,D393+1))</f>
        <v/>
      </c>
      <c r="H393" t="str">
        <f>IF(D393="","",INDEX(Knutepunkter!$D:$D,D393+1))</f>
        <v/>
      </c>
      <c r="I393" t="str">
        <f>IF(E393="","",INDEX(Knutepunkter!$B:$B,E393+1))</f>
        <v/>
      </c>
      <c r="J393" t="str">
        <f>IF(E393="","",INDEX(Knutepunkter!$C:$C,E393+1))</f>
        <v/>
      </c>
      <c r="K393" t="str">
        <f>IF(E393="","",INDEX(Knutepunkter!$D:$D,E393+1))</f>
        <v/>
      </c>
      <c r="L393" t="str">
        <f t="shared" si="33"/>
        <v/>
      </c>
      <c r="M393" t="str">
        <f t="shared" si="34"/>
        <v/>
      </c>
    </row>
    <row r="394" spans="1:13" x14ac:dyDescent="0.3">
      <c r="A394" t="str">
        <f>Segmenter!A394</f>
        <v/>
      </c>
      <c r="B394" t="str">
        <f>Segmenter!B394</f>
        <v/>
      </c>
      <c r="C394" t="str">
        <f t="shared" si="30"/>
        <v/>
      </c>
      <c r="D394" t="str">
        <f t="shared" si="31"/>
        <v/>
      </c>
      <c r="E394" t="str">
        <f t="shared" si="32"/>
        <v/>
      </c>
      <c r="F394" t="str">
        <f>IF(D394="","",INDEX(Knutepunkter!$B:$B,D394+1))</f>
        <v/>
      </c>
      <c r="G394" t="str">
        <f>IF(D394="","",INDEX(Knutepunkter!$C:$C,D394+1))</f>
        <v/>
      </c>
      <c r="H394" t="str">
        <f>IF(D394="","",INDEX(Knutepunkter!$D:$D,D394+1))</f>
        <v/>
      </c>
      <c r="I394" t="str">
        <f>IF(E394="","",INDEX(Knutepunkter!$B:$B,E394+1))</f>
        <v/>
      </c>
      <c r="J394" t="str">
        <f>IF(E394="","",INDEX(Knutepunkter!$C:$C,E394+1))</f>
        <v/>
      </c>
      <c r="K394" t="str">
        <f>IF(E394="","",INDEX(Knutepunkter!$D:$D,E394+1))</f>
        <v/>
      </c>
      <c r="L394" t="str">
        <f t="shared" si="33"/>
        <v/>
      </c>
      <c r="M394" t="str">
        <f t="shared" si="34"/>
        <v/>
      </c>
    </row>
    <row r="395" spans="1:13" x14ac:dyDescent="0.3">
      <c r="A395" t="str">
        <f>Segmenter!A395</f>
        <v/>
      </c>
      <c r="B395" t="str">
        <f>Segmenter!B395</f>
        <v/>
      </c>
      <c r="C395" t="str">
        <f t="shared" si="30"/>
        <v/>
      </c>
      <c r="D395" t="str">
        <f t="shared" si="31"/>
        <v/>
      </c>
      <c r="E395" t="str">
        <f t="shared" si="32"/>
        <v/>
      </c>
      <c r="F395" t="str">
        <f>IF(D395="","",INDEX(Knutepunkter!$B:$B,D395+1))</f>
        <v/>
      </c>
      <c r="G395" t="str">
        <f>IF(D395="","",INDEX(Knutepunkter!$C:$C,D395+1))</f>
        <v/>
      </c>
      <c r="H395" t="str">
        <f>IF(D395="","",INDEX(Knutepunkter!$D:$D,D395+1))</f>
        <v/>
      </c>
      <c r="I395" t="str">
        <f>IF(E395="","",INDEX(Knutepunkter!$B:$B,E395+1))</f>
        <v/>
      </c>
      <c r="J395" t="str">
        <f>IF(E395="","",INDEX(Knutepunkter!$C:$C,E395+1))</f>
        <v/>
      </c>
      <c r="K395" t="str">
        <f>IF(E395="","",INDEX(Knutepunkter!$D:$D,E395+1))</f>
        <v/>
      </c>
      <c r="L395" t="str">
        <f t="shared" si="33"/>
        <v/>
      </c>
      <c r="M395" t="str">
        <f t="shared" si="34"/>
        <v/>
      </c>
    </row>
    <row r="396" spans="1:13" x14ac:dyDescent="0.3">
      <c r="A396" t="str">
        <f>Segmenter!A396</f>
        <v/>
      </c>
      <c r="B396" t="str">
        <f>Segmenter!B396</f>
        <v/>
      </c>
      <c r="C396" t="str">
        <f t="shared" si="30"/>
        <v/>
      </c>
      <c r="D396" t="str">
        <f t="shared" si="31"/>
        <v/>
      </c>
      <c r="E396" t="str">
        <f t="shared" si="32"/>
        <v/>
      </c>
      <c r="F396" t="str">
        <f>IF(D396="","",INDEX(Knutepunkter!$B:$B,D396+1))</f>
        <v/>
      </c>
      <c r="G396" t="str">
        <f>IF(D396="","",INDEX(Knutepunkter!$C:$C,D396+1))</f>
        <v/>
      </c>
      <c r="H396" t="str">
        <f>IF(D396="","",INDEX(Knutepunkter!$D:$D,D396+1))</f>
        <v/>
      </c>
      <c r="I396" t="str">
        <f>IF(E396="","",INDEX(Knutepunkter!$B:$B,E396+1))</f>
        <v/>
      </c>
      <c r="J396" t="str">
        <f>IF(E396="","",INDEX(Knutepunkter!$C:$C,E396+1))</f>
        <v/>
      </c>
      <c r="K396" t="str">
        <f>IF(E396="","",INDEX(Knutepunkter!$D:$D,E396+1))</f>
        <v/>
      </c>
      <c r="L396" t="str">
        <f t="shared" si="33"/>
        <v/>
      </c>
      <c r="M396" t="str">
        <f t="shared" si="34"/>
        <v/>
      </c>
    </row>
    <row r="397" spans="1:13" x14ac:dyDescent="0.3">
      <c r="A397" t="str">
        <f>Segmenter!A397</f>
        <v/>
      </c>
      <c r="B397" t="str">
        <f>Segmenter!B397</f>
        <v/>
      </c>
      <c r="C397" t="str">
        <f t="shared" si="30"/>
        <v/>
      </c>
      <c r="D397" t="str">
        <f t="shared" si="31"/>
        <v/>
      </c>
      <c r="E397" t="str">
        <f t="shared" si="32"/>
        <v/>
      </c>
      <c r="F397" t="str">
        <f>IF(D397="","",INDEX(Knutepunkter!$B:$B,D397+1))</f>
        <v/>
      </c>
      <c r="G397" t="str">
        <f>IF(D397="","",INDEX(Knutepunkter!$C:$C,D397+1))</f>
        <v/>
      </c>
      <c r="H397" t="str">
        <f>IF(D397="","",INDEX(Knutepunkter!$D:$D,D397+1))</f>
        <v/>
      </c>
      <c r="I397" t="str">
        <f>IF(E397="","",INDEX(Knutepunkter!$B:$B,E397+1))</f>
        <v/>
      </c>
      <c r="J397" t="str">
        <f>IF(E397="","",INDEX(Knutepunkter!$C:$C,E397+1))</f>
        <v/>
      </c>
      <c r="K397" t="str">
        <f>IF(E397="","",INDEX(Knutepunkter!$D:$D,E397+1))</f>
        <v/>
      </c>
      <c r="L397" t="str">
        <f t="shared" si="33"/>
        <v/>
      </c>
      <c r="M397" t="str">
        <f t="shared" si="34"/>
        <v/>
      </c>
    </row>
    <row r="398" spans="1:13" x14ac:dyDescent="0.3">
      <c r="A398" t="str">
        <f>Segmenter!A398</f>
        <v/>
      </c>
      <c r="B398" t="str">
        <f>Segmenter!B398</f>
        <v/>
      </c>
      <c r="C398" t="str">
        <f t="shared" si="30"/>
        <v/>
      </c>
      <c r="D398" t="str">
        <f t="shared" si="31"/>
        <v/>
      </c>
      <c r="E398" t="str">
        <f t="shared" si="32"/>
        <v/>
      </c>
      <c r="F398" t="str">
        <f>IF(D398="","",INDEX(Knutepunkter!$B:$B,D398+1))</f>
        <v/>
      </c>
      <c r="G398" t="str">
        <f>IF(D398="","",INDEX(Knutepunkter!$C:$C,D398+1))</f>
        <v/>
      </c>
      <c r="H398" t="str">
        <f>IF(D398="","",INDEX(Knutepunkter!$D:$D,D398+1))</f>
        <v/>
      </c>
      <c r="I398" t="str">
        <f>IF(E398="","",INDEX(Knutepunkter!$B:$B,E398+1))</f>
        <v/>
      </c>
      <c r="J398" t="str">
        <f>IF(E398="","",INDEX(Knutepunkter!$C:$C,E398+1))</f>
        <v/>
      </c>
      <c r="K398" t="str">
        <f>IF(E398="","",INDEX(Knutepunkter!$D:$D,E398+1))</f>
        <v/>
      </c>
      <c r="L398" t="str">
        <f t="shared" si="33"/>
        <v/>
      </c>
      <c r="M398" t="str">
        <f t="shared" si="34"/>
        <v/>
      </c>
    </row>
    <row r="399" spans="1:13" x14ac:dyDescent="0.3">
      <c r="A399" t="str">
        <f>Segmenter!A399</f>
        <v/>
      </c>
      <c r="B399" t="str">
        <f>Segmenter!B399</f>
        <v/>
      </c>
      <c r="C399" t="str">
        <f t="shared" si="30"/>
        <v/>
      </c>
      <c r="D399" t="str">
        <f t="shared" si="31"/>
        <v/>
      </c>
      <c r="E399" t="str">
        <f t="shared" si="32"/>
        <v/>
      </c>
      <c r="F399" t="str">
        <f>IF(D399="","",INDEX(Knutepunkter!$B:$B,D399+1))</f>
        <v/>
      </c>
      <c r="G399" t="str">
        <f>IF(D399="","",INDEX(Knutepunkter!$C:$C,D399+1))</f>
        <v/>
      </c>
      <c r="H399" t="str">
        <f>IF(D399="","",INDEX(Knutepunkter!$D:$D,D399+1))</f>
        <v/>
      </c>
      <c r="I399" t="str">
        <f>IF(E399="","",INDEX(Knutepunkter!$B:$B,E399+1))</f>
        <v/>
      </c>
      <c r="J399" t="str">
        <f>IF(E399="","",INDEX(Knutepunkter!$C:$C,E399+1))</f>
        <v/>
      </c>
      <c r="K399" t="str">
        <f>IF(E399="","",INDEX(Knutepunkter!$D:$D,E399+1))</f>
        <v/>
      </c>
      <c r="L399" t="str">
        <f t="shared" si="33"/>
        <v/>
      </c>
      <c r="M399" t="str">
        <f t="shared" si="34"/>
        <v/>
      </c>
    </row>
    <row r="400" spans="1:13" x14ac:dyDescent="0.3">
      <c r="A400" t="str">
        <f>Segmenter!A400</f>
        <v/>
      </c>
      <c r="B400" t="str">
        <f>Segmenter!B400</f>
        <v/>
      </c>
      <c r="C400" t="str">
        <f t="shared" si="30"/>
        <v/>
      </c>
      <c r="D400" t="str">
        <f t="shared" si="31"/>
        <v/>
      </c>
      <c r="E400" t="str">
        <f t="shared" si="32"/>
        <v/>
      </c>
      <c r="F400" t="str">
        <f>IF(D400="","",INDEX(Knutepunkter!$B:$B,D400+1))</f>
        <v/>
      </c>
      <c r="G400" t="str">
        <f>IF(D400="","",INDEX(Knutepunkter!$C:$C,D400+1))</f>
        <v/>
      </c>
      <c r="H400" t="str">
        <f>IF(D400="","",INDEX(Knutepunkter!$D:$D,D400+1))</f>
        <v/>
      </c>
      <c r="I400" t="str">
        <f>IF(E400="","",INDEX(Knutepunkter!$B:$B,E400+1))</f>
        <v/>
      </c>
      <c r="J400" t="str">
        <f>IF(E400="","",INDEX(Knutepunkter!$C:$C,E400+1))</f>
        <v/>
      </c>
      <c r="K400" t="str">
        <f>IF(E400="","",INDEX(Knutepunkter!$D:$D,E400+1))</f>
        <v/>
      </c>
      <c r="L400" t="str">
        <f t="shared" si="33"/>
        <v/>
      </c>
      <c r="M400" t="str">
        <f t="shared" si="34"/>
        <v/>
      </c>
    </row>
    <row r="401" spans="1:13" x14ac:dyDescent="0.3">
      <c r="A401" t="str">
        <f>Segmenter!A401</f>
        <v/>
      </c>
      <c r="B401" t="str">
        <f>Segmenter!B401</f>
        <v/>
      </c>
      <c r="C401" t="str">
        <f t="shared" si="30"/>
        <v/>
      </c>
      <c r="D401" t="str">
        <f t="shared" si="31"/>
        <v/>
      </c>
      <c r="E401" t="str">
        <f t="shared" si="32"/>
        <v/>
      </c>
      <c r="F401" t="str">
        <f>IF(D401="","",INDEX(Knutepunkter!$B:$B,D401+1))</f>
        <v/>
      </c>
      <c r="G401" t="str">
        <f>IF(D401="","",INDEX(Knutepunkter!$C:$C,D401+1))</f>
        <v/>
      </c>
      <c r="H401" t="str">
        <f>IF(D401="","",INDEX(Knutepunkter!$D:$D,D401+1))</f>
        <v/>
      </c>
      <c r="I401" t="str">
        <f>IF(E401="","",INDEX(Knutepunkter!$B:$B,E401+1))</f>
        <v/>
      </c>
      <c r="J401" t="str">
        <f>IF(E401="","",INDEX(Knutepunkter!$C:$C,E401+1))</f>
        <v/>
      </c>
      <c r="K401" t="str">
        <f>IF(E401="","",INDEX(Knutepunkter!$D:$D,E401+1))</f>
        <v/>
      </c>
      <c r="L401" t="str">
        <f t="shared" si="33"/>
        <v/>
      </c>
      <c r="M401" t="str">
        <f t="shared" si="34"/>
        <v/>
      </c>
    </row>
    <row r="402" spans="1:13" x14ac:dyDescent="0.3">
      <c r="A402" t="str">
        <f>Segmenter!A402</f>
        <v/>
      </c>
      <c r="B402" t="str">
        <f>Segmenter!B402</f>
        <v/>
      </c>
      <c r="C402" t="str">
        <f t="shared" si="30"/>
        <v/>
      </c>
      <c r="D402" t="str">
        <f t="shared" si="31"/>
        <v/>
      </c>
      <c r="E402" t="str">
        <f t="shared" si="32"/>
        <v/>
      </c>
      <c r="F402" t="str">
        <f>IF(D402="","",INDEX(Knutepunkter!$B:$B,D402+1))</f>
        <v/>
      </c>
      <c r="G402" t="str">
        <f>IF(D402="","",INDEX(Knutepunkter!$C:$C,D402+1))</f>
        <v/>
      </c>
      <c r="H402" t="str">
        <f>IF(D402="","",INDEX(Knutepunkter!$D:$D,D402+1))</f>
        <v/>
      </c>
      <c r="I402" t="str">
        <f>IF(E402="","",INDEX(Knutepunkter!$B:$B,E402+1))</f>
        <v/>
      </c>
      <c r="J402" t="str">
        <f>IF(E402="","",INDEX(Knutepunkter!$C:$C,E402+1))</f>
        <v/>
      </c>
      <c r="K402" t="str">
        <f>IF(E402="","",INDEX(Knutepunkter!$D:$D,E402+1))</f>
        <v/>
      </c>
      <c r="L402" t="str">
        <f t="shared" si="33"/>
        <v/>
      </c>
      <c r="M402" t="str">
        <f t="shared" si="34"/>
        <v/>
      </c>
    </row>
    <row r="403" spans="1:13" x14ac:dyDescent="0.3">
      <c r="A403" t="str">
        <f>Segmenter!A403</f>
        <v/>
      </c>
      <c r="B403" t="str">
        <f>Segmenter!B403</f>
        <v/>
      </c>
      <c r="C403" t="str">
        <f t="shared" si="30"/>
        <v/>
      </c>
      <c r="D403" t="str">
        <f t="shared" si="31"/>
        <v/>
      </c>
      <c r="E403" t="str">
        <f t="shared" si="32"/>
        <v/>
      </c>
      <c r="F403" t="str">
        <f>IF(D403="","",INDEX(Knutepunkter!$B:$B,D403+1))</f>
        <v/>
      </c>
      <c r="G403" t="str">
        <f>IF(D403="","",INDEX(Knutepunkter!$C:$C,D403+1))</f>
        <v/>
      </c>
      <c r="H403" t="str">
        <f>IF(D403="","",INDEX(Knutepunkter!$D:$D,D403+1))</f>
        <v/>
      </c>
      <c r="I403" t="str">
        <f>IF(E403="","",INDEX(Knutepunkter!$B:$B,E403+1))</f>
        <v/>
      </c>
      <c r="J403" t="str">
        <f>IF(E403="","",INDEX(Knutepunkter!$C:$C,E403+1))</f>
        <v/>
      </c>
      <c r="K403" t="str">
        <f>IF(E403="","",INDEX(Knutepunkter!$D:$D,E403+1))</f>
        <v/>
      </c>
      <c r="L403" t="str">
        <f t="shared" si="33"/>
        <v/>
      </c>
      <c r="M403" t="str">
        <f t="shared" si="34"/>
        <v/>
      </c>
    </row>
    <row r="404" spans="1:13" x14ac:dyDescent="0.3">
      <c r="A404" t="str">
        <f>Segmenter!A404</f>
        <v/>
      </c>
      <c r="B404" t="str">
        <f>Segmenter!B404</f>
        <v/>
      </c>
      <c r="C404" t="str">
        <f t="shared" si="30"/>
        <v/>
      </c>
      <c r="D404" t="str">
        <f t="shared" si="31"/>
        <v/>
      </c>
      <c r="E404" t="str">
        <f t="shared" si="32"/>
        <v/>
      </c>
      <c r="F404" t="str">
        <f>IF(D404="","",INDEX(Knutepunkter!$B:$B,D404+1))</f>
        <v/>
      </c>
      <c r="G404" t="str">
        <f>IF(D404="","",INDEX(Knutepunkter!$C:$C,D404+1))</f>
        <v/>
      </c>
      <c r="H404" t="str">
        <f>IF(D404="","",INDEX(Knutepunkter!$D:$D,D404+1))</f>
        <v/>
      </c>
      <c r="I404" t="str">
        <f>IF(E404="","",INDEX(Knutepunkter!$B:$B,E404+1))</f>
        <v/>
      </c>
      <c r="J404" t="str">
        <f>IF(E404="","",INDEX(Knutepunkter!$C:$C,E404+1))</f>
        <v/>
      </c>
      <c r="K404" t="str">
        <f>IF(E404="","",INDEX(Knutepunkter!$D:$D,E404+1))</f>
        <v/>
      </c>
      <c r="L404" t="str">
        <f t="shared" si="33"/>
        <v/>
      </c>
      <c r="M404" t="str">
        <f t="shared" si="34"/>
        <v/>
      </c>
    </row>
    <row r="405" spans="1:13" x14ac:dyDescent="0.3">
      <c r="A405" t="str">
        <f>Segmenter!A405</f>
        <v/>
      </c>
      <c r="B405" t="str">
        <f>Segmenter!B405</f>
        <v/>
      </c>
      <c r="C405" t="str">
        <f t="shared" si="30"/>
        <v/>
      </c>
      <c r="D405" t="str">
        <f t="shared" si="31"/>
        <v/>
      </c>
      <c r="E405" t="str">
        <f t="shared" si="32"/>
        <v/>
      </c>
      <c r="F405" t="str">
        <f>IF(D405="","",INDEX(Knutepunkter!$B:$B,D405+1))</f>
        <v/>
      </c>
      <c r="G405" t="str">
        <f>IF(D405="","",INDEX(Knutepunkter!$C:$C,D405+1))</f>
        <v/>
      </c>
      <c r="H405" t="str">
        <f>IF(D405="","",INDEX(Knutepunkter!$D:$D,D405+1))</f>
        <v/>
      </c>
      <c r="I405" t="str">
        <f>IF(E405="","",INDEX(Knutepunkter!$B:$B,E405+1))</f>
        <v/>
      </c>
      <c r="J405" t="str">
        <f>IF(E405="","",INDEX(Knutepunkter!$C:$C,E405+1))</f>
        <v/>
      </c>
      <c r="K405" t="str">
        <f>IF(E405="","",INDEX(Knutepunkter!$D:$D,E405+1))</f>
        <v/>
      </c>
      <c r="L405" t="str">
        <f t="shared" si="33"/>
        <v/>
      </c>
      <c r="M405" t="str">
        <f t="shared" si="34"/>
        <v/>
      </c>
    </row>
    <row r="406" spans="1:13" x14ac:dyDescent="0.3">
      <c r="A406" t="str">
        <f>Segmenter!A406</f>
        <v/>
      </c>
      <c r="B406" t="str">
        <f>Segmenter!B406</f>
        <v/>
      </c>
      <c r="C406" t="str">
        <f t="shared" si="30"/>
        <v/>
      </c>
      <c r="D406" t="str">
        <f t="shared" si="31"/>
        <v/>
      </c>
      <c r="E406" t="str">
        <f t="shared" si="32"/>
        <v/>
      </c>
      <c r="F406" t="str">
        <f>IF(D406="","",INDEX(Knutepunkter!$B:$B,D406+1))</f>
        <v/>
      </c>
      <c r="G406" t="str">
        <f>IF(D406="","",INDEX(Knutepunkter!$C:$C,D406+1))</f>
        <v/>
      </c>
      <c r="H406" t="str">
        <f>IF(D406="","",INDEX(Knutepunkter!$D:$D,D406+1))</f>
        <v/>
      </c>
      <c r="I406" t="str">
        <f>IF(E406="","",INDEX(Knutepunkter!$B:$B,E406+1))</f>
        <v/>
      </c>
      <c r="J406" t="str">
        <f>IF(E406="","",INDEX(Knutepunkter!$C:$C,E406+1))</f>
        <v/>
      </c>
      <c r="K406" t="str">
        <f>IF(E406="","",INDEX(Knutepunkter!$D:$D,E406+1))</f>
        <v/>
      </c>
      <c r="L406" t="str">
        <f t="shared" si="33"/>
        <v/>
      </c>
      <c r="M406" t="str">
        <f t="shared" si="34"/>
        <v/>
      </c>
    </row>
    <row r="407" spans="1:13" x14ac:dyDescent="0.3">
      <c r="A407" t="str">
        <f>Segmenter!A407</f>
        <v/>
      </c>
      <c r="B407" t="str">
        <f>Segmenter!B407</f>
        <v/>
      </c>
      <c r="C407" t="str">
        <f t="shared" si="30"/>
        <v/>
      </c>
      <c r="D407" t="str">
        <f t="shared" si="31"/>
        <v/>
      </c>
      <c r="E407" t="str">
        <f t="shared" si="32"/>
        <v/>
      </c>
      <c r="F407" t="str">
        <f>IF(D407="","",INDEX(Knutepunkter!$B:$B,D407+1))</f>
        <v/>
      </c>
      <c r="G407" t="str">
        <f>IF(D407="","",INDEX(Knutepunkter!$C:$C,D407+1))</f>
        <v/>
      </c>
      <c r="H407" t="str">
        <f>IF(D407="","",INDEX(Knutepunkter!$D:$D,D407+1))</f>
        <v/>
      </c>
      <c r="I407" t="str">
        <f>IF(E407="","",INDEX(Knutepunkter!$B:$B,E407+1))</f>
        <v/>
      </c>
      <c r="J407" t="str">
        <f>IF(E407="","",INDEX(Knutepunkter!$C:$C,E407+1))</f>
        <v/>
      </c>
      <c r="K407" t="str">
        <f>IF(E407="","",INDEX(Knutepunkter!$D:$D,E407+1))</f>
        <v/>
      </c>
      <c r="L407" t="str">
        <f t="shared" si="33"/>
        <v/>
      </c>
      <c r="M407" t="str">
        <f t="shared" si="34"/>
        <v/>
      </c>
    </row>
    <row r="408" spans="1:13" x14ac:dyDescent="0.3">
      <c r="A408" t="str">
        <f>Segmenter!A408</f>
        <v/>
      </c>
      <c r="B408" t="str">
        <f>Segmenter!B408</f>
        <v/>
      </c>
      <c r="C408" t="str">
        <f t="shared" si="30"/>
        <v/>
      </c>
      <c r="D408" t="str">
        <f t="shared" si="31"/>
        <v/>
      </c>
      <c r="E408" t="str">
        <f t="shared" si="32"/>
        <v/>
      </c>
      <c r="F408" t="str">
        <f>IF(D408="","",INDEX(Knutepunkter!$B:$B,D408+1))</f>
        <v/>
      </c>
      <c r="G408" t="str">
        <f>IF(D408="","",INDEX(Knutepunkter!$C:$C,D408+1))</f>
        <v/>
      </c>
      <c r="H408" t="str">
        <f>IF(D408="","",INDEX(Knutepunkter!$D:$D,D408+1))</f>
        <v/>
      </c>
      <c r="I408" t="str">
        <f>IF(E408="","",INDEX(Knutepunkter!$B:$B,E408+1))</f>
        <v/>
      </c>
      <c r="J408" t="str">
        <f>IF(E408="","",INDEX(Knutepunkter!$C:$C,E408+1))</f>
        <v/>
      </c>
      <c r="K408" t="str">
        <f>IF(E408="","",INDEX(Knutepunkter!$D:$D,E408+1))</f>
        <v/>
      </c>
      <c r="L408" t="str">
        <f t="shared" si="33"/>
        <v/>
      </c>
      <c r="M408" t="str">
        <f t="shared" si="34"/>
        <v/>
      </c>
    </row>
    <row r="409" spans="1:13" x14ac:dyDescent="0.3">
      <c r="A409" t="str">
        <f>Segmenter!A409</f>
        <v/>
      </c>
      <c r="B409" t="str">
        <f>Segmenter!B409</f>
        <v/>
      </c>
      <c r="C409" t="str">
        <f t="shared" si="30"/>
        <v/>
      </c>
      <c r="D409" t="str">
        <f t="shared" si="31"/>
        <v/>
      </c>
      <c r="E409" t="str">
        <f t="shared" si="32"/>
        <v/>
      </c>
      <c r="F409" t="str">
        <f>IF(D409="","",INDEX(Knutepunkter!$B:$B,D409+1))</f>
        <v/>
      </c>
      <c r="G409" t="str">
        <f>IF(D409="","",INDEX(Knutepunkter!$C:$C,D409+1))</f>
        <v/>
      </c>
      <c r="H409" t="str">
        <f>IF(D409="","",INDEX(Knutepunkter!$D:$D,D409+1))</f>
        <v/>
      </c>
      <c r="I409" t="str">
        <f>IF(E409="","",INDEX(Knutepunkter!$B:$B,E409+1))</f>
        <v/>
      </c>
      <c r="J409" t="str">
        <f>IF(E409="","",INDEX(Knutepunkter!$C:$C,E409+1))</f>
        <v/>
      </c>
      <c r="K409" t="str">
        <f>IF(E409="","",INDEX(Knutepunkter!$D:$D,E409+1))</f>
        <v/>
      </c>
      <c r="L409" t="str">
        <f t="shared" si="33"/>
        <v/>
      </c>
      <c r="M409" t="str">
        <f t="shared" si="34"/>
        <v/>
      </c>
    </row>
    <row r="410" spans="1:13" x14ac:dyDescent="0.3">
      <c r="A410" t="str">
        <f>Segmenter!A410</f>
        <v/>
      </c>
      <c r="B410" t="str">
        <f>Segmenter!B410</f>
        <v/>
      </c>
      <c r="C410" t="str">
        <f t="shared" si="30"/>
        <v/>
      </c>
      <c r="D410" t="str">
        <f t="shared" si="31"/>
        <v/>
      </c>
      <c r="E410" t="str">
        <f t="shared" si="32"/>
        <v/>
      </c>
      <c r="F410" t="str">
        <f>IF(D410="","",INDEX(Knutepunkter!$B:$B,D410+1))</f>
        <v/>
      </c>
      <c r="G410" t="str">
        <f>IF(D410="","",INDEX(Knutepunkter!$C:$C,D410+1))</f>
        <v/>
      </c>
      <c r="H410" t="str">
        <f>IF(D410="","",INDEX(Knutepunkter!$D:$D,D410+1))</f>
        <v/>
      </c>
      <c r="I410" t="str">
        <f>IF(E410="","",INDEX(Knutepunkter!$B:$B,E410+1))</f>
        <v/>
      </c>
      <c r="J410" t="str">
        <f>IF(E410="","",INDEX(Knutepunkter!$C:$C,E410+1))</f>
        <v/>
      </c>
      <c r="K410" t="str">
        <f>IF(E410="","",INDEX(Knutepunkter!$D:$D,E410+1))</f>
        <v/>
      </c>
      <c r="L410" t="str">
        <f t="shared" si="33"/>
        <v/>
      </c>
      <c r="M410" t="str">
        <f t="shared" si="34"/>
        <v/>
      </c>
    </row>
    <row r="411" spans="1:13" x14ac:dyDescent="0.3">
      <c r="A411" t="str">
        <f>Segmenter!A411</f>
        <v/>
      </c>
      <c r="B411" t="str">
        <f>Segmenter!B411</f>
        <v/>
      </c>
      <c r="C411" t="str">
        <f t="shared" si="30"/>
        <v/>
      </c>
      <c r="D411" t="str">
        <f t="shared" si="31"/>
        <v/>
      </c>
      <c r="E411" t="str">
        <f t="shared" si="32"/>
        <v/>
      </c>
      <c r="F411" t="str">
        <f>IF(D411="","",INDEX(Knutepunkter!$B:$B,D411+1))</f>
        <v/>
      </c>
      <c r="G411" t="str">
        <f>IF(D411="","",INDEX(Knutepunkter!$C:$C,D411+1))</f>
        <v/>
      </c>
      <c r="H411" t="str">
        <f>IF(D411="","",INDEX(Knutepunkter!$D:$D,D411+1))</f>
        <v/>
      </c>
      <c r="I411" t="str">
        <f>IF(E411="","",INDEX(Knutepunkter!$B:$B,E411+1))</f>
        <v/>
      </c>
      <c r="J411" t="str">
        <f>IF(E411="","",INDEX(Knutepunkter!$C:$C,E411+1))</f>
        <v/>
      </c>
      <c r="K411" t="str">
        <f>IF(E411="","",INDEX(Knutepunkter!$D:$D,E411+1))</f>
        <v/>
      </c>
      <c r="L411" t="str">
        <f t="shared" si="33"/>
        <v/>
      </c>
      <c r="M411" t="str">
        <f t="shared" si="34"/>
        <v/>
      </c>
    </row>
    <row r="412" spans="1:13" x14ac:dyDescent="0.3">
      <c r="A412" t="str">
        <f>Segmenter!A412</f>
        <v/>
      </c>
      <c r="B412" t="str">
        <f>Segmenter!B412</f>
        <v/>
      </c>
      <c r="C412" t="str">
        <f t="shared" si="30"/>
        <v/>
      </c>
      <c r="D412" t="str">
        <f t="shared" si="31"/>
        <v/>
      </c>
      <c r="E412" t="str">
        <f t="shared" si="32"/>
        <v/>
      </c>
      <c r="F412" t="str">
        <f>IF(D412="","",INDEX(Knutepunkter!$B:$B,D412+1))</f>
        <v/>
      </c>
      <c r="G412" t="str">
        <f>IF(D412="","",INDEX(Knutepunkter!$C:$C,D412+1))</f>
        <v/>
      </c>
      <c r="H412" t="str">
        <f>IF(D412="","",INDEX(Knutepunkter!$D:$D,D412+1))</f>
        <v/>
      </c>
      <c r="I412" t="str">
        <f>IF(E412="","",INDEX(Knutepunkter!$B:$B,E412+1))</f>
        <v/>
      </c>
      <c r="J412" t="str">
        <f>IF(E412="","",INDEX(Knutepunkter!$C:$C,E412+1))</f>
        <v/>
      </c>
      <c r="K412" t="str">
        <f>IF(E412="","",INDEX(Knutepunkter!$D:$D,E412+1))</f>
        <v/>
      </c>
      <c r="L412" t="str">
        <f t="shared" si="33"/>
        <v/>
      </c>
      <c r="M412" t="str">
        <f t="shared" si="34"/>
        <v/>
      </c>
    </row>
    <row r="413" spans="1:13" x14ac:dyDescent="0.3">
      <c r="A413" t="str">
        <f>Segmenter!A413</f>
        <v/>
      </c>
      <c r="B413" t="str">
        <f>Segmenter!B413</f>
        <v/>
      </c>
      <c r="C413" t="str">
        <f t="shared" si="30"/>
        <v/>
      </c>
      <c r="D413" t="str">
        <f t="shared" si="31"/>
        <v/>
      </c>
      <c r="E413" t="str">
        <f t="shared" si="32"/>
        <v/>
      </c>
      <c r="F413" t="str">
        <f>IF(D413="","",INDEX(Knutepunkter!$B:$B,D413+1))</f>
        <v/>
      </c>
      <c r="G413" t="str">
        <f>IF(D413="","",INDEX(Knutepunkter!$C:$C,D413+1))</f>
        <v/>
      </c>
      <c r="H413" t="str">
        <f>IF(D413="","",INDEX(Knutepunkter!$D:$D,D413+1))</f>
        <v/>
      </c>
      <c r="I413" t="str">
        <f>IF(E413="","",INDEX(Knutepunkter!$B:$B,E413+1))</f>
        <v/>
      </c>
      <c r="J413" t="str">
        <f>IF(E413="","",INDEX(Knutepunkter!$C:$C,E413+1))</f>
        <v/>
      </c>
      <c r="K413" t="str">
        <f>IF(E413="","",INDEX(Knutepunkter!$D:$D,E413+1))</f>
        <v/>
      </c>
      <c r="L413" t="str">
        <f t="shared" si="33"/>
        <v/>
      </c>
      <c r="M413" t="str">
        <f t="shared" si="34"/>
        <v/>
      </c>
    </row>
    <row r="414" spans="1:13" x14ac:dyDescent="0.3">
      <c r="A414" t="str">
        <f>Segmenter!A414</f>
        <v/>
      </c>
      <c r="B414" t="str">
        <f>Segmenter!B414</f>
        <v/>
      </c>
      <c r="C414" t="str">
        <f t="shared" si="30"/>
        <v/>
      </c>
      <c r="D414" t="str">
        <f t="shared" si="31"/>
        <v/>
      </c>
      <c r="E414" t="str">
        <f t="shared" si="32"/>
        <v/>
      </c>
      <c r="F414" t="str">
        <f>IF(D414="","",INDEX(Knutepunkter!$B:$B,D414+1))</f>
        <v/>
      </c>
      <c r="G414" t="str">
        <f>IF(D414="","",INDEX(Knutepunkter!$C:$C,D414+1))</f>
        <v/>
      </c>
      <c r="H414" t="str">
        <f>IF(D414="","",INDEX(Knutepunkter!$D:$D,D414+1))</f>
        <v/>
      </c>
      <c r="I414" t="str">
        <f>IF(E414="","",INDEX(Knutepunkter!$B:$B,E414+1))</f>
        <v/>
      </c>
      <c r="J414" t="str">
        <f>IF(E414="","",INDEX(Knutepunkter!$C:$C,E414+1))</f>
        <v/>
      </c>
      <c r="K414" t="str">
        <f>IF(E414="","",INDEX(Knutepunkter!$D:$D,E414+1))</f>
        <v/>
      </c>
      <c r="L414" t="str">
        <f t="shared" si="33"/>
        <v/>
      </c>
      <c r="M414" t="str">
        <f t="shared" si="34"/>
        <v/>
      </c>
    </row>
    <row r="415" spans="1:13" x14ac:dyDescent="0.3">
      <c r="A415" t="str">
        <f>Segmenter!A415</f>
        <v/>
      </c>
      <c r="B415" t="str">
        <f>Segmenter!B415</f>
        <v/>
      </c>
      <c r="C415" t="str">
        <f t="shared" si="30"/>
        <v/>
      </c>
      <c r="D415" t="str">
        <f t="shared" si="31"/>
        <v/>
      </c>
      <c r="E415" t="str">
        <f t="shared" si="32"/>
        <v/>
      </c>
      <c r="F415" t="str">
        <f>IF(D415="","",INDEX(Knutepunkter!$B:$B,D415+1))</f>
        <v/>
      </c>
      <c r="G415" t="str">
        <f>IF(D415="","",INDEX(Knutepunkter!$C:$C,D415+1))</f>
        <v/>
      </c>
      <c r="H415" t="str">
        <f>IF(D415="","",INDEX(Knutepunkter!$D:$D,D415+1))</f>
        <v/>
      </c>
      <c r="I415" t="str">
        <f>IF(E415="","",INDEX(Knutepunkter!$B:$B,E415+1))</f>
        <v/>
      </c>
      <c r="J415" t="str">
        <f>IF(E415="","",INDEX(Knutepunkter!$C:$C,E415+1))</f>
        <v/>
      </c>
      <c r="K415" t="str">
        <f>IF(E415="","",INDEX(Knutepunkter!$D:$D,E415+1))</f>
        <v/>
      </c>
      <c r="L415" t="str">
        <f t="shared" si="33"/>
        <v/>
      </c>
      <c r="M415" t="str">
        <f t="shared" si="34"/>
        <v/>
      </c>
    </row>
    <row r="416" spans="1:13" x14ac:dyDescent="0.3">
      <c r="A416" t="str">
        <f>Segmenter!A416</f>
        <v/>
      </c>
      <c r="B416" t="str">
        <f>Segmenter!B416</f>
        <v/>
      </c>
      <c r="C416" t="str">
        <f t="shared" si="30"/>
        <v/>
      </c>
      <c r="D416" t="str">
        <f t="shared" si="31"/>
        <v/>
      </c>
      <c r="E416" t="str">
        <f t="shared" si="32"/>
        <v/>
      </c>
      <c r="F416" t="str">
        <f>IF(D416="","",INDEX(Knutepunkter!$B:$B,D416+1))</f>
        <v/>
      </c>
      <c r="G416" t="str">
        <f>IF(D416="","",INDEX(Knutepunkter!$C:$C,D416+1))</f>
        <v/>
      </c>
      <c r="H416" t="str">
        <f>IF(D416="","",INDEX(Knutepunkter!$D:$D,D416+1))</f>
        <v/>
      </c>
      <c r="I416" t="str">
        <f>IF(E416="","",INDEX(Knutepunkter!$B:$B,E416+1))</f>
        <v/>
      </c>
      <c r="J416" t="str">
        <f>IF(E416="","",INDEX(Knutepunkter!$C:$C,E416+1))</f>
        <v/>
      </c>
      <c r="K416" t="str">
        <f>IF(E416="","",INDEX(Knutepunkter!$D:$D,E416+1))</f>
        <v/>
      </c>
      <c r="L416" t="str">
        <f t="shared" si="33"/>
        <v/>
      </c>
      <c r="M416" t="str">
        <f t="shared" si="34"/>
        <v/>
      </c>
    </row>
    <row r="417" spans="1:13" x14ac:dyDescent="0.3">
      <c r="A417" t="str">
        <f>Segmenter!A417</f>
        <v/>
      </c>
      <c r="B417" t="str">
        <f>Segmenter!B417</f>
        <v/>
      </c>
      <c r="C417" t="str">
        <f t="shared" si="30"/>
        <v/>
      </c>
      <c r="D417" t="str">
        <f t="shared" si="31"/>
        <v/>
      </c>
      <c r="E417" t="str">
        <f t="shared" si="32"/>
        <v/>
      </c>
      <c r="F417" t="str">
        <f>IF(D417="","",INDEX(Knutepunkter!$B:$B,D417+1))</f>
        <v/>
      </c>
      <c r="G417" t="str">
        <f>IF(D417="","",INDEX(Knutepunkter!$C:$C,D417+1))</f>
        <v/>
      </c>
      <c r="H417" t="str">
        <f>IF(D417="","",INDEX(Knutepunkter!$D:$D,D417+1))</f>
        <v/>
      </c>
      <c r="I417" t="str">
        <f>IF(E417="","",INDEX(Knutepunkter!$B:$B,E417+1))</f>
        <v/>
      </c>
      <c r="J417" t="str">
        <f>IF(E417="","",INDEX(Knutepunkter!$C:$C,E417+1))</f>
        <v/>
      </c>
      <c r="K417" t="str">
        <f>IF(E417="","",INDEX(Knutepunkter!$D:$D,E417+1))</f>
        <v/>
      </c>
      <c r="L417" t="str">
        <f t="shared" si="33"/>
        <v/>
      </c>
      <c r="M417" t="str">
        <f t="shared" si="34"/>
        <v/>
      </c>
    </row>
    <row r="418" spans="1:13" x14ac:dyDescent="0.3">
      <c r="A418" t="str">
        <f>Segmenter!A418</f>
        <v/>
      </c>
      <c r="B418" t="str">
        <f>Segmenter!B418</f>
        <v/>
      </c>
      <c r="C418" t="str">
        <f t="shared" si="30"/>
        <v/>
      </c>
      <c r="D418" t="str">
        <f t="shared" si="31"/>
        <v/>
      </c>
      <c r="E418" t="str">
        <f t="shared" si="32"/>
        <v/>
      </c>
      <c r="F418" t="str">
        <f>IF(D418="","",INDEX(Knutepunkter!$B:$B,D418+1))</f>
        <v/>
      </c>
      <c r="G418" t="str">
        <f>IF(D418="","",INDEX(Knutepunkter!$C:$C,D418+1))</f>
        <v/>
      </c>
      <c r="H418" t="str">
        <f>IF(D418="","",INDEX(Knutepunkter!$D:$D,D418+1))</f>
        <v/>
      </c>
      <c r="I418" t="str">
        <f>IF(E418="","",INDEX(Knutepunkter!$B:$B,E418+1))</f>
        <v/>
      </c>
      <c r="J418" t="str">
        <f>IF(E418="","",INDEX(Knutepunkter!$C:$C,E418+1))</f>
        <v/>
      </c>
      <c r="K418" t="str">
        <f>IF(E418="","",INDEX(Knutepunkter!$D:$D,E418+1))</f>
        <v/>
      </c>
      <c r="L418" t="str">
        <f t="shared" si="33"/>
        <v/>
      </c>
      <c r="M418" t="str">
        <f t="shared" si="34"/>
        <v/>
      </c>
    </row>
    <row r="419" spans="1:13" x14ac:dyDescent="0.3">
      <c r="A419" t="str">
        <f>Segmenter!A419</f>
        <v/>
      </c>
      <c r="B419" t="str">
        <f>Segmenter!B419</f>
        <v/>
      </c>
      <c r="C419" t="str">
        <f t="shared" si="30"/>
        <v/>
      </c>
      <c r="D419" t="str">
        <f t="shared" si="31"/>
        <v/>
      </c>
      <c r="E419" t="str">
        <f t="shared" si="32"/>
        <v/>
      </c>
      <c r="F419" t="str">
        <f>IF(D419="","",INDEX(Knutepunkter!$B:$B,D419+1))</f>
        <v/>
      </c>
      <c r="G419" t="str">
        <f>IF(D419="","",INDEX(Knutepunkter!$C:$C,D419+1))</f>
        <v/>
      </c>
      <c r="H419" t="str">
        <f>IF(D419="","",INDEX(Knutepunkter!$D:$D,D419+1))</f>
        <v/>
      </c>
      <c r="I419" t="str">
        <f>IF(E419="","",INDEX(Knutepunkter!$B:$B,E419+1))</f>
        <v/>
      </c>
      <c r="J419" t="str">
        <f>IF(E419="","",INDEX(Knutepunkter!$C:$C,E419+1))</f>
        <v/>
      </c>
      <c r="K419" t="str">
        <f>IF(E419="","",INDEX(Knutepunkter!$D:$D,E419+1))</f>
        <v/>
      </c>
      <c r="L419" t="str">
        <f t="shared" si="33"/>
        <v/>
      </c>
      <c r="M419" t="str">
        <f t="shared" si="34"/>
        <v/>
      </c>
    </row>
    <row r="420" spans="1:13" x14ac:dyDescent="0.3">
      <c r="A420" t="str">
        <f>Segmenter!A420</f>
        <v/>
      </c>
      <c r="B420" t="str">
        <f>Segmenter!B420</f>
        <v/>
      </c>
      <c r="C420" t="str">
        <f t="shared" si="30"/>
        <v/>
      </c>
      <c r="D420" t="str">
        <f t="shared" si="31"/>
        <v/>
      </c>
      <c r="E420" t="str">
        <f t="shared" si="32"/>
        <v/>
      </c>
      <c r="F420" t="str">
        <f>IF(D420="","",INDEX(Knutepunkter!$B:$B,D420+1))</f>
        <v/>
      </c>
      <c r="G420" t="str">
        <f>IF(D420="","",INDEX(Knutepunkter!$C:$C,D420+1))</f>
        <v/>
      </c>
      <c r="H420" t="str">
        <f>IF(D420="","",INDEX(Knutepunkter!$D:$D,D420+1))</f>
        <v/>
      </c>
      <c r="I420" t="str">
        <f>IF(E420="","",INDEX(Knutepunkter!$B:$B,E420+1))</f>
        <v/>
      </c>
      <c r="J420" t="str">
        <f>IF(E420="","",INDEX(Knutepunkter!$C:$C,E420+1))</f>
        <v/>
      </c>
      <c r="K420" t="str">
        <f>IF(E420="","",INDEX(Knutepunkter!$D:$D,E420+1))</f>
        <v/>
      </c>
      <c r="L420" t="str">
        <f t="shared" si="33"/>
        <v/>
      </c>
      <c r="M420" t="str">
        <f t="shared" si="34"/>
        <v/>
      </c>
    </row>
    <row r="421" spans="1:13" x14ac:dyDescent="0.3">
      <c r="A421" t="str">
        <f>Segmenter!A421</f>
        <v/>
      </c>
      <c r="B421" t="str">
        <f>Segmenter!B421</f>
        <v/>
      </c>
      <c r="C421" t="str">
        <f t="shared" si="30"/>
        <v/>
      </c>
      <c r="D421" t="str">
        <f t="shared" si="31"/>
        <v/>
      </c>
      <c r="E421" t="str">
        <f t="shared" si="32"/>
        <v/>
      </c>
      <c r="F421" t="str">
        <f>IF(D421="","",INDEX(Knutepunkter!$B:$B,D421+1))</f>
        <v/>
      </c>
      <c r="G421" t="str">
        <f>IF(D421="","",INDEX(Knutepunkter!$C:$C,D421+1))</f>
        <v/>
      </c>
      <c r="H421" t="str">
        <f>IF(D421="","",INDEX(Knutepunkter!$D:$D,D421+1))</f>
        <v/>
      </c>
      <c r="I421" t="str">
        <f>IF(E421="","",INDEX(Knutepunkter!$B:$B,E421+1))</f>
        <v/>
      </c>
      <c r="J421" t="str">
        <f>IF(E421="","",INDEX(Knutepunkter!$C:$C,E421+1))</f>
        <v/>
      </c>
      <c r="K421" t="str">
        <f>IF(E421="","",INDEX(Knutepunkter!$D:$D,E421+1))</f>
        <v/>
      </c>
      <c r="L421" t="str">
        <f t="shared" si="33"/>
        <v/>
      </c>
      <c r="M421" t="str">
        <f t="shared" si="34"/>
        <v/>
      </c>
    </row>
    <row r="422" spans="1:13" x14ac:dyDescent="0.3">
      <c r="A422" t="str">
        <f>Segmenter!A422</f>
        <v>S421</v>
      </c>
      <c r="B422" t="str">
        <f>Segmenter!B422</f>
        <v>463 -&gt; 464</v>
      </c>
      <c r="C422" t="str">
        <f t="shared" si="30"/>
        <v>Søyle</v>
      </c>
      <c r="D422">
        <f t="shared" si="31"/>
        <v>463</v>
      </c>
      <c r="E422">
        <f t="shared" si="32"/>
        <v>464</v>
      </c>
      <c r="F422">
        <f>IF(D422="","",INDEX(Knutepunkter!$B:$B,D422+1))</f>
        <v>24354</v>
      </c>
      <c r="G422">
        <f>IF(D422="","",INDEX(Knutepunkter!$C:$C,D422+1))</f>
        <v>0</v>
      </c>
      <c r="H422">
        <f>IF(D422="","",INDEX(Knutepunkter!$D:$D,D422+1))</f>
        <v>0</v>
      </c>
      <c r="I422">
        <f>IF(E422="","",INDEX(Knutepunkter!$B:$B,E422+1))</f>
        <v>24354</v>
      </c>
      <c r="J422">
        <f>IF(E422="","",INDEX(Knutepunkter!$C:$C,E422+1))</f>
        <v>0</v>
      </c>
      <c r="K422">
        <f>IF(E422="","",INDEX(Knutepunkter!$D:$D,E422+1))</f>
        <v>3000</v>
      </c>
      <c r="L422">
        <f t="shared" si="33"/>
        <v>3000</v>
      </c>
      <c r="M422">
        <f t="shared" si="34"/>
        <v>3</v>
      </c>
    </row>
    <row r="423" spans="1:13" x14ac:dyDescent="0.3">
      <c r="A423" t="str">
        <f>Segmenter!A423</f>
        <v>S422</v>
      </c>
      <c r="B423" t="str">
        <f>Segmenter!B423</f>
        <v>464 -&gt; 465</v>
      </c>
      <c r="C423" t="str">
        <f t="shared" si="30"/>
        <v>Søyle</v>
      </c>
      <c r="D423">
        <f t="shared" si="31"/>
        <v>464</v>
      </c>
      <c r="E423">
        <f t="shared" si="32"/>
        <v>465</v>
      </c>
      <c r="F423">
        <f>IF(D423="","",INDEX(Knutepunkter!$B:$B,D423+1))</f>
        <v>24354</v>
      </c>
      <c r="G423">
        <f>IF(D423="","",INDEX(Knutepunkter!$C:$C,D423+1))</f>
        <v>0</v>
      </c>
      <c r="H423">
        <f>IF(D423="","",INDEX(Knutepunkter!$D:$D,D423+1))</f>
        <v>3000</v>
      </c>
      <c r="I423">
        <f>IF(E423="","",INDEX(Knutepunkter!$B:$B,E423+1))</f>
        <v>24354</v>
      </c>
      <c r="J423">
        <f>IF(E423="","",INDEX(Knutepunkter!$C:$C,E423+1))</f>
        <v>0</v>
      </c>
      <c r="K423">
        <f>IF(E423="","",INDEX(Knutepunkter!$D:$D,E423+1))</f>
        <v>6000</v>
      </c>
      <c r="L423">
        <f t="shared" si="33"/>
        <v>3000</v>
      </c>
      <c r="M423">
        <f t="shared" si="34"/>
        <v>3</v>
      </c>
    </row>
    <row r="424" spans="1:13" x14ac:dyDescent="0.3">
      <c r="A424" t="str">
        <f>Segmenter!A424</f>
        <v>S423</v>
      </c>
      <c r="B424" t="str">
        <f>Segmenter!B424</f>
        <v>465 -&gt; 466</v>
      </c>
      <c r="C424" t="str">
        <f t="shared" si="30"/>
        <v>Søyle</v>
      </c>
      <c r="D424">
        <f t="shared" si="31"/>
        <v>465</v>
      </c>
      <c r="E424">
        <f t="shared" si="32"/>
        <v>466</v>
      </c>
      <c r="F424">
        <f>IF(D424="","",INDEX(Knutepunkter!$B:$B,D424+1))</f>
        <v>24354</v>
      </c>
      <c r="G424">
        <f>IF(D424="","",INDEX(Knutepunkter!$C:$C,D424+1))</f>
        <v>0</v>
      </c>
      <c r="H424">
        <f>IF(D424="","",INDEX(Knutepunkter!$D:$D,D424+1))</f>
        <v>6000</v>
      </c>
      <c r="I424">
        <f>IF(E424="","",INDEX(Knutepunkter!$B:$B,E424+1))</f>
        <v>24354</v>
      </c>
      <c r="J424">
        <f>IF(E424="","",INDEX(Knutepunkter!$C:$C,E424+1))</f>
        <v>0</v>
      </c>
      <c r="K424">
        <f>IF(E424="","",INDEX(Knutepunkter!$D:$D,E424+1))</f>
        <v>9000</v>
      </c>
      <c r="L424">
        <f t="shared" si="33"/>
        <v>3000</v>
      </c>
      <c r="M424">
        <f t="shared" si="34"/>
        <v>3</v>
      </c>
    </row>
    <row r="425" spans="1:13" x14ac:dyDescent="0.3">
      <c r="A425" t="str">
        <f>Segmenter!A425</f>
        <v>S424</v>
      </c>
      <c r="B425" t="str">
        <f>Segmenter!B425</f>
        <v>466 -&gt; 467</v>
      </c>
      <c r="C425" t="str">
        <f t="shared" si="30"/>
        <v>Søyle</v>
      </c>
      <c r="D425">
        <f t="shared" si="31"/>
        <v>466</v>
      </c>
      <c r="E425">
        <f t="shared" si="32"/>
        <v>467</v>
      </c>
      <c r="F425">
        <f>IF(D425="","",INDEX(Knutepunkter!$B:$B,D425+1))</f>
        <v>24354</v>
      </c>
      <c r="G425">
        <f>IF(D425="","",INDEX(Knutepunkter!$C:$C,D425+1))</f>
        <v>0</v>
      </c>
      <c r="H425">
        <f>IF(D425="","",INDEX(Knutepunkter!$D:$D,D425+1))</f>
        <v>9000</v>
      </c>
      <c r="I425">
        <f>IF(E425="","",INDEX(Knutepunkter!$B:$B,E425+1))</f>
        <v>24354</v>
      </c>
      <c r="J425">
        <f>IF(E425="","",INDEX(Knutepunkter!$C:$C,E425+1))</f>
        <v>0</v>
      </c>
      <c r="K425">
        <f>IF(E425="","",INDEX(Knutepunkter!$D:$D,E425+1))</f>
        <v>12000</v>
      </c>
      <c r="L425">
        <f t="shared" si="33"/>
        <v>3000</v>
      </c>
      <c r="M425">
        <f t="shared" si="34"/>
        <v>3</v>
      </c>
    </row>
    <row r="426" spans="1:13" x14ac:dyDescent="0.3">
      <c r="A426" t="str">
        <f>Segmenter!A426</f>
        <v>S425</v>
      </c>
      <c r="B426" t="str">
        <f>Segmenter!B426</f>
        <v>467 -&gt; 468</v>
      </c>
      <c r="C426" t="str">
        <f t="shared" si="30"/>
        <v>Søyle</v>
      </c>
      <c r="D426">
        <f t="shared" si="31"/>
        <v>467</v>
      </c>
      <c r="E426">
        <f t="shared" si="32"/>
        <v>468</v>
      </c>
      <c r="F426">
        <f>IF(D426="","",INDEX(Knutepunkter!$B:$B,D426+1))</f>
        <v>24354</v>
      </c>
      <c r="G426">
        <f>IF(D426="","",INDEX(Knutepunkter!$C:$C,D426+1))</f>
        <v>0</v>
      </c>
      <c r="H426">
        <f>IF(D426="","",INDEX(Knutepunkter!$D:$D,D426+1))</f>
        <v>12000</v>
      </c>
      <c r="I426">
        <f>IF(E426="","",INDEX(Knutepunkter!$B:$B,E426+1))</f>
        <v>24354</v>
      </c>
      <c r="J426">
        <f>IF(E426="","",INDEX(Knutepunkter!$C:$C,E426+1))</f>
        <v>0</v>
      </c>
      <c r="K426">
        <f>IF(E426="","",INDEX(Knutepunkter!$D:$D,E426+1))</f>
        <v>15000</v>
      </c>
      <c r="L426">
        <f t="shared" si="33"/>
        <v>3000</v>
      </c>
      <c r="M426">
        <f t="shared" si="34"/>
        <v>3</v>
      </c>
    </row>
    <row r="427" spans="1:13" x14ac:dyDescent="0.3">
      <c r="A427" t="str">
        <f>Segmenter!A427</f>
        <v>S426</v>
      </c>
      <c r="B427" t="str">
        <f>Segmenter!B427</f>
        <v>468 -&gt; 469</v>
      </c>
      <c r="C427" t="str">
        <f t="shared" si="30"/>
        <v>Søyle</v>
      </c>
      <c r="D427">
        <f t="shared" si="31"/>
        <v>468</v>
      </c>
      <c r="E427">
        <f t="shared" si="32"/>
        <v>469</v>
      </c>
      <c r="F427">
        <f>IF(D427="","",INDEX(Knutepunkter!$B:$B,D427+1))</f>
        <v>24354</v>
      </c>
      <c r="G427">
        <f>IF(D427="","",INDEX(Knutepunkter!$C:$C,D427+1))</f>
        <v>0</v>
      </c>
      <c r="H427">
        <f>IF(D427="","",INDEX(Knutepunkter!$D:$D,D427+1))</f>
        <v>15000</v>
      </c>
      <c r="I427">
        <f>IF(E427="","",INDEX(Knutepunkter!$B:$B,E427+1))</f>
        <v>24354</v>
      </c>
      <c r="J427">
        <f>IF(E427="","",INDEX(Knutepunkter!$C:$C,E427+1))</f>
        <v>0</v>
      </c>
      <c r="K427">
        <f>IF(E427="","",INDEX(Knutepunkter!$D:$D,E427+1))</f>
        <v>18000</v>
      </c>
      <c r="L427">
        <f t="shared" si="33"/>
        <v>3000</v>
      </c>
      <c r="M427">
        <f t="shared" si="34"/>
        <v>3</v>
      </c>
    </row>
    <row r="428" spans="1:13" x14ac:dyDescent="0.3">
      <c r="A428" t="str">
        <f>Segmenter!A428</f>
        <v/>
      </c>
      <c r="B428" t="str">
        <f>Segmenter!B428</f>
        <v/>
      </c>
      <c r="C428" t="str">
        <f t="shared" si="30"/>
        <v/>
      </c>
      <c r="D428" t="str">
        <f t="shared" si="31"/>
        <v/>
      </c>
      <c r="E428" t="str">
        <f t="shared" si="32"/>
        <v/>
      </c>
      <c r="F428" t="str">
        <f>IF(D428="","",INDEX(Knutepunkter!$B:$B,D428+1))</f>
        <v/>
      </c>
      <c r="G428" t="str">
        <f>IF(D428="","",INDEX(Knutepunkter!$C:$C,D428+1))</f>
        <v/>
      </c>
      <c r="H428" t="str">
        <f>IF(D428="","",INDEX(Knutepunkter!$D:$D,D428+1))</f>
        <v/>
      </c>
      <c r="I428" t="str">
        <f>IF(E428="","",INDEX(Knutepunkter!$B:$B,E428+1))</f>
        <v/>
      </c>
      <c r="J428" t="str">
        <f>IF(E428="","",INDEX(Knutepunkter!$C:$C,E428+1))</f>
        <v/>
      </c>
      <c r="K428" t="str">
        <f>IF(E428="","",INDEX(Knutepunkter!$D:$D,E428+1))</f>
        <v/>
      </c>
      <c r="L428" t="str">
        <f t="shared" si="33"/>
        <v/>
      </c>
      <c r="M428" t="str">
        <f t="shared" si="34"/>
        <v/>
      </c>
    </row>
    <row r="429" spans="1:13" x14ac:dyDescent="0.3">
      <c r="A429" t="str">
        <f>Segmenter!A429</f>
        <v/>
      </c>
      <c r="B429" t="str">
        <f>Segmenter!B429</f>
        <v/>
      </c>
      <c r="C429" t="str">
        <f t="shared" si="30"/>
        <v/>
      </c>
      <c r="D429" t="str">
        <f t="shared" si="31"/>
        <v/>
      </c>
      <c r="E429" t="str">
        <f t="shared" si="32"/>
        <v/>
      </c>
      <c r="F429" t="str">
        <f>IF(D429="","",INDEX(Knutepunkter!$B:$B,D429+1))</f>
        <v/>
      </c>
      <c r="G429" t="str">
        <f>IF(D429="","",INDEX(Knutepunkter!$C:$C,D429+1))</f>
        <v/>
      </c>
      <c r="H429" t="str">
        <f>IF(D429="","",INDEX(Knutepunkter!$D:$D,D429+1))</f>
        <v/>
      </c>
      <c r="I429" t="str">
        <f>IF(E429="","",INDEX(Knutepunkter!$B:$B,E429+1))</f>
        <v/>
      </c>
      <c r="J429" t="str">
        <f>IF(E429="","",INDEX(Knutepunkter!$C:$C,E429+1))</f>
        <v/>
      </c>
      <c r="K429" t="str">
        <f>IF(E429="","",INDEX(Knutepunkter!$D:$D,E429+1))</f>
        <v/>
      </c>
      <c r="L429" t="str">
        <f t="shared" si="33"/>
        <v/>
      </c>
      <c r="M429" t="str">
        <f t="shared" si="34"/>
        <v/>
      </c>
    </row>
    <row r="430" spans="1:13" x14ac:dyDescent="0.3">
      <c r="A430" t="str">
        <f>Segmenter!A430</f>
        <v/>
      </c>
      <c r="B430" t="str">
        <f>Segmenter!B430</f>
        <v/>
      </c>
      <c r="C430" t="str">
        <f t="shared" si="30"/>
        <v/>
      </c>
      <c r="D430" t="str">
        <f t="shared" si="31"/>
        <v/>
      </c>
      <c r="E430" t="str">
        <f t="shared" si="32"/>
        <v/>
      </c>
      <c r="F430" t="str">
        <f>IF(D430="","",INDEX(Knutepunkter!$B:$B,D430+1))</f>
        <v/>
      </c>
      <c r="G430" t="str">
        <f>IF(D430="","",INDEX(Knutepunkter!$C:$C,D430+1))</f>
        <v/>
      </c>
      <c r="H430" t="str">
        <f>IF(D430="","",INDEX(Knutepunkter!$D:$D,D430+1))</f>
        <v/>
      </c>
      <c r="I430" t="str">
        <f>IF(E430="","",INDEX(Knutepunkter!$B:$B,E430+1))</f>
        <v/>
      </c>
      <c r="J430" t="str">
        <f>IF(E430="","",INDEX(Knutepunkter!$C:$C,E430+1))</f>
        <v/>
      </c>
      <c r="K430" t="str">
        <f>IF(E430="","",INDEX(Knutepunkter!$D:$D,E430+1))</f>
        <v/>
      </c>
      <c r="L430" t="str">
        <f t="shared" si="33"/>
        <v/>
      </c>
      <c r="M430" t="str">
        <f t="shared" si="34"/>
        <v/>
      </c>
    </row>
    <row r="431" spans="1:13" x14ac:dyDescent="0.3">
      <c r="A431" t="str">
        <f>Segmenter!A431</f>
        <v/>
      </c>
      <c r="B431" t="str">
        <f>Segmenter!B431</f>
        <v/>
      </c>
      <c r="C431" t="str">
        <f t="shared" si="30"/>
        <v/>
      </c>
      <c r="D431" t="str">
        <f t="shared" si="31"/>
        <v/>
      </c>
      <c r="E431" t="str">
        <f t="shared" si="32"/>
        <v/>
      </c>
      <c r="F431" t="str">
        <f>IF(D431="","",INDEX(Knutepunkter!$B:$B,D431+1))</f>
        <v/>
      </c>
      <c r="G431" t="str">
        <f>IF(D431="","",INDEX(Knutepunkter!$C:$C,D431+1))</f>
        <v/>
      </c>
      <c r="H431" t="str">
        <f>IF(D431="","",INDEX(Knutepunkter!$D:$D,D431+1))</f>
        <v/>
      </c>
      <c r="I431" t="str">
        <f>IF(E431="","",INDEX(Knutepunkter!$B:$B,E431+1))</f>
        <v/>
      </c>
      <c r="J431" t="str">
        <f>IF(E431="","",INDEX(Knutepunkter!$C:$C,E431+1))</f>
        <v/>
      </c>
      <c r="K431" t="str">
        <f>IF(E431="","",INDEX(Knutepunkter!$D:$D,E431+1))</f>
        <v/>
      </c>
      <c r="L431" t="str">
        <f t="shared" si="33"/>
        <v/>
      </c>
      <c r="M431" t="str">
        <f t="shared" si="34"/>
        <v/>
      </c>
    </row>
    <row r="432" spans="1:13" x14ac:dyDescent="0.3">
      <c r="A432" t="str">
        <f>Segmenter!A432</f>
        <v>S431</v>
      </c>
      <c r="B432" t="str">
        <f>Segmenter!B432</f>
        <v>474 -&gt; 475</v>
      </c>
      <c r="C432" t="str">
        <f t="shared" si="30"/>
        <v>Søyle</v>
      </c>
      <c r="D432">
        <f t="shared" si="31"/>
        <v>474</v>
      </c>
      <c r="E432">
        <f t="shared" si="32"/>
        <v>475</v>
      </c>
      <c r="F432">
        <f>IF(D432="","",INDEX(Knutepunkter!$B:$B,D432+1))</f>
        <v>24354</v>
      </c>
      <c r="G432">
        <f>IF(D432="","",INDEX(Knutepunkter!$C:$C,D432+1))</f>
        <v>8000</v>
      </c>
      <c r="H432">
        <f>IF(D432="","",INDEX(Knutepunkter!$D:$D,D432+1))</f>
        <v>0</v>
      </c>
      <c r="I432">
        <f>IF(E432="","",INDEX(Knutepunkter!$B:$B,E432+1))</f>
        <v>24354</v>
      </c>
      <c r="J432">
        <f>IF(E432="","",INDEX(Knutepunkter!$C:$C,E432+1))</f>
        <v>8000</v>
      </c>
      <c r="K432">
        <f>IF(E432="","",INDEX(Knutepunkter!$D:$D,E432+1))</f>
        <v>3000</v>
      </c>
      <c r="L432">
        <f t="shared" si="33"/>
        <v>3000</v>
      </c>
      <c r="M432">
        <f t="shared" si="34"/>
        <v>3</v>
      </c>
    </row>
    <row r="433" spans="1:13" x14ac:dyDescent="0.3">
      <c r="A433" t="str">
        <f>Segmenter!A433</f>
        <v>S432</v>
      </c>
      <c r="B433" t="str">
        <f>Segmenter!B433</f>
        <v>475 -&gt; 476</v>
      </c>
      <c r="C433" t="str">
        <f t="shared" si="30"/>
        <v>Søyle</v>
      </c>
      <c r="D433">
        <f t="shared" si="31"/>
        <v>475</v>
      </c>
      <c r="E433">
        <f t="shared" si="32"/>
        <v>476</v>
      </c>
      <c r="F433">
        <f>IF(D433="","",INDEX(Knutepunkter!$B:$B,D433+1))</f>
        <v>24354</v>
      </c>
      <c r="G433">
        <f>IF(D433="","",INDEX(Knutepunkter!$C:$C,D433+1))</f>
        <v>8000</v>
      </c>
      <c r="H433">
        <f>IF(D433="","",INDEX(Knutepunkter!$D:$D,D433+1))</f>
        <v>3000</v>
      </c>
      <c r="I433">
        <f>IF(E433="","",INDEX(Knutepunkter!$B:$B,E433+1))</f>
        <v>24354</v>
      </c>
      <c r="J433">
        <f>IF(E433="","",INDEX(Knutepunkter!$C:$C,E433+1))</f>
        <v>8000</v>
      </c>
      <c r="K433">
        <f>IF(E433="","",INDEX(Knutepunkter!$D:$D,E433+1))</f>
        <v>6000</v>
      </c>
      <c r="L433">
        <f t="shared" si="33"/>
        <v>3000</v>
      </c>
      <c r="M433">
        <f t="shared" si="34"/>
        <v>3</v>
      </c>
    </row>
    <row r="434" spans="1:13" x14ac:dyDescent="0.3">
      <c r="A434" t="str">
        <f>Segmenter!A434</f>
        <v>S433</v>
      </c>
      <c r="B434" t="str">
        <f>Segmenter!B434</f>
        <v>476 -&gt; 477</v>
      </c>
      <c r="C434" t="str">
        <f t="shared" si="30"/>
        <v>Søyle</v>
      </c>
      <c r="D434">
        <f t="shared" si="31"/>
        <v>476</v>
      </c>
      <c r="E434">
        <f t="shared" si="32"/>
        <v>477</v>
      </c>
      <c r="F434">
        <f>IF(D434="","",INDEX(Knutepunkter!$B:$B,D434+1))</f>
        <v>24354</v>
      </c>
      <c r="G434">
        <f>IF(D434="","",INDEX(Knutepunkter!$C:$C,D434+1))</f>
        <v>8000</v>
      </c>
      <c r="H434">
        <f>IF(D434="","",INDEX(Knutepunkter!$D:$D,D434+1))</f>
        <v>6000</v>
      </c>
      <c r="I434">
        <f>IF(E434="","",INDEX(Knutepunkter!$B:$B,E434+1))</f>
        <v>24354</v>
      </c>
      <c r="J434">
        <f>IF(E434="","",INDEX(Knutepunkter!$C:$C,E434+1))</f>
        <v>8000</v>
      </c>
      <c r="K434">
        <f>IF(E434="","",INDEX(Knutepunkter!$D:$D,E434+1))</f>
        <v>9000</v>
      </c>
      <c r="L434">
        <f t="shared" si="33"/>
        <v>3000</v>
      </c>
      <c r="M434">
        <f t="shared" si="34"/>
        <v>3</v>
      </c>
    </row>
    <row r="435" spans="1:13" x14ac:dyDescent="0.3">
      <c r="A435" t="str">
        <f>Segmenter!A435</f>
        <v>S434</v>
      </c>
      <c r="B435" t="str">
        <f>Segmenter!B435</f>
        <v>477 -&gt; 478</v>
      </c>
      <c r="C435" t="str">
        <f t="shared" si="30"/>
        <v>Søyle</v>
      </c>
      <c r="D435">
        <f t="shared" si="31"/>
        <v>477</v>
      </c>
      <c r="E435">
        <f t="shared" si="32"/>
        <v>478</v>
      </c>
      <c r="F435">
        <f>IF(D435="","",INDEX(Knutepunkter!$B:$B,D435+1))</f>
        <v>24354</v>
      </c>
      <c r="G435">
        <f>IF(D435="","",INDEX(Knutepunkter!$C:$C,D435+1))</f>
        <v>8000</v>
      </c>
      <c r="H435">
        <f>IF(D435="","",INDEX(Knutepunkter!$D:$D,D435+1))</f>
        <v>9000</v>
      </c>
      <c r="I435">
        <f>IF(E435="","",INDEX(Knutepunkter!$B:$B,E435+1))</f>
        <v>24354</v>
      </c>
      <c r="J435">
        <f>IF(E435="","",INDEX(Knutepunkter!$C:$C,E435+1))</f>
        <v>8000</v>
      </c>
      <c r="K435">
        <f>IF(E435="","",INDEX(Knutepunkter!$D:$D,E435+1))</f>
        <v>12000</v>
      </c>
      <c r="L435">
        <f t="shared" si="33"/>
        <v>3000</v>
      </c>
      <c r="M435">
        <f t="shared" si="34"/>
        <v>3</v>
      </c>
    </row>
    <row r="436" spans="1:13" x14ac:dyDescent="0.3">
      <c r="A436" t="str">
        <f>Segmenter!A436</f>
        <v>S435</v>
      </c>
      <c r="B436" t="str">
        <f>Segmenter!B436</f>
        <v>478 -&gt; 479</v>
      </c>
      <c r="C436" t="str">
        <f t="shared" si="30"/>
        <v>Søyle</v>
      </c>
      <c r="D436">
        <f t="shared" si="31"/>
        <v>478</v>
      </c>
      <c r="E436">
        <f t="shared" si="32"/>
        <v>479</v>
      </c>
      <c r="F436">
        <f>IF(D436="","",INDEX(Knutepunkter!$B:$B,D436+1))</f>
        <v>24354</v>
      </c>
      <c r="G436">
        <f>IF(D436="","",INDEX(Knutepunkter!$C:$C,D436+1))</f>
        <v>8000</v>
      </c>
      <c r="H436">
        <f>IF(D436="","",INDEX(Knutepunkter!$D:$D,D436+1))</f>
        <v>12000</v>
      </c>
      <c r="I436">
        <f>IF(E436="","",INDEX(Knutepunkter!$B:$B,E436+1))</f>
        <v>24354</v>
      </c>
      <c r="J436">
        <f>IF(E436="","",INDEX(Knutepunkter!$C:$C,E436+1))</f>
        <v>8000</v>
      </c>
      <c r="K436">
        <f>IF(E436="","",INDEX(Knutepunkter!$D:$D,E436+1))</f>
        <v>15000</v>
      </c>
      <c r="L436">
        <f t="shared" si="33"/>
        <v>3000</v>
      </c>
      <c r="M436">
        <f t="shared" si="34"/>
        <v>3</v>
      </c>
    </row>
    <row r="437" spans="1:13" x14ac:dyDescent="0.3">
      <c r="A437" t="str">
        <f>Segmenter!A437</f>
        <v>S436</v>
      </c>
      <c r="B437" t="str">
        <f>Segmenter!B437</f>
        <v>479 -&gt; 480</v>
      </c>
      <c r="C437" t="str">
        <f t="shared" si="30"/>
        <v>Søyle</v>
      </c>
      <c r="D437">
        <f t="shared" si="31"/>
        <v>479</v>
      </c>
      <c r="E437">
        <f t="shared" si="32"/>
        <v>480</v>
      </c>
      <c r="F437">
        <f>IF(D437="","",INDEX(Knutepunkter!$B:$B,D437+1))</f>
        <v>24354</v>
      </c>
      <c r="G437">
        <f>IF(D437="","",INDEX(Knutepunkter!$C:$C,D437+1))</f>
        <v>8000</v>
      </c>
      <c r="H437">
        <f>IF(D437="","",INDEX(Knutepunkter!$D:$D,D437+1))</f>
        <v>15000</v>
      </c>
      <c r="I437">
        <f>IF(E437="","",INDEX(Knutepunkter!$B:$B,E437+1))</f>
        <v>24354</v>
      </c>
      <c r="J437">
        <f>IF(E437="","",INDEX(Knutepunkter!$C:$C,E437+1))</f>
        <v>8000</v>
      </c>
      <c r="K437">
        <f>IF(E437="","",INDEX(Knutepunkter!$D:$D,E437+1))</f>
        <v>18000</v>
      </c>
      <c r="L437">
        <f t="shared" si="33"/>
        <v>3000</v>
      </c>
      <c r="M437">
        <f t="shared" si="34"/>
        <v>3</v>
      </c>
    </row>
    <row r="438" spans="1:13" x14ac:dyDescent="0.3">
      <c r="A438" t="str">
        <f>Segmenter!A438</f>
        <v/>
      </c>
      <c r="B438" t="str">
        <f>Segmenter!B438</f>
        <v/>
      </c>
      <c r="C438" t="str">
        <f t="shared" si="30"/>
        <v/>
      </c>
      <c r="D438" t="str">
        <f t="shared" si="31"/>
        <v/>
      </c>
      <c r="E438" t="str">
        <f t="shared" si="32"/>
        <v/>
      </c>
      <c r="F438" t="str">
        <f>IF(D438="","",INDEX(Knutepunkter!$B:$B,D438+1))</f>
        <v/>
      </c>
      <c r="G438" t="str">
        <f>IF(D438="","",INDEX(Knutepunkter!$C:$C,D438+1))</f>
        <v/>
      </c>
      <c r="H438" t="str">
        <f>IF(D438="","",INDEX(Knutepunkter!$D:$D,D438+1))</f>
        <v/>
      </c>
      <c r="I438" t="str">
        <f>IF(E438="","",INDEX(Knutepunkter!$B:$B,E438+1))</f>
        <v/>
      </c>
      <c r="J438" t="str">
        <f>IF(E438="","",INDEX(Knutepunkter!$C:$C,E438+1))</f>
        <v/>
      </c>
      <c r="K438" t="str">
        <f>IF(E438="","",INDEX(Knutepunkter!$D:$D,E438+1))</f>
        <v/>
      </c>
      <c r="L438" t="str">
        <f t="shared" si="33"/>
        <v/>
      </c>
      <c r="M438" t="str">
        <f t="shared" si="34"/>
        <v/>
      </c>
    </row>
    <row r="439" spans="1:13" x14ac:dyDescent="0.3">
      <c r="A439" t="str">
        <f>Segmenter!A439</f>
        <v/>
      </c>
      <c r="B439" t="str">
        <f>Segmenter!B439</f>
        <v/>
      </c>
      <c r="C439" t="str">
        <f t="shared" si="30"/>
        <v/>
      </c>
      <c r="D439" t="str">
        <f t="shared" si="31"/>
        <v/>
      </c>
      <c r="E439" t="str">
        <f t="shared" si="32"/>
        <v/>
      </c>
      <c r="F439" t="str">
        <f>IF(D439="","",INDEX(Knutepunkter!$B:$B,D439+1))</f>
        <v/>
      </c>
      <c r="G439" t="str">
        <f>IF(D439="","",INDEX(Knutepunkter!$C:$C,D439+1))</f>
        <v/>
      </c>
      <c r="H439" t="str">
        <f>IF(D439="","",INDEX(Knutepunkter!$D:$D,D439+1))</f>
        <v/>
      </c>
      <c r="I439" t="str">
        <f>IF(E439="","",INDEX(Knutepunkter!$B:$B,E439+1))</f>
        <v/>
      </c>
      <c r="J439" t="str">
        <f>IF(E439="","",INDEX(Knutepunkter!$C:$C,E439+1))</f>
        <v/>
      </c>
      <c r="K439" t="str">
        <f>IF(E439="","",INDEX(Knutepunkter!$D:$D,E439+1))</f>
        <v/>
      </c>
      <c r="L439" t="str">
        <f t="shared" si="33"/>
        <v/>
      </c>
      <c r="M439" t="str">
        <f t="shared" si="34"/>
        <v/>
      </c>
    </row>
    <row r="440" spans="1:13" x14ac:dyDescent="0.3">
      <c r="A440" t="str">
        <f>Segmenter!A440</f>
        <v/>
      </c>
      <c r="B440" t="str">
        <f>Segmenter!B440</f>
        <v/>
      </c>
      <c r="C440" t="str">
        <f t="shared" si="30"/>
        <v/>
      </c>
      <c r="D440" t="str">
        <f t="shared" si="31"/>
        <v/>
      </c>
      <c r="E440" t="str">
        <f t="shared" si="32"/>
        <v/>
      </c>
      <c r="F440" t="str">
        <f>IF(D440="","",INDEX(Knutepunkter!$B:$B,D440+1))</f>
        <v/>
      </c>
      <c r="G440" t="str">
        <f>IF(D440="","",INDEX(Knutepunkter!$C:$C,D440+1))</f>
        <v/>
      </c>
      <c r="H440" t="str">
        <f>IF(D440="","",INDEX(Knutepunkter!$D:$D,D440+1))</f>
        <v/>
      </c>
      <c r="I440" t="str">
        <f>IF(E440="","",INDEX(Knutepunkter!$B:$B,E440+1))</f>
        <v/>
      </c>
      <c r="J440" t="str">
        <f>IF(E440="","",INDEX(Knutepunkter!$C:$C,E440+1))</f>
        <v/>
      </c>
      <c r="K440" t="str">
        <f>IF(E440="","",INDEX(Knutepunkter!$D:$D,E440+1))</f>
        <v/>
      </c>
      <c r="L440" t="str">
        <f t="shared" si="33"/>
        <v/>
      </c>
      <c r="M440" t="str">
        <f t="shared" si="34"/>
        <v/>
      </c>
    </row>
    <row r="441" spans="1:13" x14ac:dyDescent="0.3">
      <c r="A441" t="str">
        <f>Segmenter!A441</f>
        <v/>
      </c>
      <c r="B441" t="str">
        <f>Segmenter!B441</f>
        <v/>
      </c>
      <c r="C441" t="str">
        <f t="shared" si="30"/>
        <v/>
      </c>
      <c r="D441" t="str">
        <f t="shared" si="31"/>
        <v/>
      </c>
      <c r="E441" t="str">
        <f t="shared" si="32"/>
        <v/>
      </c>
      <c r="F441" t="str">
        <f>IF(D441="","",INDEX(Knutepunkter!$B:$B,D441+1))</f>
        <v/>
      </c>
      <c r="G441" t="str">
        <f>IF(D441="","",INDEX(Knutepunkter!$C:$C,D441+1))</f>
        <v/>
      </c>
      <c r="H441" t="str">
        <f>IF(D441="","",INDEX(Knutepunkter!$D:$D,D441+1))</f>
        <v/>
      </c>
      <c r="I441" t="str">
        <f>IF(E441="","",INDEX(Knutepunkter!$B:$B,E441+1))</f>
        <v/>
      </c>
      <c r="J441" t="str">
        <f>IF(E441="","",INDEX(Knutepunkter!$C:$C,E441+1))</f>
        <v/>
      </c>
      <c r="K441" t="str">
        <f>IF(E441="","",INDEX(Knutepunkter!$D:$D,E441+1))</f>
        <v/>
      </c>
      <c r="L441" t="str">
        <f t="shared" si="33"/>
        <v/>
      </c>
      <c r="M441" t="str">
        <f t="shared" si="34"/>
        <v/>
      </c>
    </row>
    <row r="442" spans="1:13" x14ac:dyDescent="0.3">
      <c r="A442" t="str">
        <f>Segmenter!A442</f>
        <v>S441</v>
      </c>
      <c r="B442" t="str">
        <f>Segmenter!B442</f>
        <v>485 -&gt; 486</v>
      </c>
      <c r="C442" t="str">
        <f t="shared" si="30"/>
        <v>Søyle</v>
      </c>
      <c r="D442">
        <f t="shared" si="31"/>
        <v>485</v>
      </c>
      <c r="E442">
        <f t="shared" si="32"/>
        <v>486</v>
      </c>
      <c r="F442">
        <f>IF(D442="","",INDEX(Knutepunkter!$B:$B,D442+1))</f>
        <v>24354</v>
      </c>
      <c r="G442">
        <f>IF(D442="","",INDEX(Knutepunkter!$C:$C,D442+1))</f>
        <v>16000</v>
      </c>
      <c r="H442">
        <f>IF(D442="","",INDEX(Knutepunkter!$D:$D,D442+1))</f>
        <v>0</v>
      </c>
      <c r="I442">
        <f>IF(E442="","",INDEX(Knutepunkter!$B:$B,E442+1))</f>
        <v>24354</v>
      </c>
      <c r="J442">
        <f>IF(E442="","",INDEX(Knutepunkter!$C:$C,E442+1))</f>
        <v>16000</v>
      </c>
      <c r="K442">
        <f>IF(E442="","",INDEX(Knutepunkter!$D:$D,E442+1))</f>
        <v>3000</v>
      </c>
      <c r="L442">
        <f t="shared" si="33"/>
        <v>3000</v>
      </c>
      <c r="M442">
        <f t="shared" si="34"/>
        <v>3</v>
      </c>
    </row>
    <row r="443" spans="1:13" x14ac:dyDescent="0.3">
      <c r="A443" t="str">
        <f>Segmenter!A443</f>
        <v>S442</v>
      </c>
      <c r="B443" t="str">
        <f>Segmenter!B443</f>
        <v>486 -&gt; 487</v>
      </c>
      <c r="C443" t="str">
        <f t="shared" si="30"/>
        <v>Søyle</v>
      </c>
      <c r="D443">
        <f t="shared" si="31"/>
        <v>486</v>
      </c>
      <c r="E443">
        <f t="shared" si="32"/>
        <v>487</v>
      </c>
      <c r="F443">
        <f>IF(D443="","",INDEX(Knutepunkter!$B:$B,D443+1))</f>
        <v>24354</v>
      </c>
      <c r="G443">
        <f>IF(D443="","",INDEX(Knutepunkter!$C:$C,D443+1))</f>
        <v>16000</v>
      </c>
      <c r="H443">
        <f>IF(D443="","",INDEX(Knutepunkter!$D:$D,D443+1))</f>
        <v>3000</v>
      </c>
      <c r="I443">
        <f>IF(E443="","",INDEX(Knutepunkter!$B:$B,E443+1))</f>
        <v>24354</v>
      </c>
      <c r="J443">
        <f>IF(E443="","",INDEX(Knutepunkter!$C:$C,E443+1))</f>
        <v>16000</v>
      </c>
      <c r="K443">
        <f>IF(E443="","",INDEX(Knutepunkter!$D:$D,E443+1))</f>
        <v>6000</v>
      </c>
      <c r="L443">
        <f t="shared" si="33"/>
        <v>3000</v>
      </c>
      <c r="M443">
        <f t="shared" si="34"/>
        <v>3</v>
      </c>
    </row>
    <row r="444" spans="1:13" x14ac:dyDescent="0.3">
      <c r="A444" t="str">
        <f>Segmenter!A444</f>
        <v>S443</v>
      </c>
      <c r="B444" t="str">
        <f>Segmenter!B444</f>
        <v>487 -&gt; 488</v>
      </c>
      <c r="C444" t="str">
        <f t="shared" si="30"/>
        <v>Søyle</v>
      </c>
      <c r="D444">
        <f t="shared" si="31"/>
        <v>487</v>
      </c>
      <c r="E444">
        <f t="shared" si="32"/>
        <v>488</v>
      </c>
      <c r="F444">
        <f>IF(D444="","",INDEX(Knutepunkter!$B:$B,D444+1))</f>
        <v>24354</v>
      </c>
      <c r="G444">
        <f>IF(D444="","",INDEX(Knutepunkter!$C:$C,D444+1))</f>
        <v>16000</v>
      </c>
      <c r="H444">
        <f>IF(D444="","",INDEX(Knutepunkter!$D:$D,D444+1))</f>
        <v>6000</v>
      </c>
      <c r="I444">
        <f>IF(E444="","",INDEX(Knutepunkter!$B:$B,E444+1))</f>
        <v>24354</v>
      </c>
      <c r="J444">
        <f>IF(E444="","",INDEX(Knutepunkter!$C:$C,E444+1))</f>
        <v>16000</v>
      </c>
      <c r="K444">
        <f>IF(E444="","",INDEX(Knutepunkter!$D:$D,E444+1))</f>
        <v>9000</v>
      </c>
      <c r="L444">
        <f t="shared" si="33"/>
        <v>3000</v>
      </c>
      <c r="M444">
        <f t="shared" si="34"/>
        <v>3</v>
      </c>
    </row>
    <row r="445" spans="1:13" x14ac:dyDescent="0.3">
      <c r="A445" t="str">
        <f>Segmenter!A445</f>
        <v>S444</v>
      </c>
      <c r="B445" t="str">
        <f>Segmenter!B445</f>
        <v>488 -&gt; 489</v>
      </c>
      <c r="C445" t="str">
        <f t="shared" si="30"/>
        <v>Søyle</v>
      </c>
      <c r="D445">
        <f t="shared" si="31"/>
        <v>488</v>
      </c>
      <c r="E445">
        <f t="shared" si="32"/>
        <v>489</v>
      </c>
      <c r="F445">
        <f>IF(D445="","",INDEX(Knutepunkter!$B:$B,D445+1))</f>
        <v>24354</v>
      </c>
      <c r="G445">
        <f>IF(D445="","",INDEX(Knutepunkter!$C:$C,D445+1))</f>
        <v>16000</v>
      </c>
      <c r="H445">
        <f>IF(D445="","",INDEX(Knutepunkter!$D:$D,D445+1))</f>
        <v>9000</v>
      </c>
      <c r="I445">
        <f>IF(E445="","",INDEX(Knutepunkter!$B:$B,E445+1))</f>
        <v>24354</v>
      </c>
      <c r="J445">
        <f>IF(E445="","",INDEX(Knutepunkter!$C:$C,E445+1))</f>
        <v>16000</v>
      </c>
      <c r="K445">
        <f>IF(E445="","",INDEX(Knutepunkter!$D:$D,E445+1))</f>
        <v>12000</v>
      </c>
      <c r="L445">
        <f t="shared" si="33"/>
        <v>3000</v>
      </c>
      <c r="M445">
        <f t="shared" si="34"/>
        <v>3</v>
      </c>
    </row>
    <row r="446" spans="1:13" x14ac:dyDescent="0.3">
      <c r="A446" t="str">
        <f>Segmenter!A446</f>
        <v>S445</v>
      </c>
      <c r="B446" t="str">
        <f>Segmenter!B446</f>
        <v>489 -&gt; 490</v>
      </c>
      <c r="C446" t="str">
        <f t="shared" si="30"/>
        <v>Søyle</v>
      </c>
      <c r="D446">
        <f t="shared" si="31"/>
        <v>489</v>
      </c>
      <c r="E446">
        <f t="shared" si="32"/>
        <v>490</v>
      </c>
      <c r="F446">
        <f>IF(D446="","",INDEX(Knutepunkter!$B:$B,D446+1))</f>
        <v>24354</v>
      </c>
      <c r="G446">
        <f>IF(D446="","",INDEX(Knutepunkter!$C:$C,D446+1))</f>
        <v>16000</v>
      </c>
      <c r="H446">
        <f>IF(D446="","",INDEX(Knutepunkter!$D:$D,D446+1))</f>
        <v>12000</v>
      </c>
      <c r="I446">
        <f>IF(E446="","",INDEX(Knutepunkter!$B:$B,E446+1))</f>
        <v>24354</v>
      </c>
      <c r="J446">
        <f>IF(E446="","",INDEX(Knutepunkter!$C:$C,E446+1))</f>
        <v>16000</v>
      </c>
      <c r="K446">
        <f>IF(E446="","",INDEX(Knutepunkter!$D:$D,E446+1))</f>
        <v>15000</v>
      </c>
      <c r="L446">
        <f t="shared" si="33"/>
        <v>3000</v>
      </c>
      <c r="M446">
        <f t="shared" si="34"/>
        <v>3</v>
      </c>
    </row>
    <row r="447" spans="1:13" x14ac:dyDescent="0.3">
      <c r="A447" t="str">
        <f>Segmenter!A447</f>
        <v>S446</v>
      </c>
      <c r="B447" t="str">
        <f>Segmenter!B447</f>
        <v>490 -&gt; 491</v>
      </c>
      <c r="C447" t="str">
        <f t="shared" si="30"/>
        <v>Søyle</v>
      </c>
      <c r="D447">
        <f t="shared" si="31"/>
        <v>490</v>
      </c>
      <c r="E447">
        <f t="shared" si="32"/>
        <v>491</v>
      </c>
      <c r="F447">
        <f>IF(D447="","",INDEX(Knutepunkter!$B:$B,D447+1))</f>
        <v>24354</v>
      </c>
      <c r="G447">
        <f>IF(D447="","",INDEX(Knutepunkter!$C:$C,D447+1))</f>
        <v>16000</v>
      </c>
      <c r="H447">
        <f>IF(D447="","",INDEX(Knutepunkter!$D:$D,D447+1))</f>
        <v>15000</v>
      </c>
      <c r="I447">
        <f>IF(E447="","",INDEX(Knutepunkter!$B:$B,E447+1))</f>
        <v>24354</v>
      </c>
      <c r="J447">
        <f>IF(E447="","",INDEX(Knutepunkter!$C:$C,E447+1))</f>
        <v>16000</v>
      </c>
      <c r="K447">
        <f>IF(E447="","",INDEX(Knutepunkter!$D:$D,E447+1))</f>
        <v>18000</v>
      </c>
      <c r="L447">
        <f t="shared" si="33"/>
        <v>3000</v>
      </c>
      <c r="M447">
        <f t="shared" si="34"/>
        <v>3</v>
      </c>
    </row>
    <row r="448" spans="1:13" x14ac:dyDescent="0.3">
      <c r="A448" t="str">
        <f>Segmenter!A448</f>
        <v/>
      </c>
      <c r="B448" t="str">
        <f>Segmenter!B448</f>
        <v/>
      </c>
      <c r="C448" t="str">
        <f t="shared" si="30"/>
        <v/>
      </c>
      <c r="D448" t="str">
        <f t="shared" si="31"/>
        <v/>
      </c>
      <c r="E448" t="str">
        <f t="shared" si="32"/>
        <v/>
      </c>
      <c r="F448" t="str">
        <f>IF(D448="","",INDEX(Knutepunkter!$B:$B,D448+1))</f>
        <v/>
      </c>
      <c r="G448" t="str">
        <f>IF(D448="","",INDEX(Knutepunkter!$C:$C,D448+1))</f>
        <v/>
      </c>
      <c r="H448" t="str">
        <f>IF(D448="","",INDEX(Knutepunkter!$D:$D,D448+1))</f>
        <v/>
      </c>
      <c r="I448" t="str">
        <f>IF(E448="","",INDEX(Knutepunkter!$B:$B,E448+1))</f>
        <v/>
      </c>
      <c r="J448" t="str">
        <f>IF(E448="","",INDEX(Knutepunkter!$C:$C,E448+1))</f>
        <v/>
      </c>
      <c r="K448" t="str">
        <f>IF(E448="","",INDEX(Knutepunkter!$D:$D,E448+1))</f>
        <v/>
      </c>
      <c r="L448" t="str">
        <f t="shared" si="33"/>
        <v/>
      </c>
      <c r="M448" t="str">
        <f t="shared" si="34"/>
        <v/>
      </c>
    </row>
    <row r="449" spans="1:13" x14ac:dyDescent="0.3">
      <c r="A449" t="str">
        <f>Segmenter!A449</f>
        <v/>
      </c>
      <c r="B449" t="str">
        <f>Segmenter!B449</f>
        <v/>
      </c>
      <c r="C449" t="str">
        <f t="shared" si="30"/>
        <v/>
      </c>
      <c r="D449" t="str">
        <f t="shared" si="31"/>
        <v/>
      </c>
      <c r="E449" t="str">
        <f t="shared" si="32"/>
        <v/>
      </c>
      <c r="F449" t="str">
        <f>IF(D449="","",INDEX(Knutepunkter!$B:$B,D449+1))</f>
        <v/>
      </c>
      <c r="G449" t="str">
        <f>IF(D449="","",INDEX(Knutepunkter!$C:$C,D449+1))</f>
        <v/>
      </c>
      <c r="H449" t="str">
        <f>IF(D449="","",INDEX(Knutepunkter!$D:$D,D449+1))</f>
        <v/>
      </c>
      <c r="I449" t="str">
        <f>IF(E449="","",INDEX(Knutepunkter!$B:$B,E449+1))</f>
        <v/>
      </c>
      <c r="J449" t="str">
        <f>IF(E449="","",INDEX(Knutepunkter!$C:$C,E449+1))</f>
        <v/>
      </c>
      <c r="K449" t="str">
        <f>IF(E449="","",INDEX(Knutepunkter!$D:$D,E449+1))</f>
        <v/>
      </c>
      <c r="L449" t="str">
        <f t="shared" si="33"/>
        <v/>
      </c>
      <c r="M449" t="str">
        <f t="shared" si="34"/>
        <v/>
      </c>
    </row>
    <row r="450" spans="1:13" x14ac:dyDescent="0.3">
      <c r="A450" t="str">
        <f>Segmenter!A450</f>
        <v/>
      </c>
      <c r="B450" t="str">
        <f>Segmenter!B450</f>
        <v/>
      </c>
      <c r="C450" t="str">
        <f t="shared" ref="C450:C513" si="35">IF(B450="","",IF(AND(F450=I450,G450=J450,H450&lt;&gt;K450),"Søyle","Bjelke"))</f>
        <v/>
      </c>
      <c r="D450" t="str">
        <f t="shared" ref="D450:D513" si="36">IF(B450="","",VALUE(LEFT(B450,FIND(" -&gt; ",B450)-1)))</f>
        <v/>
      </c>
      <c r="E450" t="str">
        <f t="shared" ref="E450:E513" si="37">IF(B450="","",VALUE(MID(B450,FIND(" -&gt; ",B450)+4,99)))</f>
        <v/>
      </c>
      <c r="F450" t="str">
        <f>IF(D450="","",INDEX(Knutepunkter!$B:$B,D450+1))</f>
        <v/>
      </c>
      <c r="G450" t="str">
        <f>IF(D450="","",INDEX(Knutepunkter!$C:$C,D450+1))</f>
        <v/>
      </c>
      <c r="H450" t="str">
        <f>IF(D450="","",INDEX(Knutepunkter!$D:$D,D450+1))</f>
        <v/>
      </c>
      <c r="I450" t="str">
        <f>IF(E450="","",INDEX(Knutepunkter!$B:$B,E450+1))</f>
        <v/>
      </c>
      <c r="J450" t="str">
        <f>IF(E450="","",INDEX(Knutepunkter!$C:$C,E450+1))</f>
        <v/>
      </c>
      <c r="K450" t="str">
        <f>IF(E450="","",INDEX(Knutepunkter!$D:$D,E450+1))</f>
        <v/>
      </c>
      <c r="L450" t="str">
        <f t="shared" ref="L450:L513" si="38">IF(B450="","",SQRT((I450-F450)^2+(J450-G450)^2+(K450-H450)^2))</f>
        <v/>
      </c>
      <c r="M450" t="str">
        <f t="shared" ref="M450:M513" si="39">IF(L450="","",L450/1000)</f>
        <v/>
      </c>
    </row>
    <row r="451" spans="1:13" x14ac:dyDescent="0.3">
      <c r="A451" t="str">
        <f>Segmenter!A451</f>
        <v/>
      </c>
      <c r="B451" t="str">
        <f>Segmenter!B451</f>
        <v/>
      </c>
      <c r="C451" t="str">
        <f t="shared" si="35"/>
        <v/>
      </c>
      <c r="D451" t="str">
        <f t="shared" si="36"/>
        <v/>
      </c>
      <c r="E451" t="str">
        <f t="shared" si="37"/>
        <v/>
      </c>
      <c r="F451" t="str">
        <f>IF(D451="","",INDEX(Knutepunkter!$B:$B,D451+1))</f>
        <v/>
      </c>
      <c r="G451" t="str">
        <f>IF(D451="","",INDEX(Knutepunkter!$C:$C,D451+1))</f>
        <v/>
      </c>
      <c r="H451" t="str">
        <f>IF(D451="","",INDEX(Knutepunkter!$D:$D,D451+1))</f>
        <v/>
      </c>
      <c r="I451" t="str">
        <f>IF(E451="","",INDEX(Knutepunkter!$B:$B,E451+1))</f>
        <v/>
      </c>
      <c r="J451" t="str">
        <f>IF(E451="","",INDEX(Knutepunkter!$C:$C,E451+1))</f>
        <v/>
      </c>
      <c r="K451" t="str">
        <f>IF(E451="","",INDEX(Knutepunkter!$D:$D,E451+1))</f>
        <v/>
      </c>
      <c r="L451" t="str">
        <f t="shared" si="38"/>
        <v/>
      </c>
      <c r="M451" t="str">
        <f t="shared" si="39"/>
        <v/>
      </c>
    </row>
    <row r="452" spans="1:13" x14ac:dyDescent="0.3">
      <c r="A452" t="str">
        <f>Segmenter!A452</f>
        <v>S451</v>
      </c>
      <c r="B452" t="str">
        <f>Segmenter!B452</f>
        <v>496 -&gt; 497</v>
      </c>
      <c r="C452" t="str">
        <f t="shared" si="35"/>
        <v>Søyle</v>
      </c>
      <c r="D452">
        <f t="shared" si="36"/>
        <v>496</v>
      </c>
      <c r="E452">
        <f t="shared" si="37"/>
        <v>497</v>
      </c>
      <c r="F452">
        <f>IF(D452="","",INDEX(Knutepunkter!$B:$B,D452+1))</f>
        <v>24354</v>
      </c>
      <c r="G452">
        <f>IF(D452="","",INDEX(Knutepunkter!$C:$C,D452+1))</f>
        <v>24000</v>
      </c>
      <c r="H452">
        <f>IF(D452="","",INDEX(Knutepunkter!$D:$D,D452+1))</f>
        <v>0</v>
      </c>
      <c r="I452">
        <f>IF(E452="","",INDEX(Knutepunkter!$B:$B,E452+1))</f>
        <v>24354</v>
      </c>
      <c r="J452">
        <f>IF(E452="","",INDEX(Knutepunkter!$C:$C,E452+1))</f>
        <v>24000</v>
      </c>
      <c r="K452">
        <f>IF(E452="","",INDEX(Knutepunkter!$D:$D,E452+1))</f>
        <v>3000</v>
      </c>
      <c r="L452">
        <f t="shared" si="38"/>
        <v>3000</v>
      </c>
      <c r="M452">
        <f t="shared" si="39"/>
        <v>3</v>
      </c>
    </row>
    <row r="453" spans="1:13" x14ac:dyDescent="0.3">
      <c r="A453" t="str">
        <f>Segmenter!A453</f>
        <v>S452</v>
      </c>
      <c r="B453" t="str">
        <f>Segmenter!B453</f>
        <v>497 -&gt; 498</v>
      </c>
      <c r="C453" t="str">
        <f t="shared" si="35"/>
        <v>Søyle</v>
      </c>
      <c r="D453">
        <f t="shared" si="36"/>
        <v>497</v>
      </c>
      <c r="E453">
        <f t="shared" si="37"/>
        <v>498</v>
      </c>
      <c r="F453">
        <f>IF(D453="","",INDEX(Knutepunkter!$B:$B,D453+1))</f>
        <v>24354</v>
      </c>
      <c r="G453">
        <f>IF(D453="","",INDEX(Knutepunkter!$C:$C,D453+1))</f>
        <v>24000</v>
      </c>
      <c r="H453">
        <f>IF(D453="","",INDEX(Knutepunkter!$D:$D,D453+1))</f>
        <v>3000</v>
      </c>
      <c r="I453">
        <f>IF(E453="","",INDEX(Knutepunkter!$B:$B,E453+1))</f>
        <v>24354</v>
      </c>
      <c r="J453">
        <f>IF(E453="","",INDEX(Knutepunkter!$C:$C,E453+1))</f>
        <v>24000</v>
      </c>
      <c r="K453">
        <f>IF(E453="","",INDEX(Knutepunkter!$D:$D,E453+1))</f>
        <v>6000</v>
      </c>
      <c r="L453">
        <f t="shared" si="38"/>
        <v>3000</v>
      </c>
      <c r="M453">
        <f t="shared" si="39"/>
        <v>3</v>
      </c>
    </row>
    <row r="454" spans="1:13" x14ac:dyDescent="0.3">
      <c r="A454" t="str">
        <f>Segmenter!A454</f>
        <v>S453</v>
      </c>
      <c r="B454" t="str">
        <f>Segmenter!B454</f>
        <v>498 -&gt; 499</v>
      </c>
      <c r="C454" t="str">
        <f t="shared" si="35"/>
        <v>Søyle</v>
      </c>
      <c r="D454">
        <f t="shared" si="36"/>
        <v>498</v>
      </c>
      <c r="E454">
        <f t="shared" si="37"/>
        <v>499</v>
      </c>
      <c r="F454">
        <f>IF(D454="","",INDEX(Knutepunkter!$B:$B,D454+1))</f>
        <v>24354</v>
      </c>
      <c r="G454">
        <f>IF(D454="","",INDEX(Knutepunkter!$C:$C,D454+1))</f>
        <v>24000</v>
      </c>
      <c r="H454">
        <f>IF(D454="","",INDEX(Knutepunkter!$D:$D,D454+1))</f>
        <v>6000</v>
      </c>
      <c r="I454">
        <f>IF(E454="","",INDEX(Knutepunkter!$B:$B,E454+1))</f>
        <v>24354</v>
      </c>
      <c r="J454">
        <f>IF(E454="","",INDEX(Knutepunkter!$C:$C,E454+1))</f>
        <v>24000</v>
      </c>
      <c r="K454">
        <f>IF(E454="","",INDEX(Knutepunkter!$D:$D,E454+1))</f>
        <v>9000</v>
      </c>
      <c r="L454">
        <f t="shared" si="38"/>
        <v>3000</v>
      </c>
      <c r="M454">
        <f t="shared" si="39"/>
        <v>3</v>
      </c>
    </row>
    <row r="455" spans="1:13" x14ac:dyDescent="0.3">
      <c r="A455" t="str">
        <f>Segmenter!A455</f>
        <v>S454</v>
      </c>
      <c r="B455" t="str">
        <f>Segmenter!B455</f>
        <v>499 -&gt; 500</v>
      </c>
      <c r="C455" t="str">
        <f t="shared" si="35"/>
        <v>Søyle</v>
      </c>
      <c r="D455">
        <f t="shared" si="36"/>
        <v>499</v>
      </c>
      <c r="E455">
        <f t="shared" si="37"/>
        <v>500</v>
      </c>
      <c r="F455">
        <f>IF(D455="","",INDEX(Knutepunkter!$B:$B,D455+1))</f>
        <v>24354</v>
      </c>
      <c r="G455">
        <f>IF(D455="","",INDEX(Knutepunkter!$C:$C,D455+1))</f>
        <v>24000</v>
      </c>
      <c r="H455">
        <f>IF(D455="","",INDEX(Knutepunkter!$D:$D,D455+1))</f>
        <v>9000</v>
      </c>
      <c r="I455">
        <f>IF(E455="","",INDEX(Knutepunkter!$B:$B,E455+1))</f>
        <v>24354</v>
      </c>
      <c r="J455">
        <f>IF(E455="","",INDEX(Knutepunkter!$C:$C,E455+1))</f>
        <v>24000</v>
      </c>
      <c r="K455">
        <f>IF(E455="","",INDEX(Knutepunkter!$D:$D,E455+1))</f>
        <v>12000</v>
      </c>
      <c r="L455">
        <f t="shared" si="38"/>
        <v>3000</v>
      </c>
      <c r="M455">
        <f t="shared" si="39"/>
        <v>3</v>
      </c>
    </row>
    <row r="456" spans="1:13" x14ac:dyDescent="0.3">
      <c r="A456" t="str">
        <f>Segmenter!A456</f>
        <v>S455</v>
      </c>
      <c r="B456" t="str">
        <f>Segmenter!B456</f>
        <v>500 -&gt; 501</v>
      </c>
      <c r="C456" t="str">
        <f t="shared" si="35"/>
        <v>Søyle</v>
      </c>
      <c r="D456">
        <f t="shared" si="36"/>
        <v>500</v>
      </c>
      <c r="E456">
        <f t="shared" si="37"/>
        <v>501</v>
      </c>
      <c r="F456">
        <f>IF(D456="","",INDEX(Knutepunkter!$B:$B,D456+1))</f>
        <v>24354</v>
      </c>
      <c r="G456">
        <f>IF(D456="","",INDEX(Knutepunkter!$C:$C,D456+1))</f>
        <v>24000</v>
      </c>
      <c r="H456">
        <f>IF(D456="","",INDEX(Knutepunkter!$D:$D,D456+1))</f>
        <v>12000</v>
      </c>
      <c r="I456">
        <f>IF(E456="","",INDEX(Knutepunkter!$B:$B,E456+1))</f>
        <v>24354</v>
      </c>
      <c r="J456">
        <f>IF(E456="","",INDEX(Knutepunkter!$C:$C,E456+1))</f>
        <v>24000</v>
      </c>
      <c r="K456">
        <f>IF(E456="","",INDEX(Knutepunkter!$D:$D,E456+1))</f>
        <v>15000</v>
      </c>
      <c r="L456">
        <f t="shared" si="38"/>
        <v>3000</v>
      </c>
      <c r="M456">
        <f t="shared" si="39"/>
        <v>3</v>
      </c>
    </row>
    <row r="457" spans="1:13" x14ac:dyDescent="0.3">
      <c r="A457" t="str">
        <f>Segmenter!A457</f>
        <v>S456</v>
      </c>
      <c r="B457" t="str">
        <f>Segmenter!B457</f>
        <v>501 -&gt; 502</v>
      </c>
      <c r="C457" t="str">
        <f t="shared" si="35"/>
        <v>Søyle</v>
      </c>
      <c r="D457">
        <f t="shared" si="36"/>
        <v>501</v>
      </c>
      <c r="E457">
        <f t="shared" si="37"/>
        <v>502</v>
      </c>
      <c r="F457">
        <f>IF(D457="","",INDEX(Knutepunkter!$B:$B,D457+1))</f>
        <v>24354</v>
      </c>
      <c r="G457">
        <f>IF(D457="","",INDEX(Knutepunkter!$C:$C,D457+1))</f>
        <v>24000</v>
      </c>
      <c r="H457">
        <f>IF(D457="","",INDEX(Knutepunkter!$D:$D,D457+1))</f>
        <v>15000</v>
      </c>
      <c r="I457">
        <f>IF(E457="","",INDEX(Knutepunkter!$B:$B,E457+1))</f>
        <v>24354</v>
      </c>
      <c r="J457">
        <f>IF(E457="","",INDEX(Knutepunkter!$C:$C,E457+1))</f>
        <v>24000</v>
      </c>
      <c r="K457">
        <f>IF(E457="","",INDEX(Knutepunkter!$D:$D,E457+1))</f>
        <v>18000</v>
      </c>
      <c r="L457">
        <f t="shared" si="38"/>
        <v>3000</v>
      </c>
      <c r="M457">
        <f t="shared" si="39"/>
        <v>3</v>
      </c>
    </row>
    <row r="458" spans="1:13" x14ac:dyDescent="0.3">
      <c r="A458" t="str">
        <f>Segmenter!A458</f>
        <v/>
      </c>
      <c r="B458" t="str">
        <f>Segmenter!B458</f>
        <v/>
      </c>
      <c r="C458" t="str">
        <f t="shared" si="35"/>
        <v/>
      </c>
      <c r="D458" t="str">
        <f t="shared" si="36"/>
        <v/>
      </c>
      <c r="E458" t="str">
        <f t="shared" si="37"/>
        <v/>
      </c>
      <c r="F458" t="str">
        <f>IF(D458="","",INDEX(Knutepunkter!$B:$B,D458+1))</f>
        <v/>
      </c>
      <c r="G458" t="str">
        <f>IF(D458="","",INDEX(Knutepunkter!$C:$C,D458+1))</f>
        <v/>
      </c>
      <c r="H458" t="str">
        <f>IF(D458="","",INDEX(Knutepunkter!$D:$D,D458+1))</f>
        <v/>
      </c>
      <c r="I458" t="str">
        <f>IF(E458="","",INDEX(Knutepunkter!$B:$B,E458+1))</f>
        <v/>
      </c>
      <c r="J458" t="str">
        <f>IF(E458="","",INDEX(Knutepunkter!$C:$C,E458+1))</f>
        <v/>
      </c>
      <c r="K458" t="str">
        <f>IF(E458="","",INDEX(Knutepunkter!$D:$D,E458+1))</f>
        <v/>
      </c>
      <c r="L458" t="str">
        <f t="shared" si="38"/>
        <v/>
      </c>
      <c r="M458" t="str">
        <f t="shared" si="39"/>
        <v/>
      </c>
    </row>
    <row r="459" spans="1:13" x14ac:dyDescent="0.3">
      <c r="A459" t="str">
        <f>Segmenter!A459</f>
        <v/>
      </c>
      <c r="B459" t="str">
        <f>Segmenter!B459</f>
        <v/>
      </c>
      <c r="C459" t="str">
        <f t="shared" si="35"/>
        <v/>
      </c>
      <c r="D459" t="str">
        <f t="shared" si="36"/>
        <v/>
      </c>
      <c r="E459" t="str">
        <f t="shared" si="37"/>
        <v/>
      </c>
      <c r="F459" t="str">
        <f>IF(D459="","",INDEX(Knutepunkter!$B:$B,D459+1))</f>
        <v/>
      </c>
      <c r="G459" t="str">
        <f>IF(D459="","",INDEX(Knutepunkter!$C:$C,D459+1))</f>
        <v/>
      </c>
      <c r="H459" t="str">
        <f>IF(D459="","",INDEX(Knutepunkter!$D:$D,D459+1))</f>
        <v/>
      </c>
      <c r="I459" t="str">
        <f>IF(E459="","",INDEX(Knutepunkter!$B:$B,E459+1))</f>
        <v/>
      </c>
      <c r="J459" t="str">
        <f>IF(E459="","",INDEX(Knutepunkter!$C:$C,E459+1))</f>
        <v/>
      </c>
      <c r="K459" t="str">
        <f>IF(E459="","",INDEX(Knutepunkter!$D:$D,E459+1))</f>
        <v/>
      </c>
      <c r="L459" t="str">
        <f t="shared" si="38"/>
        <v/>
      </c>
      <c r="M459" t="str">
        <f t="shared" si="39"/>
        <v/>
      </c>
    </row>
    <row r="460" spans="1:13" x14ac:dyDescent="0.3">
      <c r="A460" t="str">
        <f>Segmenter!A460</f>
        <v/>
      </c>
      <c r="B460" t="str">
        <f>Segmenter!B460</f>
        <v/>
      </c>
      <c r="C460" t="str">
        <f t="shared" si="35"/>
        <v/>
      </c>
      <c r="D460" t="str">
        <f t="shared" si="36"/>
        <v/>
      </c>
      <c r="E460" t="str">
        <f t="shared" si="37"/>
        <v/>
      </c>
      <c r="F460" t="str">
        <f>IF(D460="","",INDEX(Knutepunkter!$B:$B,D460+1))</f>
        <v/>
      </c>
      <c r="G460" t="str">
        <f>IF(D460="","",INDEX(Knutepunkter!$C:$C,D460+1))</f>
        <v/>
      </c>
      <c r="H460" t="str">
        <f>IF(D460="","",INDEX(Knutepunkter!$D:$D,D460+1))</f>
        <v/>
      </c>
      <c r="I460" t="str">
        <f>IF(E460="","",INDEX(Knutepunkter!$B:$B,E460+1))</f>
        <v/>
      </c>
      <c r="J460" t="str">
        <f>IF(E460="","",INDEX(Knutepunkter!$C:$C,E460+1))</f>
        <v/>
      </c>
      <c r="K460" t="str">
        <f>IF(E460="","",INDEX(Knutepunkter!$D:$D,E460+1))</f>
        <v/>
      </c>
      <c r="L460" t="str">
        <f t="shared" si="38"/>
        <v/>
      </c>
      <c r="M460" t="str">
        <f t="shared" si="39"/>
        <v/>
      </c>
    </row>
    <row r="461" spans="1:13" x14ac:dyDescent="0.3">
      <c r="A461" t="str">
        <f>Segmenter!A461</f>
        <v/>
      </c>
      <c r="B461" t="str">
        <f>Segmenter!B461</f>
        <v/>
      </c>
      <c r="C461" t="str">
        <f t="shared" si="35"/>
        <v/>
      </c>
      <c r="D461" t="str">
        <f t="shared" si="36"/>
        <v/>
      </c>
      <c r="E461" t="str">
        <f t="shared" si="37"/>
        <v/>
      </c>
      <c r="F461" t="str">
        <f>IF(D461="","",INDEX(Knutepunkter!$B:$B,D461+1))</f>
        <v/>
      </c>
      <c r="G461" t="str">
        <f>IF(D461="","",INDEX(Knutepunkter!$C:$C,D461+1))</f>
        <v/>
      </c>
      <c r="H461" t="str">
        <f>IF(D461="","",INDEX(Knutepunkter!$D:$D,D461+1))</f>
        <v/>
      </c>
      <c r="I461" t="str">
        <f>IF(E461="","",INDEX(Knutepunkter!$B:$B,E461+1))</f>
        <v/>
      </c>
      <c r="J461" t="str">
        <f>IF(E461="","",INDEX(Knutepunkter!$C:$C,E461+1))</f>
        <v/>
      </c>
      <c r="K461" t="str">
        <f>IF(E461="","",INDEX(Knutepunkter!$D:$D,E461+1))</f>
        <v/>
      </c>
      <c r="L461" t="str">
        <f t="shared" si="38"/>
        <v/>
      </c>
      <c r="M461" t="str">
        <f t="shared" si="39"/>
        <v/>
      </c>
    </row>
    <row r="462" spans="1:13" x14ac:dyDescent="0.3">
      <c r="A462" t="str">
        <f>Segmenter!A462</f>
        <v>S461</v>
      </c>
      <c r="B462" t="str">
        <f>Segmenter!B462</f>
        <v>507 -&gt; 508</v>
      </c>
      <c r="C462" t="str">
        <f t="shared" si="35"/>
        <v>Søyle</v>
      </c>
      <c r="D462">
        <f t="shared" si="36"/>
        <v>507</v>
      </c>
      <c r="E462">
        <f t="shared" si="37"/>
        <v>508</v>
      </c>
      <c r="F462">
        <f>IF(D462="","",INDEX(Knutepunkter!$B:$B,D462+1))</f>
        <v>24354</v>
      </c>
      <c r="G462">
        <f>IF(D462="","",INDEX(Knutepunkter!$C:$C,D462+1))</f>
        <v>32000</v>
      </c>
      <c r="H462">
        <f>IF(D462="","",INDEX(Knutepunkter!$D:$D,D462+1))</f>
        <v>0</v>
      </c>
      <c r="I462">
        <f>IF(E462="","",INDEX(Knutepunkter!$B:$B,E462+1))</f>
        <v>24354</v>
      </c>
      <c r="J462">
        <f>IF(E462="","",INDEX(Knutepunkter!$C:$C,E462+1))</f>
        <v>32000</v>
      </c>
      <c r="K462">
        <f>IF(E462="","",INDEX(Knutepunkter!$D:$D,E462+1))</f>
        <v>3000</v>
      </c>
      <c r="L462">
        <f t="shared" si="38"/>
        <v>3000</v>
      </c>
      <c r="M462">
        <f t="shared" si="39"/>
        <v>3</v>
      </c>
    </row>
    <row r="463" spans="1:13" x14ac:dyDescent="0.3">
      <c r="A463" t="str">
        <f>Segmenter!A463</f>
        <v>S462</v>
      </c>
      <c r="B463" t="str">
        <f>Segmenter!B463</f>
        <v>508 -&gt; 509</v>
      </c>
      <c r="C463" t="str">
        <f t="shared" si="35"/>
        <v>Søyle</v>
      </c>
      <c r="D463">
        <f t="shared" si="36"/>
        <v>508</v>
      </c>
      <c r="E463">
        <f t="shared" si="37"/>
        <v>509</v>
      </c>
      <c r="F463">
        <f>IF(D463="","",INDEX(Knutepunkter!$B:$B,D463+1))</f>
        <v>24354</v>
      </c>
      <c r="G463">
        <f>IF(D463="","",INDEX(Knutepunkter!$C:$C,D463+1))</f>
        <v>32000</v>
      </c>
      <c r="H463">
        <f>IF(D463="","",INDEX(Knutepunkter!$D:$D,D463+1))</f>
        <v>3000</v>
      </c>
      <c r="I463">
        <f>IF(E463="","",INDEX(Knutepunkter!$B:$B,E463+1))</f>
        <v>24354</v>
      </c>
      <c r="J463">
        <f>IF(E463="","",INDEX(Knutepunkter!$C:$C,E463+1))</f>
        <v>32000</v>
      </c>
      <c r="K463">
        <f>IF(E463="","",INDEX(Knutepunkter!$D:$D,E463+1))</f>
        <v>6000</v>
      </c>
      <c r="L463">
        <f t="shared" si="38"/>
        <v>3000</v>
      </c>
      <c r="M463">
        <f t="shared" si="39"/>
        <v>3</v>
      </c>
    </row>
    <row r="464" spans="1:13" x14ac:dyDescent="0.3">
      <c r="A464" t="str">
        <f>Segmenter!A464</f>
        <v>S463</v>
      </c>
      <c r="B464" t="str">
        <f>Segmenter!B464</f>
        <v>509 -&gt; 510</v>
      </c>
      <c r="C464" t="str">
        <f t="shared" si="35"/>
        <v>Søyle</v>
      </c>
      <c r="D464">
        <f t="shared" si="36"/>
        <v>509</v>
      </c>
      <c r="E464">
        <f t="shared" si="37"/>
        <v>510</v>
      </c>
      <c r="F464">
        <f>IF(D464="","",INDEX(Knutepunkter!$B:$B,D464+1))</f>
        <v>24354</v>
      </c>
      <c r="G464">
        <f>IF(D464="","",INDEX(Knutepunkter!$C:$C,D464+1))</f>
        <v>32000</v>
      </c>
      <c r="H464">
        <f>IF(D464="","",INDEX(Knutepunkter!$D:$D,D464+1))</f>
        <v>6000</v>
      </c>
      <c r="I464">
        <f>IF(E464="","",INDEX(Knutepunkter!$B:$B,E464+1))</f>
        <v>24354</v>
      </c>
      <c r="J464">
        <f>IF(E464="","",INDEX(Knutepunkter!$C:$C,E464+1))</f>
        <v>32000</v>
      </c>
      <c r="K464">
        <f>IF(E464="","",INDEX(Knutepunkter!$D:$D,E464+1))</f>
        <v>9000</v>
      </c>
      <c r="L464">
        <f t="shared" si="38"/>
        <v>3000</v>
      </c>
      <c r="M464">
        <f t="shared" si="39"/>
        <v>3</v>
      </c>
    </row>
    <row r="465" spans="1:13" x14ac:dyDescent="0.3">
      <c r="A465" t="str">
        <f>Segmenter!A465</f>
        <v>S464</v>
      </c>
      <c r="B465" t="str">
        <f>Segmenter!B465</f>
        <v>510 -&gt; 511</v>
      </c>
      <c r="C465" t="str">
        <f t="shared" si="35"/>
        <v>Søyle</v>
      </c>
      <c r="D465">
        <f t="shared" si="36"/>
        <v>510</v>
      </c>
      <c r="E465">
        <f t="shared" si="37"/>
        <v>511</v>
      </c>
      <c r="F465">
        <f>IF(D465="","",INDEX(Knutepunkter!$B:$B,D465+1))</f>
        <v>24354</v>
      </c>
      <c r="G465">
        <f>IF(D465="","",INDEX(Knutepunkter!$C:$C,D465+1))</f>
        <v>32000</v>
      </c>
      <c r="H465">
        <f>IF(D465="","",INDEX(Knutepunkter!$D:$D,D465+1))</f>
        <v>9000</v>
      </c>
      <c r="I465">
        <f>IF(E465="","",INDEX(Knutepunkter!$B:$B,E465+1))</f>
        <v>24354</v>
      </c>
      <c r="J465">
        <f>IF(E465="","",INDEX(Knutepunkter!$C:$C,E465+1))</f>
        <v>32000</v>
      </c>
      <c r="K465">
        <f>IF(E465="","",INDEX(Knutepunkter!$D:$D,E465+1))</f>
        <v>12000</v>
      </c>
      <c r="L465">
        <f t="shared" si="38"/>
        <v>3000</v>
      </c>
      <c r="M465">
        <f t="shared" si="39"/>
        <v>3</v>
      </c>
    </row>
    <row r="466" spans="1:13" x14ac:dyDescent="0.3">
      <c r="A466" t="str">
        <f>Segmenter!A466</f>
        <v>S465</v>
      </c>
      <c r="B466" t="str">
        <f>Segmenter!B466</f>
        <v>511 -&gt; 512</v>
      </c>
      <c r="C466" t="str">
        <f t="shared" si="35"/>
        <v>Søyle</v>
      </c>
      <c r="D466">
        <f t="shared" si="36"/>
        <v>511</v>
      </c>
      <c r="E466">
        <f t="shared" si="37"/>
        <v>512</v>
      </c>
      <c r="F466">
        <f>IF(D466="","",INDEX(Knutepunkter!$B:$B,D466+1))</f>
        <v>24354</v>
      </c>
      <c r="G466">
        <f>IF(D466="","",INDEX(Knutepunkter!$C:$C,D466+1))</f>
        <v>32000</v>
      </c>
      <c r="H466">
        <f>IF(D466="","",INDEX(Knutepunkter!$D:$D,D466+1))</f>
        <v>12000</v>
      </c>
      <c r="I466">
        <f>IF(E466="","",INDEX(Knutepunkter!$B:$B,E466+1))</f>
        <v>24354</v>
      </c>
      <c r="J466">
        <f>IF(E466="","",INDEX(Knutepunkter!$C:$C,E466+1))</f>
        <v>32000</v>
      </c>
      <c r="K466">
        <f>IF(E466="","",INDEX(Knutepunkter!$D:$D,E466+1))</f>
        <v>15000</v>
      </c>
      <c r="L466">
        <f t="shared" si="38"/>
        <v>3000</v>
      </c>
      <c r="M466">
        <f t="shared" si="39"/>
        <v>3</v>
      </c>
    </row>
    <row r="467" spans="1:13" x14ac:dyDescent="0.3">
      <c r="A467" t="str">
        <f>Segmenter!A467</f>
        <v>S466</v>
      </c>
      <c r="B467" t="str">
        <f>Segmenter!B467</f>
        <v>512 -&gt; 513</v>
      </c>
      <c r="C467" t="str">
        <f t="shared" si="35"/>
        <v>Søyle</v>
      </c>
      <c r="D467">
        <f t="shared" si="36"/>
        <v>512</v>
      </c>
      <c r="E467">
        <f t="shared" si="37"/>
        <v>513</v>
      </c>
      <c r="F467">
        <f>IF(D467="","",INDEX(Knutepunkter!$B:$B,D467+1))</f>
        <v>24354</v>
      </c>
      <c r="G467">
        <f>IF(D467="","",INDEX(Knutepunkter!$C:$C,D467+1))</f>
        <v>32000</v>
      </c>
      <c r="H467">
        <f>IF(D467="","",INDEX(Knutepunkter!$D:$D,D467+1))</f>
        <v>15000</v>
      </c>
      <c r="I467">
        <f>IF(E467="","",INDEX(Knutepunkter!$B:$B,E467+1))</f>
        <v>24354</v>
      </c>
      <c r="J467">
        <f>IF(E467="","",INDEX(Knutepunkter!$C:$C,E467+1))</f>
        <v>32000</v>
      </c>
      <c r="K467">
        <f>IF(E467="","",INDEX(Knutepunkter!$D:$D,E467+1))</f>
        <v>18000</v>
      </c>
      <c r="L467">
        <f t="shared" si="38"/>
        <v>3000</v>
      </c>
      <c r="M467">
        <f t="shared" si="39"/>
        <v>3</v>
      </c>
    </row>
    <row r="468" spans="1:13" x14ac:dyDescent="0.3">
      <c r="A468" t="str">
        <f>Segmenter!A468</f>
        <v/>
      </c>
      <c r="B468" t="str">
        <f>Segmenter!B468</f>
        <v/>
      </c>
      <c r="C468" t="str">
        <f t="shared" si="35"/>
        <v/>
      </c>
      <c r="D468" t="str">
        <f t="shared" si="36"/>
        <v/>
      </c>
      <c r="E468" t="str">
        <f t="shared" si="37"/>
        <v/>
      </c>
      <c r="F468" t="str">
        <f>IF(D468="","",INDEX(Knutepunkter!$B:$B,D468+1))</f>
        <v/>
      </c>
      <c r="G468" t="str">
        <f>IF(D468="","",INDEX(Knutepunkter!$C:$C,D468+1))</f>
        <v/>
      </c>
      <c r="H468" t="str">
        <f>IF(D468="","",INDEX(Knutepunkter!$D:$D,D468+1))</f>
        <v/>
      </c>
      <c r="I468" t="str">
        <f>IF(E468="","",INDEX(Knutepunkter!$B:$B,E468+1))</f>
        <v/>
      </c>
      <c r="J468" t="str">
        <f>IF(E468="","",INDEX(Knutepunkter!$C:$C,E468+1))</f>
        <v/>
      </c>
      <c r="K468" t="str">
        <f>IF(E468="","",INDEX(Knutepunkter!$D:$D,E468+1))</f>
        <v/>
      </c>
      <c r="L468" t="str">
        <f t="shared" si="38"/>
        <v/>
      </c>
      <c r="M468" t="str">
        <f t="shared" si="39"/>
        <v/>
      </c>
    </row>
    <row r="469" spans="1:13" x14ac:dyDescent="0.3">
      <c r="A469" t="str">
        <f>Segmenter!A469</f>
        <v/>
      </c>
      <c r="B469" t="str">
        <f>Segmenter!B469</f>
        <v/>
      </c>
      <c r="C469" t="str">
        <f t="shared" si="35"/>
        <v/>
      </c>
      <c r="D469" t="str">
        <f t="shared" si="36"/>
        <v/>
      </c>
      <c r="E469" t="str">
        <f t="shared" si="37"/>
        <v/>
      </c>
      <c r="F469" t="str">
        <f>IF(D469="","",INDEX(Knutepunkter!$B:$B,D469+1))</f>
        <v/>
      </c>
      <c r="G469" t="str">
        <f>IF(D469="","",INDEX(Knutepunkter!$C:$C,D469+1))</f>
        <v/>
      </c>
      <c r="H469" t="str">
        <f>IF(D469="","",INDEX(Knutepunkter!$D:$D,D469+1))</f>
        <v/>
      </c>
      <c r="I469" t="str">
        <f>IF(E469="","",INDEX(Knutepunkter!$B:$B,E469+1))</f>
        <v/>
      </c>
      <c r="J469" t="str">
        <f>IF(E469="","",INDEX(Knutepunkter!$C:$C,E469+1))</f>
        <v/>
      </c>
      <c r="K469" t="str">
        <f>IF(E469="","",INDEX(Knutepunkter!$D:$D,E469+1))</f>
        <v/>
      </c>
      <c r="L469" t="str">
        <f t="shared" si="38"/>
        <v/>
      </c>
      <c r="M469" t="str">
        <f t="shared" si="39"/>
        <v/>
      </c>
    </row>
    <row r="470" spans="1:13" x14ac:dyDescent="0.3">
      <c r="A470" t="str">
        <f>Segmenter!A470</f>
        <v/>
      </c>
      <c r="B470" t="str">
        <f>Segmenter!B470</f>
        <v/>
      </c>
      <c r="C470" t="str">
        <f t="shared" si="35"/>
        <v/>
      </c>
      <c r="D470" t="str">
        <f t="shared" si="36"/>
        <v/>
      </c>
      <c r="E470" t="str">
        <f t="shared" si="37"/>
        <v/>
      </c>
      <c r="F470" t="str">
        <f>IF(D470="","",INDEX(Knutepunkter!$B:$B,D470+1))</f>
        <v/>
      </c>
      <c r="G470" t="str">
        <f>IF(D470="","",INDEX(Knutepunkter!$C:$C,D470+1))</f>
        <v/>
      </c>
      <c r="H470" t="str">
        <f>IF(D470="","",INDEX(Knutepunkter!$D:$D,D470+1))</f>
        <v/>
      </c>
      <c r="I470" t="str">
        <f>IF(E470="","",INDEX(Knutepunkter!$B:$B,E470+1))</f>
        <v/>
      </c>
      <c r="J470" t="str">
        <f>IF(E470="","",INDEX(Knutepunkter!$C:$C,E470+1))</f>
        <v/>
      </c>
      <c r="K470" t="str">
        <f>IF(E470="","",INDEX(Knutepunkter!$D:$D,E470+1))</f>
        <v/>
      </c>
      <c r="L470" t="str">
        <f t="shared" si="38"/>
        <v/>
      </c>
      <c r="M470" t="str">
        <f t="shared" si="39"/>
        <v/>
      </c>
    </row>
    <row r="471" spans="1:13" x14ac:dyDescent="0.3">
      <c r="A471" t="str">
        <f>Segmenter!A471</f>
        <v/>
      </c>
      <c r="B471" t="str">
        <f>Segmenter!B471</f>
        <v/>
      </c>
      <c r="C471" t="str">
        <f t="shared" si="35"/>
        <v/>
      </c>
      <c r="D471" t="str">
        <f t="shared" si="36"/>
        <v/>
      </c>
      <c r="E471" t="str">
        <f t="shared" si="37"/>
        <v/>
      </c>
      <c r="F471" t="str">
        <f>IF(D471="","",INDEX(Knutepunkter!$B:$B,D471+1))</f>
        <v/>
      </c>
      <c r="G471" t="str">
        <f>IF(D471="","",INDEX(Knutepunkter!$C:$C,D471+1))</f>
        <v/>
      </c>
      <c r="H471" t="str">
        <f>IF(D471="","",INDEX(Knutepunkter!$D:$D,D471+1))</f>
        <v/>
      </c>
      <c r="I471" t="str">
        <f>IF(E471="","",INDEX(Knutepunkter!$B:$B,E471+1))</f>
        <v/>
      </c>
      <c r="J471" t="str">
        <f>IF(E471="","",INDEX(Knutepunkter!$C:$C,E471+1))</f>
        <v/>
      </c>
      <c r="K471" t="str">
        <f>IF(E471="","",INDEX(Knutepunkter!$D:$D,E471+1))</f>
        <v/>
      </c>
      <c r="L471" t="str">
        <f t="shared" si="38"/>
        <v/>
      </c>
      <c r="M471" t="str">
        <f t="shared" si="39"/>
        <v/>
      </c>
    </row>
    <row r="472" spans="1:13" x14ac:dyDescent="0.3">
      <c r="A472" t="str">
        <f>Segmenter!A472</f>
        <v/>
      </c>
      <c r="B472" t="str">
        <f>Segmenter!B472</f>
        <v/>
      </c>
      <c r="C472" t="str">
        <f t="shared" si="35"/>
        <v/>
      </c>
      <c r="D472" t="str">
        <f t="shared" si="36"/>
        <v/>
      </c>
      <c r="E472" t="str">
        <f t="shared" si="37"/>
        <v/>
      </c>
      <c r="F472" t="str">
        <f>IF(D472="","",INDEX(Knutepunkter!$B:$B,D472+1))</f>
        <v/>
      </c>
      <c r="G472" t="str">
        <f>IF(D472="","",INDEX(Knutepunkter!$C:$C,D472+1))</f>
        <v/>
      </c>
      <c r="H472" t="str">
        <f>IF(D472="","",INDEX(Knutepunkter!$D:$D,D472+1))</f>
        <v/>
      </c>
      <c r="I472" t="str">
        <f>IF(E472="","",INDEX(Knutepunkter!$B:$B,E472+1))</f>
        <v/>
      </c>
      <c r="J472" t="str">
        <f>IF(E472="","",INDEX(Knutepunkter!$C:$C,E472+1))</f>
        <v/>
      </c>
      <c r="K472" t="str">
        <f>IF(E472="","",INDEX(Knutepunkter!$D:$D,E472+1))</f>
        <v/>
      </c>
      <c r="L472" t="str">
        <f t="shared" si="38"/>
        <v/>
      </c>
      <c r="M472" t="str">
        <f t="shared" si="39"/>
        <v/>
      </c>
    </row>
    <row r="473" spans="1:13" x14ac:dyDescent="0.3">
      <c r="A473" t="str">
        <f>Segmenter!A473</f>
        <v/>
      </c>
      <c r="B473" t="str">
        <f>Segmenter!B473</f>
        <v/>
      </c>
      <c r="C473" t="str">
        <f t="shared" si="35"/>
        <v/>
      </c>
      <c r="D473" t="str">
        <f t="shared" si="36"/>
        <v/>
      </c>
      <c r="E473" t="str">
        <f t="shared" si="37"/>
        <v/>
      </c>
      <c r="F473" t="str">
        <f>IF(D473="","",INDEX(Knutepunkter!$B:$B,D473+1))</f>
        <v/>
      </c>
      <c r="G473" t="str">
        <f>IF(D473="","",INDEX(Knutepunkter!$C:$C,D473+1))</f>
        <v/>
      </c>
      <c r="H473" t="str">
        <f>IF(D473="","",INDEX(Knutepunkter!$D:$D,D473+1))</f>
        <v/>
      </c>
      <c r="I473" t="str">
        <f>IF(E473="","",INDEX(Knutepunkter!$B:$B,E473+1))</f>
        <v/>
      </c>
      <c r="J473" t="str">
        <f>IF(E473="","",INDEX(Knutepunkter!$C:$C,E473+1))</f>
        <v/>
      </c>
      <c r="K473" t="str">
        <f>IF(E473="","",INDEX(Knutepunkter!$D:$D,E473+1))</f>
        <v/>
      </c>
      <c r="L473" t="str">
        <f t="shared" si="38"/>
        <v/>
      </c>
      <c r="M473" t="str">
        <f t="shared" si="39"/>
        <v/>
      </c>
    </row>
    <row r="474" spans="1:13" x14ac:dyDescent="0.3">
      <c r="A474" t="str">
        <f>Segmenter!A474</f>
        <v/>
      </c>
      <c r="B474" t="str">
        <f>Segmenter!B474</f>
        <v/>
      </c>
      <c r="C474" t="str">
        <f t="shared" si="35"/>
        <v/>
      </c>
      <c r="D474" t="str">
        <f t="shared" si="36"/>
        <v/>
      </c>
      <c r="E474" t="str">
        <f t="shared" si="37"/>
        <v/>
      </c>
      <c r="F474" t="str">
        <f>IF(D474="","",INDEX(Knutepunkter!$B:$B,D474+1))</f>
        <v/>
      </c>
      <c r="G474" t="str">
        <f>IF(D474="","",INDEX(Knutepunkter!$C:$C,D474+1))</f>
        <v/>
      </c>
      <c r="H474" t="str">
        <f>IF(D474="","",INDEX(Knutepunkter!$D:$D,D474+1))</f>
        <v/>
      </c>
      <c r="I474" t="str">
        <f>IF(E474="","",INDEX(Knutepunkter!$B:$B,E474+1))</f>
        <v/>
      </c>
      <c r="J474" t="str">
        <f>IF(E474="","",INDEX(Knutepunkter!$C:$C,E474+1))</f>
        <v/>
      </c>
      <c r="K474" t="str">
        <f>IF(E474="","",INDEX(Knutepunkter!$D:$D,E474+1))</f>
        <v/>
      </c>
      <c r="L474" t="str">
        <f t="shared" si="38"/>
        <v/>
      </c>
      <c r="M474" t="str">
        <f t="shared" si="39"/>
        <v/>
      </c>
    </row>
    <row r="475" spans="1:13" x14ac:dyDescent="0.3">
      <c r="A475" t="str">
        <f>Segmenter!A475</f>
        <v/>
      </c>
      <c r="B475" t="str">
        <f>Segmenter!B475</f>
        <v/>
      </c>
      <c r="C475" t="str">
        <f t="shared" si="35"/>
        <v/>
      </c>
      <c r="D475" t="str">
        <f t="shared" si="36"/>
        <v/>
      </c>
      <c r="E475" t="str">
        <f t="shared" si="37"/>
        <v/>
      </c>
      <c r="F475" t="str">
        <f>IF(D475="","",INDEX(Knutepunkter!$B:$B,D475+1))</f>
        <v/>
      </c>
      <c r="G475" t="str">
        <f>IF(D475="","",INDEX(Knutepunkter!$C:$C,D475+1))</f>
        <v/>
      </c>
      <c r="H475" t="str">
        <f>IF(D475="","",INDEX(Knutepunkter!$D:$D,D475+1))</f>
        <v/>
      </c>
      <c r="I475" t="str">
        <f>IF(E475="","",INDEX(Knutepunkter!$B:$B,E475+1))</f>
        <v/>
      </c>
      <c r="J475" t="str">
        <f>IF(E475="","",INDEX(Knutepunkter!$C:$C,E475+1))</f>
        <v/>
      </c>
      <c r="K475" t="str">
        <f>IF(E475="","",INDEX(Knutepunkter!$D:$D,E475+1))</f>
        <v/>
      </c>
      <c r="L475" t="str">
        <f t="shared" si="38"/>
        <v/>
      </c>
      <c r="M475" t="str">
        <f t="shared" si="39"/>
        <v/>
      </c>
    </row>
    <row r="476" spans="1:13" x14ac:dyDescent="0.3">
      <c r="A476" t="str">
        <f>Segmenter!A476</f>
        <v/>
      </c>
      <c r="B476" t="str">
        <f>Segmenter!B476</f>
        <v/>
      </c>
      <c r="C476" t="str">
        <f t="shared" si="35"/>
        <v/>
      </c>
      <c r="D476" t="str">
        <f t="shared" si="36"/>
        <v/>
      </c>
      <c r="E476" t="str">
        <f t="shared" si="37"/>
        <v/>
      </c>
      <c r="F476" t="str">
        <f>IF(D476="","",INDEX(Knutepunkter!$B:$B,D476+1))</f>
        <v/>
      </c>
      <c r="G476" t="str">
        <f>IF(D476="","",INDEX(Knutepunkter!$C:$C,D476+1))</f>
        <v/>
      </c>
      <c r="H476" t="str">
        <f>IF(D476="","",INDEX(Knutepunkter!$D:$D,D476+1))</f>
        <v/>
      </c>
      <c r="I476" t="str">
        <f>IF(E476="","",INDEX(Knutepunkter!$B:$B,E476+1))</f>
        <v/>
      </c>
      <c r="J476" t="str">
        <f>IF(E476="","",INDEX(Knutepunkter!$C:$C,E476+1))</f>
        <v/>
      </c>
      <c r="K476" t="str">
        <f>IF(E476="","",INDEX(Knutepunkter!$D:$D,E476+1))</f>
        <v/>
      </c>
      <c r="L476" t="str">
        <f t="shared" si="38"/>
        <v/>
      </c>
      <c r="M476" t="str">
        <f t="shared" si="39"/>
        <v/>
      </c>
    </row>
    <row r="477" spans="1:13" x14ac:dyDescent="0.3">
      <c r="A477" t="str">
        <f>Segmenter!A477</f>
        <v/>
      </c>
      <c r="B477" t="str">
        <f>Segmenter!B477</f>
        <v/>
      </c>
      <c r="C477" t="str">
        <f t="shared" si="35"/>
        <v/>
      </c>
      <c r="D477" t="str">
        <f t="shared" si="36"/>
        <v/>
      </c>
      <c r="E477" t="str">
        <f t="shared" si="37"/>
        <v/>
      </c>
      <c r="F477" t="str">
        <f>IF(D477="","",INDEX(Knutepunkter!$B:$B,D477+1))</f>
        <v/>
      </c>
      <c r="G477" t="str">
        <f>IF(D477="","",INDEX(Knutepunkter!$C:$C,D477+1))</f>
        <v/>
      </c>
      <c r="H477" t="str">
        <f>IF(D477="","",INDEX(Knutepunkter!$D:$D,D477+1))</f>
        <v/>
      </c>
      <c r="I477" t="str">
        <f>IF(E477="","",INDEX(Knutepunkter!$B:$B,E477+1))</f>
        <v/>
      </c>
      <c r="J477" t="str">
        <f>IF(E477="","",INDEX(Knutepunkter!$C:$C,E477+1))</f>
        <v/>
      </c>
      <c r="K477" t="str">
        <f>IF(E477="","",INDEX(Knutepunkter!$D:$D,E477+1))</f>
        <v/>
      </c>
      <c r="L477" t="str">
        <f t="shared" si="38"/>
        <v/>
      </c>
      <c r="M477" t="str">
        <f t="shared" si="39"/>
        <v/>
      </c>
    </row>
    <row r="478" spans="1:13" x14ac:dyDescent="0.3">
      <c r="A478" t="str">
        <f>Segmenter!A478</f>
        <v/>
      </c>
      <c r="B478" t="str">
        <f>Segmenter!B478</f>
        <v/>
      </c>
      <c r="C478" t="str">
        <f t="shared" si="35"/>
        <v/>
      </c>
      <c r="D478" t="str">
        <f t="shared" si="36"/>
        <v/>
      </c>
      <c r="E478" t="str">
        <f t="shared" si="37"/>
        <v/>
      </c>
      <c r="F478" t="str">
        <f>IF(D478="","",INDEX(Knutepunkter!$B:$B,D478+1))</f>
        <v/>
      </c>
      <c r="G478" t="str">
        <f>IF(D478="","",INDEX(Knutepunkter!$C:$C,D478+1))</f>
        <v/>
      </c>
      <c r="H478" t="str">
        <f>IF(D478="","",INDEX(Knutepunkter!$D:$D,D478+1))</f>
        <v/>
      </c>
      <c r="I478" t="str">
        <f>IF(E478="","",INDEX(Knutepunkter!$B:$B,E478+1))</f>
        <v/>
      </c>
      <c r="J478" t="str">
        <f>IF(E478="","",INDEX(Knutepunkter!$C:$C,E478+1))</f>
        <v/>
      </c>
      <c r="K478" t="str">
        <f>IF(E478="","",INDEX(Knutepunkter!$D:$D,E478+1))</f>
        <v/>
      </c>
      <c r="L478" t="str">
        <f t="shared" si="38"/>
        <v/>
      </c>
      <c r="M478" t="str">
        <f t="shared" si="39"/>
        <v/>
      </c>
    </row>
    <row r="479" spans="1:13" x14ac:dyDescent="0.3">
      <c r="A479" t="str">
        <f>Segmenter!A479</f>
        <v/>
      </c>
      <c r="B479" t="str">
        <f>Segmenter!B479</f>
        <v/>
      </c>
      <c r="C479" t="str">
        <f t="shared" si="35"/>
        <v/>
      </c>
      <c r="D479" t="str">
        <f t="shared" si="36"/>
        <v/>
      </c>
      <c r="E479" t="str">
        <f t="shared" si="37"/>
        <v/>
      </c>
      <c r="F479" t="str">
        <f>IF(D479="","",INDEX(Knutepunkter!$B:$B,D479+1))</f>
        <v/>
      </c>
      <c r="G479" t="str">
        <f>IF(D479="","",INDEX(Knutepunkter!$C:$C,D479+1))</f>
        <v/>
      </c>
      <c r="H479" t="str">
        <f>IF(D479="","",INDEX(Knutepunkter!$D:$D,D479+1))</f>
        <v/>
      </c>
      <c r="I479" t="str">
        <f>IF(E479="","",INDEX(Knutepunkter!$B:$B,E479+1))</f>
        <v/>
      </c>
      <c r="J479" t="str">
        <f>IF(E479="","",INDEX(Knutepunkter!$C:$C,E479+1))</f>
        <v/>
      </c>
      <c r="K479" t="str">
        <f>IF(E479="","",INDEX(Knutepunkter!$D:$D,E479+1))</f>
        <v/>
      </c>
      <c r="L479" t="str">
        <f t="shared" si="38"/>
        <v/>
      </c>
      <c r="M479" t="str">
        <f t="shared" si="39"/>
        <v/>
      </c>
    </row>
    <row r="480" spans="1:13" x14ac:dyDescent="0.3">
      <c r="A480" t="str">
        <f>Segmenter!A480</f>
        <v/>
      </c>
      <c r="B480" t="str">
        <f>Segmenter!B480</f>
        <v/>
      </c>
      <c r="C480" t="str">
        <f t="shared" si="35"/>
        <v/>
      </c>
      <c r="D480" t="str">
        <f t="shared" si="36"/>
        <v/>
      </c>
      <c r="E480" t="str">
        <f t="shared" si="37"/>
        <v/>
      </c>
      <c r="F480" t="str">
        <f>IF(D480="","",INDEX(Knutepunkter!$B:$B,D480+1))</f>
        <v/>
      </c>
      <c r="G480" t="str">
        <f>IF(D480="","",INDEX(Knutepunkter!$C:$C,D480+1))</f>
        <v/>
      </c>
      <c r="H480" t="str">
        <f>IF(D480="","",INDEX(Knutepunkter!$D:$D,D480+1))</f>
        <v/>
      </c>
      <c r="I480" t="str">
        <f>IF(E480="","",INDEX(Knutepunkter!$B:$B,E480+1))</f>
        <v/>
      </c>
      <c r="J480" t="str">
        <f>IF(E480="","",INDEX(Knutepunkter!$C:$C,E480+1))</f>
        <v/>
      </c>
      <c r="K480" t="str">
        <f>IF(E480="","",INDEX(Knutepunkter!$D:$D,E480+1))</f>
        <v/>
      </c>
      <c r="L480" t="str">
        <f t="shared" si="38"/>
        <v/>
      </c>
      <c r="M480" t="str">
        <f t="shared" si="39"/>
        <v/>
      </c>
    </row>
    <row r="481" spans="1:13" x14ac:dyDescent="0.3">
      <c r="A481" t="str">
        <f>Segmenter!A481</f>
        <v/>
      </c>
      <c r="B481" t="str">
        <f>Segmenter!B481</f>
        <v/>
      </c>
      <c r="C481" t="str">
        <f t="shared" si="35"/>
        <v/>
      </c>
      <c r="D481" t="str">
        <f t="shared" si="36"/>
        <v/>
      </c>
      <c r="E481" t="str">
        <f t="shared" si="37"/>
        <v/>
      </c>
      <c r="F481" t="str">
        <f>IF(D481="","",INDEX(Knutepunkter!$B:$B,D481+1))</f>
        <v/>
      </c>
      <c r="G481" t="str">
        <f>IF(D481="","",INDEX(Knutepunkter!$C:$C,D481+1))</f>
        <v/>
      </c>
      <c r="H481" t="str">
        <f>IF(D481="","",INDEX(Knutepunkter!$D:$D,D481+1))</f>
        <v/>
      </c>
      <c r="I481" t="str">
        <f>IF(E481="","",INDEX(Knutepunkter!$B:$B,E481+1))</f>
        <v/>
      </c>
      <c r="J481" t="str">
        <f>IF(E481="","",INDEX(Knutepunkter!$C:$C,E481+1))</f>
        <v/>
      </c>
      <c r="K481" t="str">
        <f>IF(E481="","",INDEX(Knutepunkter!$D:$D,E481+1))</f>
        <v/>
      </c>
      <c r="L481" t="str">
        <f t="shared" si="38"/>
        <v/>
      </c>
      <c r="M481" t="str">
        <f t="shared" si="39"/>
        <v/>
      </c>
    </row>
    <row r="482" spans="1:13" x14ac:dyDescent="0.3">
      <c r="A482" t="str">
        <f>Segmenter!A482</f>
        <v/>
      </c>
      <c r="B482" t="str">
        <f>Segmenter!B482</f>
        <v/>
      </c>
      <c r="C482" t="str">
        <f t="shared" si="35"/>
        <v/>
      </c>
      <c r="D482" t="str">
        <f t="shared" si="36"/>
        <v/>
      </c>
      <c r="E482" t="str">
        <f t="shared" si="37"/>
        <v/>
      </c>
      <c r="F482" t="str">
        <f>IF(D482="","",INDEX(Knutepunkter!$B:$B,D482+1))</f>
        <v/>
      </c>
      <c r="G482" t="str">
        <f>IF(D482="","",INDEX(Knutepunkter!$C:$C,D482+1))</f>
        <v/>
      </c>
      <c r="H482" t="str">
        <f>IF(D482="","",INDEX(Knutepunkter!$D:$D,D482+1))</f>
        <v/>
      </c>
      <c r="I482" t="str">
        <f>IF(E482="","",INDEX(Knutepunkter!$B:$B,E482+1))</f>
        <v/>
      </c>
      <c r="J482" t="str">
        <f>IF(E482="","",INDEX(Knutepunkter!$C:$C,E482+1))</f>
        <v/>
      </c>
      <c r="K482" t="str">
        <f>IF(E482="","",INDEX(Knutepunkter!$D:$D,E482+1))</f>
        <v/>
      </c>
      <c r="L482" t="str">
        <f t="shared" si="38"/>
        <v/>
      </c>
      <c r="M482" t="str">
        <f t="shared" si="39"/>
        <v/>
      </c>
    </row>
    <row r="483" spans="1:13" x14ac:dyDescent="0.3">
      <c r="A483" t="str">
        <f>Segmenter!A483</f>
        <v/>
      </c>
      <c r="B483" t="str">
        <f>Segmenter!B483</f>
        <v/>
      </c>
      <c r="C483" t="str">
        <f t="shared" si="35"/>
        <v/>
      </c>
      <c r="D483" t="str">
        <f t="shared" si="36"/>
        <v/>
      </c>
      <c r="E483" t="str">
        <f t="shared" si="37"/>
        <v/>
      </c>
      <c r="F483" t="str">
        <f>IF(D483="","",INDEX(Knutepunkter!$B:$B,D483+1))</f>
        <v/>
      </c>
      <c r="G483" t="str">
        <f>IF(D483="","",INDEX(Knutepunkter!$C:$C,D483+1))</f>
        <v/>
      </c>
      <c r="H483" t="str">
        <f>IF(D483="","",INDEX(Knutepunkter!$D:$D,D483+1))</f>
        <v/>
      </c>
      <c r="I483" t="str">
        <f>IF(E483="","",INDEX(Knutepunkter!$B:$B,E483+1))</f>
        <v/>
      </c>
      <c r="J483" t="str">
        <f>IF(E483="","",INDEX(Knutepunkter!$C:$C,E483+1))</f>
        <v/>
      </c>
      <c r="K483" t="str">
        <f>IF(E483="","",INDEX(Knutepunkter!$D:$D,E483+1))</f>
        <v/>
      </c>
      <c r="L483" t="str">
        <f t="shared" si="38"/>
        <v/>
      </c>
      <c r="M483" t="str">
        <f t="shared" si="39"/>
        <v/>
      </c>
    </row>
    <row r="484" spans="1:13" x14ac:dyDescent="0.3">
      <c r="A484" t="str">
        <f>Segmenter!A484</f>
        <v/>
      </c>
      <c r="B484" t="str">
        <f>Segmenter!B484</f>
        <v/>
      </c>
      <c r="C484" t="str">
        <f t="shared" si="35"/>
        <v/>
      </c>
      <c r="D484" t="str">
        <f t="shared" si="36"/>
        <v/>
      </c>
      <c r="E484" t="str">
        <f t="shared" si="37"/>
        <v/>
      </c>
      <c r="F484" t="str">
        <f>IF(D484="","",INDEX(Knutepunkter!$B:$B,D484+1))</f>
        <v/>
      </c>
      <c r="G484" t="str">
        <f>IF(D484="","",INDEX(Knutepunkter!$C:$C,D484+1))</f>
        <v/>
      </c>
      <c r="H484" t="str">
        <f>IF(D484="","",INDEX(Knutepunkter!$D:$D,D484+1))</f>
        <v/>
      </c>
      <c r="I484" t="str">
        <f>IF(E484="","",INDEX(Knutepunkter!$B:$B,E484+1))</f>
        <v/>
      </c>
      <c r="J484" t="str">
        <f>IF(E484="","",INDEX(Knutepunkter!$C:$C,E484+1))</f>
        <v/>
      </c>
      <c r="K484" t="str">
        <f>IF(E484="","",INDEX(Knutepunkter!$D:$D,E484+1))</f>
        <v/>
      </c>
      <c r="L484" t="str">
        <f t="shared" si="38"/>
        <v/>
      </c>
      <c r="M484" t="str">
        <f t="shared" si="39"/>
        <v/>
      </c>
    </row>
    <row r="485" spans="1:13" x14ac:dyDescent="0.3">
      <c r="A485" t="str">
        <f>Segmenter!A485</f>
        <v/>
      </c>
      <c r="B485" t="str">
        <f>Segmenter!B485</f>
        <v/>
      </c>
      <c r="C485" t="str">
        <f t="shared" si="35"/>
        <v/>
      </c>
      <c r="D485" t="str">
        <f t="shared" si="36"/>
        <v/>
      </c>
      <c r="E485" t="str">
        <f t="shared" si="37"/>
        <v/>
      </c>
      <c r="F485" t="str">
        <f>IF(D485="","",INDEX(Knutepunkter!$B:$B,D485+1))</f>
        <v/>
      </c>
      <c r="G485" t="str">
        <f>IF(D485="","",INDEX(Knutepunkter!$C:$C,D485+1))</f>
        <v/>
      </c>
      <c r="H485" t="str">
        <f>IF(D485="","",INDEX(Knutepunkter!$D:$D,D485+1))</f>
        <v/>
      </c>
      <c r="I485" t="str">
        <f>IF(E485="","",INDEX(Knutepunkter!$B:$B,E485+1))</f>
        <v/>
      </c>
      <c r="J485" t="str">
        <f>IF(E485="","",INDEX(Knutepunkter!$C:$C,E485+1))</f>
        <v/>
      </c>
      <c r="K485" t="str">
        <f>IF(E485="","",INDEX(Knutepunkter!$D:$D,E485+1))</f>
        <v/>
      </c>
      <c r="L485" t="str">
        <f t="shared" si="38"/>
        <v/>
      </c>
      <c r="M485" t="str">
        <f t="shared" si="39"/>
        <v/>
      </c>
    </row>
    <row r="486" spans="1:13" x14ac:dyDescent="0.3">
      <c r="A486" t="str">
        <f>Segmenter!A486</f>
        <v/>
      </c>
      <c r="B486" t="str">
        <f>Segmenter!B486</f>
        <v/>
      </c>
      <c r="C486" t="str">
        <f t="shared" si="35"/>
        <v/>
      </c>
      <c r="D486" t="str">
        <f t="shared" si="36"/>
        <v/>
      </c>
      <c r="E486" t="str">
        <f t="shared" si="37"/>
        <v/>
      </c>
      <c r="F486" t="str">
        <f>IF(D486="","",INDEX(Knutepunkter!$B:$B,D486+1))</f>
        <v/>
      </c>
      <c r="G486" t="str">
        <f>IF(D486="","",INDEX(Knutepunkter!$C:$C,D486+1))</f>
        <v/>
      </c>
      <c r="H486" t="str">
        <f>IF(D486="","",INDEX(Knutepunkter!$D:$D,D486+1))</f>
        <v/>
      </c>
      <c r="I486" t="str">
        <f>IF(E486="","",INDEX(Knutepunkter!$B:$B,E486+1))</f>
        <v/>
      </c>
      <c r="J486" t="str">
        <f>IF(E486="","",INDEX(Knutepunkter!$C:$C,E486+1))</f>
        <v/>
      </c>
      <c r="K486" t="str">
        <f>IF(E486="","",INDEX(Knutepunkter!$D:$D,E486+1))</f>
        <v/>
      </c>
      <c r="L486" t="str">
        <f t="shared" si="38"/>
        <v/>
      </c>
      <c r="M486" t="str">
        <f t="shared" si="39"/>
        <v/>
      </c>
    </row>
    <row r="487" spans="1:13" x14ac:dyDescent="0.3">
      <c r="A487" t="str">
        <f>Segmenter!A487</f>
        <v/>
      </c>
      <c r="B487" t="str">
        <f>Segmenter!B487</f>
        <v/>
      </c>
      <c r="C487" t="str">
        <f t="shared" si="35"/>
        <v/>
      </c>
      <c r="D487" t="str">
        <f t="shared" si="36"/>
        <v/>
      </c>
      <c r="E487" t="str">
        <f t="shared" si="37"/>
        <v/>
      </c>
      <c r="F487" t="str">
        <f>IF(D487="","",INDEX(Knutepunkter!$B:$B,D487+1))</f>
        <v/>
      </c>
      <c r="G487" t="str">
        <f>IF(D487="","",INDEX(Knutepunkter!$C:$C,D487+1))</f>
        <v/>
      </c>
      <c r="H487" t="str">
        <f>IF(D487="","",INDEX(Knutepunkter!$D:$D,D487+1))</f>
        <v/>
      </c>
      <c r="I487" t="str">
        <f>IF(E487="","",INDEX(Knutepunkter!$B:$B,E487+1))</f>
        <v/>
      </c>
      <c r="J487" t="str">
        <f>IF(E487="","",INDEX(Knutepunkter!$C:$C,E487+1))</f>
        <v/>
      </c>
      <c r="K487" t="str">
        <f>IF(E487="","",INDEX(Knutepunkter!$D:$D,E487+1))</f>
        <v/>
      </c>
      <c r="L487" t="str">
        <f t="shared" si="38"/>
        <v/>
      </c>
      <c r="M487" t="str">
        <f t="shared" si="39"/>
        <v/>
      </c>
    </row>
    <row r="488" spans="1:13" x14ac:dyDescent="0.3">
      <c r="A488" t="str">
        <f>Segmenter!A488</f>
        <v/>
      </c>
      <c r="B488" t="str">
        <f>Segmenter!B488</f>
        <v/>
      </c>
      <c r="C488" t="str">
        <f t="shared" si="35"/>
        <v/>
      </c>
      <c r="D488" t="str">
        <f t="shared" si="36"/>
        <v/>
      </c>
      <c r="E488" t="str">
        <f t="shared" si="37"/>
        <v/>
      </c>
      <c r="F488" t="str">
        <f>IF(D488="","",INDEX(Knutepunkter!$B:$B,D488+1))</f>
        <v/>
      </c>
      <c r="G488" t="str">
        <f>IF(D488="","",INDEX(Knutepunkter!$C:$C,D488+1))</f>
        <v/>
      </c>
      <c r="H488" t="str">
        <f>IF(D488="","",INDEX(Knutepunkter!$D:$D,D488+1))</f>
        <v/>
      </c>
      <c r="I488" t="str">
        <f>IF(E488="","",INDEX(Knutepunkter!$B:$B,E488+1))</f>
        <v/>
      </c>
      <c r="J488" t="str">
        <f>IF(E488="","",INDEX(Knutepunkter!$C:$C,E488+1))</f>
        <v/>
      </c>
      <c r="K488" t="str">
        <f>IF(E488="","",INDEX(Knutepunkter!$D:$D,E488+1))</f>
        <v/>
      </c>
      <c r="L488" t="str">
        <f t="shared" si="38"/>
        <v/>
      </c>
      <c r="M488" t="str">
        <f t="shared" si="39"/>
        <v/>
      </c>
    </row>
    <row r="489" spans="1:13" x14ac:dyDescent="0.3">
      <c r="A489" t="str">
        <f>Segmenter!A489</f>
        <v/>
      </c>
      <c r="B489" t="str">
        <f>Segmenter!B489</f>
        <v/>
      </c>
      <c r="C489" t="str">
        <f t="shared" si="35"/>
        <v/>
      </c>
      <c r="D489" t="str">
        <f t="shared" si="36"/>
        <v/>
      </c>
      <c r="E489" t="str">
        <f t="shared" si="37"/>
        <v/>
      </c>
      <c r="F489" t="str">
        <f>IF(D489="","",INDEX(Knutepunkter!$B:$B,D489+1))</f>
        <v/>
      </c>
      <c r="G489" t="str">
        <f>IF(D489="","",INDEX(Knutepunkter!$C:$C,D489+1))</f>
        <v/>
      </c>
      <c r="H489" t="str">
        <f>IF(D489="","",INDEX(Knutepunkter!$D:$D,D489+1))</f>
        <v/>
      </c>
      <c r="I489" t="str">
        <f>IF(E489="","",INDEX(Knutepunkter!$B:$B,E489+1))</f>
        <v/>
      </c>
      <c r="J489" t="str">
        <f>IF(E489="","",INDEX(Knutepunkter!$C:$C,E489+1))</f>
        <v/>
      </c>
      <c r="K489" t="str">
        <f>IF(E489="","",INDEX(Knutepunkter!$D:$D,E489+1))</f>
        <v/>
      </c>
      <c r="L489" t="str">
        <f t="shared" si="38"/>
        <v/>
      </c>
      <c r="M489" t="str">
        <f t="shared" si="39"/>
        <v/>
      </c>
    </row>
    <row r="490" spans="1:13" x14ac:dyDescent="0.3">
      <c r="A490" t="str">
        <f>Segmenter!A490</f>
        <v/>
      </c>
      <c r="B490" t="str">
        <f>Segmenter!B490</f>
        <v/>
      </c>
      <c r="C490" t="str">
        <f t="shared" si="35"/>
        <v/>
      </c>
      <c r="D490" t="str">
        <f t="shared" si="36"/>
        <v/>
      </c>
      <c r="E490" t="str">
        <f t="shared" si="37"/>
        <v/>
      </c>
      <c r="F490" t="str">
        <f>IF(D490="","",INDEX(Knutepunkter!$B:$B,D490+1))</f>
        <v/>
      </c>
      <c r="G490" t="str">
        <f>IF(D490="","",INDEX(Knutepunkter!$C:$C,D490+1))</f>
        <v/>
      </c>
      <c r="H490" t="str">
        <f>IF(D490="","",INDEX(Knutepunkter!$D:$D,D490+1))</f>
        <v/>
      </c>
      <c r="I490" t="str">
        <f>IF(E490="","",INDEX(Knutepunkter!$B:$B,E490+1))</f>
        <v/>
      </c>
      <c r="J490" t="str">
        <f>IF(E490="","",INDEX(Knutepunkter!$C:$C,E490+1))</f>
        <v/>
      </c>
      <c r="K490" t="str">
        <f>IF(E490="","",INDEX(Knutepunkter!$D:$D,E490+1))</f>
        <v/>
      </c>
      <c r="L490" t="str">
        <f t="shared" si="38"/>
        <v/>
      </c>
      <c r="M490" t="str">
        <f t="shared" si="39"/>
        <v/>
      </c>
    </row>
    <row r="491" spans="1:13" x14ac:dyDescent="0.3">
      <c r="A491" t="str">
        <f>Segmenter!A491</f>
        <v/>
      </c>
      <c r="B491" t="str">
        <f>Segmenter!B491</f>
        <v/>
      </c>
      <c r="C491" t="str">
        <f t="shared" si="35"/>
        <v/>
      </c>
      <c r="D491" t="str">
        <f t="shared" si="36"/>
        <v/>
      </c>
      <c r="E491" t="str">
        <f t="shared" si="37"/>
        <v/>
      </c>
      <c r="F491" t="str">
        <f>IF(D491="","",INDEX(Knutepunkter!$B:$B,D491+1))</f>
        <v/>
      </c>
      <c r="G491" t="str">
        <f>IF(D491="","",INDEX(Knutepunkter!$C:$C,D491+1))</f>
        <v/>
      </c>
      <c r="H491" t="str">
        <f>IF(D491="","",INDEX(Knutepunkter!$D:$D,D491+1))</f>
        <v/>
      </c>
      <c r="I491" t="str">
        <f>IF(E491="","",INDEX(Knutepunkter!$B:$B,E491+1))</f>
        <v/>
      </c>
      <c r="J491" t="str">
        <f>IF(E491="","",INDEX(Knutepunkter!$C:$C,E491+1))</f>
        <v/>
      </c>
      <c r="K491" t="str">
        <f>IF(E491="","",INDEX(Knutepunkter!$D:$D,E491+1))</f>
        <v/>
      </c>
      <c r="L491" t="str">
        <f t="shared" si="38"/>
        <v/>
      </c>
      <c r="M491" t="str">
        <f t="shared" si="39"/>
        <v/>
      </c>
    </row>
    <row r="492" spans="1:13" x14ac:dyDescent="0.3">
      <c r="A492" t="str">
        <f>Segmenter!A492</f>
        <v/>
      </c>
      <c r="B492" t="str">
        <f>Segmenter!B492</f>
        <v/>
      </c>
      <c r="C492" t="str">
        <f t="shared" si="35"/>
        <v/>
      </c>
      <c r="D492" t="str">
        <f t="shared" si="36"/>
        <v/>
      </c>
      <c r="E492" t="str">
        <f t="shared" si="37"/>
        <v/>
      </c>
      <c r="F492" t="str">
        <f>IF(D492="","",INDEX(Knutepunkter!$B:$B,D492+1))</f>
        <v/>
      </c>
      <c r="G492" t="str">
        <f>IF(D492="","",INDEX(Knutepunkter!$C:$C,D492+1))</f>
        <v/>
      </c>
      <c r="H492" t="str">
        <f>IF(D492="","",INDEX(Knutepunkter!$D:$D,D492+1))</f>
        <v/>
      </c>
      <c r="I492" t="str">
        <f>IF(E492="","",INDEX(Knutepunkter!$B:$B,E492+1))</f>
        <v/>
      </c>
      <c r="J492" t="str">
        <f>IF(E492="","",INDEX(Knutepunkter!$C:$C,E492+1))</f>
        <v/>
      </c>
      <c r="K492" t="str">
        <f>IF(E492="","",INDEX(Knutepunkter!$D:$D,E492+1))</f>
        <v/>
      </c>
      <c r="L492" t="str">
        <f t="shared" si="38"/>
        <v/>
      </c>
      <c r="M492" t="str">
        <f t="shared" si="39"/>
        <v/>
      </c>
    </row>
    <row r="493" spans="1:13" x14ac:dyDescent="0.3">
      <c r="A493" t="str">
        <f>Segmenter!A493</f>
        <v/>
      </c>
      <c r="B493" t="str">
        <f>Segmenter!B493</f>
        <v/>
      </c>
      <c r="C493" t="str">
        <f t="shared" si="35"/>
        <v/>
      </c>
      <c r="D493" t="str">
        <f t="shared" si="36"/>
        <v/>
      </c>
      <c r="E493" t="str">
        <f t="shared" si="37"/>
        <v/>
      </c>
      <c r="F493" t="str">
        <f>IF(D493="","",INDEX(Knutepunkter!$B:$B,D493+1))</f>
        <v/>
      </c>
      <c r="G493" t="str">
        <f>IF(D493="","",INDEX(Knutepunkter!$C:$C,D493+1))</f>
        <v/>
      </c>
      <c r="H493" t="str">
        <f>IF(D493="","",INDEX(Knutepunkter!$D:$D,D493+1))</f>
        <v/>
      </c>
      <c r="I493" t="str">
        <f>IF(E493="","",INDEX(Knutepunkter!$B:$B,E493+1))</f>
        <v/>
      </c>
      <c r="J493" t="str">
        <f>IF(E493="","",INDEX(Knutepunkter!$C:$C,E493+1))</f>
        <v/>
      </c>
      <c r="K493" t="str">
        <f>IF(E493="","",INDEX(Knutepunkter!$D:$D,E493+1))</f>
        <v/>
      </c>
      <c r="L493" t="str">
        <f t="shared" si="38"/>
        <v/>
      </c>
      <c r="M493" t="str">
        <f t="shared" si="39"/>
        <v/>
      </c>
    </row>
    <row r="494" spans="1:13" x14ac:dyDescent="0.3">
      <c r="A494" t="str">
        <f>Segmenter!A494</f>
        <v/>
      </c>
      <c r="B494" t="str">
        <f>Segmenter!B494</f>
        <v/>
      </c>
      <c r="C494" t="str">
        <f t="shared" si="35"/>
        <v/>
      </c>
      <c r="D494" t="str">
        <f t="shared" si="36"/>
        <v/>
      </c>
      <c r="E494" t="str">
        <f t="shared" si="37"/>
        <v/>
      </c>
      <c r="F494" t="str">
        <f>IF(D494="","",INDEX(Knutepunkter!$B:$B,D494+1))</f>
        <v/>
      </c>
      <c r="G494" t="str">
        <f>IF(D494="","",INDEX(Knutepunkter!$C:$C,D494+1))</f>
        <v/>
      </c>
      <c r="H494" t="str">
        <f>IF(D494="","",INDEX(Knutepunkter!$D:$D,D494+1))</f>
        <v/>
      </c>
      <c r="I494" t="str">
        <f>IF(E494="","",INDEX(Knutepunkter!$B:$B,E494+1))</f>
        <v/>
      </c>
      <c r="J494" t="str">
        <f>IF(E494="","",INDEX(Knutepunkter!$C:$C,E494+1))</f>
        <v/>
      </c>
      <c r="K494" t="str">
        <f>IF(E494="","",INDEX(Knutepunkter!$D:$D,E494+1))</f>
        <v/>
      </c>
      <c r="L494" t="str">
        <f t="shared" si="38"/>
        <v/>
      </c>
      <c r="M494" t="str">
        <f t="shared" si="39"/>
        <v/>
      </c>
    </row>
    <row r="495" spans="1:13" x14ac:dyDescent="0.3">
      <c r="A495" t="str">
        <f>Segmenter!A495</f>
        <v/>
      </c>
      <c r="B495" t="str">
        <f>Segmenter!B495</f>
        <v/>
      </c>
      <c r="C495" t="str">
        <f t="shared" si="35"/>
        <v/>
      </c>
      <c r="D495" t="str">
        <f t="shared" si="36"/>
        <v/>
      </c>
      <c r="E495" t="str">
        <f t="shared" si="37"/>
        <v/>
      </c>
      <c r="F495" t="str">
        <f>IF(D495="","",INDEX(Knutepunkter!$B:$B,D495+1))</f>
        <v/>
      </c>
      <c r="G495" t="str">
        <f>IF(D495="","",INDEX(Knutepunkter!$C:$C,D495+1))</f>
        <v/>
      </c>
      <c r="H495" t="str">
        <f>IF(D495="","",INDEX(Knutepunkter!$D:$D,D495+1))</f>
        <v/>
      </c>
      <c r="I495" t="str">
        <f>IF(E495="","",INDEX(Knutepunkter!$B:$B,E495+1))</f>
        <v/>
      </c>
      <c r="J495" t="str">
        <f>IF(E495="","",INDEX(Knutepunkter!$C:$C,E495+1))</f>
        <v/>
      </c>
      <c r="K495" t="str">
        <f>IF(E495="","",INDEX(Knutepunkter!$D:$D,E495+1))</f>
        <v/>
      </c>
      <c r="L495" t="str">
        <f t="shared" si="38"/>
        <v/>
      </c>
      <c r="M495" t="str">
        <f t="shared" si="39"/>
        <v/>
      </c>
    </row>
    <row r="496" spans="1:13" x14ac:dyDescent="0.3">
      <c r="A496" t="str">
        <f>Segmenter!A496</f>
        <v/>
      </c>
      <c r="B496" t="str">
        <f>Segmenter!B496</f>
        <v/>
      </c>
      <c r="C496" t="str">
        <f t="shared" si="35"/>
        <v/>
      </c>
      <c r="D496" t="str">
        <f t="shared" si="36"/>
        <v/>
      </c>
      <c r="E496" t="str">
        <f t="shared" si="37"/>
        <v/>
      </c>
      <c r="F496" t="str">
        <f>IF(D496="","",INDEX(Knutepunkter!$B:$B,D496+1))</f>
        <v/>
      </c>
      <c r="G496" t="str">
        <f>IF(D496="","",INDEX(Knutepunkter!$C:$C,D496+1))</f>
        <v/>
      </c>
      <c r="H496" t="str">
        <f>IF(D496="","",INDEX(Knutepunkter!$D:$D,D496+1))</f>
        <v/>
      </c>
      <c r="I496" t="str">
        <f>IF(E496="","",INDEX(Knutepunkter!$B:$B,E496+1))</f>
        <v/>
      </c>
      <c r="J496" t="str">
        <f>IF(E496="","",INDEX(Knutepunkter!$C:$C,E496+1))</f>
        <v/>
      </c>
      <c r="K496" t="str">
        <f>IF(E496="","",INDEX(Knutepunkter!$D:$D,E496+1))</f>
        <v/>
      </c>
      <c r="L496" t="str">
        <f t="shared" si="38"/>
        <v/>
      </c>
      <c r="M496" t="str">
        <f t="shared" si="39"/>
        <v/>
      </c>
    </row>
    <row r="497" spans="1:13" x14ac:dyDescent="0.3">
      <c r="A497" t="str">
        <f>Segmenter!A497</f>
        <v/>
      </c>
      <c r="B497" t="str">
        <f>Segmenter!B497</f>
        <v/>
      </c>
      <c r="C497" t="str">
        <f t="shared" si="35"/>
        <v/>
      </c>
      <c r="D497" t="str">
        <f t="shared" si="36"/>
        <v/>
      </c>
      <c r="E497" t="str">
        <f t="shared" si="37"/>
        <v/>
      </c>
      <c r="F497" t="str">
        <f>IF(D497="","",INDEX(Knutepunkter!$B:$B,D497+1))</f>
        <v/>
      </c>
      <c r="G497" t="str">
        <f>IF(D497="","",INDEX(Knutepunkter!$C:$C,D497+1))</f>
        <v/>
      </c>
      <c r="H497" t="str">
        <f>IF(D497="","",INDEX(Knutepunkter!$D:$D,D497+1))</f>
        <v/>
      </c>
      <c r="I497" t="str">
        <f>IF(E497="","",INDEX(Knutepunkter!$B:$B,E497+1))</f>
        <v/>
      </c>
      <c r="J497" t="str">
        <f>IF(E497="","",INDEX(Knutepunkter!$C:$C,E497+1))</f>
        <v/>
      </c>
      <c r="K497" t="str">
        <f>IF(E497="","",INDEX(Knutepunkter!$D:$D,E497+1))</f>
        <v/>
      </c>
      <c r="L497" t="str">
        <f t="shared" si="38"/>
        <v/>
      </c>
      <c r="M497" t="str">
        <f t="shared" si="39"/>
        <v/>
      </c>
    </row>
    <row r="498" spans="1:13" x14ac:dyDescent="0.3">
      <c r="A498" t="str">
        <f>Segmenter!A498</f>
        <v/>
      </c>
      <c r="B498" t="str">
        <f>Segmenter!B498</f>
        <v/>
      </c>
      <c r="C498" t="str">
        <f t="shared" si="35"/>
        <v/>
      </c>
      <c r="D498" t="str">
        <f t="shared" si="36"/>
        <v/>
      </c>
      <c r="E498" t="str">
        <f t="shared" si="37"/>
        <v/>
      </c>
      <c r="F498" t="str">
        <f>IF(D498="","",INDEX(Knutepunkter!$B:$B,D498+1))</f>
        <v/>
      </c>
      <c r="G498" t="str">
        <f>IF(D498="","",INDEX(Knutepunkter!$C:$C,D498+1))</f>
        <v/>
      </c>
      <c r="H498" t="str">
        <f>IF(D498="","",INDEX(Knutepunkter!$D:$D,D498+1))</f>
        <v/>
      </c>
      <c r="I498" t="str">
        <f>IF(E498="","",INDEX(Knutepunkter!$B:$B,E498+1))</f>
        <v/>
      </c>
      <c r="J498" t="str">
        <f>IF(E498="","",INDEX(Knutepunkter!$C:$C,E498+1))</f>
        <v/>
      </c>
      <c r="K498" t="str">
        <f>IF(E498="","",INDEX(Knutepunkter!$D:$D,E498+1))</f>
        <v/>
      </c>
      <c r="L498" t="str">
        <f t="shared" si="38"/>
        <v/>
      </c>
      <c r="M498" t="str">
        <f t="shared" si="39"/>
        <v/>
      </c>
    </row>
    <row r="499" spans="1:13" x14ac:dyDescent="0.3">
      <c r="A499" t="str">
        <f>Segmenter!A499</f>
        <v/>
      </c>
      <c r="B499" t="str">
        <f>Segmenter!B499</f>
        <v/>
      </c>
      <c r="C499" t="str">
        <f t="shared" si="35"/>
        <v/>
      </c>
      <c r="D499" t="str">
        <f t="shared" si="36"/>
        <v/>
      </c>
      <c r="E499" t="str">
        <f t="shared" si="37"/>
        <v/>
      </c>
      <c r="F499" t="str">
        <f>IF(D499="","",INDEX(Knutepunkter!$B:$B,D499+1))</f>
        <v/>
      </c>
      <c r="G499" t="str">
        <f>IF(D499="","",INDEX(Knutepunkter!$C:$C,D499+1))</f>
        <v/>
      </c>
      <c r="H499" t="str">
        <f>IF(D499="","",INDEX(Knutepunkter!$D:$D,D499+1))</f>
        <v/>
      </c>
      <c r="I499" t="str">
        <f>IF(E499="","",INDEX(Knutepunkter!$B:$B,E499+1))</f>
        <v/>
      </c>
      <c r="J499" t="str">
        <f>IF(E499="","",INDEX(Knutepunkter!$C:$C,E499+1))</f>
        <v/>
      </c>
      <c r="K499" t="str">
        <f>IF(E499="","",INDEX(Knutepunkter!$D:$D,E499+1))</f>
        <v/>
      </c>
      <c r="L499" t="str">
        <f t="shared" si="38"/>
        <v/>
      </c>
      <c r="M499" t="str">
        <f t="shared" si="39"/>
        <v/>
      </c>
    </row>
    <row r="500" spans="1:13" x14ac:dyDescent="0.3">
      <c r="A500" t="str">
        <f>Segmenter!A500</f>
        <v/>
      </c>
      <c r="B500" t="str">
        <f>Segmenter!B500</f>
        <v/>
      </c>
      <c r="C500" t="str">
        <f t="shared" si="35"/>
        <v/>
      </c>
      <c r="D500" t="str">
        <f t="shared" si="36"/>
        <v/>
      </c>
      <c r="E500" t="str">
        <f t="shared" si="37"/>
        <v/>
      </c>
      <c r="F500" t="str">
        <f>IF(D500="","",INDEX(Knutepunkter!$B:$B,D500+1))</f>
        <v/>
      </c>
      <c r="G500" t="str">
        <f>IF(D500="","",INDEX(Knutepunkter!$C:$C,D500+1))</f>
        <v/>
      </c>
      <c r="H500" t="str">
        <f>IF(D500="","",INDEX(Knutepunkter!$D:$D,D500+1))</f>
        <v/>
      </c>
      <c r="I500" t="str">
        <f>IF(E500="","",INDEX(Knutepunkter!$B:$B,E500+1))</f>
        <v/>
      </c>
      <c r="J500" t="str">
        <f>IF(E500="","",INDEX(Knutepunkter!$C:$C,E500+1))</f>
        <v/>
      </c>
      <c r="K500" t="str">
        <f>IF(E500="","",INDEX(Knutepunkter!$D:$D,E500+1))</f>
        <v/>
      </c>
      <c r="L500" t="str">
        <f t="shared" si="38"/>
        <v/>
      </c>
      <c r="M500" t="str">
        <f t="shared" si="39"/>
        <v/>
      </c>
    </row>
    <row r="501" spans="1:13" x14ac:dyDescent="0.3">
      <c r="A501" t="str">
        <f>Segmenter!A501</f>
        <v/>
      </c>
      <c r="B501" t="str">
        <f>Segmenter!B501</f>
        <v/>
      </c>
      <c r="C501" t="str">
        <f t="shared" si="35"/>
        <v/>
      </c>
      <c r="D501" t="str">
        <f t="shared" si="36"/>
        <v/>
      </c>
      <c r="E501" t="str">
        <f t="shared" si="37"/>
        <v/>
      </c>
      <c r="F501" t="str">
        <f>IF(D501="","",INDEX(Knutepunkter!$B:$B,D501+1))</f>
        <v/>
      </c>
      <c r="G501" t="str">
        <f>IF(D501="","",INDEX(Knutepunkter!$C:$C,D501+1))</f>
        <v/>
      </c>
      <c r="H501" t="str">
        <f>IF(D501="","",INDEX(Knutepunkter!$D:$D,D501+1))</f>
        <v/>
      </c>
      <c r="I501" t="str">
        <f>IF(E501="","",INDEX(Knutepunkter!$B:$B,E501+1))</f>
        <v/>
      </c>
      <c r="J501" t="str">
        <f>IF(E501="","",INDEX(Knutepunkter!$C:$C,E501+1))</f>
        <v/>
      </c>
      <c r="K501" t="str">
        <f>IF(E501="","",INDEX(Knutepunkter!$D:$D,E501+1))</f>
        <v/>
      </c>
      <c r="L501" t="str">
        <f t="shared" si="38"/>
        <v/>
      </c>
      <c r="M501" t="str">
        <f t="shared" si="39"/>
        <v/>
      </c>
    </row>
    <row r="502" spans="1:13" x14ac:dyDescent="0.3">
      <c r="A502" t="str">
        <f>Segmenter!A502</f>
        <v/>
      </c>
      <c r="B502" t="str">
        <f>Segmenter!B502</f>
        <v/>
      </c>
      <c r="C502" t="str">
        <f t="shared" si="35"/>
        <v/>
      </c>
      <c r="D502" t="str">
        <f t="shared" si="36"/>
        <v/>
      </c>
      <c r="E502" t="str">
        <f t="shared" si="37"/>
        <v/>
      </c>
      <c r="F502" t="str">
        <f>IF(D502="","",INDEX(Knutepunkter!$B:$B,D502+1))</f>
        <v/>
      </c>
      <c r="G502" t="str">
        <f>IF(D502="","",INDEX(Knutepunkter!$C:$C,D502+1))</f>
        <v/>
      </c>
      <c r="H502" t="str">
        <f>IF(D502="","",INDEX(Knutepunkter!$D:$D,D502+1))</f>
        <v/>
      </c>
      <c r="I502" t="str">
        <f>IF(E502="","",INDEX(Knutepunkter!$B:$B,E502+1))</f>
        <v/>
      </c>
      <c r="J502" t="str">
        <f>IF(E502="","",INDEX(Knutepunkter!$C:$C,E502+1))</f>
        <v/>
      </c>
      <c r="K502" t="str">
        <f>IF(E502="","",INDEX(Knutepunkter!$D:$D,E502+1))</f>
        <v/>
      </c>
      <c r="L502" t="str">
        <f t="shared" si="38"/>
        <v/>
      </c>
      <c r="M502" t="str">
        <f t="shared" si="39"/>
        <v/>
      </c>
    </row>
    <row r="503" spans="1:13" x14ac:dyDescent="0.3">
      <c r="A503" t="str">
        <f>Segmenter!A503</f>
        <v/>
      </c>
      <c r="B503" t="str">
        <f>Segmenter!B503</f>
        <v/>
      </c>
      <c r="C503" t="str">
        <f t="shared" si="35"/>
        <v/>
      </c>
      <c r="D503" t="str">
        <f t="shared" si="36"/>
        <v/>
      </c>
      <c r="E503" t="str">
        <f t="shared" si="37"/>
        <v/>
      </c>
      <c r="F503" t="str">
        <f>IF(D503="","",INDEX(Knutepunkter!$B:$B,D503+1))</f>
        <v/>
      </c>
      <c r="G503" t="str">
        <f>IF(D503="","",INDEX(Knutepunkter!$C:$C,D503+1))</f>
        <v/>
      </c>
      <c r="H503" t="str">
        <f>IF(D503="","",INDEX(Knutepunkter!$D:$D,D503+1))</f>
        <v/>
      </c>
      <c r="I503" t="str">
        <f>IF(E503="","",INDEX(Knutepunkter!$B:$B,E503+1))</f>
        <v/>
      </c>
      <c r="J503" t="str">
        <f>IF(E503="","",INDEX(Knutepunkter!$C:$C,E503+1))</f>
        <v/>
      </c>
      <c r="K503" t="str">
        <f>IF(E503="","",INDEX(Knutepunkter!$D:$D,E503+1))</f>
        <v/>
      </c>
      <c r="L503" t="str">
        <f t="shared" si="38"/>
        <v/>
      </c>
      <c r="M503" t="str">
        <f t="shared" si="39"/>
        <v/>
      </c>
    </row>
    <row r="504" spans="1:13" x14ac:dyDescent="0.3">
      <c r="A504" t="str">
        <f>Segmenter!A504</f>
        <v/>
      </c>
      <c r="B504" t="str">
        <f>Segmenter!B504</f>
        <v/>
      </c>
      <c r="C504" t="str">
        <f t="shared" si="35"/>
        <v/>
      </c>
      <c r="D504" t="str">
        <f t="shared" si="36"/>
        <v/>
      </c>
      <c r="E504" t="str">
        <f t="shared" si="37"/>
        <v/>
      </c>
      <c r="F504" t="str">
        <f>IF(D504="","",INDEX(Knutepunkter!$B:$B,D504+1))</f>
        <v/>
      </c>
      <c r="G504" t="str">
        <f>IF(D504="","",INDEX(Knutepunkter!$C:$C,D504+1))</f>
        <v/>
      </c>
      <c r="H504" t="str">
        <f>IF(D504="","",INDEX(Knutepunkter!$D:$D,D504+1))</f>
        <v/>
      </c>
      <c r="I504" t="str">
        <f>IF(E504="","",INDEX(Knutepunkter!$B:$B,E504+1))</f>
        <v/>
      </c>
      <c r="J504" t="str">
        <f>IF(E504="","",INDEX(Knutepunkter!$C:$C,E504+1))</f>
        <v/>
      </c>
      <c r="K504" t="str">
        <f>IF(E504="","",INDEX(Knutepunkter!$D:$D,E504+1))</f>
        <v/>
      </c>
      <c r="L504" t="str">
        <f t="shared" si="38"/>
        <v/>
      </c>
      <c r="M504" t="str">
        <f t="shared" si="39"/>
        <v/>
      </c>
    </row>
    <row r="505" spans="1:13" x14ac:dyDescent="0.3">
      <c r="A505" t="str">
        <f>Segmenter!A505</f>
        <v/>
      </c>
      <c r="B505" t="str">
        <f>Segmenter!B505</f>
        <v/>
      </c>
      <c r="C505" t="str">
        <f t="shared" si="35"/>
        <v/>
      </c>
      <c r="D505" t="str">
        <f t="shared" si="36"/>
        <v/>
      </c>
      <c r="E505" t="str">
        <f t="shared" si="37"/>
        <v/>
      </c>
      <c r="F505" t="str">
        <f>IF(D505="","",INDEX(Knutepunkter!$B:$B,D505+1))</f>
        <v/>
      </c>
      <c r="G505" t="str">
        <f>IF(D505="","",INDEX(Knutepunkter!$C:$C,D505+1))</f>
        <v/>
      </c>
      <c r="H505" t="str">
        <f>IF(D505="","",INDEX(Knutepunkter!$D:$D,D505+1))</f>
        <v/>
      </c>
      <c r="I505" t="str">
        <f>IF(E505="","",INDEX(Knutepunkter!$B:$B,E505+1))</f>
        <v/>
      </c>
      <c r="J505" t="str">
        <f>IF(E505="","",INDEX(Knutepunkter!$C:$C,E505+1))</f>
        <v/>
      </c>
      <c r="K505" t="str">
        <f>IF(E505="","",INDEX(Knutepunkter!$D:$D,E505+1))</f>
        <v/>
      </c>
      <c r="L505" t="str">
        <f t="shared" si="38"/>
        <v/>
      </c>
      <c r="M505" t="str">
        <f t="shared" si="39"/>
        <v/>
      </c>
    </row>
    <row r="506" spans="1:13" x14ac:dyDescent="0.3">
      <c r="A506" t="str">
        <f>Segmenter!A506</f>
        <v/>
      </c>
      <c r="B506" t="str">
        <f>Segmenter!B506</f>
        <v/>
      </c>
      <c r="C506" t="str">
        <f t="shared" si="35"/>
        <v/>
      </c>
      <c r="D506" t="str">
        <f t="shared" si="36"/>
        <v/>
      </c>
      <c r="E506" t="str">
        <f t="shared" si="37"/>
        <v/>
      </c>
      <c r="F506" t="str">
        <f>IF(D506="","",INDEX(Knutepunkter!$B:$B,D506+1))</f>
        <v/>
      </c>
      <c r="G506" t="str">
        <f>IF(D506="","",INDEX(Knutepunkter!$C:$C,D506+1))</f>
        <v/>
      </c>
      <c r="H506" t="str">
        <f>IF(D506="","",INDEX(Knutepunkter!$D:$D,D506+1))</f>
        <v/>
      </c>
      <c r="I506" t="str">
        <f>IF(E506="","",INDEX(Knutepunkter!$B:$B,E506+1))</f>
        <v/>
      </c>
      <c r="J506" t="str">
        <f>IF(E506="","",INDEX(Knutepunkter!$C:$C,E506+1))</f>
        <v/>
      </c>
      <c r="K506" t="str">
        <f>IF(E506="","",INDEX(Knutepunkter!$D:$D,E506+1))</f>
        <v/>
      </c>
      <c r="L506" t="str">
        <f t="shared" si="38"/>
        <v/>
      </c>
      <c r="M506" t="str">
        <f t="shared" si="39"/>
        <v/>
      </c>
    </row>
    <row r="507" spans="1:13" x14ac:dyDescent="0.3">
      <c r="A507" t="str">
        <f>Segmenter!A507</f>
        <v/>
      </c>
      <c r="B507" t="str">
        <f>Segmenter!B507</f>
        <v/>
      </c>
      <c r="C507" t="str">
        <f t="shared" si="35"/>
        <v/>
      </c>
      <c r="D507" t="str">
        <f t="shared" si="36"/>
        <v/>
      </c>
      <c r="E507" t="str">
        <f t="shared" si="37"/>
        <v/>
      </c>
      <c r="F507" t="str">
        <f>IF(D507="","",INDEX(Knutepunkter!$B:$B,D507+1))</f>
        <v/>
      </c>
      <c r="G507" t="str">
        <f>IF(D507="","",INDEX(Knutepunkter!$C:$C,D507+1))</f>
        <v/>
      </c>
      <c r="H507" t="str">
        <f>IF(D507="","",INDEX(Knutepunkter!$D:$D,D507+1))</f>
        <v/>
      </c>
      <c r="I507" t="str">
        <f>IF(E507="","",INDEX(Knutepunkter!$B:$B,E507+1))</f>
        <v/>
      </c>
      <c r="J507" t="str">
        <f>IF(E507="","",INDEX(Knutepunkter!$C:$C,E507+1))</f>
        <v/>
      </c>
      <c r="K507" t="str">
        <f>IF(E507="","",INDEX(Knutepunkter!$D:$D,E507+1))</f>
        <v/>
      </c>
      <c r="L507" t="str">
        <f t="shared" si="38"/>
        <v/>
      </c>
      <c r="M507" t="str">
        <f t="shared" si="39"/>
        <v/>
      </c>
    </row>
    <row r="508" spans="1:13" x14ac:dyDescent="0.3">
      <c r="A508" t="str">
        <f>Segmenter!A508</f>
        <v/>
      </c>
      <c r="B508" t="str">
        <f>Segmenter!B508</f>
        <v/>
      </c>
      <c r="C508" t="str">
        <f t="shared" si="35"/>
        <v/>
      </c>
      <c r="D508" t="str">
        <f t="shared" si="36"/>
        <v/>
      </c>
      <c r="E508" t="str">
        <f t="shared" si="37"/>
        <v/>
      </c>
      <c r="F508" t="str">
        <f>IF(D508="","",INDEX(Knutepunkter!$B:$B,D508+1))</f>
        <v/>
      </c>
      <c r="G508" t="str">
        <f>IF(D508="","",INDEX(Knutepunkter!$C:$C,D508+1))</f>
        <v/>
      </c>
      <c r="H508" t="str">
        <f>IF(D508="","",INDEX(Knutepunkter!$D:$D,D508+1))</f>
        <v/>
      </c>
      <c r="I508" t="str">
        <f>IF(E508="","",INDEX(Knutepunkter!$B:$B,E508+1))</f>
        <v/>
      </c>
      <c r="J508" t="str">
        <f>IF(E508="","",INDEX(Knutepunkter!$C:$C,E508+1))</f>
        <v/>
      </c>
      <c r="K508" t="str">
        <f>IF(E508="","",INDEX(Knutepunkter!$D:$D,E508+1))</f>
        <v/>
      </c>
      <c r="L508" t="str">
        <f t="shared" si="38"/>
        <v/>
      </c>
      <c r="M508" t="str">
        <f t="shared" si="39"/>
        <v/>
      </c>
    </row>
    <row r="509" spans="1:13" x14ac:dyDescent="0.3">
      <c r="A509" t="str">
        <f>Segmenter!A509</f>
        <v/>
      </c>
      <c r="B509" t="str">
        <f>Segmenter!B509</f>
        <v/>
      </c>
      <c r="C509" t="str">
        <f t="shared" si="35"/>
        <v/>
      </c>
      <c r="D509" t="str">
        <f t="shared" si="36"/>
        <v/>
      </c>
      <c r="E509" t="str">
        <f t="shared" si="37"/>
        <v/>
      </c>
      <c r="F509" t="str">
        <f>IF(D509="","",INDEX(Knutepunkter!$B:$B,D509+1))</f>
        <v/>
      </c>
      <c r="G509" t="str">
        <f>IF(D509="","",INDEX(Knutepunkter!$C:$C,D509+1))</f>
        <v/>
      </c>
      <c r="H509" t="str">
        <f>IF(D509="","",INDEX(Knutepunkter!$D:$D,D509+1))</f>
        <v/>
      </c>
      <c r="I509" t="str">
        <f>IF(E509="","",INDEX(Knutepunkter!$B:$B,E509+1))</f>
        <v/>
      </c>
      <c r="J509" t="str">
        <f>IF(E509="","",INDEX(Knutepunkter!$C:$C,E509+1))</f>
        <v/>
      </c>
      <c r="K509" t="str">
        <f>IF(E509="","",INDEX(Knutepunkter!$D:$D,E509+1))</f>
        <v/>
      </c>
      <c r="L509" t="str">
        <f t="shared" si="38"/>
        <v/>
      </c>
      <c r="M509" t="str">
        <f t="shared" si="39"/>
        <v/>
      </c>
    </row>
    <row r="510" spans="1:13" x14ac:dyDescent="0.3">
      <c r="A510" t="str">
        <f>Segmenter!A510</f>
        <v/>
      </c>
      <c r="B510" t="str">
        <f>Segmenter!B510</f>
        <v/>
      </c>
      <c r="C510" t="str">
        <f t="shared" si="35"/>
        <v/>
      </c>
      <c r="D510" t="str">
        <f t="shared" si="36"/>
        <v/>
      </c>
      <c r="E510" t="str">
        <f t="shared" si="37"/>
        <v/>
      </c>
      <c r="F510" t="str">
        <f>IF(D510="","",INDEX(Knutepunkter!$B:$B,D510+1))</f>
        <v/>
      </c>
      <c r="G510" t="str">
        <f>IF(D510="","",INDEX(Knutepunkter!$C:$C,D510+1))</f>
        <v/>
      </c>
      <c r="H510" t="str">
        <f>IF(D510="","",INDEX(Knutepunkter!$D:$D,D510+1))</f>
        <v/>
      </c>
      <c r="I510" t="str">
        <f>IF(E510="","",INDEX(Knutepunkter!$B:$B,E510+1))</f>
        <v/>
      </c>
      <c r="J510" t="str">
        <f>IF(E510="","",INDEX(Knutepunkter!$C:$C,E510+1))</f>
        <v/>
      </c>
      <c r="K510" t="str">
        <f>IF(E510="","",INDEX(Knutepunkter!$D:$D,E510+1))</f>
        <v/>
      </c>
      <c r="L510" t="str">
        <f t="shared" si="38"/>
        <v/>
      </c>
      <c r="M510" t="str">
        <f t="shared" si="39"/>
        <v/>
      </c>
    </row>
    <row r="511" spans="1:13" x14ac:dyDescent="0.3">
      <c r="A511" t="str">
        <f>Segmenter!A511</f>
        <v/>
      </c>
      <c r="B511" t="str">
        <f>Segmenter!B511</f>
        <v/>
      </c>
      <c r="C511" t="str">
        <f t="shared" si="35"/>
        <v/>
      </c>
      <c r="D511" t="str">
        <f t="shared" si="36"/>
        <v/>
      </c>
      <c r="E511" t="str">
        <f t="shared" si="37"/>
        <v/>
      </c>
      <c r="F511" t="str">
        <f>IF(D511="","",INDEX(Knutepunkter!$B:$B,D511+1))</f>
        <v/>
      </c>
      <c r="G511" t="str">
        <f>IF(D511="","",INDEX(Knutepunkter!$C:$C,D511+1))</f>
        <v/>
      </c>
      <c r="H511" t="str">
        <f>IF(D511="","",INDEX(Knutepunkter!$D:$D,D511+1))</f>
        <v/>
      </c>
      <c r="I511" t="str">
        <f>IF(E511="","",INDEX(Knutepunkter!$B:$B,E511+1))</f>
        <v/>
      </c>
      <c r="J511" t="str">
        <f>IF(E511="","",INDEX(Knutepunkter!$C:$C,E511+1))</f>
        <v/>
      </c>
      <c r="K511" t="str">
        <f>IF(E511="","",INDEX(Knutepunkter!$D:$D,E511+1))</f>
        <v/>
      </c>
      <c r="L511" t="str">
        <f t="shared" si="38"/>
        <v/>
      </c>
      <c r="M511" t="str">
        <f t="shared" si="39"/>
        <v/>
      </c>
    </row>
    <row r="512" spans="1:13" x14ac:dyDescent="0.3">
      <c r="A512" t="str">
        <f>Segmenter!A512</f>
        <v/>
      </c>
      <c r="B512" t="str">
        <f>Segmenter!B512</f>
        <v/>
      </c>
      <c r="C512" t="str">
        <f t="shared" si="35"/>
        <v/>
      </c>
      <c r="D512" t="str">
        <f t="shared" si="36"/>
        <v/>
      </c>
      <c r="E512" t="str">
        <f t="shared" si="37"/>
        <v/>
      </c>
      <c r="F512" t="str">
        <f>IF(D512="","",INDEX(Knutepunkter!$B:$B,D512+1))</f>
        <v/>
      </c>
      <c r="G512" t="str">
        <f>IF(D512="","",INDEX(Knutepunkter!$C:$C,D512+1))</f>
        <v/>
      </c>
      <c r="H512" t="str">
        <f>IF(D512="","",INDEX(Knutepunkter!$D:$D,D512+1))</f>
        <v/>
      </c>
      <c r="I512" t="str">
        <f>IF(E512="","",INDEX(Knutepunkter!$B:$B,E512+1))</f>
        <v/>
      </c>
      <c r="J512" t="str">
        <f>IF(E512="","",INDEX(Knutepunkter!$C:$C,E512+1))</f>
        <v/>
      </c>
      <c r="K512" t="str">
        <f>IF(E512="","",INDEX(Knutepunkter!$D:$D,E512+1))</f>
        <v/>
      </c>
      <c r="L512" t="str">
        <f t="shared" si="38"/>
        <v/>
      </c>
      <c r="M512" t="str">
        <f t="shared" si="39"/>
        <v/>
      </c>
    </row>
    <row r="513" spans="1:13" x14ac:dyDescent="0.3">
      <c r="A513" t="str">
        <f>Segmenter!A513</f>
        <v/>
      </c>
      <c r="B513" t="str">
        <f>Segmenter!B513</f>
        <v/>
      </c>
      <c r="C513" t="str">
        <f t="shared" si="35"/>
        <v/>
      </c>
      <c r="D513" t="str">
        <f t="shared" si="36"/>
        <v/>
      </c>
      <c r="E513" t="str">
        <f t="shared" si="37"/>
        <v/>
      </c>
      <c r="F513" t="str">
        <f>IF(D513="","",INDEX(Knutepunkter!$B:$B,D513+1))</f>
        <v/>
      </c>
      <c r="G513" t="str">
        <f>IF(D513="","",INDEX(Knutepunkter!$C:$C,D513+1))</f>
        <v/>
      </c>
      <c r="H513" t="str">
        <f>IF(D513="","",INDEX(Knutepunkter!$D:$D,D513+1))</f>
        <v/>
      </c>
      <c r="I513" t="str">
        <f>IF(E513="","",INDEX(Knutepunkter!$B:$B,E513+1))</f>
        <v/>
      </c>
      <c r="J513" t="str">
        <f>IF(E513="","",INDEX(Knutepunkter!$C:$C,E513+1))</f>
        <v/>
      </c>
      <c r="K513" t="str">
        <f>IF(E513="","",INDEX(Knutepunkter!$D:$D,E513+1))</f>
        <v/>
      </c>
      <c r="L513" t="str">
        <f t="shared" si="38"/>
        <v/>
      </c>
      <c r="M513" t="str">
        <f t="shared" si="39"/>
        <v/>
      </c>
    </row>
    <row r="514" spans="1:13" x14ac:dyDescent="0.3">
      <c r="A514" t="str">
        <f>Segmenter!A514</f>
        <v/>
      </c>
      <c r="B514" t="str">
        <f>Segmenter!B514</f>
        <v/>
      </c>
      <c r="C514" t="str">
        <f t="shared" ref="C514:C577" si="40">IF(B514="","",IF(AND(F514=I514,G514=J514,H514&lt;&gt;K514),"Søyle","Bjelke"))</f>
        <v/>
      </c>
      <c r="D514" t="str">
        <f t="shared" ref="D514:D577" si="41">IF(B514="","",VALUE(LEFT(B514,FIND(" -&gt; ",B514)-1)))</f>
        <v/>
      </c>
      <c r="E514" t="str">
        <f t="shared" ref="E514:E577" si="42">IF(B514="","",VALUE(MID(B514,FIND(" -&gt; ",B514)+4,99)))</f>
        <v/>
      </c>
      <c r="F514" t="str">
        <f>IF(D514="","",INDEX(Knutepunkter!$B:$B,D514+1))</f>
        <v/>
      </c>
      <c r="G514" t="str">
        <f>IF(D514="","",INDEX(Knutepunkter!$C:$C,D514+1))</f>
        <v/>
      </c>
      <c r="H514" t="str">
        <f>IF(D514="","",INDEX(Knutepunkter!$D:$D,D514+1))</f>
        <v/>
      </c>
      <c r="I514" t="str">
        <f>IF(E514="","",INDEX(Knutepunkter!$B:$B,E514+1))</f>
        <v/>
      </c>
      <c r="J514" t="str">
        <f>IF(E514="","",INDEX(Knutepunkter!$C:$C,E514+1))</f>
        <v/>
      </c>
      <c r="K514" t="str">
        <f>IF(E514="","",INDEX(Knutepunkter!$D:$D,E514+1))</f>
        <v/>
      </c>
      <c r="L514" t="str">
        <f t="shared" ref="L514:L577" si="43">IF(B514="","",SQRT((I514-F514)^2+(J514-G514)^2+(K514-H514)^2))</f>
        <v/>
      </c>
      <c r="M514" t="str">
        <f t="shared" ref="M514:M577" si="44">IF(L514="","",L514/1000)</f>
        <v/>
      </c>
    </row>
    <row r="515" spans="1:13" x14ac:dyDescent="0.3">
      <c r="A515" t="str">
        <f>Segmenter!A515</f>
        <v/>
      </c>
      <c r="B515" t="str">
        <f>Segmenter!B515</f>
        <v/>
      </c>
      <c r="C515" t="str">
        <f t="shared" si="40"/>
        <v/>
      </c>
      <c r="D515" t="str">
        <f t="shared" si="41"/>
        <v/>
      </c>
      <c r="E515" t="str">
        <f t="shared" si="42"/>
        <v/>
      </c>
      <c r="F515" t="str">
        <f>IF(D515="","",INDEX(Knutepunkter!$B:$B,D515+1))</f>
        <v/>
      </c>
      <c r="G515" t="str">
        <f>IF(D515="","",INDEX(Knutepunkter!$C:$C,D515+1))</f>
        <v/>
      </c>
      <c r="H515" t="str">
        <f>IF(D515="","",INDEX(Knutepunkter!$D:$D,D515+1))</f>
        <v/>
      </c>
      <c r="I515" t="str">
        <f>IF(E515="","",INDEX(Knutepunkter!$B:$B,E515+1))</f>
        <v/>
      </c>
      <c r="J515" t="str">
        <f>IF(E515="","",INDEX(Knutepunkter!$C:$C,E515+1))</f>
        <v/>
      </c>
      <c r="K515" t="str">
        <f>IF(E515="","",INDEX(Knutepunkter!$D:$D,E515+1))</f>
        <v/>
      </c>
      <c r="L515" t="str">
        <f t="shared" si="43"/>
        <v/>
      </c>
      <c r="M515" t="str">
        <f t="shared" si="44"/>
        <v/>
      </c>
    </row>
    <row r="516" spans="1:13" x14ac:dyDescent="0.3">
      <c r="A516" t="str">
        <f>Segmenter!A516</f>
        <v/>
      </c>
      <c r="B516" t="str">
        <f>Segmenter!B516</f>
        <v/>
      </c>
      <c r="C516" t="str">
        <f t="shared" si="40"/>
        <v/>
      </c>
      <c r="D516" t="str">
        <f t="shared" si="41"/>
        <v/>
      </c>
      <c r="E516" t="str">
        <f t="shared" si="42"/>
        <v/>
      </c>
      <c r="F516" t="str">
        <f>IF(D516="","",INDEX(Knutepunkter!$B:$B,D516+1))</f>
        <v/>
      </c>
      <c r="G516" t="str">
        <f>IF(D516="","",INDEX(Knutepunkter!$C:$C,D516+1))</f>
        <v/>
      </c>
      <c r="H516" t="str">
        <f>IF(D516="","",INDEX(Knutepunkter!$D:$D,D516+1))</f>
        <v/>
      </c>
      <c r="I516" t="str">
        <f>IF(E516="","",INDEX(Knutepunkter!$B:$B,E516+1))</f>
        <v/>
      </c>
      <c r="J516" t="str">
        <f>IF(E516="","",INDEX(Knutepunkter!$C:$C,E516+1))</f>
        <v/>
      </c>
      <c r="K516" t="str">
        <f>IF(E516="","",INDEX(Knutepunkter!$D:$D,E516+1))</f>
        <v/>
      </c>
      <c r="L516" t="str">
        <f t="shared" si="43"/>
        <v/>
      </c>
      <c r="M516" t="str">
        <f t="shared" si="44"/>
        <v/>
      </c>
    </row>
    <row r="517" spans="1:13" x14ac:dyDescent="0.3">
      <c r="A517" t="str">
        <f>Segmenter!A517</f>
        <v/>
      </c>
      <c r="B517" t="str">
        <f>Segmenter!B517</f>
        <v/>
      </c>
      <c r="C517" t="str">
        <f t="shared" si="40"/>
        <v/>
      </c>
      <c r="D517" t="str">
        <f t="shared" si="41"/>
        <v/>
      </c>
      <c r="E517" t="str">
        <f t="shared" si="42"/>
        <v/>
      </c>
      <c r="F517" t="str">
        <f>IF(D517="","",INDEX(Knutepunkter!$B:$B,D517+1))</f>
        <v/>
      </c>
      <c r="G517" t="str">
        <f>IF(D517="","",INDEX(Knutepunkter!$C:$C,D517+1))</f>
        <v/>
      </c>
      <c r="H517" t="str">
        <f>IF(D517="","",INDEX(Knutepunkter!$D:$D,D517+1))</f>
        <v/>
      </c>
      <c r="I517" t="str">
        <f>IF(E517="","",INDEX(Knutepunkter!$B:$B,E517+1))</f>
        <v/>
      </c>
      <c r="J517" t="str">
        <f>IF(E517="","",INDEX(Knutepunkter!$C:$C,E517+1))</f>
        <v/>
      </c>
      <c r="K517" t="str">
        <f>IF(E517="","",INDEX(Knutepunkter!$D:$D,E517+1))</f>
        <v/>
      </c>
      <c r="L517" t="str">
        <f t="shared" si="43"/>
        <v/>
      </c>
      <c r="M517" t="str">
        <f t="shared" si="44"/>
        <v/>
      </c>
    </row>
    <row r="518" spans="1:13" x14ac:dyDescent="0.3">
      <c r="A518" t="str">
        <f>Segmenter!A518</f>
        <v/>
      </c>
      <c r="B518" t="str">
        <f>Segmenter!B518</f>
        <v/>
      </c>
      <c r="C518" t="str">
        <f t="shared" si="40"/>
        <v/>
      </c>
      <c r="D518" t="str">
        <f t="shared" si="41"/>
        <v/>
      </c>
      <c r="E518" t="str">
        <f t="shared" si="42"/>
        <v/>
      </c>
      <c r="F518" t="str">
        <f>IF(D518="","",INDEX(Knutepunkter!$B:$B,D518+1))</f>
        <v/>
      </c>
      <c r="G518" t="str">
        <f>IF(D518="","",INDEX(Knutepunkter!$C:$C,D518+1))</f>
        <v/>
      </c>
      <c r="H518" t="str">
        <f>IF(D518="","",INDEX(Knutepunkter!$D:$D,D518+1))</f>
        <v/>
      </c>
      <c r="I518" t="str">
        <f>IF(E518="","",INDEX(Knutepunkter!$B:$B,E518+1))</f>
        <v/>
      </c>
      <c r="J518" t="str">
        <f>IF(E518="","",INDEX(Knutepunkter!$C:$C,E518+1))</f>
        <v/>
      </c>
      <c r="K518" t="str">
        <f>IF(E518="","",INDEX(Knutepunkter!$D:$D,E518+1))</f>
        <v/>
      </c>
      <c r="L518" t="str">
        <f t="shared" si="43"/>
        <v/>
      </c>
      <c r="M518" t="str">
        <f t="shared" si="44"/>
        <v/>
      </c>
    </row>
    <row r="519" spans="1:13" x14ac:dyDescent="0.3">
      <c r="A519" t="str">
        <f>Segmenter!A519</f>
        <v/>
      </c>
      <c r="B519" t="str">
        <f>Segmenter!B519</f>
        <v/>
      </c>
      <c r="C519" t="str">
        <f t="shared" si="40"/>
        <v/>
      </c>
      <c r="D519" t="str">
        <f t="shared" si="41"/>
        <v/>
      </c>
      <c r="E519" t="str">
        <f t="shared" si="42"/>
        <v/>
      </c>
      <c r="F519" t="str">
        <f>IF(D519="","",INDEX(Knutepunkter!$B:$B,D519+1))</f>
        <v/>
      </c>
      <c r="G519" t="str">
        <f>IF(D519="","",INDEX(Knutepunkter!$C:$C,D519+1))</f>
        <v/>
      </c>
      <c r="H519" t="str">
        <f>IF(D519="","",INDEX(Knutepunkter!$D:$D,D519+1))</f>
        <v/>
      </c>
      <c r="I519" t="str">
        <f>IF(E519="","",INDEX(Knutepunkter!$B:$B,E519+1))</f>
        <v/>
      </c>
      <c r="J519" t="str">
        <f>IF(E519="","",INDEX(Knutepunkter!$C:$C,E519+1))</f>
        <v/>
      </c>
      <c r="K519" t="str">
        <f>IF(E519="","",INDEX(Knutepunkter!$D:$D,E519+1))</f>
        <v/>
      </c>
      <c r="L519" t="str">
        <f t="shared" si="43"/>
        <v/>
      </c>
      <c r="M519" t="str">
        <f t="shared" si="44"/>
        <v/>
      </c>
    </row>
    <row r="520" spans="1:13" x14ac:dyDescent="0.3">
      <c r="A520" t="str">
        <f>Segmenter!A520</f>
        <v/>
      </c>
      <c r="B520" t="str">
        <f>Segmenter!B520</f>
        <v/>
      </c>
      <c r="C520" t="str">
        <f t="shared" si="40"/>
        <v/>
      </c>
      <c r="D520" t="str">
        <f t="shared" si="41"/>
        <v/>
      </c>
      <c r="E520" t="str">
        <f t="shared" si="42"/>
        <v/>
      </c>
      <c r="F520" t="str">
        <f>IF(D520="","",INDEX(Knutepunkter!$B:$B,D520+1))</f>
        <v/>
      </c>
      <c r="G520" t="str">
        <f>IF(D520="","",INDEX(Knutepunkter!$C:$C,D520+1))</f>
        <v/>
      </c>
      <c r="H520" t="str">
        <f>IF(D520="","",INDEX(Knutepunkter!$D:$D,D520+1))</f>
        <v/>
      </c>
      <c r="I520" t="str">
        <f>IF(E520="","",INDEX(Knutepunkter!$B:$B,E520+1))</f>
        <v/>
      </c>
      <c r="J520" t="str">
        <f>IF(E520="","",INDEX(Knutepunkter!$C:$C,E520+1))</f>
        <v/>
      </c>
      <c r="K520" t="str">
        <f>IF(E520="","",INDEX(Knutepunkter!$D:$D,E520+1))</f>
        <v/>
      </c>
      <c r="L520" t="str">
        <f t="shared" si="43"/>
        <v/>
      </c>
      <c r="M520" t="str">
        <f t="shared" si="44"/>
        <v/>
      </c>
    </row>
    <row r="521" spans="1:13" x14ac:dyDescent="0.3">
      <c r="A521" t="str">
        <f>Segmenter!A521</f>
        <v/>
      </c>
      <c r="B521" t="str">
        <f>Segmenter!B521</f>
        <v/>
      </c>
      <c r="C521" t="str">
        <f t="shared" si="40"/>
        <v/>
      </c>
      <c r="D521" t="str">
        <f t="shared" si="41"/>
        <v/>
      </c>
      <c r="E521" t="str">
        <f t="shared" si="42"/>
        <v/>
      </c>
      <c r="F521" t="str">
        <f>IF(D521="","",INDEX(Knutepunkter!$B:$B,D521+1))</f>
        <v/>
      </c>
      <c r="G521" t="str">
        <f>IF(D521="","",INDEX(Knutepunkter!$C:$C,D521+1))</f>
        <v/>
      </c>
      <c r="H521" t="str">
        <f>IF(D521="","",INDEX(Knutepunkter!$D:$D,D521+1))</f>
        <v/>
      </c>
      <c r="I521" t="str">
        <f>IF(E521="","",INDEX(Knutepunkter!$B:$B,E521+1))</f>
        <v/>
      </c>
      <c r="J521" t="str">
        <f>IF(E521="","",INDEX(Knutepunkter!$C:$C,E521+1))</f>
        <v/>
      </c>
      <c r="K521" t="str">
        <f>IF(E521="","",INDEX(Knutepunkter!$D:$D,E521+1))</f>
        <v/>
      </c>
      <c r="L521" t="str">
        <f t="shared" si="43"/>
        <v/>
      </c>
      <c r="M521" t="str">
        <f t="shared" si="44"/>
        <v/>
      </c>
    </row>
    <row r="522" spans="1:13" x14ac:dyDescent="0.3">
      <c r="A522" t="str">
        <f>Segmenter!A522</f>
        <v/>
      </c>
      <c r="B522" t="str">
        <f>Segmenter!B522</f>
        <v/>
      </c>
      <c r="C522" t="str">
        <f t="shared" si="40"/>
        <v/>
      </c>
      <c r="D522" t="str">
        <f t="shared" si="41"/>
        <v/>
      </c>
      <c r="E522" t="str">
        <f t="shared" si="42"/>
        <v/>
      </c>
      <c r="F522" t="str">
        <f>IF(D522="","",INDEX(Knutepunkter!$B:$B,D522+1))</f>
        <v/>
      </c>
      <c r="G522" t="str">
        <f>IF(D522="","",INDEX(Knutepunkter!$C:$C,D522+1))</f>
        <v/>
      </c>
      <c r="H522" t="str">
        <f>IF(D522="","",INDEX(Knutepunkter!$D:$D,D522+1))</f>
        <v/>
      </c>
      <c r="I522" t="str">
        <f>IF(E522="","",INDEX(Knutepunkter!$B:$B,E522+1))</f>
        <v/>
      </c>
      <c r="J522" t="str">
        <f>IF(E522="","",INDEX(Knutepunkter!$C:$C,E522+1))</f>
        <v/>
      </c>
      <c r="K522" t="str">
        <f>IF(E522="","",INDEX(Knutepunkter!$D:$D,E522+1))</f>
        <v/>
      </c>
      <c r="L522" t="str">
        <f t="shared" si="43"/>
        <v/>
      </c>
      <c r="M522" t="str">
        <f t="shared" si="44"/>
        <v/>
      </c>
    </row>
    <row r="523" spans="1:13" x14ac:dyDescent="0.3">
      <c r="A523" t="str">
        <f>Segmenter!A523</f>
        <v/>
      </c>
      <c r="B523" t="str">
        <f>Segmenter!B523</f>
        <v/>
      </c>
      <c r="C523" t="str">
        <f t="shared" si="40"/>
        <v/>
      </c>
      <c r="D523" t="str">
        <f t="shared" si="41"/>
        <v/>
      </c>
      <c r="E523" t="str">
        <f t="shared" si="42"/>
        <v/>
      </c>
      <c r="F523" t="str">
        <f>IF(D523="","",INDEX(Knutepunkter!$B:$B,D523+1))</f>
        <v/>
      </c>
      <c r="G523" t="str">
        <f>IF(D523="","",INDEX(Knutepunkter!$C:$C,D523+1))</f>
        <v/>
      </c>
      <c r="H523" t="str">
        <f>IF(D523="","",INDEX(Knutepunkter!$D:$D,D523+1))</f>
        <v/>
      </c>
      <c r="I523" t="str">
        <f>IF(E523="","",INDEX(Knutepunkter!$B:$B,E523+1))</f>
        <v/>
      </c>
      <c r="J523" t="str">
        <f>IF(E523="","",INDEX(Knutepunkter!$C:$C,E523+1))</f>
        <v/>
      </c>
      <c r="K523" t="str">
        <f>IF(E523="","",INDEX(Knutepunkter!$D:$D,E523+1))</f>
        <v/>
      </c>
      <c r="L523" t="str">
        <f t="shared" si="43"/>
        <v/>
      </c>
      <c r="M523" t="str">
        <f t="shared" si="44"/>
        <v/>
      </c>
    </row>
    <row r="524" spans="1:13" x14ac:dyDescent="0.3">
      <c r="A524" t="str">
        <f>Segmenter!A524</f>
        <v/>
      </c>
      <c r="B524" t="str">
        <f>Segmenter!B524</f>
        <v/>
      </c>
      <c r="C524" t="str">
        <f t="shared" si="40"/>
        <v/>
      </c>
      <c r="D524" t="str">
        <f t="shared" si="41"/>
        <v/>
      </c>
      <c r="E524" t="str">
        <f t="shared" si="42"/>
        <v/>
      </c>
      <c r="F524" t="str">
        <f>IF(D524="","",INDEX(Knutepunkter!$B:$B,D524+1))</f>
        <v/>
      </c>
      <c r="G524" t="str">
        <f>IF(D524="","",INDEX(Knutepunkter!$C:$C,D524+1))</f>
        <v/>
      </c>
      <c r="H524" t="str">
        <f>IF(D524="","",INDEX(Knutepunkter!$D:$D,D524+1))</f>
        <v/>
      </c>
      <c r="I524" t="str">
        <f>IF(E524="","",INDEX(Knutepunkter!$B:$B,E524+1))</f>
        <v/>
      </c>
      <c r="J524" t="str">
        <f>IF(E524="","",INDEX(Knutepunkter!$C:$C,E524+1))</f>
        <v/>
      </c>
      <c r="K524" t="str">
        <f>IF(E524="","",INDEX(Knutepunkter!$D:$D,E524+1))</f>
        <v/>
      </c>
      <c r="L524" t="str">
        <f t="shared" si="43"/>
        <v/>
      </c>
      <c r="M524" t="str">
        <f t="shared" si="44"/>
        <v/>
      </c>
    </row>
    <row r="525" spans="1:13" x14ac:dyDescent="0.3">
      <c r="A525" t="str">
        <f>Segmenter!A525</f>
        <v/>
      </c>
      <c r="B525" t="str">
        <f>Segmenter!B525</f>
        <v/>
      </c>
      <c r="C525" t="str">
        <f t="shared" si="40"/>
        <v/>
      </c>
      <c r="D525" t="str">
        <f t="shared" si="41"/>
        <v/>
      </c>
      <c r="E525" t="str">
        <f t="shared" si="42"/>
        <v/>
      </c>
      <c r="F525" t="str">
        <f>IF(D525="","",INDEX(Knutepunkter!$B:$B,D525+1))</f>
        <v/>
      </c>
      <c r="G525" t="str">
        <f>IF(D525="","",INDEX(Knutepunkter!$C:$C,D525+1))</f>
        <v/>
      </c>
      <c r="H525" t="str">
        <f>IF(D525="","",INDEX(Knutepunkter!$D:$D,D525+1))</f>
        <v/>
      </c>
      <c r="I525" t="str">
        <f>IF(E525="","",INDEX(Knutepunkter!$B:$B,E525+1))</f>
        <v/>
      </c>
      <c r="J525" t="str">
        <f>IF(E525="","",INDEX(Knutepunkter!$C:$C,E525+1))</f>
        <v/>
      </c>
      <c r="K525" t="str">
        <f>IF(E525="","",INDEX(Knutepunkter!$D:$D,E525+1))</f>
        <v/>
      </c>
      <c r="L525" t="str">
        <f t="shared" si="43"/>
        <v/>
      </c>
      <c r="M525" t="str">
        <f t="shared" si="44"/>
        <v/>
      </c>
    </row>
    <row r="526" spans="1:13" x14ac:dyDescent="0.3">
      <c r="A526" t="str">
        <f>Segmenter!A526</f>
        <v/>
      </c>
      <c r="B526" t="str">
        <f>Segmenter!B526</f>
        <v/>
      </c>
      <c r="C526" t="str">
        <f t="shared" si="40"/>
        <v/>
      </c>
      <c r="D526" t="str">
        <f t="shared" si="41"/>
        <v/>
      </c>
      <c r="E526" t="str">
        <f t="shared" si="42"/>
        <v/>
      </c>
      <c r="F526" t="str">
        <f>IF(D526="","",INDEX(Knutepunkter!$B:$B,D526+1))</f>
        <v/>
      </c>
      <c r="G526" t="str">
        <f>IF(D526="","",INDEX(Knutepunkter!$C:$C,D526+1))</f>
        <v/>
      </c>
      <c r="H526" t="str">
        <f>IF(D526="","",INDEX(Knutepunkter!$D:$D,D526+1))</f>
        <v/>
      </c>
      <c r="I526" t="str">
        <f>IF(E526="","",INDEX(Knutepunkter!$B:$B,E526+1))</f>
        <v/>
      </c>
      <c r="J526" t="str">
        <f>IF(E526="","",INDEX(Knutepunkter!$C:$C,E526+1))</f>
        <v/>
      </c>
      <c r="K526" t="str">
        <f>IF(E526="","",INDEX(Knutepunkter!$D:$D,E526+1))</f>
        <v/>
      </c>
      <c r="L526" t="str">
        <f t="shared" si="43"/>
        <v/>
      </c>
      <c r="M526" t="str">
        <f t="shared" si="44"/>
        <v/>
      </c>
    </row>
    <row r="527" spans="1:13" x14ac:dyDescent="0.3">
      <c r="A527" t="str">
        <f>Segmenter!A527</f>
        <v/>
      </c>
      <c r="B527" t="str">
        <f>Segmenter!B527</f>
        <v/>
      </c>
      <c r="C527" t="str">
        <f t="shared" si="40"/>
        <v/>
      </c>
      <c r="D527" t="str">
        <f t="shared" si="41"/>
        <v/>
      </c>
      <c r="E527" t="str">
        <f t="shared" si="42"/>
        <v/>
      </c>
      <c r="F527" t="str">
        <f>IF(D527="","",INDEX(Knutepunkter!$B:$B,D527+1))</f>
        <v/>
      </c>
      <c r="G527" t="str">
        <f>IF(D527="","",INDEX(Knutepunkter!$C:$C,D527+1))</f>
        <v/>
      </c>
      <c r="H527" t="str">
        <f>IF(D527="","",INDEX(Knutepunkter!$D:$D,D527+1))</f>
        <v/>
      </c>
      <c r="I527" t="str">
        <f>IF(E527="","",INDEX(Knutepunkter!$B:$B,E527+1))</f>
        <v/>
      </c>
      <c r="J527" t="str">
        <f>IF(E527="","",INDEX(Knutepunkter!$C:$C,E527+1))</f>
        <v/>
      </c>
      <c r="K527" t="str">
        <f>IF(E527="","",INDEX(Knutepunkter!$D:$D,E527+1))</f>
        <v/>
      </c>
      <c r="L527" t="str">
        <f t="shared" si="43"/>
        <v/>
      </c>
      <c r="M527" t="str">
        <f t="shared" si="44"/>
        <v/>
      </c>
    </row>
    <row r="528" spans="1:13" x14ac:dyDescent="0.3">
      <c r="A528" t="str">
        <f>Segmenter!A528</f>
        <v/>
      </c>
      <c r="B528" t="str">
        <f>Segmenter!B528</f>
        <v/>
      </c>
      <c r="C528" t="str">
        <f t="shared" si="40"/>
        <v/>
      </c>
      <c r="D528" t="str">
        <f t="shared" si="41"/>
        <v/>
      </c>
      <c r="E528" t="str">
        <f t="shared" si="42"/>
        <v/>
      </c>
      <c r="F528" t="str">
        <f>IF(D528="","",INDEX(Knutepunkter!$B:$B,D528+1))</f>
        <v/>
      </c>
      <c r="G528" t="str">
        <f>IF(D528="","",INDEX(Knutepunkter!$C:$C,D528+1))</f>
        <v/>
      </c>
      <c r="H528" t="str">
        <f>IF(D528="","",INDEX(Knutepunkter!$D:$D,D528+1))</f>
        <v/>
      </c>
      <c r="I528" t="str">
        <f>IF(E528="","",INDEX(Knutepunkter!$B:$B,E528+1))</f>
        <v/>
      </c>
      <c r="J528" t="str">
        <f>IF(E528="","",INDEX(Knutepunkter!$C:$C,E528+1))</f>
        <v/>
      </c>
      <c r="K528" t="str">
        <f>IF(E528="","",INDEX(Knutepunkter!$D:$D,E528+1))</f>
        <v/>
      </c>
      <c r="L528" t="str">
        <f t="shared" si="43"/>
        <v/>
      </c>
      <c r="M528" t="str">
        <f t="shared" si="44"/>
        <v/>
      </c>
    </row>
    <row r="529" spans="1:13" x14ac:dyDescent="0.3">
      <c r="A529" t="str">
        <f>Segmenter!A529</f>
        <v/>
      </c>
      <c r="B529" t="str">
        <f>Segmenter!B529</f>
        <v/>
      </c>
      <c r="C529" t="str">
        <f t="shared" si="40"/>
        <v/>
      </c>
      <c r="D529" t="str">
        <f t="shared" si="41"/>
        <v/>
      </c>
      <c r="E529" t="str">
        <f t="shared" si="42"/>
        <v/>
      </c>
      <c r="F529" t="str">
        <f>IF(D529="","",INDEX(Knutepunkter!$B:$B,D529+1))</f>
        <v/>
      </c>
      <c r="G529" t="str">
        <f>IF(D529="","",INDEX(Knutepunkter!$C:$C,D529+1))</f>
        <v/>
      </c>
      <c r="H529" t="str">
        <f>IF(D529="","",INDEX(Knutepunkter!$D:$D,D529+1))</f>
        <v/>
      </c>
      <c r="I529" t="str">
        <f>IF(E529="","",INDEX(Knutepunkter!$B:$B,E529+1))</f>
        <v/>
      </c>
      <c r="J529" t="str">
        <f>IF(E529="","",INDEX(Knutepunkter!$C:$C,E529+1))</f>
        <v/>
      </c>
      <c r="K529" t="str">
        <f>IF(E529="","",INDEX(Knutepunkter!$D:$D,E529+1))</f>
        <v/>
      </c>
      <c r="L529" t="str">
        <f t="shared" si="43"/>
        <v/>
      </c>
      <c r="M529" t="str">
        <f t="shared" si="44"/>
        <v/>
      </c>
    </row>
    <row r="530" spans="1:13" x14ac:dyDescent="0.3">
      <c r="A530" t="str">
        <f>Segmenter!A530</f>
        <v/>
      </c>
      <c r="B530" t="str">
        <f>Segmenter!B530</f>
        <v/>
      </c>
      <c r="C530" t="str">
        <f t="shared" si="40"/>
        <v/>
      </c>
      <c r="D530" t="str">
        <f t="shared" si="41"/>
        <v/>
      </c>
      <c r="E530" t="str">
        <f t="shared" si="42"/>
        <v/>
      </c>
      <c r="F530" t="str">
        <f>IF(D530="","",INDEX(Knutepunkter!$B:$B,D530+1))</f>
        <v/>
      </c>
      <c r="G530" t="str">
        <f>IF(D530="","",INDEX(Knutepunkter!$C:$C,D530+1))</f>
        <v/>
      </c>
      <c r="H530" t="str">
        <f>IF(D530="","",INDEX(Knutepunkter!$D:$D,D530+1))</f>
        <v/>
      </c>
      <c r="I530" t="str">
        <f>IF(E530="","",INDEX(Knutepunkter!$B:$B,E530+1))</f>
        <v/>
      </c>
      <c r="J530" t="str">
        <f>IF(E530="","",INDEX(Knutepunkter!$C:$C,E530+1))</f>
        <v/>
      </c>
      <c r="K530" t="str">
        <f>IF(E530="","",INDEX(Knutepunkter!$D:$D,E530+1))</f>
        <v/>
      </c>
      <c r="L530" t="str">
        <f t="shared" si="43"/>
        <v/>
      </c>
      <c r="M530" t="str">
        <f t="shared" si="44"/>
        <v/>
      </c>
    </row>
    <row r="531" spans="1:13" x14ac:dyDescent="0.3">
      <c r="A531" t="str">
        <f>Segmenter!A531</f>
        <v/>
      </c>
      <c r="B531" t="str">
        <f>Segmenter!B531</f>
        <v/>
      </c>
      <c r="C531" t="str">
        <f t="shared" si="40"/>
        <v/>
      </c>
      <c r="D531" t="str">
        <f t="shared" si="41"/>
        <v/>
      </c>
      <c r="E531" t="str">
        <f t="shared" si="42"/>
        <v/>
      </c>
      <c r="F531" t="str">
        <f>IF(D531="","",INDEX(Knutepunkter!$B:$B,D531+1))</f>
        <v/>
      </c>
      <c r="G531" t="str">
        <f>IF(D531="","",INDEX(Knutepunkter!$C:$C,D531+1))</f>
        <v/>
      </c>
      <c r="H531" t="str">
        <f>IF(D531="","",INDEX(Knutepunkter!$D:$D,D531+1))</f>
        <v/>
      </c>
      <c r="I531" t="str">
        <f>IF(E531="","",INDEX(Knutepunkter!$B:$B,E531+1))</f>
        <v/>
      </c>
      <c r="J531" t="str">
        <f>IF(E531="","",INDEX(Knutepunkter!$C:$C,E531+1))</f>
        <v/>
      </c>
      <c r="K531" t="str">
        <f>IF(E531="","",INDEX(Knutepunkter!$D:$D,E531+1))</f>
        <v/>
      </c>
      <c r="L531" t="str">
        <f t="shared" si="43"/>
        <v/>
      </c>
      <c r="M531" t="str">
        <f t="shared" si="44"/>
        <v/>
      </c>
    </row>
    <row r="532" spans="1:13" x14ac:dyDescent="0.3">
      <c r="A532" t="str">
        <f>Segmenter!A532</f>
        <v/>
      </c>
      <c r="B532" t="str">
        <f>Segmenter!B532</f>
        <v/>
      </c>
      <c r="C532" t="str">
        <f t="shared" si="40"/>
        <v/>
      </c>
      <c r="D532" t="str">
        <f t="shared" si="41"/>
        <v/>
      </c>
      <c r="E532" t="str">
        <f t="shared" si="42"/>
        <v/>
      </c>
      <c r="F532" t="str">
        <f>IF(D532="","",INDEX(Knutepunkter!$B:$B,D532+1))</f>
        <v/>
      </c>
      <c r="G532" t="str">
        <f>IF(D532="","",INDEX(Knutepunkter!$C:$C,D532+1))</f>
        <v/>
      </c>
      <c r="H532" t="str">
        <f>IF(D532="","",INDEX(Knutepunkter!$D:$D,D532+1))</f>
        <v/>
      </c>
      <c r="I532" t="str">
        <f>IF(E532="","",INDEX(Knutepunkter!$B:$B,E532+1))</f>
        <v/>
      </c>
      <c r="J532" t="str">
        <f>IF(E532="","",INDEX(Knutepunkter!$C:$C,E532+1))</f>
        <v/>
      </c>
      <c r="K532" t="str">
        <f>IF(E532="","",INDEX(Knutepunkter!$D:$D,E532+1))</f>
        <v/>
      </c>
      <c r="L532" t="str">
        <f t="shared" si="43"/>
        <v/>
      </c>
      <c r="M532" t="str">
        <f t="shared" si="44"/>
        <v/>
      </c>
    </row>
    <row r="533" spans="1:13" x14ac:dyDescent="0.3">
      <c r="A533" t="str">
        <f>Segmenter!A533</f>
        <v/>
      </c>
      <c r="B533" t="str">
        <f>Segmenter!B533</f>
        <v/>
      </c>
      <c r="C533" t="str">
        <f t="shared" si="40"/>
        <v/>
      </c>
      <c r="D533" t="str">
        <f t="shared" si="41"/>
        <v/>
      </c>
      <c r="E533" t="str">
        <f t="shared" si="42"/>
        <v/>
      </c>
      <c r="F533" t="str">
        <f>IF(D533="","",INDEX(Knutepunkter!$B:$B,D533+1))</f>
        <v/>
      </c>
      <c r="G533" t="str">
        <f>IF(D533="","",INDEX(Knutepunkter!$C:$C,D533+1))</f>
        <v/>
      </c>
      <c r="H533" t="str">
        <f>IF(D533="","",INDEX(Knutepunkter!$D:$D,D533+1))</f>
        <v/>
      </c>
      <c r="I533" t="str">
        <f>IF(E533="","",INDEX(Knutepunkter!$B:$B,E533+1))</f>
        <v/>
      </c>
      <c r="J533" t="str">
        <f>IF(E533="","",INDEX(Knutepunkter!$C:$C,E533+1))</f>
        <v/>
      </c>
      <c r="K533" t="str">
        <f>IF(E533="","",INDEX(Knutepunkter!$D:$D,E533+1))</f>
        <v/>
      </c>
      <c r="L533" t="str">
        <f t="shared" si="43"/>
        <v/>
      </c>
      <c r="M533" t="str">
        <f t="shared" si="44"/>
        <v/>
      </c>
    </row>
    <row r="534" spans="1:13" x14ac:dyDescent="0.3">
      <c r="A534" t="str">
        <f>Segmenter!A534</f>
        <v/>
      </c>
      <c r="B534" t="str">
        <f>Segmenter!B534</f>
        <v/>
      </c>
      <c r="C534" t="str">
        <f t="shared" si="40"/>
        <v/>
      </c>
      <c r="D534" t="str">
        <f t="shared" si="41"/>
        <v/>
      </c>
      <c r="E534" t="str">
        <f t="shared" si="42"/>
        <v/>
      </c>
      <c r="F534" t="str">
        <f>IF(D534="","",INDEX(Knutepunkter!$B:$B,D534+1))</f>
        <v/>
      </c>
      <c r="G534" t="str">
        <f>IF(D534="","",INDEX(Knutepunkter!$C:$C,D534+1))</f>
        <v/>
      </c>
      <c r="H534" t="str">
        <f>IF(D534="","",INDEX(Knutepunkter!$D:$D,D534+1))</f>
        <v/>
      </c>
      <c r="I534" t="str">
        <f>IF(E534="","",INDEX(Knutepunkter!$B:$B,E534+1))</f>
        <v/>
      </c>
      <c r="J534" t="str">
        <f>IF(E534="","",INDEX(Knutepunkter!$C:$C,E534+1))</f>
        <v/>
      </c>
      <c r="K534" t="str">
        <f>IF(E534="","",INDEX(Knutepunkter!$D:$D,E534+1))</f>
        <v/>
      </c>
      <c r="L534" t="str">
        <f t="shared" si="43"/>
        <v/>
      </c>
      <c r="M534" t="str">
        <f t="shared" si="44"/>
        <v/>
      </c>
    </row>
    <row r="535" spans="1:13" x14ac:dyDescent="0.3">
      <c r="A535" t="str">
        <f>Segmenter!A535</f>
        <v/>
      </c>
      <c r="B535" t="str">
        <f>Segmenter!B535</f>
        <v/>
      </c>
      <c r="C535" t="str">
        <f t="shared" si="40"/>
        <v/>
      </c>
      <c r="D535" t="str">
        <f t="shared" si="41"/>
        <v/>
      </c>
      <c r="E535" t="str">
        <f t="shared" si="42"/>
        <v/>
      </c>
      <c r="F535" t="str">
        <f>IF(D535="","",INDEX(Knutepunkter!$B:$B,D535+1))</f>
        <v/>
      </c>
      <c r="G535" t="str">
        <f>IF(D535="","",INDEX(Knutepunkter!$C:$C,D535+1))</f>
        <v/>
      </c>
      <c r="H535" t="str">
        <f>IF(D535="","",INDEX(Knutepunkter!$D:$D,D535+1))</f>
        <v/>
      </c>
      <c r="I535" t="str">
        <f>IF(E535="","",INDEX(Knutepunkter!$B:$B,E535+1))</f>
        <v/>
      </c>
      <c r="J535" t="str">
        <f>IF(E535="","",INDEX(Knutepunkter!$C:$C,E535+1))</f>
        <v/>
      </c>
      <c r="K535" t="str">
        <f>IF(E535="","",INDEX(Knutepunkter!$D:$D,E535+1))</f>
        <v/>
      </c>
      <c r="L535" t="str">
        <f t="shared" si="43"/>
        <v/>
      </c>
      <c r="M535" t="str">
        <f t="shared" si="44"/>
        <v/>
      </c>
    </row>
    <row r="536" spans="1:13" x14ac:dyDescent="0.3">
      <c r="A536" t="str">
        <f>Segmenter!A536</f>
        <v/>
      </c>
      <c r="B536" t="str">
        <f>Segmenter!B536</f>
        <v/>
      </c>
      <c r="C536" t="str">
        <f t="shared" si="40"/>
        <v/>
      </c>
      <c r="D536" t="str">
        <f t="shared" si="41"/>
        <v/>
      </c>
      <c r="E536" t="str">
        <f t="shared" si="42"/>
        <v/>
      </c>
      <c r="F536" t="str">
        <f>IF(D536="","",INDEX(Knutepunkter!$B:$B,D536+1))</f>
        <v/>
      </c>
      <c r="G536" t="str">
        <f>IF(D536="","",INDEX(Knutepunkter!$C:$C,D536+1))</f>
        <v/>
      </c>
      <c r="H536" t="str">
        <f>IF(D536="","",INDEX(Knutepunkter!$D:$D,D536+1))</f>
        <v/>
      </c>
      <c r="I536" t="str">
        <f>IF(E536="","",INDEX(Knutepunkter!$B:$B,E536+1))</f>
        <v/>
      </c>
      <c r="J536" t="str">
        <f>IF(E536="","",INDEX(Knutepunkter!$C:$C,E536+1))</f>
        <v/>
      </c>
      <c r="K536" t="str">
        <f>IF(E536="","",INDEX(Knutepunkter!$D:$D,E536+1))</f>
        <v/>
      </c>
      <c r="L536" t="str">
        <f t="shared" si="43"/>
        <v/>
      </c>
      <c r="M536" t="str">
        <f t="shared" si="44"/>
        <v/>
      </c>
    </row>
    <row r="537" spans="1:13" x14ac:dyDescent="0.3">
      <c r="A537" t="str">
        <f>Segmenter!A537</f>
        <v/>
      </c>
      <c r="B537" t="str">
        <f>Segmenter!B537</f>
        <v/>
      </c>
      <c r="C537" t="str">
        <f t="shared" si="40"/>
        <v/>
      </c>
      <c r="D537" t="str">
        <f t="shared" si="41"/>
        <v/>
      </c>
      <c r="E537" t="str">
        <f t="shared" si="42"/>
        <v/>
      </c>
      <c r="F537" t="str">
        <f>IF(D537="","",INDEX(Knutepunkter!$B:$B,D537+1))</f>
        <v/>
      </c>
      <c r="G537" t="str">
        <f>IF(D537="","",INDEX(Knutepunkter!$C:$C,D537+1))</f>
        <v/>
      </c>
      <c r="H537" t="str">
        <f>IF(D537="","",INDEX(Knutepunkter!$D:$D,D537+1))</f>
        <v/>
      </c>
      <c r="I537" t="str">
        <f>IF(E537="","",INDEX(Knutepunkter!$B:$B,E537+1))</f>
        <v/>
      </c>
      <c r="J537" t="str">
        <f>IF(E537="","",INDEX(Knutepunkter!$C:$C,E537+1))</f>
        <v/>
      </c>
      <c r="K537" t="str">
        <f>IF(E537="","",INDEX(Knutepunkter!$D:$D,E537+1))</f>
        <v/>
      </c>
      <c r="L537" t="str">
        <f t="shared" si="43"/>
        <v/>
      </c>
      <c r="M537" t="str">
        <f t="shared" si="44"/>
        <v/>
      </c>
    </row>
    <row r="538" spans="1:13" x14ac:dyDescent="0.3">
      <c r="A538" t="str">
        <f>Segmenter!A538</f>
        <v/>
      </c>
      <c r="B538" t="str">
        <f>Segmenter!B538</f>
        <v/>
      </c>
      <c r="C538" t="str">
        <f t="shared" si="40"/>
        <v/>
      </c>
      <c r="D538" t="str">
        <f t="shared" si="41"/>
        <v/>
      </c>
      <c r="E538" t="str">
        <f t="shared" si="42"/>
        <v/>
      </c>
      <c r="F538" t="str">
        <f>IF(D538="","",INDEX(Knutepunkter!$B:$B,D538+1))</f>
        <v/>
      </c>
      <c r="G538" t="str">
        <f>IF(D538="","",INDEX(Knutepunkter!$C:$C,D538+1))</f>
        <v/>
      </c>
      <c r="H538" t="str">
        <f>IF(D538="","",INDEX(Knutepunkter!$D:$D,D538+1))</f>
        <v/>
      </c>
      <c r="I538" t="str">
        <f>IF(E538="","",INDEX(Knutepunkter!$B:$B,E538+1))</f>
        <v/>
      </c>
      <c r="J538" t="str">
        <f>IF(E538="","",INDEX(Knutepunkter!$C:$C,E538+1))</f>
        <v/>
      </c>
      <c r="K538" t="str">
        <f>IF(E538="","",INDEX(Knutepunkter!$D:$D,E538+1))</f>
        <v/>
      </c>
      <c r="L538" t="str">
        <f t="shared" si="43"/>
        <v/>
      </c>
      <c r="M538" t="str">
        <f t="shared" si="44"/>
        <v/>
      </c>
    </row>
    <row r="539" spans="1:13" x14ac:dyDescent="0.3">
      <c r="A539" t="str">
        <f>Segmenter!A539</f>
        <v/>
      </c>
      <c r="B539" t="str">
        <f>Segmenter!B539</f>
        <v/>
      </c>
      <c r="C539" t="str">
        <f t="shared" si="40"/>
        <v/>
      </c>
      <c r="D539" t="str">
        <f t="shared" si="41"/>
        <v/>
      </c>
      <c r="E539" t="str">
        <f t="shared" si="42"/>
        <v/>
      </c>
      <c r="F539" t="str">
        <f>IF(D539="","",INDEX(Knutepunkter!$B:$B,D539+1))</f>
        <v/>
      </c>
      <c r="G539" t="str">
        <f>IF(D539="","",INDEX(Knutepunkter!$C:$C,D539+1))</f>
        <v/>
      </c>
      <c r="H539" t="str">
        <f>IF(D539="","",INDEX(Knutepunkter!$D:$D,D539+1))</f>
        <v/>
      </c>
      <c r="I539" t="str">
        <f>IF(E539="","",INDEX(Knutepunkter!$B:$B,E539+1))</f>
        <v/>
      </c>
      <c r="J539" t="str">
        <f>IF(E539="","",INDEX(Knutepunkter!$C:$C,E539+1))</f>
        <v/>
      </c>
      <c r="K539" t="str">
        <f>IF(E539="","",INDEX(Knutepunkter!$D:$D,E539+1))</f>
        <v/>
      </c>
      <c r="L539" t="str">
        <f t="shared" si="43"/>
        <v/>
      </c>
      <c r="M539" t="str">
        <f t="shared" si="44"/>
        <v/>
      </c>
    </row>
    <row r="540" spans="1:13" x14ac:dyDescent="0.3">
      <c r="A540" t="str">
        <f>Segmenter!A540</f>
        <v/>
      </c>
      <c r="B540" t="str">
        <f>Segmenter!B540</f>
        <v/>
      </c>
      <c r="C540" t="str">
        <f t="shared" si="40"/>
        <v/>
      </c>
      <c r="D540" t="str">
        <f t="shared" si="41"/>
        <v/>
      </c>
      <c r="E540" t="str">
        <f t="shared" si="42"/>
        <v/>
      </c>
      <c r="F540" t="str">
        <f>IF(D540="","",INDEX(Knutepunkter!$B:$B,D540+1))</f>
        <v/>
      </c>
      <c r="G540" t="str">
        <f>IF(D540="","",INDEX(Knutepunkter!$C:$C,D540+1))</f>
        <v/>
      </c>
      <c r="H540" t="str">
        <f>IF(D540="","",INDEX(Knutepunkter!$D:$D,D540+1))</f>
        <v/>
      </c>
      <c r="I540" t="str">
        <f>IF(E540="","",INDEX(Knutepunkter!$B:$B,E540+1))</f>
        <v/>
      </c>
      <c r="J540" t="str">
        <f>IF(E540="","",INDEX(Knutepunkter!$C:$C,E540+1))</f>
        <v/>
      </c>
      <c r="K540" t="str">
        <f>IF(E540="","",INDEX(Knutepunkter!$D:$D,E540+1))</f>
        <v/>
      </c>
      <c r="L540" t="str">
        <f t="shared" si="43"/>
        <v/>
      </c>
      <c r="M540" t="str">
        <f t="shared" si="44"/>
        <v/>
      </c>
    </row>
    <row r="541" spans="1:13" x14ac:dyDescent="0.3">
      <c r="A541" t="str">
        <f>Segmenter!A541</f>
        <v/>
      </c>
      <c r="B541" t="str">
        <f>Segmenter!B541</f>
        <v/>
      </c>
      <c r="C541" t="str">
        <f t="shared" si="40"/>
        <v/>
      </c>
      <c r="D541" t="str">
        <f t="shared" si="41"/>
        <v/>
      </c>
      <c r="E541" t="str">
        <f t="shared" si="42"/>
        <v/>
      </c>
      <c r="F541" t="str">
        <f>IF(D541="","",INDEX(Knutepunkter!$B:$B,D541+1))</f>
        <v/>
      </c>
      <c r="G541" t="str">
        <f>IF(D541="","",INDEX(Knutepunkter!$C:$C,D541+1))</f>
        <v/>
      </c>
      <c r="H541" t="str">
        <f>IF(D541="","",INDEX(Knutepunkter!$D:$D,D541+1))</f>
        <v/>
      </c>
      <c r="I541" t="str">
        <f>IF(E541="","",INDEX(Knutepunkter!$B:$B,E541+1))</f>
        <v/>
      </c>
      <c r="J541" t="str">
        <f>IF(E541="","",INDEX(Knutepunkter!$C:$C,E541+1))</f>
        <v/>
      </c>
      <c r="K541" t="str">
        <f>IF(E541="","",INDEX(Knutepunkter!$D:$D,E541+1))</f>
        <v/>
      </c>
      <c r="L541" t="str">
        <f t="shared" si="43"/>
        <v/>
      </c>
      <c r="M541" t="str">
        <f t="shared" si="44"/>
        <v/>
      </c>
    </row>
    <row r="542" spans="1:13" x14ac:dyDescent="0.3">
      <c r="A542" t="str">
        <f>Segmenter!A542</f>
        <v/>
      </c>
      <c r="B542" t="str">
        <f>Segmenter!B542</f>
        <v/>
      </c>
      <c r="C542" t="str">
        <f t="shared" si="40"/>
        <v/>
      </c>
      <c r="D542" t="str">
        <f t="shared" si="41"/>
        <v/>
      </c>
      <c r="E542" t="str">
        <f t="shared" si="42"/>
        <v/>
      </c>
      <c r="F542" t="str">
        <f>IF(D542="","",INDEX(Knutepunkter!$B:$B,D542+1))</f>
        <v/>
      </c>
      <c r="G542" t="str">
        <f>IF(D542="","",INDEX(Knutepunkter!$C:$C,D542+1))</f>
        <v/>
      </c>
      <c r="H542" t="str">
        <f>IF(D542="","",INDEX(Knutepunkter!$D:$D,D542+1))</f>
        <v/>
      </c>
      <c r="I542" t="str">
        <f>IF(E542="","",INDEX(Knutepunkter!$B:$B,E542+1))</f>
        <v/>
      </c>
      <c r="J542" t="str">
        <f>IF(E542="","",INDEX(Knutepunkter!$C:$C,E542+1))</f>
        <v/>
      </c>
      <c r="K542" t="str">
        <f>IF(E542="","",INDEX(Knutepunkter!$D:$D,E542+1))</f>
        <v/>
      </c>
      <c r="L542" t="str">
        <f t="shared" si="43"/>
        <v/>
      </c>
      <c r="M542" t="str">
        <f t="shared" si="44"/>
        <v/>
      </c>
    </row>
    <row r="543" spans="1:13" x14ac:dyDescent="0.3">
      <c r="A543" t="str">
        <f>Segmenter!A543</f>
        <v/>
      </c>
      <c r="B543" t="str">
        <f>Segmenter!B543</f>
        <v/>
      </c>
      <c r="C543" t="str">
        <f t="shared" si="40"/>
        <v/>
      </c>
      <c r="D543" t="str">
        <f t="shared" si="41"/>
        <v/>
      </c>
      <c r="E543" t="str">
        <f t="shared" si="42"/>
        <v/>
      </c>
      <c r="F543" t="str">
        <f>IF(D543="","",INDEX(Knutepunkter!$B:$B,D543+1))</f>
        <v/>
      </c>
      <c r="G543" t="str">
        <f>IF(D543="","",INDEX(Knutepunkter!$C:$C,D543+1))</f>
        <v/>
      </c>
      <c r="H543" t="str">
        <f>IF(D543="","",INDEX(Knutepunkter!$D:$D,D543+1))</f>
        <v/>
      </c>
      <c r="I543" t="str">
        <f>IF(E543="","",INDEX(Knutepunkter!$B:$B,E543+1))</f>
        <v/>
      </c>
      <c r="J543" t="str">
        <f>IF(E543="","",INDEX(Knutepunkter!$C:$C,E543+1))</f>
        <v/>
      </c>
      <c r="K543" t="str">
        <f>IF(E543="","",INDEX(Knutepunkter!$D:$D,E543+1))</f>
        <v/>
      </c>
      <c r="L543" t="str">
        <f t="shared" si="43"/>
        <v/>
      </c>
      <c r="M543" t="str">
        <f t="shared" si="44"/>
        <v/>
      </c>
    </row>
    <row r="544" spans="1:13" x14ac:dyDescent="0.3">
      <c r="A544" t="str">
        <f>Segmenter!A544</f>
        <v/>
      </c>
      <c r="B544" t="str">
        <f>Segmenter!B544</f>
        <v/>
      </c>
      <c r="C544" t="str">
        <f t="shared" si="40"/>
        <v/>
      </c>
      <c r="D544" t="str">
        <f t="shared" si="41"/>
        <v/>
      </c>
      <c r="E544" t="str">
        <f t="shared" si="42"/>
        <v/>
      </c>
      <c r="F544" t="str">
        <f>IF(D544="","",INDEX(Knutepunkter!$B:$B,D544+1))</f>
        <v/>
      </c>
      <c r="G544" t="str">
        <f>IF(D544="","",INDEX(Knutepunkter!$C:$C,D544+1))</f>
        <v/>
      </c>
      <c r="H544" t="str">
        <f>IF(D544="","",INDEX(Knutepunkter!$D:$D,D544+1))</f>
        <v/>
      </c>
      <c r="I544" t="str">
        <f>IF(E544="","",INDEX(Knutepunkter!$B:$B,E544+1))</f>
        <v/>
      </c>
      <c r="J544" t="str">
        <f>IF(E544="","",INDEX(Knutepunkter!$C:$C,E544+1))</f>
        <v/>
      </c>
      <c r="K544" t="str">
        <f>IF(E544="","",INDEX(Knutepunkter!$D:$D,E544+1))</f>
        <v/>
      </c>
      <c r="L544" t="str">
        <f t="shared" si="43"/>
        <v/>
      </c>
      <c r="M544" t="str">
        <f t="shared" si="44"/>
        <v/>
      </c>
    </row>
    <row r="545" spans="1:13" x14ac:dyDescent="0.3">
      <c r="A545" t="str">
        <f>Segmenter!A545</f>
        <v/>
      </c>
      <c r="B545" t="str">
        <f>Segmenter!B545</f>
        <v/>
      </c>
      <c r="C545" t="str">
        <f t="shared" si="40"/>
        <v/>
      </c>
      <c r="D545" t="str">
        <f t="shared" si="41"/>
        <v/>
      </c>
      <c r="E545" t="str">
        <f t="shared" si="42"/>
        <v/>
      </c>
      <c r="F545" t="str">
        <f>IF(D545="","",INDEX(Knutepunkter!$B:$B,D545+1))</f>
        <v/>
      </c>
      <c r="G545" t="str">
        <f>IF(D545="","",INDEX(Knutepunkter!$C:$C,D545+1))</f>
        <v/>
      </c>
      <c r="H545" t="str">
        <f>IF(D545="","",INDEX(Knutepunkter!$D:$D,D545+1))</f>
        <v/>
      </c>
      <c r="I545" t="str">
        <f>IF(E545="","",INDEX(Knutepunkter!$B:$B,E545+1))</f>
        <v/>
      </c>
      <c r="J545" t="str">
        <f>IF(E545="","",INDEX(Knutepunkter!$C:$C,E545+1))</f>
        <v/>
      </c>
      <c r="K545" t="str">
        <f>IF(E545="","",INDEX(Knutepunkter!$D:$D,E545+1))</f>
        <v/>
      </c>
      <c r="L545" t="str">
        <f t="shared" si="43"/>
        <v/>
      </c>
      <c r="M545" t="str">
        <f t="shared" si="44"/>
        <v/>
      </c>
    </row>
    <row r="546" spans="1:13" x14ac:dyDescent="0.3">
      <c r="A546" t="str">
        <f>Segmenter!A546</f>
        <v/>
      </c>
      <c r="B546" t="str">
        <f>Segmenter!B546</f>
        <v/>
      </c>
      <c r="C546" t="str">
        <f t="shared" si="40"/>
        <v/>
      </c>
      <c r="D546" t="str">
        <f t="shared" si="41"/>
        <v/>
      </c>
      <c r="E546" t="str">
        <f t="shared" si="42"/>
        <v/>
      </c>
      <c r="F546" t="str">
        <f>IF(D546="","",INDEX(Knutepunkter!$B:$B,D546+1))</f>
        <v/>
      </c>
      <c r="G546" t="str">
        <f>IF(D546="","",INDEX(Knutepunkter!$C:$C,D546+1))</f>
        <v/>
      </c>
      <c r="H546" t="str">
        <f>IF(D546="","",INDEX(Knutepunkter!$D:$D,D546+1))</f>
        <v/>
      </c>
      <c r="I546" t="str">
        <f>IF(E546="","",INDEX(Knutepunkter!$B:$B,E546+1))</f>
        <v/>
      </c>
      <c r="J546" t="str">
        <f>IF(E546="","",INDEX(Knutepunkter!$C:$C,E546+1))</f>
        <v/>
      </c>
      <c r="K546" t="str">
        <f>IF(E546="","",INDEX(Knutepunkter!$D:$D,E546+1))</f>
        <v/>
      </c>
      <c r="L546" t="str">
        <f t="shared" si="43"/>
        <v/>
      </c>
      <c r="M546" t="str">
        <f t="shared" si="44"/>
        <v/>
      </c>
    </row>
    <row r="547" spans="1:13" x14ac:dyDescent="0.3">
      <c r="A547" t="str">
        <f>Segmenter!A547</f>
        <v/>
      </c>
      <c r="B547" t="str">
        <f>Segmenter!B547</f>
        <v/>
      </c>
      <c r="C547" t="str">
        <f t="shared" si="40"/>
        <v/>
      </c>
      <c r="D547" t="str">
        <f t="shared" si="41"/>
        <v/>
      </c>
      <c r="E547" t="str">
        <f t="shared" si="42"/>
        <v/>
      </c>
      <c r="F547" t="str">
        <f>IF(D547="","",INDEX(Knutepunkter!$B:$B,D547+1))</f>
        <v/>
      </c>
      <c r="G547" t="str">
        <f>IF(D547="","",INDEX(Knutepunkter!$C:$C,D547+1))</f>
        <v/>
      </c>
      <c r="H547" t="str">
        <f>IF(D547="","",INDEX(Knutepunkter!$D:$D,D547+1))</f>
        <v/>
      </c>
      <c r="I547" t="str">
        <f>IF(E547="","",INDEX(Knutepunkter!$B:$B,E547+1))</f>
        <v/>
      </c>
      <c r="J547" t="str">
        <f>IF(E547="","",INDEX(Knutepunkter!$C:$C,E547+1))</f>
        <v/>
      </c>
      <c r="K547" t="str">
        <f>IF(E547="","",INDEX(Knutepunkter!$D:$D,E547+1))</f>
        <v/>
      </c>
      <c r="L547" t="str">
        <f t="shared" si="43"/>
        <v/>
      </c>
      <c r="M547" t="str">
        <f t="shared" si="44"/>
        <v/>
      </c>
    </row>
    <row r="548" spans="1:13" x14ac:dyDescent="0.3">
      <c r="A548" t="str">
        <f>Segmenter!A548</f>
        <v/>
      </c>
      <c r="B548" t="str">
        <f>Segmenter!B548</f>
        <v/>
      </c>
      <c r="C548" t="str">
        <f t="shared" si="40"/>
        <v/>
      </c>
      <c r="D548" t="str">
        <f t="shared" si="41"/>
        <v/>
      </c>
      <c r="E548" t="str">
        <f t="shared" si="42"/>
        <v/>
      </c>
      <c r="F548" t="str">
        <f>IF(D548="","",INDEX(Knutepunkter!$B:$B,D548+1))</f>
        <v/>
      </c>
      <c r="G548" t="str">
        <f>IF(D548="","",INDEX(Knutepunkter!$C:$C,D548+1))</f>
        <v/>
      </c>
      <c r="H548" t="str">
        <f>IF(D548="","",INDEX(Knutepunkter!$D:$D,D548+1))</f>
        <v/>
      </c>
      <c r="I548" t="str">
        <f>IF(E548="","",INDEX(Knutepunkter!$B:$B,E548+1))</f>
        <v/>
      </c>
      <c r="J548" t="str">
        <f>IF(E548="","",INDEX(Knutepunkter!$C:$C,E548+1))</f>
        <v/>
      </c>
      <c r="K548" t="str">
        <f>IF(E548="","",INDEX(Knutepunkter!$D:$D,E548+1))</f>
        <v/>
      </c>
      <c r="L548" t="str">
        <f t="shared" si="43"/>
        <v/>
      </c>
      <c r="M548" t="str">
        <f t="shared" si="44"/>
        <v/>
      </c>
    </row>
    <row r="549" spans="1:13" x14ac:dyDescent="0.3">
      <c r="A549" t="str">
        <f>Segmenter!A549</f>
        <v/>
      </c>
      <c r="B549" t="str">
        <f>Segmenter!B549</f>
        <v/>
      </c>
      <c r="C549" t="str">
        <f t="shared" si="40"/>
        <v/>
      </c>
      <c r="D549" t="str">
        <f t="shared" si="41"/>
        <v/>
      </c>
      <c r="E549" t="str">
        <f t="shared" si="42"/>
        <v/>
      </c>
      <c r="F549" t="str">
        <f>IF(D549="","",INDEX(Knutepunkter!$B:$B,D549+1))</f>
        <v/>
      </c>
      <c r="G549" t="str">
        <f>IF(D549="","",INDEX(Knutepunkter!$C:$C,D549+1))</f>
        <v/>
      </c>
      <c r="H549" t="str">
        <f>IF(D549="","",INDEX(Knutepunkter!$D:$D,D549+1))</f>
        <v/>
      </c>
      <c r="I549" t="str">
        <f>IF(E549="","",INDEX(Knutepunkter!$B:$B,E549+1))</f>
        <v/>
      </c>
      <c r="J549" t="str">
        <f>IF(E549="","",INDEX(Knutepunkter!$C:$C,E549+1))</f>
        <v/>
      </c>
      <c r="K549" t="str">
        <f>IF(E549="","",INDEX(Knutepunkter!$D:$D,E549+1))</f>
        <v/>
      </c>
      <c r="L549" t="str">
        <f t="shared" si="43"/>
        <v/>
      </c>
      <c r="M549" t="str">
        <f t="shared" si="44"/>
        <v/>
      </c>
    </row>
    <row r="550" spans="1:13" x14ac:dyDescent="0.3">
      <c r="A550" t="str">
        <f>Segmenter!A550</f>
        <v/>
      </c>
      <c r="B550" t="str">
        <f>Segmenter!B550</f>
        <v/>
      </c>
      <c r="C550" t="str">
        <f t="shared" si="40"/>
        <v/>
      </c>
      <c r="D550" t="str">
        <f t="shared" si="41"/>
        <v/>
      </c>
      <c r="E550" t="str">
        <f t="shared" si="42"/>
        <v/>
      </c>
      <c r="F550" t="str">
        <f>IF(D550="","",INDEX(Knutepunkter!$B:$B,D550+1))</f>
        <v/>
      </c>
      <c r="G550" t="str">
        <f>IF(D550="","",INDEX(Knutepunkter!$C:$C,D550+1))</f>
        <v/>
      </c>
      <c r="H550" t="str">
        <f>IF(D550="","",INDEX(Knutepunkter!$D:$D,D550+1))</f>
        <v/>
      </c>
      <c r="I550" t="str">
        <f>IF(E550="","",INDEX(Knutepunkter!$B:$B,E550+1))</f>
        <v/>
      </c>
      <c r="J550" t="str">
        <f>IF(E550="","",INDEX(Knutepunkter!$C:$C,E550+1))</f>
        <v/>
      </c>
      <c r="K550" t="str">
        <f>IF(E550="","",INDEX(Knutepunkter!$D:$D,E550+1))</f>
        <v/>
      </c>
      <c r="L550" t="str">
        <f t="shared" si="43"/>
        <v/>
      </c>
      <c r="M550" t="str">
        <f t="shared" si="44"/>
        <v/>
      </c>
    </row>
    <row r="551" spans="1:13" x14ac:dyDescent="0.3">
      <c r="A551" t="str">
        <f>Segmenter!A551</f>
        <v/>
      </c>
      <c r="B551" t="str">
        <f>Segmenter!B551</f>
        <v/>
      </c>
      <c r="C551" t="str">
        <f t="shared" si="40"/>
        <v/>
      </c>
      <c r="D551" t="str">
        <f t="shared" si="41"/>
        <v/>
      </c>
      <c r="E551" t="str">
        <f t="shared" si="42"/>
        <v/>
      </c>
      <c r="F551" t="str">
        <f>IF(D551="","",INDEX(Knutepunkter!$B:$B,D551+1))</f>
        <v/>
      </c>
      <c r="G551" t="str">
        <f>IF(D551="","",INDEX(Knutepunkter!$C:$C,D551+1))</f>
        <v/>
      </c>
      <c r="H551" t="str">
        <f>IF(D551="","",INDEX(Knutepunkter!$D:$D,D551+1))</f>
        <v/>
      </c>
      <c r="I551" t="str">
        <f>IF(E551="","",INDEX(Knutepunkter!$B:$B,E551+1))</f>
        <v/>
      </c>
      <c r="J551" t="str">
        <f>IF(E551="","",INDEX(Knutepunkter!$C:$C,E551+1))</f>
        <v/>
      </c>
      <c r="K551" t="str">
        <f>IF(E551="","",INDEX(Knutepunkter!$D:$D,E551+1))</f>
        <v/>
      </c>
      <c r="L551" t="str">
        <f t="shared" si="43"/>
        <v/>
      </c>
      <c r="M551" t="str">
        <f t="shared" si="44"/>
        <v/>
      </c>
    </row>
    <row r="552" spans="1:13" x14ac:dyDescent="0.3">
      <c r="A552" t="str">
        <f>Segmenter!A552</f>
        <v/>
      </c>
      <c r="B552" t="str">
        <f>Segmenter!B552</f>
        <v/>
      </c>
      <c r="C552" t="str">
        <f t="shared" si="40"/>
        <v/>
      </c>
      <c r="D552" t="str">
        <f t="shared" si="41"/>
        <v/>
      </c>
      <c r="E552" t="str">
        <f t="shared" si="42"/>
        <v/>
      </c>
      <c r="F552" t="str">
        <f>IF(D552="","",INDEX(Knutepunkter!$B:$B,D552+1))</f>
        <v/>
      </c>
      <c r="G552" t="str">
        <f>IF(D552="","",INDEX(Knutepunkter!$C:$C,D552+1))</f>
        <v/>
      </c>
      <c r="H552" t="str">
        <f>IF(D552="","",INDEX(Knutepunkter!$D:$D,D552+1))</f>
        <v/>
      </c>
      <c r="I552" t="str">
        <f>IF(E552="","",INDEX(Knutepunkter!$B:$B,E552+1))</f>
        <v/>
      </c>
      <c r="J552" t="str">
        <f>IF(E552="","",INDEX(Knutepunkter!$C:$C,E552+1))</f>
        <v/>
      </c>
      <c r="K552" t="str">
        <f>IF(E552="","",INDEX(Knutepunkter!$D:$D,E552+1))</f>
        <v/>
      </c>
      <c r="L552" t="str">
        <f t="shared" si="43"/>
        <v/>
      </c>
      <c r="M552" t="str">
        <f t="shared" si="44"/>
        <v/>
      </c>
    </row>
    <row r="553" spans="1:13" x14ac:dyDescent="0.3">
      <c r="A553" t="str">
        <f>Segmenter!A553</f>
        <v/>
      </c>
      <c r="B553" t="str">
        <f>Segmenter!B553</f>
        <v/>
      </c>
      <c r="C553" t="str">
        <f t="shared" si="40"/>
        <v/>
      </c>
      <c r="D553" t="str">
        <f t="shared" si="41"/>
        <v/>
      </c>
      <c r="E553" t="str">
        <f t="shared" si="42"/>
        <v/>
      </c>
      <c r="F553" t="str">
        <f>IF(D553="","",INDEX(Knutepunkter!$B:$B,D553+1))</f>
        <v/>
      </c>
      <c r="G553" t="str">
        <f>IF(D553="","",INDEX(Knutepunkter!$C:$C,D553+1))</f>
        <v/>
      </c>
      <c r="H553" t="str">
        <f>IF(D553="","",INDEX(Knutepunkter!$D:$D,D553+1))</f>
        <v/>
      </c>
      <c r="I553" t="str">
        <f>IF(E553="","",INDEX(Knutepunkter!$B:$B,E553+1))</f>
        <v/>
      </c>
      <c r="J553" t="str">
        <f>IF(E553="","",INDEX(Knutepunkter!$C:$C,E553+1))</f>
        <v/>
      </c>
      <c r="K553" t="str">
        <f>IF(E553="","",INDEX(Knutepunkter!$D:$D,E553+1))</f>
        <v/>
      </c>
      <c r="L553" t="str">
        <f t="shared" si="43"/>
        <v/>
      </c>
      <c r="M553" t="str">
        <f t="shared" si="44"/>
        <v/>
      </c>
    </row>
    <row r="554" spans="1:13" x14ac:dyDescent="0.3">
      <c r="A554" t="str">
        <f>Segmenter!A554</f>
        <v/>
      </c>
      <c r="B554" t="str">
        <f>Segmenter!B554</f>
        <v/>
      </c>
      <c r="C554" t="str">
        <f t="shared" si="40"/>
        <v/>
      </c>
      <c r="D554" t="str">
        <f t="shared" si="41"/>
        <v/>
      </c>
      <c r="E554" t="str">
        <f t="shared" si="42"/>
        <v/>
      </c>
      <c r="F554" t="str">
        <f>IF(D554="","",INDEX(Knutepunkter!$B:$B,D554+1))</f>
        <v/>
      </c>
      <c r="G554" t="str">
        <f>IF(D554="","",INDEX(Knutepunkter!$C:$C,D554+1))</f>
        <v/>
      </c>
      <c r="H554" t="str">
        <f>IF(D554="","",INDEX(Knutepunkter!$D:$D,D554+1))</f>
        <v/>
      </c>
      <c r="I554" t="str">
        <f>IF(E554="","",INDEX(Knutepunkter!$B:$B,E554+1))</f>
        <v/>
      </c>
      <c r="J554" t="str">
        <f>IF(E554="","",INDEX(Knutepunkter!$C:$C,E554+1))</f>
        <v/>
      </c>
      <c r="K554" t="str">
        <f>IF(E554="","",INDEX(Knutepunkter!$D:$D,E554+1))</f>
        <v/>
      </c>
      <c r="L554" t="str">
        <f t="shared" si="43"/>
        <v/>
      </c>
      <c r="M554" t="str">
        <f t="shared" si="44"/>
        <v/>
      </c>
    </row>
    <row r="555" spans="1:13" x14ac:dyDescent="0.3">
      <c r="A555" t="str">
        <f>Segmenter!A555</f>
        <v/>
      </c>
      <c r="B555" t="str">
        <f>Segmenter!B555</f>
        <v/>
      </c>
      <c r="C555" t="str">
        <f t="shared" si="40"/>
        <v/>
      </c>
      <c r="D555" t="str">
        <f t="shared" si="41"/>
        <v/>
      </c>
      <c r="E555" t="str">
        <f t="shared" si="42"/>
        <v/>
      </c>
      <c r="F555" t="str">
        <f>IF(D555="","",INDEX(Knutepunkter!$B:$B,D555+1))</f>
        <v/>
      </c>
      <c r="G555" t="str">
        <f>IF(D555="","",INDEX(Knutepunkter!$C:$C,D555+1))</f>
        <v/>
      </c>
      <c r="H555" t="str">
        <f>IF(D555="","",INDEX(Knutepunkter!$D:$D,D555+1))</f>
        <v/>
      </c>
      <c r="I555" t="str">
        <f>IF(E555="","",INDEX(Knutepunkter!$B:$B,E555+1))</f>
        <v/>
      </c>
      <c r="J555" t="str">
        <f>IF(E555="","",INDEX(Knutepunkter!$C:$C,E555+1))</f>
        <v/>
      </c>
      <c r="K555" t="str">
        <f>IF(E555="","",INDEX(Knutepunkter!$D:$D,E555+1))</f>
        <v/>
      </c>
      <c r="L555" t="str">
        <f t="shared" si="43"/>
        <v/>
      </c>
      <c r="M555" t="str">
        <f t="shared" si="44"/>
        <v/>
      </c>
    </row>
    <row r="556" spans="1:13" x14ac:dyDescent="0.3">
      <c r="A556" t="str">
        <f>Segmenter!A556</f>
        <v/>
      </c>
      <c r="B556" t="str">
        <f>Segmenter!B556</f>
        <v/>
      </c>
      <c r="C556" t="str">
        <f t="shared" si="40"/>
        <v/>
      </c>
      <c r="D556" t="str">
        <f t="shared" si="41"/>
        <v/>
      </c>
      <c r="E556" t="str">
        <f t="shared" si="42"/>
        <v/>
      </c>
      <c r="F556" t="str">
        <f>IF(D556="","",INDEX(Knutepunkter!$B:$B,D556+1))</f>
        <v/>
      </c>
      <c r="G556" t="str">
        <f>IF(D556="","",INDEX(Knutepunkter!$C:$C,D556+1))</f>
        <v/>
      </c>
      <c r="H556" t="str">
        <f>IF(D556="","",INDEX(Knutepunkter!$D:$D,D556+1))</f>
        <v/>
      </c>
      <c r="I556" t="str">
        <f>IF(E556="","",INDEX(Knutepunkter!$B:$B,E556+1))</f>
        <v/>
      </c>
      <c r="J556" t="str">
        <f>IF(E556="","",INDEX(Knutepunkter!$C:$C,E556+1))</f>
        <v/>
      </c>
      <c r="K556" t="str">
        <f>IF(E556="","",INDEX(Knutepunkter!$D:$D,E556+1))</f>
        <v/>
      </c>
      <c r="L556" t="str">
        <f t="shared" si="43"/>
        <v/>
      </c>
      <c r="M556" t="str">
        <f t="shared" si="44"/>
        <v/>
      </c>
    </row>
    <row r="557" spans="1:13" x14ac:dyDescent="0.3">
      <c r="A557" t="str">
        <f>Segmenter!A557</f>
        <v/>
      </c>
      <c r="B557" t="str">
        <f>Segmenter!B557</f>
        <v/>
      </c>
      <c r="C557" t="str">
        <f t="shared" si="40"/>
        <v/>
      </c>
      <c r="D557" t="str">
        <f t="shared" si="41"/>
        <v/>
      </c>
      <c r="E557" t="str">
        <f t="shared" si="42"/>
        <v/>
      </c>
      <c r="F557" t="str">
        <f>IF(D557="","",INDEX(Knutepunkter!$B:$B,D557+1))</f>
        <v/>
      </c>
      <c r="G557" t="str">
        <f>IF(D557="","",INDEX(Knutepunkter!$C:$C,D557+1))</f>
        <v/>
      </c>
      <c r="H557" t="str">
        <f>IF(D557="","",INDEX(Knutepunkter!$D:$D,D557+1))</f>
        <v/>
      </c>
      <c r="I557" t="str">
        <f>IF(E557="","",INDEX(Knutepunkter!$B:$B,E557+1))</f>
        <v/>
      </c>
      <c r="J557" t="str">
        <f>IF(E557="","",INDEX(Knutepunkter!$C:$C,E557+1))</f>
        <v/>
      </c>
      <c r="K557" t="str">
        <f>IF(E557="","",INDEX(Knutepunkter!$D:$D,E557+1))</f>
        <v/>
      </c>
      <c r="L557" t="str">
        <f t="shared" si="43"/>
        <v/>
      </c>
      <c r="M557" t="str">
        <f t="shared" si="44"/>
        <v/>
      </c>
    </row>
    <row r="558" spans="1:13" x14ac:dyDescent="0.3">
      <c r="A558" t="str">
        <f>Segmenter!A558</f>
        <v/>
      </c>
      <c r="B558" t="str">
        <f>Segmenter!B558</f>
        <v/>
      </c>
      <c r="C558" t="str">
        <f t="shared" si="40"/>
        <v/>
      </c>
      <c r="D558" t="str">
        <f t="shared" si="41"/>
        <v/>
      </c>
      <c r="E558" t="str">
        <f t="shared" si="42"/>
        <v/>
      </c>
      <c r="F558" t="str">
        <f>IF(D558="","",INDEX(Knutepunkter!$B:$B,D558+1))</f>
        <v/>
      </c>
      <c r="G558" t="str">
        <f>IF(D558="","",INDEX(Knutepunkter!$C:$C,D558+1))</f>
        <v/>
      </c>
      <c r="H558" t="str">
        <f>IF(D558="","",INDEX(Knutepunkter!$D:$D,D558+1))</f>
        <v/>
      </c>
      <c r="I558" t="str">
        <f>IF(E558="","",INDEX(Knutepunkter!$B:$B,E558+1))</f>
        <v/>
      </c>
      <c r="J558" t="str">
        <f>IF(E558="","",INDEX(Knutepunkter!$C:$C,E558+1))</f>
        <v/>
      </c>
      <c r="K558" t="str">
        <f>IF(E558="","",INDEX(Knutepunkter!$D:$D,E558+1))</f>
        <v/>
      </c>
      <c r="L558" t="str">
        <f t="shared" si="43"/>
        <v/>
      </c>
      <c r="M558" t="str">
        <f t="shared" si="44"/>
        <v/>
      </c>
    </row>
    <row r="559" spans="1:13" x14ac:dyDescent="0.3">
      <c r="A559" t="str">
        <f>Segmenter!A559</f>
        <v/>
      </c>
      <c r="B559" t="str">
        <f>Segmenter!B559</f>
        <v/>
      </c>
      <c r="C559" t="str">
        <f t="shared" si="40"/>
        <v/>
      </c>
      <c r="D559" t="str">
        <f t="shared" si="41"/>
        <v/>
      </c>
      <c r="E559" t="str">
        <f t="shared" si="42"/>
        <v/>
      </c>
      <c r="F559" t="str">
        <f>IF(D559="","",INDEX(Knutepunkter!$B:$B,D559+1))</f>
        <v/>
      </c>
      <c r="G559" t="str">
        <f>IF(D559="","",INDEX(Knutepunkter!$C:$C,D559+1))</f>
        <v/>
      </c>
      <c r="H559" t="str">
        <f>IF(D559="","",INDEX(Knutepunkter!$D:$D,D559+1))</f>
        <v/>
      </c>
      <c r="I559" t="str">
        <f>IF(E559="","",INDEX(Knutepunkter!$B:$B,E559+1))</f>
        <v/>
      </c>
      <c r="J559" t="str">
        <f>IF(E559="","",INDEX(Knutepunkter!$C:$C,E559+1))</f>
        <v/>
      </c>
      <c r="K559" t="str">
        <f>IF(E559="","",INDEX(Knutepunkter!$D:$D,E559+1))</f>
        <v/>
      </c>
      <c r="L559" t="str">
        <f t="shared" si="43"/>
        <v/>
      </c>
      <c r="M559" t="str">
        <f t="shared" si="44"/>
        <v/>
      </c>
    </row>
    <row r="560" spans="1:13" x14ac:dyDescent="0.3">
      <c r="A560" t="str">
        <f>Segmenter!A560</f>
        <v/>
      </c>
      <c r="B560" t="str">
        <f>Segmenter!B560</f>
        <v/>
      </c>
      <c r="C560" t="str">
        <f t="shared" si="40"/>
        <v/>
      </c>
      <c r="D560" t="str">
        <f t="shared" si="41"/>
        <v/>
      </c>
      <c r="E560" t="str">
        <f t="shared" si="42"/>
        <v/>
      </c>
      <c r="F560" t="str">
        <f>IF(D560="","",INDEX(Knutepunkter!$B:$B,D560+1))</f>
        <v/>
      </c>
      <c r="G560" t="str">
        <f>IF(D560="","",INDEX(Knutepunkter!$C:$C,D560+1))</f>
        <v/>
      </c>
      <c r="H560" t="str">
        <f>IF(D560="","",INDEX(Knutepunkter!$D:$D,D560+1))</f>
        <v/>
      </c>
      <c r="I560" t="str">
        <f>IF(E560="","",INDEX(Knutepunkter!$B:$B,E560+1))</f>
        <v/>
      </c>
      <c r="J560" t="str">
        <f>IF(E560="","",INDEX(Knutepunkter!$C:$C,E560+1))</f>
        <v/>
      </c>
      <c r="K560" t="str">
        <f>IF(E560="","",INDEX(Knutepunkter!$D:$D,E560+1))</f>
        <v/>
      </c>
      <c r="L560" t="str">
        <f t="shared" si="43"/>
        <v/>
      </c>
      <c r="M560" t="str">
        <f t="shared" si="44"/>
        <v/>
      </c>
    </row>
    <row r="561" spans="1:13" x14ac:dyDescent="0.3">
      <c r="A561" t="str">
        <f>Segmenter!A561</f>
        <v/>
      </c>
      <c r="B561" t="str">
        <f>Segmenter!B561</f>
        <v/>
      </c>
      <c r="C561" t="str">
        <f t="shared" si="40"/>
        <v/>
      </c>
      <c r="D561" t="str">
        <f t="shared" si="41"/>
        <v/>
      </c>
      <c r="E561" t="str">
        <f t="shared" si="42"/>
        <v/>
      </c>
      <c r="F561" t="str">
        <f>IF(D561="","",INDEX(Knutepunkter!$B:$B,D561+1))</f>
        <v/>
      </c>
      <c r="G561" t="str">
        <f>IF(D561="","",INDEX(Knutepunkter!$C:$C,D561+1))</f>
        <v/>
      </c>
      <c r="H561" t="str">
        <f>IF(D561="","",INDEX(Knutepunkter!$D:$D,D561+1))</f>
        <v/>
      </c>
      <c r="I561" t="str">
        <f>IF(E561="","",INDEX(Knutepunkter!$B:$B,E561+1))</f>
        <v/>
      </c>
      <c r="J561" t="str">
        <f>IF(E561="","",INDEX(Knutepunkter!$C:$C,E561+1))</f>
        <v/>
      </c>
      <c r="K561" t="str">
        <f>IF(E561="","",INDEX(Knutepunkter!$D:$D,E561+1))</f>
        <v/>
      </c>
      <c r="L561" t="str">
        <f t="shared" si="43"/>
        <v/>
      </c>
      <c r="M561" t="str">
        <f t="shared" si="44"/>
        <v/>
      </c>
    </row>
    <row r="562" spans="1:13" x14ac:dyDescent="0.3">
      <c r="A562" t="str">
        <f>Segmenter!A562</f>
        <v/>
      </c>
      <c r="B562" t="str">
        <f>Segmenter!B562</f>
        <v/>
      </c>
      <c r="C562" t="str">
        <f t="shared" si="40"/>
        <v/>
      </c>
      <c r="D562" t="str">
        <f t="shared" si="41"/>
        <v/>
      </c>
      <c r="E562" t="str">
        <f t="shared" si="42"/>
        <v/>
      </c>
      <c r="F562" t="str">
        <f>IF(D562="","",INDEX(Knutepunkter!$B:$B,D562+1))</f>
        <v/>
      </c>
      <c r="G562" t="str">
        <f>IF(D562="","",INDEX(Knutepunkter!$C:$C,D562+1))</f>
        <v/>
      </c>
      <c r="H562" t="str">
        <f>IF(D562="","",INDEX(Knutepunkter!$D:$D,D562+1))</f>
        <v/>
      </c>
      <c r="I562" t="str">
        <f>IF(E562="","",INDEX(Knutepunkter!$B:$B,E562+1))</f>
        <v/>
      </c>
      <c r="J562" t="str">
        <f>IF(E562="","",INDEX(Knutepunkter!$C:$C,E562+1))</f>
        <v/>
      </c>
      <c r="K562" t="str">
        <f>IF(E562="","",INDEX(Knutepunkter!$D:$D,E562+1))</f>
        <v/>
      </c>
      <c r="L562" t="str">
        <f t="shared" si="43"/>
        <v/>
      </c>
      <c r="M562" t="str">
        <f t="shared" si="44"/>
        <v/>
      </c>
    </row>
    <row r="563" spans="1:13" x14ac:dyDescent="0.3">
      <c r="A563" t="str">
        <f>Segmenter!A563</f>
        <v/>
      </c>
      <c r="B563" t="str">
        <f>Segmenter!B563</f>
        <v/>
      </c>
      <c r="C563" t="str">
        <f t="shared" si="40"/>
        <v/>
      </c>
      <c r="D563" t="str">
        <f t="shared" si="41"/>
        <v/>
      </c>
      <c r="E563" t="str">
        <f t="shared" si="42"/>
        <v/>
      </c>
      <c r="F563" t="str">
        <f>IF(D563="","",INDEX(Knutepunkter!$B:$B,D563+1))</f>
        <v/>
      </c>
      <c r="G563" t="str">
        <f>IF(D563="","",INDEX(Knutepunkter!$C:$C,D563+1))</f>
        <v/>
      </c>
      <c r="H563" t="str">
        <f>IF(D563="","",INDEX(Knutepunkter!$D:$D,D563+1))</f>
        <v/>
      </c>
      <c r="I563" t="str">
        <f>IF(E563="","",INDEX(Knutepunkter!$B:$B,E563+1))</f>
        <v/>
      </c>
      <c r="J563" t="str">
        <f>IF(E563="","",INDEX(Knutepunkter!$C:$C,E563+1))</f>
        <v/>
      </c>
      <c r="K563" t="str">
        <f>IF(E563="","",INDEX(Knutepunkter!$D:$D,E563+1))</f>
        <v/>
      </c>
      <c r="L563" t="str">
        <f t="shared" si="43"/>
        <v/>
      </c>
      <c r="M563" t="str">
        <f t="shared" si="44"/>
        <v/>
      </c>
    </row>
    <row r="564" spans="1:13" x14ac:dyDescent="0.3">
      <c r="A564" t="str">
        <f>Segmenter!A564</f>
        <v/>
      </c>
      <c r="B564" t="str">
        <f>Segmenter!B564</f>
        <v/>
      </c>
      <c r="C564" t="str">
        <f t="shared" si="40"/>
        <v/>
      </c>
      <c r="D564" t="str">
        <f t="shared" si="41"/>
        <v/>
      </c>
      <c r="E564" t="str">
        <f t="shared" si="42"/>
        <v/>
      </c>
      <c r="F564" t="str">
        <f>IF(D564="","",INDEX(Knutepunkter!$B:$B,D564+1))</f>
        <v/>
      </c>
      <c r="G564" t="str">
        <f>IF(D564="","",INDEX(Knutepunkter!$C:$C,D564+1))</f>
        <v/>
      </c>
      <c r="H564" t="str">
        <f>IF(D564="","",INDEX(Knutepunkter!$D:$D,D564+1))</f>
        <v/>
      </c>
      <c r="I564" t="str">
        <f>IF(E564="","",INDEX(Knutepunkter!$B:$B,E564+1))</f>
        <v/>
      </c>
      <c r="J564" t="str">
        <f>IF(E564="","",INDEX(Knutepunkter!$C:$C,E564+1))</f>
        <v/>
      </c>
      <c r="K564" t="str">
        <f>IF(E564="","",INDEX(Knutepunkter!$D:$D,E564+1))</f>
        <v/>
      </c>
      <c r="L564" t="str">
        <f t="shared" si="43"/>
        <v/>
      </c>
      <c r="M564" t="str">
        <f t="shared" si="44"/>
        <v/>
      </c>
    </row>
    <row r="565" spans="1:13" x14ac:dyDescent="0.3">
      <c r="A565" t="str">
        <f>Segmenter!A565</f>
        <v/>
      </c>
      <c r="B565" t="str">
        <f>Segmenter!B565</f>
        <v/>
      </c>
      <c r="C565" t="str">
        <f t="shared" si="40"/>
        <v/>
      </c>
      <c r="D565" t="str">
        <f t="shared" si="41"/>
        <v/>
      </c>
      <c r="E565" t="str">
        <f t="shared" si="42"/>
        <v/>
      </c>
      <c r="F565" t="str">
        <f>IF(D565="","",INDEX(Knutepunkter!$B:$B,D565+1))</f>
        <v/>
      </c>
      <c r="G565" t="str">
        <f>IF(D565="","",INDEX(Knutepunkter!$C:$C,D565+1))</f>
        <v/>
      </c>
      <c r="H565" t="str">
        <f>IF(D565="","",INDEX(Knutepunkter!$D:$D,D565+1))</f>
        <v/>
      </c>
      <c r="I565" t="str">
        <f>IF(E565="","",INDEX(Knutepunkter!$B:$B,E565+1))</f>
        <v/>
      </c>
      <c r="J565" t="str">
        <f>IF(E565="","",INDEX(Knutepunkter!$C:$C,E565+1))</f>
        <v/>
      </c>
      <c r="K565" t="str">
        <f>IF(E565="","",INDEX(Knutepunkter!$D:$D,E565+1))</f>
        <v/>
      </c>
      <c r="L565" t="str">
        <f t="shared" si="43"/>
        <v/>
      </c>
      <c r="M565" t="str">
        <f t="shared" si="44"/>
        <v/>
      </c>
    </row>
    <row r="566" spans="1:13" x14ac:dyDescent="0.3">
      <c r="A566" t="str">
        <f>Segmenter!A566</f>
        <v/>
      </c>
      <c r="B566" t="str">
        <f>Segmenter!B566</f>
        <v/>
      </c>
      <c r="C566" t="str">
        <f t="shared" si="40"/>
        <v/>
      </c>
      <c r="D566" t="str">
        <f t="shared" si="41"/>
        <v/>
      </c>
      <c r="E566" t="str">
        <f t="shared" si="42"/>
        <v/>
      </c>
      <c r="F566" t="str">
        <f>IF(D566="","",INDEX(Knutepunkter!$B:$B,D566+1))</f>
        <v/>
      </c>
      <c r="G566" t="str">
        <f>IF(D566="","",INDEX(Knutepunkter!$C:$C,D566+1))</f>
        <v/>
      </c>
      <c r="H566" t="str">
        <f>IF(D566="","",INDEX(Knutepunkter!$D:$D,D566+1))</f>
        <v/>
      </c>
      <c r="I566" t="str">
        <f>IF(E566="","",INDEX(Knutepunkter!$B:$B,E566+1))</f>
        <v/>
      </c>
      <c r="J566" t="str">
        <f>IF(E566="","",INDEX(Knutepunkter!$C:$C,E566+1))</f>
        <v/>
      </c>
      <c r="K566" t="str">
        <f>IF(E566="","",INDEX(Knutepunkter!$D:$D,E566+1))</f>
        <v/>
      </c>
      <c r="L566" t="str">
        <f t="shared" si="43"/>
        <v/>
      </c>
      <c r="M566" t="str">
        <f t="shared" si="44"/>
        <v/>
      </c>
    </row>
    <row r="567" spans="1:13" x14ac:dyDescent="0.3">
      <c r="A567" t="str">
        <f>Segmenter!A567</f>
        <v/>
      </c>
      <c r="B567" t="str">
        <f>Segmenter!B567</f>
        <v/>
      </c>
      <c r="C567" t="str">
        <f t="shared" si="40"/>
        <v/>
      </c>
      <c r="D567" t="str">
        <f t="shared" si="41"/>
        <v/>
      </c>
      <c r="E567" t="str">
        <f t="shared" si="42"/>
        <v/>
      </c>
      <c r="F567" t="str">
        <f>IF(D567="","",INDEX(Knutepunkter!$B:$B,D567+1))</f>
        <v/>
      </c>
      <c r="G567" t="str">
        <f>IF(D567="","",INDEX(Knutepunkter!$C:$C,D567+1))</f>
        <v/>
      </c>
      <c r="H567" t="str">
        <f>IF(D567="","",INDEX(Knutepunkter!$D:$D,D567+1))</f>
        <v/>
      </c>
      <c r="I567" t="str">
        <f>IF(E567="","",INDEX(Knutepunkter!$B:$B,E567+1))</f>
        <v/>
      </c>
      <c r="J567" t="str">
        <f>IF(E567="","",INDEX(Knutepunkter!$C:$C,E567+1))</f>
        <v/>
      </c>
      <c r="K567" t="str">
        <f>IF(E567="","",INDEX(Knutepunkter!$D:$D,E567+1))</f>
        <v/>
      </c>
      <c r="L567" t="str">
        <f t="shared" si="43"/>
        <v/>
      </c>
      <c r="M567" t="str">
        <f t="shared" si="44"/>
        <v/>
      </c>
    </row>
    <row r="568" spans="1:13" x14ac:dyDescent="0.3">
      <c r="A568" t="str">
        <f>Segmenter!A568</f>
        <v/>
      </c>
      <c r="B568" t="str">
        <f>Segmenter!B568</f>
        <v/>
      </c>
      <c r="C568" t="str">
        <f t="shared" si="40"/>
        <v/>
      </c>
      <c r="D568" t="str">
        <f t="shared" si="41"/>
        <v/>
      </c>
      <c r="E568" t="str">
        <f t="shared" si="42"/>
        <v/>
      </c>
      <c r="F568" t="str">
        <f>IF(D568="","",INDEX(Knutepunkter!$B:$B,D568+1))</f>
        <v/>
      </c>
      <c r="G568" t="str">
        <f>IF(D568="","",INDEX(Knutepunkter!$C:$C,D568+1))</f>
        <v/>
      </c>
      <c r="H568" t="str">
        <f>IF(D568="","",INDEX(Knutepunkter!$D:$D,D568+1))</f>
        <v/>
      </c>
      <c r="I568" t="str">
        <f>IF(E568="","",INDEX(Knutepunkter!$B:$B,E568+1))</f>
        <v/>
      </c>
      <c r="J568" t="str">
        <f>IF(E568="","",INDEX(Knutepunkter!$C:$C,E568+1))</f>
        <v/>
      </c>
      <c r="K568" t="str">
        <f>IF(E568="","",INDEX(Knutepunkter!$D:$D,E568+1))</f>
        <v/>
      </c>
      <c r="L568" t="str">
        <f t="shared" si="43"/>
        <v/>
      </c>
      <c r="M568" t="str">
        <f t="shared" si="44"/>
        <v/>
      </c>
    </row>
    <row r="569" spans="1:13" x14ac:dyDescent="0.3">
      <c r="A569" t="str">
        <f>Segmenter!A569</f>
        <v/>
      </c>
      <c r="B569" t="str">
        <f>Segmenter!B569</f>
        <v/>
      </c>
      <c r="C569" t="str">
        <f t="shared" si="40"/>
        <v/>
      </c>
      <c r="D569" t="str">
        <f t="shared" si="41"/>
        <v/>
      </c>
      <c r="E569" t="str">
        <f t="shared" si="42"/>
        <v/>
      </c>
      <c r="F569" t="str">
        <f>IF(D569="","",INDEX(Knutepunkter!$B:$B,D569+1))</f>
        <v/>
      </c>
      <c r="G569" t="str">
        <f>IF(D569="","",INDEX(Knutepunkter!$C:$C,D569+1))</f>
        <v/>
      </c>
      <c r="H569" t="str">
        <f>IF(D569="","",INDEX(Knutepunkter!$D:$D,D569+1))</f>
        <v/>
      </c>
      <c r="I569" t="str">
        <f>IF(E569="","",INDEX(Knutepunkter!$B:$B,E569+1))</f>
        <v/>
      </c>
      <c r="J569" t="str">
        <f>IF(E569="","",INDEX(Knutepunkter!$C:$C,E569+1))</f>
        <v/>
      </c>
      <c r="K569" t="str">
        <f>IF(E569="","",INDEX(Knutepunkter!$D:$D,E569+1))</f>
        <v/>
      </c>
      <c r="L569" t="str">
        <f t="shared" si="43"/>
        <v/>
      </c>
      <c r="M569" t="str">
        <f t="shared" si="44"/>
        <v/>
      </c>
    </row>
    <row r="570" spans="1:13" x14ac:dyDescent="0.3">
      <c r="A570" t="str">
        <f>Segmenter!A570</f>
        <v/>
      </c>
      <c r="B570" t="str">
        <f>Segmenter!B570</f>
        <v/>
      </c>
      <c r="C570" t="str">
        <f t="shared" si="40"/>
        <v/>
      </c>
      <c r="D570" t="str">
        <f t="shared" si="41"/>
        <v/>
      </c>
      <c r="E570" t="str">
        <f t="shared" si="42"/>
        <v/>
      </c>
      <c r="F570" t="str">
        <f>IF(D570="","",INDEX(Knutepunkter!$B:$B,D570+1))</f>
        <v/>
      </c>
      <c r="G570" t="str">
        <f>IF(D570="","",INDEX(Knutepunkter!$C:$C,D570+1))</f>
        <v/>
      </c>
      <c r="H570" t="str">
        <f>IF(D570="","",INDEX(Knutepunkter!$D:$D,D570+1))</f>
        <v/>
      </c>
      <c r="I570" t="str">
        <f>IF(E570="","",INDEX(Knutepunkter!$B:$B,E570+1))</f>
        <v/>
      </c>
      <c r="J570" t="str">
        <f>IF(E570="","",INDEX(Knutepunkter!$C:$C,E570+1))</f>
        <v/>
      </c>
      <c r="K570" t="str">
        <f>IF(E570="","",INDEX(Knutepunkter!$D:$D,E570+1))</f>
        <v/>
      </c>
      <c r="L570" t="str">
        <f t="shared" si="43"/>
        <v/>
      </c>
      <c r="M570" t="str">
        <f t="shared" si="44"/>
        <v/>
      </c>
    </row>
    <row r="571" spans="1:13" x14ac:dyDescent="0.3">
      <c r="A571" t="str">
        <f>Segmenter!A571</f>
        <v/>
      </c>
      <c r="B571" t="str">
        <f>Segmenter!B571</f>
        <v/>
      </c>
      <c r="C571" t="str">
        <f t="shared" si="40"/>
        <v/>
      </c>
      <c r="D571" t="str">
        <f t="shared" si="41"/>
        <v/>
      </c>
      <c r="E571" t="str">
        <f t="shared" si="42"/>
        <v/>
      </c>
      <c r="F571" t="str">
        <f>IF(D571="","",INDEX(Knutepunkter!$B:$B,D571+1))</f>
        <v/>
      </c>
      <c r="G571" t="str">
        <f>IF(D571="","",INDEX(Knutepunkter!$C:$C,D571+1))</f>
        <v/>
      </c>
      <c r="H571" t="str">
        <f>IF(D571="","",INDEX(Knutepunkter!$D:$D,D571+1))</f>
        <v/>
      </c>
      <c r="I571" t="str">
        <f>IF(E571="","",INDEX(Knutepunkter!$B:$B,E571+1))</f>
        <v/>
      </c>
      <c r="J571" t="str">
        <f>IF(E571="","",INDEX(Knutepunkter!$C:$C,E571+1))</f>
        <v/>
      </c>
      <c r="K571" t="str">
        <f>IF(E571="","",INDEX(Knutepunkter!$D:$D,E571+1))</f>
        <v/>
      </c>
      <c r="L571" t="str">
        <f t="shared" si="43"/>
        <v/>
      </c>
      <c r="M571" t="str">
        <f t="shared" si="44"/>
        <v/>
      </c>
    </row>
    <row r="572" spans="1:13" x14ac:dyDescent="0.3">
      <c r="A572" t="str">
        <f>Segmenter!A572</f>
        <v/>
      </c>
      <c r="B572" t="str">
        <f>Segmenter!B572</f>
        <v/>
      </c>
      <c r="C572" t="str">
        <f t="shared" si="40"/>
        <v/>
      </c>
      <c r="D572" t="str">
        <f t="shared" si="41"/>
        <v/>
      </c>
      <c r="E572" t="str">
        <f t="shared" si="42"/>
        <v/>
      </c>
      <c r="F572" t="str">
        <f>IF(D572="","",INDEX(Knutepunkter!$B:$B,D572+1))</f>
        <v/>
      </c>
      <c r="G572" t="str">
        <f>IF(D572="","",INDEX(Knutepunkter!$C:$C,D572+1))</f>
        <v/>
      </c>
      <c r="H572" t="str">
        <f>IF(D572="","",INDEX(Knutepunkter!$D:$D,D572+1))</f>
        <v/>
      </c>
      <c r="I572" t="str">
        <f>IF(E572="","",INDEX(Knutepunkter!$B:$B,E572+1))</f>
        <v/>
      </c>
      <c r="J572" t="str">
        <f>IF(E572="","",INDEX(Knutepunkter!$C:$C,E572+1))</f>
        <v/>
      </c>
      <c r="K572" t="str">
        <f>IF(E572="","",INDEX(Knutepunkter!$D:$D,E572+1))</f>
        <v/>
      </c>
      <c r="L572" t="str">
        <f t="shared" si="43"/>
        <v/>
      </c>
      <c r="M572" t="str">
        <f t="shared" si="44"/>
        <v/>
      </c>
    </row>
    <row r="573" spans="1:13" x14ac:dyDescent="0.3">
      <c r="A573" t="str">
        <f>Segmenter!A573</f>
        <v/>
      </c>
      <c r="B573" t="str">
        <f>Segmenter!B573</f>
        <v/>
      </c>
      <c r="C573" t="str">
        <f t="shared" si="40"/>
        <v/>
      </c>
      <c r="D573" t="str">
        <f t="shared" si="41"/>
        <v/>
      </c>
      <c r="E573" t="str">
        <f t="shared" si="42"/>
        <v/>
      </c>
      <c r="F573" t="str">
        <f>IF(D573="","",INDEX(Knutepunkter!$B:$B,D573+1))</f>
        <v/>
      </c>
      <c r="G573" t="str">
        <f>IF(D573="","",INDEX(Knutepunkter!$C:$C,D573+1))</f>
        <v/>
      </c>
      <c r="H573" t="str">
        <f>IF(D573="","",INDEX(Knutepunkter!$D:$D,D573+1))</f>
        <v/>
      </c>
      <c r="I573" t="str">
        <f>IF(E573="","",INDEX(Knutepunkter!$B:$B,E573+1))</f>
        <v/>
      </c>
      <c r="J573" t="str">
        <f>IF(E573="","",INDEX(Knutepunkter!$C:$C,E573+1))</f>
        <v/>
      </c>
      <c r="K573" t="str">
        <f>IF(E573="","",INDEX(Knutepunkter!$D:$D,E573+1))</f>
        <v/>
      </c>
      <c r="L573" t="str">
        <f t="shared" si="43"/>
        <v/>
      </c>
      <c r="M573" t="str">
        <f t="shared" si="44"/>
        <v/>
      </c>
    </row>
    <row r="574" spans="1:13" x14ac:dyDescent="0.3">
      <c r="A574" t="str">
        <f>Segmenter!A574</f>
        <v/>
      </c>
      <c r="B574" t="str">
        <f>Segmenter!B574</f>
        <v/>
      </c>
      <c r="C574" t="str">
        <f t="shared" si="40"/>
        <v/>
      </c>
      <c r="D574" t="str">
        <f t="shared" si="41"/>
        <v/>
      </c>
      <c r="E574" t="str">
        <f t="shared" si="42"/>
        <v/>
      </c>
      <c r="F574" t="str">
        <f>IF(D574="","",INDEX(Knutepunkter!$B:$B,D574+1))</f>
        <v/>
      </c>
      <c r="G574" t="str">
        <f>IF(D574="","",INDEX(Knutepunkter!$C:$C,D574+1))</f>
        <v/>
      </c>
      <c r="H574" t="str">
        <f>IF(D574="","",INDEX(Knutepunkter!$D:$D,D574+1))</f>
        <v/>
      </c>
      <c r="I574" t="str">
        <f>IF(E574="","",INDEX(Knutepunkter!$B:$B,E574+1))</f>
        <v/>
      </c>
      <c r="J574" t="str">
        <f>IF(E574="","",INDEX(Knutepunkter!$C:$C,E574+1))</f>
        <v/>
      </c>
      <c r="K574" t="str">
        <f>IF(E574="","",INDEX(Knutepunkter!$D:$D,E574+1))</f>
        <v/>
      </c>
      <c r="L574" t="str">
        <f t="shared" si="43"/>
        <v/>
      </c>
      <c r="M574" t="str">
        <f t="shared" si="44"/>
        <v/>
      </c>
    </row>
    <row r="575" spans="1:13" x14ac:dyDescent="0.3">
      <c r="A575" t="str">
        <f>Segmenter!A575</f>
        <v/>
      </c>
      <c r="B575" t="str">
        <f>Segmenter!B575</f>
        <v/>
      </c>
      <c r="C575" t="str">
        <f t="shared" si="40"/>
        <v/>
      </c>
      <c r="D575" t="str">
        <f t="shared" si="41"/>
        <v/>
      </c>
      <c r="E575" t="str">
        <f t="shared" si="42"/>
        <v/>
      </c>
      <c r="F575" t="str">
        <f>IF(D575="","",INDEX(Knutepunkter!$B:$B,D575+1))</f>
        <v/>
      </c>
      <c r="G575" t="str">
        <f>IF(D575="","",INDEX(Knutepunkter!$C:$C,D575+1))</f>
        <v/>
      </c>
      <c r="H575" t="str">
        <f>IF(D575="","",INDEX(Knutepunkter!$D:$D,D575+1))</f>
        <v/>
      </c>
      <c r="I575" t="str">
        <f>IF(E575="","",INDEX(Knutepunkter!$B:$B,E575+1))</f>
        <v/>
      </c>
      <c r="J575" t="str">
        <f>IF(E575="","",INDEX(Knutepunkter!$C:$C,E575+1))</f>
        <v/>
      </c>
      <c r="K575" t="str">
        <f>IF(E575="","",INDEX(Knutepunkter!$D:$D,E575+1))</f>
        <v/>
      </c>
      <c r="L575" t="str">
        <f t="shared" si="43"/>
        <v/>
      </c>
      <c r="M575" t="str">
        <f t="shared" si="44"/>
        <v/>
      </c>
    </row>
    <row r="576" spans="1:13" x14ac:dyDescent="0.3">
      <c r="A576" t="str">
        <f>Segmenter!A576</f>
        <v/>
      </c>
      <c r="B576" t="str">
        <f>Segmenter!B576</f>
        <v/>
      </c>
      <c r="C576" t="str">
        <f t="shared" si="40"/>
        <v/>
      </c>
      <c r="D576" t="str">
        <f t="shared" si="41"/>
        <v/>
      </c>
      <c r="E576" t="str">
        <f t="shared" si="42"/>
        <v/>
      </c>
      <c r="F576" t="str">
        <f>IF(D576="","",INDEX(Knutepunkter!$B:$B,D576+1))</f>
        <v/>
      </c>
      <c r="G576" t="str">
        <f>IF(D576="","",INDEX(Knutepunkter!$C:$C,D576+1))</f>
        <v/>
      </c>
      <c r="H576" t="str">
        <f>IF(D576="","",INDEX(Knutepunkter!$D:$D,D576+1))</f>
        <v/>
      </c>
      <c r="I576" t="str">
        <f>IF(E576="","",INDEX(Knutepunkter!$B:$B,E576+1))</f>
        <v/>
      </c>
      <c r="J576" t="str">
        <f>IF(E576="","",INDEX(Knutepunkter!$C:$C,E576+1))</f>
        <v/>
      </c>
      <c r="K576" t="str">
        <f>IF(E576="","",INDEX(Knutepunkter!$D:$D,E576+1))</f>
        <v/>
      </c>
      <c r="L576" t="str">
        <f t="shared" si="43"/>
        <v/>
      </c>
      <c r="M576" t="str">
        <f t="shared" si="44"/>
        <v/>
      </c>
    </row>
    <row r="577" spans="1:13" x14ac:dyDescent="0.3">
      <c r="A577" t="str">
        <f>Segmenter!A577</f>
        <v/>
      </c>
      <c r="B577" t="str">
        <f>Segmenter!B577</f>
        <v/>
      </c>
      <c r="C577" t="str">
        <f t="shared" si="40"/>
        <v/>
      </c>
      <c r="D577" t="str">
        <f t="shared" si="41"/>
        <v/>
      </c>
      <c r="E577" t="str">
        <f t="shared" si="42"/>
        <v/>
      </c>
      <c r="F577" t="str">
        <f>IF(D577="","",INDEX(Knutepunkter!$B:$B,D577+1))</f>
        <v/>
      </c>
      <c r="G577" t="str">
        <f>IF(D577="","",INDEX(Knutepunkter!$C:$C,D577+1))</f>
        <v/>
      </c>
      <c r="H577" t="str">
        <f>IF(D577="","",INDEX(Knutepunkter!$D:$D,D577+1))</f>
        <v/>
      </c>
      <c r="I577" t="str">
        <f>IF(E577="","",INDEX(Knutepunkter!$B:$B,E577+1))</f>
        <v/>
      </c>
      <c r="J577" t="str">
        <f>IF(E577="","",INDEX(Knutepunkter!$C:$C,E577+1))</f>
        <v/>
      </c>
      <c r="K577" t="str">
        <f>IF(E577="","",INDEX(Knutepunkter!$D:$D,E577+1))</f>
        <v/>
      </c>
      <c r="L577" t="str">
        <f t="shared" si="43"/>
        <v/>
      </c>
      <c r="M577" t="str">
        <f t="shared" si="44"/>
        <v/>
      </c>
    </row>
    <row r="578" spans="1:13" x14ac:dyDescent="0.3">
      <c r="A578" t="str">
        <f>Segmenter!A578</f>
        <v/>
      </c>
      <c r="B578" t="str">
        <f>Segmenter!B578</f>
        <v/>
      </c>
      <c r="C578" t="str">
        <f t="shared" ref="C578:C641" si="45">IF(B578="","",IF(AND(F578=I578,G578=J578,H578&lt;&gt;K578),"Søyle","Bjelke"))</f>
        <v/>
      </c>
      <c r="D578" t="str">
        <f t="shared" ref="D578:D641" si="46">IF(B578="","",VALUE(LEFT(B578,FIND(" -&gt; ",B578)-1)))</f>
        <v/>
      </c>
      <c r="E578" t="str">
        <f t="shared" ref="E578:E641" si="47">IF(B578="","",VALUE(MID(B578,FIND(" -&gt; ",B578)+4,99)))</f>
        <v/>
      </c>
      <c r="F578" t="str">
        <f>IF(D578="","",INDEX(Knutepunkter!$B:$B,D578+1))</f>
        <v/>
      </c>
      <c r="G578" t="str">
        <f>IF(D578="","",INDEX(Knutepunkter!$C:$C,D578+1))</f>
        <v/>
      </c>
      <c r="H578" t="str">
        <f>IF(D578="","",INDEX(Knutepunkter!$D:$D,D578+1))</f>
        <v/>
      </c>
      <c r="I578" t="str">
        <f>IF(E578="","",INDEX(Knutepunkter!$B:$B,E578+1))</f>
        <v/>
      </c>
      <c r="J578" t="str">
        <f>IF(E578="","",INDEX(Knutepunkter!$C:$C,E578+1))</f>
        <v/>
      </c>
      <c r="K578" t="str">
        <f>IF(E578="","",INDEX(Knutepunkter!$D:$D,E578+1))</f>
        <v/>
      </c>
      <c r="L578" t="str">
        <f t="shared" ref="L578:L641" si="48">IF(B578="","",SQRT((I578-F578)^2+(J578-G578)^2+(K578-H578)^2))</f>
        <v/>
      </c>
      <c r="M578" t="str">
        <f t="shared" ref="M578:M641" si="49">IF(L578="","",L578/1000)</f>
        <v/>
      </c>
    </row>
    <row r="579" spans="1:13" x14ac:dyDescent="0.3">
      <c r="A579" t="str">
        <f>Segmenter!A579</f>
        <v/>
      </c>
      <c r="B579" t="str">
        <f>Segmenter!B579</f>
        <v/>
      </c>
      <c r="C579" t="str">
        <f t="shared" si="45"/>
        <v/>
      </c>
      <c r="D579" t="str">
        <f t="shared" si="46"/>
        <v/>
      </c>
      <c r="E579" t="str">
        <f t="shared" si="47"/>
        <v/>
      </c>
      <c r="F579" t="str">
        <f>IF(D579="","",INDEX(Knutepunkter!$B:$B,D579+1))</f>
        <v/>
      </c>
      <c r="G579" t="str">
        <f>IF(D579="","",INDEX(Knutepunkter!$C:$C,D579+1))</f>
        <v/>
      </c>
      <c r="H579" t="str">
        <f>IF(D579="","",INDEX(Knutepunkter!$D:$D,D579+1))</f>
        <v/>
      </c>
      <c r="I579" t="str">
        <f>IF(E579="","",INDEX(Knutepunkter!$B:$B,E579+1))</f>
        <v/>
      </c>
      <c r="J579" t="str">
        <f>IF(E579="","",INDEX(Knutepunkter!$C:$C,E579+1))</f>
        <v/>
      </c>
      <c r="K579" t="str">
        <f>IF(E579="","",INDEX(Knutepunkter!$D:$D,E579+1))</f>
        <v/>
      </c>
      <c r="L579" t="str">
        <f t="shared" si="48"/>
        <v/>
      </c>
      <c r="M579" t="str">
        <f t="shared" si="49"/>
        <v/>
      </c>
    </row>
    <row r="580" spans="1:13" x14ac:dyDescent="0.3">
      <c r="A580" t="str">
        <f>Segmenter!A580</f>
        <v/>
      </c>
      <c r="B580" t="str">
        <f>Segmenter!B580</f>
        <v/>
      </c>
      <c r="C580" t="str">
        <f t="shared" si="45"/>
        <v/>
      </c>
      <c r="D580" t="str">
        <f t="shared" si="46"/>
        <v/>
      </c>
      <c r="E580" t="str">
        <f t="shared" si="47"/>
        <v/>
      </c>
      <c r="F580" t="str">
        <f>IF(D580="","",INDEX(Knutepunkter!$B:$B,D580+1))</f>
        <v/>
      </c>
      <c r="G580" t="str">
        <f>IF(D580="","",INDEX(Knutepunkter!$C:$C,D580+1))</f>
        <v/>
      </c>
      <c r="H580" t="str">
        <f>IF(D580="","",INDEX(Knutepunkter!$D:$D,D580+1))</f>
        <v/>
      </c>
      <c r="I580" t="str">
        <f>IF(E580="","",INDEX(Knutepunkter!$B:$B,E580+1))</f>
        <v/>
      </c>
      <c r="J580" t="str">
        <f>IF(E580="","",INDEX(Knutepunkter!$C:$C,E580+1))</f>
        <v/>
      </c>
      <c r="K580" t="str">
        <f>IF(E580="","",INDEX(Knutepunkter!$D:$D,E580+1))</f>
        <v/>
      </c>
      <c r="L580" t="str">
        <f t="shared" si="48"/>
        <v/>
      </c>
      <c r="M580" t="str">
        <f t="shared" si="49"/>
        <v/>
      </c>
    </row>
    <row r="581" spans="1:13" x14ac:dyDescent="0.3">
      <c r="A581" t="str">
        <f>Segmenter!A581</f>
        <v/>
      </c>
      <c r="B581" t="str">
        <f>Segmenter!B581</f>
        <v/>
      </c>
      <c r="C581" t="str">
        <f t="shared" si="45"/>
        <v/>
      </c>
      <c r="D581" t="str">
        <f t="shared" si="46"/>
        <v/>
      </c>
      <c r="E581" t="str">
        <f t="shared" si="47"/>
        <v/>
      </c>
      <c r="F581" t="str">
        <f>IF(D581="","",INDEX(Knutepunkter!$B:$B,D581+1))</f>
        <v/>
      </c>
      <c r="G581" t="str">
        <f>IF(D581="","",INDEX(Knutepunkter!$C:$C,D581+1))</f>
        <v/>
      </c>
      <c r="H581" t="str">
        <f>IF(D581="","",INDEX(Knutepunkter!$D:$D,D581+1))</f>
        <v/>
      </c>
      <c r="I581" t="str">
        <f>IF(E581="","",INDEX(Knutepunkter!$B:$B,E581+1))</f>
        <v/>
      </c>
      <c r="J581" t="str">
        <f>IF(E581="","",INDEX(Knutepunkter!$C:$C,E581+1))</f>
        <v/>
      </c>
      <c r="K581" t="str">
        <f>IF(E581="","",INDEX(Knutepunkter!$D:$D,E581+1))</f>
        <v/>
      </c>
      <c r="L581" t="str">
        <f t="shared" si="48"/>
        <v/>
      </c>
      <c r="M581" t="str">
        <f t="shared" si="49"/>
        <v/>
      </c>
    </row>
    <row r="582" spans="1:13" x14ac:dyDescent="0.3">
      <c r="A582" t="str">
        <f>Segmenter!A582</f>
        <v/>
      </c>
      <c r="B582" t="str">
        <f>Segmenter!B582</f>
        <v/>
      </c>
      <c r="C582" t="str">
        <f t="shared" si="45"/>
        <v/>
      </c>
      <c r="D582" t="str">
        <f t="shared" si="46"/>
        <v/>
      </c>
      <c r="E582" t="str">
        <f t="shared" si="47"/>
        <v/>
      </c>
      <c r="F582" t="str">
        <f>IF(D582="","",INDEX(Knutepunkter!$B:$B,D582+1))</f>
        <v/>
      </c>
      <c r="G582" t="str">
        <f>IF(D582="","",INDEX(Knutepunkter!$C:$C,D582+1))</f>
        <v/>
      </c>
      <c r="H582" t="str">
        <f>IF(D582="","",INDEX(Knutepunkter!$D:$D,D582+1))</f>
        <v/>
      </c>
      <c r="I582" t="str">
        <f>IF(E582="","",INDEX(Knutepunkter!$B:$B,E582+1))</f>
        <v/>
      </c>
      <c r="J582" t="str">
        <f>IF(E582="","",INDEX(Knutepunkter!$C:$C,E582+1))</f>
        <v/>
      </c>
      <c r="K582" t="str">
        <f>IF(E582="","",INDEX(Knutepunkter!$D:$D,E582+1))</f>
        <v/>
      </c>
      <c r="L582" t="str">
        <f t="shared" si="48"/>
        <v/>
      </c>
      <c r="M582" t="str">
        <f t="shared" si="49"/>
        <v/>
      </c>
    </row>
    <row r="583" spans="1:13" x14ac:dyDescent="0.3">
      <c r="A583" t="str">
        <f>Segmenter!A583</f>
        <v/>
      </c>
      <c r="B583" t="str">
        <f>Segmenter!B583</f>
        <v/>
      </c>
      <c r="C583" t="str">
        <f t="shared" si="45"/>
        <v/>
      </c>
      <c r="D583" t="str">
        <f t="shared" si="46"/>
        <v/>
      </c>
      <c r="E583" t="str">
        <f t="shared" si="47"/>
        <v/>
      </c>
      <c r="F583" t="str">
        <f>IF(D583="","",INDEX(Knutepunkter!$B:$B,D583+1))</f>
        <v/>
      </c>
      <c r="G583" t="str">
        <f>IF(D583="","",INDEX(Knutepunkter!$C:$C,D583+1))</f>
        <v/>
      </c>
      <c r="H583" t="str">
        <f>IF(D583="","",INDEX(Knutepunkter!$D:$D,D583+1))</f>
        <v/>
      </c>
      <c r="I583" t="str">
        <f>IF(E583="","",INDEX(Knutepunkter!$B:$B,E583+1))</f>
        <v/>
      </c>
      <c r="J583" t="str">
        <f>IF(E583="","",INDEX(Knutepunkter!$C:$C,E583+1))</f>
        <v/>
      </c>
      <c r="K583" t="str">
        <f>IF(E583="","",INDEX(Knutepunkter!$D:$D,E583+1))</f>
        <v/>
      </c>
      <c r="L583" t="str">
        <f t="shared" si="48"/>
        <v/>
      </c>
      <c r="M583" t="str">
        <f t="shared" si="49"/>
        <v/>
      </c>
    </row>
    <row r="584" spans="1:13" x14ac:dyDescent="0.3">
      <c r="A584" t="str">
        <f>Segmenter!A584</f>
        <v/>
      </c>
      <c r="B584" t="str">
        <f>Segmenter!B584</f>
        <v/>
      </c>
      <c r="C584" t="str">
        <f t="shared" si="45"/>
        <v/>
      </c>
      <c r="D584" t="str">
        <f t="shared" si="46"/>
        <v/>
      </c>
      <c r="E584" t="str">
        <f t="shared" si="47"/>
        <v/>
      </c>
      <c r="F584" t="str">
        <f>IF(D584="","",INDEX(Knutepunkter!$B:$B,D584+1))</f>
        <v/>
      </c>
      <c r="G584" t="str">
        <f>IF(D584="","",INDEX(Knutepunkter!$C:$C,D584+1))</f>
        <v/>
      </c>
      <c r="H584" t="str">
        <f>IF(D584="","",INDEX(Knutepunkter!$D:$D,D584+1))</f>
        <v/>
      </c>
      <c r="I584" t="str">
        <f>IF(E584="","",INDEX(Knutepunkter!$B:$B,E584+1))</f>
        <v/>
      </c>
      <c r="J584" t="str">
        <f>IF(E584="","",INDEX(Knutepunkter!$C:$C,E584+1))</f>
        <v/>
      </c>
      <c r="K584" t="str">
        <f>IF(E584="","",INDEX(Knutepunkter!$D:$D,E584+1))</f>
        <v/>
      </c>
      <c r="L584" t="str">
        <f t="shared" si="48"/>
        <v/>
      </c>
      <c r="M584" t="str">
        <f t="shared" si="49"/>
        <v/>
      </c>
    </row>
    <row r="585" spans="1:13" x14ac:dyDescent="0.3">
      <c r="A585" t="str">
        <f>Segmenter!A585</f>
        <v/>
      </c>
      <c r="B585" t="str">
        <f>Segmenter!B585</f>
        <v/>
      </c>
      <c r="C585" t="str">
        <f t="shared" si="45"/>
        <v/>
      </c>
      <c r="D585" t="str">
        <f t="shared" si="46"/>
        <v/>
      </c>
      <c r="E585" t="str">
        <f t="shared" si="47"/>
        <v/>
      </c>
      <c r="F585" t="str">
        <f>IF(D585="","",INDEX(Knutepunkter!$B:$B,D585+1))</f>
        <v/>
      </c>
      <c r="G585" t="str">
        <f>IF(D585="","",INDEX(Knutepunkter!$C:$C,D585+1))</f>
        <v/>
      </c>
      <c r="H585" t="str">
        <f>IF(D585="","",INDEX(Knutepunkter!$D:$D,D585+1))</f>
        <v/>
      </c>
      <c r="I585" t="str">
        <f>IF(E585="","",INDEX(Knutepunkter!$B:$B,E585+1))</f>
        <v/>
      </c>
      <c r="J585" t="str">
        <f>IF(E585="","",INDEX(Knutepunkter!$C:$C,E585+1))</f>
        <v/>
      </c>
      <c r="K585" t="str">
        <f>IF(E585="","",INDEX(Knutepunkter!$D:$D,E585+1))</f>
        <v/>
      </c>
      <c r="L585" t="str">
        <f t="shared" si="48"/>
        <v/>
      </c>
      <c r="M585" t="str">
        <f t="shared" si="49"/>
        <v/>
      </c>
    </row>
    <row r="586" spans="1:13" x14ac:dyDescent="0.3">
      <c r="A586" t="str">
        <f>Segmenter!A586</f>
        <v/>
      </c>
      <c r="B586" t="str">
        <f>Segmenter!B586</f>
        <v/>
      </c>
      <c r="C586" t="str">
        <f t="shared" si="45"/>
        <v/>
      </c>
      <c r="D586" t="str">
        <f t="shared" si="46"/>
        <v/>
      </c>
      <c r="E586" t="str">
        <f t="shared" si="47"/>
        <v/>
      </c>
      <c r="F586" t="str">
        <f>IF(D586="","",INDEX(Knutepunkter!$B:$B,D586+1))</f>
        <v/>
      </c>
      <c r="G586" t="str">
        <f>IF(D586="","",INDEX(Knutepunkter!$C:$C,D586+1))</f>
        <v/>
      </c>
      <c r="H586" t="str">
        <f>IF(D586="","",INDEX(Knutepunkter!$D:$D,D586+1))</f>
        <v/>
      </c>
      <c r="I586" t="str">
        <f>IF(E586="","",INDEX(Knutepunkter!$B:$B,E586+1))</f>
        <v/>
      </c>
      <c r="J586" t="str">
        <f>IF(E586="","",INDEX(Knutepunkter!$C:$C,E586+1))</f>
        <v/>
      </c>
      <c r="K586" t="str">
        <f>IF(E586="","",INDEX(Knutepunkter!$D:$D,E586+1))</f>
        <v/>
      </c>
      <c r="L586" t="str">
        <f t="shared" si="48"/>
        <v/>
      </c>
      <c r="M586" t="str">
        <f t="shared" si="49"/>
        <v/>
      </c>
    </row>
    <row r="587" spans="1:13" x14ac:dyDescent="0.3">
      <c r="A587" t="str">
        <f>Segmenter!A587</f>
        <v/>
      </c>
      <c r="B587" t="str">
        <f>Segmenter!B587</f>
        <v/>
      </c>
      <c r="C587" t="str">
        <f t="shared" si="45"/>
        <v/>
      </c>
      <c r="D587" t="str">
        <f t="shared" si="46"/>
        <v/>
      </c>
      <c r="E587" t="str">
        <f t="shared" si="47"/>
        <v/>
      </c>
      <c r="F587" t="str">
        <f>IF(D587="","",INDEX(Knutepunkter!$B:$B,D587+1))</f>
        <v/>
      </c>
      <c r="G587" t="str">
        <f>IF(D587="","",INDEX(Knutepunkter!$C:$C,D587+1))</f>
        <v/>
      </c>
      <c r="H587" t="str">
        <f>IF(D587="","",INDEX(Knutepunkter!$D:$D,D587+1))</f>
        <v/>
      </c>
      <c r="I587" t="str">
        <f>IF(E587="","",INDEX(Knutepunkter!$B:$B,E587+1))</f>
        <v/>
      </c>
      <c r="J587" t="str">
        <f>IF(E587="","",INDEX(Knutepunkter!$C:$C,E587+1))</f>
        <v/>
      </c>
      <c r="K587" t="str">
        <f>IF(E587="","",INDEX(Knutepunkter!$D:$D,E587+1))</f>
        <v/>
      </c>
      <c r="L587" t="str">
        <f t="shared" si="48"/>
        <v/>
      </c>
      <c r="M587" t="str">
        <f t="shared" si="49"/>
        <v/>
      </c>
    </row>
    <row r="588" spans="1:13" x14ac:dyDescent="0.3">
      <c r="A588" t="str">
        <f>Segmenter!A588</f>
        <v/>
      </c>
      <c r="B588" t="str">
        <f>Segmenter!B588</f>
        <v/>
      </c>
      <c r="C588" t="str">
        <f t="shared" si="45"/>
        <v/>
      </c>
      <c r="D588" t="str">
        <f t="shared" si="46"/>
        <v/>
      </c>
      <c r="E588" t="str">
        <f t="shared" si="47"/>
        <v/>
      </c>
      <c r="F588" t="str">
        <f>IF(D588="","",INDEX(Knutepunkter!$B:$B,D588+1))</f>
        <v/>
      </c>
      <c r="G588" t="str">
        <f>IF(D588="","",INDEX(Knutepunkter!$C:$C,D588+1))</f>
        <v/>
      </c>
      <c r="H588" t="str">
        <f>IF(D588="","",INDEX(Knutepunkter!$D:$D,D588+1))</f>
        <v/>
      </c>
      <c r="I588" t="str">
        <f>IF(E588="","",INDEX(Knutepunkter!$B:$B,E588+1))</f>
        <v/>
      </c>
      <c r="J588" t="str">
        <f>IF(E588="","",INDEX(Knutepunkter!$C:$C,E588+1))</f>
        <v/>
      </c>
      <c r="K588" t="str">
        <f>IF(E588="","",INDEX(Knutepunkter!$D:$D,E588+1))</f>
        <v/>
      </c>
      <c r="L588" t="str">
        <f t="shared" si="48"/>
        <v/>
      </c>
      <c r="M588" t="str">
        <f t="shared" si="49"/>
        <v/>
      </c>
    </row>
    <row r="589" spans="1:13" x14ac:dyDescent="0.3">
      <c r="A589" t="str">
        <f>Segmenter!A589</f>
        <v/>
      </c>
      <c r="B589" t="str">
        <f>Segmenter!B589</f>
        <v/>
      </c>
      <c r="C589" t="str">
        <f t="shared" si="45"/>
        <v/>
      </c>
      <c r="D589" t="str">
        <f t="shared" si="46"/>
        <v/>
      </c>
      <c r="E589" t="str">
        <f t="shared" si="47"/>
        <v/>
      </c>
      <c r="F589" t="str">
        <f>IF(D589="","",INDEX(Knutepunkter!$B:$B,D589+1))</f>
        <v/>
      </c>
      <c r="G589" t="str">
        <f>IF(D589="","",INDEX(Knutepunkter!$C:$C,D589+1))</f>
        <v/>
      </c>
      <c r="H589" t="str">
        <f>IF(D589="","",INDEX(Knutepunkter!$D:$D,D589+1))</f>
        <v/>
      </c>
      <c r="I589" t="str">
        <f>IF(E589="","",INDEX(Knutepunkter!$B:$B,E589+1))</f>
        <v/>
      </c>
      <c r="J589" t="str">
        <f>IF(E589="","",INDEX(Knutepunkter!$C:$C,E589+1))</f>
        <v/>
      </c>
      <c r="K589" t="str">
        <f>IF(E589="","",INDEX(Knutepunkter!$D:$D,E589+1))</f>
        <v/>
      </c>
      <c r="L589" t="str">
        <f t="shared" si="48"/>
        <v/>
      </c>
      <c r="M589" t="str">
        <f t="shared" si="49"/>
        <v/>
      </c>
    </row>
    <row r="590" spans="1:13" x14ac:dyDescent="0.3">
      <c r="A590" t="str">
        <f>Segmenter!A590</f>
        <v/>
      </c>
      <c r="B590" t="str">
        <f>Segmenter!B590</f>
        <v/>
      </c>
      <c r="C590" t="str">
        <f t="shared" si="45"/>
        <v/>
      </c>
      <c r="D590" t="str">
        <f t="shared" si="46"/>
        <v/>
      </c>
      <c r="E590" t="str">
        <f t="shared" si="47"/>
        <v/>
      </c>
      <c r="F590" t="str">
        <f>IF(D590="","",INDEX(Knutepunkter!$B:$B,D590+1))</f>
        <v/>
      </c>
      <c r="G590" t="str">
        <f>IF(D590="","",INDEX(Knutepunkter!$C:$C,D590+1))</f>
        <v/>
      </c>
      <c r="H590" t="str">
        <f>IF(D590="","",INDEX(Knutepunkter!$D:$D,D590+1))</f>
        <v/>
      </c>
      <c r="I590" t="str">
        <f>IF(E590="","",INDEX(Knutepunkter!$B:$B,E590+1))</f>
        <v/>
      </c>
      <c r="J590" t="str">
        <f>IF(E590="","",INDEX(Knutepunkter!$C:$C,E590+1))</f>
        <v/>
      </c>
      <c r="K590" t="str">
        <f>IF(E590="","",INDEX(Knutepunkter!$D:$D,E590+1))</f>
        <v/>
      </c>
      <c r="L590" t="str">
        <f t="shared" si="48"/>
        <v/>
      </c>
      <c r="M590" t="str">
        <f t="shared" si="49"/>
        <v/>
      </c>
    </row>
    <row r="591" spans="1:13" x14ac:dyDescent="0.3">
      <c r="A591" t="str">
        <f>Segmenter!A591</f>
        <v/>
      </c>
      <c r="B591" t="str">
        <f>Segmenter!B591</f>
        <v/>
      </c>
      <c r="C591" t="str">
        <f t="shared" si="45"/>
        <v/>
      </c>
      <c r="D591" t="str">
        <f t="shared" si="46"/>
        <v/>
      </c>
      <c r="E591" t="str">
        <f t="shared" si="47"/>
        <v/>
      </c>
      <c r="F591" t="str">
        <f>IF(D591="","",INDEX(Knutepunkter!$B:$B,D591+1))</f>
        <v/>
      </c>
      <c r="G591" t="str">
        <f>IF(D591="","",INDEX(Knutepunkter!$C:$C,D591+1))</f>
        <v/>
      </c>
      <c r="H591" t="str">
        <f>IF(D591="","",INDEX(Knutepunkter!$D:$D,D591+1))</f>
        <v/>
      </c>
      <c r="I591" t="str">
        <f>IF(E591="","",INDEX(Knutepunkter!$B:$B,E591+1))</f>
        <v/>
      </c>
      <c r="J591" t="str">
        <f>IF(E591="","",INDEX(Knutepunkter!$C:$C,E591+1))</f>
        <v/>
      </c>
      <c r="K591" t="str">
        <f>IF(E591="","",INDEX(Knutepunkter!$D:$D,E591+1))</f>
        <v/>
      </c>
      <c r="L591" t="str">
        <f t="shared" si="48"/>
        <v/>
      </c>
      <c r="M591" t="str">
        <f t="shared" si="49"/>
        <v/>
      </c>
    </row>
    <row r="592" spans="1:13" x14ac:dyDescent="0.3">
      <c r="A592" t="str">
        <f>Segmenter!A592</f>
        <v/>
      </c>
      <c r="B592" t="str">
        <f>Segmenter!B592</f>
        <v/>
      </c>
      <c r="C592" t="str">
        <f t="shared" si="45"/>
        <v/>
      </c>
      <c r="D592" t="str">
        <f t="shared" si="46"/>
        <v/>
      </c>
      <c r="E592" t="str">
        <f t="shared" si="47"/>
        <v/>
      </c>
      <c r="F592" t="str">
        <f>IF(D592="","",INDEX(Knutepunkter!$B:$B,D592+1))</f>
        <v/>
      </c>
      <c r="G592" t="str">
        <f>IF(D592="","",INDEX(Knutepunkter!$C:$C,D592+1))</f>
        <v/>
      </c>
      <c r="H592" t="str">
        <f>IF(D592="","",INDEX(Knutepunkter!$D:$D,D592+1))</f>
        <v/>
      </c>
      <c r="I592" t="str">
        <f>IF(E592="","",INDEX(Knutepunkter!$B:$B,E592+1))</f>
        <v/>
      </c>
      <c r="J592" t="str">
        <f>IF(E592="","",INDEX(Knutepunkter!$C:$C,E592+1))</f>
        <v/>
      </c>
      <c r="K592" t="str">
        <f>IF(E592="","",INDEX(Knutepunkter!$D:$D,E592+1))</f>
        <v/>
      </c>
      <c r="L592" t="str">
        <f t="shared" si="48"/>
        <v/>
      </c>
      <c r="M592" t="str">
        <f t="shared" si="49"/>
        <v/>
      </c>
    </row>
    <row r="593" spans="1:13" x14ac:dyDescent="0.3">
      <c r="A593" t="str">
        <f>Segmenter!A593</f>
        <v/>
      </c>
      <c r="B593" t="str">
        <f>Segmenter!B593</f>
        <v/>
      </c>
      <c r="C593" t="str">
        <f t="shared" si="45"/>
        <v/>
      </c>
      <c r="D593" t="str">
        <f t="shared" si="46"/>
        <v/>
      </c>
      <c r="E593" t="str">
        <f t="shared" si="47"/>
        <v/>
      </c>
      <c r="F593" t="str">
        <f>IF(D593="","",INDEX(Knutepunkter!$B:$B,D593+1))</f>
        <v/>
      </c>
      <c r="G593" t="str">
        <f>IF(D593="","",INDEX(Knutepunkter!$C:$C,D593+1))</f>
        <v/>
      </c>
      <c r="H593" t="str">
        <f>IF(D593="","",INDEX(Knutepunkter!$D:$D,D593+1))</f>
        <v/>
      </c>
      <c r="I593" t="str">
        <f>IF(E593="","",INDEX(Knutepunkter!$B:$B,E593+1))</f>
        <v/>
      </c>
      <c r="J593" t="str">
        <f>IF(E593="","",INDEX(Knutepunkter!$C:$C,E593+1))</f>
        <v/>
      </c>
      <c r="K593" t="str">
        <f>IF(E593="","",INDEX(Knutepunkter!$D:$D,E593+1))</f>
        <v/>
      </c>
      <c r="L593" t="str">
        <f t="shared" si="48"/>
        <v/>
      </c>
      <c r="M593" t="str">
        <f t="shared" si="49"/>
        <v/>
      </c>
    </row>
    <row r="594" spans="1:13" x14ac:dyDescent="0.3">
      <c r="A594" t="str">
        <f>Segmenter!A594</f>
        <v/>
      </c>
      <c r="B594" t="str">
        <f>Segmenter!B594</f>
        <v/>
      </c>
      <c r="C594" t="str">
        <f t="shared" si="45"/>
        <v/>
      </c>
      <c r="D594" t="str">
        <f t="shared" si="46"/>
        <v/>
      </c>
      <c r="E594" t="str">
        <f t="shared" si="47"/>
        <v/>
      </c>
      <c r="F594" t="str">
        <f>IF(D594="","",INDEX(Knutepunkter!$B:$B,D594+1))</f>
        <v/>
      </c>
      <c r="G594" t="str">
        <f>IF(D594="","",INDEX(Knutepunkter!$C:$C,D594+1))</f>
        <v/>
      </c>
      <c r="H594" t="str">
        <f>IF(D594="","",INDEX(Knutepunkter!$D:$D,D594+1))</f>
        <v/>
      </c>
      <c r="I594" t="str">
        <f>IF(E594="","",INDEX(Knutepunkter!$B:$B,E594+1))</f>
        <v/>
      </c>
      <c r="J594" t="str">
        <f>IF(E594="","",INDEX(Knutepunkter!$C:$C,E594+1))</f>
        <v/>
      </c>
      <c r="K594" t="str">
        <f>IF(E594="","",INDEX(Knutepunkter!$D:$D,E594+1))</f>
        <v/>
      </c>
      <c r="L594" t="str">
        <f t="shared" si="48"/>
        <v/>
      </c>
      <c r="M594" t="str">
        <f t="shared" si="49"/>
        <v/>
      </c>
    </row>
    <row r="595" spans="1:13" x14ac:dyDescent="0.3">
      <c r="A595" t="str">
        <f>Segmenter!A595</f>
        <v/>
      </c>
      <c r="B595" t="str">
        <f>Segmenter!B595</f>
        <v/>
      </c>
      <c r="C595" t="str">
        <f t="shared" si="45"/>
        <v/>
      </c>
      <c r="D595" t="str">
        <f t="shared" si="46"/>
        <v/>
      </c>
      <c r="E595" t="str">
        <f t="shared" si="47"/>
        <v/>
      </c>
      <c r="F595" t="str">
        <f>IF(D595="","",INDEX(Knutepunkter!$B:$B,D595+1))</f>
        <v/>
      </c>
      <c r="G595" t="str">
        <f>IF(D595="","",INDEX(Knutepunkter!$C:$C,D595+1))</f>
        <v/>
      </c>
      <c r="H595" t="str">
        <f>IF(D595="","",INDEX(Knutepunkter!$D:$D,D595+1))</f>
        <v/>
      </c>
      <c r="I595" t="str">
        <f>IF(E595="","",INDEX(Knutepunkter!$B:$B,E595+1))</f>
        <v/>
      </c>
      <c r="J595" t="str">
        <f>IF(E595="","",INDEX(Knutepunkter!$C:$C,E595+1))</f>
        <v/>
      </c>
      <c r="K595" t="str">
        <f>IF(E595="","",INDEX(Knutepunkter!$D:$D,E595+1))</f>
        <v/>
      </c>
      <c r="L595" t="str">
        <f t="shared" si="48"/>
        <v/>
      </c>
      <c r="M595" t="str">
        <f t="shared" si="49"/>
        <v/>
      </c>
    </row>
    <row r="596" spans="1:13" x14ac:dyDescent="0.3">
      <c r="A596" t="str">
        <f>Segmenter!A596</f>
        <v/>
      </c>
      <c r="B596" t="str">
        <f>Segmenter!B596</f>
        <v/>
      </c>
      <c r="C596" t="str">
        <f t="shared" si="45"/>
        <v/>
      </c>
      <c r="D596" t="str">
        <f t="shared" si="46"/>
        <v/>
      </c>
      <c r="E596" t="str">
        <f t="shared" si="47"/>
        <v/>
      </c>
      <c r="F596" t="str">
        <f>IF(D596="","",INDEX(Knutepunkter!$B:$B,D596+1))</f>
        <v/>
      </c>
      <c r="G596" t="str">
        <f>IF(D596="","",INDEX(Knutepunkter!$C:$C,D596+1))</f>
        <v/>
      </c>
      <c r="H596" t="str">
        <f>IF(D596="","",INDEX(Knutepunkter!$D:$D,D596+1))</f>
        <v/>
      </c>
      <c r="I596" t="str">
        <f>IF(E596="","",INDEX(Knutepunkter!$B:$B,E596+1))</f>
        <v/>
      </c>
      <c r="J596" t="str">
        <f>IF(E596="","",INDEX(Knutepunkter!$C:$C,E596+1))</f>
        <v/>
      </c>
      <c r="K596" t="str">
        <f>IF(E596="","",INDEX(Knutepunkter!$D:$D,E596+1))</f>
        <v/>
      </c>
      <c r="L596" t="str">
        <f t="shared" si="48"/>
        <v/>
      </c>
      <c r="M596" t="str">
        <f t="shared" si="49"/>
        <v/>
      </c>
    </row>
    <row r="597" spans="1:13" x14ac:dyDescent="0.3">
      <c r="A597" t="str">
        <f>Segmenter!A597</f>
        <v/>
      </c>
      <c r="B597" t="str">
        <f>Segmenter!B597</f>
        <v/>
      </c>
      <c r="C597" t="str">
        <f t="shared" si="45"/>
        <v/>
      </c>
      <c r="D597" t="str">
        <f t="shared" si="46"/>
        <v/>
      </c>
      <c r="E597" t="str">
        <f t="shared" si="47"/>
        <v/>
      </c>
      <c r="F597" t="str">
        <f>IF(D597="","",INDEX(Knutepunkter!$B:$B,D597+1))</f>
        <v/>
      </c>
      <c r="G597" t="str">
        <f>IF(D597="","",INDEX(Knutepunkter!$C:$C,D597+1))</f>
        <v/>
      </c>
      <c r="H597" t="str">
        <f>IF(D597="","",INDEX(Knutepunkter!$D:$D,D597+1))</f>
        <v/>
      </c>
      <c r="I597" t="str">
        <f>IF(E597="","",INDEX(Knutepunkter!$B:$B,E597+1))</f>
        <v/>
      </c>
      <c r="J597" t="str">
        <f>IF(E597="","",INDEX(Knutepunkter!$C:$C,E597+1))</f>
        <v/>
      </c>
      <c r="K597" t="str">
        <f>IF(E597="","",INDEX(Knutepunkter!$D:$D,E597+1))</f>
        <v/>
      </c>
      <c r="L597" t="str">
        <f t="shared" si="48"/>
        <v/>
      </c>
      <c r="M597" t="str">
        <f t="shared" si="49"/>
        <v/>
      </c>
    </row>
    <row r="598" spans="1:13" x14ac:dyDescent="0.3">
      <c r="A598" t="str">
        <f>Segmenter!A598</f>
        <v/>
      </c>
      <c r="B598" t="str">
        <f>Segmenter!B598</f>
        <v/>
      </c>
      <c r="C598" t="str">
        <f t="shared" si="45"/>
        <v/>
      </c>
      <c r="D598" t="str">
        <f t="shared" si="46"/>
        <v/>
      </c>
      <c r="E598" t="str">
        <f t="shared" si="47"/>
        <v/>
      </c>
      <c r="F598" t="str">
        <f>IF(D598="","",INDEX(Knutepunkter!$B:$B,D598+1))</f>
        <v/>
      </c>
      <c r="G598" t="str">
        <f>IF(D598="","",INDEX(Knutepunkter!$C:$C,D598+1))</f>
        <v/>
      </c>
      <c r="H598" t="str">
        <f>IF(D598="","",INDEX(Knutepunkter!$D:$D,D598+1))</f>
        <v/>
      </c>
      <c r="I598" t="str">
        <f>IF(E598="","",INDEX(Knutepunkter!$B:$B,E598+1))</f>
        <v/>
      </c>
      <c r="J598" t="str">
        <f>IF(E598="","",INDEX(Knutepunkter!$C:$C,E598+1))</f>
        <v/>
      </c>
      <c r="K598" t="str">
        <f>IF(E598="","",INDEX(Knutepunkter!$D:$D,E598+1))</f>
        <v/>
      </c>
      <c r="L598" t="str">
        <f t="shared" si="48"/>
        <v/>
      </c>
      <c r="M598" t="str">
        <f t="shared" si="49"/>
        <v/>
      </c>
    </row>
    <row r="599" spans="1:13" x14ac:dyDescent="0.3">
      <c r="A599" t="str">
        <f>Segmenter!A599</f>
        <v/>
      </c>
      <c r="B599" t="str">
        <f>Segmenter!B599</f>
        <v/>
      </c>
      <c r="C599" t="str">
        <f t="shared" si="45"/>
        <v/>
      </c>
      <c r="D599" t="str">
        <f t="shared" si="46"/>
        <v/>
      </c>
      <c r="E599" t="str">
        <f t="shared" si="47"/>
        <v/>
      </c>
      <c r="F599" t="str">
        <f>IF(D599="","",INDEX(Knutepunkter!$B:$B,D599+1))</f>
        <v/>
      </c>
      <c r="G599" t="str">
        <f>IF(D599="","",INDEX(Knutepunkter!$C:$C,D599+1))</f>
        <v/>
      </c>
      <c r="H599" t="str">
        <f>IF(D599="","",INDEX(Knutepunkter!$D:$D,D599+1))</f>
        <v/>
      </c>
      <c r="I599" t="str">
        <f>IF(E599="","",INDEX(Knutepunkter!$B:$B,E599+1))</f>
        <v/>
      </c>
      <c r="J599" t="str">
        <f>IF(E599="","",INDEX(Knutepunkter!$C:$C,E599+1))</f>
        <v/>
      </c>
      <c r="K599" t="str">
        <f>IF(E599="","",INDEX(Knutepunkter!$D:$D,E599+1))</f>
        <v/>
      </c>
      <c r="L599" t="str">
        <f t="shared" si="48"/>
        <v/>
      </c>
      <c r="M599" t="str">
        <f t="shared" si="49"/>
        <v/>
      </c>
    </row>
    <row r="600" spans="1:13" x14ac:dyDescent="0.3">
      <c r="A600" t="str">
        <f>Segmenter!A600</f>
        <v/>
      </c>
      <c r="B600" t="str">
        <f>Segmenter!B600</f>
        <v/>
      </c>
      <c r="C600" t="str">
        <f t="shared" si="45"/>
        <v/>
      </c>
      <c r="D600" t="str">
        <f t="shared" si="46"/>
        <v/>
      </c>
      <c r="E600" t="str">
        <f t="shared" si="47"/>
        <v/>
      </c>
      <c r="F600" t="str">
        <f>IF(D600="","",INDEX(Knutepunkter!$B:$B,D600+1))</f>
        <v/>
      </c>
      <c r="G600" t="str">
        <f>IF(D600="","",INDEX(Knutepunkter!$C:$C,D600+1))</f>
        <v/>
      </c>
      <c r="H600" t="str">
        <f>IF(D600="","",INDEX(Knutepunkter!$D:$D,D600+1))</f>
        <v/>
      </c>
      <c r="I600" t="str">
        <f>IF(E600="","",INDEX(Knutepunkter!$B:$B,E600+1))</f>
        <v/>
      </c>
      <c r="J600" t="str">
        <f>IF(E600="","",INDEX(Knutepunkter!$C:$C,E600+1))</f>
        <v/>
      </c>
      <c r="K600" t="str">
        <f>IF(E600="","",INDEX(Knutepunkter!$D:$D,E600+1))</f>
        <v/>
      </c>
      <c r="L600" t="str">
        <f t="shared" si="48"/>
        <v/>
      </c>
      <c r="M600" t="str">
        <f t="shared" si="49"/>
        <v/>
      </c>
    </row>
    <row r="601" spans="1:13" x14ac:dyDescent="0.3">
      <c r="A601" t="str">
        <f>Segmenter!A601</f>
        <v/>
      </c>
      <c r="B601" t="str">
        <f>Segmenter!B601</f>
        <v/>
      </c>
      <c r="C601" t="str">
        <f t="shared" si="45"/>
        <v/>
      </c>
      <c r="D601" t="str">
        <f t="shared" si="46"/>
        <v/>
      </c>
      <c r="E601" t="str">
        <f t="shared" si="47"/>
        <v/>
      </c>
      <c r="F601" t="str">
        <f>IF(D601="","",INDEX(Knutepunkter!$B:$B,D601+1))</f>
        <v/>
      </c>
      <c r="G601" t="str">
        <f>IF(D601="","",INDEX(Knutepunkter!$C:$C,D601+1))</f>
        <v/>
      </c>
      <c r="H601" t="str">
        <f>IF(D601="","",INDEX(Knutepunkter!$D:$D,D601+1))</f>
        <v/>
      </c>
      <c r="I601" t="str">
        <f>IF(E601="","",INDEX(Knutepunkter!$B:$B,E601+1))</f>
        <v/>
      </c>
      <c r="J601" t="str">
        <f>IF(E601="","",INDEX(Knutepunkter!$C:$C,E601+1))</f>
        <v/>
      </c>
      <c r="K601" t="str">
        <f>IF(E601="","",INDEX(Knutepunkter!$D:$D,E601+1))</f>
        <v/>
      </c>
      <c r="L601" t="str">
        <f t="shared" si="48"/>
        <v/>
      </c>
      <c r="M601" t="str">
        <f t="shared" si="49"/>
        <v/>
      </c>
    </row>
    <row r="602" spans="1:13" x14ac:dyDescent="0.3">
      <c r="A602" t="str">
        <f>Segmenter!A602</f>
        <v/>
      </c>
      <c r="B602" t="str">
        <f>Segmenter!B602</f>
        <v/>
      </c>
      <c r="C602" t="str">
        <f t="shared" si="45"/>
        <v/>
      </c>
      <c r="D602" t="str">
        <f t="shared" si="46"/>
        <v/>
      </c>
      <c r="E602" t="str">
        <f t="shared" si="47"/>
        <v/>
      </c>
      <c r="F602" t="str">
        <f>IF(D602="","",INDEX(Knutepunkter!$B:$B,D602+1))</f>
        <v/>
      </c>
      <c r="G602" t="str">
        <f>IF(D602="","",INDEX(Knutepunkter!$C:$C,D602+1))</f>
        <v/>
      </c>
      <c r="H602" t="str">
        <f>IF(D602="","",INDEX(Knutepunkter!$D:$D,D602+1))</f>
        <v/>
      </c>
      <c r="I602" t="str">
        <f>IF(E602="","",INDEX(Knutepunkter!$B:$B,E602+1))</f>
        <v/>
      </c>
      <c r="J602" t="str">
        <f>IF(E602="","",INDEX(Knutepunkter!$C:$C,E602+1))</f>
        <v/>
      </c>
      <c r="K602" t="str">
        <f>IF(E602="","",INDEX(Knutepunkter!$D:$D,E602+1))</f>
        <v/>
      </c>
      <c r="L602" t="str">
        <f t="shared" si="48"/>
        <v/>
      </c>
      <c r="M602" t="str">
        <f t="shared" si="49"/>
        <v/>
      </c>
    </row>
    <row r="603" spans="1:13" x14ac:dyDescent="0.3">
      <c r="A603" t="str">
        <f>Segmenter!A603</f>
        <v/>
      </c>
      <c r="B603" t="str">
        <f>Segmenter!B603</f>
        <v/>
      </c>
      <c r="C603" t="str">
        <f t="shared" si="45"/>
        <v/>
      </c>
      <c r="D603" t="str">
        <f t="shared" si="46"/>
        <v/>
      </c>
      <c r="E603" t="str">
        <f t="shared" si="47"/>
        <v/>
      </c>
      <c r="F603" t="str">
        <f>IF(D603="","",INDEX(Knutepunkter!$B:$B,D603+1))</f>
        <v/>
      </c>
      <c r="G603" t="str">
        <f>IF(D603="","",INDEX(Knutepunkter!$C:$C,D603+1))</f>
        <v/>
      </c>
      <c r="H603" t="str">
        <f>IF(D603="","",INDEX(Knutepunkter!$D:$D,D603+1))</f>
        <v/>
      </c>
      <c r="I603" t="str">
        <f>IF(E603="","",INDEX(Knutepunkter!$B:$B,E603+1))</f>
        <v/>
      </c>
      <c r="J603" t="str">
        <f>IF(E603="","",INDEX(Knutepunkter!$C:$C,E603+1))</f>
        <v/>
      </c>
      <c r="K603" t="str">
        <f>IF(E603="","",INDEX(Knutepunkter!$D:$D,E603+1))</f>
        <v/>
      </c>
      <c r="L603" t="str">
        <f t="shared" si="48"/>
        <v/>
      </c>
      <c r="M603" t="str">
        <f t="shared" si="49"/>
        <v/>
      </c>
    </row>
    <row r="604" spans="1:13" x14ac:dyDescent="0.3">
      <c r="A604" t="str">
        <f>Segmenter!A604</f>
        <v/>
      </c>
      <c r="B604" t="str">
        <f>Segmenter!B604</f>
        <v/>
      </c>
      <c r="C604" t="str">
        <f t="shared" si="45"/>
        <v/>
      </c>
      <c r="D604" t="str">
        <f t="shared" si="46"/>
        <v/>
      </c>
      <c r="E604" t="str">
        <f t="shared" si="47"/>
        <v/>
      </c>
      <c r="F604" t="str">
        <f>IF(D604="","",INDEX(Knutepunkter!$B:$B,D604+1))</f>
        <v/>
      </c>
      <c r="G604" t="str">
        <f>IF(D604="","",INDEX(Knutepunkter!$C:$C,D604+1))</f>
        <v/>
      </c>
      <c r="H604" t="str">
        <f>IF(D604="","",INDEX(Knutepunkter!$D:$D,D604+1))</f>
        <v/>
      </c>
      <c r="I604" t="str">
        <f>IF(E604="","",INDEX(Knutepunkter!$B:$B,E604+1))</f>
        <v/>
      </c>
      <c r="J604" t="str">
        <f>IF(E604="","",INDEX(Knutepunkter!$C:$C,E604+1))</f>
        <v/>
      </c>
      <c r="K604" t="str">
        <f>IF(E604="","",INDEX(Knutepunkter!$D:$D,E604+1))</f>
        <v/>
      </c>
      <c r="L604" t="str">
        <f t="shared" si="48"/>
        <v/>
      </c>
      <c r="M604" t="str">
        <f t="shared" si="49"/>
        <v/>
      </c>
    </row>
    <row r="605" spans="1:13" x14ac:dyDescent="0.3">
      <c r="A605" t="str">
        <f>Segmenter!A605</f>
        <v/>
      </c>
      <c r="B605" t="str">
        <f>Segmenter!B605</f>
        <v/>
      </c>
      <c r="C605" t="str">
        <f t="shared" si="45"/>
        <v/>
      </c>
      <c r="D605" t="str">
        <f t="shared" si="46"/>
        <v/>
      </c>
      <c r="E605" t="str">
        <f t="shared" si="47"/>
        <v/>
      </c>
      <c r="F605" t="str">
        <f>IF(D605="","",INDEX(Knutepunkter!$B:$B,D605+1))</f>
        <v/>
      </c>
      <c r="G605" t="str">
        <f>IF(D605="","",INDEX(Knutepunkter!$C:$C,D605+1))</f>
        <v/>
      </c>
      <c r="H605" t="str">
        <f>IF(D605="","",INDEX(Knutepunkter!$D:$D,D605+1))</f>
        <v/>
      </c>
      <c r="I605" t="str">
        <f>IF(E605="","",INDEX(Knutepunkter!$B:$B,E605+1))</f>
        <v/>
      </c>
      <c r="J605" t="str">
        <f>IF(E605="","",INDEX(Knutepunkter!$C:$C,E605+1))</f>
        <v/>
      </c>
      <c r="K605" t="str">
        <f>IF(E605="","",INDEX(Knutepunkter!$D:$D,E605+1))</f>
        <v/>
      </c>
      <c r="L605" t="str">
        <f t="shared" si="48"/>
        <v/>
      </c>
      <c r="M605" t="str">
        <f t="shared" si="49"/>
        <v/>
      </c>
    </row>
    <row r="606" spans="1:13" x14ac:dyDescent="0.3">
      <c r="A606" t="str">
        <f>Segmenter!A606</f>
        <v/>
      </c>
      <c r="B606" t="str">
        <f>Segmenter!B606</f>
        <v/>
      </c>
      <c r="C606" t="str">
        <f t="shared" si="45"/>
        <v/>
      </c>
      <c r="D606" t="str">
        <f t="shared" si="46"/>
        <v/>
      </c>
      <c r="E606" t="str">
        <f t="shared" si="47"/>
        <v/>
      </c>
      <c r="F606" t="str">
        <f>IF(D606="","",INDEX(Knutepunkter!$B:$B,D606+1))</f>
        <v/>
      </c>
      <c r="G606" t="str">
        <f>IF(D606="","",INDEX(Knutepunkter!$C:$C,D606+1))</f>
        <v/>
      </c>
      <c r="H606" t="str">
        <f>IF(D606="","",INDEX(Knutepunkter!$D:$D,D606+1))</f>
        <v/>
      </c>
      <c r="I606" t="str">
        <f>IF(E606="","",INDEX(Knutepunkter!$B:$B,E606+1))</f>
        <v/>
      </c>
      <c r="J606" t="str">
        <f>IF(E606="","",INDEX(Knutepunkter!$C:$C,E606+1))</f>
        <v/>
      </c>
      <c r="K606" t="str">
        <f>IF(E606="","",INDEX(Knutepunkter!$D:$D,E606+1))</f>
        <v/>
      </c>
      <c r="L606" t="str">
        <f t="shared" si="48"/>
        <v/>
      </c>
      <c r="M606" t="str">
        <f t="shared" si="49"/>
        <v/>
      </c>
    </row>
    <row r="607" spans="1:13" x14ac:dyDescent="0.3">
      <c r="A607" t="str">
        <f>Segmenter!A607</f>
        <v/>
      </c>
      <c r="B607" t="str">
        <f>Segmenter!B607</f>
        <v/>
      </c>
      <c r="C607" t="str">
        <f t="shared" si="45"/>
        <v/>
      </c>
      <c r="D607" t="str">
        <f t="shared" si="46"/>
        <v/>
      </c>
      <c r="E607" t="str">
        <f t="shared" si="47"/>
        <v/>
      </c>
      <c r="F607" t="str">
        <f>IF(D607="","",INDEX(Knutepunkter!$B:$B,D607+1))</f>
        <v/>
      </c>
      <c r="G607" t="str">
        <f>IF(D607="","",INDEX(Knutepunkter!$C:$C,D607+1))</f>
        <v/>
      </c>
      <c r="H607" t="str">
        <f>IF(D607="","",INDEX(Knutepunkter!$D:$D,D607+1))</f>
        <v/>
      </c>
      <c r="I607" t="str">
        <f>IF(E607="","",INDEX(Knutepunkter!$B:$B,E607+1))</f>
        <v/>
      </c>
      <c r="J607" t="str">
        <f>IF(E607="","",INDEX(Knutepunkter!$C:$C,E607+1))</f>
        <v/>
      </c>
      <c r="K607" t="str">
        <f>IF(E607="","",INDEX(Knutepunkter!$D:$D,E607+1))</f>
        <v/>
      </c>
      <c r="L607" t="str">
        <f t="shared" si="48"/>
        <v/>
      </c>
      <c r="M607" t="str">
        <f t="shared" si="49"/>
        <v/>
      </c>
    </row>
    <row r="608" spans="1:13" x14ac:dyDescent="0.3">
      <c r="A608" t="str">
        <f>Segmenter!A608</f>
        <v/>
      </c>
      <c r="B608" t="str">
        <f>Segmenter!B608</f>
        <v/>
      </c>
      <c r="C608" t="str">
        <f t="shared" si="45"/>
        <v/>
      </c>
      <c r="D608" t="str">
        <f t="shared" si="46"/>
        <v/>
      </c>
      <c r="E608" t="str">
        <f t="shared" si="47"/>
        <v/>
      </c>
      <c r="F608" t="str">
        <f>IF(D608="","",INDEX(Knutepunkter!$B:$B,D608+1))</f>
        <v/>
      </c>
      <c r="G608" t="str">
        <f>IF(D608="","",INDEX(Knutepunkter!$C:$C,D608+1))</f>
        <v/>
      </c>
      <c r="H608" t="str">
        <f>IF(D608="","",INDEX(Knutepunkter!$D:$D,D608+1))</f>
        <v/>
      </c>
      <c r="I608" t="str">
        <f>IF(E608="","",INDEX(Knutepunkter!$B:$B,E608+1))</f>
        <v/>
      </c>
      <c r="J608" t="str">
        <f>IF(E608="","",INDEX(Knutepunkter!$C:$C,E608+1))</f>
        <v/>
      </c>
      <c r="K608" t="str">
        <f>IF(E608="","",INDEX(Knutepunkter!$D:$D,E608+1))</f>
        <v/>
      </c>
      <c r="L608" t="str">
        <f t="shared" si="48"/>
        <v/>
      </c>
      <c r="M608" t="str">
        <f t="shared" si="49"/>
        <v/>
      </c>
    </row>
    <row r="609" spans="1:13" x14ac:dyDescent="0.3">
      <c r="A609" t="str">
        <f>Segmenter!A609</f>
        <v/>
      </c>
      <c r="B609" t="str">
        <f>Segmenter!B609</f>
        <v/>
      </c>
      <c r="C609" t="str">
        <f t="shared" si="45"/>
        <v/>
      </c>
      <c r="D609" t="str">
        <f t="shared" si="46"/>
        <v/>
      </c>
      <c r="E609" t="str">
        <f t="shared" si="47"/>
        <v/>
      </c>
      <c r="F609" t="str">
        <f>IF(D609="","",INDEX(Knutepunkter!$B:$B,D609+1))</f>
        <v/>
      </c>
      <c r="G609" t="str">
        <f>IF(D609="","",INDEX(Knutepunkter!$C:$C,D609+1))</f>
        <v/>
      </c>
      <c r="H609" t="str">
        <f>IF(D609="","",INDEX(Knutepunkter!$D:$D,D609+1))</f>
        <v/>
      </c>
      <c r="I609" t="str">
        <f>IF(E609="","",INDEX(Knutepunkter!$B:$B,E609+1))</f>
        <v/>
      </c>
      <c r="J609" t="str">
        <f>IF(E609="","",INDEX(Knutepunkter!$C:$C,E609+1))</f>
        <v/>
      </c>
      <c r="K609" t="str">
        <f>IF(E609="","",INDEX(Knutepunkter!$D:$D,E609+1))</f>
        <v/>
      </c>
      <c r="L609" t="str">
        <f t="shared" si="48"/>
        <v/>
      </c>
      <c r="M609" t="str">
        <f t="shared" si="49"/>
        <v/>
      </c>
    </row>
    <row r="610" spans="1:13" x14ac:dyDescent="0.3">
      <c r="A610" t="str">
        <f>Segmenter!A610</f>
        <v/>
      </c>
      <c r="B610" t="str">
        <f>Segmenter!B610</f>
        <v/>
      </c>
      <c r="C610" t="str">
        <f t="shared" si="45"/>
        <v/>
      </c>
      <c r="D610" t="str">
        <f t="shared" si="46"/>
        <v/>
      </c>
      <c r="E610" t="str">
        <f t="shared" si="47"/>
        <v/>
      </c>
      <c r="F610" t="str">
        <f>IF(D610="","",INDEX(Knutepunkter!$B:$B,D610+1))</f>
        <v/>
      </c>
      <c r="G610" t="str">
        <f>IF(D610="","",INDEX(Knutepunkter!$C:$C,D610+1))</f>
        <v/>
      </c>
      <c r="H610" t="str">
        <f>IF(D610="","",INDEX(Knutepunkter!$D:$D,D610+1))</f>
        <v/>
      </c>
      <c r="I610" t="str">
        <f>IF(E610="","",INDEX(Knutepunkter!$B:$B,E610+1))</f>
        <v/>
      </c>
      <c r="J610" t="str">
        <f>IF(E610="","",INDEX(Knutepunkter!$C:$C,E610+1))</f>
        <v/>
      </c>
      <c r="K610" t="str">
        <f>IF(E610="","",INDEX(Knutepunkter!$D:$D,E610+1))</f>
        <v/>
      </c>
      <c r="L610" t="str">
        <f t="shared" si="48"/>
        <v/>
      </c>
      <c r="M610" t="str">
        <f t="shared" si="49"/>
        <v/>
      </c>
    </row>
    <row r="611" spans="1:13" x14ac:dyDescent="0.3">
      <c r="A611" t="str">
        <f>Segmenter!A611</f>
        <v/>
      </c>
      <c r="B611" t="str">
        <f>Segmenter!B611</f>
        <v/>
      </c>
      <c r="C611" t="str">
        <f t="shared" si="45"/>
        <v/>
      </c>
      <c r="D611" t="str">
        <f t="shared" si="46"/>
        <v/>
      </c>
      <c r="E611" t="str">
        <f t="shared" si="47"/>
        <v/>
      </c>
      <c r="F611" t="str">
        <f>IF(D611="","",INDEX(Knutepunkter!$B:$B,D611+1))</f>
        <v/>
      </c>
      <c r="G611" t="str">
        <f>IF(D611="","",INDEX(Knutepunkter!$C:$C,D611+1))</f>
        <v/>
      </c>
      <c r="H611" t="str">
        <f>IF(D611="","",INDEX(Knutepunkter!$D:$D,D611+1))</f>
        <v/>
      </c>
      <c r="I611" t="str">
        <f>IF(E611="","",INDEX(Knutepunkter!$B:$B,E611+1))</f>
        <v/>
      </c>
      <c r="J611" t="str">
        <f>IF(E611="","",INDEX(Knutepunkter!$C:$C,E611+1))</f>
        <v/>
      </c>
      <c r="K611" t="str">
        <f>IF(E611="","",INDEX(Knutepunkter!$D:$D,E611+1))</f>
        <v/>
      </c>
      <c r="L611" t="str">
        <f t="shared" si="48"/>
        <v/>
      </c>
      <c r="M611" t="str">
        <f t="shared" si="49"/>
        <v/>
      </c>
    </row>
    <row r="612" spans="1:13" x14ac:dyDescent="0.3">
      <c r="A612" t="str">
        <f>Segmenter!A612</f>
        <v/>
      </c>
      <c r="B612" t="str">
        <f>Segmenter!B612</f>
        <v/>
      </c>
      <c r="C612" t="str">
        <f t="shared" si="45"/>
        <v/>
      </c>
      <c r="D612" t="str">
        <f t="shared" si="46"/>
        <v/>
      </c>
      <c r="E612" t="str">
        <f t="shared" si="47"/>
        <v/>
      </c>
      <c r="F612" t="str">
        <f>IF(D612="","",INDEX(Knutepunkter!$B:$B,D612+1))</f>
        <v/>
      </c>
      <c r="G612" t="str">
        <f>IF(D612="","",INDEX(Knutepunkter!$C:$C,D612+1))</f>
        <v/>
      </c>
      <c r="H612" t="str">
        <f>IF(D612="","",INDEX(Knutepunkter!$D:$D,D612+1))</f>
        <v/>
      </c>
      <c r="I612" t="str">
        <f>IF(E612="","",INDEX(Knutepunkter!$B:$B,E612+1))</f>
        <v/>
      </c>
      <c r="J612" t="str">
        <f>IF(E612="","",INDEX(Knutepunkter!$C:$C,E612+1))</f>
        <v/>
      </c>
      <c r="K612" t="str">
        <f>IF(E612="","",INDEX(Knutepunkter!$D:$D,E612+1))</f>
        <v/>
      </c>
      <c r="L612" t="str">
        <f t="shared" si="48"/>
        <v/>
      </c>
      <c r="M612" t="str">
        <f t="shared" si="49"/>
        <v/>
      </c>
    </row>
    <row r="613" spans="1:13" x14ac:dyDescent="0.3">
      <c r="A613" t="str">
        <f>Segmenter!A613</f>
        <v/>
      </c>
      <c r="B613" t="str">
        <f>Segmenter!B613</f>
        <v/>
      </c>
      <c r="C613" t="str">
        <f t="shared" si="45"/>
        <v/>
      </c>
      <c r="D613" t="str">
        <f t="shared" si="46"/>
        <v/>
      </c>
      <c r="E613" t="str">
        <f t="shared" si="47"/>
        <v/>
      </c>
      <c r="F613" t="str">
        <f>IF(D613="","",INDEX(Knutepunkter!$B:$B,D613+1))</f>
        <v/>
      </c>
      <c r="G613" t="str">
        <f>IF(D613="","",INDEX(Knutepunkter!$C:$C,D613+1))</f>
        <v/>
      </c>
      <c r="H613" t="str">
        <f>IF(D613="","",INDEX(Knutepunkter!$D:$D,D613+1))</f>
        <v/>
      </c>
      <c r="I613" t="str">
        <f>IF(E613="","",INDEX(Knutepunkter!$B:$B,E613+1))</f>
        <v/>
      </c>
      <c r="J613" t="str">
        <f>IF(E613="","",INDEX(Knutepunkter!$C:$C,E613+1))</f>
        <v/>
      </c>
      <c r="K613" t="str">
        <f>IF(E613="","",INDEX(Knutepunkter!$D:$D,E613+1))</f>
        <v/>
      </c>
      <c r="L613" t="str">
        <f t="shared" si="48"/>
        <v/>
      </c>
      <c r="M613" t="str">
        <f t="shared" si="49"/>
        <v/>
      </c>
    </row>
    <row r="614" spans="1:13" x14ac:dyDescent="0.3">
      <c r="A614" t="str">
        <f>Segmenter!A614</f>
        <v/>
      </c>
      <c r="B614" t="str">
        <f>Segmenter!B614</f>
        <v/>
      </c>
      <c r="C614" t="str">
        <f t="shared" si="45"/>
        <v/>
      </c>
      <c r="D614" t="str">
        <f t="shared" si="46"/>
        <v/>
      </c>
      <c r="E614" t="str">
        <f t="shared" si="47"/>
        <v/>
      </c>
      <c r="F614" t="str">
        <f>IF(D614="","",INDEX(Knutepunkter!$B:$B,D614+1))</f>
        <v/>
      </c>
      <c r="G614" t="str">
        <f>IF(D614="","",INDEX(Knutepunkter!$C:$C,D614+1))</f>
        <v/>
      </c>
      <c r="H614" t="str">
        <f>IF(D614="","",INDEX(Knutepunkter!$D:$D,D614+1))</f>
        <v/>
      </c>
      <c r="I614" t="str">
        <f>IF(E614="","",INDEX(Knutepunkter!$B:$B,E614+1))</f>
        <v/>
      </c>
      <c r="J614" t="str">
        <f>IF(E614="","",INDEX(Knutepunkter!$C:$C,E614+1))</f>
        <v/>
      </c>
      <c r="K614" t="str">
        <f>IF(E614="","",INDEX(Knutepunkter!$D:$D,E614+1))</f>
        <v/>
      </c>
      <c r="L614" t="str">
        <f t="shared" si="48"/>
        <v/>
      </c>
      <c r="M614" t="str">
        <f t="shared" si="49"/>
        <v/>
      </c>
    </row>
    <row r="615" spans="1:13" x14ac:dyDescent="0.3">
      <c r="A615" t="str">
        <f>Segmenter!A615</f>
        <v/>
      </c>
      <c r="B615" t="str">
        <f>Segmenter!B615</f>
        <v/>
      </c>
      <c r="C615" t="str">
        <f t="shared" si="45"/>
        <v/>
      </c>
      <c r="D615" t="str">
        <f t="shared" si="46"/>
        <v/>
      </c>
      <c r="E615" t="str">
        <f t="shared" si="47"/>
        <v/>
      </c>
      <c r="F615" t="str">
        <f>IF(D615="","",INDEX(Knutepunkter!$B:$B,D615+1))</f>
        <v/>
      </c>
      <c r="G615" t="str">
        <f>IF(D615="","",INDEX(Knutepunkter!$C:$C,D615+1))</f>
        <v/>
      </c>
      <c r="H615" t="str">
        <f>IF(D615="","",INDEX(Knutepunkter!$D:$D,D615+1))</f>
        <v/>
      </c>
      <c r="I615" t="str">
        <f>IF(E615="","",INDEX(Knutepunkter!$B:$B,E615+1))</f>
        <v/>
      </c>
      <c r="J615" t="str">
        <f>IF(E615="","",INDEX(Knutepunkter!$C:$C,E615+1))</f>
        <v/>
      </c>
      <c r="K615" t="str">
        <f>IF(E615="","",INDEX(Knutepunkter!$D:$D,E615+1))</f>
        <v/>
      </c>
      <c r="L615" t="str">
        <f t="shared" si="48"/>
        <v/>
      </c>
      <c r="M615" t="str">
        <f t="shared" si="49"/>
        <v/>
      </c>
    </row>
    <row r="616" spans="1:13" x14ac:dyDescent="0.3">
      <c r="A616" t="str">
        <f>Segmenter!A616</f>
        <v/>
      </c>
      <c r="B616" t="str">
        <f>Segmenter!B616</f>
        <v/>
      </c>
      <c r="C616" t="str">
        <f t="shared" si="45"/>
        <v/>
      </c>
      <c r="D616" t="str">
        <f t="shared" si="46"/>
        <v/>
      </c>
      <c r="E616" t="str">
        <f t="shared" si="47"/>
        <v/>
      </c>
      <c r="F616" t="str">
        <f>IF(D616="","",INDEX(Knutepunkter!$B:$B,D616+1))</f>
        <v/>
      </c>
      <c r="G616" t="str">
        <f>IF(D616="","",INDEX(Knutepunkter!$C:$C,D616+1))</f>
        <v/>
      </c>
      <c r="H616" t="str">
        <f>IF(D616="","",INDEX(Knutepunkter!$D:$D,D616+1))</f>
        <v/>
      </c>
      <c r="I616" t="str">
        <f>IF(E616="","",INDEX(Knutepunkter!$B:$B,E616+1))</f>
        <v/>
      </c>
      <c r="J616" t="str">
        <f>IF(E616="","",INDEX(Knutepunkter!$C:$C,E616+1))</f>
        <v/>
      </c>
      <c r="K616" t="str">
        <f>IF(E616="","",INDEX(Knutepunkter!$D:$D,E616+1))</f>
        <v/>
      </c>
      <c r="L616" t="str">
        <f t="shared" si="48"/>
        <v/>
      </c>
      <c r="M616" t="str">
        <f t="shared" si="49"/>
        <v/>
      </c>
    </row>
    <row r="617" spans="1:13" x14ac:dyDescent="0.3">
      <c r="A617" t="str">
        <f>Segmenter!A617</f>
        <v/>
      </c>
      <c r="B617" t="str">
        <f>Segmenter!B617</f>
        <v/>
      </c>
      <c r="C617" t="str">
        <f t="shared" si="45"/>
        <v/>
      </c>
      <c r="D617" t="str">
        <f t="shared" si="46"/>
        <v/>
      </c>
      <c r="E617" t="str">
        <f t="shared" si="47"/>
        <v/>
      </c>
      <c r="F617" t="str">
        <f>IF(D617="","",INDEX(Knutepunkter!$B:$B,D617+1))</f>
        <v/>
      </c>
      <c r="G617" t="str">
        <f>IF(D617="","",INDEX(Knutepunkter!$C:$C,D617+1))</f>
        <v/>
      </c>
      <c r="H617" t="str">
        <f>IF(D617="","",INDEX(Knutepunkter!$D:$D,D617+1))</f>
        <v/>
      </c>
      <c r="I617" t="str">
        <f>IF(E617="","",INDEX(Knutepunkter!$B:$B,E617+1))</f>
        <v/>
      </c>
      <c r="J617" t="str">
        <f>IF(E617="","",INDEX(Knutepunkter!$C:$C,E617+1))</f>
        <v/>
      </c>
      <c r="K617" t="str">
        <f>IF(E617="","",INDEX(Knutepunkter!$D:$D,E617+1))</f>
        <v/>
      </c>
      <c r="L617" t="str">
        <f t="shared" si="48"/>
        <v/>
      </c>
      <c r="M617" t="str">
        <f t="shared" si="49"/>
        <v/>
      </c>
    </row>
    <row r="618" spans="1:13" x14ac:dyDescent="0.3">
      <c r="A618" t="str">
        <f>Segmenter!A618</f>
        <v/>
      </c>
      <c r="B618" t="str">
        <f>Segmenter!B618</f>
        <v/>
      </c>
      <c r="C618" t="str">
        <f t="shared" si="45"/>
        <v/>
      </c>
      <c r="D618" t="str">
        <f t="shared" si="46"/>
        <v/>
      </c>
      <c r="E618" t="str">
        <f t="shared" si="47"/>
        <v/>
      </c>
      <c r="F618" t="str">
        <f>IF(D618="","",INDEX(Knutepunkter!$B:$B,D618+1))</f>
        <v/>
      </c>
      <c r="G618" t="str">
        <f>IF(D618="","",INDEX(Knutepunkter!$C:$C,D618+1))</f>
        <v/>
      </c>
      <c r="H618" t="str">
        <f>IF(D618="","",INDEX(Knutepunkter!$D:$D,D618+1))</f>
        <v/>
      </c>
      <c r="I618" t="str">
        <f>IF(E618="","",INDEX(Knutepunkter!$B:$B,E618+1))</f>
        <v/>
      </c>
      <c r="J618" t="str">
        <f>IF(E618="","",INDEX(Knutepunkter!$C:$C,E618+1))</f>
        <v/>
      </c>
      <c r="K618" t="str">
        <f>IF(E618="","",INDEX(Knutepunkter!$D:$D,E618+1))</f>
        <v/>
      </c>
      <c r="L618" t="str">
        <f t="shared" si="48"/>
        <v/>
      </c>
      <c r="M618" t="str">
        <f t="shared" si="49"/>
        <v/>
      </c>
    </row>
    <row r="619" spans="1:13" x14ac:dyDescent="0.3">
      <c r="A619" t="str">
        <f>Segmenter!A619</f>
        <v/>
      </c>
      <c r="B619" t="str">
        <f>Segmenter!B619</f>
        <v/>
      </c>
      <c r="C619" t="str">
        <f t="shared" si="45"/>
        <v/>
      </c>
      <c r="D619" t="str">
        <f t="shared" si="46"/>
        <v/>
      </c>
      <c r="E619" t="str">
        <f t="shared" si="47"/>
        <v/>
      </c>
      <c r="F619" t="str">
        <f>IF(D619="","",INDEX(Knutepunkter!$B:$B,D619+1))</f>
        <v/>
      </c>
      <c r="G619" t="str">
        <f>IF(D619="","",INDEX(Knutepunkter!$C:$C,D619+1))</f>
        <v/>
      </c>
      <c r="H619" t="str">
        <f>IF(D619="","",INDEX(Knutepunkter!$D:$D,D619+1))</f>
        <v/>
      </c>
      <c r="I619" t="str">
        <f>IF(E619="","",INDEX(Knutepunkter!$B:$B,E619+1))</f>
        <v/>
      </c>
      <c r="J619" t="str">
        <f>IF(E619="","",INDEX(Knutepunkter!$C:$C,E619+1))</f>
        <v/>
      </c>
      <c r="K619" t="str">
        <f>IF(E619="","",INDEX(Knutepunkter!$D:$D,E619+1))</f>
        <v/>
      </c>
      <c r="L619" t="str">
        <f t="shared" si="48"/>
        <v/>
      </c>
      <c r="M619" t="str">
        <f t="shared" si="49"/>
        <v/>
      </c>
    </row>
    <row r="620" spans="1:13" x14ac:dyDescent="0.3">
      <c r="A620" t="str">
        <f>Segmenter!A620</f>
        <v/>
      </c>
      <c r="B620" t="str">
        <f>Segmenter!B620</f>
        <v/>
      </c>
      <c r="C620" t="str">
        <f t="shared" si="45"/>
        <v/>
      </c>
      <c r="D620" t="str">
        <f t="shared" si="46"/>
        <v/>
      </c>
      <c r="E620" t="str">
        <f t="shared" si="47"/>
        <v/>
      </c>
      <c r="F620" t="str">
        <f>IF(D620="","",INDEX(Knutepunkter!$B:$B,D620+1))</f>
        <v/>
      </c>
      <c r="G620" t="str">
        <f>IF(D620="","",INDEX(Knutepunkter!$C:$C,D620+1))</f>
        <v/>
      </c>
      <c r="H620" t="str">
        <f>IF(D620="","",INDEX(Knutepunkter!$D:$D,D620+1))</f>
        <v/>
      </c>
      <c r="I620" t="str">
        <f>IF(E620="","",INDEX(Knutepunkter!$B:$B,E620+1))</f>
        <v/>
      </c>
      <c r="J620" t="str">
        <f>IF(E620="","",INDEX(Knutepunkter!$C:$C,E620+1))</f>
        <v/>
      </c>
      <c r="K620" t="str">
        <f>IF(E620="","",INDEX(Knutepunkter!$D:$D,E620+1))</f>
        <v/>
      </c>
      <c r="L620" t="str">
        <f t="shared" si="48"/>
        <v/>
      </c>
      <c r="M620" t="str">
        <f t="shared" si="49"/>
        <v/>
      </c>
    </row>
    <row r="621" spans="1:13" x14ac:dyDescent="0.3">
      <c r="A621" t="str">
        <f>Segmenter!A621</f>
        <v/>
      </c>
      <c r="B621" t="str">
        <f>Segmenter!B621</f>
        <v/>
      </c>
      <c r="C621" t="str">
        <f t="shared" si="45"/>
        <v/>
      </c>
      <c r="D621" t="str">
        <f t="shared" si="46"/>
        <v/>
      </c>
      <c r="E621" t="str">
        <f t="shared" si="47"/>
        <v/>
      </c>
      <c r="F621" t="str">
        <f>IF(D621="","",INDEX(Knutepunkter!$B:$B,D621+1))</f>
        <v/>
      </c>
      <c r="G621" t="str">
        <f>IF(D621="","",INDEX(Knutepunkter!$C:$C,D621+1))</f>
        <v/>
      </c>
      <c r="H621" t="str">
        <f>IF(D621="","",INDEX(Knutepunkter!$D:$D,D621+1))</f>
        <v/>
      </c>
      <c r="I621" t="str">
        <f>IF(E621="","",INDEX(Knutepunkter!$B:$B,E621+1))</f>
        <v/>
      </c>
      <c r="J621" t="str">
        <f>IF(E621="","",INDEX(Knutepunkter!$C:$C,E621+1))</f>
        <v/>
      </c>
      <c r="K621" t="str">
        <f>IF(E621="","",INDEX(Knutepunkter!$D:$D,E621+1))</f>
        <v/>
      </c>
      <c r="L621" t="str">
        <f t="shared" si="48"/>
        <v/>
      </c>
      <c r="M621" t="str">
        <f t="shared" si="49"/>
        <v/>
      </c>
    </row>
    <row r="622" spans="1:13" x14ac:dyDescent="0.3">
      <c r="A622" t="str">
        <f>Segmenter!A622</f>
        <v/>
      </c>
      <c r="B622" t="str">
        <f>Segmenter!B622</f>
        <v/>
      </c>
      <c r="C622" t="str">
        <f t="shared" si="45"/>
        <v/>
      </c>
      <c r="D622" t="str">
        <f t="shared" si="46"/>
        <v/>
      </c>
      <c r="E622" t="str">
        <f t="shared" si="47"/>
        <v/>
      </c>
      <c r="F622" t="str">
        <f>IF(D622="","",INDEX(Knutepunkter!$B:$B,D622+1))</f>
        <v/>
      </c>
      <c r="G622" t="str">
        <f>IF(D622="","",INDEX(Knutepunkter!$C:$C,D622+1))</f>
        <v/>
      </c>
      <c r="H622" t="str">
        <f>IF(D622="","",INDEX(Knutepunkter!$D:$D,D622+1))</f>
        <v/>
      </c>
      <c r="I622" t="str">
        <f>IF(E622="","",INDEX(Knutepunkter!$B:$B,E622+1))</f>
        <v/>
      </c>
      <c r="J622" t="str">
        <f>IF(E622="","",INDEX(Knutepunkter!$C:$C,E622+1))</f>
        <v/>
      </c>
      <c r="K622" t="str">
        <f>IF(E622="","",INDEX(Knutepunkter!$D:$D,E622+1))</f>
        <v/>
      </c>
      <c r="L622" t="str">
        <f t="shared" si="48"/>
        <v/>
      </c>
      <c r="M622" t="str">
        <f t="shared" si="49"/>
        <v/>
      </c>
    </row>
    <row r="623" spans="1:13" x14ac:dyDescent="0.3">
      <c r="A623" t="str">
        <f>Segmenter!A623</f>
        <v/>
      </c>
      <c r="B623" t="str">
        <f>Segmenter!B623</f>
        <v/>
      </c>
      <c r="C623" t="str">
        <f t="shared" si="45"/>
        <v/>
      </c>
      <c r="D623" t="str">
        <f t="shared" si="46"/>
        <v/>
      </c>
      <c r="E623" t="str">
        <f t="shared" si="47"/>
        <v/>
      </c>
      <c r="F623" t="str">
        <f>IF(D623="","",INDEX(Knutepunkter!$B:$B,D623+1))</f>
        <v/>
      </c>
      <c r="G623" t="str">
        <f>IF(D623="","",INDEX(Knutepunkter!$C:$C,D623+1))</f>
        <v/>
      </c>
      <c r="H623" t="str">
        <f>IF(D623="","",INDEX(Knutepunkter!$D:$D,D623+1))</f>
        <v/>
      </c>
      <c r="I623" t="str">
        <f>IF(E623="","",INDEX(Knutepunkter!$B:$B,E623+1))</f>
        <v/>
      </c>
      <c r="J623" t="str">
        <f>IF(E623="","",INDEX(Knutepunkter!$C:$C,E623+1))</f>
        <v/>
      </c>
      <c r="K623" t="str">
        <f>IF(E623="","",INDEX(Knutepunkter!$D:$D,E623+1))</f>
        <v/>
      </c>
      <c r="L623" t="str">
        <f t="shared" si="48"/>
        <v/>
      </c>
      <c r="M623" t="str">
        <f t="shared" si="49"/>
        <v/>
      </c>
    </row>
    <row r="624" spans="1:13" x14ac:dyDescent="0.3">
      <c r="A624" t="str">
        <f>Segmenter!A624</f>
        <v/>
      </c>
      <c r="B624" t="str">
        <f>Segmenter!B624</f>
        <v/>
      </c>
      <c r="C624" t="str">
        <f t="shared" si="45"/>
        <v/>
      </c>
      <c r="D624" t="str">
        <f t="shared" si="46"/>
        <v/>
      </c>
      <c r="E624" t="str">
        <f t="shared" si="47"/>
        <v/>
      </c>
      <c r="F624" t="str">
        <f>IF(D624="","",INDEX(Knutepunkter!$B:$B,D624+1))</f>
        <v/>
      </c>
      <c r="G624" t="str">
        <f>IF(D624="","",INDEX(Knutepunkter!$C:$C,D624+1))</f>
        <v/>
      </c>
      <c r="H624" t="str">
        <f>IF(D624="","",INDEX(Knutepunkter!$D:$D,D624+1))</f>
        <v/>
      </c>
      <c r="I624" t="str">
        <f>IF(E624="","",INDEX(Knutepunkter!$B:$B,E624+1))</f>
        <v/>
      </c>
      <c r="J624" t="str">
        <f>IF(E624="","",INDEX(Knutepunkter!$C:$C,E624+1))</f>
        <v/>
      </c>
      <c r="K624" t="str">
        <f>IF(E624="","",INDEX(Knutepunkter!$D:$D,E624+1))</f>
        <v/>
      </c>
      <c r="L624" t="str">
        <f t="shared" si="48"/>
        <v/>
      </c>
      <c r="M624" t="str">
        <f t="shared" si="49"/>
        <v/>
      </c>
    </row>
    <row r="625" spans="1:13" x14ac:dyDescent="0.3">
      <c r="A625" t="str">
        <f>Segmenter!A625</f>
        <v/>
      </c>
      <c r="B625" t="str">
        <f>Segmenter!B625</f>
        <v/>
      </c>
      <c r="C625" t="str">
        <f t="shared" si="45"/>
        <v/>
      </c>
      <c r="D625" t="str">
        <f t="shared" si="46"/>
        <v/>
      </c>
      <c r="E625" t="str">
        <f t="shared" si="47"/>
        <v/>
      </c>
      <c r="F625" t="str">
        <f>IF(D625="","",INDEX(Knutepunkter!$B:$B,D625+1))</f>
        <v/>
      </c>
      <c r="G625" t="str">
        <f>IF(D625="","",INDEX(Knutepunkter!$C:$C,D625+1))</f>
        <v/>
      </c>
      <c r="H625" t="str">
        <f>IF(D625="","",INDEX(Knutepunkter!$D:$D,D625+1))</f>
        <v/>
      </c>
      <c r="I625" t="str">
        <f>IF(E625="","",INDEX(Knutepunkter!$B:$B,E625+1))</f>
        <v/>
      </c>
      <c r="J625" t="str">
        <f>IF(E625="","",INDEX(Knutepunkter!$C:$C,E625+1))</f>
        <v/>
      </c>
      <c r="K625" t="str">
        <f>IF(E625="","",INDEX(Knutepunkter!$D:$D,E625+1))</f>
        <v/>
      </c>
      <c r="L625" t="str">
        <f t="shared" si="48"/>
        <v/>
      </c>
      <c r="M625" t="str">
        <f t="shared" si="49"/>
        <v/>
      </c>
    </row>
    <row r="626" spans="1:13" x14ac:dyDescent="0.3">
      <c r="A626" t="str">
        <f>Segmenter!A626</f>
        <v/>
      </c>
      <c r="B626" t="str">
        <f>Segmenter!B626</f>
        <v/>
      </c>
      <c r="C626" t="str">
        <f t="shared" si="45"/>
        <v/>
      </c>
      <c r="D626" t="str">
        <f t="shared" si="46"/>
        <v/>
      </c>
      <c r="E626" t="str">
        <f t="shared" si="47"/>
        <v/>
      </c>
      <c r="F626" t="str">
        <f>IF(D626="","",INDEX(Knutepunkter!$B:$B,D626+1))</f>
        <v/>
      </c>
      <c r="G626" t="str">
        <f>IF(D626="","",INDEX(Knutepunkter!$C:$C,D626+1))</f>
        <v/>
      </c>
      <c r="H626" t="str">
        <f>IF(D626="","",INDEX(Knutepunkter!$D:$D,D626+1))</f>
        <v/>
      </c>
      <c r="I626" t="str">
        <f>IF(E626="","",INDEX(Knutepunkter!$B:$B,E626+1))</f>
        <v/>
      </c>
      <c r="J626" t="str">
        <f>IF(E626="","",INDEX(Knutepunkter!$C:$C,E626+1))</f>
        <v/>
      </c>
      <c r="K626" t="str">
        <f>IF(E626="","",INDEX(Knutepunkter!$D:$D,E626+1))</f>
        <v/>
      </c>
      <c r="L626" t="str">
        <f t="shared" si="48"/>
        <v/>
      </c>
      <c r="M626" t="str">
        <f t="shared" si="49"/>
        <v/>
      </c>
    </row>
    <row r="627" spans="1:13" x14ac:dyDescent="0.3">
      <c r="A627" t="str">
        <f>Segmenter!A627</f>
        <v/>
      </c>
      <c r="B627" t="str">
        <f>Segmenter!B627</f>
        <v/>
      </c>
      <c r="C627" t="str">
        <f t="shared" si="45"/>
        <v/>
      </c>
      <c r="D627" t="str">
        <f t="shared" si="46"/>
        <v/>
      </c>
      <c r="E627" t="str">
        <f t="shared" si="47"/>
        <v/>
      </c>
      <c r="F627" t="str">
        <f>IF(D627="","",INDEX(Knutepunkter!$B:$B,D627+1))</f>
        <v/>
      </c>
      <c r="G627" t="str">
        <f>IF(D627="","",INDEX(Knutepunkter!$C:$C,D627+1))</f>
        <v/>
      </c>
      <c r="H627" t="str">
        <f>IF(D627="","",INDEX(Knutepunkter!$D:$D,D627+1))</f>
        <v/>
      </c>
      <c r="I627" t="str">
        <f>IF(E627="","",INDEX(Knutepunkter!$B:$B,E627+1))</f>
        <v/>
      </c>
      <c r="J627" t="str">
        <f>IF(E627="","",INDEX(Knutepunkter!$C:$C,E627+1))</f>
        <v/>
      </c>
      <c r="K627" t="str">
        <f>IF(E627="","",INDEX(Knutepunkter!$D:$D,E627+1))</f>
        <v/>
      </c>
      <c r="L627" t="str">
        <f t="shared" si="48"/>
        <v/>
      </c>
      <c r="M627" t="str">
        <f t="shared" si="49"/>
        <v/>
      </c>
    </row>
    <row r="628" spans="1:13" x14ac:dyDescent="0.3">
      <c r="A628" t="str">
        <f>Segmenter!A628</f>
        <v/>
      </c>
      <c r="B628" t="str">
        <f>Segmenter!B628</f>
        <v/>
      </c>
      <c r="C628" t="str">
        <f t="shared" si="45"/>
        <v/>
      </c>
      <c r="D628" t="str">
        <f t="shared" si="46"/>
        <v/>
      </c>
      <c r="E628" t="str">
        <f t="shared" si="47"/>
        <v/>
      </c>
      <c r="F628" t="str">
        <f>IF(D628="","",INDEX(Knutepunkter!$B:$B,D628+1))</f>
        <v/>
      </c>
      <c r="G628" t="str">
        <f>IF(D628="","",INDEX(Knutepunkter!$C:$C,D628+1))</f>
        <v/>
      </c>
      <c r="H628" t="str">
        <f>IF(D628="","",INDEX(Knutepunkter!$D:$D,D628+1))</f>
        <v/>
      </c>
      <c r="I628" t="str">
        <f>IF(E628="","",INDEX(Knutepunkter!$B:$B,E628+1))</f>
        <v/>
      </c>
      <c r="J628" t="str">
        <f>IF(E628="","",INDEX(Knutepunkter!$C:$C,E628+1))</f>
        <v/>
      </c>
      <c r="K628" t="str">
        <f>IF(E628="","",INDEX(Knutepunkter!$D:$D,E628+1))</f>
        <v/>
      </c>
      <c r="L628" t="str">
        <f t="shared" si="48"/>
        <v/>
      </c>
      <c r="M628" t="str">
        <f t="shared" si="49"/>
        <v/>
      </c>
    </row>
    <row r="629" spans="1:13" x14ac:dyDescent="0.3">
      <c r="A629" t="str">
        <f>Segmenter!A629</f>
        <v/>
      </c>
      <c r="B629" t="str">
        <f>Segmenter!B629</f>
        <v/>
      </c>
      <c r="C629" t="str">
        <f t="shared" si="45"/>
        <v/>
      </c>
      <c r="D629" t="str">
        <f t="shared" si="46"/>
        <v/>
      </c>
      <c r="E629" t="str">
        <f t="shared" si="47"/>
        <v/>
      </c>
      <c r="F629" t="str">
        <f>IF(D629="","",INDEX(Knutepunkter!$B:$B,D629+1))</f>
        <v/>
      </c>
      <c r="G629" t="str">
        <f>IF(D629="","",INDEX(Knutepunkter!$C:$C,D629+1))</f>
        <v/>
      </c>
      <c r="H629" t="str">
        <f>IF(D629="","",INDEX(Knutepunkter!$D:$D,D629+1))</f>
        <v/>
      </c>
      <c r="I629" t="str">
        <f>IF(E629="","",INDEX(Knutepunkter!$B:$B,E629+1))</f>
        <v/>
      </c>
      <c r="J629" t="str">
        <f>IF(E629="","",INDEX(Knutepunkter!$C:$C,E629+1))</f>
        <v/>
      </c>
      <c r="K629" t="str">
        <f>IF(E629="","",INDEX(Knutepunkter!$D:$D,E629+1))</f>
        <v/>
      </c>
      <c r="L629" t="str">
        <f t="shared" si="48"/>
        <v/>
      </c>
      <c r="M629" t="str">
        <f t="shared" si="49"/>
        <v/>
      </c>
    </row>
    <row r="630" spans="1:13" x14ac:dyDescent="0.3">
      <c r="A630" t="str">
        <f>Segmenter!A630</f>
        <v/>
      </c>
      <c r="B630" t="str">
        <f>Segmenter!B630</f>
        <v/>
      </c>
      <c r="C630" t="str">
        <f t="shared" si="45"/>
        <v/>
      </c>
      <c r="D630" t="str">
        <f t="shared" si="46"/>
        <v/>
      </c>
      <c r="E630" t="str">
        <f t="shared" si="47"/>
        <v/>
      </c>
      <c r="F630" t="str">
        <f>IF(D630="","",INDEX(Knutepunkter!$B:$B,D630+1))</f>
        <v/>
      </c>
      <c r="G630" t="str">
        <f>IF(D630="","",INDEX(Knutepunkter!$C:$C,D630+1))</f>
        <v/>
      </c>
      <c r="H630" t="str">
        <f>IF(D630="","",INDEX(Knutepunkter!$D:$D,D630+1))</f>
        <v/>
      </c>
      <c r="I630" t="str">
        <f>IF(E630="","",INDEX(Knutepunkter!$B:$B,E630+1))</f>
        <v/>
      </c>
      <c r="J630" t="str">
        <f>IF(E630="","",INDEX(Knutepunkter!$C:$C,E630+1))</f>
        <v/>
      </c>
      <c r="K630" t="str">
        <f>IF(E630="","",INDEX(Knutepunkter!$D:$D,E630+1))</f>
        <v/>
      </c>
      <c r="L630" t="str">
        <f t="shared" si="48"/>
        <v/>
      </c>
      <c r="M630" t="str">
        <f t="shared" si="49"/>
        <v/>
      </c>
    </row>
    <row r="631" spans="1:13" x14ac:dyDescent="0.3">
      <c r="A631" t="str">
        <f>Segmenter!A631</f>
        <v/>
      </c>
      <c r="B631" t="str">
        <f>Segmenter!B631</f>
        <v/>
      </c>
      <c r="C631" t="str">
        <f t="shared" si="45"/>
        <v/>
      </c>
      <c r="D631" t="str">
        <f t="shared" si="46"/>
        <v/>
      </c>
      <c r="E631" t="str">
        <f t="shared" si="47"/>
        <v/>
      </c>
      <c r="F631" t="str">
        <f>IF(D631="","",INDEX(Knutepunkter!$B:$B,D631+1))</f>
        <v/>
      </c>
      <c r="G631" t="str">
        <f>IF(D631="","",INDEX(Knutepunkter!$C:$C,D631+1))</f>
        <v/>
      </c>
      <c r="H631" t="str">
        <f>IF(D631="","",INDEX(Knutepunkter!$D:$D,D631+1))</f>
        <v/>
      </c>
      <c r="I631" t="str">
        <f>IF(E631="","",INDEX(Knutepunkter!$B:$B,E631+1))</f>
        <v/>
      </c>
      <c r="J631" t="str">
        <f>IF(E631="","",INDEX(Knutepunkter!$C:$C,E631+1))</f>
        <v/>
      </c>
      <c r="K631" t="str">
        <f>IF(E631="","",INDEX(Knutepunkter!$D:$D,E631+1))</f>
        <v/>
      </c>
      <c r="L631" t="str">
        <f t="shared" si="48"/>
        <v/>
      </c>
      <c r="M631" t="str">
        <f t="shared" si="49"/>
        <v/>
      </c>
    </row>
    <row r="632" spans="1:13" x14ac:dyDescent="0.3">
      <c r="A632" t="str">
        <f>Segmenter!A632</f>
        <v/>
      </c>
      <c r="B632" t="str">
        <f>Segmenter!B632</f>
        <v/>
      </c>
      <c r="C632" t="str">
        <f t="shared" si="45"/>
        <v/>
      </c>
      <c r="D632" t="str">
        <f t="shared" si="46"/>
        <v/>
      </c>
      <c r="E632" t="str">
        <f t="shared" si="47"/>
        <v/>
      </c>
      <c r="F632" t="str">
        <f>IF(D632="","",INDEX(Knutepunkter!$B:$B,D632+1))</f>
        <v/>
      </c>
      <c r="G632" t="str">
        <f>IF(D632="","",INDEX(Knutepunkter!$C:$C,D632+1))</f>
        <v/>
      </c>
      <c r="H632" t="str">
        <f>IF(D632="","",INDEX(Knutepunkter!$D:$D,D632+1))</f>
        <v/>
      </c>
      <c r="I632" t="str">
        <f>IF(E632="","",INDEX(Knutepunkter!$B:$B,E632+1))</f>
        <v/>
      </c>
      <c r="J632" t="str">
        <f>IF(E632="","",INDEX(Knutepunkter!$C:$C,E632+1))</f>
        <v/>
      </c>
      <c r="K632" t="str">
        <f>IF(E632="","",INDEX(Knutepunkter!$D:$D,E632+1))</f>
        <v/>
      </c>
      <c r="L632" t="str">
        <f t="shared" si="48"/>
        <v/>
      </c>
      <c r="M632" t="str">
        <f t="shared" si="49"/>
        <v/>
      </c>
    </row>
    <row r="633" spans="1:13" x14ac:dyDescent="0.3">
      <c r="A633" t="str">
        <f>Segmenter!A633</f>
        <v/>
      </c>
      <c r="B633" t="str">
        <f>Segmenter!B633</f>
        <v/>
      </c>
      <c r="C633" t="str">
        <f t="shared" si="45"/>
        <v/>
      </c>
      <c r="D633" t="str">
        <f t="shared" si="46"/>
        <v/>
      </c>
      <c r="E633" t="str">
        <f t="shared" si="47"/>
        <v/>
      </c>
      <c r="F633" t="str">
        <f>IF(D633="","",INDEX(Knutepunkter!$B:$B,D633+1))</f>
        <v/>
      </c>
      <c r="G633" t="str">
        <f>IF(D633="","",INDEX(Knutepunkter!$C:$C,D633+1))</f>
        <v/>
      </c>
      <c r="H633" t="str">
        <f>IF(D633="","",INDEX(Knutepunkter!$D:$D,D633+1))</f>
        <v/>
      </c>
      <c r="I633" t="str">
        <f>IF(E633="","",INDEX(Knutepunkter!$B:$B,E633+1))</f>
        <v/>
      </c>
      <c r="J633" t="str">
        <f>IF(E633="","",INDEX(Knutepunkter!$C:$C,E633+1))</f>
        <v/>
      </c>
      <c r="K633" t="str">
        <f>IF(E633="","",INDEX(Knutepunkter!$D:$D,E633+1))</f>
        <v/>
      </c>
      <c r="L633" t="str">
        <f t="shared" si="48"/>
        <v/>
      </c>
      <c r="M633" t="str">
        <f t="shared" si="49"/>
        <v/>
      </c>
    </row>
    <row r="634" spans="1:13" x14ac:dyDescent="0.3">
      <c r="A634" t="str">
        <f>Segmenter!A634</f>
        <v/>
      </c>
      <c r="B634" t="str">
        <f>Segmenter!B634</f>
        <v/>
      </c>
      <c r="C634" t="str">
        <f t="shared" si="45"/>
        <v/>
      </c>
      <c r="D634" t="str">
        <f t="shared" si="46"/>
        <v/>
      </c>
      <c r="E634" t="str">
        <f t="shared" si="47"/>
        <v/>
      </c>
      <c r="F634" t="str">
        <f>IF(D634="","",INDEX(Knutepunkter!$B:$B,D634+1))</f>
        <v/>
      </c>
      <c r="G634" t="str">
        <f>IF(D634="","",INDEX(Knutepunkter!$C:$C,D634+1))</f>
        <v/>
      </c>
      <c r="H634" t="str">
        <f>IF(D634="","",INDEX(Knutepunkter!$D:$D,D634+1))</f>
        <v/>
      </c>
      <c r="I634" t="str">
        <f>IF(E634="","",INDEX(Knutepunkter!$B:$B,E634+1))</f>
        <v/>
      </c>
      <c r="J634" t="str">
        <f>IF(E634="","",INDEX(Knutepunkter!$C:$C,E634+1))</f>
        <v/>
      </c>
      <c r="K634" t="str">
        <f>IF(E634="","",INDEX(Knutepunkter!$D:$D,E634+1))</f>
        <v/>
      </c>
      <c r="L634" t="str">
        <f t="shared" si="48"/>
        <v/>
      </c>
      <c r="M634" t="str">
        <f t="shared" si="49"/>
        <v/>
      </c>
    </row>
    <row r="635" spans="1:13" x14ac:dyDescent="0.3">
      <c r="A635" t="str">
        <f>Segmenter!A635</f>
        <v/>
      </c>
      <c r="B635" t="str">
        <f>Segmenter!B635</f>
        <v/>
      </c>
      <c r="C635" t="str">
        <f t="shared" si="45"/>
        <v/>
      </c>
      <c r="D635" t="str">
        <f t="shared" si="46"/>
        <v/>
      </c>
      <c r="E635" t="str">
        <f t="shared" si="47"/>
        <v/>
      </c>
      <c r="F635" t="str">
        <f>IF(D635="","",INDEX(Knutepunkter!$B:$B,D635+1))</f>
        <v/>
      </c>
      <c r="G635" t="str">
        <f>IF(D635="","",INDEX(Knutepunkter!$C:$C,D635+1))</f>
        <v/>
      </c>
      <c r="H635" t="str">
        <f>IF(D635="","",INDEX(Knutepunkter!$D:$D,D635+1))</f>
        <v/>
      </c>
      <c r="I635" t="str">
        <f>IF(E635="","",INDEX(Knutepunkter!$B:$B,E635+1))</f>
        <v/>
      </c>
      <c r="J635" t="str">
        <f>IF(E635="","",INDEX(Knutepunkter!$C:$C,E635+1))</f>
        <v/>
      </c>
      <c r="K635" t="str">
        <f>IF(E635="","",INDEX(Knutepunkter!$D:$D,E635+1))</f>
        <v/>
      </c>
      <c r="L635" t="str">
        <f t="shared" si="48"/>
        <v/>
      </c>
      <c r="M635" t="str">
        <f t="shared" si="49"/>
        <v/>
      </c>
    </row>
    <row r="636" spans="1:13" x14ac:dyDescent="0.3">
      <c r="A636" t="str">
        <f>Segmenter!A636</f>
        <v/>
      </c>
      <c r="B636" t="str">
        <f>Segmenter!B636</f>
        <v/>
      </c>
      <c r="C636" t="str">
        <f t="shared" si="45"/>
        <v/>
      </c>
      <c r="D636" t="str">
        <f t="shared" si="46"/>
        <v/>
      </c>
      <c r="E636" t="str">
        <f t="shared" si="47"/>
        <v/>
      </c>
      <c r="F636" t="str">
        <f>IF(D636="","",INDEX(Knutepunkter!$B:$B,D636+1))</f>
        <v/>
      </c>
      <c r="G636" t="str">
        <f>IF(D636="","",INDEX(Knutepunkter!$C:$C,D636+1))</f>
        <v/>
      </c>
      <c r="H636" t="str">
        <f>IF(D636="","",INDEX(Knutepunkter!$D:$D,D636+1))</f>
        <v/>
      </c>
      <c r="I636" t="str">
        <f>IF(E636="","",INDEX(Knutepunkter!$B:$B,E636+1))</f>
        <v/>
      </c>
      <c r="J636" t="str">
        <f>IF(E636="","",INDEX(Knutepunkter!$C:$C,E636+1))</f>
        <v/>
      </c>
      <c r="K636" t="str">
        <f>IF(E636="","",INDEX(Knutepunkter!$D:$D,E636+1))</f>
        <v/>
      </c>
      <c r="L636" t="str">
        <f t="shared" si="48"/>
        <v/>
      </c>
      <c r="M636" t="str">
        <f t="shared" si="49"/>
        <v/>
      </c>
    </row>
    <row r="637" spans="1:13" x14ac:dyDescent="0.3">
      <c r="A637" t="str">
        <f>Segmenter!A637</f>
        <v/>
      </c>
      <c r="B637" t="str">
        <f>Segmenter!B637</f>
        <v/>
      </c>
      <c r="C637" t="str">
        <f t="shared" si="45"/>
        <v/>
      </c>
      <c r="D637" t="str">
        <f t="shared" si="46"/>
        <v/>
      </c>
      <c r="E637" t="str">
        <f t="shared" si="47"/>
        <v/>
      </c>
      <c r="F637" t="str">
        <f>IF(D637="","",INDEX(Knutepunkter!$B:$B,D637+1))</f>
        <v/>
      </c>
      <c r="G637" t="str">
        <f>IF(D637="","",INDEX(Knutepunkter!$C:$C,D637+1))</f>
        <v/>
      </c>
      <c r="H637" t="str">
        <f>IF(D637="","",INDEX(Knutepunkter!$D:$D,D637+1))</f>
        <v/>
      </c>
      <c r="I637" t="str">
        <f>IF(E637="","",INDEX(Knutepunkter!$B:$B,E637+1))</f>
        <v/>
      </c>
      <c r="J637" t="str">
        <f>IF(E637="","",INDEX(Knutepunkter!$C:$C,E637+1))</f>
        <v/>
      </c>
      <c r="K637" t="str">
        <f>IF(E637="","",INDEX(Knutepunkter!$D:$D,E637+1))</f>
        <v/>
      </c>
      <c r="L637" t="str">
        <f t="shared" si="48"/>
        <v/>
      </c>
      <c r="M637" t="str">
        <f t="shared" si="49"/>
        <v/>
      </c>
    </row>
    <row r="638" spans="1:13" x14ac:dyDescent="0.3">
      <c r="A638" t="str">
        <f>Segmenter!A638</f>
        <v/>
      </c>
      <c r="B638" t="str">
        <f>Segmenter!B638</f>
        <v/>
      </c>
      <c r="C638" t="str">
        <f t="shared" si="45"/>
        <v/>
      </c>
      <c r="D638" t="str">
        <f t="shared" si="46"/>
        <v/>
      </c>
      <c r="E638" t="str">
        <f t="shared" si="47"/>
        <v/>
      </c>
      <c r="F638" t="str">
        <f>IF(D638="","",INDEX(Knutepunkter!$B:$B,D638+1))</f>
        <v/>
      </c>
      <c r="G638" t="str">
        <f>IF(D638="","",INDEX(Knutepunkter!$C:$C,D638+1))</f>
        <v/>
      </c>
      <c r="H638" t="str">
        <f>IF(D638="","",INDEX(Knutepunkter!$D:$D,D638+1))</f>
        <v/>
      </c>
      <c r="I638" t="str">
        <f>IF(E638="","",INDEX(Knutepunkter!$B:$B,E638+1))</f>
        <v/>
      </c>
      <c r="J638" t="str">
        <f>IF(E638="","",INDEX(Knutepunkter!$C:$C,E638+1))</f>
        <v/>
      </c>
      <c r="K638" t="str">
        <f>IF(E638="","",INDEX(Knutepunkter!$D:$D,E638+1))</f>
        <v/>
      </c>
      <c r="L638" t="str">
        <f t="shared" si="48"/>
        <v/>
      </c>
      <c r="M638" t="str">
        <f t="shared" si="49"/>
        <v/>
      </c>
    </row>
    <row r="639" spans="1:13" x14ac:dyDescent="0.3">
      <c r="A639" t="str">
        <f>Segmenter!A639</f>
        <v/>
      </c>
      <c r="B639" t="str">
        <f>Segmenter!B639</f>
        <v/>
      </c>
      <c r="C639" t="str">
        <f t="shared" si="45"/>
        <v/>
      </c>
      <c r="D639" t="str">
        <f t="shared" si="46"/>
        <v/>
      </c>
      <c r="E639" t="str">
        <f t="shared" si="47"/>
        <v/>
      </c>
      <c r="F639" t="str">
        <f>IF(D639="","",INDEX(Knutepunkter!$B:$B,D639+1))</f>
        <v/>
      </c>
      <c r="G639" t="str">
        <f>IF(D639="","",INDEX(Knutepunkter!$C:$C,D639+1))</f>
        <v/>
      </c>
      <c r="H639" t="str">
        <f>IF(D639="","",INDEX(Knutepunkter!$D:$D,D639+1))</f>
        <v/>
      </c>
      <c r="I639" t="str">
        <f>IF(E639="","",INDEX(Knutepunkter!$B:$B,E639+1))</f>
        <v/>
      </c>
      <c r="J639" t="str">
        <f>IF(E639="","",INDEX(Knutepunkter!$C:$C,E639+1))</f>
        <v/>
      </c>
      <c r="K639" t="str">
        <f>IF(E639="","",INDEX(Knutepunkter!$D:$D,E639+1))</f>
        <v/>
      </c>
      <c r="L639" t="str">
        <f t="shared" si="48"/>
        <v/>
      </c>
      <c r="M639" t="str">
        <f t="shared" si="49"/>
        <v/>
      </c>
    </row>
    <row r="640" spans="1:13" x14ac:dyDescent="0.3">
      <c r="A640" t="str">
        <f>Segmenter!A640</f>
        <v/>
      </c>
      <c r="B640" t="str">
        <f>Segmenter!B640</f>
        <v/>
      </c>
      <c r="C640" t="str">
        <f t="shared" si="45"/>
        <v/>
      </c>
      <c r="D640" t="str">
        <f t="shared" si="46"/>
        <v/>
      </c>
      <c r="E640" t="str">
        <f t="shared" si="47"/>
        <v/>
      </c>
      <c r="F640" t="str">
        <f>IF(D640="","",INDEX(Knutepunkter!$B:$B,D640+1))</f>
        <v/>
      </c>
      <c r="G640" t="str">
        <f>IF(D640="","",INDEX(Knutepunkter!$C:$C,D640+1))</f>
        <v/>
      </c>
      <c r="H640" t="str">
        <f>IF(D640="","",INDEX(Knutepunkter!$D:$D,D640+1))</f>
        <v/>
      </c>
      <c r="I640" t="str">
        <f>IF(E640="","",INDEX(Knutepunkter!$B:$B,E640+1))</f>
        <v/>
      </c>
      <c r="J640" t="str">
        <f>IF(E640="","",INDEX(Knutepunkter!$C:$C,E640+1))</f>
        <v/>
      </c>
      <c r="K640" t="str">
        <f>IF(E640="","",INDEX(Knutepunkter!$D:$D,E640+1))</f>
        <v/>
      </c>
      <c r="L640" t="str">
        <f t="shared" si="48"/>
        <v/>
      </c>
      <c r="M640" t="str">
        <f t="shared" si="49"/>
        <v/>
      </c>
    </row>
    <row r="641" spans="1:13" x14ac:dyDescent="0.3">
      <c r="A641" t="str">
        <f>Segmenter!A641</f>
        <v/>
      </c>
      <c r="B641" t="str">
        <f>Segmenter!B641</f>
        <v/>
      </c>
      <c r="C641" t="str">
        <f t="shared" si="45"/>
        <v/>
      </c>
      <c r="D641" t="str">
        <f t="shared" si="46"/>
        <v/>
      </c>
      <c r="E641" t="str">
        <f t="shared" si="47"/>
        <v/>
      </c>
      <c r="F641" t="str">
        <f>IF(D641="","",INDEX(Knutepunkter!$B:$B,D641+1))</f>
        <v/>
      </c>
      <c r="G641" t="str">
        <f>IF(D641="","",INDEX(Knutepunkter!$C:$C,D641+1))</f>
        <v/>
      </c>
      <c r="H641" t="str">
        <f>IF(D641="","",INDEX(Knutepunkter!$D:$D,D641+1))</f>
        <v/>
      </c>
      <c r="I641" t="str">
        <f>IF(E641="","",INDEX(Knutepunkter!$B:$B,E641+1))</f>
        <v/>
      </c>
      <c r="J641" t="str">
        <f>IF(E641="","",INDEX(Knutepunkter!$C:$C,E641+1))</f>
        <v/>
      </c>
      <c r="K641" t="str">
        <f>IF(E641="","",INDEX(Knutepunkter!$D:$D,E641+1))</f>
        <v/>
      </c>
      <c r="L641" t="str">
        <f t="shared" si="48"/>
        <v/>
      </c>
      <c r="M641" t="str">
        <f t="shared" si="49"/>
        <v/>
      </c>
    </row>
    <row r="642" spans="1:13" x14ac:dyDescent="0.3">
      <c r="A642" t="str">
        <f>Segmenter!A642</f>
        <v/>
      </c>
      <c r="B642" t="str">
        <f>Segmenter!B642</f>
        <v/>
      </c>
      <c r="C642" t="str">
        <f t="shared" ref="C642:C705" si="50">IF(B642="","",IF(AND(F642=I642,G642=J642,H642&lt;&gt;K642),"Søyle","Bjelke"))</f>
        <v/>
      </c>
      <c r="D642" t="str">
        <f t="shared" ref="D642:D705" si="51">IF(B642="","",VALUE(LEFT(B642,FIND(" -&gt; ",B642)-1)))</f>
        <v/>
      </c>
      <c r="E642" t="str">
        <f t="shared" ref="E642:E705" si="52">IF(B642="","",VALUE(MID(B642,FIND(" -&gt; ",B642)+4,99)))</f>
        <v/>
      </c>
      <c r="F642" t="str">
        <f>IF(D642="","",INDEX(Knutepunkter!$B:$B,D642+1))</f>
        <v/>
      </c>
      <c r="G642" t="str">
        <f>IF(D642="","",INDEX(Knutepunkter!$C:$C,D642+1))</f>
        <v/>
      </c>
      <c r="H642" t="str">
        <f>IF(D642="","",INDEX(Knutepunkter!$D:$D,D642+1))</f>
        <v/>
      </c>
      <c r="I642" t="str">
        <f>IF(E642="","",INDEX(Knutepunkter!$B:$B,E642+1))</f>
        <v/>
      </c>
      <c r="J642" t="str">
        <f>IF(E642="","",INDEX(Knutepunkter!$C:$C,E642+1))</f>
        <v/>
      </c>
      <c r="K642" t="str">
        <f>IF(E642="","",INDEX(Knutepunkter!$D:$D,E642+1))</f>
        <v/>
      </c>
      <c r="L642" t="str">
        <f t="shared" ref="L642:L705" si="53">IF(B642="","",SQRT((I642-F642)^2+(J642-G642)^2+(K642-H642)^2))</f>
        <v/>
      </c>
      <c r="M642" t="str">
        <f t="shared" ref="M642:M705" si="54">IF(L642="","",L642/1000)</f>
        <v/>
      </c>
    </row>
    <row r="643" spans="1:13" x14ac:dyDescent="0.3">
      <c r="A643" t="str">
        <f>Segmenter!A643</f>
        <v/>
      </c>
      <c r="B643" t="str">
        <f>Segmenter!B643</f>
        <v/>
      </c>
      <c r="C643" t="str">
        <f t="shared" si="50"/>
        <v/>
      </c>
      <c r="D643" t="str">
        <f t="shared" si="51"/>
        <v/>
      </c>
      <c r="E643" t="str">
        <f t="shared" si="52"/>
        <v/>
      </c>
      <c r="F643" t="str">
        <f>IF(D643="","",INDEX(Knutepunkter!$B:$B,D643+1))</f>
        <v/>
      </c>
      <c r="G643" t="str">
        <f>IF(D643="","",INDEX(Knutepunkter!$C:$C,D643+1))</f>
        <v/>
      </c>
      <c r="H643" t="str">
        <f>IF(D643="","",INDEX(Knutepunkter!$D:$D,D643+1))</f>
        <v/>
      </c>
      <c r="I643" t="str">
        <f>IF(E643="","",INDEX(Knutepunkter!$B:$B,E643+1))</f>
        <v/>
      </c>
      <c r="J643" t="str">
        <f>IF(E643="","",INDEX(Knutepunkter!$C:$C,E643+1))</f>
        <v/>
      </c>
      <c r="K643" t="str">
        <f>IF(E643="","",INDEX(Knutepunkter!$D:$D,E643+1))</f>
        <v/>
      </c>
      <c r="L643" t="str">
        <f t="shared" si="53"/>
        <v/>
      </c>
      <c r="M643" t="str">
        <f t="shared" si="54"/>
        <v/>
      </c>
    </row>
    <row r="644" spans="1:13" x14ac:dyDescent="0.3">
      <c r="A644" t="str">
        <f>Segmenter!A644</f>
        <v/>
      </c>
      <c r="B644" t="str">
        <f>Segmenter!B644</f>
        <v/>
      </c>
      <c r="C644" t="str">
        <f t="shared" si="50"/>
        <v/>
      </c>
      <c r="D644" t="str">
        <f t="shared" si="51"/>
        <v/>
      </c>
      <c r="E644" t="str">
        <f t="shared" si="52"/>
        <v/>
      </c>
      <c r="F644" t="str">
        <f>IF(D644="","",INDEX(Knutepunkter!$B:$B,D644+1))</f>
        <v/>
      </c>
      <c r="G644" t="str">
        <f>IF(D644="","",INDEX(Knutepunkter!$C:$C,D644+1))</f>
        <v/>
      </c>
      <c r="H644" t="str">
        <f>IF(D644="","",INDEX(Knutepunkter!$D:$D,D644+1))</f>
        <v/>
      </c>
      <c r="I644" t="str">
        <f>IF(E644="","",INDEX(Knutepunkter!$B:$B,E644+1))</f>
        <v/>
      </c>
      <c r="J644" t="str">
        <f>IF(E644="","",INDEX(Knutepunkter!$C:$C,E644+1))</f>
        <v/>
      </c>
      <c r="K644" t="str">
        <f>IF(E644="","",INDEX(Knutepunkter!$D:$D,E644+1))</f>
        <v/>
      </c>
      <c r="L644" t="str">
        <f t="shared" si="53"/>
        <v/>
      </c>
      <c r="M644" t="str">
        <f t="shared" si="54"/>
        <v/>
      </c>
    </row>
    <row r="645" spans="1:13" x14ac:dyDescent="0.3">
      <c r="A645" t="str">
        <f>Segmenter!A645</f>
        <v/>
      </c>
      <c r="B645" t="str">
        <f>Segmenter!B645</f>
        <v/>
      </c>
      <c r="C645" t="str">
        <f t="shared" si="50"/>
        <v/>
      </c>
      <c r="D645" t="str">
        <f t="shared" si="51"/>
        <v/>
      </c>
      <c r="E645" t="str">
        <f t="shared" si="52"/>
        <v/>
      </c>
      <c r="F645" t="str">
        <f>IF(D645="","",INDEX(Knutepunkter!$B:$B,D645+1))</f>
        <v/>
      </c>
      <c r="G645" t="str">
        <f>IF(D645="","",INDEX(Knutepunkter!$C:$C,D645+1))</f>
        <v/>
      </c>
      <c r="H645" t="str">
        <f>IF(D645="","",INDEX(Knutepunkter!$D:$D,D645+1))</f>
        <v/>
      </c>
      <c r="I645" t="str">
        <f>IF(E645="","",INDEX(Knutepunkter!$B:$B,E645+1))</f>
        <v/>
      </c>
      <c r="J645" t="str">
        <f>IF(E645="","",INDEX(Knutepunkter!$C:$C,E645+1))</f>
        <v/>
      </c>
      <c r="K645" t="str">
        <f>IF(E645="","",INDEX(Knutepunkter!$D:$D,E645+1))</f>
        <v/>
      </c>
      <c r="L645" t="str">
        <f t="shared" si="53"/>
        <v/>
      </c>
      <c r="M645" t="str">
        <f t="shared" si="54"/>
        <v/>
      </c>
    </row>
    <row r="646" spans="1:13" x14ac:dyDescent="0.3">
      <c r="A646" t="str">
        <f>Segmenter!A646</f>
        <v/>
      </c>
      <c r="B646" t="str">
        <f>Segmenter!B646</f>
        <v/>
      </c>
      <c r="C646" t="str">
        <f t="shared" si="50"/>
        <v/>
      </c>
      <c r="D646" t="str">
        <f t="shared" si="51"/>
        <v/>
      </c>
      <c r="E646" t="str">
        <f t="shared" si="52"/>
        <v/>
      </c>
      <c r="F646" t="str">
        <f>IF(D646="","",INDEX(Knutepunkter!$B:$B,D646+1))</f>
        <v/>
      </c>
      <c r="G646" t="str">
        <f>IF(D646="","",INDEX(Knutepunkter!$C:$C,D646+1))</f>
        <v/>
      </c>
      <c r="H646" t="str">
        <f>IF(D646="","",INDEX(Knutepunkter!$D:$D,D646+1))</f>
        <v/>
      </c>
      <c r="I646" t="str">
        <f>IF(E646="","",INDEX(Knutepunkter!$B:$B,E646+1))</f>
        <v/>
      </c>
      <c r="J646" t="str">
        <f>IF(E646="","",INDEX(Knutepunkter!$C:$C,E646+1))</f>
        <v/>
      </c>
      <c r="K646" t="str">
        <f>IF(E646="","",INDEX(Knutepunkter!$D:$D,E646+1))</f>
        <v/>
      </c>
      <c r="L646" t="str">
        <f t="shared" si="53"/>
        <v/>
      </c>
      <c r="M646" t="str">
        <f t="shared" si="54"/>
        <v/>
      </c>
    </row>
    <row r="647" spans="1:13" x14ac:dyDescent="0.3">
      <c r="A647" t="str">
        <f>Segmenter!A647</f>
        <v/>
      </c>
      <c r="B647" t="str">
        <f>Segmenter!B647</f>
        <v/>
      </c>
      <c r="C647" t="str">
        <f t="shared" si="50"/>
        <v/>
      </c>
      <c r="D647" t="str">
        <f t="shared" si="51"/>
        <v/>
      </c>
      <c r="E647" t="str">
        <f t="shared" si="52"/>
        <v/>
      </c>
      <c r="F647" t="str">
        <f>IF(D647="","",INDEX(Knutepunkter!$B:$B,D647+1))</f>
        <v/>
      </c>
      <c r="G647" t="str">
        <f>IF(D647="","",INDEX(Knutepunkter!$C:$C,D647+1))</f>
        <v/>
      </c>
      <c r="H647" t="str">
        <f>IF(D647="","",INDEX(Knutepunkter!$D:$D,D647+1))</f>
        <v/>
      </c>
      <c r="I647" t="str">
        <f>IF(E647="","",INDEX(Knutepunkter!$B:$B,E647+1))</f>
        <v/>
      </c>
      <c r="J647" t="str">
        <f>IF(E647="","",INDEX(Knutepunkter!$C:$C,E647+1))</f>
        <v/>
      </c>
      <c r="K647" t="str">
        <f>IF(E647="","",INDEX(Knutepunkter!$D:$D,E647+1))</f>
        <v/>
      </c>
      <c r="L647" t="str">
        <f t="shared" si="53"/>
        <v/>
      </c>
      <c r="M647" t="str">
        <f t="shared" si="54"/>
        <v/>
      </c>
    </row>
    <row r="648" spans="1:13" x14ac:dyDescent="0.3">
      <c r="A648" t="str">
        <f>Segmenter!A648</f>
        <v/>
      </c>
      <c r="B648" t="str">
        <f>Segmenter!B648</f>
        <v/>
      </c>
      <c r="C648" t="str">
        <f t="shared" si="50"/>
        <v/>
      </c>
      <c r="D648" t="str">
        <f t="shared" si="51"/>
        <v/>
      </c>
      <c r="E648" t="str">
        <f t="shared" si="52"/>
        <v/>
      </c>
      <c r="F648" t="str">
        <f>IF(D648="","",INDEX(Knutepunkter!$B:$B,D648+1))</f>
        <v/>
      </c>
      <c r="G648" t="str">
        <f>IF(D648="","",INDEX(Knutepunkter!$C:$C,D648+1))</f>
        <v/>
      </c>
      <c r="H648" t="str">
        <f>IF(D648="","",INDEX(Knutepunkter!$D:$D,D648+1))</f>
        <v/>
      </c>
      <c r="I648" t="str">
        <f>IF(E648="","",INDEX(Knutepunkter!$B:$B,E648+1))</f>
        <v/>
      </c>
      <c r="J648" t="str">
        <f>IF(E648="","",INDEX(Knutepunkter!$C:$C,E648+1))</f>
        <v/>
      </c>
      <c r="K648" t="str">
        <f>IF(E648="","",INDEX(Knutepunkter!$D:$D,E648+1))</f>
        <v/>
      </c>
      <c r="L648" t="str">
        <f t="shared" si="53"/>
        <v/>
      </c>
      <c r="M648" t="str">
        <f t="shared" si="54"/>
        <v/>
      </c>
    </row>
    <row r="649" spans="1:13" x14ac:dyDescent="0.3">
      <c r="A649" t="str">
        <f>Segmenter!A649</f>
        <v/>
      </c>
      <c r="B649" t="str">
        <f>Segmenter!B649</f>
        <v/>
      </c>
      <c r="C649" t="str">
        <f t="shared" si="50"/>
        <v/>
      </c>
      <c r="D649" t="str">
        <f t="shared" si="51"/>
        <v/>
      </c>
      <c r="E649" t="str">
        <f t="shared" si="52"/>
        <v/>
      </c>
      <c r="F649" t="str">
        <f>IF(D649="","",INDEX(Knutepunkter!$B:$B,D649+1))</f>
        <v/>
      </c>
      <c r="G649" t="str">
        <f>IF(D649="","",INDEX(Knutepunkter!$C:$C,D649+1))</f>
        <v/>
      </c>
      <c r="H649" t="str">
        <f>IF(D649="","",INDEX(Knutepunkter!$D:$D,D649+1))</f>
        <v/>
      </c>
      <c r="I649" t="str">
        <f>IF(E649="","",INDEX(Knutepunkter!$B:$B,E649+1))</f>
        <v/>
      </c>
      <c r="J649" t="str">
        <f>IF(E649="","",INDEX(Knutepunkter!$C:$C,E649+1))</f>
        <v/>
      </c>
      <c r="K649" t="str">
        <f>IF(E649="","",INDEX(Knutepunkter!$D:$D,E649+1))</f>
        <v/>
      </c>
      <c r="L649" t="str">
        <f t="shared" si="53"/>
        <v/>
      </c>
      <c r="M649" t="str">
        <f t="shared" si="54"/>
        <v/>
      </c>
    </row>
    <row r="650" spans="1:13" x14ac:dyDescent="0.3">
      <c r="A650" t="str">
        <f>Segmenter!A650</f>
        <v/>
      </c>
      <c r="B650" t="str">
        <f>Segmenter!B650</f>
        <v/>
      </c>
      <c r="C650" t="str">
        <f t="shared" si="50"/>
        <v/>
      </c>
      <c r="D650" t="str">
        <f t="shared" si="51"/>
        <v/>
      </c>
      <c r="E650" t="str">
        <f t="shared" si="52"/>
        <v/>
      </c>
      <c r="F650" t="str">
        <f>IF(D650="","",INDEX(Knutepunkter!$B:$B,D650+1))</f>
        <v/>
      </c>
      <c r="G650" t="str">
        <f>IF(D650="","",INDEX(Knutepunkter!$C:$C,D650+1))</f>
        <v/>
      </c>
      <c r="H650" t="str">
        <f>IF(D650="","",INDEX(Knutepunkter!$D:$D,D650+1))</f>
        <v/>
      </c>
      <c r="I650" t="str">
        <f>IF(E650="","",INDEX(Knutepunkter!$B:$B,E650+1))</f>
        <v/>
      </c>
      <c r="J650" t="str">
        <f>IF(E650="","",INDEX(Knutepunkter!$C:$C,E650+1))</f>
        <v/>
      </c>
      <c r="K650" t="str">
        <f>IF(E650="","",INDEX(Knutepunkter!$D:$D,E650+1))</f>
        <v/>
      </c>
      <c r="L650" t="str">
        <f t="shared" si="53"/>
        <v/>
      </c>
      <c r="M650" t="str">
        <f t="shared" si="54"/>
        <v/>
      </c>
    </row>
    <row r="651" spans="1:13" x14ac:dyDescent="0.3">
      <c r="A651" t="str">
        <f>Segmenter!A651</f>
        <v/>
      </c>
      <c r="B651" t="str">
        <f>Segmenter!B651</f>
        <v/>
      </c>
      <c r="C651" t="str">
        <f t="shared" si="50"/>
        <v/>
      </c>
      <c r="D651" t="str">
        <f t="shared" si="51"/>
        <v/>
      </c>
      <c r="E651" t="str">
        <f t="shared" si="52"/>
        <v/>
      </c>
      <c r="F651" t="str">
        <f>IF(D651="","",INDEX(Knutepunkter!$B:$B,D651+1))</f>
        <v/>
      </c>
      <c r="G651" t="str">
        <f>IF(D651="","",INDEX(Knutepunkter!$C:$C,D651+1))</f>
        <v/>
      </c>
      <c r="H651" t="str">
        <f>IF(D651="","",INDEX(Knutepunkter!$D:$D,D651+1))</f>
        <v/>
      </c>
      <c r="I651" t="str">
        <f>IF(E651="","",INDEX(Knutepunkter!$B:$B,E651+1))</f>
        <v/>
      </c>
      <c r="J651" t="str">
        <f>IF(E651="","",INDEX(Knutepunkter!$C:$C,E651+1))</f>
        <v/>
      </c>
      <c r="K651" t="str">
        <f>IF(E651="","",INDEX(Knutepunkter!$D:$D,E651+1))</f>
        <v/>
      </c>
      <c r="L651" t="str">
        <f t="shared" si="53"/>
        <v/>
      </c>
      <c r="M651" t="str">
        <f t="shared" si="54"/>
        <v/>
      </c>
    </row>
    <row r="652" spans="1:13" x14ac:dyDescent="0.3">
      <c r="A652" t="str">
        <f>Segmenter!A652</f>
        <v/>
      </c>
      <c r="B652" t="str">
        <f>Segmenter!B652</f>
        <v/>
      </c>
      <c r="C652" t="str">
        <f t="shared" si="50"/>
        <v/>
      </c>
      <c r="D652" t="str">
        <f t="shared" si="51"/>
        <v/>
      </c>
      <c r="E652" t="str">
        <f t="shared" si="52"/>
        <v/>
      </c>
      <c r="F652" t="str">
        <f>IF(D652="","",INDEX(Knutepunkter!$B:$B,D652+1))</f>
        <v/>
      </c>
      <c r="G652" t="str">
        <f>IF(D652="","",INDEX(Knutepunkter!$C:$C,D652+1))</f>
        <v/>
      </c>
      <c r="H652" t="str">
        <f>IF(D652="","",INDEX(Knutepunkter!$D:$D,D652+1))</f>
        <v/>
      </c>
      <c r="I652" t="str">
        <f>IF(E652="","",INDEX(Knutepunkter!$B:$B,E652+1))</f>
        <v/>
      </c>
      <c r="J652" t="str">
        <f>IF(E652="","",INDEX(Knutepunkter!$C:$C,E652+1))</f>
        <v/>
      </c>
      <c r="K652" t="str">
        <f>IF(E652="","",INDEX(Knutepunkter!$D:$D,E652+1))</f>
        <v/>
      </c>
      <c r="L652" t="str">
        <f t="shared" si="53"/>
        <v/>
      </c>
      <c r="M652" t="str">
        <f t="shared" si="54"/>
        <v/>
      </c>
    </row>
    <row r="653" spans="1:13" x14ac:dyDescent="0.3">
      <c r="A653" t="str">
        <f>Segmenter!A653</f>
        <v/>
      </c>
      <c r="B653" t="str">
        <f>Segmenter!B653</f>
        <v/>
      </c>
      <c r="C653" t="str">
        <f t="shared" si="50"/>
        <v/>
      </c>
      <c r="D653" t="str">
        <f t="shared" si="51"/>
        <v/>
      </c>
      <c r="E653" t="str">
        <f t="shared" si="52"/>
        <v/>
      </c>
      <c r="F653" t="str">
        <f>IF(D653="","",INDEX(Knutepunkter!$B:$B,D653+1))</f>
        <v/>
      </c>
      <c r="G653" t="str">
        <f>IF(D653="","",INDEX(Knutepunkter!$C:$C,D653+1))</f>
        <v/>
      </c>
      <c r="H653" t="str">
        <f>IF(D653="","",INDEX(Knutepunkter!$D:$D,D653+1))</f>
        <v/>
      </c>
      <c r="I653" t="str">
        <f>IF(E653="","",INDEX(Knutepunkter!$B:$B,E653+1))</f>
        <v/>
      </c>
      <c r="J653" t="str">
        <f>IF(E653="","",INDEX(Knutepunkter!$C:$C,E653+1))</f>
        <v/>
      </c>
      <c r="K653" t="str">
        <f>IF(E653="","",INDEX(Knutepunkter!$D:$D,E653+1))</f>
        <v/>
      </c>
      <c r="L653" t="str">
        <f t="shared" si="53"/>
        <v/>
      </c>
      <c r="M653" t="str">
        <f t="shared" si="54"/>
        <v/>
      </c>
    </row>
    <row r="654" spans="1:13" x14ac:dyDescent="0.3">
      <c r="A654" t="str">
        <f>Segmenter!A654</f>
        <v/>
      </c>
      <c r="B654" t="str">
        <f>Segmenter!B654</f>
        <v/>
      </c>
      <c r="C654" t="str">
        <f t="shared" si="50"/>
        <v/>
      </c>
      <c r="D654" t="str">
        <f t="shared" si="51"/>
        <v/>
      </c>
      <c r="E654" t="str">
        <f t="shared" si="52"/>
        <v/>
      </c>
      <c r="F654" t="str">
        <f>IF(D654="","",INDEX(Knutepunkter!$B:$B,D654+1))</f>
        <v/>
      </c>
      <c r="G654" t="str">
        <f>IF(D654="","",INDEX(Knutepunkter!$C:$C,D654+1))</f>
        <v/>
      </c>
      <c r="H654" t="str">
        <f>IF(D654="","",INDEX(Knutepunkter!$D:$D,D654+1))</f>
        <v/>
      </c>
      <c r="I654" t="str">
        <f>IF(E654="","",INDEX(Knutepunkter!$B:$B,E654+1))</f>
        <v/>
      </c>
      <c r="J654" t="str">
        <f>IF(E654="","",INDEX(Knutepunkter!$C:$C,E654+1))</f>
        <v/>
      </c>
      <c r="K654" t="str">
        <f>IF(E654="","",INDEX(Knutepunkter!$D:$D,E654+1))</f>
        <v/>
      </c>
      <c r="L654" t="str">
        <f t="shared" si="53"/>
        <v/>
      </c>
      <c r="M654" t="str">
        <f t="shared" si="54"/>
        <v/>
      </c>
    </row>
    <row r="655" spans="1:13" x14ac:dyDescent="0.3">
      <c r="A655" t="str">
        <f>Segmenter!A655</f>
        <v/>
      </c>
      <c r="B655" t="str">
        <f>Segmenter!B655</f>
        <v/>
      </c>
      <c r="C655" t="str">
        <f t="shared" si="50"/>
        <v/>
      </c>
      <c r="D655" t="str">
        <f t="shared" si="51"/>
        <v/>
      </c>
      <c r="E655" t="str">
        <f t="shared" si="52"/>
        <v/>
      </c>
      <c r="F655" t="str">
        <f>IF(D655="","",INDEX(Knutepunkter!$B:$B,D655+1))</f>
        <v/>
      </c>
      <c r="G655" t="str">
        <f>IF(D655="","",INDEX(Knutepunkter!$C:$C,D655+1))</f>
        <v/>
      </c>
      <c r="H655" t="str">
        <f>IF(D655="","",INDEX(Knutepunkter!$D:$D,D655+1))</f>
        <v/>
      </c>
      <c r="I655" t="str">
        <f>IF(E655="","",INDEX(Knutepunkter!$B:$B,E655+1))</f>
        <v/>
      </c>
      <c r="J655" t="str">
        <f>IF(E655="","",INDEX(Knutepunkter!$C:$C,E655+1))</f>
        <v/>
      </c>
      <c r="K655" t="str">
        <f>IF(E655="","",INDEX(Knutepunkter!$D:$D,E655+1))</f>
        <v/>
      </c>
      <c r="L655" t="str">
        <f t="shared" si="53"/>
        <v/>
      </c>
      <c r="M655" t="str">
        <f t="shared" si="54"/>
        <v/>
      </c>
    </row>
    <row r="656" spans="1:13" x14ac:dyDescent="0.3">
      <c r="A656" t="str">
        <f>Segmenter!A656</f>
        <v/>
      </c>
      <c r="B656" t="str">
        <f>Segmenter!B656</f>
        <v/>
      </c>
      <c r="C656" t="str">
        <f t="shared" si="50"/>
        <v/>
      </c>
      <c r="D656" t="str">
        <f t="shared" si="51"/>
        <v/>
      </c>
      <c r="E656" t="str">
        <f t="shared" si="52"/>
        <v/>
      </c>
      <c r="F656" t="str">
        <f>IF(D656="","",INDEX(Knutepunkter!$B:$B,D656+1))</f>
        <v/>
      </c>
      <c r="G656" t="str">
        <f>IF(D656="","",INDEX(Knutepunkter!$C:$C,D656+1))</f>
        <v/>
      </c>
      <c r="H656" t="str">
        <f>IF(D656="","",INDEX(Knutepunkter!$D:$D,D656+1))</f>
        <v/>
      </c>
      <c r="I656" t="str">
        <f>IF(E656="","",INDEX(Knutepunkter!$B:$B,E656+1))</f>
        <v/>
      </c>
      <c r="J656" t="str">
        <f>IF(E656="","",INDEX(Knutepunkter!$C:$C,E656+1))</f>
        <v/>
      </c>
      <c r="K656" t="str">
        <f>IF(E656="","",INDEX(Knutepunkter!$D:$D,E656+1))</f>
        <v/>
      </c>
      <c r="L656" t="str">
        <f t="shared" si="53"/>
        <v/>
      </c>
      <c r="M656" t="str">
        <f t="shared" si="54"/>
        <v/>
      </c>
    </row>
    <row r="657" spans="1:13" x14ac:dyDescent="0.3">
      <c r="A657" t="str">
        <f>Segmenter!A657</f>
        <v/>
      </c>
      <c r="B657" t="str">
        <f>Segmenter!B657</f>
        <v/>
      </c>
      <c r="C657" t="str">
        <f t="shared" si="50"/>
        <v/>
      </c>
      <c r="D657" t="str">
        <f t="shared" si="51"/>
        <v/>
      </c>
      <c r="E657" t="str">
        <f t="shared" si="52"/>
        <v/>
      </c>
      <c r="F657" t="str">
        <f>IF(D657="","",INDEX(Knutepunkter!$B:$B,D657+1))</f>
        <v/>
      </c>
      <c r="G657" t="str">
        <f>IF(D657="","",INDEX(Knutepunkter!$C:$C,D657+1))</f>
        <v/>
      </c>
      <c r="H657" t="str">
        <f>IF(D657="","",INDEX(Knutepunkter!$D:$D,D657+1))</f>
        <v/>
      </c>
      <c r="I657" t="str">
        <f>IF(E657="","",INDEX(Knutepunkter!$B:$B,E657+1))</f>
        <v/>
      </c>
      <c r="J657" t="str">
        <f>IF(E657="","",INDEX(Knutepunkter!$C:$C,E657+1))</f>
        <v/>
      </c>
      <c r="K657" t="str">
        <f>IF(E657="","",INDEX(Knutepunkter!$D:$D,E657+1))</f>
        <v/>
      </c>
      <c r="L657" t="str">
        <f t="shared" si="53"/>
        <v/>
      </c>
      <c r="M657" t="str">
        <f t="shared" si="54"/>
        <v/>
      </c>
    </row>
    <row r="658" spans="1:13" x14ac:dyDescent="0.3">
      <c r="A658" t="str">
        <f>Segmenter!A658</f>
        <v/>
      </c>
      <c r="B658" t="str">
        <f>Segmenter!B658</f>
        <v/>
      </c>
      <c r="C658" t="str">
        <f t="shared" si="50"/>
        <v/>
      </c>
      <c r="D658" t="str">
        <f t="shared" si="51"/>
        <v/>
      </c>
      <c r="E658" t="str">
        <f t="shared" si="52"/>
        <v/>
      </c>
      <c r="F658" t="str">
        <f>IF(D658="","",INDEX(Knutepunkter!$B:$B,D658+1))</f>
        <v/>
      </c>
      <c r="G658" t="str">
        <f>IF(D658="","",INDEX(Knutepunkter!$C:$C,D658+1))</f>
        <v/>
      </c>
      <c r="H658" t="str">
        <f>IF(D658="","",INDEX(Knutepunkter!$D:$D,D658+1))</f>
        <v/>
      </c>
      <c r="I658" t="str">
        <f>IF(E658="","",INDEX(Knutepunkter!$B:$B,E658+1))</f>
        <v/>
      </c>
      <c r="J658" t="str">
        <f>IF(E658="","",INDEX(Knutepunkter!$C:$C,E658+1))</f>
        <v/>
      </c>
      <c r="K658" t="str">
        <f>IF(E658="","",INDEX(Knutepunkter!$D:$D,E658+1))</f>
        <v/>
      </c>
      <c r="L658" t="str">
        <f t="shared" si="53"/>
        <v/>
      </c>
      <c r="M658" t="str">
        <f t="shared" si="54"/>
        <v/>
      </c>
    </row>
    <row r="659" spans="1:13" x14ac:dyDescent="0.3">
      <c r="A659" t="str">
        <f>Segmenter!A659</f>
        <v/>
      </c>
      <c r="B659" t="str">
        <f>Segmenter!B659</f>
        <v/>
      </c>
      <c r="C659" t="str">
        <f t="shared" si="50"/>
        <v/>
      </c>
      <c r="D659" t="str">
        <f t="shared" si="51"/>
        <v/>
      </c>
      <c r="E659" t="str">
        <f t="shared" si="52"/>
        <v/>
      </c>
      <c r="F659" t="str">
        <f>IF(D659="","",INDEX(Knutepunkter!$B:$B,D659+1))</f>
        <v/>
      </c>
      <c r="G659" t="str">
        <f>IF(D659="","",INDEX(Knutepunkter!$C:$C,D659+1))</f>
        <v/>
      </c>
      <c r="H659" t="str">
        <f>IF(D659="","",INDEX(Knutepunkter!$D:$D,D659+1))</f>
        <v/>
      </c>
      <c r="I659" t="str">
        <f>IF(E659="","",INDEX(Knutepunkter!$B:$B,E659+1))</f>
        <v/>
      </c>
      <c r="J659" t="str">
        <f>IF(E659="","",INDEX(Knutepunkter!$C:$C,E659+1))</f>
        <v/>
      </c>
      <c r="K659" t="str">
        <f>IF(E659="","",INDEX(Knutepunkter!$D:$D,E659+1))</f>
        <v/>
      </c>
      <c r="L659" t="str">
        <f t="shared" si="53"/>
        <v/>
      </c>
      <c r="M659" t="str">
        <f t="shared" si="54"/>
        <v/>
      </c>
    </row>
    <row r="660" spans="1:13" x14ac:dyDescent="0.3">
      <c r="A660" t="str">
        <f>Segmenter!A660</f>
        <v/>
      </c>
      <c r="B660" t="str">
        <f>Segmenter!B660</f>
        <v/>
      </c>
      <c r="C660" t="str">
        <f t="shared" si="50"/>
        <v/>
      </c>
      <c r="D660" t="str">
        <f t="shared" si="51"/>
        <v/>
      </c>
      <c r="E660" t="str">
        <f t="shared" si="52"/>
        <v/>
      </c>
      <c r="F660" t="str">
        <f>IF(D660="","",INDEX(Knutepunkter!$B:$B,D660+1))</f>
        <v/>
      </c>
      <c r="G660" t="str">
        <f>IF(D660="","",INDEX(Knutepunkter!$C:$C,D660+1))</f>
        <v/>
      </c>
      <c r="H660" t="str">
        <f>IF(D660="","",INDEX(Knutepunkter!$D:$D,D660+1))</f>
        <v/>
      </c>
      <c r="I660" t="str">
        <f>IF(E660="","",INDEX(Knutepunkter!$B:$B,E660+1))</f>
        <v/>
      </c>
      <c r="J660" t="str">
        <f>IF(E660="","",INDEX(Knutepunkter!$C:$C,E660+1))</f>
        <v/>
      </c>
      <c r="K660" t="str">
        <f>IF(E660="","",INDEX(Knutepunkter!$D:$D,E660+1))</f>
        <v/>
      </c>
      <c r="L660" t="str">
        <f t="shared" si="53"/>
        <v/>
      </c>
      <c r="M660" t="str">
        <f t="shared" si="54"/>
        <v/>
      </c>
    </row>
    <row r="661" spans="1:13" x14ac:dyDescent="0.3">
      <c r="A661" t="str">
        <f>Segmenter!A661</f>
        <v/>
      </c>
      <c r="B661" t="str">
        <f>Segmenter!B661</f>
        <v/>
      </c>
      <c r="C661" t="str">
        <f t="shared" si="50"/>
        <v/>
      </c>
      <c r="D661" t="str">
        <f t="shared" si="51"/>
        <v/>
      </c>
      <c r="E661" t="str">
        <f t="shared" si="52"/>
        <v/>
      </c>
      <c r="F661" t="str">
        <f>IF(D661="","",INDEX(Knutepunkter!$B:$B,D661+1))</f>
        <v/>
      </c>
      <c r="G661" t="str">
        <f>IF(D661="","",INDEX(Knutepunkter!$C:$C,D661+1))</f>
        <v/>
      </c>
      <c r="H661" t="str">
        <f>IF(D661="","",INDEX(Knutepunkter!$D:$D,D661+1))</f>
        <v/>
      </c>
      <c r="I661" t="str">
        <f>IF(E661="","",INDEX(Knutepunkter!$B:$B,E661+1))</f>
        <v/>
      </c>
      <c r="J661" t="str">
        <f>IF(E661="","",INDEX(Knutepunkter!$C:$C,E661+1))</f>
        <v/>
      </c>
      <c r="K661" t="str">
        <f>IF(E661="","",INDEX(Knutepunkter!$D:$D,E661+1))</f>
        <v/>
      </c>
      <c r="L661" t="str">
        <f t="shared" si="53"/>
        <v/>
      </c>
      <c r="M661" t="str">
        <f t="shared" si="54"/>
        <v/>
      </c>
    </row>
    <row r="662" spans="1:13" x14ac:dyDescent="0.3">
      <c r="A662" t="str">
        <f>Segmenter!A662</f>
        <v/>
      </c>
      <c r="B662" t="str">
        <f>Segmenter!B662</f>
        <v/>
      </c>
      <c r="C662" t="str">
        <f t="shared" si="50"/>
        <v/>
      </c>
      <c r="D662" t="str">
        <f t="shared" si="51"/>
        <v/>
      </c>
      <c r="E662" t="str">
        <f t="shared" si="52"/>
        <v/>
      </c>
      <c r="F662" t="str">
        <f>IF(D662="","",INDEX(Knutepunkter!$B:$B,D662+1))</f>
        <v/>
      </c>
      <c r="G662" t="str">
        <f>IF(D662="","",INDEX(Knutepunkter!$C:$C,D662+1))</f>
        <v/>
      </c>
      <c r="H662" t="str">
        <f>IF(D662="","",INDEX(Knutepunkter!$D:$D,D662+1))</f>
        <v/>
      </c>
      <c r="I662" t="str">
        <f>IF(E662="","",INDEX(Knutepunkter!$B:$B,E662+1))</f>
        <v/>
      </c>
      <c r="J662" t="str">
        <f>IF(E662="","",INDEX(Knutepunkter!$C:$C,E662+1))</f>
        <v/>
      </c>
      <c r="K662" t="str">
        <f>IF(E662="","",INDEX(Knutepunkter!$D:$D,E662+1))</f>
        <v/>
      </c>
      <c r="L662" t="str">
        <f t="shared" si="53"/>
        <v/>
      </c>
      <c r="M662" t="str">
        <f t="shared" si="54"/>
        <v/>
      </c>
    </row>
    <row r="663" spans="1:13" x14ac:dyDescent="0.3">
      <c r="A663" t="str">
        <f>Segmenter!A663</f>
        <v/>
      </c>
      <c r="B663" t="str">
        <f>Segmenter!B663</f>
        <v/>
      </c>
      <c r="C663" t="str">
        <f t="shared" si="50"/>
        <v/>
      </c>
      <c r="D663" t="str">
        <f t="shared" si="51"/>
        <v/>
      </c>
      <c r="E663" t="str">
        <f t="shared" si="52"/>
        <v/>
      </c>
      <c r="F663" t="str">
        <f>IF(D663="","",INDEX(Knutepunkter!$B:$B,D663+1))</f>
        <v/>
      </c>
      <c r="G663" t="str">
        <f>IF(D663="","",INDEX(Knutepunkter!$C:$C,D663+1))</f>
        <v/>
      </c>
      <c r="H663" t="str">
        <f>IF(D663="","",INDEX(Knutepunkter!$D:$D,D663+1))</f>
        <v/>
      </c>
      <c r="I663" t="str">
        <f>IF(E663="","",INDEX(Knutepunkter!$B:$B,E663+1))</f>
        <v/>
      </c>
      <c r="J663" t="str">
        <f>IF(E663="","",INDEX(Knutepunkter!$C:$C,E663+1))</f>
        <v/>
      </c>
      <c r="K663" t="str">
        <f>IF(E663="","",INDEX(Knutepunkter!$D:$D,E663+1))</f>
        <v/>
      </c>
      <c r="L663" t="str">
        <f t="shared" si="53"/>
        <v/>
      </c>
      <c r="M663" t="str">
        <f t="shared" si="54"/>
        <v/>
      </c>
    </row>
    <row r="664" spans="1:13" x14ac:dyDescent="0.3">
      <c r="A664" t="str">
        <f>Segmenter!A664</f>
        <v/>
      </c>
      <c r="B664" t="str">
        <f>Segmenter!B664</f>
        <v/>
      </c>
      <c r="C664" t="str">
        <f t="shared" si="50"/>
        <v/>
      </c>
      <c r="D664" t="str">
        <f t="shared" si="51"/>
        <v/>
      </c>
      <c r="E664" t="str">
        <f t="shared" si="52"/>
        <v/>
      </c>
      <c r="F664" t="str">
        <f>IF(D664="","",INDEX(Knutepunkter!$B:$B,D664+1))</f>
        <v/>
      </c>
      <c r="G664" t="str">
        <f>IF(D664="","",INDEX(Knutepunkter!$C:$C,D664+1))</f>
        <v/>
      </c>
      <c r="H664" t="str">
        <f>IF(D664="","",INDEX(Knutepunkter!$D:$D,D664+1))</f>
        <v/>
      </c>
      <c r="I664" t="str">
        <f>IF(E664="","",INDEX(Knutepunkter!$B:$B,E664+1))</f>
        <v/>
      </c>
      <c r="J664" t="str">
        <f>IF(E664="","",INDEX(Knutepunkter!$C:$C,E664+1))</f>
        <v/>
      </c>
      <c r="K664" t="str">
        <f>IF(E664="","",INDEX(Knutepunkter!$D:$D,E664+1))</f>
        <v/>
      </c>
      <c r="L664" t="str">
        <f t="shared" si="53"/>
        <v/>
      </c>
      <c r="M664" t="str">
        <f t="shared" si="54"/>
        <v/>
      </c>
    </row>
    <row r="665" spans="1:13" x14ac:dyDescent="0.3">
      <c r="A665" t="str">
        <f>Segmenter!A665</f>
        <v/>
      </c>
      <c r="B665" t="str">
        <f>Segmenter!B665</f>
        <v/>
      </c>
      <c r="C665" t="str">
        <f t="shared" si="50"/>
        <v/>
      </c>
      <c r="D665" t="str">
        <f t="shared" si="51"/>
        <v/>
      </c>
      <c r="E665" t="str">
        <f t="shared" si="52"/>
        <v/>
      </c>
      <c r="F665" t="str">
        <f>IF(D665="","",INDEX(Knutepunkter!$B:$B,D665+1))</f>
        <v/>
      </c>
      <c r="G665" t="str">
        <f>IF(D665="","",INDEX(Knutepunkter!$C:$C,D665+1))</f>
        <v/>
      </c>
      <c r="H665" t="str">
        <f>IF(D665="","",INDEX(Knutepunkter!$D:$D,D665+1))</f>
        <v/>
      </c>
      <c r="I665" t="str">
        <f>IF(E665="","",INDEX(Knutepunkter!$B:$B,E665+1))</f>
        <v/>
      </c>
      <c r="J665" t="str">
        <f>IF(E665="","",INDEX(Knutepunkter!$C:$C,E665+1))</f>
        <v/>
      </c>
      <c r="K665" t="str">
        <f>IF(E665="","",INDEX(Knutepunkter!$D:$D,E665+1))</f>
        <v/>
      </c>
      <c r="L665" t="str">
        <f t="shared" si="53"/>
        <v/>
      </c>
      <c r="M665" t="str">
        <f t="shared" si="54"/>
        <v/>
      </c>
    </row>
    <row r="666" spans="1:13" x14ac:dyDescent="0.3">
      <c r="A666" t="str">
        <f>Segmenter!A666</f>
        <v/>
      </c>
      <c r="B666" t="str">
        <f>Segmenter!B666</f>
        <v/>
      </c>
      <c r="C666" t="str">
        <f t="shared" si="50"/>
        <v/>
      </c>
      <c r="D666" t="str">
        <f t="shared" si="51"/>
        <v/>
      </c>
      <c r="E666" t="str">
        <f t="shared" si="52"/>
        <v/>
      </c>
      <c r="F666" t="str">
        <f>IF(D666="","",INDEX(Knutepunkter!$B:$B,D666+1))</f>
        <v/>
      </c>
      <c r="G666" t="str">
        <f>IF(D666="","",INDEX(Knutepunkter!$C:$C,D666+1))</f>
        <v/>
      </c>
      <c r="H666" t="str">
        <f>IF(D666="","",INDEX(Knutepunkter!$D:$D,D666+1))</f>
        <v/>
      </c>
      <c r="I666" t="str">
        <f>IF(E666="","",INDEX(Knutepunkter!$B:$B,E666+1))</f>
        <v/>
      </c>
      <c r="J666" t="str">
        <f>IF(E666="","",INDEX(Knutepunkter!$C:$C,E666+1))</f>
        <v/>
      </c>
      <c r="K666" t="str">
        <f>IF(E666="","",INDEX(Knutepunkter!$D:$D,E666+1))</f>
        <v/>
      </c>
      <c r="L666" t="str">
        <f t="shared" si="53"/>
        <v/>
      </c>
      <c r="M666" t="str">
        <f t="shared" si="54"/>
        <v/>
      </c>
    </row>
    <row r="667" spans="1:13" x14ac:dyDescent="0.3">
      <c r="A667" t="str">
        <f>Segmenter!A667</f>
        <v/>
      </c>
      <c r="B667" t="str">
        <f>Segmenter!B667</f>
        <v/>
      </c>
      <c r="C667" t="str">
        <f t="shared" si="50"/>
        <v/>
      </c>
      <c r="D667" t="str">
        <f t="shared" si="51"/>
        <v/>
      </c>
      <c r="E667" t="str">
        <f t="shared" si="52"/>
        <v/>
      </c>
      <c r="F667" t="str">
        <f>IF(D667="","",INDEX(Knutepunkter!$B:$B,D667+1))</f>
        <v/>
      </c>
      <c r="G667" t="str">
        <f>IF(D667="","",INDEX(Knutepunkter!$C:$C,D667+1))</f>
        <v/>
      </c>
      <c r="H667" t="str">
        <f>IF(D667="","",INDEX(Knutepunkter!$D:$D,D667+1))</f>
        <v/>
      </c>
      <c r="I667" t="str">
        <f>IF(E667="","",INDEX(Knutepunkter!$B:$B,E667+1))</f>
        <v/>
      </c>
      <c r="J667" t="str">
        <f>IF(E667="","",INDEX(Knutepunkter!$C:$C,E667+1))</f>
        <v/>
      </c>
      <c r="K667" t="str">
        <f>IF(E667="","",INDEX(Knutepunkter!$D:$D,E667+1))</f>
        <v/>
      </c>
      <c r="L667" t="str">
        <f t="shared" si="53"/>
        <v/>
      </c>
      <c r="M667" t="str">
        <f t="shared" si="54"/>
        <v/>
      </c>
    </row>
    <row r="668" spans="1:13" x14ac:dyDescent="0.3">
      <c r="A668" t="str">
        <f>Segmenter!A668</f>
        <v/>
      </c>
      <c r="B668" t="str">
        <f>Segmenter!B668</f>
        <v/>
      </c>
      <c r="C668" t="str">
        <f t="shared" si="50"/>
        <v/>
      </c>
      <c r="D668" t="str">
        <f t="shared" si="51"/>
        <v/>
      </c>
      <c r="E668" t="str">
        <f t="shared" si="52"/>
        <v/>
      </c>
      <c r="F668" t="str">
        <f>IF(D668="","",INDEX(Knutepunkter!$B:$B,D668+1))</f>
        <v/>
      </c>
      <c r="G668" t="str">
        <f>IF(D668="","",INDEX(Knutepunkter!$C:$C,D668+1))</f>
        <v/>
      </c>
      <c r="H668" t="str">
        <f>IF(D668="","",INDEX(Knutepunkter!$D:$D,D668+1))</f>
        <v/>
      </c>
      <c r="I668" t="str">
        <f>IF(E668="","",INDEX(Knutepunkter!$B:$B,E668+1))</f>
        <v/>
      </c>
      <c r="J668" t="str">
        <f>IF(E668="","",INDEX(Knutepunkter!$C:$C,E668+1))</f>
        <v/>
      </c>
      <c r="K668" t="str">
        <f>IF(E668="","",INDEX(Knutepunkter!$D:$D,E668+1))</f>
        <v/>
      </c>
      <c r="L668" t="str">
        <f t="shared" si="53"/>
        <v/>
      </c>
      <c r="M668" t="str">
        <f t="shared" si="54"/>
        <v/>
      </c>
    </row>
    <row r="669" spans="1:13" x14ac:dyDescent="0.3">
      <c r="A669" t="str">
        <f>Segmenter!A669</f>
        <v/>
      </c>
      <c r="B669" t="str">
        <f>Segmenter!B669</f>
        <v/>
      </c>
      <c r="C669" t="str">
        <f t="shared" si="50"/>
        <v/>
      </c>
      <c r="D669" t="str">
        <f t="shared" si="51"/>
        <v/>
      </c>
      <c r="E669" t="str">
        <f t="shared" si="52"/>
        <v/>
      </c>
      <c r="F669" t="str">
        <f>IF(D669="","",INDEX(Knutepunkter!$B:$B,D669+1))</f>
        <v/>
      </c>
      <c r="G669" t="str">
        <f>IF(D669="","",INDEX(Knutepunkter!$C:$C,D669+1))</f>
        <v/>
      </c>
      <c r="H669" t="str">
        <f>IF(D669="","",INDEX(Knutepunkter!$D:$D,D669+1))</f>
        <v/>
      </c>
      <c r="I669" t="str">
        <f>IF(E669="","",INDEX(Knutepunkter!$B:$B,E669+1))</f>
        <v/>
      </c>
      <c r="J669" t="str">
        <f>IF(E669="","",INDEX(Knutepunkter!$C:$C,E669+1))</f>
        <v/>
      </c>
      <c r="K669" t="str">
        <f>IF(E669="","",INDEX(Knutepunkter!$D:$D,E669+1))</f>
        <v/>
      </c>
      <c r="L669" t="str">
        <f t="shared" si="53"/>
        <v/>
      </c>
      <c r="M669" t="str">
        <f t="shared" si="54"/>
        <v/>
      </c>
    </row>
    <row r="670" spans="1:13" x14ac:dyDescent="0.3">
      <c r="A670" t="str">
        <f>Segmenter!A670</f>
        <v/>
      </c>
      <c r="B670" t="str">
        <f>Segmenter!B670</f>
        <v/>
      </c>
      <c r="C670" t="str">
        <f t="shared" si="50"/>
        <v/>
      </c>
      <c r="D670" t="str">
        <f t="shared" si="51"/>
        <v/>
      </c>
      <c r="E670" t="str">
        <f t="shared" si="52"/>
        <v/>
      </c>
      <c r="F670" t="str">
        <f>IF(D670="","",INDEX(Knutepunkter!$B:$B,D670+1))</f>
        <v/>
      </c>
      <c r="G670" t="str">
        <f>IF(D670="","",INDEX(Knutepunkter!$C:$C,D670+1))</f>
        <v/>
      </c>
      <c r="H670" t="str">
        <f>IF(D670="","",INDEX(Knutepunkter!$D:$D,D670+1))</f>
        <v/>
      </c>
      <c r="I670" t="str">
        <f>IF(E670="","",INDEX(Knutepunkter!$B:$B,E670+1))</f>
        <v/>
      </c>
      <c r="J670" t="str">
        <f>IF(E670="","",INDEX(Knutepunkter!$C:$C,E670+1))</f>
        <v/>
      </c>
      <c r="K670" t="str">
        <f>IF(E670="","",INDEX(Knutepunkter!$D:$D,E670+1))</f>
        <v/>
      </c>
      <c r="L670" t="str">
        <f t="shared" si="53"/>
        <v/>
      </c>
      <c r="M670" t="str">
        <f t="shared" si="54"/>
        <v/>
      </c>
    </row>
    <row r="671" spans="1:13" x14ac:dyDescent="0.3">
      <c r="A671" t="str">
        <f>Segmenter!A671</f>
        <v/>
      </c>
      <c r="B671" t="str">
        <f>Segmenter!B671</f>
        <v/>
      </c>
      <c r="C671" t="str">
        <f t="shared" si="50"/>
        <v/>
      </c>
      <c r="D671" t="str">
        <f t="shared" si="51"/>
        <v/>
      </c>
      <c r="E671" t="str">
        <f t="shared" si="52"/>
        <v/>
      </c>
      <c r="F671" t="str">
        <f>IF(D671="","",INDEX(Knutepunkter!$B:$B,D671+1))</f>
        <v/>
      </c>
      <c r="G671" t="str">
        <f>IF(D671="","",INDEX(Knutepunkter!$C:$C,D671+1))</f>
        <v/>
      </c>
      <c r="H671" t="str">
        <f>IF(D671="","",INDEX(Knutepunkter!$D:$D,D671+1))</f>
        <v/>
      </c>
      <c r="I671" t="str">
        <f>IF(E671="","",INDEX(Knutepunkter!$B:$B,E671+1))</f>
        <v/>
      </c>
      <c r="J671" t="str">
        <f>IF(E671="","",INDEX(Knutepunkter!$C:$C,E671+1))</f>
        <v/>
      </c>
      <c r="K671" t="str">
        <f>IF(E671="","",INDEX(Knutepunkter!$D:$D,E671+1))</f>
        <v/>
      </c>
      <c r="L671" t="str">
        <f t="shared" si="53"/>
        <v/>
      </c>
      <c r="M671" t="str">
        <f t="shared" si="54"/>
        <v/>
      </c>
    </row>
    <row r="672" spans="1:13" x14ac:dyDescent="0.3">
      <c r="A672" t="str">
        <f>Segmenter!A672</f>
        <v/>
      </c>
      <c r="B672" t="str">
        <f>Segmenter!B672</f>
        <v/>
      </c>
      <c r="C672" t="str">
        <f t="shared" si="50"/>
        <v/>
      </c>
      <c r="D672" t="str">
        <f t="shared" si="51"/>
        <v/>
      </c>
      <c r="E672" t="str">
        <f t="shared" si="52"/>
        <v/>
      </c>
      <c r="F672" t="str">
        <f>IF(D672="","",INDEX(Knutepunkter!$B:$B,D672+1))</f>
        <v/>
      </c>
      <c r="G672" t="str">
        <f>IF(D672="","",INDEX(Knutepunkter!$C:$C,D672+1))</f>
        <v/>
      </c>
      <c r="H672" t="str">
        <f>IF(D672="","",INDEX(Knutepunkter!$D:$D,D672+1))</f>
        <v/>
      </c>
      <c r="I672" t="str">
        <f>IF(E672="","",INDEX(Knutepunkter!$B:$B,E672+1))</f>
        <v/>
      </c>
      <c r="J672" t="str">
        <f>IF(E672="","",INDEX(Knutepunkter!$C:$C,E672+1))</f>
        <v/>
      </c>
      <c r="K672" t="str">
        <f>IF(E672="","",INDEX(Knutepunkter!$D:$D,E672+1))</f>
        <v/>
      </c>
      <c r="L672" t="str">
        <f t="shared" si="53"/>
        <v/>
      </c>
      <c r="M672" t="str">
        <f t="shared" si="54"/>
        <v/>
      </c>
    </row>
    <row r="673" spans="1:13" x14ac:dyDescent="0.3">
      <c r="A673" t="str">
        <f>Segmenter!A673</f>
        <v/>
      </c>
      <c r="B673" t="str">
        <f>Segmenter!B673</f>
        <v/>
      </c>
      <c r="C673" t="str">
        <f t="shared" si="50"/>
        <v/>
      </c>
      <c r="D673" t="str">
        <f t="shared" si="51"/>
        <v/>
      </c>
      <c r="E673" t="str">
        <f t="shared" si="52"/>
        <v/>
      </c>
      <c r="F673" t="str">
        <f>IF(D673="","",INDEX(Knutepunkter!$B:$B,D673+1))</f>
        <v/>
      </c>
      <c r="G673" t="str">
        <f>IF(D673="","",INDEX(Knutepunkter!$C:$C,D673+1))</f>
        <v/>
      </c>
      <c r="H673" t="str">
        <f>IF(D673="","",INDEX(Knutepunkter!$D:$D,D673+1))</f>
        <v/>
      </c>
      <c r="I673" t="str">
        <f>IF(E673="","",INDEX(Knutepunkter!$B:$B,E673+1))</f>
        <v/>
      </c>
      <c r="J673" t="str">
        <f>IF(E673="","",INDEX(Knutepunkter!$C:$C,E673+1))</f>
        <v/>
      </c>
      <c r="K673" t="str">
        <f>IF(E673="","",INDEX(Knutepunkter!$D:$D,E673+1))</f>
        <v/>
      </c>
      <c r="L673" t="str">
        <f t="shared" si="53"/>
        <v/>
      </c>
      <c r="M673" t="str">
        <f t="shared" si="54"/>
        <v/>
      </c>
    </row>
    <row r="674" spans="1:13" x14ac:dyDescent="0.3">
      <c r="A674" t="str">
        <f>Segmenter!A674</f>
        <v/>
      </c>
      <c r="B674" t="str">
        <f>Segmenter!B674</f>
        <v/>
      </c>
      <c r="C674" t="str">
        <f t="shared" si="50"/>
        <v/>
      </c>
      <c r="D674" t="str">
        <f t="shared" si="51"/>
        <v/>
      </c>
      <c r="E674" t="str">
        <f t="shared" si="52"/>
        <v/>
      </c>
      <c r="F674" t="str">
        <f>IF(D674="","",INDEX(Knutepunkter!$B:$B,D674+1))</f>
        <v/>
      </c>
      <c r="G674" t="str">
        <f>IF(D674="","",INDEX(Knutepunkter!$C:$C,D674+1))</f>
        <v/>
      </c>
      <c r="H674" t="str">
        <f>IF(D674="","",INDEX(Knutepunkter!$D:$D,D674+1))</f>
        <v/>
      </c>
      <c r="I674" t="str">
        <f>IF(E674="","",INDEX(Knutepunkter!$B:$B,E674+1))</f>
        <v/>
      </c>
      <c r="J674" t="str">
        <f>IF(E674="","",INDEX(Knutepunkter!$C:$C,E674+1))</f>
        <v/>
      </c>
      <c r="K674" t="str">
        <f>IF(E674="","",INDEX(Knutepunkter!$D:$D,E674+1))</f>
        <v/>
      </c>
      <c r="L674" t="str">
        <f t="shared" si="53"/>
        <v/>
      </c>
      <c r="M674" t="str">
        <f t="shared" si="54"/>
        <v/>
      </c>
    </row>
    <row r="675" spans="1:13" x14ac:dyDescent="0.3">
      <c r="A675" t="str">
        <f>Segmenter!A675</f>
        <v/>
      </c>
      <c r="B675" t="str">
        <f>Segmenter!B675</f>
        <v/>
      </c>
      <c r="C675" t="str">
        <f t="shared" si="50"/>
        <v/>
      </c>
      <c r="D675" t="str">
        <f t="shared" si="51"/>
        <v/>
      </c>
      <c r="E675" t="str">
        <f t="shared" si="52"/>
        <v/>
      </c>
      <c r="F675" t="str">
        <f>IF(D675="","",INDEX(Knutepunkter!$B:$B,D675+1))</f>
        <v/>
      </c>
      <c r="G675" t="str">
        <f>IF(D675="","",INDEX(Knutepunkter!$C:$C,D675+1))</f>
        <v/>
      </c>
      <c r="H675" t="str">
        <f>IF(D675="","",INDEX(Knutepunkter!$D:$D,D675+1))</f>
        <v/>
      </c>
      <c r="I675" t="str">
        <f>IF(E675="","",INDEX(Knutepunkter!$B:$B,E675+1))</f>
        <v/>
      </c>
      <c r="J675" t="str">
        <f>IF(E675="","",INDEX(Knutepunkter!$C:$C,E675+1))</f>
        <v/>
      </c>
      <c r="K675" t="str">
        <f>IF(E675="","",INDEX(Knutepunkter!$D:$D,E675+1))</f>
        <v/>
      </c>
      <c r="L675" t="str">
        <f t="shared" si="53"/>
        <v/>
      </c>
      <c r="M675" t="str">
        <f t="shared" si="54"/>
        <v/>
      </c>
    </row>
    <row r="676" spans="1:13" x14ac:dyDescent="0.3">
      <c r="A676" t="str">
        <f>Segmenter!A676</f>
        <v/>
      </c>
      <c r="B676" t="str">
        <f>Segmenter!B676</f>
        <v/>
      </c>
      <c r="C676" t="str">
        <f t="shared" si="50"/>
        <v/>
      </c>
      <c r="D676" t="str">
        <f t="shared" si="51"/>
        <v/>
      </c>
      <c r="E676" t="str">
        <f t="shared" si="52"/>
        <v/>
      </c>
      <c r="F676" t="str">
        <f>IF(D676="","",INDEX(Knutepunkter!$B:$B,D676+1))</f>
        <v/>
      </c>
      <c r="G676" t="str">
        <f>IF(D676="","",INDEX(Knutepunkter!$C:$C,D676+1))</f>
        <v/>
      </c>
      <c r="H676" t="str">
        <f>IF(D676="","",INDEX(Knutepunkter!$D:$D,D676+1))</f>
        <v/>
      </c>
      <c r="I676" t="str">
        <f>IF(E676="","",INDEX(Knutepunkter!$B:$B,E676+1))</f>
        <v/>
      </c>
      <c r="J676" t="str">
        <f>IF(E676="","",INDEX(Knutepunkter!$C:$C,E676+1))</f>
        <v/>
      </c>
      <c r="K676" t="str">
        <f>IF(E676="","",INDEX(Knutepunkter!$D:$D,E676+1))</f>
        <v/>
      </c>
      <c r="L676" t="str">
        <f t="shared" si="53"/>
        <v/>
      </c>
      <c r="M676" t="str">
        <f t="shared" si="54"/>
        <v/>
      </c>
    </row>
    <row r="677" spans="1:13" x14ac:dyDescent="0.3">
      <c r="A677" t="str">
        <f>Segmenter!A677</f>
        <v/>
      </c>
      <c r="B677" t="str">
        <f>Segmenter!B677</f>
        <v/>
      </c>
      <c r="C677" t="str">
        <f t="shared" si="50"/>
        <v/>
      </c>
      <c r="D677" t="str">
        <f t="shared" si="51"/>
        <v/>
      </c>
      <c r="E677" t="str">
        <f t="shared" si="52"/>
        <v/>
      </c>
      <c r="F677" t="str">
        <f>IF(D677="","",INDEX(Knutepunkter!$B:$B,D677+1))</f>
        <v/>
      </c>
      <c r="G677" t="str">
        <f>IF(D677="","",INDEX(Knutepunkter!$C:$C,D677+1))</f>
        <v/>
      </c>
      <c r="H677" t="str">
        <f>IF(D677="","",INDEX(Knutepunkter!$D:$D,D677+1))</f>
        <v/>
      </c>
      <c r="I677" t="str">
        <f>IF(E677="","",INDEX(Knutepunkter!$B:$B,E677+1))</f>
        <v/>
      </c>
      <c r="J677" t="str">
        <f>IF(E677="","",INDEX(Knutepunkter!$C:$C,E677+1))</f>
        <v/>
      </c>
      <c r="K677" t="str">
        <f>IF(E677="","",INDEX(Knutepunkter!$D:$D,E677+1))</f>
        <v/>
      </c>
      <c r="L677" t="str">
        <f t="shared" si="53"/>
        <v/>
      </c>
      <c r="M677" t="str">
        <f t="shared" si="54"/>
        <v/>
      </c>
    </row>
    <row r="678" spans="1:13" x14ac:dyDescent="0.3">
      <c r="A678" t="str">
        <f>Segmenter!A678</f>
        <v/>
      </c>
      <c r="B678" t="str">
        <f>Segmenter!B678</f>
        <v/>
      </c>
      <c r="C678" t="str">
        <f t="shared" si="50"/>
        <v/>
      </c>
      <c r="D678" t="str">
        <f t="shared" si="51"/>
        <v/>
      </c>
      <c r="E678" t="str">
        <f t="shared" si="52"/>
        <v/>
      </c>
      <c r="F678" t="str">
        <f>IF(D678="","",INDEX(Knutepunkter!$B:$B,D678+1))</f>
        <v/>
      </c>
      <c r="G678" t="str">
        <f>IF(D678="","",INDEX(Knutepunkter!$C:$C,D678+1))</f>
        <v/>
      </c>
      <c r="H678" t="str">
        <f>IF(D678="","",INDEX(Knutepunkter!$D:$D,D678+1))</f>
        <v/>
      </c>
      <c r="I678" t="str">
        <f>IF(E678="","",INDEX(Knutepunkter!$B:$B,E678+1))</f>
        <v/>
      </c>
      <c r="J678" t="str">
        <f>IF(E678="","",INDEX(Knutepunkter!$C:$C,E678+1))</f>
        <v/>
      </c>
      <c r="K678" t="str">
        <f>IF(E678="","",INDEX(Knutepunkter!$D:$D,E678+1))</f>
        <v/>
      </c>
      <c r="L678" t="str">
        <f t="shared" si="53"/>
        <v/>
      </c>
      <c r="M678" t="str">
        <f t="shared" si="54"/>
        <v/>
      </c>
    </row>
    <row r="679" spans="1:13" x14ac:dyDescent="0.3">
      <c r="A679" t="str">
        <f>Segmenter!A679</f>
        <v/>
      </c>
      <c r="B679" t="str">
        <f>Segmenter!B679</f>
        <v/>
      </c>
      <c r="C679" t="str">
        <f t="shared" si="50"/>
        <v/>
      </c>
      <c r="D679" t="str">
        <f t="shared" si="51"/>
        <v/>
      </c>
      <c r="E679" t="str">
        <f t="shared" si="52"/>
        <v/>
      </c>
      <c r="F679" t="str">
        <f>IF(D679="","",INDEX(Knutepunkter!$B:$B,D679+1))</f>
        <v/>
      </c>
      <c r="G679" t="str">
        <f>IF(D679="","",INDEX(Knutepunkter!$C:$C,D679+1))</f>
        <v/>
      </c>
      <c r="H679" t="str">
        <f>IF(D679="","",INDEX(Knutepunkter!$D:$D,D679+1))</f>
        <v/>
      </c>
      <c r="I679" t="str">
        <f>IF(E679="","",INDEX(Knutepunkter!$B:$B,E679+1))</f>
        <v/>
      </c>
      <c r="J679" t="str">
        <f>IF(E679="","",INDEX(Knutepunkter!$C:$C,E679+1))</f>
        <v/>
      </c>
      <c r="K679" t="str">
        <f>IF(E679="","",INDEX(Knutepunkter!$D:$D,E679+1))</f>
        <v/>
      </c>
      <c r="L679" t="str">
        <f t="shared" si="53"/>
        <v/>
      </c>
      <c r="M679" t="str">
        <f t="shared" si="54"/>
        <v/>
      </c>
    </row>
    <row r="680" spans="1:13" x14ac:dyDescent="0.3">
      <c r="A680" t="str">
        <f>Segmenter!A680</f>
        <v/>
      </c>
      <c r="B680" t="str">
        <f>Segmenter!B680</f>
        <v/>
      </c>
      <c r="C680" t="str">
        <f t="shared" si="50"/>
        <v/>
      </c>
      <c r="D680" t="str">
        <f t="shared" si="51"/>
        <v/>
      </c>
      <c r="E680" t="str">
        <f t="shared" si="52"/>
        <v/>
      </c>
      <c r="F680" t="str">
        <f>IF(D680="","",INDEX(Knutepunkter!$B:$B,D680+1))</f>
        <v/>
      </c>
      <c r="G680" t="str">
        <f>IF(D680="","",INDEX(Knutepunkter!$C:$C,D680+1))</f>
        <v/>
      </c>
      <c r="H680" t="str">
        <f>IF(D680="","",INDEX(Knutepunkter!$D:$D,D680+1))</f>
        <v/>
      </c>
      <c r="I680" t="str">
        <f>IF(E680="","",INDEX(Knutepunkter!$B:$B,E680+1))</f>
        <v/>
      </c>
      <c r="J680" t="str">
        <f>IF(E680="","",INDEX(Knutepunkter!$C:$C,E680+1))</f>
        <v/>
      </c>
      <c r="K680" t="str">
        <f>IF(E680="","",INDEX(Knutepunkter!$D:$D,E680+1))</f>
        <v/>
      </c>
      <c r="L680" t="str">
        <f t="shared" si="53"/>
        <v/>
      </c>
      <c r="M680" t="str">
        <f t="shared" si="54"/>
        <v/>
      </c>
    </row>
    <row r="681" spans="1:13" x14ac:dyDescent="0.3">
      <c r="A681" t="str">
        <f>Segmenter!A681</f>
        <v/>
      </c>
      <c r="B681" t="str">
        <f>Segmenter!B681</f>
        <v/>
      </c>
      <c r="C681" t="str">
        <f t="shared" si="50"/>
        <v/>
      </c>
      <c r="D681" t="str">
        <f t="shared" si="51"/>
        <v/>
      </c>
      <c r="E681" t="str">
        <f t="shared" si="52"/>
        <v/>
      </c>
      <c r="F681" t="str">
        <f>IF(D681="","",INDEX(Knutepunkter!$B:$B,D681+1))</f>
        <v/>
      </c>
      <c r="G681" t="str">
        <f>IF(D681="","",INDEX(Knutepunkter!$C:$C,D681+1))</f>
        <v/>
      </c>
      <c r="H681" t="str">
        <f>IF(D681="","",INDEX(Knutepunkter!$D:$D,D681+1))</f>
        <v/>
      </c>
      <c r="I681" t="str">
        <f>IF(E681="","",INDEX(Knutepunkter!$B:$B,E681+1))</f>
        <v/>
      </c>
      <c r="J681" t="str">
        <f>IF(E681="","",INDEX(Knutepunkter!$C:$C,E681+1))</f>
        <v/>
      </c>
      <c r="K681" t="str">
        <f>IF(E681="","",INDEX(Knutepunkter!$D:$D,E681+1))</f>
        <v/>
      </c>
      <c r="L681" t="str">
        <f t="shared" si="53"/>
        <v/>
      </c>
      <c r="M681" t="str">
        <f t="shared" si="54"/>
        <v/>
      </c>
    </row>
    <row r="682" spans="1:13" x14ac:dyDescent="0.3">
      <c r="A682" t="str">
        <f>Segmenter!A682</f>
        <v/>
      </c>
      <c r="B682" t="str">
        <f>Segmenter!B682</f>
        <v/>
      </c>
      <c r="C682" t="str">
        <f t="shared" si="50"/>
        <v/>
      </c>
      <c r="D682" t="str">
        <f t="shared" si="51"/>
        <v/>
      </c>
      <c r="E682" t="str">
        <f t="shared" si="52"/>
        <v/>
      </c>
      <c r="F682" t="str">
        <f>IF(D682="","",INDEX(Knutepunkter!$B:$B,D682+1))</f>
        <v/>
      </c>
      <c r="G682" t="str">
        <f>IF(D682="","",INDEX(Knutepunkter!$C:$C,D682+1))</f>
        <v/>
      </c>
      <c r="H682" t="str">
        <f>IF(D682="","",INDEX(Knutepunkter!$D:$D,D682+1))</f>
        <v/>
      </c>
      <c r="I682" t="str">
        <f>IF(E682="","",INDEX(Knutepunkter!$B:$B,E682+1))</f>
        <v/>
      </c>
      <c r="J682" t="str">
        <f>IF(E682="","",INDEX(Knutepunkter!$C:$C,E682+1))</f>
        <v/>
      </c>
      <c r="K682" t="str">
        <f>IF(E682="","",INDEX(Knutepunkter!$D:$D,E682+1))</f>
        <v/>
      </c>
      <c r="L682" t="str">
        <f t="shared" si="53"/>
        <v/>
      </c>
      <c r="M682" t="str">
        <f t="shared" si="54"/>
        <v/>
      </c>
    </row>
    <row r="683" spans="1:13" x14ac:dyDescent="0.3">
      <c r="A683" t="str">
        <f>Segmenter!A683</f>
        <v/>
      </c>
      <c r="B683" t="str">
        <f>Segmenter!B683</f>
        <v/>
      </c>
      <c r="C683" t="str">
        <f t="shared" si="50"/>
        <v/>
      </c>
      <c r="D683" t="str">
        <f t="shared" si="51"/>
        <v/>
      </c>
      <c r="E683" t="str">
        <f t="shared" si="52"/>
        <v/>
      </c>
      <c r="F683" t="str">
        <f>IF(D683="","",INDEX(Knutepunkter!$B:$B,D683+1))</f>
        <v/>
      </c>
      <c r="G683" t="str">
        <f>IF(D683="","",INDEX(Knutepunkter!$C:$C,D683+1))</f>
        <v/>
      </c>
      <c r="H683" t="str">
        <f>IF(D683="","",INDEX(Knutepunkter!$D:$D,D683+1))</f>
        <v/>
      </c>
      <c r="I683" t="str">
        <f>IF(E683="","",INDEX(Knutepunkter!$B:$B,E683+1))</f>
        <v/>
      </c>
      <c r="J683" t="str">
        <f>IF(E683="","",INDEX(Knutepunkter!$C:$C,E683+1))</f>
        <v/>
      </c>
      <c r="K683" t="str">
        <f>IF(E683="","",INDEX(Knutepunkter!$D:$D,E683+1))</f>
        <v/>
      </c>
      <c r="L683" t="str">
        <f t="shared" si="53"/>
        <v/>
      </c>
      <c r="M683" t="str">
        <f t="shared" si="54"/>
        <v/>
      </c>
    </row>
    <row r="684" spans="1:13" x14ac:dyDescent="0.3">
      <c r="A684" t="str">
        <f>Segmenter!A684</f>
        <v/>
      </c>
      <c r="B684" t="str">
        <f>Segmenter!B684</f>
        <v/>
      </c>
      <c r="C684" t="str">
        <f t="shared" si="50"/>
        <v/>
      </c>
      <c r="D684" t="str">
        <f t="shared" si="51"/>
        <v/>
      </c>
      <c r="E684" t="str">
        <f t="shared" si="52"/>
        <v/>
      </c>
      <c r="F684" t="str">
        <f>IF(D684="","",INDEX(Knutepunkter!$B:$B,D684+1))</f>
        <v/>
      </c>
      <c r="G684" t="str">
        <f>IF(D684="","",INDEX(Knutepunkter!$C:$C,D684+1))</f>
        <v/>
      </c>
      <c r="H684" t="str">
        <f>IF(D684="","",INDEX(Knutepunkter!$D:$D,D684+1))</f>
        <v/>
      </c>
      <c r="I684" t="str">
        <f>IF(E684="","",INDEX(Knutepunkter!$B:$B,E684+1))</f>
        <v/>
      </c>
      <c r="J684" t="str">
        <f>IF(E684="","",INDEX(Knutepunkter!$C:$C,E684+1))</f>
        <v/>
      </c>
      <c r="K684" t="str">
        <f>IF(E684="","",INDEX(Knutepunkter!$D:$D,E684+1))</f>
        <v/>
      </c>
      <c r="L684" t="str">
        <f t="shared" si="53"/>
        <v/>
      </c>
      <c r="M684" t="str">
        <f t="shared" si="54"/>
        <v/>
      </c>
    </row>
    <row r="685" spans="1:13" x14ac:dyDescent="0.3">
      <c r="A685" t="str">
        <f>Segmenter!A685</f>
        <v/>
      </c>
      <c r="B685" t="str">
        <f>Segmenter!B685</f>
        <v/>
      </c>
      <c r="C685" t="str">
        <f t="shared" si="50"/>
        <v/>
      </c>
      <c r="D685" t="str">
        <f t="shared" si="51"/>
        <v/>
      </c>
      <c r="E685" t="str">
        <f t="shared" si="52"/>
        <v/>
      </c>
      <c r="F685" t="str">
        <f>IF(D685="","",INDEX(Knutepunkter!$B:$B,D685+1))</f>
        <v/>
      </c>
      <c r="G685" t="str">
        <f>IF(D685="","",INDEX(Knutepunkter!$C:$C,D685+1))</f>
        <v/>
      </c>
      <c r="H685" t="str">
        <f>IF(D685="","",INDEX(Knutepunkter!$D:$D,D685+1))</f>
        <v/>
      </c>
      <c r="I685" t="str">
        <f>IF(E685="","",INDEX(Knutepunkter!$B:$B,E685+1))</f>
        <v/>
      </c>
      <c r="J685" t="str">
        <f>IF(E685="","",INDEX(Knutepunkter!$C:$C,E685+1))</f>
        <v/>
      </c>
      <c r="K685" t="str">
        <f>IF(E685="","",INDEX(Knutepunkter!$D:$D,E685+1))</f>
        <v/>
      </c>
      <c r="L685" t="str">
        <f t="shared" si="53"/>
        <v/>
      </c>
      <c r="M685" t="str">
        <f t="shared" si="54"/>
        <v/>
      </c>
    </row>
    <row r="686" spans="1:13" x14ac:dyDescent="0.3">
      <c r="A686" t="str">
        <f>Segmenter!A686</f>
        <v/>
      </c>
      <c r="B686" t="str">
        <f>Segmenter!B686</f>
        <v/>
      </c>
      <c r="C686" t="str">
        <f t="shared" si="50"/>
        <v/>
      </c>
      <c r="D686" t="str">
        <f t="shared" si="51"/>
        <v/>
      </c>
      <c r="E686" t="str">
        <f t="shared" si="52"/>
        <v/>
      </c>
      <c r="F686" t="str">
        <f>IF(D686="","",INDEX(Knutepunkter!$B:$B,D686+1))</f>
        <v/>
      </c>
      <c r="G686" t="str">
        <f>IF(D686="","",INDEX(Knutepunkter!$C:$C,D686+1))</f>
        <v/>
      </c>
      <c r="H686" t="str">
        <f>IF(D686="","",INDEX(Knutepunkter!$D:$D,D686+1))</f>
        <v/>
      </c>
      <c r="I686" t="str">
        <f>IF(E686="","",INDEX(Knutepunkter!$B:$B,E686+1))</f>
        <v/>
      </c>
      <c r="J686" t="str">
        <f>IF(E686="","",INDEX(Knutepunkter!$C:$C,E686+1))</f>
        <v/>
      </c>
      <c r="K686" t="str">
        <f>IF(E686="","",INDEX(Knutepunkter!$D:$D,E686+1))</f>
        <v/>
      </c>
      <c r="L686" t="str">
        <f t="shared" si="53"/>
        <v/>
      </c>
      <c r="M686" t="str">
        <f t="shared" si="54"/>
        <v/>
      </c>
    </row>
    <row r="687" spans="1:13" x14ac:dyDescent="0.3">
      <c r="A687" t="str">
        <f>Segmenter!A687</f>
        <v/>
      </c>
      <c r="B687" t="str">
        <f>Segmenter!B687</f>
        <v/>
      </c>
      <c r="C687" t="str">
        <f t="shared" si="50"/>
        <v/>
      </c>
      <c r="D687" t="str">
        <f t="shared" si="51"/>
        <v/>
      </c>
      <c r="E687" t="str">
        <f t="shared" si="52"/>
        <v/>
      </c>
      <c r="F687" t="str">
        <f>IF(D687="","",INDEX(Knutepunkter!$B:$B,D687+1))</f>
        <v/>
      </c>
      <c r="G687" t="str">
        <f>IF(D687="","",INDEX(Knutepunkter!$C:$C,D687+1))</f>
        <v/>
      </c>
      <c r="H687" t="str">
        <f>IF(D687="","",INDEX(Knutepunkter!$D:$D,D687+1))</f>
        <v/>
      </c>
      <c r="I687" t="str">
        <f>IF(E687="","",INDEX(Knutepunkter!$B:$B,E687+1))</f>
        <v/>
      </c>
      <c r="J687" t="str">
        <f>IF(E687="","",INDEX(Knutepunkter!$C:$C,E687+1))</f>
        <v/>
      </c>
      <c r="K687" t="str">
        <f>IF(E687="","",INDEX(Knutepunkter!$D:$D,E687+1))</f>
        <v/>
      </c>
      <c r="L687" t="str">
        <f t="shared" si="53"/>
        <v/>
      </c>
      <c r="M687" t="str">
        <f t="shared" si="54"/>
        <v/>
      </c>
    </row>
    <row r="688" spans="1:13" x14ac:dyDescent="0.3">
      <c r="A688" t="str">
        <f>Segmenter!A688</f>
        <v/>
      </c>
      <c r="B688" t="str">
        <f>Segmenter!B688</f>
        <v/>
      </c>
      <c r="C688" t="str">
        <f t="shared" si="50"/>
        <v/>
      </c>
      <c r="D688" t="str">
        <f t="shared" si="51"/>
        <v/>
      </c>
      <c r="E688" t="str">
        <f t="shared" si="52"/>
        <v/>
      </c>
      <c r="F688" t="str">
        <f>IF(D688="","",INDEX(Knutepunkter!$B:$B,D688+1))</f>
        <v/>
      </c>
      <c r="G688" t="str">
        <f>IF(D688="","",INDEX(Knutepunkter!$C:$C,D688+1))</f>
        <v/>
      </c>
      <c r="H688" t="str">
        <f>IF(D688="","",INDEX(Knutepunkter!$D:$D,D688+1))</f>
        <v/>
      </c>
      <c r="I688" t="str">
        <f>IF(E688="","",INDEX(Knutepunkter!$B:$B,E688+1))</f>
        <v/>
      </c>
      <c r="J688" t="str">
        <f>IF(E688="","",INDEX(Knutepunkter!$C:$C,E688+1))</f>
        <v/>
      </c>
      <c r="K688" t="str">
        <f>IF(E688="","",INDEX(Knutepunkter!$D:$D,E688+1))</f>
        <v/>
      </c>
      <c r="L688" t="str">
        <f t="shared" si="53"/>
        <v/>
      </c>
      <c r="M688" t="str">
        <f t="shared" si="54"/>
        <v/>
      </c>
    </row>
    <row r="689" spans="1:13" x14ac:dyDescent="0.3">
      <c r="A689" t="str">
        <f>Segmenter!A689</f>
        <v/>
      </c>
      <c r="B689" t="str">
        <f>Segmenter!B689</f>
        <v/>
      </c>
      <c r="C689" t="str">
        <f t="shared" si="50"/>
        <v/>
      </c>
      <c r="D689" t="str">
        <f t="shared" si="51"/>
        <v/>
      </c>
      <c r="E689" t="str">
        <f t="shared" si="52"/>
        <v/>
      </c>
      <c r="F689" t="str">
        <f>IF(D689="","",INDEX(Knutepunkter!$B:$B,D689+1))</f>
        <v/>
      </c>
      <c r="G689" t="str">
        <f>IF(D689="","",INDEX(Knutepunkter!$C:$C,D689+1))</f>
        <v/>
      </c>
      <c r="H689" t="str">
        <f>IF(D689="","",INDEX(Knutepunkter!$D:$D,D689+1))</f>
        <v/>
      </c>
      <c r="I689" t="str">
        <f>IF(E689="","",INDEX(Knutepunkter!$B:$B,E689+1))</f>
        <v/>
      </c>
      <c r="J689" t="str">
        <f>IF(E689="","",INDEX(Knutepunkter!$C:$C,E689+1))</f>
        <v/>
      </c>
      <c r="K689" t="str">
        <f>IF(E689="","",INDEX(Knutepunkter!$D:$D,E689+1))</f>
        <v/>
      </c>
      <c r="L689" t="str">
        <f t="shared" si="53"/>
        <v/>
      </c>
      <c r="M689" t="str">
        <f t="shared" si="54"/>
        <v/>
      </c>
    </row>
    <row r="690" spans="1:13" x14ac:dyDescent="0.3">
      <c r="A690" t="str">
        <f>Segmenter!A690</f>
        <v/>
      </c>
      <c r="B690" t="str">
        <f>Segmenter!B690</f>
        <v/>
      </c>
      <c r="C690" t="str">
        <f t="shared" si="50"/>
        <v/>
      </c>
      <c r="D690" t="str">
        <f t="shared" si="51"/>
        <v/>
      </c>
      <c r="E690" t="str">
        <f t="shared" si="52"/>
        <v/>
      </c>
      <c r="F690" t="str">
        <f>IF(D690="","",INDEX(Knutepunkter!$B:$B,D690+1))</f>
        <v/>
      </c>
      <c r="G690" t="str">
        <f>IF(D690="","",INDEX(Knutepunkter!$C:$C,D690+1))</f>
        <v/>
      </c>
      <c r="H690" t="str">
        <f>IF(D690="","",INDEX(Knutepunkter!$D:$D,D690+1))</f>
        <v/>
      </c>
      <c r="I690" t="str">
        <f>IF(E690="","",INDEX(Knutepunkter!$B:$B,E690+1))</f>
        <v/>
      </c>
      <c r="J690" t="str">
        <f>IF(E690="","",INDEX(Knutepunkter!$C:$C,E690+1))</f>
        <v/>
      </c>
      <c r="K690" t="str">
        <f>IF(E690="","",INDEX(Knutepunkter!$D:$D,E690+1))</f>
        <v/>
      </c>
      <c r="L690" t="str">
        <f t="shared" si="53"/>
        <v/>
      </c>
      <c r="M690" t="str">
        <f t="shared" si="54"/>
        <v/>
      </c>
    </row>
    <row r="691" spans="1:13" x14ac:dyDescent="0.3">
      <c r="A691" t="str">
        <f>Segmenter!A691</f>
        <v/>
      </c>
      <c r="B691" t="str">
        <f>Segmenter!B691</f>
        <v/>
      </c>
      <c r="C691" t="str">
        <f t="shared" si="50"/>
        <v/>
      </c>
      <c r="D691" t="str">
        <f t="shared" si="51"/>
        <v/>
      </c>
      <c r="E691" t="str">
        <f t="shared" si="52"/>
        <v/>
      </c>
      <c r="F691" t="str">
        <f>IF(D691="","",INDEX(Knutepunkter!$B:$B,D691+1))</f>
        <v/>
      </c>
      <c r="G691" t="str">
        <f>IF(D691="","",INDEX(Knutepunkter!$C:$C,D691+1))</f>
        <v/>
      </c>
      <c r="H691" t="str">
        <f>IF(D691="","",INDEX(Knutepunkter!$D:$D,D691+1))</f>
        <v/>
      </c>
      <c r="I691" t="str">
        <f>IF(E691="","",INDEX(Knutepunkter!$B:$B,E691+1))</f>
        <v/>
      </c>
      <c r="J691" t="str">
        <f>IF(E691="","",INDEX(Knutepunkter!$C:$C,E691+1))</f>
        <v/>
      </c>
      <c r="K691" t="str">
        <f>IF(E691="","",INDEX(Knutepunkter!$D:$D,E691+1))</f>
        <v/>
      </c>
      <c r="L691" t="str">
        <f t="shared" si="53"/>
        <v/>
      </c>
      <c r="M691" t="str">
        <f t="shared" si="54"/>
        <v/>
      </c>
    </row>
    <row r="692" spans="1:13" x14ac:dyDescent="0.3">
      <c r="A692" t="str">
        <f>Segmenter!A692</f>
        <v/>
      </c>
      <c r="B692" t="str">
        <f>Segmenter!B692</f>
        <v/>
      </c>
      <c r="C692" t="str">
        <f t="shared" si="50"/>
        <v/>
      </c>
      <c r="D692" t="str">
        <f t="shared" si="51"/>
        <v/>
      </c>
      <c r="E692" t="str">
        <f t="shared" si="52"/>
        <v/>
      </c>
      <c r="F692" t="str">
        <f>IF(D692="","",INDEX(Knutepunkter!$B:$B,D692+1))</f>
        <v/>
      </c>
      <c r="G692" t="str">
        <f>IF(D692="","",INDEX(Knutepunkter!$C:$C,D692+1))</f>
        <v/>
      </c>
      <c r="H692" t="str">
        <f>IF(D692="","",INDEX(Knutepunkter!$D:$D,D692+1))</f>
        <v/>
      </c>
      <c r="I692" t="str">
        <f>IF(E692="","",INDEX(Knutepunkter!$B:$B,E692+1))</f>
        <v/>
      </c>
      <c r="J692" t="str">
        <f>IF(E692="","",INDEX(Knutepunkter!$C:$C,E692+1))</f>
        <v/>
      </c>
      <c r="K692" t="str">
        <f>IF(E692="","",INDEX(Knutepunkter!$D:$D,E692+1))</f>
        <v/>
      </c>
      <c r="L692" t="str">
        <f t="shared" si="53"/>
        <v/>
      </c>
      <c r="M692" t="str">
        <f t="shared" si="54"/>
        <v/>
      </c>
    </row>
    <row r="693" spans="1:13" x14ac:dyDescent="0.3">
      <c r="A693" t="str">
        <f>Segmenter!A693</f>
        <v/>
      </c>
      <c r="B693" t="str">
        <f>Segmenter!B693</f>
        <v/>
      </c>
      <c r="C693" t="str">
        <f t="shared" si="50"/>
        <v/>
      </c>
      <c r="D693" t="str">
        <f t="shared" si="51"/>
        <v/>
      </c>
      <c r="E693" t="str">
        <f t="shared" si="52"/>
        <v/>
      </c>
      <c r="F693" t="str">
        <f>IF(D693="","",INDEX(Knutepunkter!$B:$B,D693+1))</f>
        <v/>
      </c>
      <c r="G693" t="str">
        <f>IF(D693="","",INDEX(Knutepunkter!$C:$C,D693+1))</f>
        <v/>
      </c>
      <c r="H693" t="str">
        <f>IF(D693="","",INDEX(Knutepunkter!$D:$D,D693+1))</f>
        <v/>
      </c>
      <c r="I693" t="str">
        <f>IF(E693="","",INDEX(Knutepunkter!$B:$B,E693+1))</f>
        <v/>
      </c>
      <c r="J693" t="str">
        <f>IF(E693="","",INDEX(Knutepunkter!$C:$C,E693+1))</f>
        <v/>
      </c>
      <c r="K693" t="str">
        <f>IF(E693="","",INDEX(Knutepunkter!$D:$D,E693+1))</f>
        <v/>
      </c>
      <c r="L693" t="str">
        <f t="shared" si="53"/>
        <v/>
      </c>
      <c r="M693" t="str">
        <f t="shared" si="54"/>
        <v/>
      </c>
    </row>
    <row r="694" spans="1:13" x14ac:dyDescent="0.3">
      <c r="A694" t="str">
        <f>Segmenter!A694</f>
        <v/>
      </c>
      <c r="B694" t="str">
        <f>Segmenter!B694</f>
        <v/>
      </c>
      <c r="C694" t="str">
        <f t="shared" si="50"/>
        <v/>
      </c>
      <c r="D694" t="str">
        <f t="shared" si="51"/>
        <v/>
      </c>
      <c r="E694" t="str">
        <f t="shared" si="52"/>
        <v/>
      </c>
      <c r="F694" t="str">
        <f>IF(D694="","",INDEX(Knutepunkter!$B:$B,D694+1))</f>
        <v/>
      </c>
      <c r="G694" t="str">
        <f>IF(D694="","",INDEX(Knutepunkter!$C:$C,D694+1))</f>
        <v/>
      </c>
      <c r="H694" t="str">
        <f>IF(D694="","",INDEX(Knutepunkter!$D:$D,D694+1))</f>
        <v/>
      </c>
      <c r="I694" t="str">
        <f>IF(E694="","",INDEX(Knutepunkter!$B:$B,E694+1))</f>
        <v/>
      </c>
      <c r="J694" t="str">
        <f>IF(E694="","",INDEX(Knutepunkter!$C:$C,E694+1))</f>
        <v/>
      </c>
      <c r="K694" t="str">
        <f>IF(E694="","",INDEX(Knutepunkter!$D:$D,E694+1))</f>
        <v/>
      </c>
      <c r="L694" t="str">
        <f t="shared" si="53"/>
        <v/>
      </c>
      <c r="M694" t="str">
        <f t="shared" si="54"/>
        <v/>
      </c>
    </row>
    <row r="695" spans="1:13" x14ac:dyDescent="0.3">
      <c r="A695" t="str">
        <f>Segmenter!A695</f>
        <v/>
      </c>
      <c r="B695" t="str">
        <f>Segmenter!B695</f>
        <v/>
      </c>
      <c r="C695" t="str">
        <f t="shared" si="50"/>
        <v/>
      </c>
      <c r="D695" t="str">
        <f t="shared" si="51"/>
        <v/>
      </c>
      <c r="E695" t="str">
        <f t="shared" si="52"/>
        <v/>
      </c>
      <c r="F695" t="str">
        <f>IF(D695="","",INDEX(Knutepunkter!$B:$B,D695+1))</f>
        <v/>
      </c>
      <c r="G695" t="str">
        <f>IF(D695="","",INDEX(Knutepunkter!$C:$C,D695+1))</f>
        <v/>
      </c>
      <c r="H695" t="str">
        <f>IF(D695="","",INDEX(Knutepunkter!$D:$D,D695+1))</f>
        <v/>
      </c>
      <c r="I695" t="str">
        <f>IF(E695="","",INDEX(Knutepunkter!$B:$B,E695+1))</f>
        <v/>
      </c>
      <c r="J695" t="str">
        <f>IF(E695="","",INDEX(Knutepunkter!$C:$C,E695+1))</f>
        <v/>
      </c>
      <c r="K695" t="str">
        <f>IF(E695="","",INDEX(Knutepunkter!$D:$D,E695+1))</f>
        <v/>
      </c>
      <c r="L695" t="str">
        <f t="shared" si="53"/>
        <v/>
      </c>
      <c r="M695" t="str">
        <f t="shared" si="54"/>
        <v/>
      </c>
    </row>
    <row r="696" spans="1:13" x14ac:dyDescent="0.3">
      <c r="A696" t="str">
        <f>Segmenter!A696</f>
        <v/>
      </c>
      <c r="B696" t="str">
        <f>Segmenter!B696</f>
        <v/>
      </c>
      <c r="C696" t="str">
        <f t="shared" si="50"/>
        <v/>
      </c>
      <c r="D696" t="str">
        <f t="shared" si="51"/>
        <v/>
      </c>
      <c r="E696" t="str">
        <f t="shared" si="52"/>
        <v/>
      </c>
      <c r="F696" t="str">
        <f>IF(D696="","",INDEX(Knutepunkter!$B:$B,D696+1))</f>
        <v/>
      </c>
      <c r="G696" t="str">
        <f>IF(D696="","",INDEX(Knutepunkter!$C:$C,D696+1))</f>
        <v/>
      </c>
      <c r="H696" t="str">
        <f>IF(D696="","",INDEX(Knutepunkter!$D:$D,D696+1))</f>
        <v/>
      </c>
      <c r="I696" t="str">
        <f>IF(E696="","",INDEX(Knutepunkter!$B:$B,E696+1))</f>
        <v/>
      </c>
      <c r="J696" t="str">
        <f>IF(E696="","",INDEX(Knutepunkter!$C:$C,E696+1))</f>
        <v/>
      </c>
      <c r="K696" t="str">
        <f>IF(E696="","",INDEX(Knutepunkter!$D:$D,E696+1))</f>
        <v/>
      </c>
      <c r="L696" t="str">
        <f t="shared" si="53"/>
        <v/>
      </c>
      <c r="M696" t="str">
        <f t="shared" si="54"/>
        <v/>
      </c>
    </row>
    <row r="697" spans="1:13" x14ac:dyDescent="0.3">
      <c r="A697" t="str">
        <f>Segmenter!A697</f>
        <v/>
      </c>
      <c r="B697" t="str">
        <f>Segmenter!B697</f>
        <v/>
      </c>
      <c r="C697" t="str">
        <f t="shared" si="50"/>
        <v/>
      </c>
      <c r="D697" t="str">
        <f t="shared" si="51"/>
        <v/>
      </c>
      <c r="E697" t="str">
        <f t="shared" si="52"/>
        <v/>
      </c>
      <c r="F697" t="str">
        <f>IF(D697="","",INDEX(Knutepunkter!$B:$B,D697+1))</f>
        <v/>
      </c>
      <c r="G697" t="str">
        <f>IF(D697="","",INDEX(Knutepunkter!$C:$C,D697+1))</f>
        <v/>
      </c>
      <c r="H697" t="str">
        <f>IF(D697="","",INDEX(Knutepunkter!$D:$D,D697+1))</f>
        <v/>
      </c>
      <c r="I697" t="str">
        <f>IF(E697="","",INDEX(Knutepunkter!$B:$B,E697+1))</f>
        <v/>
      </c>
      <c r="J697" t="str">
        <f>IF(E697="","",INDEX(Knutepunkter!$C:$C,E697+1))</f>
        <v/>
      </c>
      <c r="K697" t="str">
        <f>IF(E697="","",INDEX(Knutepunkter!$D:$D,E697+1))</f>
        <v/>
      </c>
      <c r="L697" t="str">
        <f t="shared" si="53"/>
        <v/>
      </c>
      <c r="M697" t="str">
        <f t="shared" si="54"/>
        <v/>
      </c>
    </row>
    <row r="698" spans="1:13" x14ac:dyDescent="0.3">
      <c r="A698" t="str">
        <f>Segmenter!A698</f>
        <v/>
      </c>
      <c r="B698" t="str">
        <f>Segmenter!B698</f>
        <v/>
      </c>
      <c r="C698" t="str">
        <f t="shared" si="50"/>
        <v/>
      </c>
      <c r="D698" t="str">
        <f t="shared" si="51"/>
        <v/>
      </c>
      <c r="E698" t="str">
        <f t="shared" si="52"/>
        <v/>
      </c>
      <c r="F698" t="str">
        <f>IF(D698="","",INDEX(Knutepunkter!$B:$B,D698+1))</f>
        <v/>
      </c>
      <c r="G698" t="str">
        <f>IF(D698="","",INDEX(Knutepunkter!$C:$C,D698+1))</f>
        <v/>
      </c>
      <c r="H698" t="str">
        <f>IF(D698="","",INDEX(Knutepunkter!$D:$D,D698+1))</f>
        <v/>
      </c>
      <c r="I698" t="str">
        <f>IF(E698="","",INDEX(Knutepunkter!$B:$B,E698+1))</f>
        <v/>
      </c>
      <c r="J698" t="str">
        <f>IF(E698="","",INDEX(Knutepunkter!$C:$C,E698+1))</f>
        <v/>
      </c>
      <c r="K698" t="str">
        <f>IF(E698="","",INDEX(Knutepunkter!$D:$D,E698+1))</f>
        <v/>
      </c>
      <c r="L698" t="str">
        <f t="shared" si="53"/>
        <v/>
      </c>
      <c r="M698" t="str">
        <f t="shared" si="54"/>
        <v/>
      </c>
    </row>
    <row r="699" spans="1:13" x14ac:dyDescent="0.3">
      <c r="A699" t="str">
        <f>Segmenter!A699</f>
        <v/>
      </c>
      <c r="B699" t="str">
        <f>Segmenter!B699</f>
        <v/>
      </c>
      <c r="C699" t="str">
        <f t="shared" si="50"/>
        <v/>
      </c>
      <c r="D699" t="str">
        <f t="shared" si="51"/>
        <v/>
      </c>
      <c r="E699" t="str">
        <f t="shared" si="52"/>
        <v/>
      </c>
      <c r="F699" t="str">
        <f>IF(D699="","",INDEX(Knutepunkter!$B:$B,D699+1))</f>
        <v/>
      </c>
      <c r="G699" t="str">
        <f>IF(D699="","",INDEX(Knutepunkter!$C:$C,D699+1))</f>
        <v/>
      </c>
      <c r="H699" t="str">
        <f>IF(D699="","",INDEX(Knutepunkter!$D:$D,D699+1))</f>
        <v/>
      </c>
      <c r="I699" t="str">
        <f>IF(E699="","",INDEX(Knutepunkter!$B:$B,E699+1))</f>
        <v/>
      </c>
      <c r="J699" t="str">
        <f>IF(E699="","",INDEX(Knutepunkter!$C:$C,E699+1))</f>
        <v/>
      </c>
      <c r="K699" t="str">
        <f>IF(E699="","",INDEX(Knutepunkter!$D:$D,E699+1))</f>
        <v/>
      </c>
      <c r="L699" t="str">
        <f t="shared" si="53"/>
        <v/>
      </c>
      <c r="M699" t="str">
        <f t="shared" si="54"/>
        <v/>
      </c>
    </row>
    <row r="700" spans="1:13" x14ac:dyDescent="0.3">
      <c r="A700" t="str">
        <f>Segmenter!A700</f>
        <v/>
      </c>
      <c r="B700" t="str">
        <f>Segmenter!B700</f>
        <v/>
      </c>
      <c r="C700" t="str">
        <f t="shared" si="50"/>
        <v/>
      </c>
      <c r="D700" t="str">
        <f t="shared" si="51"/>
        <v/>
      </c>
      <c r="E700" t="str">
        <f t="shared" si="52"/>
        <v/>
      </c>
      <c r="F700" t="str">
        <f>IF(D700="","",INDEX(Knutepunkter!$B:$B,D700+1))</f>
        <v/>
      </c>
      <c r="G700" t="str">
        <f>IF(D700="","",INDEX(Knutepunkter!$C:$C,D700+1))</f>
        <v/>
      </c>
      <c r="H700" t="str">
        <f>IF(D700="","",INDEX(Knutepunkter!$D:$D,D700+1))</f>
        <v/>
      </c>
      <c r="I700" t="str">
        <f>IF(E700="","",INDEX(Knutepunkter!$B:$B,E700+1))</f>
        <v/>
      </c>
      <c r="J700" t="str">
        <f>IF(E700="","",INDEX(Knutepunkter!$C:$C,E700+1))</f>
        <v/>
      </c>
      <c r="K700" t="str">
        <f>IF(E700="","",INDEX(Knutepunkter!$D:$D,E700+1))</f>
        <v/>
      </c>
      <c r="L700" t="str">
        <f t="shared" si="53"/>
        <v/>
      </c>
      <c r="M700" t="str">
        <f t="shared" si="54"/>
        <v/>
      </c>
    </row>
    <row r="701" spans="1:13" x14ac:dyDescent="0.3">
      <c r="A701" t="str">
        <f>Segmenter!A701</f>
        <v/>
      </c>
      <c r="B701" t="str">
        <f>Segmenter!B701</f>
        <v/>
      </c>
      <c r="C701" t="str">
        <f t="shared" si="50"/>
        <v/>
      </c>
      <c r="D701" t="str">
        <f t="shared" si="51"/>
        <v/>
      </c>
      <c r="E701" t="str">
        <f t="shared" si="52"/>
        <v/>
      </c>
      <c r="F701" t="str">
        <f>IF(D701="","",INDEX(Knutepunkter!$B:$B,D701+1))</f>
        <v/>
      </c>
      <c r="G701" t="str">
        <f>IF(D701="","",INDEX(Knutepunkter!$C:$C,D701+1))</f>
        <v/>
      </c>
      <c r="H701" t="str">
        <f>IF(D701="","",INDEX(Knutepunkter!$D:$D,D701+1))</f>
        <v/>
      </c>
      <c r="I701" t="str">
        <f>IF(E701="","",INDEX(Knutepunkter!$B:$B,E701+1))</f>
        <v/>
      </c>
      <c r="J701" t="str">
        <f>IF(E701="","",INDEX(Knutepunkter!$C:$C,E701+1))</f>
        <v/>
      </c>
      <c r="K701" t="str">
        <f>IF(E701="","",INDEX(Knutepunkter!$D:$D,E701+1))</f>
        <v/>
      </c>
      <c r="L701" t="str">
        <f t="shared" si="53"/>
        <v/>
      </c>
      <c r="M701" t="str">
        <f t="shared" si="54"/>
        <v/>
      </c>
    </row>
    <row r="702" spans="1:13" x14ac:dyDescent="0.3">
      <c r="A702" t="str">
        <f>Segmenter!A702</f>
        <v/>
      </c>
      <c r="B702" t="str">
        <f>Segmenter!B702</f>
        <v/>
      </c>
      <c r="C702" t="str">
        <f t="shared" si="50"/>
        <v/>
      </c>
      <c r="D702" t="str">
        <f t="shared" si="51"/>
        <v/>
      </c>
      <c r="E702" t="str">
        <f t="shared" si="52"/>
        <v/>
      </c>
      <c r="F702" t="str">
        <f>IF(D702="","",INDEX(Knutepunkter!$B:$B,D702+1))</f>
        <v/>
      </c>
      <c r="G702" t="str">
        <f>IF(D702="","",INDEX(Knutepunkter!$C:$C,D702+1))</f>
        <v/>
      </c>
      <c r="H702" t="str">
        <f>IF(D702="","",INDEX(Knutepunkter!$D:$D,D702+1))</f>
        <v/>
      </c>
      <c r="I702" t="str">
        <f>IF(E702="","",INDEX(Knutepunkter!$B:$B,E702+1))</f>
        <v/>
      </c>
      <c r="J702" t="str">
        <f>IF(E702="","",INDEX(Knutepunkter!$C:$C,E702+1))</f>
        <v/>
      </c>
      <c r="K702" t="str">
        <f>IF(E702="","",INDEX(Knutepunkter!$D:$D,E702+1))</f>
        <v/>
      </c>
      <c r="L702" t="str">
        <f t="shared" si="53"/>
        <v/>
      </c>
      <c r="M702" t="str">
        <f t="shared" si="54"/>
        <v/>
      </c>
    </row>
    <row r="703" spans="1:13" x14ac:dyDescent="0.3">
      <c r="A703" t="str">
        <f>Segmenter!A703</f>
        <v/>
      </c>
      <c r="B703" t="str">
        <f>Segmenter!B703</f>
        <v/>
      </c>
      <c r="C703" t="str">
        <f t="shared" si="50"/>
        <v/>
      </c>
      <c r="D703" t="str">
        <f t="shared" si="51"/>
        <v/>
      </c>
      <c r="E703" t="str">
        <f t="shared" si="52"/>
        <v/>
      </c>
      <c r="F703" t="str">
        <f>IF(D703="","",INDEX(Knutepunkter!$B:$B,D703+1))</f>
        <v/>
      </c>
      <c r="G703" t="str">
        <f>IF(D703="","",INDEX(Knutepunkter!$C:$C,D703+1))</f>
        <v/>
      </c>
      <c r="H703" t="str">
        <f>IF(D703="","",INDEX(Knutepunkter!$D:$D,D703+1))</f>
        <v/>
      </c>
      <c r="I703" t="str">
        <f>IF(E703="","",INDEX(Knutepunkter!$B:$B,E703+1))</f>
        <v/>
      </c>
      <c r="J703" t="str">
        <f>IF(E703="","",INDEX(Knutepunkter!$C:$C,E703+1))</f>
        <v/>
      </c>
      <c r="K703" t="str">
        <f>IF(E703="","",INDEX(Knutepunkter!$D:$D,E703+1))</f>
        <v/>
      </c>
      <c r="L703" t="str">
        <f t="shared" si="53"/>
        <v/>
      </c>
      <c r="M703" t="str">
        <f t="shared" si="54"/>
        <v/>
      </c>
    </row>
    <row r="704" spans="1:13" x14ac:dyDescent="0.3">
      <c r="A704" t="str">
        <f>Segmenter!A704</f>
        <v/>
      </c>
      <c r="B704" t="str">
        <f>Segmenter!B704</f>
        <v/>
      </c>
      <c r="C704" t="str">
        <f t="shared" si="50"/>
        <v/>
      </c>
      <c r="D704" t="str">
        <f t="shared" si="51"/>
        <v/>
      </c>
      <c r="E704" t="str">
        <f t="shared" si="52"/>
        <v/>
      </c>
      <c r="F704" t="str">
        <f>IF(D704="","",INDEX(Knutepunkter!$B:$B,D704+1))</f>
        <v/>
      </c>
      <c r="G704" t="str">
        <f>IF(D704="","",INDEX(Knutepunkter!$C:$C,D704+1))</f>
        <v/>
      </c>
      <c r="H704" t="str">
        <f>IF(D704="","",INDEX(Knutepunkter!$D:$D,D704+1))</f>
        <v/>
      </c>
      <c r="I704" t="str">
        <f>IF(E704="","",INDEX(Knutepunkter!$B:$B,E704+1))</f>
        <v/>
      </c>
      <c r="J704" t="str">
        <f>IF(E704="","",INDEX(Knutepunkter!$C:$C,E704+1))</f>
        <v/>
      </c>
      <c r="K704" t="str">
        <f>IF(E704="","",INDEX(Knutepunkter!$D:$D,E704+1))</f>
        <v/>
      </c>
      <c r="L704" t="str">
        <f t="shared" si="53"/>
        <v/>
      </c>
      <c r="M704" t="str">
        <f t="shared" si="54"/>
        <v/>
      </c>
    </row>
    <row r="705" spans="1:13" x14ac:dyDescent="0.3">
      <c r="A705" t="str">
        <f>Segmenter!A705</f>
        <v/>
      </c>
      <c r="B705" t="str">
        <f>Segmenter!B705</f>
        <v/>
      </c>
      <c r="C705" t="str">
        <f t="shared" si="50"/>
        <v/>
      </c>
      <c r="D705" t="str">
        <f t="shared" si="51"/>
        <v/>
      </c>
      <c r="E705" t="str">
        <f t="shared" si="52"/>
        <v/>
      </c>
      <c r="F705" t="str">
        <f>IF(D705="","",INDEX(Knutepunkter!$B:$B,D705+1))</f>
        <v/>
      </c>
      <c r="G705" t="str">
        <f>IF(D705="","",INDEX(Knutepunkter!$C:$C,D705+1))</f>
        <v/>
      </c>
      <c r="H705" t="str">
        <f>IF(D705="","",INDEX(Knutepunkter!$D:$D,D705+1))</f>
        <v/>
      </c>
      <c r="I705" t="str">
        <f>IF(E705="","",INDEX(Knutepunkter!$B:$B,E705+1))</f>
        <v/>
      </c>
      <c r="J705" t="str">
        <f>IF(E705="","",INDEX(Knutepunkter!$C:$C,E705+1))</f>
        <v/>
      </c>
      <c r="K705" t="str">
        <f>IF(E705="","",INDEX(Knutepunkter!$D:$D,E705+1))</f>
        <v/>
      </c>
      <c r="L705" t="str">
        <f t="shared" si="53"/>
        <v/>
      </c>
      <c r="M705" t="str">
        <f t="shared" si="54"/>
        <v/>
      </c>
    </row>
    <row r="706" spans="1:13" x14ac:dyDescent="0.3">
      <c r="A706" t="str">
        <f>Segmenter!A706</f>
        <v/>
      </c>
      <c r="B706" t="str">
        <f>Segmenter!B706</f>
        <v/>
      </c>
      <c r="C706" t="str">
        <f t="shared" ref="C706:C769" si="55">IF(B706="","",IF(AND(F706=I706,G706=J706,H706&lt;&gt;K706),"Søyle","Bjelke"))</f>
        <v/>
      </c>
      <c r="D706" t="str">
        <f t="shared" ref="D706:D769" si="56">IF(B706="","",VALUE(LEFT(B706,FIND(" -&gt; ",B706)-1)))</f>
        <v/>
      </c>
      <c r="E706" t="str">
        <f t="shared" ref="E706:E769" si="57">IF(B706="","",VALUE(MID(B706,FIND(" -&gt; ",B706)+4,99)))</f>
        <v/>
      </c>
      <c r="F706" t="str">
        <f>IF(D706="","",INDEX(Knutepunkter!$B:$B,D706+1))</f>
        <v/>
      </c>
      <c r="G706" t="str">
        <f>IF(D706="","",INDEX(Knutepunkter!$C:$C,D706+1))</f>
        <v/>
      </c>
      <c r="H706" t="str">
        <f>IF(D706="","",INDEX(Knutepunkter!$D:$D,D706+1))</f>
        <v/>
      </c>
      <c r="I706" t="str">
        <f>IF(E706="","",INDEX(Knutepunkter!$B:$B,E706+1))</f>
        <v/>
      </c>
      <c r="J706" t="str">
        <f>IF(E706="","",INDEX(Knutepunkter!$C:$C,E706+1))</f>
        <v/>
      </c>
      <c r="K706" t="str">
        <f>IF(E706="","",INDEX(Knutepunkter!$D:$D,E706+1))</f>
        <v/>
      </c>
      <c r="L706" t="str">
        <f t="shared" ref="L706:L769" si="58">IF(B706="","",SQRT((I706-F706)^2+(J706-G706)^2+(K706-H706)^2))</f>
        <v/>
      </c>
      <c r="M706" t="str">
        <f t="shared" ref="M706:M769" si="59">IF(L706="","",L706/1000)</f>
        <v/>
      </c>
    </row>
    <row r="707" spans="1:13" x14ac:dyDescent="0.3">
      <c r="A707" t="str">
        <f>Segmenter!A707</f>
        <v/>
      </c>
      <c r="B707" t="str">
        <f>Segmenter!B707</f>
        <v/>
      </c>
      <c r="C707" t="str">
        <f t="shared" si="55"/>
        <v/>
      </c>
      <c r="D707" t="str">
        <f t="shared" si="56"/>
        <v/>
      </c>
      <c r="E707" t="str">
        <f t="shared" si="57"/>
        <v/>
      </c>
      <c r="F707" t="str">
        <f>IF(D707="","",INDEX(Knutepunkter!$B:$B,D707+1))</f>
        <v/>
      </c>
      <c r="G707" t="str">
        <f>IF(D707="","",INDEX(Knutepunkter!$C:$C,D707+1))</f>
        <v/>
      </c>
      <c r="H707" t="str">
        <f>IF(D707="","",INDEX(Knutepunkter!$D:$D,D707+1))</f>
        <v/>
      </c>
      <c r="I707" t="str">
        <f>IF(E707="","",INDEX(Knutepunkter!$B:$B,E707+1))</f>
        <v/>
      </c>
      <c r="J707" t="str">
        <f>IF(E707="","",INDEX(Knutepunkter!$C:$C,E707+1))</f>
        <v/>
      </c>
      <c r="K707" t="str">
        <f>IF(E707="","",INDEX(Knutepunkter!$D:$D,E707+1))</f>
        <v/>
      </c>
      <c r="L707" t="str">
        <f t="shared" si="58"/>
        <v/>
      </c>
      <c r="M707" t="str">
        <f t="shared" si="59"/>
        <v/>
      </c>
    </row>
    <row r="708" spans="1:13" x14ac:dyDescent="0.3">
      <c r="A708" t="str">
        <f>Segmenter!A708</f>
        <v/>
      </c>
      <c r="B708" t="str">
        <f>Segmenter!B708</f>
        <v/>
      </c>
      <c r="C708" t="str">
        <f t="shared" si="55"/>
        <v/>
      </c>
      <c r="D708" t="str">
        <f t="shared" si="56"/>
        <v/>
      </c>
      <c r="E708" t="str">
        <f t="shared" si="57"/>
        <v/>
      </c>
      <c r="F708" t="str">
        <f>IF(D708="","",INDEX(Knutepunkter!$B:$B,D708+1))</f>
        <v/>
      </c>
      <c r="G708" t="str">
        <f>IF(D708="","",INDEX(Knutepunkter!$C:$C,D708+1))</f>
        <v/>
      </c>
      <c r="H708" t="str">
        <f>IF(D708="","",INDEX(Knutepunkter!$D:$D,D708+1))</f>
        <v/>
      </c>
      <c r="I708" t="str">
        <f>IF(E708="","",INDEX(Knutepunkter!$B:$B,E708+1))</f>
        <v/>
      </c>
      <c r="J708" t="str">
        <f>IF(E708="","",INDEX(Knutepunkter!$C:$C,E708+1))</f>
        <v/>
      </c>
      <c r="K708" t="str">
        <f>IF(E708="","",INDEX(Knutepunkter!$D:$D,E708+1))</f>
        <v/>
      </c>
      <c r="L708" t="str">
        <f t="shared" si="58"/>
        <v/>
      </c>
      <c r="M708" t="str">
        <f t="shared" si="59"/>
        <v/>
      </c>
    </row>
    <row r="709" spans="1:13" x14ac:dyDescent="0.3">
      <c r="A709" t="str">
        <f>Segmenter!A709</f>
        <v/>
      </c>
      <c r="B709" t="str">
        <f>Segmenter!B709</f>
        <v/>
      </c>
      <c r="C709" t="str">
        <f t="shared" si="55"/>
        <v/>
      </c>
      <c r="D709" t="str">
        <f t="shared" si="56"/>
        <v/>
      </c>
      <c r="E709" t="str">
        <f t="shared" si="57"/>
        <v/>
      </c>
      <c r="F709" t="str">
        <f>IF(D709="","",INDEX(Knutepunkter!$B:$B,D709+1))</f>
        <v/>
      </c>
      <c r="G709" t="str">
        <f>IF(D709="","",INDEX(Knutepunkter!$C:$C,D709+1))</f>
        <v/>
      </c>
      <c r="H709" t="str">
        <f>IF(D709="","",INDEX(Knutepunkter!$D:$D,D709+1))</f>
        <v/>
      </c>
      <c r="I709" t="str">
        <f>IF(E709="","",INDEX(Knutepunkter!$B:$B,E709+1))</f>
        <v/>
      </c>
      <c r="J709" t="str">
        <f>IF(E709="","",INDEX(Knutepunkter!$C:$C,E709+1))</f>
        <v/>
      </c>
      <c r="K709" t="str">
        <f>IF(E709="","",INDEX(Knutepunkter!$D:$D,E709+1))</f>
        <v/>
      </c>
      <c r="L709" t="str">
        <f t="shared" si="58"/>
        <v/>
      </c>
      <c r="M709" t="str">
        <f t="shared" si="59"/>
        <v/>
      </c>
    </row>
    <row r="710" spans="1:13" x14ac:dyDescent="0.3">
      <c r="A710" t="str">
        <f>Segmenter!A710</f>
        <v/>
      </c>
      <c r="B710" t="str">
        <f>Segmenter!B710</f>
        <v/>
      </c>
      <c r="C710" t="str">
        <f t="shared" si="55"/>
        <v/>
      </c>
      <c r="D710" t="str">
        <f t="shared" si="56"/>
        <v/>
      </c>
      <c r="E710" t="str">
        <f t="shared" si="57"/>
        <v/>
      </c>
      <c r="F710" t="str">
        <f>IF(D710="","",INDEX(Knutepunkter!$B:$B,D710+1))</f>
        <v/>
      </c>
      <c r="G710" t="str">
        <f>IF(D710="","",INDEX(Knutepunkter!$C:$C,D710+1))</f>
        <v/>
      </c>
      <c r="H710" t="str">
        <f>IF(D710="","",INDEX(Knutepunkter!$D:$D,D710+1))</f>
        <v/>
      </c>
      <c r="I710" t="str">
        <f>IF(E710="","",INDEX(Knutepunkter!$B:$B,E710+1))</f>
        <v/>
      </c>
      <c r="J710" t="str">
        <f>IF(E710="","",INDEX(Knutepunkter!$C:$C,E710+1))</f>
        <v/>
      </c>
      <c r="K710" t="str">
        <f>IF(E710="","",INDEX(Knutepunkter!$D:$D,E710+1))</f>
        <v/>
      </c>
      <c r="L710" t="str">
        <f t="shared" si="58"/>
        <v/>
      </c>
      <c r="M710" t="str">
        <f t="shared" si="59"/>
        <v/>
      </c>
    </row>
    <row r="711" spans="1:13" x14ac:dyDescent="0.3">
      <c r="A711" t="str">
        <f>Segmenter!A711</f>
        <v/>
      </c>
      <c r="B711" t="str">
        <f>Segmenter!B711</f>
        <v/>
      </c>
      <c r="C711" t="str">
        <f t="shared" si="55"/>
        <v/>
      </c>
      <c r="D711" t="str">
        <f t="shared" si="56"/>
        <v/>
      </c>
      <c r="E711" t="str">
        <f t="shared" si="57"/>
        <v/>
      </c>
      <c r="F711" t="str">
        <f>IF(D711="","",INDEX(Knutepunkter!$B:$B,D711+1))</f>
        <v/>
      </c>
      <c r="G711" t="str">
        <f>IF(D711="","",INDEX(Knutepunkter!$C:$C,D711+1))</f>
        <v/>
      </c>
      <c r="H711" t="str">
        <f>IF(D711="","",INDEX(Knutepunkter!$D:$D,D711+1))</f>
        <v/>
      </c>
      <c r="I711" t="str">
        <f>IF(E711="","",INDEX(Knutepunkter!$B:$B,E711+1))</f>
        <v/>
      </c>
      <c r="J711" t="str">
        <f>IF(E711="","",INDEX(Knutepunkter!$C:$C,E711+1))</f>
        <v/>
      </c>
      <c r="K711" t="str">
        <f>IF(E711="","",INDEX(Knutepunkter!$D:$D,E711+1))</f>
        <v/>
      </c>
      <c r="L711" t="str">
        <f t="shared" si="58"/>
        <v/>
      </c>
      <c r="M711" t="str">
        <f t="shared" si="59"/>
        <v/>
      </c>
    </row>
    <row r="712" spans="1:13" x14ac:dyDescent="0.3">
      <c r="A712" t="str">
        <f>Segmenter!A712</f>
        <v/>
      </c>
      <c r="B712" t="str">
        <f>Segmenter!B712</f>
        <v/>
      </c>
      <c r="C712" t="str">
        <f t="shared" si="55"/>
        <v/>
      </c>
      <c r="D712" t="str">
        <f t="shared" si="56"/>
        <v/>
      </c>
      <c r="E712" t="str">
        <f t="shared" si="57"/>
        <v/>
      </c>
      <c r="F712" t="str">
        <f>IF(D712="","",INDEX(Knutepunkter!$B:$B,D712+1))</f>
        <v/>
      </c>
      <c r="G712" t="str">
        <f>IF(D712="","",INDEX(Knutepunkter!$C:$C,D712+1))</f>
        <v/>
      </c>
      <c r="H712" t="str">
        <f>IF(D712="","",INDEX(Knutepunkter!$D:$D,D712+1))</f>
        <v/>
      </c>
      <c r="I712" t="str">
        <f>IF(E712="","",INDEX(Knutepunkter!$B:$B,E712+1))</f>
        <v/>
      </c>
      <c r="J712" t="str">
        <f>IF(E712="","",INDEX(Knutepunkter!$C:$C,E712+1))</f>
        <v/>
      </c>
      <c r="K712" t="str">
        <f>IF(E712="","",INDEX(Knutepunkter!$D:$D,E712+1))</f>
        <v/>
      </c>
      <c r="L712" t="str">
        <f t="shared" si="58"/>
        <v/>
      </c>
      <c r="M712" t="str">
        <f t="shared" si="59"/>
        <v/>
      </c>
    </row>
    <row r="713" spans="1:13" x14ac:dyDescent="0.3">
      <c r="A713" t="str">
        <f>Segmenter!A713</f>
        <v/>
      </c>
      <c r="B713" t="str">
        <f>Segmenter!B713</f>
        <v/>
      </c>
      <c r="C713" t="str">
        <f t="shared" si="55"/>
        <v/>
      </c>
      <c r="D713" t="str">
        <f t="shared" si="56"/>
        <v/>
      </c>
      <c r="E713" t="str">
        <f t="shared" si="57"/>
        <v/>
      </c>
      <c r="F713" t="str">
        <f>IF(D713="","",INDEX(Knutepunkter!$B:$B,D713+1))</f>
        <v/>
      </c>
      <c r="G713" t="str">
        <f>IF(D713="","",INDEX(Knutepunkter!$C:$C,D713+1))</f>
        <v/>
      </c>
      <c r="H713" t="str">
        <f>IF(D713="","",INDEX(Knutepunkter!$D:$D,D713+1))</f>
        <v/>
      </c>
      <c r="I713" t="str">
        <f>IF(E713="","",INDEX(Knutepunkter!$B:$B,E713+1))</f>
        <v/>
      </c>
      <c r="J713" t="str">
        <f>IF(E713="","",INDEX(Knutepunkter!$C:$C,E713+1))</f>
        <v/>
      </c>
      <c r="K713" t="str">
        <f>IF(E713="","",INDEX(Knutepunkter!$D:$D,E713+1))</f>
        <v/>
      </c>
      <c r="L713" t="str">
        <f t="shared" si="58"/>
        <v/>
      </c>
      <c r="M713" t="str">
        <f t="shared" si="59"/>
        <v/>
      </c>
    </row>
    <row r="714" spans="1:13" x14ac:dyDescent="0.3">
      <c r="A714" t="str">
        <f>Segmenter!A714</f>
        <v/>
      </c>
      <c r="B714" t="str">
        <f>Segmenter!B714</f>
        <v/>
      </c>
      <c r="C714" t="str">
        <f t="shared" si="55"/>
        <v/>
      </c>
      <c r="D714" t="str">
        <f t="shared" si="56"/>
        <v/>
      </c>
      <c r="E714" t="str">
        <f t="shared" si="57"/>
        <v/>
      </c>
      <c r="F714" t="str">
        <f>IF(D714="","",INDEX(Knutepunkter!$B:$B,D714+1))</f>
        <v/>
      </c>
      <c r="G714" t="str">
        <f>IF(D714="","",INDEX(Knutepunkter!$C:$C,D714+1))</f>
        <v/>
      </c>
      <c r="H714" t="str">
        <f>IF(D714="","",INDEX(Knutepunkter!$D:$D,D714+1))</f>
        <v/>
      </c>
      <c r="I714" t="str">
        <f>IF(E714="","",INDEX(Knutepunkter!$B:$B,E714+1))</f>
        <v/>
      </c>
      <c r="J714" t="str">
        <f>IF(E714="","",INDEX(Knutepunkter!$C:$C,E714+1))</f>
        <v/>
      </c>
      <c r="K714" t="str">
        <f>IF(E714="","",INDEX(Knutepunkter!$D:$D,E714+1))</f>
        <v/>
      </c>
      <c r="L714" t="str">
        <f t="shared" si="58"/>
        <v/>
      </c>
      <c r="M714" t="str">
        <f t="shared" si="59"/>
        <v/>
      </c>
    </row>
    <row r="715" spans="1:13" x14ac:dyDescent="0.3">
      <c r="A715" t="str">
        <f>Segmenter!A715</f>
        <v/>
      </c>
      <c r="B715" t="str">
        <f>Segmenter!B715</f>
        <v/>
      </c>
      <c r="C715" t="str">
        <f t="shared" si="55"/>
        <v/>
      </c>
      <c r="D715" t="str">
        <f t="shared" si="56"/>
        <v/>
      </c>
      <c r="E715" t="str">
        <f t="shared" si="57"/>
        <v/>
      </c>
      <c r="F715" t="str">
        <f>IF(D715="","",INDEX(Knutepunkter!$B:$B,D715+1))</f>
        <v/>
      </c>
      <c r="G715" t="str">
        <f>IF(D715="","",INDEX(Knutepunkter!$C:$C,D715+1))</f>
        <v/>
      </c>
      <c r="H715" t="str">
        <f>IF(D715="","",INDEX(Knutepunkter!$D:$D,D715+1))</f>
        <v/>
      </c>
      <c r="I715" t="str">
        <f>IF(E715="","",INDEX(Knutepunkter!$B:$B,E715+1))</f>
        <v/>
      </c>
      <c r="J715" t="str">
        <f>IF(E715="","",INDEX(Knutepunkter!$C:$C,E715+1))</f>
        <v/>
      </c>
      <c r="K715" t="str">
        <f>IF(E715="","",INDEX(Knutepunkter!$D:$D,E715+1))</f>
        <v/>
      </c>
      <c r="L715" t="str">
        <f t="shared" si="58"/>
        <v/>
      </c>
      <c r="M715" t="str">
        <f t="shared" si="59"/>
        <v/>
      </c>
    </row>
    <row r="716" spans="1:13" x14ac:dyDescent="0.3">
      <c r="A716" t="str">
        <f>Segmenter!A716</f>
        <v/>
      </c>
      <c r="B716" t="str">
        <f>Segmenter!B716</f>
        <v/>
      </c>
      <c r="C716" t="str">
        <f t="shared" si="55"/>
        <v/>
      </c>
      <c r="D716" t="str">
        <f t="shared" si="56"/>
        <v/>
      </c>
      <c r="E716" t="str">
        <f t="shared" si="57"/>
        <v/>
      </c>
      <c r="F716" t="str">
        <f>IF(D716="","",INDEX(Knutepunkter!$B:$B,D716+1))</f>
        <v/>
      </c>
      <c r="G716" t="str">
        <f>IF(D716="","",INDEX(Knutepunkter!$C:$C,D716+1))</f>
        <v/>
      </c>
      <c r="H716" t="str">
        <f>IF(D716="","",INDEX(Knutepunkter!$D:$D,D716+1))</f>
        <v/>
      </c>
      <c r="I716" t="str">
        <f>IF(E716="","",INDEX(Knutepunkter!$B:$B,E716+1))</f>
        <v/>
      </c>
      <c r="J716" t="str">
        <f>IF(E716="","",INDEX(Knutepunkter!$C:$C,E716+1))</f>
        <v/>
      </c>
      <c r="K716" t="str">
        <f>IF(E716="","",INDEX(Knutepunkter!$D:$D,E716+1))</f>
        <v/>
      </c>
      <c r="L716" t="str">
        <f t="shared" si="58"/>
        <v/>
      </c>
      <c r="M716" t="str">
        <f t="shared" si="59"/>
        <v/>
      </c>
    </row>
    <row r="717" spans="1:13" x14ac:dyDescent="0.3">
      <c r="A717" t="str">
        <f>Segmenter!A717</f>
        <v/>
      </c>
      <c r="B717" t="str">
        <f>Segmenter!B717</f>
        <v/>
      </c>
      <c r="C717" t="str">
        <f t="shared" si="55"/>
        <v/>
      </c>
      <c r="D717" t="str">
        <f t="shared" si="56"/>
        <v/>
      </c>
      <c r="E717" t="str">
        <f t="shared" si="57"/>
        <v/>
      </c>
      <c r="F717" t="str">
        <f>IF(D717="","",INDEX(Knutepunkter!$B:$B,D717+1))</f>
        <v/>
      </c>
      <c r="G717" t="str">
        <f>IF(D717="","",INDEX(Knutepunkter!$C:$C,D717+1))</f>
        <v/>
      </c>
      <c r="H717" t="str">
        <f>IF(D717="","",INDEX(Knutepunkter!$D:$D,D717+1))</f>
        <v/>
      </c>
      <c r="I717" t="str">
        <f>IF(E717="","",INDEX(Knutepunkter!$B:$B,E717+1))</f>
        <v/>
      </c>
      <c r="J717" t="str">
        <f>IF(E717="","",INDEX(Knutepunkter!$C:$C,E717+1))</f>
        <v/>
      </c>
      <c r="K717" t="str">
        <f>IF(E717="","",INDEX(Knutepunkter!$D:$D,E717+1))</f>
        <v/>
      </c>
      <c r="L717" t="str">
        <f t="shared" si="58"/>
        <v/>
      </c>
      <c r="M717" t="str">
        <f t="shared" si="59"/>
        <v/>
      </c>
    </row>
    <row r="718" spans="1:13" x14ac:dyDescent="0.3">
      <c r="A718" t="str">
        <f>Segmenter!A718</f>
        <v/>
      </c>
      <c r="B718" t="str">
        <f>Segmenter!B718</f>
        <v/>
      </c>
      <c r="C718" t="str">
        <f t="shared" si="55"/>
        <v/>
      </c>
      <c r="D718" t="str">
        <f t="shared" si="56"/>
        <v/>
      </c>
      <c r="E718" t="str">
        <f t="shared" si="57"/>
        <v/>
      </c>
      <c r="F718" t="str">
        <f>IF(D718="","",INDEX(Knutepunkter!$B:$B,D718+1))</f>
        <v/>
      </c>
      <c r="G718" t="str">
        <f>IF(D718="","",INDEX(Knutepunkter!$C:$C,D718+1))</f>
        <v/>
      </c>
      <c r="H718" t="str">
        <f>IF(D718="","",INDEX(Knutepunkter!$D:$D,D718+1))</f>
        <v/>
      </c>
      <c r="I718" t="str">
        <f>IF(E718="","",INDEX(Knutepunkter!$B:$B,E718+1))</f>
        <v/>
      </c>
      <c r="J718" t="str">
        <f>IF(E718="","",INDEX(Knutepunkter!$C:$C,E718+1))</f>
        <v/>
      </c>
      <c r="K718" t="str">
        <f>IF(E718="","",INDEX(Knutepunkter!$D:$D,E718+1))</f>
        <v/>
      </c>
      <c r="L718" t="str">
        <f t="shared" si="58"/>
        <v/>
      </c>
      <c r="M718" t="str">
        <f t="shared" si="59"/>
        <v/>
      </c>
    </row>
    <row r="719" spans="1:13" x14ac:dyDescent="0.3">
      <c r="A719" t="str">
        <f>Segmenter!A719</f>
        <v/>
      </c>
      <c r="B719" t="str">
        <f>Segmenter!B719</f>
        <v/>
      </c>
      <c r="C719" t="str">
        <f t="shared" si="55"/>
        <v/>
      </c>
      <c r="D719" t="str">
        <f t="shared" si="56"/>
        <v/>
      </c>
      <c r="E719" t="str">
        <f t="shared" si="57"/>
        <v/>
      </c>
      <c r="F719" t="str">
        <f>IF(D719="","",INDEX(Knutepunkter!$B:$B,D719+1))</f>
        <v/>
      </c>
      <c r="G719" t="str">
        <f>IF(D719="","",INDEX(Knutepunkter!$C:$C,D719+1))</f>
        <v/>
      </c>
      <c r="H719" t="str">
        <f>IF(D719="","",INDEX(Knutepunkter!$D:$D,D719+1))</f>
        <v/>
      </c>
      <c r="I719" t="str">
        <f>IF(E719="","",INDEX(Knutepunkter!$B:$B,E719+1))</f>
        <v/>
      </c>
      <c r="J719" t="str">
        <f>IF(E719="","",INDEX(Knutepunkter!$C:$C,E719+1))</f>
        <v/>
      </c>
      <c r="K719" t="str">
        <f>IF(E719="","",INDEX(Knutepunkter!$D:$D,E719+1))</f>
        <v/>
      </c>
      <c r="L719" t="str">
        <f t="shared" si="58"/>
        <v/>
      </c>
      <c r="M719" t="str">
        <f t="shared" si="59"/>
        <v/>
      </c>
    </row>
    <row r="720" spans="1:13" x14ac:dyDescent="0.3">
      <c r="A720" t="str">
        <f>Segmenter!A720</f>
        <v/>
      </c>
      <c r="B720" t="str">
        <f>Segmenter!B720</f>
        <v/>
      </c>
      <c r="C720" t="str">
        <f t="shared" si="55"/>
        <v/>
      </c>
      <c r="D720" t="str">
        <f t="shared" si="56"/>
        <v/>
      </c>
      <c r="E720" t="str">
        <f t="shared" si="57"/>
        <v/>
      </c>
      <c r="F720" t="str">
        <f>IF(D720="","",INDEX(Knutepunkter!$B:$B,D720+1))</f>
        <v/>
      </c>
      <c r="G720" t="str">
        <f>IF(D720="","",INDEX(Knutepunkter!$C:$C,D720+1))</f>
        <v/>
      </c>
      <c r="H720" t="str">
        <f>IF(D720="","",INDEX(Knutepunkter!$D:$D,D720+1))</f>
        <v/>
      </c>
      <c r="I720" t="str">
        <f>IF(E720="","",INDEX(Knutepunkter!$B:$B,E720+1))</f>
        <v/>
      </c>
      <c r="J720" t="str">
        <f>IF(E720="","",INDEX(Knutepunkter!$C:$C,E720+1))</f>
        <v/>
      </c>
      <c r="K720" t="str">
        <f>IF(E720="","",INDEX(Knutepunkter!$D:$D,E720+1))</f>
        <v/>
      </c>
      <c r="L720" t="str">
        <f t="shared" si="58"/>
        <v/>
      </c>
      <c r="M720" t="str">
        <f t="shared" si="59"/>
        <v/>
      </c>
    </row>
    <row r="721" spans="1:13" x14ac:dyDescent="0.3">
      <c r="A721" t="str">
        <f>Segmenter!A721</f>
        <v/>
      </c>
      <c r="B721" t="str">
        <f>Segmenter!B721</f>
        <v/>
      </c>
      <c r="C721" t="str">
        <f t="shared" si="55"/>
        <v/>
      </c>
      <c r="D721" t="str">
        <f t="shared" si="56"/>
        <v/>
      </c>
      <c r="E721" t="str">
        <f t="shared" si="57"/>
        <v/>
      </c>
      <c r="F721" t="str">
        <f>IF(D721="","",INDEX(Knutepunkter!$B:$B,D721+1))</f>
        <v/>
      </c>
      <c r="G721" t="str">
        <f>IF(D721="","",INDEX(Knutepunkter!$C:$C,D721+1))</f>
        <v/>
      </c>
      <c r="H721" t="str">
        <f>IF(D721="","",INDEX(Knutepunkter!$D:$D,D721+1))</f>
        <v/>
      </c>
      <c r="I721" t="str">
        <f>IF(E721="","",INDEX(Knutepunkter!$B:$B,E721+1))</f>
        <v/>
      </c>
      <c r="J721" t="str">
        <f>IF(E721="","",INDEX(Knutepunkter!$C:$C,E721+1))</f>
        <v/>
      </c>
      <c r="K721" t="str">
        <f>IF(E721="","",INDEX(Knutepunkter!$D:$D,E721+1))</f>
        <v/>
      </c>
      <c r="L721" t="str">
        <f t="shared" si="58"/>
        <v/>
      </c>
      <c r="M721" t="str">
        <f t="shared" si="59"/>
        <v/>
      </c>
    </row>
    <row r="722" spans="1:13" x14ac:dyDescent="0.3">
      <c r="A722" t="str">
        <f>Segmenter!A722</f>
        <v/>
      </c>
      <c r="B722" t="str">
        <f>Segmenter!B722</f>
        <v/>
      </c>
      <c r="C722" t="str">
        <f t="shared" si="55"/>
        <v/>
      </c>
      <c r="D722" t="str">
        <f t="shared" si="56"/>
        <v/>
      </c>
      <c r="E722" t="str">
        <f t="shared" si="57"/>
        <v/>
      </c>
      <c r="F722" t="str">
        <f>IF(D722="","",INDEX(Knutepunkter!$B:$B,D722+1))</f>
        <v/>
      </c>
      <c r="G722" t="str">
        <f>IF(D722="","",INDEX(Knutepunkter!$C:$C,D722+1))</f>
        <v/>
      </c>
      <c r="H722" t="str">
        <f>IF(D722="","",INDEX(Knutepunkter!$D:$D,D722+1))</f>
        <v/>
      </c>
      <c r="I722" t="str">
        <f>IF(E722="","",INDEX(Knutepunkter!$B:$B,E722+1))</f>
        <v/>
      </c>
      <c r="J722" t="str">
        <f>IF(E722="","",INDEX(Knutepunkter!$C:$C,E722+1))</f>
        <v/>
      </c>
      <c r="K722" t="str">
        <f>IF(E722="","",INDEX(Knutepunkter!$D:$D,E722+1))</f>
        <v/>
      </c>
      <c r="L722" t="str">
        <f t="shared" si="58"/>
        <v/>
      </c>
      <c r="M722" t="str">
        <f t="shared" si="59"/>
        <v/>
      </c>
    </row>
    <row r="723" spans="1:13" x14ac:dyDescent="0.3">
      <c r="A723" t="str">
        <f>Segmenter!A723</f>
        <v/>
      </c>
      <c r="B723" t="str">
        <f>Segmenter!B723</f>
        <v/>
      </c>
      <c r="C723" t="str">
        <f t="shared" si="55"/>
        <v/>
      </c>
      <c r="D723" t="str">
        <f t="shared" si="56"/>
        <v/>
      </c>
      <c r="E723" t="str">
        <f t="shared" si="57"/>
        <v/>
      </c>
      <c r="F723" t="str">
        <f>IF(D723="","",INDEX(Knutepunkter!$B:$B,D723+1))</f>
        <v/>
      </c>
      <c r="G723" t="str">
        <f>IF(D723="","",INDEX(Knutepunkter!$C:$C,D723+1))</f>
        <v/>
      </c>
      <c r="H723" t="str">
        <f>IF(D723="","",INDEX(Knutepunkter!$D:$D,D723+1))</f>
        <v/>
      </c>
      <c r="I723" t="str">
        <f>IF(E723="","",INDEX(Knutepunkter!$B:$B,E723+1))</f>
        <v/>
      </c>
      <c r="J723" t="str">
        <f>IF(E723="","",INDEX(Knutepunkter!$C:$C,E723+1))</f>
        <v/>
      </c>
      <c r="K723" t="str">
        <f>IF(E723="","",INDEX(Knutepunkter!$D:$D,E723+1))</f>
        <v/>
      </c>
      <c r="L723" t="str">
        <f t="shared" si="58"/>
        <v/>
      </c>
      <c r="M723" t="str">
        <f t="shared" si="59"/>
        <v/>
      </c>
    </row>
    <row r="724" spans="1:13" x14ac:dyDescent="0.3">
      <c r="A724" t="str">
        <f>Segmenter!A724</f>
        <v/>
      </c>
      <c r="B724" t="str">
        <f>Segmenter!B724</f>
        <v/>
      </c>
      <c r="C724" t="str">
        <f t="shared" si="55"/>
        <v/>
      </c>
      <c r="D724" t="str">
        <f t="shared" si="56"/>
        <v/>
      </c>
      <c r="E724" t="str">
        <f t="shared" si="57"/>
        <v/>
      </c>
      <c r="F724" t="str">
        <f>IF(D724="","",INDEX(Knutepunkter!$B:$B,D724+1))</f>
        <v/>
      </c>
      <c r="G724" t="str">
        <f>IF(D724="","",INDEX(Knutepunkter!$C:$C,D724+1))</f>
        <v/>
      </c>
      <c r="H724" t="str">
        <f>IF(D724="","",INDEX(Knutepunkter!$D:$D,D724+1))</f>
        <v/>
      </c>
      <c r="I724" t="str">
        <f>IF(E724="","",INDEX(Knutepunkter!$B:$B,E724+1))</f>
        <v/>
      </c>
      <c r="J724" t="str">
        <f>IF(E724="","",INDEX(Knutepunkter!$C:$C,E724+1))</f>
        <v/>
      </c>
      <c r="K724" t="str">
        <f>IF(E724="","",INDEX(Knutepunkter!$D:$D,E724+1))</f>
        <v/>
      </c>
      <c r="L724" t="str">
        <f t="shared" si="58"/>
        <v/>
      </c>
      <c r="M724" t="str">
        <f t="shared" si="59"/>
        <v/>
      </c>
    </row>
    <row r="725" spans="1:13" x14ac:dyDescent="0.3">
      <c r="A725" t="str">
        <f>Segmenter!A725</f>
        <v/>
      </c>
      <c r="B725" t="str">
        <f>Segmenter!B725</f>
        <v/>
      </c>
      <c r="C725" t="str">
        <f t="shared" si="55"/>
        <v/>
      </c>
      <c r="D725" t="str">
        <f t="shared" si="56"/>
        <v/>
      </c>
      <c r="E725" t="str">
        <f t="shared" si="57"/>
        <v/>
      </c>
      <c r="F725" t="str">
        <f>IF(D725="","",INDEX(Knutepunkter!$B:$B,D725+1))</f>
        <v/>
      </c>
      <c r="G725" t="str">
        <f>IF(D725="","",INDEX(Knutepunkter!$C:$C,D725+1))</f>
        <v/>
      </c>
      <c r="H725" t="str">
        <f>IF(D725="","",INDEX(Knutepunkter!$D:$D,D725+1))</f>
        <v/>
      </c>
      <c r="I725" t="str">
        <f>IF(E725="","",INDEX(Knutepunkter!$B:$B,E725+1))</f>
        <v/>
      </c>
      <c r="J725" t="str">
        <f>IF(E725="","",INDEX(Knutepunkter!$C:$C,E725+1))</f>
        <v/>
      </c>
      <c r="K725" t="str">
        <f>IF(E725="","",INDEX(Knutepunkter!$D:$D,E725+1))</f>
        <v/>
      </c>
      <c r="L725" t="str">
        <f t="shared" si="58"/>
        <v/>
      </c>
      <c r="M725" t="str">
        <f t="shared" si="59"/>
        <v/>
      </c>
    </row>
    <row r="726" spans="1:13" x14ac:dyDescent="0.3">
      <c r="A726" t="str">
        <f>Segmenter!A726</f>
        <v/>
      </c>
      <c r="B726" t="str">
        <f>Segmenter!B726</f>
        <v/>
      </c>
      <c r="C726" t="str">
        <f t="shared" si="55"/>
        <v/>
      </c>
      <c r="D726" t="str">
        <f t="shared" si="56"/>
        <v/>
      </c>
      <c r="E726" t="str">
        <f t="shared" si="57"/>
        <v/>
      </c>
      <c r="F726" t="str">
        <f>IF(D726="","",INDEX(Knutepunkter!$B:$B,D726+1))</f>
        <v/>
      </c>
      <c r="G726" t="str">
        <f>IF(D726="","",INDEX(Knutepunkter!$C:$C,D726+1))</f>
        <v/>
      </c>
      <c r="H726" t="str">
        <f>IF(D726="","",INDEX(Knutepunkter!$D:$D,D726+1))</f>
        <v/>
      </c>
      <c r="I726" t="str">
        <f>IF(E726="","",INDEX(Knutepunkter!$B:$B,E726+1))</f>
        <v/>
      </c>
      <c r="J726" t="str">
        <f>IF(E726="","",INDEX(Knutepunkter!$C:$C,E726+1))</f>
        <v/>
      </c>
      <c r="K726" t="str">
        <f>IF(E726="","",INDEX(Knutepunkter!$D:$D,E726+1))</f>
        <v/>
      </c>
      <c r="L726" t="str">
        <f t="shared" si="58"/>
        <v/>
      </c>
      <c r="M726" t="str">
        <f t="shared" si="59"/>
        <v/>
      </c>
    </row>
    <row r="727" spans="1:13" x14ac:dyDescent="0.3">
      <c r="A727" t="str">
        <f>Segmenter!A727</f>
        <v/>
      </c>
      <c r="B727" t="str">
        <f>Segmenter!B727</f>
        <v/>
      </c>
      <c r="C727" t="str">
        <f t="shared" si="55"/>
        <v/>
      </c>
      <c r="D727" t="str">
        <f t="shared" si="56"/>
        <v/>
      </c>
      <c r="E727" t="str">
        <f t="shared" si="57"/>
        <v/>
      </c>
      <c r="F727" t="str">
        <f>IF(D727="","",INDEX(Knutepunkter!$B:$B,D727+1))</f>
        <v/>
      </c>
      <c r="G727" t="str">
        <f>IF(D727="","",INDEX(Knutepunkter!$C:$C,D727+1))</f>
        <v/>
      </c>
      <c r="H727" t="str">
        <f>IF(D727="","",INDEX(Knutepunkter!$D:$D,D727+1))</f>
        <v/>
      </c>
      <c r="I727" t="str">
        <f>IF(E727="","",INDEX(Knutepunkter!$B:$B,E727+1))</f>
        <v/>
      </c>
      <c r="J727" t="str">
        <f>IF(E727="","",INDEX(Knutepunkter!$C:$C,E727+1))</f>
        <v/>
      </c>
      <c r="K727" t="str">
        <f>IF(E727="","",INDEX(Knutepunkter!$D:$D,E727+1))</f>
        <v/>
      </c>
      <c r="L727" t="str">
        <f t="shared" si="58"/>
        <v/>
      </c>
      <c r="M727" t="str">
        <f t="shared" si="59"/>
        <v/>
      </c>
    </row>
    <row r="728" spans="1:13" x14ac:dyDescent="0.3">
      <c r="A728" t="str">
        <f>Segmenter!A728</f>
        <v/>
      </c>
      <c r="B728" t="str">
        <f>Segmenter!B728</f>
        <v/>
      </c>
      <c r="C728" t="str">
        <f t="shared" si="55"/>
        <v/>
      </c>
      <c r="D728" t="str">
        <f t="shared" si="56"/>
        <v/>
      </c>
      <c r="E728" t="str">
        <f t="shared" si="57"/>
        <v/>
      </c>
      <c r="F728" t="str">
        <f>IF(D728="","",INDEX(Knutepunkter!$B:$B,D728+1))</f>
        <v/>
      </c>
      <c r="G728" t="str">
        <f>IF(D728="","",INDEX(Knutepunkter!$C:$C,D728+1))</f>
        <v/>
      </c>
      <c r="H728" t="str">
        <f>IF(D728="","",INDEX(Knutepunkter!$D:$D,D728+1))</f>
        <v/>
      </c>
      <c r="I728" t="str">
        <f>IF(E728="","",INDEX(Knutepunkter!$B:$B,E728+1))</f>
        <v/>
      </c>
      <c r="J728" t="str">
        <f>IF(E728="","",INDEX(Knutepunkter!$C:$C,E728+1))</f>
        <v/>
      </c>
      <c r="K728" t="str">
        <f>IF(E728="","",INDEX(Knutepunkter!$D:$D,E728+1))</f>
        <v/>
      </c>
      <c r="L728" t="str">
        <f t="shared" si="58"/>
        <v/>
      </c>
      <c r="M728" t="str">
        <f t="shared" si="59"/>
        <v/>
      </c>
    </row>
    <row r="729" spans="1:13" x14ac:dyDescent="0.3">
      <c r="A729" t="str">
        <f>Segmenter!A729</f>
        <v/>
      </c>
      <c r="B729" t="str">
        <f>Segmenter!B729</f>
        <v/>
      </c>
      <c r="C729" t="str">
        <f t="shared" si="55"/>
        <v/>
      </c>
      <c r="D729" t="str">
        <f t="shared" si="56"/>
        <v/>
      </c>
      <c r="E729" t="str">
        <f t="shared" si="57"/>
        <v/>
      </c>
      <c r="F729" t="str">
        <f>IF(D729="","",INDEX(Knutepunkter!$B:$B,D729+1))</f>
        <v/>
      </c>
      <c r="G729" t="str">
        <f>IF(D729="","",INDEX(Knutepunkter!$C:$C,D729+1))</f>
        <v/>
      </c>
      <c r="H729" t="str">
        <f>IF(D729="","",INDEX(Knutepunkter!$D:$D,D729+1))</f>
        <v/>
      </c>
      <c r="I729" t="str">
        <f>IF(E729="","",INDEX(Knutepunkter!$B:$B,E729+1))</f>
        <v/>
      </c>
      <c r="J729" t="str">
        <f>IF(E729="","",INDEX(Knutepunkter!$C:$C,E729+1))</f>
        <v/>
      </c>
      <c r="K729" t="str">
        <f>IF(E729="","",INDEX(Knutepunkter!$D:$D,E729+1))</f>
        <v/>
      </c>
      <c r="L729" t="str">
        <f t="shared" si="58"/>
        <v/>
      </c>
      <c r="M729" t="str">
        <f t="shared" si="59"/>
        <v/>
      </c>
    </row>
    <row r="730" spans="1:13" x14ac:dyDescent="0.3">
      <c r="A730" t="str">
        <f>Segmenter!A730</f>
        <v/>
      </c>
      <c r="B730" t="str">
        <f>Segmenter!B730</f>
        <v/>
      </c>
      <c r="C730" t="str">
        <f t="shared" si="55"/>
        <v/>
      </c>
      <c r="D730" t="str">
        <f t="shared" si="56"/>
        <v/>
      </c>
      <c r="E730" t="str">
        <f t="shared" si="57"/>
        <v/>
      </c>
      <c r="F730" t="str">
        <f>IF(D730="","",INDEX(Knutepunkter!$B:$B,D730+1))</f>
        <v/>
      </c>
      <c r="G730" t="str">
        <f>IF(D730="","",INDEX(Knutepunkter!$C:$C,D730+1))</f>
        <v/>
      </c>
      <c r="H730" t="str">
        <f>IF(D730="","",INDEX(Knutepunkter!$D:$D,D730+1))</f>
        <v/>
      </c>
      <c r="I730" t="str">
        <f>IF(E730="","",INDEX(Knutepunkter!$B:$B,E730+1))</f>
        <v/>
      </c>
      <c r="J730" t="str">
        <f>IF(E730="","",INDEX(Knutepunkter!$C:$C,E730+1))</f>
        <v/>
      </c>
      <c r="K730" t="str">
        <f>IF(E730="","",INDEX(Knutepunkter!$D:$D,E730+1))</f>
        <v/>
      </c>
      <c r="L730" t="str">
        <f t="shared" si="58"/>
        <v/>
      </c>
      <c r="M730" t="str">
        <f t="shared" si="59"/>
        <v/>
      </c>
    </row>
    <row r="731" spans="1:13" x14ac:dyDescent="0.3">
      <c r="A731" t="str">
        <f>Segmenter!A731</f>
        <v/>
      </c>
      <c r="B731" t="str">
        <f>Segmenter!B731</f>
        <v/>
      </c>
      <c r="C731" t="str">
        <f t="shared" si="55"/>
        <v/>
      </c>
      <c r="D731" t="str">
        <f t="shared" si="56"/>
        <v/>
      </c>
      <c r="E731" t="str">
        <f t="shared" si="57"/>
        <v/>
      </c>
      <c r="F731" t="str">
        <f>IF(D731="","",INDEX(Knutepunkter!$B:$B,D731+1))</f>
        <v/>
      </c>
      <c r="G731" t="str">
        <f>IF(D731="","",INDEX(Knutepunkter!$C:$C,D731+1))</f>
        <v/>
      </c>
      <c r="H731" t="str">
        <f>IF(D731="","",INDEX(Knutepunkter!$D:$D,D731+1))</f>
        <v/>
      </c>
      <c r="I731" t="str">
        <f>IF(E731="","",INDEX(Knutepunkter!$B:$B,E731+1))</f>
        <v/>
      </c>
      <c r="J731" t="str">
        <f>IF(E731="","",INDEX(Knutepunkter!$C:$C,E731+1))</f>
        <v/>
      </c>
      <c r="K731" t="str">
        <f>IF(E731="","",INDEX(Knutepunkter!$D:$D,E731+1))</f>
        <v/>
      </c>
      <c r="L731" t="str">
        <f t="shared" si="58"/>
        <v/>
      </c>
      <c r="M731" t="str">
        <f t="shared" si="59"/>
        <v/>
      </c>
    </row>
    <row r="732" spans="1:13" x14ac:dyDescent="0.3">
      <c r="A732" t="str">
        <f>Segmenter!A732</f>
        <v/>
      </c>
      <c r="B732" t="str">
        <f>Segmenter!B732</f>
        <v/>
      </c>
      <c r="C732" t="str">
        <f t="shared" si="55"/>
        <v/>
      </c>
      <c r="D732" t="str">
        <f t="shared" si="56"/>
        <v/>
      </c>
      <c r="E732" t="str">
        <f t="shared" si="57"/>
        <v/>
      </c>
      <c r="F732" t="str">
        <f>IF(D732="","",INDEX(Knutepunkter!$B:$B,D732+1))</f>
        <v/>
      </c>
      <c r="G732" t="str">
        <f>IF(D732="","",INDEX(Knutepunkter!$C:$C,D732+1))</f>
        <v/>
      </c>
      <c r="H732" t="str">
        <f>IF(D732="","",INDEX(Knutepunkter!$D:$D,D732+1))</f>
        <v/>
      </c>
      <c r="I732" t="str">
        <f>IF(E732="","",INDEX(Knutepunkter!$B:$B,E732+1))</f>
        <v/>
      </c>
      <c r="J732" t="str">
        <f>IF(E732="","",INDEX(Knutepunkter!$C:$C,E732+1))</f>
        <v/>
      </c>
      <c r="K732" t="str">
        <f>IF(E732="","",INDEX(Knutepunkter!$D:$D,E732+1))</f>
        <v/>
      </c>
      <c r="L732" t="str">
        <f t="shared" si="58"/>
        <v/>
      </c>
      <c r="M732" t="str">
        <f t="shared" si="59"/>
        <v/>
      </c>
    </row>
    <row r="733" spans="1:13" x14ac:dyDescent="0.3">
      <c r="A733" t="str">
        <f>Segmenter!A733</f>
        <v/>
      </c>
      <c r="B733" t="str">
        <f>Segmenter!B733</f>
        <v/>
      </c>
      <c r="C733" t="str">
        <f t="shared" si="55"/>
        <v/>
      </c>
      <c r="D733" t="str">
        <f t="shared" si="56"/>
        <v/>
      </c>
      <c r="E733" t="str">
        <f t="shared" si="57"/>
        <v/>
      </c>
      <c r="F733" t="str">
        <f>IF(D733="","",INDEX(Knutepunkter!$B:$B,D733+1))</f>
        <v/>
      </c>
      <c r="G733" t="str">
        <f>IF(D733="","",INDEX(Knutepunkter!$C:$C,D733+1))</f>
        <v/>
      </c>
      <c r="H733" t="str">
        <f>IF(D733="","",INDEX(Knutepunkter!$D:$D,D733+1))</f>
        <v/>
      </c>
      <c r="I733" t="str">
        <f>IF(E733="","",INDEX(Knutepunkter!$B:$B,E733+1))</f>
        <v/>
      </c>
      <c r="J733" t="str">
        <f>IF(E733="","",INDEX(Knutepunkter!$C:$C,E733+1))</f>
        <v/>
      </c>
      <c r="K733" t="str">
        <f>IF(E733="","",INDEX(Knutepunkter!$D:$D,E733+1))</f>
        <v/>
      </c>
      <c r="L733" t="str">
        <f t="shared" si="58"/>
        <v/>
      </c>
      <c r="M733" t="str">
        <f t="shared" si="59"/>
        <v/>
      </c>
    </row>
    <row r="734" spans="1:13" x14ac:dyDescent="0.3">
      <c r="A734" t="str">
        <f>Segmenter!A734</f>
        <v/>
      </c>
      <c r="B734" t="str">
        <f>Segmenter!B734</f>
        <v/>
      </c>
      <c r="C734" t="str">
        <f t="shared" si="55"/>
        <v/>
      </c>
      <c r="D734" t="str">
        <f t="shared" si="56"/>
        <v/>
      </c>
      <c r="E734" t="str">
        <f t="shared" si="57"/>
        <v/>
      </c>
      <c r="F734" t="str">
        <f>IF(D734="","",INDEX(Knutepunkter!$B:$B,D734+1))</f>
        <v/>
      </c>
      <c r="G734" t="str">
        <f>IF(D734="","",INDEX(Knutepunkter!$C:$C,D734+1))</f>
        <v/>
      </c>
      <c r="H734" t="str">
        <f>IF(D734="","",INDEX(Knutepunkter!$D:$D,D734+1))</f>
        <v/>
      </c>
      <c r="I734" t="str">
        <f>IF(E734="","",INDEX(Knutepunkter!$B:$B,E734+1))</f>
        <v/>
      </c>
      <c r="J734" t="str">
        <f>IF(E734="","",INDEX(Knutepunkter!$C:$C,E734+1))</f>
        <v/>
      </c>
      <c r="K734" t="str">
        <f>IF(E734="","",INDEX(Knutepunkter!$D:$D,E734+1))</f>
        <v/>
      </c>
      <c r="L734" t="str">
        <f t="shared" si="58"/>
        <v/>
      </c>
      <c r="M734" t="str">
        <f t="shared" si="59"/>
        <v/>
      </c>
    </row>
    <row r="735" spans="1:13" x14ac:dyDescent="0.3">
      <c r="A735" t="str">
        <f>Segmenter!A735</f>
        <v/>
      </c>
      <c r="B735" t="str">
        <f>Segmenter!B735</f>
        <v/>
      </c>
      <c r="C735" t="str">
        <f t="shared" si="55"/>
        <v/>
      </c>
      <c r="D735" t="str">
        <f t="shared" si="56"/>
        <v/>
      </c>
      <c r="E735" t="str">
        <f t="shared" si="57"/>
        <v/>
      </c>
      <c r="F735" t="str">
        <f>IF(D735="","",INDEX(Knutepunkter!$B:$B,D735+1))</f>
        <v/>
      </c>
      <c r="G735" t="str">
        <f>IF(D735="","",INDEX(Knutepunkter!$C:$C,D735+1))</f>
        <v/>
      </c>
      <c r="H735" t="str">
        <f>IF(D735="","",INDEX(Knutepunkter!$D:$D,D735+1))</f>
        <v/>
      </c>
      <c r="I735" t="str">
        <f>IF(E735="","",INDEX(Knutepunkter!$B:$B,E735+1))</f>
        <v/>
      </c>
      <c r="J735" t="str">
        <f>IF(E735="","",INDEX(Knutepunkter!$C:$C,E735+1))</f>
        <v/>
      </c>
      <c r="K735" t="str">
        <f>IF(E735="","",INDEX(Knutepunkter!$D:$D,E735+1))</f>
        <v/>
      </c>
      <c r="L735" t="str">
        <f t="shared" si="58"/>
        <v/>
      </c>
      <c r="M735" t="str">
        <f t="shared" si="59"/>
        <v/>
      </c>
    </row>
    <row r="736" spans="1:13" x14ac:dyDescent="0.3">
      <c r="A736" t="str">
        <f>Segmenter!A736</f>
        <v/>
      </c>
      <c r="B736" t="str">
        <f>Segmenter!B736</f>
        <v/>
      </c>
      <c r="C736" t="str">
        <f t="shared" si="55"/>
        <v/>
      </c>
      <c r="D736" t="str">
        <f t="shared" si="56"/>
        <v/>
      </c>
      <c r="E736" t="str">
        <f t="shared" si="57"/>
        <v/>
      </c>
      <c r="F736" t="str">
        <f>IF(D736="","",INDEX(Knutepunkter!$B:$B,D736+1))</f>
        <v/>
      </c>
      <c r="G736" t="str">
        <f>IF(D736="","",INDEX(Knutepunkter!$C:$C,D736+1))</f>
        <v/>
      </c>
      <c r="H736" t="str">
        <f>IF(D736="","",INDEX(Knutepunkter!$D:$D,D736+1))</f>
        <v/>
      </c>
      <c r="I736" t="str">
        <f>IF(E736="","",INDEX(Knutepunkter!$B:$B,E736+1))</f>
        <v/>
      </c>
      <c r="J736" t="str">
        <f>IF(E736="","",INDEX(Knutepunkter!$C:$C,E736+1))</f>
        <v/>
      </c>
      <c r="K736" t="str">
        <f>IF(E736="","",INDEX(Knutepunkter!$D:$D,E736+1))</f>
        <v/>
      </c>
      <c r="L736" t="str">
        <f t="shared" si="58"/>
        <v/>
      </c>
      <c r="M736" t="str">
        <f t="shared" si="59"/>
        <v/>
      </c>
    </row>
    <row r="737" spans="1:13" x14ac:dyDescent="0.3">
      <c r="A737" t="str">
        <f>Segmenter!A737</f>
        <v/>
      </c>
      <c r="B737" t="str">
        <f>Segmenter!B737</f>
        <v/>
      </c>
      <c r="C737" t="str">
        <f t="shared" si="55"/>
        <v/>
      </c>
      <c r="D737" t="str">
        <f t="shared" si="56"/>
        <v/>
      </c>
      <c r="E737" t="str">
        <f t="shared" si="57"/>
        <v/>
      </c>
      <c r="F737" t="str">
        <f>IF(D737="","",INDEX(Knutepunkter!$B:$B,D737+1))</f>
        <v/>
      </c>
      <c r="G737" t="str">
        <f>IF(D737="","",INDEX(Knutepunkter!$C:$C,D737+1))</f>
        <v/>
      </c>
      <c r="H737" t="str">
        <f>IF(D737="","",INDEX(Knutepunkter!$D:$D,D737+1))</f>
        <v/>
      </c>
      <c r="I737" t="str">
        <f>IF(E737="","",INDEX(Knutepunkter!$B:$B,E737+1))</f>
        <v/>
      </c>
      <c r="J737" t="str">
        <f>IF(E737="","",INDEX(Knutepunkter!$C:$C,E737+1))</f>
        <v/>
      </c>
      <c r="K737" t="str">
        <f>IF(E737="","",INDEX(Knutepunkter!$D:$D,E737+1))</f>
        <v/>
      </c>
      <c r="L737" t="str">
        <f t="shared" si="58"/>
        <v/>
      </c>
      <c r="M737" t="str">
        <f t="shared" si="59"/>
        <v/>
      </c>
    </row>
    <row r="738" spans="1:13" x14ac:dyDescent="0.3">
      <c r="A738" t="str">
        <f>Segmenter!A738</f>
        <v/>
      </c>
      <c r="B738" t="str">
        <f>Segmenter!B738</f>
        <v/>
      </c>
      <c r="C738" t="str">
        <f t="shared" si="55"/>
        <v/>
      </c>
      <c r="D738" t="str">
        <f t="shared" si="56"/>
        <v/>
      </c>
      <c r="E738" t="str">
        <f t="shared" si="57"/>
        <v/>
      </c>
      <c r="F738" t="str">
        <f>IF(D738="","",INDEX(Knutepunkter!$B:$B,D738+1))</f>
        <v/>
      </c>
      <c r="G738" t="str">
        <f>IF(D738="","",INDEX(Knutepunkter!$C:$C,D738+1))</f>
        <v/>
      </c>
      <c r="H738" t="str">
        <f>IF(D738="","",INDEX(Knutepunkter!$D:$D,D738+1))</f>
        <v/>
      </c>
      <c r="I738" t="str">
        <f>IF(E738="","",INDEX(Knutepunkter!$B:$B,E738+1))</f>
        <v/>
      </c>
      <c r="J738" t="str">
        <f>IF(E738="","",INDEX(Knutepunkter!$C:$C,E738+1))</f>
        <v/>
      </c>
      <c r="K738" t="str">
        <f>IF(E738="","",INDEX(Knutepunkter!$D:$D,E738+1))</f>
        <v/>
      </c>
      <c r="L738" t="str">
        <f t="shared" si="58"/>
        <v/>
      </c>
      <c r="M738" t="str">
        <f t="shared" si="59"/>
        <v/>
      </c>
    </row>
    <row r="739" spans="1:13" x14ac:dyDescent="0.3">
      <c r="A739" t="str">
        <f>Segmenter!A739</f>
        <v/>
      </c>
      <c r="B739" t="str">
        <f>Segmenter!B739</f>
        <v/>
      </c>
      <c r="C739" t="str">
        <f t="shared" si="55"/>
        <v/>
      </c>
      <c r="D739" t="str">
        <f t="shared" si="56"/>
        <v/>
      </c>
      <c r="E739" t="str">
        <f t="shared" si="57"/>
        <v/>
      </c>
      <c r="F739" t="str">
        <f>IF(D739="","",INDEX(Knutepunkter!$B:$B,D739+1))</f>
        <v/>
      </c>
      <c r="G739" t="str">
        <f>IF(D739="","",INDEX(Knutepunkter!$C:$C,D739+1))</f>
        <v/>
      </c>
      <c r="H739" t="str">
        <f>IF(D739="","",INDEX(Knutepunkter!$D:$D,D739+1))</f>
        <v/>
      </c>
      <c r="I739" t="str">
        <f>IF(E739="","",INDEX(Knutepunkter!$B:$B,E739+1))</f>
        <v/>
      </c>
      <c r="J739" t="str">
        <f>IF(E739="","",INDEX(Knutepunkter!$C:$C,E739+1))</f>
        <v/>
      </c>
      <c r="K739" t="str">
        <f>IF(E739="","",INDEX(Knutepunkter!$D:$D,E739+1))</f>
        <v/>
      </c>
      <c r="L739" t="str">
        <f t="shared" si="58"/>
        <v/>
      </c>
      <c r="M739" t="str">
        <f t="shared" si="59"/>
        <v/>
      </c>
    </row>
    <row r="740" spans="1:13" x14ac:dyDescent="0.3">
      <c r="A740" t="str">
        <f>Segmenter!A740</f>
        <v/>
      </c>
      <c r="B740" t="str">
        <f>Segmenter!B740</f>
        <v/>
      </c>
      <c r="C740" t="str">
        <f t="shared" si="55"/>
        <v/>
      </c>
      <c r="D740" t="str">
        <f t="shared" si="56"/>
        <v/>
      </c>
      <c r="E740" t="str">
        <f t="shared" si="57"/>
        <v/>
      </c>
      <c r="F740" t="str">
        <f>IF(D740="","",INDEX(Knutepunkter!$B:$B,D740+1))</f>
        <v/>
      </c>
      <c r="G740" t="str">
        <f>IF(D740="","",INDEX(Knutepunkter!$C:$C,D740+1))</f>
        <v/>
      </c>
      <c r="H740" t="str">
        <f>IF(D740="","",INDEX(Knutepunkter!$D:$D,D740+1))</f>
        <v/>
      </c>
      <c r="I740" t="str">
        <f>IF(E740="","",INDEX(Knutepunkter!$B:$B,E740+1))</f>
        <v/>
      </c>
      <c r="J740" t="str">
        <f>IF(E740="","",INDEX(Knutepunkter!$C:$C,E740+1))</f>
        <v/>
      </c>
      <c r="K740" t="str">
        <f>IF(E740="","",INDEX(Knutepunkter!$D:$D,E740+1))</f>
        <v/>
      </c>
      <c r="L740" t="str">
        <f t="shared" si="58"/>
        <v/>
      </c>
      <c r="M740" t="str">
        <f t="shared" si="59"/>
        <v/>
      </c>
    </row>
    <row r="741" spans="1:13" x14ac:dyDescent="0.3">
      <c r="A741" t="str">
        <f>Segmenter!A741</f>
        <v/>
      </c>
      <c r="B741" t="str">
        <f>Segmenter!B741</f>
        <v/>
      </c>
      <c r="C741" t="str">
        <f t="shared" si="55"/>
        <v/>
      </c>
      <c r="D741" t="str">
        <f t="shared" si="56"/>
        <v/>
      </c>
      <c r="E741" t="str">
        <f t="shared" si="57"/>
        <v/>
      </c>
      <c r="F741" t="str">
        <f>IF(D741="","",INDEX(Knutepunkter!$B:$B,D741+1))</f>
        <v/>
      </c>
      <c r="G741" t="str">
        <f>IF(D741="","",INDEX(Knutepunkter!$C:$C,D741+1))</f>
        <v/>
      </c>
      <c r="H741" t="str">
        <f>IF(D741="","",INDEX(Knutepunkter!$D:$D,D741+1))</f>
        <v/>
      </c>
      <c r="I741" t="str">
        <f>IF(E741="","",INDEX(Knutepunkter!$B:$B,E741+1))</f>
        <v/>
      </c>
      <c r="J741" t="str">
        <f>IF(E741="","",INDEX(Knutepunkter!$C:$C,E741+1))</f>
        <v/>
      </c>
      <c r="K741" t="str">
        <f>IF(E741="","",INDEX(Knutepunkter!$D:$D,E741+1))</f>
        <v/>
      </c>
      <c r="L741" t="str">
        <f t="shared" si="58"/>
        <v/>
      </c>
      <c r="M741" t="str">
        <f t="shared" si="59"/>
        <v/>
      </c>
    </row>
    <row r="742" spans="1:13" x14ac:dyDescent="0.3">
      <c r="A742" t="str">
        <f>Segmenter!A742</f>
        <v/>
      </c>
      <c r="B742" t="str">
        <f>Segmenter!B742</f>
        <v/>
      </c>
      <c r="C742" t="str">
        <f t="shared" si="55"/>
        <v/>
      </c>
      <c r="D742" t="str">
        <f t="shared" si="56"/>
        <v/>
      </c>
      <c r="E742" t="str">
        <f t="shared" si="57"/>
        <v/>
      </c>
      <c r="F742" t="str">
        <f>IF(D742="","",INDEX(Knutepunkter!$B:$B,D742+1))</f>
        <v/>
      </c>
      <c r="G742" t="str">
        <f>IF(D742="","",INDEX(Knutepunkter!$C:$C,D742+1))</f>
        <v/>
      </c>
      <c r="H742" t="str">
        <f>IF(D742="","",INDEX(Knutepunkter!$D:$D,D742+1))</f>
        <v/>
      </c>
      <c r="I742" t="str">
        <f>IF(E742="","",INDEX(Knutepunkter!$B:$B,E742+1))</f>
        <v/>
      </c>
      <c r="J742" t="str">
        <f>IF(E742="","",INDEX(Knutepunkter!$C:$C,E742+1))</f>
        <v/>
      </c>
      <c r="K742" t="str">
        <f>IF(E742="","",INDEX(Knutepunkter!$D:$D,E742+1))</f>
        <v/>
      </c>
      <c r="L742" t="str">
        <f t="shared" si="58"/>
        <v/>
      </c>
      <c r="M742" t="str">
        <f t="shared" si="59"/>
        <v/>
      </c>
    </row>
    <row r="743" spans="1:13" x14ac:dyDescent="0.3">
      <c r="A743" t="str">
        <f>Segmenter!A743</f>
        <v/>
      </c>
      <c r="B743" t="str">
        <f>Segmenter!B743</f>
        <v/>
      </c>
      <c r="C743" t="str">
        <f t="shared" si="55"/>
        <v/>
      </c>
      <c r="D743" t="str">
        <f t="shared" si="56"/>
        <v/>
      </c>
      <c r="E743" t="str">
        <f t="shared" si="57"/>
        <v/>
      </c>
      <c r="F743" t="str">
        <f>IF(D743="","",INDEX(Knutepunkter!$B:$B,D743+1))</f>
        <v/>
      </c>
      <c r="G743" t="str">
        <f>IF(D743="","",INDEX(Knutepunkter!$C:$C,D743+1))</f>
        <v/>
      </c>
      <c r="H743" t="str">
        <f>IF(D743="","",INDEX(Knutepunkter!$D:$D,D743+1))</f>
        <v/>
      </c>
      <c r="I743" t="str">
        <f>IF(E743="","",INDEX(Knutepunkter!$B:$B,E743+1))</f>
        <v/>
      </c>
      <c r="J743" t="str">
        <f>IF(E743="","",INDEX(Knutepunkter!$C:$C,E743+1))</f>
        <v/>
      </c>
      <c r="K743" t="str">
        <f>IF(E743="","",INDEX(Knutepunkter!$D:$D,E743+1))</f>
        <v/>
      </c>
      <c r="L743" t="str">
        <f t="shared" si="58"/>
        <v/>
      </c>
      <c r="M743" t="str">
        <f t="shared" si="59"/>
        <v/>
      </c>
    </row>
    <row r="744" spans="1:13" x14ac:dyDescent="0.3">
      <c r="A744" t="str">
        <f>Segmenter!A744</f>
        <v/>
      </c>
      <c r="B744" t="str">
        <f>Segmenter!B744</f>
        <v/>
      </c>
      <c r="C744" t="str">
        <f t="shared" si="55"/>
        <v/>
      </c>
      <c r="D744" t="str">
        <f t="shared" si="56"/>
        <v/>
      </c>
      <c r="E744" t="str">
        <f t="shared" si="57"/>
        <v/>
      </c>
      <c r="F744" t="str">
        <f>IF(D744="","",INDEX(Knutepunkter!$B:$B,D744+1))</f>
        <v/>
      </c>
      <c r="G744" t="str">
        <f>IF(D744="","",INDEX(Knutepunkter!$C:$C,D744+1))</f>
        <v/>
      </c>
      <c r="H744" t="str">
        <f>IF(D744="","",INDEX(Knutepunkter!$D:$D,D744+1))</f>
        <v/>
      </c>
      <c r="I744" t="str">
        <f>IF(E744="","",INDEX(Knutepunkter!$B:$B,E744+1))</f>
        <v/>
      </c>
      <c r="J744" t="str">
        <f>IF(E744="","",INDEX(Knutepunkter!$C:$C,E744+1))</f>
        <v/>
      </c>
      <c r="K744" t="str">
        <f>IF(E744="","",INDEX(Knutepunkter!$D:$D,E744+1))</f>
        <v/>
      </c>
      <c r="L744" t="str">
        <f t="shared" si="58"/>
        <v/>
      </c>
      <c r="M744" t="str">
        <f t="shared" si="59"/>
        <v/>
      </c>
    </row>
    <row r="745" spans="1:13" x14ac:dyDescent="0.3">
      <c r="A745" t="str">
        <f>Segmenter!A745</f>
        <v/>
      </c>
      <c r="B745" t="str">
        <f>Segmenter!B745</f>
        <v/>
      </c>
      <c r="C745" t="str">
        <f t="shared" si="55"/>
        <v/>
      </c>
      <c r="D745" t="str">
        <f t="shared" si="56"/>
        <v/>
      </c>
      <c r="E745" t="str">
        <f t="shared" si="57"/>
        <v/>
      </c>
      <c r="F745" t="str">
        <f>IF(D745="","",INDEX(Knutepunkter!$B:$B,D745+1))</f>
        <v/>
      </c>
      <c r="G745" t="str">
        <f>IF(D745="","",INDEX(Knutepunkter!$C:$C,D745+1))</f>
        <v/>
      </c>
      <c r="H745" t="str">
        <f>IF(D745="","",INDEX(Knutepunkter!$D:$D,D745+1))</f>
        <v/>
      </c>
      <c r="I745" t="str">
        <f>IF(E745="","",INDEX(Knutepunkter!$B:$B,E745+1))</f>
        <v/>
      </c>
      <c r="J745" t="str">
        <f>IF(E745="","",INDEX(Knutepunkter!$C:$C,E745+1))</f>
        <v/>
      </c>
      <c r="K745" t="str">
        <f>IF(E745="","",INDEX(Knutepunkter!$D:$D,E745+1))</f>
        <v/>
      </c>
      <c r="L745" t="str">
        <f t="shared" si="58"/>
        <v/>
      </c>
      <c r="M745" t="str">
        <f t="shared" si="59"/>
        <v/>
      </c>
    </row>
    <row r="746" spans="1:13" x14ac:dyDescent="0.3">
      <c r="A746" t="str">
        <f>Segmenter!A746</f>
        <v/>
      </c>
      <c r="B746" t="str">
        <f>Segmenter!B746</f>
        <v/>
      </c>
      <c r="C746" t="str">
        <f t="shared" si="55"/>
        <v/>
      </c>
      <c r="D746" t="str">
        <f t="shared" si="56"/>
        <v/>
      </c>
      <c r="E746" t="str">
        <f t="shared" si="57"/>
        <v/>
      </c>
      <c r="F746" t="str">
        <f>IF(D746="","",INDEX(Knutepunkter!$B:$B,D746+1))</f>
        <v/>
      </c>
      <c r="G746" t="str">
        <f>IF(D746="","",INDEX(Knutepunkter!$C:$C,D746+1))</f>
        <v/>
      </c>
      <c r="H746" t="str">
        <f>IF(D746="","",INDEX(Knutepunkter!$D:$D,D746+1))</f>
        <v/>
      </c>
      <c r="I746" t="str">
        <f>IF(E746="","",INDEX(Knutepunkter!$B:$B,E746+1))</f>
        <v/>
      </c>
      <c r="J746" t="str">
        <f>IF(E746="","",INDEX(Knutepunkter!$C:$C,E746+1))</f>
        <v/>
      </c>
      <c r="K746" t="str">
        <f>IF(E746="","",INDEX(Knutepunkter!$D:$D,E746+1))</f>
        <v/>
      </c>
      <c r="L746" t="str">
        <f t="shared" si="58"/>
        <v/>
      </c>
      <c r="M746" t="str">
        <f t="shared" si="59"/>
        <v/>
      </c>
    </row>
    <row r="747" spans="1:13" x14ac:dyDescent="0.3">
      <c r="A747" t="str">
        <f>Segmenter!A747</f>
        <v/>
      </c>
      <c r="B747" t="str">
        <f>Segmenter!B747</f>
        <v/>
      </c>
      <c r="C747" t="str">
        <f t="shared" si="55"/>
        <v/>
      </c>
      <c r="D747" t="str">
        <f t="shared" si="56"/>
        <v/>
      </c>
      <c r="E747" t="str">
        <f t="shared" si="57"/>
        <v/>
      </c>
      <c r="F747" t="str">
        <f>IF(D747="","",INDEX(Knutepunkter!$B:$B,D747+1))</f>
        <v/>
      </c>
      <c r="G747" t="str">
        <f>IF(D747="","",INDEX(Knutepunkter!$C:$C,D747+1))</f>
        <v/>
      </c>
      <c r="H747" t="str">
        <f>IF(D747="","",INDEX(Knutepunkter!$D:$D,D747+1))</f>
        <v/>
      </c>
      <c r="I747" t="str">
        <f>IF(E747="","",INDEX(Knutepunkter!$B:$B,E747+1))</f>
        <v/>
      </c>
      <c r="J747" t="str">
        <f>IF(E747="","",INDEX(Knutepunkter!$C:$C,E747+1))</f>
        <v/>
      </c>
      <c r="K747" t="str">
        <f>IF(E747="","",INDEX(Knutepunkter!$D:$D,E747+1))</f>
        <v/>
      </c>
      <c r="L747" t="str">
        <f t="shared" si="58"/>
        <v/>
      </c>
      <c r="M747" t="str">
        <f t="shared" si="59"/>
        <v/>
      </c>
    </row>
    <row r="748" spans="1:13" x14ac:dyDescent="0.3">
      <c r="A748" t="str">
        <f>Segmenter!A748</f>
        <v/>
      </c>
      <c r="B748" t="str">
        <f>Segmenter!B748</f>
        <v/>
      </c>
      <c r="C748" t="str">
        <f t="shared" si="55"/>
        <v/>
      </c>
      <c r="D748" t="str">
        <f t="shared" si="56"/>
        <v/>
      </c>
      <c r="E748" t="str">
        <f t="shared" si="57"/>
        <v/>
      </c>
      <c r="F748" t="str">
        <f>IF(D748="","",INDEX(Knutepunkter!$B:$B,D748+1))</f>
        <v/>
      </c>
      <c r="G748" t="str">
        <f>IF(D748="","",INDEX(Knutepunkter!$C:$C,D748+1))</f>
        <v/>
      </c>
      <c r="H748" t="str">
        <f>IF(D748="","",INDEX(Knutepunkter!$D:$D,D748+1))</f>
        <v/>
      </c>
      <c r="I748" t="str">
        <f>IF(E748="","",INDEX(Knutepunkter!$B:$B,E748+1))</f>
        <v/>
      </c>
      <c r="J748" t="str">
        <f>IF(E748="","",INDEX(Knutepunkter!$C:$C,E748+1))</f>
        <v/>
      </c>
      <c r="K748" t="str">
        <f>IF(E748="","",INDEX(Knutepunkter!$D:$D,E748+1))</f>
        <v/>
      </c>
      <c r="L748" t="str">
        <f t="shared" si="58"/>
        <v/>
      </c>
      <c r="M748" t="str">
        <f t="shared" si="59"/>
        <v/>
      </c>
    </row>
    <row r="749" spans="1:13" x14ac:dyDescent="0.3">
      <c r="A749" t="str">
        <f>Segmenter!A749</f>
        <v/>
      </c>
      <c r="B749" t="str">
        <f>Segmenter!B749</f>
        <v/>
      </c>
      <c r="C749" t="str">
        <f t="shared" si="55"/>
        <v/>
      </c>
      <c r="D749" t="str">
        <f t="shared" si="56"/>
        <v/>
      </c>
      <c r="E749" t="str">
        <f t="shared" si="57"/>
        <v/>
      </c>
      <c r="F749" t="str">
        <f>IF(D749="","",INDEX(Knutepunkter!$B:$B,D749+1))</f>
        <v/>
      </c>
      <c r="G749" t="str">
        <f>IF(D749="","",INDEX(Knutepunkter!$C:$C,D749+1))</f>
        <v/>
      </c>
      <c r="H749" t="str">
        <f>IF(D749="","",INDEX(Knutepunkter!$D:$D,D749+1))</f>
        <v/>
      </c>
      <c r="I749" t="str">
        <f>IF(E749="","",INDEX(Knutepunkter!$B:$B,E749+1))</f>
        <v/>
      </c>
      <c r="J749" t="str">
        <f>IF(E749="","",INDEX(Knutepunkter!$C:$C,E749+1))</f>
        <v/>
      </c>
      <c r="K749" t="str">
        <f>IF(E749="","",INDEX(Knutepunkter!$D:$D,E749+1))</f>
        <v/>
      </c>
      <c r="L749" t="str">
        <f t="shared" si="58"/>
        <v/>
      </c>
      <c r="M749" t="str">
        <f t="shared" si="59"/>
        <v/>
      </c>
    </row>
    <row r="750" spans="1:13" x14ac:dyDescent="0.3">
      <c r="A750" t="str">
        <f>Segmenter!A750</f>
        <v/>
      </c>
      <c r="B750" t="str">
        <f>Segmenter!B750</f>
        <v/>
      </c>
      <c r="C750" t="str">
        <f t="shared" si="55"/>
        <v/>
      </c>
      <c r="D750" t="str">
        <f t="shared" si="56"/>
        <v/>
      </c>
      <c r="E750" t="str">
        <f t="shared" si="57"/>
        <v/>
      </c>
      <c r="F750" t="str">
        <f>IF(D750="","",INDEX(Knutepunkter!$B:$B,D750+1))</f>
        <v/>
      </c>
      <c r="G750" t="str">
        <f>IF(D750="","",INDEX(Knutepunkter!$C:$C,D750+1))</f>
        <v/>
      </c>
      <c r="H750" t="str">
        <f>IF(D750="","",INDEX(Knutepunkter!$D:$D,D750+1))</f>
        <v/>
      </c>
      <c r="I750" t="str">
        <f>IF(E750="","",INDEX(Knutepunkter!$B:$B,E750+1))</f>
        <v/>
      </c>
      <c r="J750" t="str">
        <f>IF(E750="","",INDEX(Knutepunkter!$C:$C,E750+1))</f>
        <v/>
      </c>
      <c r="K750" t="str">
        <f>IF(E750="","",INDEX(Knutepunkter!$D:$D,E750+1))</f>
        <v/>
      </c>
      <c r="L750" t="str">
        <f t="shared" si="58"/>
        <v/>
      </c>
      <c r="M750" t="str">
        <f t="shared" si="59"/>
        <v/>
      </c>
    </row>
    <row r="751" spans="1:13" x14ac:dyDescent="0.3">
      <c r="A751" t="str">
        <f>Segmenter!A751</f>
        <v/>
      </c>
      <c r="B751" t="str">
        <f>Segmenter!B751</f>
        <v/>
      </c>
      <c r="C751" t="str">
        <f t="shared" si="55"/>
        <v/>
      </c>
      <c r="D751" t="str">
        <f t="shared" si="56"/>
        <v/>
      </c>
      <c r="E751" t="str">
        <f t="shared" si="57"/>
        <v/>
      </c>
      <c r="F751" t="str">
        <f>IF(D751="","",INDEX(Knutepunkter!$B:$B,D751+1))</f>
        <v/>
      </c>
      <c r="G751" t="str">
        <f>IF(D751="","",INDEX(Knutepunkter!$C:$C,D751+1))</f>
        <v/>
      </c>
      <c r="H751" t="str">
        <f>IF(D751="","",INDEX(Knutepunkter!$D:$D,D751+1))</f>
        <v/>
      </c>
      <c r="I751" t="str">
        <f>IF(E751="","",INDEX(Knutepunkter!$B:$B,E751+1))</f>
        <v/>
      </c>
      <c r="J751" t="str">
        <f>IF(E751="","",INDEX(Knutepunkter!$C:$C,E751+1))</f>
        <v/>
      </c>
      <c r="K751" t="str">
        <f>IF(E751="","",INDEX(Knutepunkter!$D:$D,E751+1))</f>
        <v/>
      </c>
      <c r="L751" t="str">
        <f t="shared" si="58"/>
        <v/>
      </c>
      <c r="M751" t="str">
        <f t="shared" si="59"/>
        <v/>
      </c>
    </row>
    <row r="752" spans="1:13" x14ac:dyDescent="0.3">
      <c r="A752" t="str">
        <f>Segmenter!A752</f>
        <v/>
      </c>
      <c r="B752" t="str">
        <f>Segmenter!B752</f>
        <v/>
      </c>
      <c r="C752" t="str">
        <f t="shared" si="55"/>
        <v/>
      </c>
      <c r="D752" t="str">
        <f t="shared" si="56"/>
        <v/>
      </c>
      <c r="E752" t="str">
        <f t="shared" si="57"/>
        <v/>
      </c>
      <c r="F752" t="str">
        <f>IF(D752="","",INDEX(Knutepunkter!$B:$B,D752+1))</f>
        <v/>
      </c>
      <c r="G752" t="str">
        <f>IF(D752="","",INDEX(Knutepunkter!$C:$C,D752+1))</f>
        <v/>
      </c>
      <c r="H752" t="str">
        <f>IF(D752="","",INDEX(Knutepunkter!$D:$D,D752+1))</f>
        <v/>
      </c>
      <c r="I752" t="str">
        <f>IF(E752="","",INDEX(Knutepunkter!$B:$B,E752+1))</f>
        <v/>
      </c>
      <c r="J752" t="str">
        <f>IF(E752="","",INDEX(Knutepunkter!$C:$C,E752+1))</f>
        <v/>
      </c>
      <c r="K752" t="str">
        <f>IF(E752="","",INDEX(Knutepunkter!$D:$D,E752+1))</f>
        <v/>
      </c>
      <c r="L752" t="str">
        <f t="shared" si="58"/>
        <v/>
      </c>
      <c r="M752" t="str">
        <f t="shared" si="59"/>
        <v/>
      </c>
    </row>
    <row r="753" spans="1:13" x14ac:dyDescent="0.3">
      <c r="A753" t="str">
        <f>Segmenter!A753</f>
        <v/>
      </c>
      <c r="B753" t="str">
        <f>Segmenter!B753</f>
        <v/>
      </c>
      <c r="C753" t="str">
        <f t="shared" si="55"/>
        <v/>
      </c>
      <c r="D753" t="str">
        <f t="shared" si="56"/>
        <v/>
      </c>
      <c r="E753" t="str">
        <f t="shared" si="57"/>
        <v/>
      </c>
      <c r="F753" t="str">
        <f>IF(D753="","",INDEX(Knutepunkter!$B:$B,D753+1))</f>
        <v/>
      </c>
      <c r="G753" t="str">
        <f>IF(D753="","",INDEX(Knutepunkter!$C:$C,D753+1))</f>
        <v/>
      </c>
      <c r="H753" t="str">
        <f>IF(D753="","",INDEX(Knutepunkter!$D:$D,D753+1))</f>
        <v/>
      </c>
      <c r="I753" t="str">
        <f>IF(E753="","",INDEX(Knutepunkter!$B:$B,E753+1))</f>
        <v/>
      </c>
      <c r="J753" t="str">
        <f>IF(E753="","",INDEX(Knutepunkter!$C:$C,E753+1))</f>
        <v/>
      </c>
      <c r="K753" t="str">
        <f>IF(E753="","",INDEX(Knutepunkter!$D:$D,E753+1))</f>
        <v/>
      </c>
      <c r="L753" t="str">
        <f t="shared" si="58"/>
        <v/>
      </c>
      <c r="M753" t="str">
        <f t="shared" si="59"/>
        <v/>
      </c>
    </row>
    <row r="754" spans="1:13" x14ac:dyDescent="0.3">
      <c r="A754" t="str">
        <f>Segmenter!A754</f>
        <v/>
      </c>
      <c r="B754" t="str">
        <f>Segmenter!B754</f>
        <v/>
      </c>
      <c r="C754" t="str">
        <f t="shared" si="55"/>
        <v/>
      </c>
      <c r="D754" t="str">
        <f t="shared" si="56"/>
        <v/>
      </c>
      <c r="E754" t="str">
        <f t="shared" si="57"/>
        <v/>
      </c>
      <c r="F754" t="str">
        <f>IF(D754="","",INDEX(Knutepunkter!$B:$B,D754+1))</f>
        <v/>
      </c>
      <c r="G754" t="str">
        <f>IF(D754="","",INDEX(Knutepunkter!$C:$C,D754+1))</f>
        <v/>
      </c>
      <c r="H754" t="str">
        <f>IF(D754="","",INDEX(Knutepunkter!$D:$D,D754+1))</f>
        <v/>
      </c>
      <c r="I754" t="str">
        <f>IF(E754="","",INDEX(Knutepunkter!$B:$B,E754+1))</f>
        <v/>
      </c>
      <c r="J754" t="str">
        <f>IF(E754="","",INDEX(Knutepunkter!$C:$C,E754+1))</f>
        <v/>
      </c>
      <c r="K754" t="str">
        <f>IF(E754="","",INDEX(Knutepunkter!$D:$D,E754+1))</f>
        <v/>
      </c>
      <c r="L754" t="str">
        <f t="shared" si="58"/>
        <v/>
      </c>
      <c r="M754" t="str">
        <f t="shared" si="59"/>
        <v/>
      </c>
    </row>
    <row r="755" spans="1:13" x14ac:dyDescent="0.3">
      <c r="A755" t="str">
        <f>Segmenter!A755</f>
        <v/>
      </c>
      <c r="B755" t="str">
        <f>Segmenter!B755</f>
        <v/>
      </c>
      <c r="C755" t="str">
        <f t="shared" si="55"/>
        <v/>
      </c>
      <c r="D755" t="str">
        <f t="shared" si="56"/>
        <v/>
      </c>
      <c r="E755" t="str">
        <f t="shared" si="57"/>
        <v/>
      </c>
      <c r="F755" t="str">
        <f>IF(D755="","",INDEX(Knutepunkter!$B:$B,D755+1))</f>
        <v/>
      </c>
      <c r="G755" t="str">
        <f>IF(D755="","",INDEX(Knutepunkter!$C:$C,D755+1))</f>
        <v/>
      </c>
      <c r="H755" t="str">
        <f>IF(D755="","",INDEX(Knutepunkter!$D:$D,D755+1))</f>
        <v/>
      </c>
      <c r="I755" t="str">
        <f>IF(E755="","",INDEX(Knutepunkter!$B:$B,E755+1))</f>
        <v/>
      </c>
      <c r="J755" t="str">
        <f>IF(E755="","",INDEX(Knutepunkter!$C:$C,E755+1))</f>
        <v/>
      </c>
      <c r="K755" t="str">
        <f>IF(E755="","",INDEX(Knutepunkter!$D:$D,E755+1))</f>
        <v/>
      </c>
      <c r="L755" t="str">
        <f t="shared" si="58"/>
        <v/>
      </c>
      <c r="M755" t="str">
        <f t="shared" si="59"/>
        <v/>
      </c>
    </row>
    <row r="756" spans="1:13" x14ac:dyDescent="0.3">
      <c r="A756" t="str">
        <f>Segmenter!A756</f>
        <v/>
      </c>
      <c r="B756" t="str">
        <f>Segmenter!B756</f>
        <v/>
      </c>
      <c r="C756" t="str">
        <f t="shared" si="55"/>
        <v/>
      </c>
      <c r="D756" t="str">
        <f t="shared" si="56"/>
        <v/>
      </c>
      <c r="E756" t="str">
        <f t="shared" si="57"/>
        <v/>
      </c>
      <c r="F756" t="str">
        <f>IF(D756="","",INDEX(Knutepunkter!$B:$B,D756+1))</f>
        <v/>
      </c>
      <c r="G756" t="str">
        <f>IF(D756="","",INDEX(Knutepunkter!$C:$C,D756+1))</f>
        <v/>
      </c>
      <c r="H756" t="str">
        <f>IF(D756="","",INDEX(Knutepunkter!$D:$D,D756+1))</f>
        <v/>
      </c>
      <c r="I756" t="str">
        <f>IF(E756="","",INDEX(Knutepunkter!$B:$B,E756+1))</f>
        <v/>
      </c>
      <c r="J756" t="str">
        <f>IF(E756="","",INDEX(Knutepunkter!$C:$C,E756+1))</f>
        <v/>
      </c>
      <c r="K756" t="str">
        <f>IF(E756="","",INDEX(Knutepunkter!$D:$D,E756+1))</f>
        <v/>
      </c>
      <c r="L756" t="str">
        <f t="shared" si="58"/>
        <v/>
      </c>
      <c r="M756" t="str">
        <f t="shared" si="59"/>
        <v/>
      </c>
    </row>
    <row r="757" spans="1:13" x14ac:dyDescent="0.3">
      <c r="A757" t="str">
        <f>Segmenter!A757</f>
        <v/>
      </c>
      <c r="B757" t="str">
        <f>Segmenter!B757</f>
        <v/>
      </c>
      <c r="C757" t="str">
        <f t="shared" si="55"/>
        <v/>
      </c>
      <c r="D757" t="str">
        <f t="shared" si="56"/>
        <v/>
      </c>
      <c r="E757" t="str">
        <f t="shared" si="57"/>
        <v/>
      </c>
      <c r="F757" t="str">
        <f>IF(D757="","",INDEX(Knutepunkter!$B:$B,D757+1))</f>
        <v/>
      </c>
      <c r="G757" t="str">
        <f>IF(D757="","",INDEX(Knutepunkter!$C:$C,D757+1))</f>
        <v/>
      </c>
      <c r="H757" t="str">
        <f>IF(D757="","",INDEX(Knutepunkter!$D:$D,D757+1))</f>
        <v/>
      </c>
      <c r="I757" t="str">
        <f>IF(E757="","",INDEX(Knutepunkter!$B:$B,E757+1))</f>
        <v/>
      </c>
      <c r="J757" t="str">
        <f>IF(E757="","",INDEX(Knutepunkter!$C:$C,E757+1))</f>
        <v/>
      </c>
      <c r="K757" t="str">
        <f>IF(E757="","",INDEX(Knutepunkter!$D:$D,E757+1))</f>
        <v/>
      </c>
      <c r="L757" t="str">
        <f t="shared" si="58"/>
        <v/>
      </c>
      <c r="M757" t="str">
        <f t="shared" si="59"/>
        <v/>
      </c>
    </row>
    <row r="758" spans="1:13" x14ac:dyDescent="0.3">
      <c r="A758" t="str">
        <f>Segmenter!A758</f>
        <v/>
      </c>
      <c r="B758" t="str">
        <f>Segmenter!B758</f>
        <v/>
      </c>
      <c r="C758" t="str">
        <f t="shared" si="55"/>
        <v/>
      </c>
      <c r="D758" t="str">
        <f t="shared" si="56"/>
        <v/>
      </c>
      <c r="E758" t="str">
        <f t="shared" si="57"/>
        <v/>
      </c>
      <c r="F758" t="str">
        <f>IF(D758="","",INDEX(Knutepunkter!$B:$B,D758+1))</f>
        <v/>
      </c>
      <c r="G758" t="str">
        <f>IF(D758="","",INDEX(Knutepunkter!$C:$C,D758+1))</f>
        <v/>
      </c>
      <c r="H758" t="str">
        <f>IF(D758="","",INDEX(Knutepunkter!$D:$D,D758+1))</f>
        <v/>
      </c>
      <c r="I758" t="str">
        <f>IF(E758="","",INDEX(Knutepunkter!$B:$B,E758+1))</f>
        <v/>
      </c>
      <c r="J758" t="str">
        <f>IF(E758="","",INDEX(Knutepunkter!$C:$C,E758+1))</f>
        <v/>
      </c>
      <c r="K758" t="str">
        <f>IF(E758="","",INDEX(Knutepunkter!$D:$D,E758+1))</f>
        <v/>
      </c>
      <c r="L758" t="str">
        <f t="shared" si="58"/>
        <v/>
      </c>
      <c r="M758" t="str">
        <f t="shared" si="59"/>
        <v/>
      </c>
    </row>
    <row r="759" spans="1:13" x14ac:dyDescent="0.3">
      <c r="A759" t="str">
        <f>Segmenter!A759</f>
        <v/>
      </c>
      <c r="B759" t="str">
        <f>Segmenter!B759</f>
        <v/>
      </c>
      <c r="C759" t="str">
        <f t="shared" si="55"/>
        <v/>
      </c>
      <c r="D759" t="str">
        <f t="shared" si="56"/>
        <v/>
      </c>
      <c r="E759" t="str">
        <f t="shared" si="57"/>
        <v/>
      </c>
      <c r="F759" t="str">
        <f>IF(D759="","",INDEX(Knutepunkter!$B:$B,D759+1))</f>
        <v/>
      </c>
      <c r="G759" t="str">
        <f>IF(D759="","",INDEX(Knutepunkter!$C:$C,D759+1))</f>
        <v/>
      </c>
      <c r="H759" t="str">
        <f>IF(D759="","",INDEX(Knutepunkter!$D:$D,D759+1))</f>
        <v/>
      </c>
      <c r="I759" t="str">
        <f>IF(E759="","",INDEX(Knutepunkter!$B:$B,E759+1))</f>
        <v/>
      </c>
      <c r="J759" t="str">
        <f>IF(E759="","",INDEX(Knutepunkter!$C:$C,E759+1))</f>
        <v/>
      </c>
      <c r="K759" t="str">
        <f>IF(E759="","",INDEX(Knutepunkter!$D:$D,E759+1))</f>
        <v/>
      </c>
      <c r="L759" t="str">
        <f t="shared" si="58"/>
        <v/>
      </c>
      <c r="M759" t="str">
        <f t="shared" si="59"/>
        <v/>
      </c>
    </row>
    <row r="760" spans="1:13" x14ac:dyDescent="0.3">
      <c r="A760" t="str">
        <f>Segmenter!A760</f>
        <v/>
      </c>
      <c r="B760" t="str">
        <f>Segmenter!B760</f>
        <v/>
      </c>
      <c r="C760" t="str">
        <f t="shared" si="55"/>
        <v/>
      </c>
      <c r="D760" t="str">
        <f t="shared" si="56"/>
        <v/>
      </c>
      <c r="E760" t="str">
        <f t="shared" si="57"/>
        <v/>
      </c>
      <c r="F760" t="str">
        <f>IF(D760="","",INDEX(Knutepunkter!$B:$B,D760+1))</f>
        <v/>
      </c>
      <c r="G760" t="str">
        <f>IF(D760="","",INDEX(Knutepunkter!$C:$C,D760+1))</f>
        <v/>
      </c>
      <c r="H760" t="str">
        <f>IF(D760="","",INDEX(Knutepunkter!$D:$D,D760+1))</f>
        <v/>
      </c>
      <c r="I760" t="str">
        <f>IF(E760="","",INDEX(Knutepunkter!$B:$B,E760+1))</f>
        <v/>
      </c>
      <c r="J760" t="str">
        <f>IF(E760="","",INDEX(Knutepunkter!$C:$C,E760+1))</f>
        <v/>
      </c>
      <c r="K760" t="str">
        <f>IF(E760="","",INDEX(Knutepunkter!$D:$D,E760+1))</f>
        <v/>
      </c>
      <c r="L760" t="str">
        <f t="shared" si="58"/>
        <v/>
      </c>
      <c r="M760" t="str">
        <f t="shared" si="59"/>
        <v/>
      </c>
    </row>
    <row r="761" spans="1:13" x14ac:dyDescent="0.3">
      <c r="A761" t="str">
        <f>Segmenter!A761</f>
        <v/>
      </c>
      <c r="B761" t="str">
        <f>Segmenter!B761</f>
        <v/>
      </c>
      <c r="C761" t="str">
        <f t="shared" si="55"/>
        <v/>
      </c>
      <c r="D761" t="str">
        <f t="shared" si="56"/>
        <v/>
      </c>
      <c r="E761" t="str">
        <f t="shared" si="57"/>
        <v/>
      </c>
      <c r="F761" t="str">
        <f>IF(D761="","",INDEX(Knutepunkter!$B:$B,D761+1))</f>
        <v/>
      </c>
      <c r="G761" t="str">
        <f>IF(D761="","",INDEX(Knutepunkter!$C:$C,D761+1))</f>
        <v/>
      </c>
      <c r="H761" t="str">
        <f>IF(D761="","",INDEX(Knutepunkter!$D:$D,D761+1))</f>
        <v/>
      </c>
      <c r="I761" t="str">
        <f>IF(E761="","",INDEX(Knutepunkter!$B:$B,E761+1))</f>
        <v/>
      </c>
      <c r="J761" t="str">
        <f>IF(E761="","",INDEX(Knutepunkter!$C:$C,E761+1))</f>
        <v/>
      </c>
      <c r="K761" t="str">
        <f>IF(E761="","",INDEX(Knutepunkter!$D:$D,E761+1))</f>
        <v/>
      </c>
      <c r="L761" t="str">
        <f t="shared" si="58"/>
        <v/>
      </c>
      <c r="M761" t="str">
        <f t="shared" si="59"/>
        <v/>
      </c>
    </row>
    <row r="762" spans="1:13" x14ac:dyDescent="0.3">
      <c r="A762" t="str">
        <f>Segmenter!A762</f>
        <v/>
      </c>
      <c r="B762" t="str">
        <f>Segmenter!B762</f>
        <v/>
      </c>
      <c r="C762" t="str">
        <f t="shared" si="55"/>
        <v/>
      </c>
      <c r="D762" t="str">
        <f t="shared" si="56"/>
        <v/>
      </c>
      <c r="E762" t="str">
        <f t="shared" si="57"/>
        <v/>
      </c>
      <c r="F762" t="str">
        <f>IF(D762="","",INDEX(Knutepunkter!$B:$B,D762+1))</f>
        <v/>
      </c>
      <c r="G762" t="str">
        <f>IF(D762="","",INDEX(Knutepunkter!$C:$C,D762+1))</f>
        <v/>
      </c>
      <c r="H762" t="str">
        <f>IF(D762="","",INDEX(Knutepunkter!$D:$D,D762+1))</f>
        <v/>
      </c>
      <c r="I762" t="str">
        <f>IF(E762="","",INDEX(Knutepunkter!$B:$B,E762+1))</f>
        <v/>
      </c>
      <c r="J762" t="str">
        <f>IF(E762="","",INDEX(Knutepunkter!$C:$C,E762+1))</f>
        <v/>
      </c>
      <c r="K762" t="str">
        <f>IF(E762="","",INDEX(Knutepunkter!$D:$D,E762+1))</f>
        <v/>
      </c>
      <c r="L762" t="str">
        <f t="shared" si="58"/>
        <v/>
      </c>
      <c r="M762" t="str">
        <f t="shared" si="59"/>
        <v/>
      </c>
    </row>
    <row r="763" spans="1:13" x14ac:dyDescent="0.3">
      <c r="A763" t="str">
        <f>Segmenter!A763</f>
        <v/>
      </c>
      <c r="B763" t="str">
        <f>Segmenter!B763</f>
        <v/>
      </c>
      <c r="C763" t="str">
        <f t="shared" si="55"/>
        <v/>
      </c>
      <c r="D763" t="str">
        <f t="shared" si="56"/>
        <v/>
      </c>
      <c r="E763" t="str">
        <f t="shared" si="57"/>
        <v/>
      </c>
      <c r="F763" t="str">
        <f>IF(D763="","",INDEX(Knutepunkter!$B:$B,D763+1))</f>
        <v/>
      </c>
      <c r="G763" t="str">
        <f>IF(D763="","",INDEX(Knutepunkter!$C:$C,D763+1))</f>
        <v/>
      </c>
      <c r="H763" t="str">
        <f>IF(D763="","",INDEX(Knutepunkter!$D:$D,D763+1))</f>
        <v/>
      </c>
      <c r="I763" t="str">
        <f>IF(E763="","",INDEX(Knutepunkter!$B:$B,E763+1))</f>
        <v/>
      </c>
      <c r="J763" t="str">
        <f>IF(E763="","",INDEX(Knutepunkter!$C:$C,E763+1))</f>
        <v/>
      </c>
      <c r="K763" t="str">
        <f>IF(E763="","",INDEX(Knutepunkter!$D:$D,E763+1))</f>
        <v/>
      </c>
      <c r="L763" t="str">
        <f t="shared" si="58"/>
        <v/>
      </c>
      <c r="M763" t="str">
        <f t="shared" si="59"/>
        <v/>
      </c>
    </row>
    <row r="764" spans="1:13" x14ac:dyDescent="0.3">
      <c r="A764" t="str">
        <f>Segmenter!A764</f>
        <v/>
      </c>
      <c r="B764" t="str">
        <f>Segmenter!B764</f>
        <v/>
      </c>
      <c r="C764" t="str">
        <f t="shared" si="55"/>
        <v/>
      </c>
      <c r="D764" t="str">
        <f t="shared" si="56"/>
        <v/>
      </c>
      <c r="E764" t="str">
        <f t="shared" si="57"/>
        <v/>
      </c>
      <c r="F764" t="str">
        <f>IF(D764="","",INDEX(Knutepunkter!$B:$B,D764+1))</f>
        <v/>
      </c>
      <c r="G764" t="str">
        <f>IF(D764="","",INDEX(Knutepunkter!$C:$C,D764+1))</f>
        <v/>
      </c>
      <c r="H764" t="str">
        <f>IF(D764="","",INDEX(Knutepunkter!$D:$D,D764+1))</f>
        <v/>
      </c>
      <c r="I764" t="str">
        <f>IF(E764="","",INDEX(Knutepunkter!$B:$B,E764+1))</f>
        <v/>
      </c>
      <c r="J764" t="str">
        <f>IF(E764="","",INDEX(Knutepunkter!$C:$C,E764+1))</f>
        <v/>
      </c>
      <c r="K764" t="str">
        <f>IF(E764="","",INDEX(Knutepunkter!$D:$D,E764+1))</f>
        <v/>
      </c>
      <c r="L764" t="str">
        <f t="shared" si="58"/>
        <v/>
      </c>
      <c r="M764" t="str">
        <f t="shared" si="59"/>
        <v/>
      </c>
    </row>
    <row r="765" spans="1:13" x14ac:dyDescent="0.3">
      <c r="A765" t="str">
        <f>Segmenter!A765</f>
        <v/>
      </c>
      <c r="B765" t="str">
        <f>Segmenter!B765</f>
        <v/>
      </c>
      <c r="C765" t="str">
        <f t="shared" si="55"/>
        <v/>
      </c>
      <c r="D765" t="str">
        <f t="shared" si="56"/>
        <v/>
      </c>
      <c r="E765" t="str">
        <f t="shared" si="57"/>
        <v/>
      </c>
      <c r="F765" t="str">
        <f>IF(D765="","",INDEX(Knutepunkter!$B:$B,D765+1))</f>
        <v/>
      </c>
      <c r="G765" t="str">
        <f>IF(D765="","",INDEX(Knutepunkter!$C:$C,D765+1))</f>
        <v/>
      </c>
      <c r="H765" t="str">
        <f>IF(D765="","",INDEX(Knutepunkter!$D:$D,D765+1))</f>
        <v/>
      </c>
      <c r="I765" t="str">
        <f>IF(E765="","",INDEX(Knutepunkter!$B:$B,E765+1))</f>
        <v/>
      </c>
      <c r="J765" t="str">
        <f>IF(E765="","",INDEX(Knutepunkter!$C:$C,E765+1))</f>
        <v/>
      </c>
      <c r="K765" t="str">
        <f>IF(E765="","",INDEX(Knutepunkter!$D:$D,E765+1))</f>
        <v/>
      </c>
      <c r="L765" t="str">
        <f t="shared" si="58"/>
        <v/>
      </c>
      <c r="M765" t="str">
        <f t="shared" si="59"/>
        <v/>
      </c>
    </row>
    <row r="766" spans="1:13" x14ac:dyDescent="0.3">
      <c r="A766" t="str">
        <f>Segmenter!A766</f>
        <v/>
      </c>
      <c r="B766" t="str">
        <f>Segmenter!B766</f>
        <v/>
      </c>
      <c r="C766" t="str">
        <f t="shared" si="55"/>
        <v/>
      </c>
      <c r="D766" t="str">
        <f t="shared" si="56"/>
        <v/>
      </c>
      <c r="E766" t="str">
        <f t="shared" si="57"/>
        <v/>
      </c>
      <c r="F766" t="str">
        <f>IF(D766="","",INDEX(Knutepunkter!$B:$B,D766+1))</f>
        <v/>
      </c>
      <c r="G766" t="str">
        <f>IF(D766="","",INDEX(Knutepunkter!$C:$C,D766+1))</f>
        <v/>
      </c>
      <c r="H766" t="str">
        <f>IF(D766="","",INDEX(Knutepunkter!$D:$D,D766+1))</f>
        <v/>
      </c>
      <c r="I766" t="str">
        <f>IF(E766="","",INDEX(Knutepunkter!$B:$B,E766+1))</f>
        <v/>
      </c>
      <c r="J766" t="str">
        <f>IF(E766="","",INDEX(Knutepunkter!$C:$C,E766+1))</f>
        <v/>
      </c>
      <c r="K766" t="str">
        <f>IF(E766="","",INDEX(Knutepunkter!$D:$D,E766+1))</f>
        <v/>
      </c>
      <c r="L766" t="str">
        <f t="shared" si="58"/>
        <v/>
      </c>
      <c r="M766" t="str">
        <f t="shared" si="59"/>
        <v/>
      </c>
    </row>
    <row r="767" spans="1:13" x14ac:dyDescent="0.3">
      <c r="A767" t="str">
        <f>Segmenter!A767</f>
        <v/>
      </c>
      <c r="B767" t="str">
        <f>Segmenter!B767</f>
        <v/>
      </c>
      <c r="C767" t="str">
        <f t="shared" si="55"/>
        <v/>
      </c>
      <c r="D767" t="str">
        <f t="shared" si="56"/>
        <v/>
      </c>
      <c r="E767" t="str">
        <f t="shared" si="57"/>
        <v/>
      </c>
      <c r="F767" t="str">
        <f>IF(D767="","",INDEX(Knutepunkter!$B:$B,D767+1))</f>
        <v/>
      </c>
      <c r="G767" t="str">
        <f>IF(D767="","",INDEX(Knutepunkter!$C:$C,D767+1))</f>
        <v/>
      </c>
      <c r="H767" t="str">
        <f>IF(D767="","",INDEX(Knutepunkter!$D:$D,D767+1))</f>
        <v/>
      </c>
      <c r="I767" t="str">
        <f>IF(E767="","",INDEX(Knutepunkter!$B:$B,E767+1))</f>
        <v/>
      </c>
      <c r="J767" t="str">
        <f>IF(E767="","",INDEX(Knutepunkter!$C:$C,E767+1))</f>
        <v/>
      </c>
      <c r="K767" t="str">
        <f>IF(E767="","",INDEX(Knutepunkter!$D:$D,E767+1))</f>
        <v/>
      </c>
      <c r="L767" t="str">
        <f t="shared" si="58"/>
        <v/>
      </c>
      <c r="M767" t="str">
        <f t="shared" si="59"/>
        <v/>
      </c>
    </row>
    <row r="768" spans="1:13" x14ac:dyDescent="0.3">
      <c r="A768" t="str">
        <f>Segmenter!A768</f>
        <v/>
      </c>
      <c r="B768" t="str">
        <f>Segmenter!B768</f>
        <v/>
      </c>
      <c r="C768" t="str">
        <f t="shared" si="55"/>
        <v/>
      </c>
      <c r="D768" t="str">
        <f t="shared" si="56"/>
        <v/>
      </c>
      <c r="E768" t="str">
        <f t="shared" si="57"/>
        <v/>
      </c>
      <c r="F768" t="str">
        <f>IF(D768="","",INDEX(Knutepunkter!$B:$B,D768+1))</f>
        <v/>
      </c>
      <c r="G768" t="str">
        <f>IF(D768="","",INDEX(Knutepunkter!$C:$C,D768+1))</f>
        <v/>
      </c>
      <c r="H768" t="str">
        <f>IF(D768="","",INDEX(Knutepunkter!$D:$D,D768+1))</f>
        <v/>
      </c>
      <c r="I768" t="str">
        <f>IF(E768="","",INDEX(Knutepunkter!$B:$B,E768+1))</f>
        <v/>
      </c>
      <c r="J768" t="str">
        <f>IF(E768="","",INDEX(Knutepunkter!$C:$C,E768+1))</f>
        <v/>
      </c>
      <c r="K768" t="str">
        <f>IF(E768="","",INDEX(Knutepunkter!$D:$D,E768+1))</f>
        <v/>
      </c>
      <c r="L768" t="str">
        <f t="shared" si="58"/>
        <v/>
      </c>
      <c r="M768" t="str">
        <f t="shared" si="59"/>
        <v/>
      </c>
    </row>
    <row r="769" spans="1:13" x14ac:dyDescent="0.3">
      <c r="A769" t="str">
        <f>Segmenter!A769</f>
        <v/>
      </c>
      <c r="B769" t="str">
        <f>Segmenter!B769</f>
        <v/>
      </c>
      <c r="C769" t="str">
        <f t="shared" si="55"/>
        <v/>
      </c>
      <c r="D769" t="str">
        <f t="shared" si="56"/>
        <v/>
      </c>
      <c r="E769" t="str">
        <f t="shared" si="57"/>
        <v/>
      </c>
      <c r="F769" t="str">
        <f>IF(D769="","",INDEX(Knutepunkter!$B:$B,D769+1))</f>
        <v/>
      </c>
      <c r="G769" t="str">
        <f>IF(D769="","",INDEX(Knutepunkter!$C:$C,D769+1))</f>
        <v/>
      </c>
      <c r="H769" t="str">
        <f>IF(D769="","",INDEX(Knutepunkter!$D:$D,D769+1))</f>
        <v/>
      </c>
      <c r="I769" t="str">
        <f>IF(E769="","",INDEX(Knutepunkter!$B:$B,E769+1))</f>
        <v/>
      </c>
      <c r="J769" t="str">
        <f>IF(E769="","",INDEX(Knutepunkter!$C:$C,E769+1))</f>
        <v/>
      </c>
      <c r="K769" t="str">
        <f>IF(E769="","",INDEX(Knutepunkter!$D:$D,E769+1))</f>
        <v/>
      </c>
      <c r="L769" t="str">
        <f t="shared" si="58"/>
        <v/>
      </c>
      <c r="M769" t="str">
        <f t="shared" si="59"/>
        <v/>
      </c>
    </row>
    <row r="770" spans="1:13" x14ac:dyDescent="0.3">
      <c r="A770" t="str">
        <f>Segmenter!A770</f>
        <v/>
      </c>
      <c r="B770" t="str">
        <f>Segmenter!B770</f>
        <v/>
      </c>
      <c r="C770" t="str">
        <f t="shared" ref="C770:C833" si="60">IF(B770="","",IF(AND(F770=I770,G770=J770,H770&lt;&gt;K770),"Søyle","Bjelke"))</f>
        <v/>
      </c>
      <c r="D770" t="str">
        <f t="shared" ref="D770:D833" si="61">IF(B770="","",VALUE(LEFT(B770,FIND(" -&gt; ",B770)-1)))</f>
        <v/>
      </c>
      <c r="E770" t="str">
        <f t="shared" ref="E770:E833" si="62">IF(B770="","",VALUE(MID(B770,FIND(" -&gt; ",B770)+4,99)))</f>
        <v/>
      </c>
      <c r="F770" t="str">
        <f>IF(D770="","",INDEX(Knutepunkter!$B:$B,D770+1))</f>
        <v/>
      </c>
      <c r="G770" t="str">
        <f>IF(D770="","",INDEX(Knutepunkter!$C:$C,D770+1))</f>
        <v/>
      </c>
      <c r="H770" t="str">
        <f>IF(D770="","",INDEX(Knutepunkter!$D:$D,D770+1))</f>
        <v/>
      </c>
      <c r="I770" t="str">
        <f>IF(E770="","",INDEX(Knutepunkter!$B:$B,E770+1))</f>
        <v/>
      </c>
      <c r="J770" t="str">
        <f>IF(E770="","",INDEX(Knutepunkter!$C:$C,E770+1))</f>
        <v/>
      </c>
      <c r="K770" t="str">
        <f>IF(E770="","",INDEX(Knutepunkter!$D:$D,E770+1))</f>
        <v/>
      </c>
      <c r="L770" t="str">
        <f t="shared" ref="L770:L833" si="63">IF(B770="","",SQRT((I770-F770)^2+(J770-G770)^2+(K770-H770)^2))</f>
        <v/>
      </c>
      <c r="M770" t="str">
        <f t="shared" ref="M770:M833" si="64">IF(L770="","",L770/1000)</f>
        <v/>
      </c>
    </row>
    <row r="771" spans="1:13" x14ac:dyDescent="0.3">
      <c r="A771" t="str">
        <f>Segmenter!A771</f>
        <v/>
      </c>
      <c r="B771" t="str">
        <f>Segmenter!B771</f>
        <v/>
      </c>
      <c r="C771" t="str">
        <f t="shared" si="60"/>
        <v/>
      </c>
      <c r="D771" t="str">
        <f t="shared" si="61"/>
        <v/>
      </c>
      <c r="E771" t="str">
        <f t="shared" si="62"/>
        <v/>
      </c>
      <c r="F771" t="str">
        <f>IF(D771="","",INDEX(Knutepunkter!$B:$B,D771+1))</f>
        <v/>
      </c>
      <c r="G771" t="str">
        <f>IF(D771="","",INDEX(Knutepunkter!$C:$C,D771+1))</f>
        <v/>
      </c>
      <c r="H771" t="str">
        <f>IF(D771="","",INDEX(Knutepunkter!$D:$D,D771+1))</f>
        <v/>
      </c>
      <c r="I771" t="str">
        <f>IF(E771="","",INDEX(Knutepunkter!$B:$B,E771+1))</f>
        <v/>
      </c>
      <c r="J771" t="str">
        <f>IF(E771="","",INDEX(Knutepunkter!$C:$C,E771+1))</f>
        <v/>
      </c>
      <c r="K771" t="str">
        <f>IF(E771="","",INDEX(Knutepunkter!$D:$D,E771+1))</f>
        <v/>
      </c>
      <c r="L771" t="str">
        <f t="shared" si="63"/>
        <v/>
      </c>
      <c r="M771" t="str">
        <f t="shared" si="64"/>
        <v/>
      </c>
    </row>
    <row r="772" spans="1:13" x14ac:dyDescent="0.3">
      <c r="A772" t="str">
        <f>Segmenter!A772</f>
        <v/>
      </c>
      <c r="B772" t="str">
        <f>Segmenter!B772</f>
        <v/>
      </c>
      <c r="C772" t="str">
        <f t="shared" si="60"/>
        <v/>
      </c>
      <c r="D772" t="str">
        <f t="shared" si="61"/>
        <v/>
      </c>
      <c r="E772" t="str">
        <f t="shared" si="62"/>
        <v/>
      </c>
      <c r="F772" t="str">
        <f>IF(D772="","",INDEX(Knutepunkter!$B:$B,D772+1))</f>
        <v/>
      </c>
      <c r="G772" t="str">
        <f>IF(D772="","",INDEX(Knutepunkter!$C:$C,D772+1))</f>
        <v/>
      </c>
      <c r="H772" t="str">
        <f>IF(D772="","",INDEX(Knutepunkter!$D:$D,D772+1))</f>
        <v/>
      </c>
      <c r="I772" t="str">
        <f>IF(E772="","",INDEX(Knutepunkter!$B:$B,E772+1))</f>
        <v/>
      </c>
      <c r="J772" t="str">
        <f>IF(E772="","",INDEX(Knutepunkter!$C:$C,E772+1))</f>
        <v/>
      </c>
      <c r="K772" t="str">
        <f>IF(E772="","",INDEX(Knutepunkter!$D:$D,E772+1))</f>
        <v/>
      </c>
      <c r="L772" t="str">
        <f t="shared" si="63"/>
        <v/>
      </c>
      <c r="M772" t="str">
        <f t="shared" si="64"/>
        <v/>
      </c>
    </row>
    <row r="773" spans="1:13" x14ac:dyDescent="0.3">
      <c r="A773" t="str">
        <f>Segmenter!A773</f>
        <v/>
      </c>
      <c r="B773" t="str">
        <f>Segmenter!B773</f>
        <v/>
      </c>
      <c r="C773" t="str">
        <f t="shared" si="60"/>
        <v/>
      </c>
      <c r="D773" t="str">
        <f t="shared" si="61"/>
        <v/>
      </c>
      <c r="E773" t="str">
        <f t="shared" si="62"/>
        <v/>
      </c>
      <c r="F773" t="str">
        <f>IF(D773="","",INDEX(Knutepunkter!$B:$B,D773+1))</f>
        <v/>
      </c>
      <c r="G773" t="str">
        <f>IF(D773="","",INDEX(Knutepunkter!$C:$C,D773+1))</f>
        <v/>
      </c>
      <c r="H773" t="str">
        <f>IF(D773="","",INDEX(Knutepunkter!$D:$D,D773+1))</f>
        <v/>
      </c>
      <c r="I773" t="str">
        <f>IF(E773="","",INDEX(Knutepunkter!$B:$B,E773+1))</f>
        <v/>
      </c>
      <c r="J773" t="str">
        <f>IF(E773="","",INDEX(Knutepunkter!$C:$C,E773+1))</f>
        <v/>
      </c>
      <c r="K773" t="str">
        <f>IF(E773="","",INDEX(Knutepunkter!$D:$D,E773+1))</f>
        <v/>
      </c>
      <c r="L773" t="str">
        <f t="shared" si="63"/>
        <v/>
      </c>
      <c r="M773" t="str">
        <f t="shared" si="64"/>
        <v/>
      </c>
    </row>
    <row r="774" spans="1:13" x14ac:dyDescent="0.3">
      <c r="A774" t="str">
        <f>Segmenter!A774</f>
        <v/>
      </c>
      <c r="B774" t="str">
        <f>Segmenter!B774</f>
        <v/>
      </c>
      <c r="C774" t="str">
        <f t="shared" si="60"/>
        <v/>
      </c>
      <c r="D774" t="str">
        <f t="shared" si="61"/>
        <v/>
      </c>
      <c r="E774" t="str">
        <f t="shared" si="62"/>
        <v/>
      </c>
      <c r="F774" t="str">
        <f>IF(D774="","",INDEX(Knutepunkter!$B:$B,D774+1))</f>
        <v/>
      </c>
      <c r="G774" t="str">
        <f>IF(D774="","",INDEX(Knutepunkter!$C:$C,D774+1))</f>
        <v/>
      </c>
      <c r="H774" t="str">
        <f>IF(D774="","",INDEX(Knutepunkter!$D:$D,D774+1))</f>
        <v/>
      </c>
      <c r="I774" t="str">
        <f>IF(E774="","",INDEX(Knutepunkter!$B:$B,E774+1))</f>
        <v/>
      </c>
      <c r="J774" t="str">
        <f>IF(E774="","",INDEX(Knutepunkter!$C:$C,E774+1))</f>
        <v/>
      </c>
      <c r="K774" t="str">
        <f>IF(E774="","",INDEX(Knutepunkter!$D:$D,E774+1))</f>
        <v/>
      </c>
      <c r="L774" t="str">
        <f t="shared" si="63"/>
        <v/>
      </c>
      <c r="M774" t="str">
        <f t="shared" si="64"/>
        <v/>
      </c>
    </row>
    <row r="775" spans="1:13" x14ac:dyDescent="0.3">
      <c r="A775" t="str">
        <f>Segmenter!A775</f>
        <v/>
      </c>
      <c r="B775" t="str">
        <f>Segmenter!B775</f>
        <v/>
      </c>
      <c r="C775" t="str">
        <f t="shared" si="60"/>
        <v/>
      </c>
      <c r="D775" t="str">
        <f t="shared" si="61"/>
        <v/>
      </c>
      <c r="E775" t="str">
        <f t="shared" si="62"/>
        <v/>
      </c>
      <c r="F775" t="str">
        <f>IF(D775="","",INDEX(Knutepunkter!$B:$B,D775+1))</f>
        <v/>
      </c>
      <c r="G775" t="str">
        <f>IF(D775="","",INDEX(Knutepunkter!$C:$C,D775+1))</f>
        <v/>
      </c>
      <c r="H775" t="str">
        <f>IF(D775="","",INDEX(Knutepunkter!$D:$D,D775+1))</f>
        <v/>
      </c>
      <c r="I775" t="str">
        <f>IF(E775="","",INDEX(Knutepunkter!$B:$B,E775+1))</f>
        <v/>
      </c>
      <c r="J775" t="str">
        <f>IF(E775="","",INDEX(Knutepunkter!$C:$C,E775+1))</f>
        <v/>
      </c>
      <c r="K775" t="str">
        <f>IF(E775="","",INDEX(Knutepunkter!$D:$D,E775+1))</f>
        <v/>
      </c>
      <c r="L775" t="str">
        <f t="shared" si="63"/>
        <v/>
      </c>
      <c r="M775" t="str">
        <f t="shared" si="64"/>
        <v/>
      </c>
    </row>
    <row r="776" spans="1:13" x14ac:dyDescent="0.3">
      <c r="A776" t="str">
        <f>Segmenter!A776</f>
        <v/>
      </c>
      <c r="B776" t="str">
        <f>Segmenter!B776</f>
        <v/>
      </c>
      <c r="C776" t="str">
        <f t="shared" si="60"/>
        <v/>
      </c>
      <c r="D776" t="str">
        <f t="shared" si="61"/>
        <v/>
      </c>
      <c r="E776" t="str">
        <f t="shared" si="62"/>
        <v/>
      </c>
      <c r="F776" t="str">
        <f>IF(D776="","",INDEX(Knutepunkter!$B:$B,D776+1))</f>
        <v/>
      </c>
      <c r="G776" t="str">
        <f>IF(D776="","",INDEX(Knutepunkter!$C:$C,D776+1))</f>
        <v/>
      </c>
      <c r="H776" t="str">
        <f>IF(D776="","",INDEX(Knutepunkter!$D:$D,D776+1))</f>
        <v/>
      </c>
      <c r="I776" t="str">
        <f>IF(E776="","",INDEX(Knutepunkter!$B:$B,E776+1))</f>
        <v/>
      </c>
      <c r="J776" t="str">
        <f>IF(E776="","",INDEX(Knutepunkter!$C:$C,E776+1))</f>
        <v/>
      </c>
      <c r="K776" t="str">
        <f>IF(E776="","",INDEX(Knutepunkter!$D:$D,E776+1))</f>
        <v/>
      </c>
      <c r="L776" t="str">
        <f t="shared" si="63"/>
        <v/>
      </c>
      <c r="M776" t="str">
        <f t="shared" si="64"/>
        <v/>
      </c>
    </row>
    <row r="777" spans="1:13" x14ac:dyDescent="0.3">
      <c r="A777" t="str">
        <f>Segmenter!A777</f>
        <v/>
      </c>
      <c r="B777" t="str">
        <f>Segmenter!B777</f>
        <v/>
      </c>
      <c r="C777" t="str">
        <f t="shared" si="60"/>
        <v/>
      </c>
      <c r="D777" t="str">
        <f t="shared" si="61"/>
        <v/>
      </c>
      <c r="E777" t="str">
        <f t="shared" si="62"/>
        <v/>
      </c>
      <c r="F777" t="str">
        <f>IF(D777="","",INDEX(Knutepunkter!$B:$B,D777+1))</f>
        <v/>
      </c>
      <c r="G777" t="str">
        <f>IF(D777="","",INDEX(Knutepunkter!$C:$C,D777+1))</f>
        <v/>
      </c>
      <c r="H777" t="str">
        <f>IF(D777="","",INDEX(Knutepunkter!$D:$D,D777+1))</f>
        <v/>
      </c>
      <c r="I777" t="str">
        <f>IF(E777="","",INDEX(Knutepunkter!$B:$B,E777+1))</f>
        <v/>
      </c>
      <c r="J777" t="str">
        <f>IF(E777="","",INDEX(Knutepunkter!$C:$C,E777+1))</f>
        <v/>
      </c>
      <c r="K777" t="str">
        <f>IF(E777="","",INDEX(Knutepunkter!$D:$D,E777+1))</f>
        <v/>
      </c>
      <c r="L777" t="str">
        <f t="shared" si="63"/>
        <v/>
      </c>
      <c r="M777" t="str">
        <f t="shared" si="64"/>
        <v/>
      </c>
    </row>
    <row r="778" spans="1:13" x14ac:dyDescent="0.3">
      <c r="A778" t="str">
        <f>Segmenter!A778</f>
        <v/>
      </c>
      <c r="B778" t="str">
        <f>Segmenter!B778</f>
        <v/>
      </c>
      <c r="C778" t="str">
        <f t="shared" si="60"/>
        <v/>
      </c>
      <c r="D778" t="str">
        <f t="shared" si="61"/>
        <v/>
      </c>
      <c r="E778" t="str">
        <f t="shared" si="62"/>
        <v/>
      </c>
      <c r="F778" t="str">
        <f>IF(D778="","",INDEX(Knutepunkter!$B:$B,D778+1))</f>
        <v/>
      </c>
      <c r="G778" t="str">
        <f>IF(D778="","",INDEX(Knutepunkter!$C:$C,D778+1))</f>
        <v/>
      </c>
      <c r="H778" t="str">
        <f>IF(D778="","",INDEX(Knutepunkter!$D:$D,D778+1))</f>
        <v/>
      </c>
      <c r="I778" t="str">
        <f>IF(E778="","",INDEX(Knutepunkter!$B:$B,E778+1))</f>
        <v/>
      </c>
      <c r="J778" t="str">
        <f>IF(E778="","",INDEX(Knutepunkter!$C:$C,E778+1))</f>
        <v/>
      </c>
      <c r="K778" t="str">
        <f>IF(E778="","",INDEX(Knutepunkter!$D:$D,E778+1))</f>
        <v/>
      </c>
      <c r="L778" t="str">
        <f t="shared" si="63"/>
        <v/>
      </c>
      <c r="M778" t="str">
        <f t="shared" si="64"/>
        <v/>
      </c>
    </row>
    <row r="779" spans="1:13" x14ac:dyDescent="0.3">
      <c r="A779" t="str">
        <f>Segmenter!A779</f>
        <v/>
      </c>
      <c r="B779" t="str">
        <f>Segmenter!B779</f>
        <v/>
      </c>
      <c r="C779" t="str">
        <f t="shared" si="60"/>
        <v/>
      </c>
      <c r="D779" t="str">
        <f t="shared" si="61"/>
        <v/>
      </c>
      <c r="E779" t="str">
        <f t="shared" si="62"/>
        <v/>
      </c>
      <c r="F779" t="str">
        <f>IF(D779="","",INDEX(Knutepunkter!$B:$B,D779+1))</f>
        <v/>
      </c>
      <c r="G779" t="str">
        <f>IF(D779="","",INDEX(Knutepunkter!$C:$C,D779+1))</f>
        <v/>
      </c>
      <c r="H779" t="str">
        <f>IF(D779="","",INDEX(Knutepunkter!$D:$D,D779+1))</f>
        <v/>
      </c>
      <c r="I779" t="str">
        <f>IF(E779="","",INDEX(Knutepunkter!$B:$B,E779+1))</f>
        <v/>
      </c>
      <c r="J779" t="str">
        <f>IF(E779="","",INDEX(Knutepunkter!$C:$C,E779+1))</f>
        <v/>
      </c>
      <c r="K779" t="str">
        <f>IF(E779="","",INDEX(Knutepunkter!$D:$D,E779+1))</f>
        <v/>
      </c>
      <c r="L779" t="str">
        <f t="shared" si="63"/>
        <v/>
      </c>
      <c r="M779" t="str">
        <f t="shared" si="64"/>
        <v/>
      </c>
    </row>
    <row r="780" spans="1:13" x14ac:dyDescent="0.3">
      <c r="A780" t="str">
        <f>Segmenter!A780</f>
        <v/>
      </c>
      <c r="B780" t="str">
        <f>Segmenter!B780</f>
        <v/>
      </c>
      <c r="C780" t="str">
        <f t="shared" si="60"/>
        <v/>
      </c>
      <c r="D780" t="str">
        <f t="shared" si="61"/>
        <v/>
      </c>
      <c r="E780" t="str">
        <f t="shared" si="62"/>
        <v/>
      </c>
      <c r="F780" t="str">
        <f>IF(D780="","",INDEX(Knutepunkter!$B:$B,D780+1))</f>
        <v/>
      </c>
      <c r="G780" t="str">
        <f>IF(D780="","",INDEX(Knutepunkter!$C:$C,D780+1))</f>
        <v/>
      </c>
      <c r="H780" t="str">
        <f>IF(D780="","",INDEX(Knutepunkter!$D:$D,D780+1))</f>
        <v/>
      </c>
      <c r="I780" t="str">
        <f>IF(E780="","",INDEX(Knutepunkter!$B:$B,E780+1))</f>
        <v/>
      </c>
      <c r="J780" t="str">
        <f>IF(E780="","",INDEX(Knutepunkter!$C:$C,E780+1))</f>
        <v/>
      </c>
      <c r="K780" t="str">
        <f>IF(E780="","",INDEX(Knutepunkter!$D:$D,E780+1))</f>
        <v/>
      </c>
      <c r="L780" t="str">
        <f t="shared" si="63"/>
        <v/>
      </c>
      <c r="M780" t="str">
        <f t="shared" si="64"/>
        <v/>
      </c>
    </row>
    <row r="781" spans="1:13" x14ac:dyDescent="0.3">
      <c r="A781" t="str">
        <f>Segmenter!A781</f>
        <v/>
      </c>
      <c r="B781" t="str">
        <f>Segmenter!B781</f>
        <v/>
      </c>
      <c r="C781" t="str">
        <f t="shared" si="60"/>
        <v/>
      </c>
      <c r="D781" t="str">
        <f t="shared" si="61"/>
        <v/>
      </c>
      <c r="E781" t="str">
        <f t="shared" si="62"/>
        <v/>
      </c>
      <c r="F781" t="str">
        <f>IF(D781="","",INDEX(Knutepunkter!$B:$B,D781+1))</f>
        <v/>
      </c>
      <c r="G781" t="str">
        <f>IF(D781="","",INDEX(Knutepunkter!$C:$C,D781+1))</f>
        <v/>
      </c>
      <c r="H781" t="str">
        <f>IF(D781="","",INDEX(Knutepunkter!$D:$D,D781+1))</f>
        <v/>
      </c>
      <c r="I781" t="str">
        <f>IF(E781="","",INDEX(Knutepunkter!$B:$B,E781+1))</f>
        <v/>
      </c>
      <c r="J781" t="str">
        <f>IF(E781="","",INDEX(Knutepunkter!$C:$C,E781+1))</f>
        <v/>
      </c>
      <c r="K781" t="str">
        <f>IF(E781="","",INDEX(Knutepunkter!$D:$D,E781+1))</f>
        <v/>
      </c>
      <c r="L781" t="str">
        <f t="shared" si="63"/>
        <v/>
      </c>
      <c r="M781" t="str">
        <f t="shared" si="64"/>
        <v/>
      </c>
    </row>
    <row r="782" spans="1:13" x14ac:dyDescent="0.3">
      <c r="A782" t="str">
        <f>Segmenter!A782</f>
        <v/>
      </c>
      <c r="B782" t="str">
        <f>Segmenter!B782</f>
        <v/>
      </c>
      <c r="C782" t="str">
        <f t="shared" si="60"/>
        <v/>
      </c>
      <c r="D782" t="str">
        <f t="shared" si="61"/>
        <v/>
      </c>
      <c r="E782" t="str">
        <f t="shared" si="62"/>
        <v/>
      </c>
      <c r="F782" t="str">
        <f>IF(D782="","",INDEX(Knutepunkter!$B:$B,D782+1))</f>
        <v/>
      </c>
      <c r="G782" t="str">
        <f>IF(D782="","",INDEX(Knutepunkter!$C:$C,D782+1))</f>
        <v/>
      </c>
      <c r="H782" t="str">
        <f>IF(D782="","",INDEX(Knutepunkter!$D:$D,D782+1))</f>
        <v/>
      </c>
      <c r="I782" t="str">
        <f>IF(E782="","",INDEX(Knutepunkter!$B:$B,E782+1))</f>
        <v/>
      </c>
      <c r="J782" t="str">
        <f>IF(E782="","",INDEX(Knutepunkter!$C:$C,E782+1))</f>
        <v/>
      </c>
      <c r="K782" t="str">
        <f>IF(E782="","",INDEX(Knutepunkter!$D:$D,E782+1))</f>
        <v/>
      </c>
      <c r="L782" t="str">
        <f t="shared" si="63"/>
        <v/>
      </c>
      <c r="M782" t="str">
        <f t="shared" si="64"/>
        <v/>
      </c>
    </row>
    <row r="783" spans="1:13" x14ac:dyDescent="0.3">
      <c r="A783" t="str">
        <f>Segmenter!A783</f>
        <v/>
      </c>
      <c r="B783" t="str">
        <f>Segmenter!B783</f>
        <v/>
      </c>
      <c r="C783" t="str">
        <f t="shared" si="60"/>
        <v/>
      </c>
      <c r="D783" t="str">
        <f t="shared" si="61"/>
        <v/>
      </c>
      <c r="E783" t="str">
        <f t="shared" si="62"/>
        <v/>
      </c>
      <c r="F783" t="str">
        <f>IF(D783="","",INDEX(Knutepunkter!$B:$B,D783+1))</f>
        <v/>
      </c>
      <c r="G783" t="str">
        <f>IF(D783="","",INDEX(Knutepunkter!$C:$C,D783+1))</f>
        <v/>
      </c>
      <c r="H783" t="str">
        <f>IF(D783="","",INDEX(Knutepunkter!$D:$D,D783+1))</f>
        <v/>
      </c>
      <c r="I783" t="str">
        <f>IF(E783="","",INDEX(Knutepunkter!$B:$B,E783+1))</f>
        <v/>
      </c>
      <c r="J783" t="str">
        <f>IF(E783="","",INDEX(Knutepunkter!$C:$C,E783+1))</f>
        <v/>
      </c>
      <c r="K783" t="str">
        <f>IF(E783="","",INDEX(Knutepunkter!$D:$D,E783+1))</f>
        <v/>
      </c>
      <c r="L783" t="str">
        <f t="shared" si="63"/>
        <v/>
      </c>
      <c r="M783" t="str">
        <f t="shared" si="64"/>
        <v/>
      </c>
    </row>
    <row r="784" spans="1:13" x14ac:dyDescent="0.3">
      <c r="A784" t="str">
        <f>Segmenter!A784</f>
        <v/>
      </c>
      <c r="B784" t="str">
        <f>Segmenter!B784</f>
        <v/>
      </c>
      <c r="C784" t="str">
        <f t="shared" si="60"/>
        <v/>
      </c>
      <c r="D784" t="str">
        <f t="shared" si="61"/>
        <v/>
      </c>
      <c r="E784" t="str">
        <f t="shared" si="62"/>
        <v/>
      </c>
      <c r="F784" t="str">
        <f>IF(D784="","",INDEX(Knutepunkter!$B:$B,D784+1))</f>
        <v/>
      </c>
      <c r="G784" t="str">
        <f>IF(D784="","",INDEX(Knutepunkter!$C:$C,D784+1))</f>
        <v/>
      </c>
      <c r="H784" t="str">
        <f>IF(D784="","",INDEX(Knutepunkter!$D:$D,D784+1))</f>
        <v/>
      </c>
      <c r="I784" t="str">
        <f>IF(E784="","",INDEX(Knutepunkter!$B:$B,E784+1))</f>
        <v/>
      </c>
      <c r="J784" t="str">
        <f>IF(E784="","",INDEX(Knutepunkter!$C:$C,E784+1))</f>
        <v/>
      </c>
      <c r="K784" t="str">
        <f>IF(E784="","",INDEX(Knutepunkter!$D:$D,E784+1))</f>
        <v/>
      </c>
      <c r="L784" t="str">
        <f t="shared" si="63"/>
        <v/>
      </c>
      <c r="M784" t="str">
        <f t="shared" si="64"/>
        <v/>
      </c>
    </row>
    <row r="785" spans="1:13" x14ac:dyDescent="0.3">
      <c r="A785" t="str">
        <f>Segmenter!A785</f>
        <v/>
      </c>
      <c r="B785" t="str">
        <f>Segmenter!B785</f>
        <v/>
      </c>
      <c r="C785" t="str">
        <f t="shared" si="60"/>
        <v/>
      </c>
      <c r="D785" t="str">
        <f t="shared" si="61"/>
        <v/>
      </c>
      <c r="E785" t="str">
        <f t="shared" si="62"/>
        <v/>
      </c>
      <c r="F785" t="str">
        <f>IF(D785="","",INDEX(Knutepunkter!$B:$B,D785+1))</f>
        <v/>
      </c>
      <c r="G785" t="str">
        <f>IF(D785="","",INDEX(Knutepunkter!$C:$C,D785+1))</f>
        <v/>
      </c>
      <c r="H785" t="str">
        <f>IF(D785="","",INDEX(Knutepunkter!$D:$D,D785+1))</f>
        <v/>
      </c>
      <c r="I785" t="str">
        <f>IF(E785="","",INDEX(Knutepunkter!$B:$B,E785+1))</f>
        <v/>
      </c>
      <c r="J785" t="str">
        <f>IF(E785="","",INDEX(Knutepunkter!$C:$C,E785+1))</f>
        <v/>
      </c>
      <c r="K785" t="str">
        <f>IF(E785="","",INDEX(Knutepunkter!$D:$D,E785+1))</f>
        <v/>
      </c>
      <c r="L785" t="str">
        <f t="shared" si="63"/>
        <v/>
      </c>
      <c r="M785" t="str">
        <f t="shared" si="64"/>
        <v/>
      </c>
    </row>
    <row r="786" spans="1:13" x14ac:dyDescent="0.3">
      <c r="A786" t="str">
        <f>Segmenter!A786</f>
        <v/>
      </c>
      <c r="B786" t="str">
        <f>Segmenter!B786</f>
        <v/>
      </c>
      <c r="C786" t="str">
        <f t="shared" si="60"/>
        <v/>
      </c>
      <c r="D786" t="str">
        <f t="shared" si="61"/>
        <v/>
      </c>
      <c r="E786" t="str">
        <f t="shared" si="62"/>
        <v/>
      </c>
      <c r="F786" t="str">
        <f>IF(D786="","",INDEX(Knutepunkter!$B:$B,D786+1))</f>
        <v/>
      </c>
      <c r="G786" t="str">
        <f>IF(D786="","",INDEX(Knutepunkter!$C:$C,D786+1))</f>
        <v/>
      </c>
      <c r="H786" t="str">
        <f>IF(D786="","",INDEX(Knutepunkter!$D:$D,D786+1))</f>
        <v/>
      </c>
      <c r="I786" t="str">
        <f>IF(E786="","",INDEX(Knutepunkter!$B:$B,E786+1))</f>
        <v/>
      </c>
      <c r="J786" t="str">
        <f>IF(E786="","",INDEX(Knutepunkter!$C:$C,E786+1))</f>
        <v/>
      </c>
      <c r="K786" t="str">
        <f>IF(E786="","",INDEX(Knutepunkter!$D:$D,E786+1))</f>
        <v/>
      </c>
      <c r="L786" t="str">
        <f t="shared" si="63"/>
        <v/>
      </c>
      <c r="M786" t="str">
        <f t="shared" si="64"/>
        <v/>
      </c>
    </row>
    <row r="787" spans="1:13" x14ac:dyDescent="0.3">
      <c r="A787" t="str">
        <f>Segmenter!A787</f>
        <v/>
      </c>
      <c r="B787" t="str">
        <f>Segmenter!B787</f>
        <v/>
      </c>
      <c r="C787" t="str">
        <f t="shared" si="60"/>
        <v/>
      </c>
      <c r="D787" t="str">
        <f t="shared" si="61"/>
        <v/>
      </c>
      <c r="E787" t="str">
        <f t="shared" si="62"/>
        <v/>
      </c>
      <c r="F787" t="str">
        <f>IF(D787="","",INDEX(Knutepunkter!$B:$B,D787+1))</f>
        <v/>
      </c>
      <c r="G787" t="str">
        <f>IF(D787="","",INDEX(Knutepunkter!$C:$C,D787+1))</f>
        <v/>
      </c>
      <c r="H787" t="str">
        <f>IF(D787="","",INDEX(Knutepunkter!$D:$D,D787+1))</f>
        <v/>
      </c>
      <c r="I787" t="str">
        <f>IF(E787="","",INDEX(Knutepunkter!$B:$B,E787+1))</f>
        <v/>
      </c>
      <c r="J787" t="str">
        <f>IF(E787="","",INDEX(Knutepunkter!$C:$C,E787+1))</f>
        <v/>
      </c>
      <c r="K787" t="str">
        <f>IF(E787="","",INDEX(Knutepunkter!$D:$D,E787+1))</f>
        <v/>
      </c>
      <c r="L787" t="str">
        <f t="shared" si="63"/>
        <v/>
      </c>
      <c r="M787" t="str">
        <f t="shared" si="64"/>
        <v/>
      </c>
    </row>
    <row r="788" spans="1:13" x14ac:dyDescent="0.3">
      <c r="A788" t="str">
        <f>Segmenter!A788</f>
        <v/>
      </c>
      <c r="B788" t="str">
        <f>Segmenter!B788</f>
        <v/>
      </c>
      <c r="C788" t="str">
        <f t="shared" si="60"/>
        <v/>
      </c>
      <c r="D788" t="str">
        <f t="shared" si="61"/>
        <v/>
      </c>
      <c r="E788" t="str">
        <f t="shared" si="62"/>
        <v/>
      </c>
      <c r="F788" t="str">
        <f>IF(D788="","",INDEX(Knutepunkter!$B:$B,D788+1))</f>
        <v/>
      </c>
      <c r="G788" t="str">
        <f>IF(D788="","",INDEX(Knutepunkter!$C:$C,D788+1))</f>
        <v/>
      </c>
      <c r="H788" t="str">
        <f>IF(D788="","",INDEX(Knutepunkter!$D:$D,D788+1))</f>
        <v/>
      </c>
      <c r="I788" t="str">
        <f>IF(E788="","",INDEX(Knutepunkter!$B:$B,E788+1))</f>
        <v/>
      </c>
      <c r="J788" t="str">
        <f>IF(E788="","",INDEX(Knutepunkter!$C:$C,E788+1))</f>
        <v/>
      </c>
      <c r="K788" t="str">
        <f>IF(E788="","",INDEX(Knutepunkter!$D:$D,E788+1))</f>
        <v/>
      </c>
      <c r="L788" t="str">
        <f t="shared" si="63"/>
        <v/>
      </c>
      <c r="M788" t="str">
        <f t="shared" si="64"/>
        <v/>
      </c>
    </row>
    <row r="789" spans="1:13" x14ac:dyDescent="0.3">
      <c r="A789" t="str">
        <f>Segmenter!A789</f>
        <v/>
      </c>
      <c r="B789" t="str">
        <f>Segmenter!B789</f>
        <v/>
      </c>
      <c r="C789" t="str">
        <f t="shared" si="60"/>
        <v/>
      </c>
      <c r="D789" t="str">
        <f t="shared" si="61"/>
        <v/>
      </c>
      <c r="E789" t="str">
        <f t="shared" si="62"/>
        <v/>
      </c>
      <c r="F789" t="str">
        <f>IF(D789="","",INDEX(Knutepunkter!$B:$B,D789+1))</f>
        <v/>
      </c>
      <c r="G789" t="str">
        <f>IF(D789="","",INDEX(Knutepunkter!$C:$C,D789+1))</f>
        <v/>
      </c>
      <c r="H789" t="str">
        <f>IF(D789="","",INDEX(Knutepunkter!$D:$D,D789+1))</f>
        <v/>
      </c>
      <c r="I789" t="str">
        <f>IF(E789="","",INDEX(Knutepunkter!$B:$B,E789+1))</f>
        <v/>
      </c>
      <c r="J789" t="str">
        <f>IF(E789="","",INDEX(Knutepunkter!$C:$C,E789+1))</f>
        <v/>
      </c>
      <c r="K789" t="str">
        <f>IF(E789="","",INDEX(Knutepunkter!$D:$D,E789+1))</f>
        <v/>
      </c>
      <c r="L789" t="str">
        <f t="shared" si="63"/>
        <v/>
      </c>
      <c r="M789" t="str">
        <f t="shared" si="64"/>
        <v/>
      </c>
    </row>
    <row r="790" spans="1:13" x14ac:dyDescent="0.3">
      <c r="A790" t="str">
        <f>Segmenter!A790</f>
        <v/>
      </c>
      <c r="B790" t="str">
        <f>Segmenter!B790</f>
        <v/>
      </c>
      <c r="C790" t="str">
        <f t="shared" si="60"/>
        <v/>
      </c>
      <c r="D790" t="str">
        <f t="shared" si="61"/>
        <v/>
      </c>
      <c r="E790" t="str">
        <f t="shared" si="62"/>
        <v/>
      </c>
      <c r="F790" t="str">
        <f>IF(D790="","",INDEX(Knutepunkter!$B:$B,D790+1))</f>
        <v/>
      </c>
      <c r="G790" t="str">
        <f>IF(D790="","",INDEX(Knutepunkter!$C:$C,D790+1))</f>
        <v/>
      </c>
      <c r="H790" t="str">
        <f>IF(D790="","",INDEX(Knutepunkter!$D:$D,D790+1))</f>
        <v/>
      </c>
      <c r="I790" t="str">
        <f>IF(E790="","",INDEX(Knutepunkter!$B:$B,E790+1))</f>
        <v/>
      </c>
      <c r="J790" t="str">
        <f>IF(E790="","",INDEX(Knutepunkter!$C:$C,E790+1))</f>
        <v/>
      </c>
      <c r="K790" t="str">
        <f>IF(E790="","",INDEX(Knutepunkter!$D:$D,E790+1))</f>
        <v/>
      </c>
      <c r="L790" t="str">
        <f t="shared" si="63"/>
        <v/>
      </c>
      <c r="M790" t="str">
        <f t="shared" si="64"/>
        <v/>
      </c>
    </row>
    <row r="791" spans="1:13" x14ac:dyDescent="0.3">
      <c r="A791" t="str">
        <f>Segmenter!A791</f>
        <v/>
      </c>
      <c r="B791" t="str">
        <f>Segmenter!B791</f>
        <v/>
      </c>
      <c r="C791" t="str">
        <f t="shared" si="60"/>
        <v/>
      </c>
      <c r="D791" t="str">
        <f t="shared" si="61"/>
        <v/>
      </c>
      <c r="E791" t="str">
        <f t="shared" si="62"/>
        <v/>
      </c>
      <c r="F791" t="str">
        <f>IF(D791="","",INDEX(Knutepunkter!$B:$B,D791+1))</f>
        <v/>
      </c>
      <c r="G791" t="str">
        <f>IF(D791="","",INDEX(Knutepunkter!$C:$C,D791+1))</f>
        <v/>
      </c>
      <c r="H791" t="str">
        <f>IF(D791="","",INDEX(Knutepunkter!$D:$D,D791+1))</f>
        <v/>
      </c>
      <c r="I791" t="str">
        <f>IF(E791="","",INDEX(Knutepunkter!$B:$B,E791+1))</f>
        <v/>
      </c>
      <c r="J791" t="str">
        <f>IF(E791="","",INDEX(Knutepunkter!$C:$C,E791+1))</f>
        <v/>
      </c>
      <c r="K791" t="str">
        <f>IF(E791="","",INDEX(Knutepunkter!$D:$D,E791+1))</f>
        <v/>
      </c>
      <c r="L791" t="str">
        <f t="shared" si="63"/>
        <v/>
      </c>
      <c r="M791" t="str">
        <f t="shared" si="64"/>
        <v/>
      </c>
    </row>
    <row r="792" spans="1:13" x14ac:dyDescent="0.3">
      <c r="A792" t="str">
        <f>Segmenter!A792</f>
        <v/>
      </c>
      <c r="B792" t="str">
        <f>Segmenter!B792</f>
        <v/>
      </c>
      <c r="C792" t="str">
        <f t="shared" si="60"/>
        <v/>
      </c>
      <c r="D792" t="str">
        <f t="shared" si="61"/>
        <v/>
      </c>
      <c r="E792" t="str">
        <f t="shared" si="62"/>
        <v/>
      </c>
      <c r="F792" t="str">
        <f>IF(D792="","",INDEX(Knutepunkter!$B:$B,D792+1))</f>
        <v/>
      </c>
      <c r="G792" t="str">
        <f>IF(D792="","",INDEX(Knutepunkter!$C:$C,D792+1))</f>
        <v/>
      </c>
      <c r="H792" t="str">
        <f>IF(D792="","",INDEX(Knutepunkter!$D:$D,D792+1))</f>
        <v/>
      </c>
      <c r="I792" t="str">
        <f>IF(E792="","",INDEX(Knutepunkter!$B:$B,E792+1))</f>
        <v/>
      </c>
      <c r="J792" t="str">
        <f>IF(E792="","",INDEX(Knutepunkter!$C:$C,E792+1))</f>
        <v/>
      </c>
      <c r="K792" t="str">
        <f>IF(E792="","",INDEX(Knutepunkter!$D:$D,E792+1))</f>
        <v/>
      </c>
      <c r="L792" t="str">
        <f t="shared" si="63"/>
        <v/>
      </c>
      <c r="M792" t="str">
        <f t="shared" si="64"/>
        <v/>
      </c>
    </row>
    <row r="793" spans="1:13" x14ac:dyDescent="0.3">
      <c r="A793" t="str">
        <f>Segmenter!A793</f>
        <v/>
      </c>
      <c r="B793" t="str">
        <f>Segmenter!B793</f>
        <v/>
      </c>
      <c r="C793" t="str">
        <f t="shared" si="60"/>
        <v/>
      </c>
      <c r="D793" t="str">
        <f t="shared" si="61"/>
        <v/>
      </c>
      <c r="E793" t="str">
        <f t="shared" si="62"/>
        <v/>
      </c>
      <c r="F793" t="str">
        <f>IF(D793="","",INDEX(Knutepunkter!$B:$B,D793+1))</f>
        <v/>
      </c>
      <c r="G793" t="str">
        <f>IF(D793="","",INDEX(Knutepunkter!$C:$C,D793+1))</f>
        <v/>
      </c>
      <c r="H793" t="str">
        <f>IF(D793="","",INDEX(Knutepunkter!$D:$D,D793+1))</f>
        <v/>
      </c>
      <c r="I793" t="str">
        <f>IF(E793="","",INDEX(Knutepunkter!$B:$B,E793+1))</f>
        <v/>
      </c>
      <c r="J793" t="str">
        <f>IF(E793="","",INDEX(Knutepunkter!$C:$C,E793+1))</f>
        <v/>
      </c>
      <c r="K793" t="str">
        <f>IF(E793="","",INDEX(Knutepunkter!$D:$D,E793+1))</f>
        <v/>
      </c>
      <c r="L793" t="str">
        <f t="shared" si="63"/>
        <v/>
      </c>
      <c r="M793" t="str">
        <f t="shared" si="64"/>
        <v/>
      </c>
    </row>
    <row r="794" spans="1:13" x14ac:dyDescent="0.3">
      <c r="A794" t="str">
        <f>Segmenter!A794</f>
        <v/>
      </c>
      <c r="B794" t="str">
        <f>Segmenter!B794</f>
        <v/>
      </c>
      <c r="C794" t="str">
        <f t="shared" si="60"/>
        <v/>
      </c>
      <c r="D794" t="str">
        <f t="shared" si="61"/>
        <v/>
      </c>
      <c r="E794" t="str">
        <f t="shared" si="62"/>
        <v/>
      </c>
      <c r="F794" t="str">
        <f>IF(D794="","",INDEX(Knutepunkter!$B:$B,D794+1))</f>
        <v/>
      </c>
      <c r="G794" t="str">
        <f>IF(D794="","",INDEX(Knutepunkter!$C:$C,D794+1))</f>
        <v/>
      </c>
      <c r="H794" t="str">
        <f>IF(D794="","",INDEX(Knutepunkter!$D:$D,D794+1))</f>
        <v/>
      </c>
      <c r="I794" t="str">
        <f>IF(E794="","",INDEX(Knutepunkter!$B:$B,E794+1))</f>
        <v/>
      </c>
      <c r="J794" t="str">
        <f>IF(E794="","",INDEX(Knutepunkter!$C:$C,E794+1))</f>
        <v/>
      </c>
      <c r="K794" t="str">
        <f>IF(E794="","",INDEX(Knutepunkter!$D:$D,E794+1))</f>
        <v/>
      </c>
      <c r="L794" t="str">
        <f t="shared" si="63"/>
        <v/>
      </c>
      <c r="M794" t="str">
        <f t="shared" si="64"/>
        <v/>
      </c>
    </row>
    <row r="795" spans="1:13" x14ac:dyDescent="0.3">
      <c r="A795" t="str">
        <f>Segmenter!A795</f>
        <v/>
      </c>
      <c r="B795" t="str">
        <f>Segmenter!B795</f>
        <v/>
      </c>
      <c r="C795" t="str">
        <f t="shared" si="60"/>
        <v/>
      </c>
      <c r="D795" t="str">
        <f t="shared" si="61"/>
        <v/>
      </c>
      <c r="E795" t="str">
        <f t="shared" si="62"/>
        <v/>
      </c>
      <c r="F795" t="str">
        <f>IF(D795="","",INDEX(Knutepunkter!$B:$B,D795+1))</f>
        <v/>
      </c>
      <c r="G795" t="str">
        <f>IF(D795="","",INDEX(Knutepunkter!$C:$C,D795+1))</f>
        <v/>
      </c>
      <c r="H795" t="str">
        <f>IF(D795="","",INDEX(Knutepunkter!$D:$D,D795+1))</f>
        <v/>
      </c>
      <c r="I795" t="str">
        <f>IF(E795="","",INDEX(Knutepunkter!$B:$B,E795+1))</f>
        <v/>
      </c>
      <c r="J795" t="str">
        <f>IF(E795="","",INDEX(Knutepunkter!$C:$C,E795+1))</f>
        <v/>
      </c>
      <c r="K795" t="str">
        <f>IF(E795="","",INDEX(Knutepunkter!$D:$D,E795+1))</f>
        <v/>
      </c>
      <c r="L795" t="str">
        <f t="shared" si="63"/>
        <v/>
      </c>
      <c r="M795" t="str">
        <f t="shared" si="64"/>
        <v/>
      </c>
    </row>
    <row r="796" spans="1:13" x14ac:dyDescent="0.3">
      <c r="A796" t="str">
        <f>Segmenter!A796</f>
        <v/>
      </c>
      <c r="B796" t="str">
        <f>Segmenter!B796</f>
        <v/>
      </c>
      <c r="C796" t="str">
        <f t="shared" si="60"/>
        <v/>
      </c>
      <c r="D796" t="str">
        <f t="shared" si="61"/>
        <v/>
      </c>
      <c r="E796" t="str">
        <f t="shared" si="62"/>
        <v/>
      </c>
      <c r="F796" t="str">
        <f>IF(D796="","",INDEX(Knutepunkter!$B:$B,D796+1))</f>
        <v/>
      </c>
      <c r="G796" t="str">
        <f>IF(D796="","",INDEX(Knutepunkter!$C:$C,D796+1))</f>
        <v/>
      </c>
      <c r="H796" t="str">
        <f>IF(D796="","",INDEX(Knutepunkter!$D:$D,D796+1))</f>
        <v/>
      </c>
      <c r="I796" t="str">
        <f>IF(E796="","",INDEX(Knutepunkter!$B:$B,E796+1))</f>
        <v/>
      </c>
      <c r="J796" t="str">
        <f>IF(E796="","",INDEX(Knutepunkter!$C:$C,E796+1))</f>
        <v/>
      </c>
      <c r="K796" t="str">
        <f>IF(E796="","",INDEX(Knutepunkter!$D:$D,E796+1))</f>
        <v/>
      </c>
      <c r="L796" t="str">
        <f t="shared" si="63"/>
        <v/>
      </c>
      <c r="M796" t="str">
        <f t="shared" si="64"/>
        <v/>
      </c>
    </row>
    <row r="797" spans="1:13" x14ac:dyDescent="0.3">
      <c r="A797" t="str">
        <f>Segmenter!A797</f>
        <v/>
      </c>
      <c r="B797" t="str">
        <f>Segmenter!B797</f>
        <v/>
      </c>
      <c r="C797" t="str">
        <f t="shared" si="60"/>
        <v/>
      </c>
      <c r="D797" t="str">
        <f t="shared" si="61"/>
        <v/>
      </c>
      <c r="E797" t="str">
        <f t="shared" si="62"/>
        <v/>
      </c>
      <c r="F797" t="str">
        <f>IF(D797="","",INDEX(Knutepunkter!$B:$B,D797+1))</f>
        <v/>
      </c>
      <c r="G797" t="str">
        <f>IF(D797="","",INDEX(Knutepunkter!$C:$C,D797+1))</f>
        <v/>
      </c>
      <c r="H797" t="str">
        <f>IF(D797="","",INDEX(Knutepunkter!$D:$D,D797+1))</f>
        <v/>
      </c>
      <c r="I797" t="str">
        <f>IF(E797="","",INDEX(Knutepunkter!$B:$B,E797+1))</f>
        <v/>
      </c>
      <c r="J797" t="str">
        <f>IF(E797="","",INDEX(Knutepunkter!$C:$C,E797+1))</f>
        <v/>
      </c>
      <c r="K797" t="str">
        <f>IF(E797="","",INDEX(Knutepunkter!$D:$D,E797+1))</f>
        <v/>
      </c>
      <c r="L797" t="str">
        <f t="shared" si="63"/>
        <v/>
      </c>
      <c r="M797" t="str">
        <f t="shared" si="64"/>
        <v/>
      </c>
    </row>
    <row r="798" spans="1:13" x14ac:dyDescent="0.3">
      <c r="A798" t="str">
        <f>Segmenter!A798</f>
        <v/>
      </c>
      <c r="B798" t="str">
        <f>Segmenter!B798</f>
        <v/>
      </c>
      <c r="C798" t="str">
        <f t="shared" si="60"/>
        <v/>
      </c>
      <c r="D798" t="str">
        <f t="shared" si="61"/>
        <v/>
      </c>
      <c r="E798" t="str">
        <f t="shared" si="62"/>
        <v/>
      </c>
      <c r="F798" t="str">
        <f>IF(D798="","",INDEX(Knutepunkter!$B:$B,D798+1))</f>
        <v/>
      </c>
      <c r="G798" t="str">
        <f>IF(D798="","",INDEX(Knutepunkter!$C:$C,D798+1))</f>
        <v/>
      </c>
      <c r="H798" t="str">
        <f>IF(D798="","",INDEX(Knutepunkter!$D:$D,D798+1))</f>
        <v/>
      </c>
      <c r="I798" t="str">
        <f>IF(E798="","",INDEX(Knutepunkter!$B:$B,E798+1))</f>
        <v/>
      </c>
      <c r="J798" t="str">
        <f>IF(E798="","",INDEX(Knutepunkter!$C:$C,E798+1))</f>
        <v/>
      </c>
      <c r="K798" t="str">
        <f>IF(E798="","",INDEX(Knutepunkter!$D:$D,E798+1))</f>
        <v/>
      </c>
      <c r="L798" t="str">
        <f t="shared" si="63"/>
        <v/>
      </c>
      <c r="M798" t="str">
        <f t="shared" si="64"/>
        <v/>
      </c>
    </row>
    <row r="799" spans="1:13" x14ac:dyDescent="0.3">
      <c r="A799" t="str">
        <f>Segmenter!A799</f>
        <v/>
      </c>
      <c r="B799" t="str">
        <f>Segmenter!B799</f>
        <v/>
      </c>
      <c r="C799" t="str">
        <f t="shared" si="60"/>
        <v/>
      </c>
      <c r="D799" t="str">
        <f t="shared" si="61"/>
        <v/>
      </c>
      <c r="E799" t="str">
        <f t="shared" si="62"/>
        <v/>
      </c>
      <c r="F799" t="str">
        <f>IF(D799="","",INDEX(Knutepunkter!$B:$B,D799+1))</f>
        <v/>
      </c>
      <c r="G799" t="str">
        <f>IF(D799="","",INDEX(Knutepunkter!$C:$C,D799+1))</f>
        <v/>
      </c>
      <c r="H799" t="str">
        <f>IF(D799="","",INDEX(Knutepunkter!$D:$D,D799+1))</f>
        <v/>
      </c>
      <c r="I799" t="str">
        <f>IF(E799="","",INDEX(Knutepunkter!$B:$B,E799+1))</f>
        <v/>
      </c>
      <c r="J799" t="str">
        <f>IF(E799="","",INDEX(Knutepunkter!$C:$C,E799+1))</f>
        <v/>
      </c>
      <c r="K799" t="str">
        <f>IF(E799="","",INDEX(Knutepunkter!$D:$D,E799+1))</f>
        <v/>
      </c>
      <c r="L799" t="str">
        <f t="shared" si="63"/>
        <v/>
      </c>
      <c r="M799" t="str">
        <f t="shared" si="64"/>
        <v/>
      </c>
    </row>
    <row r="800" spans="1:13" x14ac:dyDescent="0.3">
      <c r="A800" t="str">
        <f>Segmenter!A800</f>
        <v/>
      </c>
      <c r="B800" t="str">
        <f>Segmenter!B800</f>
        <v/>
      </c>
      <c r="C800" t="str">
        <f t="shared" si="60"/>
        <v/>
      </c>
      <c r="D800" t="str">
        <f t="shared" si="61"/>
        <v/>
      </c>
      <c r="E800" t="str">
        <f t="shared" si="62"/>
        <v/>
      </c>
      <c r="F800" t="str">
        <f>IF(D800="","",INDEX(Knutepunkter!$B:$B,D800+1))</f>
        <v/>
      </c>
      <c r="G800" t="str">
        <f>IF(D800="","",INDEX(Knutepunkter!$C:$C,D800+1))</f>
        <v/>
      </c>
      <c r="H800" t="str">
        <f>IF(D800="","",INDEX(Knutepunkter!$D:$D,D800+1))</f>
        <v/>
      </c>
      <c r="I800" t="str">
        <f>IF(E800="","",INDEX(Knutepunkter!$B:$B,E800+1))</f>
        <v/>
      </c>
      <c r="J800" t="str">
        <f>IF(E800="","",INDEX(Knutepunkter!$C:$C,E800+1))</f>
        <v/>
      </c>
      <c r="K800" t="str">
        <f>IF(E800="","",INDEX(Knutepunkter!$D:$D,E800+1))</f>
        <v/>
      </c>
      <c r="L800" t="str">
        <f t="shared" si="63"/>
        <v/>
      </c>
      <c r="M800" t="str">
        <f t="shared" si="64"/>
        <v/>
      </c>
    </row>
    <row r="801" spans="1:13" x14ac:dyDescent="0.3">
      <c r="A801" t="str">
        <f>Segmenter!A801</f>
        <v/>
      </c>
      <c r="B801" t="str">
        <f>Segmenter!B801</f>
        <v/>
      </c>
      <c r="C801" t="str">
        <f t="shared" si="60"/>
        <v/>
      </c>
      <c r="D801" t="str">
        <f t="shared" si="61"/>
        <v/>
      </c>
      <c r="E801" t="str">
        <f t="shared" si="62"/>
        <v/>
      </c>
      <c r="F801" t="str">
        <f>IF(D801="","",INDEX(Knutepunkter!$B:$B,D801+1))</f>
        <v/>
      </c>
      <c r="G801" t="str">
        <f>IF(D801="","",INDEX(Knutepunkter!$C:$C,D801+1))</f>
        <v/>
      </c>
      <c r="H801" t="str">
        <f>IF(D801="","",INDEX(Knutepunkter!$D:$D,D801+1))</f>
        <v/>
      </c>
      <c r="I801" t="str">
        <f>IF(E801="","",INDEX(Knutepunkter!$B:$B,E801+1))</f>
        <v/>
      </c>
      <c r="J801" t="str">
        <f>IF(E801="","",INDEX(Knutepunkter!$C:$C,E801+1))</f>
        <v/>
      </c>
      <c r="K801" t="str">
        <f>IF(E801="","",INDEX(Knutepunkter!$D:$D,E801+1))</f>
        <v/>
      </c>
      <c r="L801" t="str">
        <f t="shared" si="63"/>
        <v/>
      </c>
      <c r="M801" t="str">
        <f t="shared" si="64"/>
        <v/>
      </c>
    </row>
    <row r="802" spans="1:13" x14ac:dyDescent="0.3">
      <c r="A802" t="str">
        <f>Segmenter!A802</f>
        <v/>
      </c>
      <c r="B802" t="str">
        <f>Segmenter!B802</f>
        <v/>
      </c>
      <c r="C802" t="str">
        <f t="shared" si="60"/>
        <v/>
      </c>
      <c r="D802" t="str">
        <f t="shared" si="61"/>
        <v/>
      </c>
      <c r="E802" t="str">
        <f t="shared" si="62"/>
        <v/>
      </c>
      <c r="F802" t="str">
        <f>IF(D802="","",INDEX(Knutepunkter!$B:$B,D802+1))</f>
        <v/>
      </c>
      <c r="G802" t="str">
        <f>IF(D802="","",INDEX(Knutepunkter!$C:$C,D802+1))</f>
        <v/>
      </c>
      <c r="H802" t="str">
        <f>IF(D802="","",INDEX(Knutepunkter!$D:$D,D802+1))</f>
        <v/>
      </c>
      <c r="I802" t="str">
        <f>IF(E802="","",INDEX(Knutepunkter!$B:$B,E802+1))</f>
        <v/>
      </c>
      <c r="J802" t="str">
        <f>IF(E802="","",INDEX(Knutepunkter!$C:$C,E802+1))</f>
        <v/>
      </c>
      <c r="K802" t="str">
        <f>IF(E802="","",INDEX(Knutepunkter!$D:$D,E802+1))</f>
        <v/>
      </c>
      <c r="L802" t="str">
        <f t="shared" si="63"/>
        <v/>
      </c>
      <c r="M802" t="str">
        <f t="shared" si="64"/>
        <v/>
      </c>
    </row>
    <row r="803" spans="1:13" x14ac:dyDescent="0.3">
      <c r="A803" t="str">
        <f>Segmenter!A803</f>
        <v/>
      </c>
      <c r="B803" t="str">
        <f>Segmenter!B803</f>
        <v/>
      </c>
      <c r="C803" t="str">
        <f t="shared" si="60"/>
        <v/>
      </c>
      <c r="D803" t="str">
        <f t="shared" si="61"/>
        <v/>
      </c>
      <c r="E803" t="str">
        <f t="shared" si="62"/>
        <v/>
      </c>
      <c r="F803" t="str">
        <f>IF(D803="","",INDEX(Knutepunkter!$B:$B,D803+1))</f>
        <v/>
      </c>
      <c r="G803" t="str">
        <f>IF(D803="","",INDEX(Knutepunkter!$C:$C,D803+1))</f>
        <v/>
      </c>
      <c r="H803" t="str">
        <f>IF(D803="","",INDEX(Knutepunkter!$D:$D,D803+1))</f>
        <v/>
      </c>
      <c r="I803" t="str">
        <f>IF(E803="","",INDEX(Knutepunkter!$B:$B,E803+1))</f>
        <v/>
      </c>
      <c r="J803" t="str">
        <f>IF(E803="","",INDEX(Knutepunkter!$C:$C,E803+1))</f>
        <v/>
      </c>
      <c r="K803" t="str">
        <f>IF(E803="","",INDEX(Knutepunkter!$D:$D,E803+1))</f>
        <v/>
      </c>
      <c r="L803" t="str">
        <f t="shared" si="63"/>
        <v/>
      </c>
      <c r="M803" t="str">
        <f t="shared" si="64"/>
        <v/>
      </c>
    </row>
    <row r="804" spans="1:13" x14ac:dyDescent="0.3">
      <c r="A804" t="str">
        <f>Segmenter!A804</f>
        <v/>
      </c>
      <c r="B804" t="str">
        <f>Segmenter!B804</f>
        <v/>
      </c>
      <c r="C804" t="str">
        <f t="shared" si="60"/>
        <v/>
      </c>
      <c r="D804" t="str">
        <f t="shared" si="61"/>
        <v/>
      </c>
      <c r="E804" t="str">
        <f t="shared" si="62"/>
        <v/>
      </c>
      <c r="F804" t="str">
        <f>IF(D804="","",INDEX(Knutepunkter!$B:$B,D804+1))</f>
        <v/>
      </c>
      <c r="G804" t="str">
        <f>IF(D804="","",INDEX(Knutepunkter!$C:$C,D804+1))</f>
        <v/>
      </c>
      <c r="H804" t="str">
        <f>IF(D804="","",INDEX(Knutepunkter!$D:$D,D804+1))</f>
        <v/>
      </c>
      <c r="I804" t="str">
        <f>IF(E804="","",INDEX(Knutepunkter!$B:$B,E804+1))</f>
        <v/>
      </c>
      <c r="J804" t="str">
        <f>IF(E804="","",INDEX(Knutepunkter!$C:$C,E804+1))</f>
        <v/>
      </c>
      <c r="K804" t="str">
        <f>IF(E804="","",INDEX(Knutepunkter!$D:$D,E804+1))</f>
        <v/>
      </c>
      <c r="L804" t="str">
        <f t="shared" si="63"/>
        <v/>
      </c>
      <c r="M804" t="str">
        <f t="shared" si="64"/>
        <v/>
      </c>
    </row>
    <row r="805" spans="1:13" x14ac:dyDescent="0.3">
      <c r="A805" t="str">
        <f>Segmenter!A805</f>
        <v/>
      </c>
      <c r="B805" t="str">
        <f>Segmenter!B805</f>
        <v/>
      </c>
      <c r="C805" t="str">
        <f t="shared" si="60"/>
        <v/>
      </c>
      <c r="D805" t="str">
        <f t="shared" si="61"/>
        <v/>
      </c>
      <c r="E805" t="str">
        <f t="shared" si="62"/>
        <v/>
      </c>
      <c r="F805" t="str">
        <f>IF(D805="","",INDEX(Knutepunkter!$B:$B,D805+1))</f>
        <v/>
      </c>
      <c r="G805" t="str">
        <f>IF(D805="","",INDEX(Knutepunkter!$C:$C,D805+1))</f>
        <v/>
      </c>
      <c r="H805" t="str">
        <f>IF(D805="","",INDEX(Knutepunkter!$D:$D,D805+1))</f>
        <v/>
      </c>
      <c r="I805" t="str">
        <f>IF(E805="","",INDEX(Knutepunkter!$B:$B,E805+1))</f>
        <v/>
      </c>
      <c r="J805" t="str">
        <f>IF(E805="","",INDEX(Knutepunkter!$C:$C,E805+1))</f>
        <v/>
      </c>
      <c r="K805" t="str">
        <f>IF(E805="","",INDEX(Knutepunkter!$D:$D,E805+1))</f>
        <v/>
      </c>
      <c r="L805" t="str">
        <f t="shared" si="63"/>
        <v/>
      </c>
      <c r="M805" t="str">
        <f t="shared" si="64"/>
        <v/>
      </c>
    </row>
    <row r="806" spans="1:13" x14ac:dyDescent="0.3">
      <c r="A806" t="str">
        <f>Segmenter!A806</f>
        <v/>
      </c>
      <c r="B806" t="str">
        <f>Segmenter!B806</f>
        <v/>
      </c>
      <c r="C806" t="str">
        <f t="shared" si="60"/>
        <v/>
      </c>
      <c r="D806" t="str">
        <f t="shared" si="61"/>
        <v/>
      </c>
      <c r="E806" t="str">
        <f t="shared" si="62"/>
        <v/>
      </c>
      <c r="F806" t="str">
        <f>IF(D806="","",INDEX(Knutepunkter!$B:$B,D806+1))</f>
        <v/>
      </c>
      <c r="G806" t="str">
        <f>IF(D806="","",INDEX(Knutepunkter!$C:$C,D806+1))</f>
        <v/>
      </c>
      <c r="H806" t="str">
        <f>IF(D806="","",INDEX(Knutepunkter!$D:$D,D806+1))</f>
        <v/>
      </c>
      <c r="I806" t="str">
        <f>IF(E806="","",INDEX(Knutepunkter!$B:$B,E806+1))</f>
        <v/>
      </c>
      <c r="J806" t="str">
        <f>IF(E806="","",INDEX(Knutepunkter!$C:$C,E806+1))</f>
        <v/>
      </c>
      <c r="K806" t="str">
        <f>IF(E806="","",INDEX(Knutepunkter!$D:$D,E806+1))</f>
        <v/>
      </c>
      <c r="L806" t="str">
        <f t="shared" si="63"/>
        <v/>
      </c>
      <c r="M806" t="str">
        <f t="shared" si="64"/>
        <v/>
      </c>
    </row>
    <row r="807" spans="1:13" x14ac:dyDescent="0.3">
      <c r="A807" t="str">
        <f>Segmenter!A807</f>
        <v/>
      </c>
      <c r="B807" t="str">
        <f>Segmenter!B807</f>
        <v/>
      </c>
      <c r="C807" t="str">
        <f t="shared" si="60"/>
        <v/>
      </c>
      <c r="D807" t="str">
        <f t="shared" si="61"/>
        <v/>
      </c>
      <c r="E807" t="str">
        <f t="shared" si="62"/>
        <v/>
      </c>
      <c r="F807" t="str">
        <f>IF(D807="","",INDEX(Knutepunkter!$B:$B,D807+1))</f>
        <v/>
      </c>
      <c r="G807" t="str">
        <f>IF(D807="","",INDEX(Knutepunkter!$C:$C,D807+1))</f>
        <v/>
      </c>
      <c r="H807" t="str">
        <f>IF(D807="","",INDEX(Knutepunkter!$D:$D,D807+1))</f>
        <v/>
      </c>
      <c r="I807" t="str">
        <f>IF(E807="","",INDEX(Knutepunkter!$B:$B,E807+1))</f>
        <v/>
      </c>
      <c r="J807" t="str">
        <f>IF(E807="","",INDEX(Knutepunkter!$C:$C,E807+1))</f>
        <v/>
      </c>
      <c r="K807" t="str">
        <f>IF(E807="","",INDEX(Knutepunkter!$D:$D,E807+1))</f>
        <v/>
      </c>
      <c r="L807" t="str">
        <f t="shared" si="63"/>
        <v/>
      </c>
      <c r="M807" t="str">
        <f t="shared" si="64"/>
        <v/>
      </c>
    </row>
    <row r="808" spans="1:13" x14ac:dyDescent="0.3">
      <c r="A808" t="str">
        <f>Segmenter!A808</f>
        <v/>
      </c>
      <c r="B808" t="str">
        <f>Segmenter!B808</f>
        <v/>
      </c>
      <c r="C808" t="str">
        <f t="shared" si="60"/>
        <v/>
      </c>
      <c r="D808" t="str">
        <f t="shared" si="61"/>
        <v/>
      </c>
      <c r="E808" t="str">
        <f t="shared" si="62"/>
        <v/>
      </c>
      <c r="F808" t="str">
        <f>IF(D808="","",INDEX(Knutepunkter!$B:$B,D808+1))</f>
        <v/>
      </c>
      <c r="G808" t="str">
        <f>IF(D808="","",INDEX(Knutepunkter!$C:$C,D808+1))</f>
        <v/>
      </c>
      <c r="H808" t="str">
        <f>IF(D808="","",INDEX(Knutepunkter!$D:$D,D808+1))</f>
        <v/>
      </c>
      <c r="I808" t="str">
        <f>IF(E808="","",INDEX(Knutepunkter!$B:$B,E808+1))</f>
        <v/>
      </c>
      <c r="J808" t="str">
        <f>IF(E808="","",INDEX(Knutepunkter!$C:$C,E808+1))</f>
        <v/>
      </c>
      <c r="K808" t="str">
        <f>IF(E808="","",INDEX(Knutepunkter!$D:$D,E808+1))</f>
        <v/>
      </c>
      <c r="L808" t="str">
        <f t="shared" si="63"/>
        <v/>
      </c>
      <c r="M808" t="str">
        <f t="shared" si="64"/>
        <v/>
      </c>
    </row>
    <row r="809" spans="1:13" x14ac:dyDescent="0.3">
      <c r="A809" t="str">
        <f>Segmenter!A809</f>
        <v/>
      </c>
      <c r="B809" t="str">
        <f>Segmenter!B809</f>
        <v/>
      </c>
      <c r="C809" t="str">
        <f t="shared" si="60"/>
        <v/>
      </c>
      <c r="D809" t="str">
        <f t="shared" si="61"/>
        <v/>
      </c>
      <c r="E809" t="str">
        <f t="shared" si="62"/>
        <v/>
      </c>
      <c r="F809" t="str">
        <f>IF(D809="","",INDEX(Knutepunkter!$B:$B,D809+1))</f>
        <v/>
      </c>
      <c r="G809" t="str">
        <f>IF(D809="","",INDEX(Knutepunkter!$C:$C,D809+1))</f>
        <v/>
      </c>
      <c r="H809" t="str">
        <f>IF(D809="","",INDEX(Knutepunkter!$D:$D,D809+1))</f>
        <v/>
      </c>
      <c r="I809" t="str">
        <f>IF(E809="","",INDEX(Knutepunkter!$B:$B,E809+1))</f>
        <v/>
      </c>
      <c r="J809" t="str">
        <f>IF(E809="","",INDEX(Knutepunkter!$C:$C,E809+1))</f>
        <v/>
      </c>
      <c r="K809" t="str">
        <f>IF(E809="","",INDEX(Knutepunkter!$D:$D,E809+1))</f>
        <v/>
      </c>
      <c r="L809" t="str">
        <f t="shared" si="63"/>
        <v/>
      </c>
      <c r="M809" t="str">
        <f t="shared" si="64"/>
        <v/>
      </c>
    </row>
    <row r="810" spans="1:13" x14ac:dyDescent="0.3">
      <c r="A810" t="str">
        <f>Segmenter!A810</f>
        <v/>
      </c>
      <c r="B810" t="str">
        <f>Segmenter!B810</f>
        <v/>
      </c>
      <c r="C810" t="str">
        <f t="shared" si="60"/>
        <v/>
      </c>
      <c r="D810" t="str">
        <f t="shared" si="61"/>
        <v/>
      </c>
      <c r="E810" t="str">
        <f t="shared" si="62"/>
        <v/>
      </c>
      <c r="F810" t="str">
        <f>IF(D810="","",INDEX(Knutepunkter!$B:$B,D810+1))</f>
        <v/>
      </c>
      <c r="G810" t="str">
        <f>IF(D810="","",INDEX(Knutepunkter!$C:$C,D810+1))</f>
        <v/>
      </c>
      <c r="H810" t="str">
        <f>IF(D810="","",INDEX(Knutepunkter!$D:$D,D810+1))</f>
        <v/>
      </c>
      <c r="I810" t="str">
        <f>IF(E810="","",INDEX(Knutepunkter!$B:$B,E810+1))</f>
        <v/>
      </c>
      <c r="J810" t="str">
        <f>IF(E810="","",INDEX(Knutepunkter!$C:$C,E810+1))</f>
        <v/>
      </c>
      <c r="K810" t="str">
        <f>IF(E810="","",INDEX(Knutepunkter!$D:$D,E810+1))</f>
        <v/>
      </c>
      <c r="L810" t="str">
        <f t="shared" si="63"/>
        <v/>
      </c>
      <c r="M810" t="str">
        <f t="shared" si="64"/>
        <v/>
      </c>
    </row>
    <row r="811" spans="1:13" x14ac:dyDescent="0.3">
      <c r="A811" t="str">
        <f>Segmenter!A811</f>
        <v/>
      </c>
      <c r="B811" t="str">
        <f>Segmenter!B811</f>
        <v/>
      </c>
      <c r="C811" t="str">
        <f t="shared" si="60"/>
        <v/>
      </c>
      <c r="D811" t="str">
        <f t="shared" si="61"/>
        <v/>
      </c>
      <c r="E811" t="str">
        <f t="shared" si="62"/>
        <v/>
      </c>
      <c r="F811" t="str">
        <f>IF(D811="","",INDEX(Knutepunkter!$B:$B,D811+1))</f>
        <v/>
      </c>
      <c r="G811" t="str">
        <f>IF(D811="","",INDEX(Knutepunkter!$C:$C,D811+1))</f>
        <v/>
      </c>
      <c r="H811" t="str">
        <f>IF(D811="","",INDEX(Knutepunkter!$D:$D,D811+1))</f>
        <v/>
      </c>
      <c r="I811" t="str">
        <f>IF(E811="","",INDEX(Knutepunkter!$B:$B,E811+1))</f>
        <v/>
      </c>
      <c r="J811" t="str">
        <f>IF(E811="","",INDEX(Knutepunkter!$C:$C,E811+1))</f>
        <v/>
      </c>
      <c r="K811" t="str">
        <f>IF(E811="","",INDEX(Knutepunkter!$D:$D,E811+1))</f>
        <v/>
      </c>
      <c r="L811" t="str">
        <f t="shared" si="63"/>
        <v/>
      </c>
      <c r="M811" t="str">
        <f t="shared" si="64"/>
        <v/>
      </c>
    </row>
    <row r="812" spans="1:13" x14ac:dyDescent="0.3">
      <c r="A812" t="str">
        <f>Segmenter!A812</f>
        <v/>
      </c>
      <c r="B812" t="str">
        <f>Segmenter!B812</f>
        <v/>
      </c>
      <c r="C812" t="str">
        <f t="shared" si="60"/>
        <v/>
      </c>
      <c r="D812" t="str">
        <f t="shared" si="61"/>
        <v/>
      </c>
      <c r="E812" t="str">
        <f t="shared" si="62"/>
        <v/>
      </c>
      <c r="F812" t="str">
        <f>IF(D812="","",INDEX(Knutepunkter!$B:$B,D812+1))</f>
        <v/>
      </c>
      <c r="G812" t="str">
        <f>IF(D812="","",INDEX(Knutepunkter!$C:$C,D812+1))</f>
        <v/>
      </c>
      <c r="H812" t="str">
        <f>IF(D812="","",INDEX(Knutepunkter!$D:$D,D812+1))</f>
        <v/>
      </c>
      <c r="I812" t="str">
        <f>IF(E812="","",INDEX(Knutepunkter!$B:$B,E812+1))</f>
        <v/>
      </c>
      <c r="J812" t="str">
        <f>IF(E812="","",INDEX(Knutepunkter!$C:$C,E812+1))</f>
        <v/>
      </c>
      <c r="K812" t="str">
        <f>IF(E812="","",INDEX(Knutepunkter!$D:$D,E812+1))</f>
        <v/>
      </c>
      <c r="L812" t="str">
        <f t="shared" si="63"/>
        <v/>
      </c>
      <c r="M812" t="str">
        <f t="shared" si="64"/>
        <v/>
      </c>
    </row>
    <row r="813" spans="1:13" x14ac:dyDescent="0.3">
      <c r="A813" t="str">
        <f>Segmenter!A813</f>
        <v/>
      </c>
      <c r="B813" t="str">
        <f>Segmenter!B813</f>
        <v/>
      </c>
      <c r="C813" t="str">
        <f t="shared" si="60"/>
        <v/>
      </c>
      <c r="D813" t="str">
        <f t="shared" si="61"/>
        <v/>
      </c>
      <c r="E813" t="str">
        <f t="shared" si="62"/>
        <v/>
      </c>
      <c r="F813" t="str">
        <f>IF(D813="","",INDEX(Knutepunkter!$B:$B,D813+1))</f>
        <v/>
      </c>
      <c r="G813" t="str">
        <f>IF(D813="","",INDEX(Knutepunkter!$C:$C,D813+1))</f>
        <v/>
      </c>
      <c r="H813" t="str">
        <f>IF(D813="","",INDEX(Knutepunkter!$D:$D,D813+1))</f>
        <v/>
      </c>
      <c r="I813" t="str">
        <f>IF(E813="","",INDEX(Knutepunkter!$B:$B,E813+1))</f>
        <v/>
      </c>
      <c r="J813" t="str">
        <f>IF(E813="","",INDEX(Knutepunkter!$C:$C,E813+1))</f>
        <v/>
      </c>
      <c r="K813" t="str">
        <f>IF(E813="","",INDEX(Knutepunkter!$D:$D,E813+1))</f>
        <v/>
      </c>
      <c r="L813" t="str">
        <f t="shared" si="63"/>
        <v/>
      </c>
      <c r="M813" t="str">
        <f t="shared" si="64"/>
        <v/>
      </c>
    </row>
    <row r="814" spans="1:13" x14ac:dyDescent="0.3">
      <c r="A814" t="str">
        <f>Segmenter!A814</f>
        <v/>
      </c>
      <c r="B814" t="str">
        <f>Segmenter!B814</f>
        <v/>
      </c>
      <c r="C814" t="str">
        <f t="shared" si="60"/>
        <v/>
      </c>
      <c r="D814" t="str">
        <f t="shared" si="61"/>
        <v/>
      </c>
      <c r="E814" t="str">
        <f t="shared" si="62"/>
        <v/>
      </c>
      <c r="F814" t="str">
        <f>IF(D814="","",INDEX(Knutepunkter!$B:$B,D814+1))</f>
        <v/>
      </c>
      <c r="G814" t="str">
        <f>IF(D814="","",INDEX(Knutepunkter!$C:$C,D814+1))</f>
        <v/>
      </c>
      <c r="H814" t="str">
        <f>IF(D814="","",INDEX(Knutepunkter!$D:$D,D814+1))</f>
        <v/>
      </c>
      <c r="I814" t="str">
        <f>IF(E814="","",INDEX(Knutepunkter!$B:$B,E814+1))</f>
        <v/>
      </c>
      <c r="J814" t="str">
        <f>IF(E814="","",INDEX(Knutepunkter!$C:$C,E814+1))</f>
        <v/>
      </c>
      <c r="K814" t="str">
        <f>IF(E814="","",INDEX(Knutepunkter!$D:$D,E814+1))</f>
        <v/>
      </c>
      <c r="L814" t="str">
        <f t="shared" si="63"/>
        <v/>
      </c>
      <c r="M814" t="str">
        <f t="shared" si="64"/>
        <v/>
      </c>
    </row>
    <row r="815" spans="1:13" x14ac:dyDescent="0.3">
      <c r="A815" t="str">
        <f>Segmenter!A815</f>
        <v/>
      </c>
      <c r="B815" t="str">
        <f>Segmenter!B815</f>
        <v/>
      </c>
      <c r="C815" t="str">
        <f t="shared" si="60"/>
        <v/>
      </c>
      <c r="D815" t="str">
        <f t="shared" si="61"/>
        <v/>
      </c>
      <c r="E815" t="str">
        <f t="shared" si="62"/>
        <v/>
      </c>
      <c r="F815" t="str">
        <f>IF(D815="","",INDEX(Knutepunkter!$B:$B,D815+1))</f>
        <v/>
      </c>
      <c r="G815" t="str">
        <f>IF(D815="","",INDEX(Knutepunkter!$C:$C,D815+1))</f>
        <v/>
      </c>
      <c r="H815" t="str">
        <f>IF(D815="","",INDEX(Knutepunkter!$D:$D,D815+1))</f>
        <v/>
      </c>
      <c r="I815" t="str">
        <f>IF(E815="","",INDEX(Knutepunkter!$B:$B,E815+1))</f>
        <v/>
      </c>
      <c r="J815" t="str">
        <f>IF(E815="","",INDEX(Knutepunkter!$C:$C,E815+1))</f>
        <v/>
      </c>
      <c r="K815" t="str">
        <f>IF(E815="","",INDEX(Knutepunkter!$D:$D,E815+1))</f>
        <v/>
      </c>
      <c r="L815" t="str">
        <f t="shared" si="63"/>
        <v/>
      </c>
      <c r="M815" t="str">
        <f t="shared" si="64"/>
        <v/>
      </c>
    </row>
    <row r="816" spans="1:13" x14ac:dyDescent="0.3">
      <c r="A816" t="str">
        <f>Segmenter!A816</f>
        <v/>
      </c>
      <c r="B816" t="str">
        <f>Segmenter!B816</f>
        <v/>
      </c>
      <c r="C816" t="str">
        <f t="shared" si="60"/>
        <v/>
      </c>
      <c r="D816" t="str">
        <f t="shared" si="61"/>
        <v/>
      </c>
      <c r="E816" t="str">
        <f t="shared" si="62"/>
        <v/>
      </c>
      <c r="F816" t="str">
        <f>IF(D816="","",INDEX(Knutepunkter!$B:$B,D816+1))</f>
        <v/>
      </c>
      <c r="G816" t="str">
        <f>IF(D816="","",INDEX(Knutepunkter!$C:$C,D816+1))</f>
        <v/>
      </c>
      <c r="H816" t="str">
        <f>IF(D816="","",INDEX(Knutepunkter!$D:$D,D816+1))</f>
        <v/>
      </c>
      <c r="I816" t="str">
        <f>IF(E816="","",INDEX(Knutepunkter!$B:$B,E816+1))</f>
        <v/>
      </c>
      <c r="J816" t="str">
        <f>IF(E816="","",INDEX(Knutepunkter!$C:$C,E816+1))</f>
        <v/>
      </c>
      <c r="K816" t="str">
        <f>IF(E816="","",INDEX(Knutepunkter!$D:$D,E816+1))</f>
        <v/>
      </c>
      <c r="L816" t="str">
        <f t="shared" si="63"/>
        <v/>
      </c>
      <c r="M816" t="str">
        <f t="shared" si="64"/>
        <v/>
      </c>
    </row>
    <row r="817" spans="1:13" x14ac:dyDescent="0.3">
      <c r="A817" t="str">
        <f>Segmenter!A817</f>
        <v/>
      </c>
      <c r="B817" t="str">
        <f>Segmenter!B817</f>
        <v/>
      </c>
      <c r="C817" t="str">
        <f t="shared" si="60"/>
        <v/>
      </c>
      <c r="D817" t="str">
        <f t="shared" si="61"/>
        <v/>
      </c>
      <c r="E817" t="str">
        <f t="shared" si="62"/>
        <v/>
      </c>
      <c r="F817" t="str">
        <f>IF(D817="","",INDEX(Knutepunkter!$B:$B,D817+1))</f>
        <v/>
      </c>
      <c r="G817" t="str">
        <f>IF(D817="","",INDEX(Knutepunkter!$C:$C,D817+1))</f>
        <v/>
      </c>
      <c r="H817" t="str">
        <f>IF(D817="","",INDEX(Knutepunkter!$D:$D,D817+1))</f>
        <v/>
      </c>
      <c r="I817" t="str">
        <f>IF(E817="","",INDEX(Knutepunkter!$B:$B,E817+1))</f>
        <v/>
      </c>
      <c r="J817" t="str">
        <f>IF(E817="","",INDEX(Knutepunkter!$C:$C,E817+1))</f>
        <v/>
      </c>
      <c r="K817" t="str">
        <f>IF(E817="","",INDEX(Knutepunkter!$D:$D,E817+1))</f>
        <v/>
      </c>
      <c r="L817" t="str">
        <f t="shared" si="63"/>
        <v/>
      </c>
      <c r="M817" t="str">
        <f t="shared" si="64"/>
        <v/>
      </c>
    </row>
    <row r="818" spans="1:13" x14ac:dyDescent="0.3">
      <c r="A818" t="str">
        <f>Segmenter!A818</f>
        <v/>
      </c>
      <c r="B818" t="str">
        <f>Segmenter!B818</f>
        <v/>
      </c>
      <c r="C818" t="str">
        <f t="shared" si="60"/>
        <v/>
      </c>
      <c r="D818" t="str">
        <f t="shared" si="61"/>
        <v/>
      </c>
      <c r="E818" t="str">
        <f t="shared" si="62"/>
        <v/>
      </c>
      <c r="F818" t="str">
        <f>IF(D818="","",INDEX(Knutepunkter!$B:$B,D818+1))</f>
        <v/>
      </c>
      <c r="G818" t="str">
        <f>IF(D818="","",INDEX(Knutepunkter!$C:$C,D818+1))</f>
        <v/>
      </c>
      <c r="H818" t="str">
        <f>IF(D818="","",INDEX(Knutepunkter!$D:$D,D818+1))</f>
        <v/>
      </c>
      <c r="I818" t="str">
        <f>IF(E818="","",INDEX(Knutepunkter!$B:$B,E818+1))</f>
        <v/>
      </c>
      <c r="J818" t="str">
        <f>IF(E818="","",INDEX(Knutepunkter!$C:$C,E818+1))</f>
        <v/>
      </c>
      <c r="K818" t="str">
        <f>IF(E818="","",INDEX(Knutepunkter!$D:$D,E818+1))</f>
        <v/>
      </c>
      <c r="L818" t="str">
        <f t="shared" si="63"/>
        <v/>
      </c>
      <c r="M818" t="str">
        <f t="shared" si="64"/>
        <v/>
      </c>
    </row>
    <row r="819" spans="1:13" x14ac:dyDescent="0.3">
      <c r="A819" t="str">
        <f>Segmenter!A819</f>
        <v/>
      </c>
      <c r="B819" t="str">
        <f>Segmenter!B819</f>
        <v/>
      </c>
      <c r="C819" t="str">
        <f t="shared" si="60"/>
        <v/>
      </c>
      <c r="D819" t="str">
        <f t="shared" si="61"/>
        <v/>
      </c>
      <c r="E819" t="str">
        <f t="shared" si="62"/>
        <v/>
      </c>
      <c r="F819" t="str">
        <f>IF(D819="","",INDEX(Knutepunkter!$B:$B,D819+1))</f>
        <v/>
      </c>
      <c r="G819" t="str">
        <f>IF(D819="","",INDEX(Knutepunkter!$C:$C,D819+1))</f>
        <v/>
      </c>
      <c r="H819" t="str">
        <f>IF(D819="","",INDEX(Knutepunkter!$D:$D,D819+1))</f>
        <v/>
      </c>
      <c r="I819" t="str">
        <f>IF(E819="","",INDEX(Knutepunkter!$B:$B,E819+1))</f>
        <v/>
      </c>
      <c r="J819" t="str">
        <f>IF(E819="","",INDEX(Knutepunkter!$C:$C,E819+1))</f>
        <v/>
      </c>
      <c r="K819" t="str">
        <f>IF(E819="","",INDEX(Knutepunkter!$D:$D,E819+1))</f>
        <v/>
      </c>
      <c r="L819" t="str">
        <f t="shared" si="63"/>
        <v/>
      </c>
      <c r="M819" t="str">
        <f t="shared" si="64"/>
        <v/>
      </c>
    </row>
    <row r="820" spans="1:13" x14ac:dyDescent="0.3">
      <c r="A820" t="str">
        <f>Segmenter!A820</f>
        <v/>
      </c>
      <c r="B820" t="str">
        <f>Segmenter!B820</f>
        <v/>
      </c>
      <c r="C820" t="str">
        <f t="shared" si="60"/>
        <v/>
      </c>
      <c r="D820" t="str">
        <f t="shared" si="61"/>
        <v/>
      </c>
      <c r="E820" t="str">
        <f t="shared" si="62"/>
        <v/>
      </c>
      <c r="F820" t="str">
        <f>IF(D820="","",INDEX(Knutepunkter!$B:$B,D820+1))</f>
        <v/>
      </c>
      <c r="G820" t="str">
        <f>IF(D820="","",INDEX(Knutepunkter!$C:$C,D820+1))</f>
        <v/>
      </c>
      <c r="H820" t="str">
        <f>IF(D820="","",INDEX(Knutepunkter!$D:$D,D820+1))</f>
        <v/>
      </c>
      <c r="I820" t="str">
        <f>IF(E820="","",INDEX(Knutepunkter!$B:$B,E820+1))</f>
        <v/>
      </c>
      <c r="J820" t="str">
        <f>IF(E820="","",INDEX(Knutepunkter!$C:$C,E820+1))</f>
        <v/>
      </c>
      <c r="K820" t="str">
        <f>IF(E820="","",INDEX(Knutepunkter!$D:$D,E820+1))</f>
        <v/>
      </c>
      <c r="L820" t="str">
        <f t="shared" si="63"/>
        <v/>
      </c>
      <c r="M820" t="str">
        <f t="shared" si="64"/>
        <v/>
      </c>
    </row>
    <row r="821" spans="1:13" x14ac:dyDescent="0.3">
      <c r="A821" t="str">
        <f>Segmenter!A821</f>
        <v/>
      </c>
      <c r="B821" t="str">
        <f>Segmenter!B821</f>
        <v/>
      </c>
      <c r="C821" t="str">
        <f t="shared" si="60"/>
        <v/>
      </c>
      <c r="D821" t="str">
        <f t="shared" si="61"/>
        <v/>
      </c>
      <c r="E821" t="str">
        <f t="shared" si="62"/>
        <v/>
      </c>
      <c r="F821" t="str">
        <f>IF(D821="","",INDEX(Knutepunkter!$B:$B,D821+1))</f>
        <v/>
      </c>
      <c r="G821" t="str">
        <f>IF(D821="","",INDEX(Knutepunkter!$C:$C,D821+1))</f>
        <v/>
      </c>
      <c r="H821" t="str">
        <f>IF(D821="","",INDEX(Knutepunkter!$D:$D,D821+1))</f>
        <v/>
      </c>
      <c r="I821" t="str">
        <f>IF(E821="","",INDEX(Knutepunkter!$B:$B,E821+1))</f>
        <v/>
      </c>
      <c r="J821" t="str">
        <f>IF(E821="","",INDEX(Knutepunkter!$C:$C,E821+1))</f>
        <v/>
      </c>
      <c r="K821" t="str">
        <f>IF(E821="","",INDEX(Knutepunkter!$D:$D,E821+1))</f>
        <v/>
      </c>
      <c r="L821" t="str">
        <f t="shared" si="63"/>
        <v/>
      </c>
      <c r="M821" t="str">
        <f t="shared" si="64"/>
        <v/>
      </c>
    </row>
    <row r="822" spans="1:13" x14ac:dyDescent="0.3">
      <c r="A822" t="str">
        <f>Segmenter!A822</f>
        <v/>
      </c>
      <c r="B822" t="str">
        <f>Segmenter!B822</f>
        <v/>
      </c>
      <c r="C822" t="str">
        <f t="shared" si="60"/>
        <v/>
      </c>
      <c r="D822" t="str">
        <f t="shared" si="61"/>
        <v/>
      </c>
      <c r="E822" t="str">
        <f t="shared" si="62"/>
        <v/>
      </c>
      <c r="F822" t="str">
        <f>IF(D822="","",INDEX(Knutepunkter!$B:$B,D822+1))</f>
        <v/>
      </c>
      <c r="G822" t="str">
        <f>IF(D822="","",INDEX(Knutepunkter!$C:$C,D822+1))</f>
        <v/>
      </c>
      <c r="H822" t="str">
        <f>IF(D822="","",INDEX(Knutepunkter!$D:$D,D822+1))</f>
        <v/>
      </c>
      <c r="I822" t="str">
        <f>IF(E822="","",INDEX(Knutepunkter!$B:$B,E822+1))</f>
        <v/>
      </c>
      <c r="J822" t="str">
        <f>IF(E822="","",INDEX(Knutepunkter!$C:$C,E822+1))</f>
        <v/>
      </c>
      <c r="K822" t="str">
        <f>IF(E822="","",INDEX(Knutepunkter!$D:$D,E822+1))</f>
        <v/>
      </c>
      <c r="L822" t="str">
        <f t="shared" si="63"/>
        <v/>
      </c>
      <c r="M822" t="str">
        <f t="shared" si="64"/>
        <v/>
      </c>
    </row>
    <row r="823" spans="1:13" x14ac:dyDescent="0.3">
      <c r="A823" t="str">
        <f>Segmenter!A823</f>
        <v/>
      </c>
      <c r="B823" t="str">
        <f>Segmenter!B823</f>
        <v/>
      </c>
      <c r="C823" t="str">
        <f t="shared" si="60"/>
        <v/>
      </c>
      <c r="D823" t="str">
        <f t="shared" si="61"/>
        <v/>
      </c>
      <c r="E823" t="str">
        <f t="shared" si="62"/>
        <v/>
      </c>
      <c r="F823" t="str">
        <f>IF(D823="","",INDEX(Knutepunkter!$B:$B,D823+1))</f>
        <v/>
      </c>
      <c r="G823" t="str">
        <f>IF(D823="","",INDEX(Knutepunkter!$C:$C,D823+1))</f>
        <v/>
      </c>
      <c r="H823" t="str">
        <f>IF(D823="","",INDEX(Knutepunkter!$D:$D,D823+1))</f>
        <v/>
      </c>
      <c r="I823" t="str">
        <f>IF(E823="","",INDEX(Knutepunkter!$B:$B,E823+1))</f>
        <v/>
      </c>
      <c r="J823" t="str">
        <f>IF(E823="","",INDEX(Knutepunkter!$C:$C,E823+1))</f>
        <v/>
      </c>
      <c r="K823" t="str">
        <f>IF(E823="","",INDEX(Knutepunkter!$D:$D,E823+1))</f>
        <v/>
      </c>
      <c r="L823" t="str">
        <f t="shared" si="63"/>
        <v/>
      </c>
      <c r="M823" t="str">
        <f t="shared" si="64"/>
        <v/>
      </c>
    </row>
    <row r="824" spans="1:13" x14ac:dyDescent="0.3">
      <c r="A824" t="str">
        <f>Segmenter!A824</f>
        <v/>
      </c>
      <c r="B824" t="str">
        <f>Segmenter!B824</f>
        <v/>
      </c>
      <c r="C824" t="str">
        <f t="shared" si="60"/>
        <v/>
      </c>
      <c r="D824" t="str">
        <f t="shared" si="61"/>
        <v/>
      </c>
      <c r="E824" t="str">
        <f t="shared" si="62"/>
        <v/>
      </c>
      <c r="F824" t="str">
        <f>IF(D824="","",INDEX(Knutepunkter!$B:$B,D824+1))</f>
        <v/>
      </c>
      <c r="G824" t="str">
        <f>IF(D824="","",INDEX(Knutepunkter!$C:$C,D824+1))</f>
        <v/>
      </c>
      <c r="H824" t="str">
        <f>IF(D824="","",INDEX(Knutepunkter!$D:$D,D824+1))</f>
        <v/>
      </c>
      <c r="I824" t="str">
        <f>IF(E824="","",INDEX(Knutepunkter!$B:$B,E824+1))</f>
        <v/>
      </c>
      <c r="J824" t="str">
        <f>IF(E824="","",INDEX(Knutepunkter!$C:$C,E824+1))</f>
        <v/>
      </c>
      <c r="K824" t="str">
        <f>IF(E824="","",INDEX(Knutepunkter!$D:$D,E824+1))</f>
        <v/>
      </c>
      <c r="L824" t="str">
        <f t="shared" si="63"/>
        <v/>
      </c>
      <c r="M824" t="str">
        <f t="shared" si="64"/>
        <v/>
      </c>
    </row>
    <row r="825" spans="1:13" x14ac:dyDescent="0.3">
      <c r="A825" t="str">
        <f>Segmenter!A825</f>
        <v/>
      </c>
      <c r="B825" t="str">
        <f>Segmenter!B825</f>
        <v/>
      </c>
      <c r="C825" t="str">
        <f t="shared" si="60"/>
        <v/>
      </c>
      <c r="D825" t="str">
        <f t="shared" si="61"/>
        <v/>
      </c>
      <c r="E825" t="str">
        <f t="shared" si="62"/>
        <v/>
      </c>
      <c r="F825" t="str">
        <f>IF(D825="","",INDEX(Knutepunkter!$B:$B,D825+1))</f>
        <v/>
      </c>
      <c r="G825" t="str">
        <f>IF(D825="","",INDEX(Knutepunkter!$C:$C,D825+1))</f>
        <v/>
      </c>
      <c r="H825" t="str">
        <f>IF(D825="","",INDEX(Knutepunkter!$D:$D,D825+1))</f>
        <v/>
      </c>
      <c r="I825" t="str">
        <f>IF(E825="","",INDEX(Knutepunkter!$B:$B,E825+1))</f>
        <v/>
      </c>
      <c r="J825" t="str">
        <f>IF(E825="","",INDEX(Knutepunkter!$C:$C,E825+1))</f>
        <v/>
      </c>
      <c r="K825" t="str">
        <f>IF(E825="","",INDEX(Knutepunkter!$D:$D,E825+1))</f>
        <v/>
      </c>
      <c r="L825" t="str">
        <f t="shared" si="63"/>
        <v/>
      </c>
      <c r="M825" t="str">
        <f t="shared" si="64"/>
        <v/>
      </c>
    </row>
    <row r="826" spans="1:13" x14ac:dyDescent="0.3">
      <c r="A826" t="str">
        <f>Segmenter!A826</f>
        <v/>
      </c>
      <c r="B826" t="str">
        <f>Segmenter!B826</f>
        <v/>
      </c>
      <c r="C826" t="str">
        <f t="shared" si="60"/>
        <v/>
      </c>
      <c r="D826" t="str">
        <f t="shared" si="61"/>
        <v/>
      </c>
      <c r="E826" t="str">
        <f t="shared" si="62"/>
        <v/>
      </c>
      <c r="F826" t="str">
        <f>IF(D826="","",INDEX(Knutepunkter!$B:$B,D826+1))</f>
        <v/>
      </c>
      <c r="G826" t="str">
        <f>IF(D826="","",INDEX(Knutepunkter!$C:$C,D826+1))</f>
        <v/>
      </c>
      <c r="H826" t="str">
        <f>IF(D826="","",INDEX(Knutepunkter!$D:$D,D826+1))</f>
        <v/>
      </c>
      <c r="I826" t="str">
        <f>IF(E826="","",INDEX(Knutepunkter!$B:$B,E826+1))</f>
        <v/>
      </c>
      <c r="J826" t="str">
        <f>IF(E826="","",INDEX(Knutepunkter!$C:$C,E826+1))</f>
        <v/>
      </c>
      <c r="K826" t="str">
        <f>IF(E826="","",INDEX(Knutepunkter!$D:$D,E826+1))</f>
        <v/>
      </c>
      <c r="L826" t="str">
        <f t="shared" si="63"/>
        <v/>
      </c>
      <c r="M826" t="str">
        <f t="shared" si="64"/>
        <v/>
      </c>
    </row>
    <row r="827" spans="1:13" x14ac:dyDescent="0.3">
      <c r="A827" t="str">
        <f>Segmenter!A827</f>
        <v/>
      </c>
      <c r="B827" t="str">
        <f>Segmenter!B827</f>
        <v/>
      </c>
      <c r="C827" t="str">
        <f t="shared" si="60"/>
        <v/>
      </c>
      <c r="D827" t="str">
        <f t="shared" si="61"/>
        <v/>
      </c>
      <c r="E827" t="str">
        <f t="shared" si="62"/>
        <v/>
      </c>
      <c r="F827" t="str">
        <f>IF(D827="","",INDEX(Knutepunkter!$B:$B,D827+1))</f>
        <v/>
      </c>
      <c r="G827" t="str">
        <f>IF(D827="","",INDEX(Knutepunkter!$C:$C,D827+1))</f>
        <v/>
      </c>
      <c r="H827" t="str">
        <f>IF(D827="","",INDEX(Knutepunkter!$D:$D,D827+1))</f>
        <v/>
      </c>
      <c r="I827" t="str">
        <f>IF(E827="","",INDEX(Knutepunkter!$B:$B,E827+1))</f>
        <v/>
      </c>
      <c r="J827" t="str">
        <f>IF(E827="","",INDEX(Knutepunkter!$C:$C,E827+1))</f>
        <v/>
      </c>
      <c r="K827" t="str">
        <f>IF(E827="","",INDEX(Knutepunkter!$D:$D,E827+1))</f>
        <v/>
      </c>
      <c r="L827" t="str">
        <f t="shared" si="63"/>
        <v/>
      </c>
      <c r="M827" t="str">
        <f t="shared" si="64"/>
        <v/>
      </c>
    </row>
    <row r="828" spans="1:13" x14ac:dyDescent="0.3">
      <c r="A828" t="str">
        <f>Segmenter!A828</f>
        <v/>
      </c>
      <c r="B828" t="str">
        <f>Segmenter!B828</f>
        <v/>
      </c>
      <c r="C828" t="str">
        <f t="shared" si="60"/>
        <v/>
      </c>
      <c r="D828" t="str">
        <f t="shared" si="61"/>
        <v/>
      </c>
      <c r="E828" t="str">
        <f t="shared" si="62"/>
        <v/>
      </c>
      <c r="F828" t="str">
        <f>IF(D828="","",INDEX(Knutepunkter!$B:$B,D828+1))</f>
        <v/>
      </c>
      <c r="G828" t="str">
        <f>IF(D828="","",INDEX(Knutepunkter!$C:$C,D828+1))</f>
        <v/>
      </c>
      <c r="H828" t="str">
        <f>IF(D828="","",INDEX(Knutepunkter!$D:$D,D828+1))</f>
        <v/>
      </c>
      <c r="I828" t="str">
        <f>IF(E828="","",INDEX(Knutepunkter!$B:$B,E828+1))</f>
        <v/>
      </c>
      <c r="J828" t="str">
        <f>IF(E828="","",INDEX(Knutepunkter!$C:$C,E828+1))</f>
        <v/>
      </c>
      <c r="K828" t="str">
        <f>IF(E828="","",INDEX(Knutepunkter!$D:$D,E828+1))</f>
        <v/>
      </c>
      <c r="L828" t="str">
        <f t="shared" si="63"/>
        <v/>
      </c>
      <c r="M828" t="str">
        <f t="shared" si="64"/>
        <v/>
      </c>
    </row>
    <row r="829" spans="1:13" x14ac:dyDescent="0.3">
      <c r="A829" t="str">
        <f>Segmenter!A829</f>
        <v/>
      </c>
      <c r="B829" t="str">
        <f>Segmenter!B829</f>
        <v/>
      </c>
      <c r="C829" t="str">
        <f t="shared" si="60"/>
        <v/>
      </c>
      <c r="D829" t="str">
        <f t="shared" si="61"/>
        <v/>
      </c>
      <c r="E829" t="str">
        <f t="shared" si="62"/>
        <v/>
      </c>
      <c r="F829" t="str">
        <f>IF(D829="","",INDEX(Knutepunkter!$B:$B,D829+1))</f>
        <v/>
      </c>
      <c r="G829" t="str">
        <f>IF(D829="","",INDEX(Knutepunkter!$C:$C,D829+1))</f>
        <v/>
      </c>
      <c r="H829" t="str">
        <f>IF(D829="","",INDEX(Knutepunkter!$D:$D,D829+1))</f>
        <v/>
      </c>
      <c r="I829" t="str">
        <f>IF(E829="","",INDEX(Knutepunkter!$B:$B,E829+1))</f>
        <v/>
      </c>
      <c r="J829" t="str">
        <f>IF(E829="","",INDEX(Knutepunkter!$C:$C,E829+1))</f>
        <v/>
      </c>
      <c r="K829" t="str">
        <f>IF(E829="","",INDEX(Knutepunkter!$D:$D,E829+1))</f>
        <v/>
      </c>
      <c r="L829" t="str">
        <f t="shared" si="63"/>
        <v/>
      </c>
      <c r="M829" t="str">
        <f t="shared" si="64"/>
        <v/>
      </c>
    </row>
    <row r="830" spans="1:13" x14ac:dyDescent="0.3">
      <c r="A830" t="str">
        <f>Segmenter!A830</f>
        <v/>
      </c>
      <c r="B830" t="str">
        <f>Segmenter!B830</f>
        <v/>
      </c>
      <c r="C830" t="str">
        <f t="shared" si="60"/>
        <v/>
      </c>
      <c r="D830" t="str">
        <f t="shared" si="61"/>
        <v/>
      </c>
      <c r="E830" t="str">
        <f t="shared" si="62"/>
        <v/>
      </c>
      <c r="F830" t="str">
        <f>IF(D830="","",INDEX(Knutepunkter!$B:$B,D830+1))</f>
        <v/>
      </c>
      <c r="G830" t="str">
        <f>IF(D830="","",INDEX(Knutepunkter!$C:$C,D830+1))</f>
        <v/>
      </c>
      <c r="H830" t="str">
        <f>IF(D830="","",INDEX(Knutepunkter!$D:$D,D830+1))</f>
        <v/>
      </c>
      <c r="I830" t="str">
        <f>IF(E830="","",INDEX(Knutepunkter!$B:$B,E830+1))</f>
        <v/>
      </c>
      <c r="J830" t="str">
        <f>IF(E830="","",INDEX(Knutepunkter!$C:$C,E830+1))</f>
        <v/>
      </c>
      <c r="K830" t="str">
        <f>IF(E830="","",INDEX(Knutepunkter!$D:$D,E830+1))</f>
        <v/>
      </c>
      <c r="L830" t="str">
        <f t="shared" si="63"/>
        <v/>
      </c>
      <c r="M830" t="str">
        <f t="shared" si="64"/>
        <v/>
      </c>
    </row>
    <row r="831" spans="1:13" x14ac:dyDescent="0.3">
      <c r="A831" t="str">
        <f>Segmenter!A831</f>
        <v/>
      </c>
      <c r="B831" t="str">
        <f>Segmenter!B831</f>
        <v/>
      </c>
      <c r="C831" t="str">
        <f t="shared" si="60"/>
        <v/>
      </c>
      <c r="D831" t="str">
        <f t="shared" si="61"/>
        <v/>
      </c>
      <c r="E831" t="str">
        <f t="shared" si="62"/>
        <v/>
      </c>
      <c r="F831" t="str">
        <f>IF(D831="","",INDEX(Knutepunkter!$B:$B,D831+1))</f>
        <v/>
      </c>
      <c r="G831" t="str">
        <f>IF(D831="","",INDEX(Knutepunkter!$C:$C,D831+1))</f>
        <v/>
      </c>
      <c r="H831" t="str">
        <f>IF(D831="","",INDEX(Knutepunkter!$D:$D,D831+1))</f>
        <v/>
      </c>
      <c r="I831" t="str">
        <f>IF(E831="","",INDEX(Knutepunkter!$B:$B,E831+1))</f>
        <v/>
      </c>
      <c r="J831" t="str">
        <f>IF(E831="","",INDEX(Knutepunkter!$C:$C,E831+1))</f>
        <v/>
      </c>
      <c r="K831" t="str">
        <f>IF(E831="","",INDEX(Knutepunkter!$D:$D,E831+1))</f>
        <v/>
      </c>
      <c r="L831" t="str">
        <f t="shared" si="63"/>
        <v/>
      </c>
      <c r="M831" t="str">
        <f t="shared" si="64"/>
        <v/>
      </c>
    </row>
    <row r="832" spans="1:13" x14ac:dyDescent="0.3">
      <c r="A832" t="str">
        <f>Segmenter!A832</f>
        <v/>
      </c>
      <c r="B832" t="str">
        <f>Segmenter!B832</f>
        <v/>
      </c>
      <c r="C832" t="str">
        <f t="shared" si="60"/>
        <v/>
      </c>
      <c r="D832" t="str">
        <f t="shared" si="61"/>
        <v/>
      </c>
      <c r="E832" t="str">
        <f t="shared" si="62"/>
        <v/>
      </c>
      <c r="F832" t="str">
        <f>IF(D832="","",INDEX(Knutepunkter!$B:$B,D832+1))</f>
        <v/>
      </c>
      <c r="G832" t="str">
        <f>IF(D832="","",INDEX(Knutepunkter!$C:$C,D832+1))</f>
        <v/>
      </c>
      <c r="H832" t="str">
        <f>IF(D832="","",INDEX(Knutepunkter!$D:$D,D832+1))</f>
        <v/>
      </c>
      <c r="I832" t="str">
        <f>IF(E832="","",INDEX(Knutepunkter!$B:$B,E832+1))</f>
        <v/>
      </c>
      <c r="J832" t="str">
        <f>IF(E832="","",INDEX(Knutepunkter!$C:$C,E832+1))</f>
        <v/>
      </c>
      <c r="K832" t="str">
        <f>IF(E832="","",INDEX(Knutepunkter!$D:$D,E832+1))</f>
        <v/>
      </c>
      <c r="L832" t="str">
        <f t="shared" si="63"/>
        <v/>
      </c>
      <c r="M832" t="str">
        <f t="shared" si="64"/>
        <v/>
      </c>
    </row>
    <row r="833" spans="1:13" x14ac:dyDescent="0.3">
      <c r="A833" t="str">
        <f>Segmenter!A833</f>
        <v/>
      </c>
      <c r="B833" t="str">
        <f>Segmenter!B833</f>
        <v/>
      </c>
      <c r="C833" t="str">
        <f t="shared" si="60"/>
        <v/>
      </c>
      <c r="D833" t="str">
        <f t="shared" si="61"/>
        <v/>
      </c>
      <c r="E833" t="str">
        <f t="shared" si="62"/>
        <v/>
      </c>
      <c r="F833" t="str">
        <f>IF(D833="","",INDEX(Knutepunkter!$B:$B,D833+1))</f>
        <v/>
      </c>
      <c r="G833" t="str">
        <f>IF(D833="","",INDEX(Knutepunkter!$C:$C,D833+1))</f>
        <v/>
      </c>
      <c r="H833" t="str">
        <f>IF(D833="","",INDEX(Knutepunkter!$D:$D,D833+1))</f>
        <v/>
      </c>
      <c r="I833" t="str">
        <f>IF(E833="","",INDEX(Knutepunkter!$B:$B,E833+1))</f>
        <v/>
      </c>
      <c r="J833" t="str">
        <f>IF(E833="","",INDEX(Knutepunkter!$C:$C,E833+1))</f>
        <v/>
      </c>
      <c r="K833" t="str">
        <f>IF(E833="","",INDEX(Knutepunkter!$D:$D,E833+1))</f>
        <v/>
      </c>
      <c r="L833" t="str">
        <f t="shared" si="63"/>
        <v/>
      </c>
      <c r="M833" t="str">
        <f t="shared" si="64"/>
        <v/>
      </c>
    </row>
    <row r="834" spans="1:13" x14ac:dyDescent="0.3">
      <c r="A834" t="str">
        <f>Segmenter!A834</f>
        <v/>
      </c>
      <c r="B834" t="str">
        <f>Segmenter!B834</f>
        <v/>
      </c>
      <c r="C834" t="str">
        <f t="shared" ref="C834:C897" si="65">IF(B834="","",IF(AND(F834=I834,G834=J834,H834&lt;&gt;K834),"Søyle","Bjelke"))</f>
        <v/>
      </c>
      <c r="D834" t="str">
        <f t="shared" ref="D834:D897" si="66">IF(B834="","",VALUE(LEFT(B834,FIND(" -&gt; ",B834)-1)))</f>
        <v/>
      </c>
      <c r="E834" t="str">
        <f t="shared" ref="E834:E897" si="67">IF(B834="","",VALUE(MID(B834,FIND(" -&gt; ",B834)+4,99)))</f>
        <v/>
      </c>
      <c r="F834" t="str">
        <f>IF(D834="","",INDEX(Knutepunkter!$B:$B,D834+1))</f>
        <v/>
      </c>
      <c r="G834" t="str">
        <f>IF(D834="","",INDEX(Knutepunkter!$C:$C,D834+1))</f>
        <v/>
      </c>
      <c r="H834" t="str">
        <f>IF(D834="","",INDEX(Knutepunkter!$D:$D,D834+1))</f>
        <v/>
      </c>
      <c r="I834" t="str">
        <f>IF(E834="","",INDEX(Knutepunkter!$B:$B,E834+1))</f>
        <v/>
      </c>
      <c r="J834" t="str">
        <f>IF(E834="","",INDEX(Knutepunkter!$C:$C,E834+1))</f>
        <v/>
      </c>
      <c r="K834" t="str">
        <f>IF(E834="","",INDEX(Knutepunkter!$D:$D,E834+1))</f>
        <v/>
      </c>
      <c r="L834" t="str">
        <f t="shared" ref="L834:L897" si="68">IF(B834="","",SQRT((I834-F834)^2+(J834-G834)^2+(K834-H834)^2))</f>
        <v/>
      </c>
      <c r="M834" t="str">
        <f t="shared" ref="M834:M897" si="69">IF(L834="","",L834/1000)</f>
        <v/>
      </c>
    </row>
    <row r="835" spans="1:13" x14ac:dyDescent="0.3">
      <c r="A835" t="str">
        <f>Segmenter!A835</f>
        <v/>
      </c>
      <c r="B835" t="str">
        <f>Segmenter!B835</f>
        <v/>
      </c>
      <c r="C835" t="str">
        <f t="shared" si="65"/>
        <v/>
      </c>
      <c r="D835" t="str">
        <f t="shared" si="66"/>
        <v/>
      </c>
      <c r="E835" t="str">
        <f t="shared" si="67"/>
        <v/>
      </c>
      <c r="F835" t="str">
        <f>IF(D835="","",INDEX(Knutepunkter!$B:$B,D835+1))</f>
        <v/>
      </c>
      <c r="G835" t="str">
        <f>IF(D835="","",INDEX(Knutepunkter!$C:$C,D835+1))</f>
        <v/>
      </c>
      <c r="H835" t="str">
        <f>IF(D835="","",INDEX(Knutepunkter!$D:$D,D835+1))</f>
        <v/>
      </c>
      <c r="I835" t="str">
        <f>IF(E835="","",INDEX(Knutepunkter!$B:$B,E835+1))</f>
        <v/>
      </c>
      <c r="J835" t="str">
        <f>IF(E835="","",INDEX(Knutepunkter!$C:$C,E835+1))</f>
        <v/>
      </c>
      <c r="K835" t="str">
        <f>IF(E835="","",INDEX(Knutepunkter!$D:$D,E835+1))</f>
        <v/>
      </c>
      <c r="L835" t="str">
        <f t="shared" si="68"/>
        <v/>
      </c>
      <c r="M835" t="str">
        <f t="shared" si="69"/>
        <v/>
      </c>
    </row>
    <row r="836" spans="1:13" x14ac:dyDescent="0.3">
      <c r="A836" t="str">
        <f>Segmenter!A836</f>
        <v/>
      </c>
      <c r="B836" t="str">
        <f>Segmenter!B836</f>
        <v/>
      </c>
      <c r="C836" t="str">
        <f t="shared" si="65"/>
        <v/>
      </c>
      <c r="D836" t="str">
        <f t="shared" si="66"/>
        <v/>
      </c>
      <c r="E836" t="str">
        <f t="shared" si="67"/>
        <v/>
      </c>
      <c r="F836" t="str">
        <f>IF(D836="","",INDEX(Knutepunkter!$B:$B,D836+1))</f>
        <v/>
      </c>
      <c r="G836" t="str">
        <f>IF(D836="","",INDEX(Knutepunkter!$C:$C,D836+1))</f>
        <v/>
      </c>
      <c r="H836" t="str">
        <f>IF(D836="","",INDEX(Knutepunkter!$D:$D,D836+1))</f>
        <v/>
      </c>
      <c r="I836" t="str">
        <f>IF(E836="","",INDEX(Knutepunkter!$B:$B,E836+1))</f>
        <v/>
      </c>
      <c r="J836" t="str">
        <f>IF(E836="","",INDEX(Knutepunkter!$C:$C,E836+1))</f>
        <v/>
      </c>
      <c r="K836" t="str">
        <f>IF(E836="","",INDEX(Knutepunkter!$D:$D,E836+1))</f>
        <v/>
      </c>
      <c r="L836" t="str">
        <f t="shared" si="68"/>
        <v/>
      </c>
      <c r="M836" t="str">
        <f t="shared" si="69"/>
        <v/>
      </c>
    </row>
    <row r="837" spans="1:13" x14ac:dyDescent="0.3">
      <c r="A837" t="str">
        <f>Segmenter!A837</f>
        <v/>
      </c>
      <c r="B837" t="str">
        <f>Segmenter!B837</f>
        <v/>
      </c>
      <c r="C837" t="str">
        <f t="shared" si="65"/>
        <v/>
      </c>
      <c r="D837" t="str">
        <f t="shared" si="66"/>
        <v/>
      </c>
      <c r="E837" t="str">
        <f t="shared" si="67"/>
        <v/>
      </c>
      <c r="F837" t="str">
        <f>IF(D837="","",INDEX(Knutepunkter!$B:$B,D837+1))</f>
        <v/>
      </c>
      <c r="G837" t="str">
        <f>IF(D837="","",INDEX(Knutepunkter!$C:$C,D837+1))</f>
        <v/>
      </c>
      <c r="H837" t="str">
        <f>IF(D837="","",INDEX(Knutepunkter!$D:$D,D837+1))</f>
        <v/>
      </c>
      <c r="I837" t="str">
        <f>IF(E837="","",INDEX(Knutepunkter!$B:$B,E837+1))</f>
        <v/>
      </c>
      <c r="J837" t="str">
        <f>IF(E837="","",INDEX(Knutepunkter!$C:$C,E837+1))</f>
        <v/>
      </c>
      <c r="K837" t="str">
        <f>IF(E837="","",INDEX(Knutepunkter!$D:$D,E837+1))</f>
        <v/>
      </c>
      <c r="L837" t="str">
        <f t="shared" si="68"/>
        <v/>
      </c>
      <c r="M837" t="str">
        <f t="shared" si="69"/>
        <v/>
      </c>
    </row>
    <row r="838" spans="1:13" x14ac:dyDescent="0.3">
      <c r="A838" t="str">
        <f>Segmenter!A838</f>
        <v/>
      </c>
      <c r="B838" t="str">
        <f>Segmenter!B838</f>
        <v/>
      </c>
      <c r="C838" t="str">
        <f t="shared" si="65"/>
        <v/>
      </c>
      <c r="D838" t="str">
        <f t="shared" si="66"/>
        <v/>
      </c>
      <c r="E838" t="str">
        <f t="shared" si="67"/>
        <v/>
      </c>
      <c r="F838" t="str">
        <f>IF(D838="","",INDEX(Knutepunkter!$B:$B,D838+1))</f>
        <v/>
      </c>
      <c r="G838" t="str">
        <f>IF(D838="","",INDEX(Knutepunkter!$C:$C,D838+1))</f>
        <v/>
      </c>
      <c r="H838" t="str">
        <f>IF(D838="","",INDEX(Knutepunkter!$D:$D,D838+1))</f>
        <v/>
      </c>
      <c r="I838" t="str">
        <f>IF(E838="","",INDEX(Knutepunkter!$B:$B,E838+1))</f>
        <v/>
      </c>
      <c r="J838" t="str">
        <f>IF(E838="","",INDEX(Knutepunkter!$C:$C,E838+1))</f>
        <v/>
      </c>
      <c r="K838" t="str">
        <f>IF(E838="","",INDEX(Knutepunkter!$D:$D,E838+1))</f>
        <v/>
      </c>
      <c r="L838" t="str">
        <f t="shared" si="68"/>
        <v/>
      </c>
      <c r="M838" t="str">
        <f t="shared" si="69"/>
        <v/>
      </c>
    </row>
    <row r="839" spans="1:13" x14ac:dyDescent="0.3">
      <c r="A839" t="str">
        <f>Segmenter!A839</f>
        <v/>
      </c>
      <c r="B839" t="str">
        <f>Segmenter!B839</f>
        <v/>
      </c>
      <c r="C839" t="str">
        <f t="shared" si="65"/>
        <v/>
      </c>
      <c r="D839" t="str">
        <f t="shared" si="66"/>
        <v/>
      </c>
      <c r="E839" t="str">
        <f t="shared" si="67"/>
        <v/>
      </c>
      <c r="F839" t="str">
        <f>IF(D839="","",INDEX(Knutepunkter!$B:$B,D839+1))</f>
        <v/>
      </c>
      <c r="G839" t="str">
        <f>IF(D839="","",INDEX(Knutepunkter!$C:$C,D839+1))</f>
        <v/>
      </c>
      <c r="H839" t="str">
        <f>IF(D839="","",INDEX(Knutepunkter!$D:$D,D839+1))</f>
        <v/>
      </c>
      <c r="I839" t="str">
        <f>IF(E839="","",INDEX(Knutepunkter!$B:$B,E839+1))</f>
        <v/>
      </c>
      <c r="J839" t="str">
        <f>IF(E839="","",INDEX(Knutepunkter!$C:$C,E839+1))</f>
        <v/>
      </c>
      <c r="K839" t="str">
        <f>IF(E839="","",INDEX(Knutepunkter!$D:$D,E839+1))</f>
        <v/>
      </c>
      <c r="L839" t="str">
        <f t="shared" si="68"/>
        <v/>
      </c>
      <c r="M839" t="str">
        <f t="shared" si="69"/>
        <v/>
      </c>
    </row>
    <row r="840" spans="1:13" x14ac:dyDescent="0.3">
      <c r="A840" t="str">
        <f>Segmenter!A840</f>
        <v/>
      </c>
      <c r="B840" t="str">
        <f>Segmenter!B840</f>
        <v/>
      </c>
      <c r="C840" t="str">
        <f t="shared" si="65"/>
        <v/>
      </c>
      <c r="D840" t="str">
        <f t="shared" si="66"/>
        <v/>
      </c>
      <c r="E840" t="str">
        <f t="shared" si="67"/>
        <v/>
      </c>
      <c r="F840" t="str">
        <f>IF(D840="","",INDEX(Knutepunkter!$B:$B,D840+1))</f>
        <v/>
      </c>
      <c r="G840" t="str">
        <f>IF(D840="","",INDEX(Knutepunkter!$C:$C,D840+1))</f>
        <v/>
      </c>
      <c r="H840" t="str">
        <f>IF(D840="","",INDEX(Knutepunkter!$D:$D,D840+1))</f>
        <v/>
      </c>
      <c r="I840" t="str">
        <f>IF(E840="","",INDEX(Knutepunkter!$B:$B,E840+1))</f>
        <v/>
      </c>
      <c r="J840" t="str">
        <f>IF(E840="","",INDEX(Knutepunkter!$C:$C,E840+1))</f>
        <v/>
      </c>
      <c r="K840" t="str">
        <f>IF(E840="","",INDEX(Knutepunkter!$D:$D,E840+1))</f>
        <v/>
      </c>
      <c r="L840" t="str">
        <f t="shared" si="68"/>
        <v/>
      </c>
      <c r="M840" t="str">
        <f t="shared" si="69"/>
        <v/>
      </c>
    </row>
    <row r="841" spans="1:13" x14ac:dyDescent="0.3">
      <c r="A841" t="str">
        <f>Segmenter!A841</f>
        <v/>
      </c>
      <c r="B841" t="str">
        <f>Segmenter!B841</f>
        <v/>
      </c>
      <c r="C841" t="str">
        <f t="shared" si="65"/>
        <v/>
      </c>
      <c r="D841" t="str">
        <f t="shared" si="66"/>
        <v/>
      </c>
      <c r="E841" t="str">
        <f t="shared" si="67"/>
        <v/>
      </c>
      <c r="F841" t="str">
        <f>IF(D841="","",INDEX(Knutepunkter!$B:$B,D841+1))</f>
        <v/>
      </c>
      <c r="G841" t="str">
        <f>IF(D841="","",INDEX(Knutepunkter!$C:$C,D841+1))</f>
        <v/>
      </c>
      <c r="H841" t="str">
        <f>IF(D841="","",INDEX(Knutepunkter!$D:$D,D841+1))</f>
        <v/>
      </c>
      <c r="I841" t="str">
        <f>IF(E841="","",INDEX(Knutepunkter!$B:$B,E841+1))</f>
        <v/>
      </c>
      <c r="J841" t="str">
        <f>IF(E841="","",INDEX(Knutepunkter!$C:$C,E841+1))</f>
        <v/>
      </c>
      <c r="K841" t="str">
        <f>IF(E841="","",INDEX(Knutepunkter!$D:$D,E841+1))</f>
        <v/>
      </c>
      <c r="L841" t="str">
        <f t="shared" si="68"/>
        <v/>
      </c>
      <c r="M841" t="str">
        <f t="shared" si="69"/>
        <v/>
      </c>
    </row>
    <row r="842" spans="1:13" x14ac:dyDescent="0.3">
      <c r="A842" t="str">
        <f>Segmenter!A842</f>
        <v/>
      </c>
      <c r="B842" t="str">
        <f>Segmenter!B842</f>
        <v/>
      </c>
      <c r="C842" t="str">
        <f t="shared" si="65"/>
        <v/>
      </c>
      <c r="D842" t="str">
        <f t="shared" si="66"/>
        <v/>
      </c>
      <c r="E842" t="str">
        <f t="shared" si="67"/>
        <v/>
      </c>
      <c r="F842" t="str">
        <f>IF(D842="","",INDEX(Knutepunkter!$B:$B,D842+1))</f>
        <v/>
      </c>
      <c r="G842" t="str">
        <f>IF(D842="","",INDEX(Knutepunkter!$C:$C,D842+1))</f>
        <v/>
      </c>
      <c r="H842" t="str">
        <f>IF(D842="","",INDEX(Knutepunkter!$D:$D,D842+1))</f>
        <v/>
      </c>
      <c r="I842" t="str">
        <f>IF(E842="","",INDEX(Knutepunkter!$B:$B,E842+1))</f>
        <v/>
      </c>
      <c r="J842" t="str">
        <f>IF(E842="","",INDEX(Knutepunkter!$C:$C,E842+1))</f>
        <v/>
      </c>
      <c r="K842" t="str">
        <f>IF(E842="","",INDEX(Knutepunkter!$D:$D,E842+1))</f>
        <v/>
      </c>
      <c r="L842" t="str">
        <f t="shared" si="68"/>
        <v/>
      </c>
      <c r="M842" t="str">
        <f t="shared" si="69"/>
        <v/>
      </c>
    </row>
    <row r="843" spans="1:13" x14ac:dyDescent="0.3">
      <c r="A843" t="str">
        <f>Segmenter!A843</f>
        <v/>
      </c>
      <c r="B843" t="str">
        <f>Segmenter!B843</f>
        <v/>
      </c>
      <c r="C843" t="str">
        <f t="shared" si="65"/>
        <v/>
      </c>
      <c r="D843" t="str">
        <f t="shared" si="66"/>
        <v/>
      </c>
      <c r="E843" t="str">
        <f t="shared" si="67"/>
        <v/>
      </c>
      <c r="F843" t="str">
        <f>IF(D843="","",INDEX(Knutepunkter!$B:$B,D843+1))</f>
        <v/>
      </c>
      <c r="G843" t="str">
        <f>IF(D843="","",INDEX(Knutepunkter!$C:$C,D843+1))</f>
        <v/>
      </c>
      <c r="H843" t="str">
        <f>IF(D843="","",INDEX(Knutepunkter!$D:$D,D843+1))</f>
        <v/>
      </c>
      <c r="I843" t="str">
        <f>IF(E843="","",INDEX(Knutepunkter!$B:$B,E843+1))</f>
        <v/>
      </c>
      <c r="J843" t="str">
        <f>IF(E843="","",INDEX(Knutepunkter!$C:$C,E843+1))</f>
        <v/>
      </c>
      <c r="K843" t="str">
        <f>IF(E843="","",INDEX(Knutepunkter!$D:$D,E843+1))</f>
        <v/>
      </c>
      <c r="L843" t="str">
        <f t="shared" si="68"/>
        <v/>
      </c>
      <c r="M843" t="str">
        <f t="shared" si="69"/>
        <v/>
      </c>
    </row>
    <row r="844" spans="1:13" x14ac:dyDescent="0.3">
      <c r="A844" t="str">
        <f>Segmenter!A844</f>
        <v/>
      </c>
      <c r="B844" t="str">
        <f>Segmenter!B844</f>
        <v/>
      </c>
      <c r="C844" t="str">
        <f t="shared" si="65"/>
        <v/>
      </c>
      <c r="D844" t="str">
        <f t="shared" si="66"/>
        <v/>
      </c>
      <c r="E844" t="str">
        <f t="shared" si="67"/>
        <v/>
      </c>
      <c r="F844" t="str">
        <f>IF(D844="","",INDEX(Knutepunkter!$B:$B,D844+1))</f>
        <v/>
      </c>
      <c r="G844" t="str">
        <f>IF(D844="","",INDEX(Knutepunkter!$C:$C,D844+1))</f>
        <v/>
      </c>
      <c r="H844" t="str">
        <f>IF(D844="","",INDEX(Knutepunkter!$D:$D,D844+1))</f>
        <v/>
      </c>
      <c r="I844" t="str">
        <f>IF(E844="","",INDEX(Knutepunkter!$B:$B,E844+1))</f>
        <v/>
      </c>
      <c r="J844" t="str">
        <f>IF(E844="","",INDEX(Knutepunkter!$C:$C,E844+1))</f>
        <v/>
      </c>
      <c r="K844" t="str">
        <f>IF(E844="","",INDEX(Knutepunkter!$D:$D,E844+1))</f>
        <v/>
      </c>
      <c r="L844" t="str">
        <f t="shared" si="68"/>
        <v/>
      </c>
      <c r="M844" t="str">
        <f t="shared" si="69"/>
        <v/>
      </c>
    </row>
    <row r="845" spans="1:13" x14ac:dyDescent="0.3">
      <c r="A845" t="str">
        <f>Segmenter!A845</f>
        <v/>
      </c>
      <c r="B845" t="str">
        <f>Segmenter!B845</f>
        <v/>
      </c>
      <c r="C845" t="str">
        <f t="shared" si="65"/>
        <v/>
      </c>
      <c r="D845" t="str">
        <f t="shared" si="66"/>
        <v/>
      </c>
      <c r="E845" t="str">
        <f t="shared" si="67"/>
        <v/>
      </c>
      <c r="F845" t="str">
        <f>IF(D845="","",INDEX(Knutepunkter!$B:$B,D845+1))</f>
        <v/>
      </c>
      <c r="G845" t="str">
        <f>IF(D845="","",INDEX(Knutepunkter!$C:$C,D845+1))</f>
        <v/>
      </c>
      <c r="H845" t="str">
        <f>IF(D845="","",INDEX(Knutepunkter!$D:$D,D845+1))</f>
        <v/>
      </c>
      <c r="I845" t="str">
        <f>IF(E845="","",INDEX(Knutepunkter!$B:$B,E845+1))</f>
        <v/>
      </c>
      <c r="J845" t="str">
        <f>IF(E845="","",INDEX(Knutepunkter!$C:$C,E845+1))</f>
        <v/>
      </c>
      <c r="K845" t="str">
        <f>IF(E845="","",INDEX(Knutepunkter!$D:$D,E845+1))</f>
        <v/>
      </c>
      <c r="L845" t="str">
        <f t="shared" si="68"/>
        <v/>
      </c>
      <c r="M845" t="str">
        <f t="shared" si="69"/>
        <v/>
      </c>
    </row>
    <row r="846" spans="1:13" x14ac:dyDescent="0.3">
      <c r="A846" t="str">
        <f>Segmenter!A846</f>
        <v/>
      </c>
      <c r="B846" t="str">
        <f>Segmenter!B846</f>
        <v/>
      </c>
      <c r="C846" t="str">
        <f t="shared" si="65"/>
        <v/>
      </c>
      <c r="D846" t="str">
        <f t="shared" si="66"/>
        <v/>
      </c>
      <c r="E846" t="str">
        <f t="shared" si="67"/>
        <v/>
      </c>
      <c r="F846" t="str">
        <f>IF(D846="","",INDEX(Knutepunkter!$B:$B,D846+1))</f>
        <v/>
      </c>
      <c r="G846" t="str">
        <f>IF(D846="","",INDEX(Knutepunkter!$C:$C,D846+1))</f>
        <v/>
      </c>
      <c r="H846" t="str">
        <f>IF(D846="","",INDEX(Knutepunkter!$D:$D,D846+1))</f>
        <v/>
      </c>
      <c r="I846" t="str">
        <f>IF(E846="","",INDEX(Knutepunkter!$B:$B,E846+1))</f>
        <v/>
      </c>
      <c r="J846" t="str">
        <f>IF(E846="","",INDEX(Knutepunkter!$C:$C,E846+1))</f>
        <v/>
      </c>
      <c r="K846" t="str">
        <f>IF(E846="","",INDEX(Knutepunkter!$D:$D,E846+1))</f>
        <v/>
      </c>
      <c r="L846" t="str">
        <f t="shared" si="68"/>
        <v/>
      </c>
      <c r="M846" t="str">
        <f t="shared" si="69"/>
        <v/>
      </c>
    </row>
    <row r="847" spans="1:13" x14ac:dyDescent="0.3">
      <c r="A847" t="str">
        <f>Segmenter!A847</f>
        <v/>
      </c>
      <c r="B847" t="str">
        <f>Segmenter!B847</f>
        <v/>
      </c>
      <c r="C847" t="str">
        <f t="shared" si="65"/>
        <v/>
      </c>
      <c r="D847" t="str">
        <f t="shared" si="66"/>
        <v/>
      </c>
      <c r="E847" t="str">
        <f t="shared" si="67"/>
        <v/>
      </c>
      <c r="F847" t="str">
        <f>IF(D847="","",INDEX(Knutepunkter!$B:$B,D847+1))</f>
        <v/>
      </c>
      <c r="G847" t="str">
        <f>IF(D847="","",INDEX(Knutepunkter!$C:$C,D847+1))</f>
        <v/>
      </c>
      <c r="H847" t="str">
        <f>IF(D847="","",INDEX(Knutepunkter!$D:$D,D847+1))</f>
        <v/>
      </c>
      <c r="I847" t="str">
        <f>IF(E847="","",INDEX(Knutepunkter!$B:$B,E847+1))</f>
        <v/>
      </c>
      <c r="J847" t="str">
        <f>IF(E847="","",INDEX(Knutepunkter!$C:$C,E847+1))</f>
        <v/>
      </c>
      <c r="K847" t="str">
        <f>IF(E847="","",INDEX(Knutepunkter!$D:$D,E847+1))</f>
        <v/>
      </c>
      <c r="L847" t="str">
        <f t="shared" si="68"/>
        <v/>
      </c>
      <c r="M847" t="str">
        <f t="shared" si="69"/>
        <v/>
      </c>
    </row>
    <row r="848" spans="1:13" x14ac:dyDescent="0.3">
      <c r="A848" t="str">
        <f>Segmenter!A848</f>
        <v/>
      </c>
      <c r="B848" t="str">
        <f>Segmenter!B848</f>
        <v/>
      </c>
      <c r="C848" t="str">
        <f t="shared" si="65"/>
        <v/>
      </c>
      <c r="D848" t="str">
        <f t="shared" si="66"/>
        <v/>
      </c>
      <c r="E848" t="str">
        <f t="shared" si="67"/>
        <v/>
      </c>
      <c r="F848" t="str">
        <f>IF(D848="","",INDEX(Knutepunkter!$B:$B,D848+1))</f>
        <v/>
      </c>
      <c r="G848" t="str">
        <f>IF(D848="","",INDEX(Knutepunkter!$C:$C,D848+1))</f>
        <v/>
      </c>
      <c r="H848" t="str">
        <f>IF(D848="","",INDEX(Knutepunkter!$D:$D,D848+1))</f>
        <v/>
      </c>
      <c r="I848" t="str">
        <f>IF(E848="","",INDEX(Knutepunkter!$B:$B,E848+1))</f>
        <v/>
      </c>
      <c r="J848" t="str">
        <f>IF(E848="","",INDEX(Knutepunkter!$C:$C,E848+1))</f>
        <v/>
      </c>
      <c r="K848" t="str">
        <f>IF(E848="","",INDEX(Knutepunkter!$D:$D,E848+1))</f>
        <v/>
      </c>
      <c r="L848" t="str">
        <f t="shared" si="68"/>
        <v/>
      </c>
      <c r="M848" t="str">
        <f t="shared" si="69"/>
        <v/>
      </c>
    </row>
    <row r="849" spans="1:13" x14ac:dyDescent="0.3">
      <c r="A849" t="str">
        <f>Segmenter!A849</f>
        <v/>
      </c>
      <c r="B849" t="str">
        <f>Segmenter!B849</f>
        <v/>
      </c>
      <c r="C849" t="str">
        <f t="shared" si="65"/>
        <v/>
      </c>
      <c r="D849" t="str">
        <f t="shared" si="66"/>
        <v/>
      </c>
      <c r="E849" t="str">
        <f t="shared" si="67"/>
        <v/>
      </c>
      <c r="F849" t="str">
        <f>IF(D849="","",INDEX(Knutepunkter!$B:$B,D849+1))</f>
        <v/>
      </c>
      <c r="G849" t="str">
        <f>IF(D849="","",INDEX(Knutepunkter!$C:$C,D849+1))</f>
        <v/>
      </c>
      <c r="H849" t="str">
        <f>IF(D849="","",INDEX(Knutepunkter!$D:$D,D849+1))</f>
        <v/>
      </c>
      <c r="I849" t="str">
        <f>IF(E849="","",INDEX(Knutepunkter!$B:$B,E849+1))</f>
        <v/>
      </c>
      <c r="J849" t="str">
        <f>IF(E849="","",INDEX(Knutepunkter!$C:$C,E849+1))</f>
        <v/>
      </c>
      <c r="K849" t="str">
        <f>IF(E849="","",INDEX(Knutepunkter!$D:$D,E849+1))</f>
        <v/>
      </c>
      <c r="L849" t="str">
        <f t="shared" si="68"/>
        <v/>
      </c>
      <c r="M849" t="str">
        <f t="shared" si="69"/>
        <v/>
      </c>
    </row>
    <row r="850" spans="1:13" x14ac:dyDescent="0.3">
      <c r="A850" t="str">
        <f>Segmenter!A850</f>
        <v/>
      </c>
      <c r="B850" t="str">
        <f>Segmenter!B850</f>
        <v/>
      </c>
      <c r="C850" t="str">
        <f t="shared" si="65"/>
        <v/>
      </c>
      <c r="D850" t="str">
        <f t="shared" si="66"/>
        <v/>
      </c>
      <c r="E850" t="str">
        <f t="shared" si="67"/>
        <v/>
      </c>
      <c r="F850" t="str">
        <f>IF(D850="","",INDEX(Knutepunkter!$B:$B,D850+1))</f>
        <v/>
      </c>
      <c r="G850" t="str">
        <f>IF(D850="","",INDEX(Knutepunkter!$C:$C,D850+1))</f>
        <v/>
      </c>
      <c r="H850" t="str">
        <f>IF(D850="","",INDEX(Knutepunkter!$D:$D,D850+1))</f>
        <v/>
      </c>
      <c r="I850" t="str">
        <f>IF(E850="","",INDEX(Knutepunkter!$B:$B,E850+1))</f>
        <v/>
      </c>
      <c r="J850" t="str">
        <f>IF(E850="","",INDEX(Knutepunkter!$C:$C,E850+1))</f>
        <v/>
      </c>
      <c r="K850" t="str">
        <f>IF(E850="","",INDEX(Knutepunkter!$D:$D,E850+1))</f>
        <v/>
      </c>
      <c r="L850" t="str">
        <f t="shared" si="68"/>
        <v/>
      </c>
      <c r="M850" t="str">
        <f t="shared" si="69"/>
        <v/>
      </c>
    </row>
    <row r="851" spans="1:13" x14ac:dyDescent="0.3">
      <c r="A851" t="str">
        <f>Segmenter!A851</f>
        <v/>
      </c>
      <c r="B851" t="str">
        <f>Segmenter!B851</f>
        <v/>
      </c>
      <c r="C851" t="str">
        <f t="shared" si="65"/>
        <v/>
      </c>
      <c r="D851" t="str">
        <f t="shared" si="66"/>
        <v/>
      </c>
      <c r="E851" t="str">
        <f t="shared" si="67"/>
        <v/>
      </c>
      <c r="F851" t="str">
        <f>IF(D851="","",INDEX(Knutepunkter!$B:$B,D851+1))</f>
        <v/>
      </c>
      <c r="G851" t="str">
        <f>IF(D851="","",INDEX(Knutepunkter!$C:$C,D851+1))</f>
        <v/>
      </c>
      <c r="H851" t="str">
        <f>IF(D851="","",INDEX(Knutepunkter!$D:$D,D851+1))</f>
        <v/>
      </c>
      <c r="I851" t="str">
        <f>IF(E851="","",INDEX(Knutepunkter!$B:$B,E851+1))</f>
        <v/>
      </c>
      <c r="J851" t="str">
        <f>IF(E851="","",INDEX(Knutepunkter!$C:$C,E851+1))</f>
        <v/>
      </c>
      <c r="K851" t="str">
        <f>IF(E851="","",INDEX(Knutepunkter!$D:$D,E851+1))</f>
        <v/>
      </c>
      <c r="L851" t="str">
        <f t="shared" si="68"/>
        <v/>
      </c>
      <c r="M851" t="str">
        <f t="shared" si="69"/>
        <v/>
      </c>
    </row>
    <row r="852" spans="1:13" x14ac:dyDescent="0.3">
      <c r="A852" t="str">
        <f>Segmenter!A852</f>
        <v/>
      </c>
      <c r="B852" t="str">
        <f>Segmenter!B852</f>
        <v/>
      </c>
      <c r="C852" t="str">
        <f t="shared" si="65"/>
        <v/>
      </c>
      <c r="D852" t="str">
        <f t="shared" si="66"/>
        <v/>
      </c>
      <c r="E852" t="str">
        <f t="shared" si="67"/>
        <v/>
      </c>
      <c r="F852" t="str">
        <f>IF(D852="","",INDEX(Knutepunkter!$B:$B,D852+1))</f>
        <v/>
      </c>
      <c r="G852" t="str">
        <f>IF(D852="","",INDEX(Knutepunkter!$C:$C,D852+1))</f>
        <v/>
      </c>
      <c r="H852" t="str">
        <f>IF(D852="","",INDEX(Knutepunkter!$D:$D,D852+1))</f>
        <v/>
      </c>
      <c r="I852" t="str">
        <f>IF(E852="","",INDEX(Knutepunkter!$B:$B,E852+1))</f>
        <v/>
      </c>
      <c r="J852" t="str">
        <f>IF(E852="","",INDEX(Knutepunkter!$C:$C,E852+1))</f>
        <v/>
      </c>
      <c r="K852" t="str">
        <f>IF(E852="","",INDEX(Knutepunkter!$D:$D,E852+1))</f>
        <v/>
      </c>
      <c r="L852" t="str">
        <f t="shared" si="68"/>
        <v/>
      </c>
      <c r="M852" t="str">
        <f t="shared" si="69"/>
        <v/>
      </c>
    </row>
    <row r="853" spans="1:13" x14ac:dyDescent="0.3">
      <c r="A853" t="str">
        <f>Segmenter!A853</f>
        <v/>
      </c>
      <c r="B853" t="str">
        <f>Segmenter!B853</f>
        <v/>
      </c>
      <c r="C853" t="str">
        <f t="shared" si="65"/>
        <v/>
      </c>
      <c r="D853" t="str">
        <f t="shared" si="66"/>
        <v/>
      </c>
      <c r="E853" t="str">
        <f t="shared" si="67"/>
        <v/>
      </c>
      <c r="F853" t="str">
        <f>IF(D853="","",INDEX(Knutepunkter!$B:$B,D853+1))</f>
        <v/>
      </c>
      <c r="G853" t="str">
        <f>IF(D853="","",INDEX(Knutepunkter!$C:$C,D853+1))</f>
        <v/>
      </c>
      <c r="H853" t="str">
        <f>IF(D853="","",INDEX(Knutepunkter!$D:$D,D853+1))</f>
        <v/>
      </c>
      <c r="I853" t="str">
        <f>IF(E853="","",INDEX(Knutepunkter!$B:$B,E853+1))</f>
        <v/>
      </c>
      <c r="J853" t="str">
        <f>IF(E853="","",INDEX(Knutepunkter!$C:$C,E853+1))</f>
        <v/>
      </c>
      <c r="K853" t="str">
        <f>IF(E853="","",INDEX(Knutepunkter!$D:$D,E853+1))</f>
        <v/>
      </c>
      <c r="L853" t="str">
        <f t="shared" si="68"/>
        <v/>
      </c>
      <c r="M853" t="str">
        <f t="shared" si="69"/>
        <v/>
      </c>
    </row>
    <row r="854" spans="1:13" x14ac:dyDescent="0.3">
      <c r="A854" t="str">
        <f>Segmenter!A854</f>
        <v/>
      </c>
      <c r="B854" t="str">
        <f>Segmenter!B854</f>
        <v/>
      </c>
      <c r="C854" t="str">
        <f t="shared" si="65"/>
        <v/>
      </c>
      <c r="D854" t="str">
        <f t="shared" si="66"/>
        <v/>
      </c>
      <c r="E854" t="str">
        <f t="shared" si="67"/>
        <v/>
      </c>
      <c r="F854" t="str">
        <f>IF(D854="","",INDEX(Knutepunkter!$B:$B,D854+1))</f>
        <v/>
      </c>
      <c r="G854" t="str">
        <f>IF(D854="","",INDEX(Knutepunkter!$C:$C,D854+1))</f>
        <v/>
      </c>
      <c r="H854" t="str">
        <f>IF(D854="","",INDEX(Knutepunkter!$D:$D,D854+1))</f>
        <v/>
      </c>
      <c r="I854" t="str">
        <f>IF(E854="","",INDEX(Knutepunkter!$B:$B,E854+1))</f>
        <v/>
      </c>
      <c r="J854" t="str">
        <f>IF(E854="","",INDEX(Knutepunkter!$C:$C,E854+1))</f>
        <v/>
      </c>
      <c r="K854" t="str">
        <f>IF(E854="","",INDEX(Knutepunkter!$D:$D,E854+1))</f>
        <v/>
      </c>
      <c r="L854" t="str">
        <f t="shared" si="68"/>
        <v/>
      </c>
      <c r="M854" t="str">
        <f t="shared" si="69"/>
        <v/>
      </c>
    </row>
    <row r="855" spans="1:13" x14ac:dyDescent="0.3">
      <c r="A855" t="str">
        <f>Segmenter!A855</f>
        <v/>
      </c>
      <c r="B855" t="str">
        <f>Segmenter!B855</f>
        <v/>
      </c>
      <c r="C855" t="str">
        <f t="shared" si="65"/>
        <v/>
      </c>
      <c r="D855" t="str">
        <f t="shared" si="66"/>
        <v/>
      </c>
      <c r="E855" t="str">
        <f t="shared" si="67"/>
        <v/>
      </c>
      <c r="F855" t="str">
        <f>IF(D855="","",INDEX(Knutepunkter!$B:$B,D855+1))</f>
        <v/>
      </c>
      <c r="G855" t="str">
        <f>IF(D855="","",INDEX(Knutepunkter!$C:$C,D855+1))</f>
        <v/>
      </c>
      <c r="H855" t="str">
        <f>IF(D855="","",INDEX(Knutepunkter!$D:$D,D855+1))</f>
        <v/>
      </c>
      <c r="I855" t="str">
        <f>IF(E855="","",INDEX(Knutepunkter!$B:$B,E855+1))</f>
        <v/>
      </c>
      <c r="J855" t="str">
        <f>IF(E855="","",INDEX(Knutepunkter!$C:$C,E855+1))</f>
        <v/>
      </c>
      <c r="K855" t="str">
        <f>IF(E855="","",INDEX(Knutepunkter!$D:$D,E855+1))</f>
        <v/>
      </c>
      <c r="L855" t="str">
        <f t="shared" si="68"/>
        <v/>
      </c>
      <c r="M855" t="str">
        <f t="shared" si="69"/>
        <v/>
      </c>
    </row>
    <row r="856" spans="1:13" x14ac:dyDescent="0.3">
      <c r="A856" t="str">
        <f>Segmenter!A856</f>
        <v/>
      </c>
      <c r="B856" t="str">
        <f>Segmenter!B856</f>
        <v/>
      </c>
      <c r="C856" t="str">
        <f t="shared" si="65"/>
        <v/>
      </c>
      <c r="D856" t="str">
        <f t="shared" si="66"/>
        <v/>
      </c>
      <c r="E856" t="str">
        <f t="shared" si="67"/>
        <v/>
      </c>
      <c r="F856" t="str">
        <f>IF(D856="","",INDEX(Knutepunkter!$B:$B,D856+1))</f>
        <v/>
      </c>
      <c r="G856" t="str">
        <f>IF(D856="","",INDEX(Knutepunkter!$C:$C,D856+1))</f>
        <v/>
      </c>
      <c r="H856" t="str">
        <f>IF(D856="","",INDEX(Knutepunkter!$D:$D,D856+1))</f>
        <v/>
      </c>
      <c r="I856" t="str">
        <f>IF(E856="","",INDEX(Knutepunkter!$B:$B,E856+1))</f>
        <v/>
      </c>
      <c r="J856" t="str">
        <f>IF(E856="","",INDEX(Knutepunkter!$C:$C,E856+1))</f>
        <v/>
      </c>
      <c r="K856" t="str">
        <f>IF(E856="","",INDEX(Knutepunkter!$D:$D,E856+1))</f>
        <v/>
      </c>
      <c r="L856" t="str">
        <f t="shared" si="68"/>
        <v/>
      </c>
      <c r="M856" t="str">
        <f t="shared" si="69"/>
        <v/>
      </c>
    </row>
    <row r="857" spans="1:13" x14ac:dyDescent="0.3">
      <c r="A857" t="str">
        <f>Segmenter!A857</f>
        <v/>
      </c>
      <c r="B857" t="str">
        <f>Segmenter!B857</f>
        <v/>
      </c>
      <c r="C857" t="str">
        <f t="shared" si="65"/>
        <v/>
      </c>
      <c r="D857" t="str">
        <f t="shared" si="66"/>
        <v/>
      </c>
      <c r="E857" t="str">
        <f t="shared" si="67"/>
        <v/>
      </c>
      <c r="F857" t="str">
        <f>IF(D857="","",INDEX(Knutepunkter!$B:$B,D857+1))</f>
        <v/>
      </c>
      <c r="G857" t="str">
        <f>IF(D857="","",INDEX(Knutepunkter!$C:$C,D857+1))</f>
        <v/>
      </c>
      <c r="H857" t="str">
        <f>IF(D857="","",INDEX(Knutepunkter!$D:$D,D857+1))</f>
        <v/>
      </c>
      <c r="I857" t="str">
        <f>IF(E857="","",INDEX(Knutepunkter!$B:$B,E857+1))</f>
        <v/>
      </c>
      <c r="J857" t="str">
        <f>IF(E857="","",INDEX(Knutepunkter!$C:$C,E857+1))</f>
        <v/>
      </c>
      <c r="K857" t="str">
        <f>IF(E857="","",INDEX(Knutepunkter!$D:$D,E857+1))</f>
        <v/>
      </c>
      <c r="L857" t="str">
        <f t="shared" si="68"/>
        <v/>
      </c>
      <c r="M857" t="str">
        <f t="shared" si="69"/>
        <v/>
      </c>
    </row>
    <row r="858" spans="1:13" x14ac:dyDescent="0.3">
      <c r="A858" t="str">
        <f>Segmenter!A858</f>
        <v/>
      </c>
      <c r="B858" t="str">
        <f>Segmenter!B858</f>
        <v/>
      </c>
      <c r="C858" t="str">
        <f t="shared" si="65"/>
        <v/>
      </c>
      <c r="D858" t="str">
        <f t="shared" si="66"/>
        <v/>
      </c>
      <c r="E858" t="str">
        <f t="shared" si="67"/>
        <v/>
      </c>
      <c r="F858" t="str">
        <f>IF(D858="","",INDEX(Knutepunkter!$B:$B,D858+1))</f>
        <v/>
      </c>
      <c r="G858" t="str">
        <f>IF(D858="","",INDEX(Knutepunkter!$C:$C,D858+1))</f>
        <v/>
      </c>
      <c r="H858" t="str">
        <f>IF(D858="","",INDEX(Knutepunkter!$D:$D,D858+1))</f>
        <v/>
      </c>
      <c r="I858" t="str">
        <f>IF(E858="","",INDEX(Knutepunkter!$B:$B,E858+1))</f>
        <v/>
      </c>
      <c r="J858" t="str">
        <f>IF(E858="","",INDEX(Knutepunkter!$C:$C,E858+1))</f>
        <v/>
      </c>
      <c r="K858" t="str">
        <f>IF(E858="","",INDEX(Knutepunkter!$D:$D,E858+1))</f>
        <v/>
      </c>
      <c r="L858" t="str">
        <f t="shared" si="68"/>
        <v/>
      </c>
      <c r="M858" t="str">
        <f t="shared" si="69"/>
        <v/>
      </c>
    </row>
    <row r="859" spans="1:13" x14ac:dyDescent="0.3">
      <c r="A859" t="str">
        <f>Segmenter!A859</f>
        <v/>
      </c>
      <c r="B859" t="str">
        <f>Segmenter!B859</f>
        <v/>
      </c>
      <c r="C859" t="str">
        <f t="shared" si="65"/>
        <v/>
      </c>
      <c r="D859" t="str">
        <f t="shared" si="66"/>
        <v/>
      </c>
      <c r="E859" t="str">
        <f t="shared" si="67"/>
        <v/>
      </c>
      <c r="F859" t="str">
        <f>IF(D859="","",INDEX(Knutepunkter!$B:$B,D859+1))</f>
        <v/>
      </c>
      <c r="G859" t="str">
        <f>IF(D859="","",INDEX(Knutepunkter!$C:$C,D859+1))</f>
        <v/>
      </c>
      <c r="H859" t="str">
        <f>IF(D859="","",INDEX(Knutepunkter!$D:$D,D859+1))</f>
        <v/>
      </c>
      <c r="I859" t="str">
        <f>IF(E859="","",INDEX(Knutepunkter!$B:$B,E859+1))</f>
        <v/>
      </c>
      <c r="J859" t="str">
        <f>IF(E859="","",INDEX(Knutepunkter!$C:$C,E859+1))</f>
        <v/>
      </c>
      <c r="K859" t="str">
        <f>IF(E859="","",INDEX(Knutepunkter!$D:$D,E859+1))</f>
        <v/>
      </c>
      <c r="L859" t="str">
        <f t="shared" si="68"/>
        <v/>
      </c>
      <c r="M859" t="str">
        <f t="shared" si="69"/>
        <v/>
      </c>
    </row>
    <row r="860" spans="1:13" x14ac:dyDescent="0.3">
      <c r="A860" t="str">
        <f>Segmenter!A860</f>
        <v/>
      </c>
      <c r="B860" t="str">
        <f>Segmenter!B860</f>
        <v/>
      </c>
      <c r="C860" t="str">
        <f t="shared" si="65"/>
        <v/>
      </c>
      <c r="D860" t="str">
        <f t="shared" si="66"/>
        <v/>
      </c>
      <c r="E860" t="str">
        <f t="shared" si="67"/>
        <v/>
      </c>
      <c r="F860" t="str">
        <f>IF(D860="","",INDEX(Knutepunkter!$B:$B,D860+1))</f>
        <v/>
      </c>
      <c r="G860" t="str">
        <f>IF(D860="","",INDEX(Knutepunkter!$C:$C,D860+1))</f>
        <v/>
      </c>
      <c r="H860" t="str">
        <f>IF(D860="","",INDEX(Knutepunkter!$D:$D,D860+1))</f>
        <v/>
      </c>
      <c r="I860" t="str">
        <f>IF(E860="","",INDEX(Knutepunkter!$B:$B,E860+1))</f>
        <v/>
      </c>
      <c r="J860" t="str">
        <f>IF(E860="","",INDEX(Knutepunkter!$C:$C,E860+1))</f>
        <v/>
      </c>
      <c r="K860" t="str">
        <f>IF(E860="","",INDEX(Knutepunkter!$D:$D,E860+1))</f>
        <v/>
      </c>
      <c r="L860" t="str">
        <f t="shared" si="68"/>
        <v/>
      </c>
      <c r="M860" t="str">
        <f t="shared" si="69"/>
        <v/>
      </c>
    </row>
    <row r="861" spans="1:13" x14ac:dyDescent="0.3">
      <c r="A861" t="str">
        <f>Segmenter!A861</f>
        <v/>
      </c>
      <c r="B861" t="str">
        <f>Segmenter!B861</f>
        <v/>
      </c>
      <c r="C861" t="str">
        <f t="shared" si="65"/>
        <v/>
      </c>
      <c r="D861" t="str">
        <f t="shared" si="66"/>
        <v/>
      </c>
      <c r="E861" t="str">
        <f t="shared" si="67"/>
        <v/>
      </c>
      <c r="F861" t="str">
        <f>IF(D861="","",INDEX(Knutepunkter!$B:$B,D861+1))</f>
        <v/>
      </c>
      <c r="G861" t="str">
        <f>IF(D861="","",INDEX(Knutepunkter!$C:$C,D861+1))</f>
        <v/>
      </c>
      <c r="H861" t="str">
        <f>IF(D861="","",INDEX(Knutepunkter!$D:$D,D861+1))</f>
        <v/>
      </c>
      <c r="I861" t="str">
        <f>IF(E861="","",INDEX(Knutepunkter!$B:$B,E861+1))</f>
        <v/>
      </c>
      <c r="J861" t="str">
        <f>IF(E861="","",INDEX(Knutepunkter!$C:$C,E861+1))</f>
        <v/>
      </c>
      <c r="K861" t="str">
        <f>IF(E861="","",INDEX(Knutepunkter!$D:$D,E861+1))</f>
        <v/>
      </c>
      <c r="L861" t="str">
        <f t="shared" si="68"/>
        <v/>
      </c>
      <c r="M861" t="str">
        <f t="shared" si="69"/>
        <v/>
      </c>
    </row>
    <row r="862" spans="1:13" x14ac:dyDescent="0.3">
      <c r="A862" t="str">
        <f>Segmenter!A862</f>
        <v/>
      </c>
      <c r="B862" t="str">
        <f>Segmenter!B862</f>
        <v/>
      </c>
      <c r="C862" t="str">
        <f t="shared" si="65"/>
        <v/>
      </c>
      <c r="D862" t="str">
        <f t="shared" si="66"/>
        <v/>
      </c>
      <c r="E862" t="str">
        <f t="shared" si="67"/>
        <v/>
      </c>
      <c r="F862" t="str">
        <f>IF(D862="","",INDEX(Knutepunkter!$B:$B,D862+1))</f>
        <v/>
      </c>
      <c r="G862" t="str">
        <f>IF(D862="","",INDEX(Knutepunkter!$C:$C,D862+1))</f>
        <v/>
      </c>
      <c r="H862" t="str">
        <f>IF(D862="","",INDEX(Knutepunkter!$D:$D,D862+1))</f>
        <v/>
      </c>
      <c r="I862" t="str">
        <f>IF(E862="","",INDEX(Knutepunkter!$B:$B,E862+1))</f>
        <v/>
      </c>
      <c r="J862" t="str">
        <f>IF(E862="","",INDEX(Knutepunkter!$C:$C,E862+1))</f>
        <v/>
      </c>
      <c r="K862" t="str">
        <f>IF(E862="","",INDEX(Knutepunkter!$D:$D,E862+1))</f>
        <v/>
      </c>
      <c r="L862" t="str">
        <f t="shared" si="68"/>
        <v/>
      </c>
      <c r="M862" t="str">
        <f t="shared" si="69"/>
        <v/>
      </c>
    </row>
    <row r="863" spans="1:13" x14ac:dyDescent="0.3">
      <c r="A863" t="str">
        <f>Segmenter!A863</f>
        <v/>
      </c>
      <c r="B863" t="str">
        <f>Segmenter!B863</f>
        <v/>
      </c>
      <c r="C863" t="str">
        <f t="shared" si="65"/>
        <v/>
      </c>
      <c r="D863" t="str">
        <f t="shared" si="66"/>
        <v/>
      </c>
      <c r="E863" t="str">
        <f t="shared" si="67"/>
        <v/>
      </c>
      <c r="F863" t="str">
        <f>IF(D863="","",INDEX(Knutepunkter!$B:$B,D863+1))</f>
        <v/>
      </c>
      <c r="G863" t="str">
        <f>IF(D863="","",INDEX(Knutepunkter!$C:$C,D863+1))</f>
        <v/>
      </c>
      <c r="H863" t="str">
        <f>IF(D863="","",INDEX(Knutepunkter!$D:$D,D863+1))</f>
        <v/>
      </c>
      <c r="I863" t="str">
        <f>IF(E863="","",INDEX(Knutepunkter!$B:$B,E863+1))</f>
        <v/>
      </c>
      <c r="J863" t="str">
        <f>IF(E863="","",INDEX(Knutepunkter!$C:$C,E863+1))</f>
        <v/>
      </c>
      <c r="K863" t="str">
        <f>IF(E863="","",INDEX(Knutepunkter!$D:$D,E863+1))</f>
        <v/>
      </c>
      <c r="L863" t="str">
        <f t="shared" si="68"/>
        <v/>
      </c>
      <c r="M863" t="str">
        <f t="shared" si="69"/>
        <v/>
      </c>
    </row>
    <row r="864" spans="1:13" x14ac:dyDescent="0.3">
      <c r="A864" t="str">
        <f>Segmenter!A864</f>
        <v/>
      </c>
      <c r="B864" t="str">
        <f>Segmenter!B864</f>
        <v/>
      </c>
      <c r="C864" t="str">
        <f t="shared" si="65"/>
        <v/>
      </c>
      <c r="D864" t="str">
        <f t="shared" si="66"/>
        <v/>
      </c>
      <c r="E864" t="str">
        <f t="shared" si="67"/>
        <v/>
      </c>
      <c r="F864" t="str">
        <f>IF(D864="","",INDEX(Knutepunkter!$B:$B,D864+1))</f>
        <v/>
      </c>
      <c r="G864" t="str">
        <f>IF(D864="","",INDEX(Knutepunkter!$C:$C,D864+1))</f>
        <v/>
      </c>
      <c r="H864" t="str">
        <f>IF(D864="","",INDEX(Knutepunkter!$D:$D,D864+1))</f>
        <v/>
      </c>
      <c r="I864" t="str">
        <f>IF(E864="","",INDEX(Knutepunkter!$B:$B,E864+1))</f>
        <v/>
      </c>
      <c r="J864" t="str">
        <f>IF(E864="","",INDEX(Knutepunkter!$C:$C,E864+1))</f>
        <v/>
      </c>
      <c r="K864" t="str">
        <f>IF(E864="","",INDEX(Knutepunkter!$D:$D,E864+1))</f>
        <v/>
      </c>
      <c r="L864" t="str">
        <f t="shared" si="68"/>
        <v/>
      </c>
      <c r="M864" t="str">
        <f t="shared" si="69"/>
        <v/>
      </c>
    </row>
    <row r="865" spans="1:13" x14ac:dyDescent="0.3">
      <c r="A865" t="str">
        <f>Segmenter!A865</f>
        <v/>
      </c>
      <c r="B865" t="str">
        <f>Segmenter!B865</f>
        <v/>
      </c>
      <c r="C865" t="str">
        <f t="shared" si="65"/>
        <v/>
      </c>
      <c r="D865" t="str">
        <f t="shared" si="66"/>
        <v/>
      </c>
      <c r="E865" t="str">
        <f t="shared" si="67"/>
        <v/>
      </c>
      <c r="F865" t="str">
        <f>IF(D865="","",INDEX(Knutepunkter!$B:$B,D865+1))</f>
        <v/>
      </c>
      <c r="G865" t="str">
        <f>IF(D865="","",INDEX(Knutepunkter!$C:$C,D865+1))</f>
        <v/>
      </c>
      <c r="H865" t="str">
        <f>IF(D865="","",INDEX(Knutepunkter!$D:$D,D865+1))</f>
        <v/>
      </c>
      <c r="I865" t="str">
        <f>IF(E865="","",INDEX(Knutepunkter!$B:$B,E865+1))</f>
        <v/>
      </c>
      <c r="J865" t="str">
        <f>IF(E865="","",INDEX(Knutepunkter!$C:$C,E865+1))</f>
        <v/>
      </c>
      <c r="K865" t="str">
        <f>IF(E865="","",INDEX(Knutepunkter!$D:$D,E865+1))</f>
        <v/>
      </c>
      <c r="L865" t="str">
        <f t="shared" si="68"/>
        <v/>
      </c>
      <c r="M865" t="str">
        <f t="shared" si="69"/>
        <v/>
      </c>
    </row>
    <row r="866" spans="1:13" x14ac:dyDescent="0.3">
      <c r="A866" t="str">
        <f>Segmenter!A866</f>
        <v/>
      </c>
      <c r="B866" t="str">
        <f>Segmenter!B866</f>
        <v/>
      </c>
      <c r="C866" t="str">
        <f t="shared" si="65"/>
        <v/>
      </c>
      <c r="D866" t="str">
        <f t="shared" si="66"/>
        <v/>
      </c>
      <c r="E866" t="str">
        <f t="shared" si="67"/>
        <v/>
      </c>
      <c r="F866" t="str">
        <f>IF(D866="","",INDEX(Knutepunkter!$B:$B,D866+1))</f>
        <v/>
      </c>
      <c r="G866" t="str">
        <f>IF(D866="","",INDEX(Knutepunkter!$C:$C,D866+1))</f>
        <v/>
      </c>
      <c r="H866" t="str">
        <f>IF(D866="","",INDEX(Knutepunkter!$D:$D,D866+1))</f>
        <v/>
      </c>
      <c r="I866" t="str">
        <f>IF(E866="","",INDEX(Knutepunkter!$B:$B,E866+1))</f>
        <v/>
      </c>
      <c r="J866" t="str">
        <f>IF(E866="","",INDEX(Knutepunkter!$C:$C,E866+1))</f>
        <v/>
      </c>
      <c r="K866" t="str">
        <f>IF(E866="","",INDEX(Knutepunkter!$D:$D,E866+1))</f>
        <v/>
      </c>
      <c r="L866" t="str">
        <f t="shared" si="68"/>
        <v/>
      </c>
      <c r="M866" t="str">
        <f t="shared" si="69"/>
        <v/>
      </c>
    </row>
    <row r="867" spans="1:13" x14ac:dyDescent="0.3">
      <c r="A867" t="str">
        <f>Segmenter!A867</f>
        <v/>
      </c>
      <c r="B867" t="str">
        <f>Segmenter!B867</f>
        <v/>
      </c>
      <c r="C867" t="str">
        <f t="shared" si="65"/>
        <v/>
      </c>
      <c r="D867" t="str">
        <f t="shared" si="66"/>
        <v/>
      </c>
      <c r="E867" t="str">
        <f t="shared" si="67"/>
        <v/>
      </c>
      <c r="F867" t="str">
        <f>IF(D867="","",INDEX(Knutepunkter!$B:$B,D867+1))</f>
        <v/>
      </c>
      <c r="G867" t="str">
        <f>IF(D867="","",INDEX(Knutepunkter!$C:$C,D867+1))</f>
        <v/>
      </c>
      <c r="H867" t="str">
        <f>IF(D867="","",INDEX(Knutepunkter!$D:$D,D867+1))</f>
        <v/>
      </c>
      <c r="I867" t="str">
        <f>IF(E867="","",INDEX(Knutepunkter!$B:$B,E867+1))</f>
        <v/>
      </c>
      <c r="J867" t="str">
        <f>IF(E867="","",INDEX(Knutepunkter!$C:$C,E867+1))</f>
        <v/>
      </c>
      <c r="K867" t="str">
        <f>IF(E867="","",INDEX(Knutepunkter!$D:$D,E867+1))</f>
        <v/>
      </c>
      <c r="L867" t="str">
        <f t="shared" si="68"/>
        <v/>
      </c>
      <c r="M867" t="str">
        <f t="shared" si="69"/>
        <v/>
      </c>
    </row>
    <row r="868" spans="1:13" x14ac:dyDescent="0.3">
      <c r="A868" t="str">
        <f>Segmenter!A868</f>
        <v/>
      </c>
      <c r="B868" t="str">
        <f>Segmenter!B868</f>
        <v/>
      </c>
      <c r="C868" t="str">
        <f t="shared" si="65"/>
        <v/>
      </c>
      <c r="D868" t="str">
        <f t="shared" si="66"/>
        <v/>
      </c>
      <c r="E868" t="str">
        <f t="shared" si="67"/>
        <v/>
      </c>
      <c r="F868" t="str">
        <f>IF(D868="","",INDEX(Knutepunkter!$B:$B,D868+1))</f>
        <v/>
      </c>
      <c r="G868" t="str">
        <f>IF(D868="","",INDEX(Knutepunkter!$C:$C,D868+1))</f>
        <v/>
      </c>
      <c r="H868" t="str">
        <f>IF(D868="","",INDEX(Knutepunkter!$D:$D,D868+1))</f>
        <v/>
      </c>
      <c r="I868" t="str">
        <f>IF(E868="","",INDEX(Knutepunkter!$B:$B,E868+1))</f>
        <v/>
      </c>
      <c r="J868" t="str">
        <f>IF(E868="","",INDEX(Knutepunkter!$C:$C,E868+1))</f>
        <v/>
      </c>
      <c r="K868" t="str">
        <f>IF(E868="","",INDEX(Knutepunkter!$D:$D,E868+1))</f>
        <v/>
      </c>
      <c r="L868" t="str">
        <f t="shared" si="68"/>
        <v/>
      </c>
      <c r="M868" t="str">
        <f t="shared" si="69"/>
        <v/>
      </c>
    </row>
    <row r="869" spans="1:13" x14ac:dyDescent="0.3">
      <c r="A869" t="str">
        <f>Segmenter!A869</f>
        <v/>
      </c>
      <c r="B869" t="str">
        <f>Segmenter!B869</f>
        <v/>
      </c>
      <c r="C869" t="str">
        <f t="shared" si="65"/>
        <v/>
      </c>
      <c r="D869" t="str">
        <f t="shared" si="66"/>
        <v/>
      </c>
      <c r="E869" t="str">
        <f t="shared" si="67"/>
        <v/>
      </c>
      <c r="F869" t="str">
        <f>IF(D869="","",INDEX(Knutepunkter!$B:$B,D869+1))</f>
        <v/>
      </c>
      <c r="G869" t="str">
        <f>IF(D869="","",INDEX(Knutepunkter!$C:$C,D869+1))</f>
        <v/>
      </c>
      <c r="H869" t="str">
        <f>IF(D869="","",INDEX(Knutepunkter!$D:$D,D869+1))</f>
        <v/>
      </c>
      <c r="I869" t="str">
        <f>IF(E869="","",INDEX(Knutepunkter!$B:$B,E869+1))</f>
        <v/>
      </c>
      <c r="J869" t="str">
        <f>IF(E869="","",INDEX(Knutepunkter!$C:$C,E869+1))</f>
        <v/>
      </c>
      <c r="K869" t="str">
        <f>IF(E869="","",INDEX(Knutepunkter!$D:$D,E869+1))</f>
        <v/>
      </c>
      <c r="L869" t="str">
        <f t="shared" si="68"/>
        <v/>
      </c>
      <c r="M869" t="str">
        <f t="shared" si="69"/>
        <v/>
      </c>
    </row>
    <row r="870" spans="1:13" x14ac:dyDescent="0.3">
      <c r="A870" t="str">
        <f>Segmenter!A870</f>
        <v/>
      </c>
      <c r="B870" t="str">
        <f>Segmenter!B870</f>
        <v/>
      </c>
      <c r="C870" t="str">
        <f t="shared" si="65"/>
        <v/>
      </c>
      <c r="D870" t="str">
        <f t="shared" si="66"/>
        <v/>
      </c>
      <c r="E870" t="str">
        <f t="shared" si="67"/>
        <v/>
      </c>
      <c r="F870" t="str">
        <f>IF(D870="","",INDEX(Knutepunkter!$B:$B,D870+1))</f>
        <v/>
      </c>
      <c r="G870" t="str">
        <f>IF(D870="","",INDEX(Knutepunkter!$C:$C,D870+1))</f>
        <v/>
      </c>
      <c r="H870" t="str">
        <f>IF(D870="","",INDEX(Knutepunkter!$D:$D,D870+1))</f>
        <v/>
      </c>
      <c r="I870" t="str">
        <f>IF(E870="","",INDEX(Knutepunkter!$B:$B,E870+1))</f>
        <v/>
      </c>
      <c r="J870" t="str">
        <f>IF(E870="","",INDEX(Knutepunkter!$C:$C,E870+1))</f>
        <v/>
      </c>
      <c r="K870" t="str">
        <f>IF(E870="","",INDEX(Knutepunkter!$D:$D,E870+1))</f>
        <v/>
      </c>
      <c r="L870" t="str">
        <f t="shared" si="68"/>
        <v/>
      </c>
      <c r="M870" t="str">
        <f t="shared" si="69"/>
        <v/>
      </c>
    </row>
    <row r="871" spans="1:13" x14ac:dyDescent="0.3">
      <c r="A871" t="str">
        <f>Segmenter!A871</f>
        <v/>
      </c>
      <c r="B871" t="str">
        <f>Segmenter!B871</f>
        <v/>
      </c>
      <c r="C871" t="str">
        <f t="shared" si="65"/>
        <v/>
      </c>
      <c r="D871" t="str">
        <f t="shared" si="66"/>
        <v/>
      </c>
      <c r="E871" t="str">
        <f t="shared" si="67"/>
        <v/>
      </c>
      <c r="F871" t="str">
        <f>IF(D871="","",INDEX(Knutepunkter!$B:$B,D871+1))</f>
        <v/>
      </c>
      <c r="G871" t="str">
        <f>IF(D871="","",INDEX(Knutepunkter!$C:$C,D871+1))</f>
        <v/>
      </c>
      <c r="H871" t="str">
        <f>IF(D871="","",INDEX(Knutepunkter!$D:$D,D871+1))</f>
        <v/>
      </c>
      <c r="I871" t="str">
        <f>IF(E871="","",INDEX(Knutepunkter!$B:$B,E871+1))</f>
        <v/>
      </c>
      <c r="J871" t="str">
        <f>IF(E871="","",INDEX(Knutepunkter!$C:$C,E871+1))</f>
        <v/>
      </c>
      <c r="K871" t="str">
        <f>IF(E871="","",INDEX(Knutepunkter!$D:$D,E871+1))</f>
        <v/>
      </c>
      <c r="L871" t="str">
        <f t="shared" si="68"/>
        <v/>
      </c>
      <c r="M871" t="str">
        <f t="shared" si="69"/>
        <v/>
      </c>
    </row>
    <row r="872" spans="1:13" x14ac:dyDescent="0.3">
      <c r="A872" t="str">
        <f>Segmenter!A872</f>
        <v/>
      </c>
      <c r="B872" t="str">
        <f>Segmenter!B872</f>
        <v/>
      </c>
      <c r="C872" t="str">
        <f t="shared" si="65"/>
        <v/>
      </c>
      <c r="D872" t="str">
        <f t="shared" si="66"/>
        <v/>
      </c>
      <c r="E872" t="str">
        <f t="shared" si="67"/>
        <v/>
      </c>
      <c r="F872" t="str">
        <f>IF(D872="","",INDEX(Knutepunkter!$B:$B,D872+1))</f>
        <v/>
      </c>
      <c r="G872" t="str">
        <f>IF(D872="","",INDEX(Knutepunkter!$C:$C,D872+1))</f>
        <v/>
      </c>
      <c r="H872" t="str">
        <f>IF(D872="","",INDEX(Knutepunkter!$D:$D,D872+1))</f>
        <v/>
      </c>
      <c r="I872" t="str">
        <f>IF(E872="","",INDEX(Knutepunkter!$B:$B,E872+1))</f>
        <v/>
      </c>
      <c r="J872" t="str">
        <f>IF(E872="","",INDEX(Knutepunkter!$C:$C,E872+1))</f>
        <v/>
      </c>
      <c r="K872" t="str">
        <f>IF(E872="","",INDEX(Knutepunkter!$D:$D,E872+1))</f>
        <v/>
      </c>
      <c r="L872" t="str">
        <f t="shared" si="68"/>
        <v/>
      </c>
      <c r="M872" t="str">
        <f t="shared" si="69"/>
        <v/>
      </c>
    </row>
    <row r="873" spans="1:13" x14ac:dyDescent="0.3">
      <c r="A873" t="str">
        <f>Segmenter!A873</f>
        <v/>
      </c>
      <c r="B873" t="str">
        <f>Segmenter!B873</f>
        <v/>
      </c>
      <c r="C873" t="str">
        <f t="shared" si="65"/>
        <v/>
      </c>
      <c r="D873" t="str">
        <f t="shared" si="66"/>
        <v/>
      </c>
      <c r="E873" t="str">
        <f t="shared" si="67"/>
        <v/>
      </c>
      <c r="F873" t="str">
        <f>IF(D873="","",INDEX(Knutepunkter!$B:$B,D873+1))</f>
        <v/>
      </c>
      <c r="G873" t="str">
        <f>IF(D873="","",INDEX(Knutepunkter!$C:$C,D873+1))</f>
        <v/>
      </c>
      <c r="H873" t="str">
        <f>IF(D873="","",INDEX(Knutepunkter!$D:$D,D873+1))</f>
        <v/>
      </c>
      <c r="I873" t="str">
        <f>IF(E873="","",INDEX(Knutepunkter!$B:$B,E873+1))</f>
        <v/>
      </c>
      <c r="J873" t="str">
        <f>IF(E873="","",INDEX(Knutepunkter!$C:$C,E873+1))</f>
        <v/>
      </c>
      <c r="K873" t="str">
        <f>IF(E873="","",INDEX(Knutepunkter!$D:$D,E873+1))</f>
        <v/>
      </c>
      <c r="L873" t="str">
        <f t="shared" si="68"/>
        <v/>
      </c>
      <c r="M873" t="str">
        <f t="shared" si="69"/>
        <v/>
      </c>
    </row>
    <row r="874" spans="1:13" x14ac:dyDescent="0.3">
      <c r="A874" t="str">
        <f>Segmenter!A874</f>
        <v/>
      </c>
      <c r="B874" t="str">
        <f>Segmenter!B874</f>
        <v/>
      </c>
      <c r="C874" t="str">
        <f t="shared" si="65"/>
        <v/>
      </c>
      <c r="D874" t="str">
        <f t="shared" si="66"/>
        <v/>
      </c>
      <c r="E874" t="str">
        <f t="shared" si="67"/>
        <v/>
      </c>
      <c r="F874" t="str">
        <f>IF(D874="","",INDEX(Knutepunkter!$B:$B,D874+1))</f>
        <v/>
      </c>
      <c r="G874" t="str">
        <f>IF(D874="","",INDEX(Knutepunkter!$C:$C,D874+1))</f>
        <v/>
      </c>
      <c r="H874" t="str">
        <f>IF(D874="","",INDEX(Knutepunkter!$D:$D,D874+1))</f>
        <v/>
      </c>
      <c r="I874" t="str">
        <f>IF(E874="","",INDEX(Knutepunkter!$B:$B,E874+1))</f>
        <v/>
      </c>
      <c r="J874" t="str">
        <f>IF(E874="","",INDEX(Knutepunkter!$C:$C,E874+1))</f>
        <v/>
      </c>
      <c r="K874" t="str">
        <f>IF(E874="","",INDEX(Knutepunkter!$D:$D,E874+1))</f>
        <v/>
      </c>
      <c r="L874" t="str">
        <f t="shared" si="68"/>
        <v/>
      </c>
      <c r="M874" t="str">
        <f t="shared" si="69"/>
        <v/>
      </c>
    </row>
    <row r="875" spans="1:13" x14ac:dyDescent="0.3">
      <c r="A875" t="str">
        <f>Segmenter!A875</f>
        <v/>
      </c>
      <c r="B875" t="str">
        <f>Segmenter!B875</f>
        <v/>
      </c>
      <c r="C875" t="str">
        <f t="shared" si="65"/>
        <v/>
      </c>
      <c r="D875" t="str">
        <f t="shared" si="66"/>
        <v/>
      </c>
      <c r="E875" t="str">
        <f t="shared" si="67"/>
        <v/>
      </c>
      <c r="F875" t="str">
        <f>IF(D875="","",INDEX(Knutepunkter!$B:$B,D875+1))</f>
        <v/>
      </c>
      <c r="G875" t="str">
        <f>IF(D875="","",INDEX(Knutepunkter!$C:$C,D875+1))</f>
        <v/>
      </c>
      <c r="H875" t="str">
        <f>IF(D875="","",INDEX(Knutepunkter!$D:$D,D875+1))</f>
        <v/>
      </c>
      <c r="I875" t="str">
        <f>IF(E875="","",INDEX(Knutepunkter!$B:$B,E875+1))</f>
        <v/>
      </c>
      <c r="J875" t="str">
        <f>IF(E875="","",INDEX(Knutepunkter!$C:$C,E875+1))</f>
        <v/>
      </c>
      <c r="K875" t="str">
        <f>IF(E875="","",INDEX(Knutepunkter!$D:$D,E875+1))</f>
        <v/>
      </c>
      <c r="L875" t="str">
        <f t="shared" si="68"/>
        <v/>
      </c>
      <c r="M875" t="str">
        <f t="shared" si="69"/>
        <v/>
      </c>
    </row>
    <row r="876" spans="1:13" x14ac:dyDescent="0.3">
      <c r="A876" t="str">
        <f>Segmenter!A876</f>
        <v/>
      </c>
      <c r="B876" t="str">
        <f>Segmenter!B876</f>
        <v/>
      </c>
      <c r="C876" t="str">
        <f t="shared" si="65"/>
        <v/>
      </c>
      <c r="D876" t="str">
        <f t="shared" si="66"/>
        <v/>
      </c>
      <c r="E876" t="str">
        <f t="shared" si="67"/>
        <v/>
      </c>
      <c r="F876" t="str">
        <f>IF(D876="","",INDEX(Knutepunkter!$B:$B,D876+1))</f>
        <v/>
      </c>
      <c r="G876" t="str">
        <f>IF(D876="","",INDEX(Knutepunkter!$C:$C,D876+1))</f>
        <v/>
      </c>
      <c r="H876" t="str">
        <f>IF(D876="","",INDEX(Knutepunkter!$D:$D,D876+1))</f>
        <v/>
      </c>
      <c r="I876" t="str">
        <f>IF(E876="","",INDEX(Knutepunkter!$B:$B,E876+1))</f>
        <v/>
      </c>
      <c r="J876" t="str">
        <f>IF(E876="","",INDEX(Knutepunkter!$C:$C,E876+1))</f>
        <v/>
      </c>
      <c r="K876" t="str">
        <f>IF(E876="","",INDEX(Knutepunkter!$D:$D,E876+1))</f>
        <v/>
      </c>
      <c r="L876" t="str">
        <f t="shared" si="68"/>
        <v/>
      </c>
      <c r="M876" t="str">
        <f t="shared" si="69"/>
        <v/>
      </c>
    </row>
    <row r="877" spans="1:13" x14ac:dyDescent="0.3">
      <c r="A877" t="str">
        <f>Segmenter!A877</f>
        <v/>
      </c>
      <c r="B877" t="str">
        <f>Segmenter!B877</f>
        <v/>
      </c>
      <c r="C877" t="str">
        <f t="shared" si="65"/>
        <v/>
      </c>
      <c r="D877" t="str">
        <f t="shared" si="66"/>
        <v/>
      </c>
      <c r="E877" t="str">
        <f t="shared" si="67"/>
        <v/>
      </c>
      <c r="F877" t="str">
        <f>IF(D877="","",INDEX(Knutepunkter!$B:$B,D877+1))</f>
        <v/>
      </c>
      <c r="G877" t="str">
        <f>IF(D877="","",INDEX(Knutepunkter!$C:$C,D877+1))</f>
        <v/>
      </c>
      <c r="H877" t="str">
        <f>IF(D877="","",INDEX(Knutepunkter!$D:$D,D877+1))</f>
        <v/>
      </c>
      <c r="I877" t="str">
        <f>IF(E877="","",INDEX(Knutepunkter!$B:$B,E877+1))</f>
        <v/>
      </c>
      <c r="J877" t="str">
        <f>IF(E877="","",INDEX(Knutepunkter!$C:$C,E877+1))</f>
        <v/>
      </c>
      <c r="K877" t="str">
        <f>IF(E877="","",INDEX(Knutepunkter!$D:$D,E877+1))</f>
        <v/>
      </c>
      <c r="L877" t="str">
        <f t="shared" si="68"/>
        <v/>
      </c>
      <c r="M877" t="str">
        <f t="shared" si="69"/>
        <v/>
      </c>
    </row>
    <row r="878" spans="1:13" x14ac:dyDescent="0.3">
      <c r="A878" t="str">
        <f>Segmenter!A878</f>
        <v/>
      </c>
      <c r="B878" t="str">
        <f>Segmenter!B878</f>
        <v/>
      </c>
      <c r="C878" t="str">
        <f t="shared" si="65"/>
        <v/>
      </c>
      <c r="D878" t="str">
        <f t="shared" si="66"/>
        <v/>
      </c>
      <c r="E878" t="str">
        <f t="shared" si="67"/>
        <v/>
      </c>
      <c r="F878" t="str">
        <f>IF(D878="","",INDEX(Knutepunkter!$B:$B,D878+1))</f>
        <v/>
      </c>
      <c r="G878" t="str">
        <f>IF(D878="","",INDEX(Knutepunkter!$C:$C,D878+1))</f>
        <v/>
      </c>
      <c r="H878" t="str">
        <f>IF(D878="","",INDEX(Knutepunkter!$D:$D,D878+1))</f>
        <v/>
      </c>
      <c r="I878" t="str">
        <f>IF(E878="","",INDEX(Knutepunkter!$B:$B,E878+1))</f>
        <v/>
      </c>
      <c r="J878" t="str">
        <f>IF(E878="","",INDEX(Knutepunkter!$C:$C,E878+1))</f>
        <v/>
      </c>
      <c r="K878" t="str">
        <f>IF(E878="","",INDEX(Knutepunkter!$D:$D,E878+1))</f>
        <v/>
      </c>
      <c r="L878" t="str">
        <f t="shared" si="68"/>
        <v/>
      </c>
      <c r="M878" t="str">
        <f t="shared" si="69"/>
        <v/>
      </c>
    </row>
    <row r="879" spans="1:13" x14ac:dyDescent="0.3">
      <c r="A879" t="str">
        <f>Segmenter!A879</f>
        <v/>
      </c>
      <c r="B879" t="str">
        <f>Segmenter!B879</f>
        <v/>
      </c>
      <c r="C879" t="str">
        <f t="shared" si="65"/>
        <v/>
      </c>
      <c r="D879" t="str">
        <f t="shared" si="66"/>
        <v/>
      </c>
      <c r="E879" t="str">
        <f t="shared" si="67"/>
        <v/>
      </c>
      <c r="F879" t="str">
        <f>IF(D879="","",INDEX(Knutepunkter!$B:$B,D879+1))</f>
        <v/>
      </c>
      <c r="G879" t="str">
        <f>IF(D879="","",INDEX(Knutepunkter!$C:$C,D879+1))</f>
        <v/>
      </c>
      <c r="H879" t="str">
        <f>IF(D879="","",INDEX(Knutepunkter!$D:$D,D879+1))</f>
        <v/>
      </c>
      <c r="I879" t="str">
        <f>IF(E879="","",INDEX(Knutepunkter!$B:$B,E879+1))</f>
        <v/>
      </c>
      <c r="J879" t="str">
        <f>IF(E879="","",INDEX(Knutepunkter!$C:$C,E879+1))</f>
        <v/>
      </c>
      <c r="K879" t="str">
        <f>IF(E879="","",INDEX(Knutepunkter!$D:$D,E879+1))</f>
        <v/>
      </c>
      <c r="L879" t="str">
        <f t="shared" si="68"/>
        <v/>
      </c>
      <c r="M879" t="str">
        <f t="shared" si="69"/>
        <v/>
      </c>
    </row>
    <row r="880" spans="1:13" x14ac:dyDescent="0.3">
      <c r="A880" t="str">
        <f>Segmenter!A880</f>
        <v/>
      </c>
      <c r="B880" t="str">
        <f>Segmenter!B880</f>
        <v/>
      </c>
      <c r="C880" t="str">
        <f t="shared" si="65"/>
        <v/>
      </c>
      <c r="D880" t="str">
        <f t="shared" si="66"/>
        <v/>
      </c>
      <c r="E880" t="str">
        <f t="shared" si="67"/>
        <v/>
      </c>
      <c r="F880" t="str">
        <f>IF(D880="","",INDEX(Knutepunkter!$B:$B,D880+1))</f>
        <v/>
      </c>
      <c r="G880" t="str">
        <f>IF(D880="","",INDEX(Knutepunkter!$C:$C,D880+1))</f>
        <v/>
      </c>
      <c r="H880" t="str">
        <f>IF(D880="","",INDEX(Knutepunkter!$D:$D,D880+1))</f>
        <v/>
      </c>
      <c r="I880" t="str">
        <f>IF(E880="","",INDEX(Knutepunkter!$B:$B,E880+1))</f>
        <v/>
      </c>
      <c r="J880" t="str">
        <f>IF(E880="","",INDEX(Knutepunkter!$C:$C,E880+1))</f>
        <v/>
      </c>
      <c r="K880" t="str">
        <f>IF(E880="","",INDEX(Knutepunkter!$D:$D,E880+1))</f>
        <v/>
      </c>
      <c r="L880" t="str">
        <f t="shared" si="68"/>
        <v/>
      </c>
      <c r="M880" t="str">
        <f t="shared" si="69"/>
        <v/>
      </c>
    </row>
    <row r="881" spans="1:13" x14ac:dyDescent="0.3">
      <c r="A881" t="str">
        <f>Segmenter!A881</f>
        <v/>
      </c>
      <c r="B881" t="str">
        <f>Segmenter!B881</f>
        <v/>
      </c>
      <c r="C881" t="str">
        <f t="shared" si="65"/>
        <v/>
      </c>
      <c r="D881" t="str">
        <f t="shared" si="66"/>
        <v/>
      </c>
      <c r="E881" t="str">
        <f t="shared" si="67"/>
        <v/>
      </c>
      <c r="F881" t="str">
        <f>IF(D881="","",INDEX(Knutepunkter!$B:$B,D881+1))</f>
        <v/>
      </c>
      <c r="G881" t="str">
        <f>IF(D881="","",INDEX(Knutepunkter!$C:$C,D881+1))</f>
        <v/>
      </c>
      <c r="H881" t="str">
        <f>IF(D881="","",INDEX(Knutepunkter!$D:$D,D881+1))</f>
        <v/>
      </c>
      <c r="I881" t="str">
        <f>IF(E881="","",INDEX(Knutepunkter!$B:$B,E881+1))</f>
        <v/>
      </c>
      <c r="J881" t="str">
        <f>IF(E881="","",INDEX(Knutepunkter!$C:$C,E881+1))</f>
        <v/>
      </c>
      <c r="K881" t="str">
        <f>IF(E881="","",INDEX(Knutepunkter!$D:$D,E881+1))</f>
        <v/>
      </c>
      <c r="L881" t="str">
        <f t="shared" si="68"/>
        <v/>
      </c>
      <c r="M881" t="str">
        <f t="shared" si="69"/>
        <v/>
      </c>
    </row>
    <row r="882" spans="1:13" x14ac:dyDescent="0.3">
      <c r="A882" t="str">
        <f>Segmenter!A882</f>
        <v/>
      </c>
      <c r="B882" t="str">
        <f>Segmenter!B882</f>
        <v/>
      </c>
      <c r="C882" t="str">
        <f t="shared" si="65"/>
        <v/>
      </c>
      <c r="D882" t="str">
        <f t="shared" si="66"/>
        <v/>
      </c>
      <c r="E882" t="str">
        <f t="shared" si="67"/>
        <v/>
      </c>
      <c r="F882" t="str">
        <f>IF(D882="","",INDEX(Knutepunkter!$B:$B,D882+1))</f>
        <v/>
      </c>
      <c r="G882" t="str">
        <f>IF(D882="","",INDEX(Knutepunkter!$C:$C,D882+1))</f>
        <v/>
      </c>
      <c r="H882" t="str">
        <f>IF(D882="","",INDEX(Knutepunkter!$D:$D,D882+1))</f>
        <v/>
      </c>
      <c r="I882" t="str">
        <f>IF(E882="","",INDEX(Knutepunkter!$B:$B,E882+1))</f>
        <v/>
      </c>
      <c r="J882" t="str">
        <f>IF(E882="","",INDEX(Knutepunkter!$C:$C,E882+1))</f>
        <v/>
      </c>
      <c r="K882" t="str">
        <f>IF(E882="","",INDEX(Knutepunkter!$D:$D,E882+1))</f>
        <v/>
      </c>
      <c r="L882" t="str">
        <f t="shared" si="68"/>
        <v/>
      </c>
      <c r="M882" t="str">
        <f t="shared" si="69"/>
        <v/>
      </c>
    </row>
    <row r="883" spans="1:13" x14ac:dyDescent="0.3">
      <c r="A883" t="str">
        <f>Segmenter!A883</f>
        <v/>
      </c>
      <c r="B883" t="str">
        <f>Segmenter!B883</f>
        <v/>
      </c>
      <c r="C883" t="str">
        <f t="shared" si="65"/>
        <v/>
      </c>
      <c r="D883" t="str">
        <f t="shared" si="66"/>
        <v/>
      </c>
      <c r="E883" t="str">
        <f t="shared" si="67"/>
        <v/>
      </c>
      <c r="F883" t="str">
        <f>IF(D883="","",INDEX(Knutepunkter!$B:$B,D883+1))</f>
        <v/>
      </c>
      <c r="G883" t="str">
        <f>IF(D883="","",INDEX(Knutepunkter!$C:$C,D883+1))</f>
        <v/>
      </c>
      <c r="H883" t="str">
        <f>IF(D883="","",INDEX(Knutepunkter!$D:$D,D883+1))</f>
        <v/>
      </c>
      <c r="I883" t="str">
        <f>IF(E883="","",INDEX(Knutepunkter!$B:$B,E883+1))</f>
        <v/>
      </c>
      <c r="J883" t="str">
        <f>IF(E883="","",INDEX(Knutepunkter!$C:$C,E883+1))</f>
        <v/>
      </c>
      <c r="K883" t="str">
        <f>IF(E883="","",INDEX(Knutepunkter!$D:$D,E883+1))</f>
        <v/>
      </c>
      <c r="L883" t="str">
        <f t="shared" si="68"/>
        <v/>
      </c>
      <c r="M883" t="str">
        <f t="shared" si="69"/>
        <v/>
      </c>
    </row>
    <row r="884" spans="1:13" x14ac:dyDescent="0.3">
      <c r="A884" t="str">
        <f>Segmenter!A884</f>
        <v/>
      </c>
      <c r="B884" t="str">
        <f>Segmenter!B884</f>
        <v/>
      </c>
      <c r="C884" t="str">
        <f t="shared" si="65"/>
        <v/>
      </c>
      <c r="D884" t="str">
        <f t="shared" si="66"/>
        <v/>
      </c>
      <c r="E884" t="str">
        <f t="shared" si="67"/>
        <v/>
      </c>
      <c r="F884" t="str">
        <f>IF(D884="","",INDEX(Knutepunkter!$B:$B,D884+1))</f>
        <v/>
      </c>
      <c r="G884" t="str">
        <f>IF(D884="","",INDEX(Knutepunkter!$C:$C,D884+1))</f>
        <v/>
      </c>
      <c r="H884" t="str">
        <f>IF(D884="","",INDEX(Knutepunkter!$D:$D,D884+1))</f>
        <v/>
      </c>
      <c r="I884" t="str">
        <f>IF(E884="","",INDEX(Knutepunkter!$B:$B,E884+1))</f>
        <v/>
      </c>
      <c r="J884" t="str">
        <f>IF(E884="","",INDEX(Knutepunkter!$C:$C,E884+1))</f>
        <v/>
      </c>
      <c r="K884" t="str">
        <f>IF(E884="","",INDEX(Knutepunkter!$D:$D,E884+1))</f>
        <v/>
      </c>
      <c r="L884" t="str">
        <f t="shared" si="68"/>
        <v/>
      </c>
      <c r="M884" t="str">
        <f t="shared" si="69"/>
        <v/>
      </c>
    </row>
    <row r="885" spans="1:13" x14ac:dyDescent="0.3">
      <c r="A885" t="str">
        <f>Segmenter!A885</f>
        <v/>
      </c>
      <c r="B885" t="str">
        <f>Segmenter!B885</f>
        <v/>
      </c>
      <c r="C885" t="str">
        <f t="shared" si="65"/>
        <v/>
      </c>
      <c r="D885" t="str">
        <f t="shared" si="66"/>
        <v/>
      </c>
      <c r="E885" t="str">
        <f t="shared" si="67"/>
        <v/>
      </c>
      <c r="F885" t="str">
        <f>IF(D885="","",INDEX(Knutepunkter!$B:$B,D885+1))</f>
        <v/>
      </c>
      <c r="G885" t="str">
        <f>IF(D885="","",INDEX(Knutepunkter!$C:$C,D885+1))</f>
        <v/>
      </c>
      <c r="H885" t="str">
        <f>IF(D885="","",INDEX(Knutepunkter!$D:$D,D885+1))</f>
        <v/>
      </c>
      <c r="I885" t="str">
        <f>IF(E885="","",INDEX(Knutepunkter!$B:$B,E885+1))</f>
        <v/>
      </c>
      <c r="J885" t="str">
        <f>IF(E885="","",INDEX(Knutepunkter!$C:$C,E885+1))</f>
        <v/>
      </c>
      <c r="K885" t="str">
        <f>IF(E885="","",INDEX(Knutepunkter!$D:$D,E885+1))</f>
        <v/>
      </c>
      <c r="L885" t="str">
        <f t="shared" si="68"/>
        <v/>
      </c>
      <c r="M885" t="str">
        <f t="shared" si="69"/>
        <v/>
      </c>
    </row>
    <row r="886" spans="1:13" x14ac:dyDescent="0.3">
      <c r="A886" t="str">
        <f>Segmenter!A886</f>
        <v/>
      </c>
      <c r="B886" t="str">
        <f>Segmenter!B886</f>
        <v/>
      </c>
      <c r="C886" t="str">
        <f t="shared" si="65"/>
        <v/>
      </c>
      <c r="D886" t="str">
        <f t="shared" si="66"/>
        <v/>
      </c>
      <c r="E886" t="str">
        <f t="shared" si="67"/>
        <v/>
      </c>
      <c r="F886" t="str">
        <f>IF(D886="","",INDEX(Knutepunkter!$B:$B,D886+1))</f>
        <v/>
      </c>
      <c r="G886" t="str">
        <f>IF(D886="","",INDEX(Knutepunkter!$C:$C,D886+1))</f>
        <v/>
      </c>
      <c r="H886" t="str">
        <f>IF(D886="","",INDEX(Knutepunkter!$D:$D,D886+1))</f>
        <v/>
      </c>
      <c r="I886" t="str">
        <f>IF(E886="","",INDEX(Knutepunkter!$B:$B,E886+1))</f>
        <v/>
      </c>
      <c r="J886" t="str">
        <f>IF(E886="","",INDEX(Knutepunkter!$C:$C,E886+1))</f>
        <v/>
      </c>
      <c r="K886" t="str">
        <f>IF(E886="","",INDEX(Knutepunkter!$D:$D,E886+1))</f>
        <v/>
      </c>
      <c r="L886" t="str">
        <f t="shared" si="68"/>
        <v/>
      </c>
      <c r="M886" t="str">
        <f t="shared" si="69"/>
        <v/>
      </c>
    </row>
    <row r="887" spans="1:13" x14ac:dyDescent="0.3">
      <c r="A887" t="str">
        <f>Segmenter!A887</f>
        <v/>
      </c>
      <c r="B887" t="str">
        <f>Segmenter!B887</f>
        <v/>
      </c>
      <c r="C887" t="str">
        <f t="shared" si="65"/>
        <v/>
      </c>
      <c r="D887" t="str">
        <f t="shared" si="66"/>
        <v/>
      </c>
      <c r="E887" t="str">
        <f t="shared" si="67"/>
        <v/>
      </c>
      <c r="F887" t="str">
        <f>IF(D887="","",INDEX(Knutepunkter!$B:$B,D887+1))</f>
        <v/>
      </c>
      <c r="G887" t="str">
        <f>IF(D887="","",INDEX(Knutepunkter!$C:$C,D887+1))</f>
        <v/>
      </c>
      <c r="H887" t="str">
        <f>IF(D887="","",INDEX(Knutepunkter!$D:$D,D887+1))</f>
        <v/>
      </c>
      <c r="I887" t="str">
        <f>IF(E887="","",INDEX(Knutepunkter!$B:$B,E887+1))</f>
        <v/>
      </c>
      <c r="J887" t="str">
        <f>IF(E887="","",INDEX(Knutepunkter!$C:$C,E887+1))</f>
        <v/>
      </c>
      <c r="K887" t="str">
        <f>IF(E887="","",INDEX(Knutepunkter!$D:$D,E887+1))</f>
        <v/>
      </c>
      <c r="L887" t="str">
        <f t="shared" si="68"/>
        <v/>
      </c>
      <c r="M887" t="str">
        <f t="shared" si="69"/>
        <v/>
      </c>
    </row>
    <row r="888" spans="1:13" x14ac:dyDescent="0.3">
      <c r="A888" t="str">
        <f>Segmenter!A888</f>
        <v/>
      </c>
      <c r="B888" t="str">
        <f>Segmenter!B888</f>
        <v/>
      </c>
      <c r="C888" t="str">
        <f t="shared" si="65"/>
        <v/>
      </c>
      <c r="D888" t="str">
        <f t="shared" si="66"/>
        <v/>
      </c>
      <c r="E888" t="str">
        <f t="shared" si="67"/>
        <v/>
      </c>
      <c r="F888" t="str">
        <f>IF(D888="","",INDEX(Knutepunkter!$B:$B,D888+1))</f>
        <v/>
      </c>
      <c r="G888" t="str">
        <f>IF(D888="","",INDEX(Knutepunkter!$C:$C,D888+1))</f>
        <v/>
      </c>
      <c r="H888" t="str">
        <f>IF(D888="","",INDEX(Knutepunkter!$D:$D,D888+1))</f>
        <v/>
      </c>
      <c r="I888" t="str">
        <f>IF(E888="","",INDEX(Knutepunkter!$B:$B,E888+1))</f>
        <v/>
      </c>
      <c r="J888" t="str">
        <f>IF(E888="","",INDEX(Knutepunkter!$C:$C,E888+1))</f>
        <v/>
      </c>
      <c r="K888" t="str">
        <f>IF(E888="","",INDEX(Knutepunkter!$D:$D,E888+1))</f>
        <v/>
      </c>
      <c r="L888" t="str">
        <f t="shared" si="68"/>
        <v/>
      </c>
      <c r="M888" t="str">
        <f t="shared" si="69"/>
        <v/>
      </c>
    </row>
    <row r="889" spans="1:13" x14ac:dyDescent="0.3">
      <c r="A889" t="str">
        <f>Segmenter!A889</f>
        <v/>
      </c>
      <c r="B889" t="str">
        <f>Segmenter!B889</f>
        <v/>
      </c>
      <c r="C889" t="str">
        <f t="shared" si="65"/>
        <v/>
      </c>
      <c r="D889" t="str">
        <f t="shared" si="66"/>
        <v/>
      </c>
      <c r="E889" t="str">
        <f t="shared" si="67"/>
        <v/>
      </c>
      <c r="F889" t="str">
        <f>IF(D889="","",INDEX(Knutepunkter!$B:$B,D889+1))</f>
        <v/>
      </c>
      <c r="G889" t="str">
        <f>IF(D889="","",INDEX(Knutepunkter!$C:$C,D889+1))</f>
        <v/>
      </c>
      <c r="H889" t="str">
        <f>IF(D889="","",INDEX(Knutepunkter!$D:$D,D889+1))</f>
        <v/>
      </c>
      <c r="I889" t="str">
        <f>IF(E889="","",INDEX(Knutepunkter!$B:$B,E889+1))</f>
        <v/>
      </c>
      <c r="J889" t="str">
        <f>IF(E889="","",INDEX(Knutepunkter!$C:$C,E889+1))</f>
        <v/>
      </c>
      <c r="K889" t="str">
        <f>IF(E889="","",INDEX(Knutepunkter!$D:$D,E889+1))</f>
        <v/>
      </c>
      <c r="L889" t="str">
        <f t="shared" si="68"/>
        <v/>
      </c>
      <c r="M889" t="str">
        <f t="shared" si="69"/>
        <v/>
      </c>
    </row>
    <row r="890" spans="1:13" x14ac:dyDescent="0.3">
      <c r="A890" t="str">
        <f>Segmenter!A890</f>
        <v/>
      </c>
      <c r="B890" t="str">
        <f>Segmenter!B890</f>
        <v/>
      </c>
      <c r="C890" t="str">
        <f t="shared" si="65"/>
        <v/>
      </c>
      <c r="D890" t="str">
        <f t="shared" si="66"/>
        <v/>
      </c>
      <c r="E890" t="str">
        <f t="shared" si="67"/>
        <v/>
      </c>
      <c r="F890" t="str">
        <f>IF(D890="","",INDEX(Knutepunkter!$B:$B,D890+1))</f>
        <v/>
      </c>
      <c r="G890" t="str">
        <f>IF(D890="","",INDEX(Knutepunkter!$C:$C,D890+1))</f>
        <v/>
      </c>
      <c r="H890" t="str">
        <f>IF(D890="","",INDEX(Knutepunkter!$D:$D,D890+1))</f>
        <v/>
      </c>
      <c r="I890" t="str">
        <f>IF(E890="","",INDEX(Knutepunkter!$B:$B,E890+1))</f>
        <v/>
      </c>
      <c r="J890" t="str">
        <f>IF(E890="","",INDEX(Knutepunkter!$C:$C,E890+1))</f>
        <v/>
      </c>
      <c r="K890" t="str">
        <f>IF(E890="","",INDEX(Knutepunkter!$D:$D,E890+1))</f>
        <v/>
      </c>
      <c r="L890" t="str">
        <f t="shared" si="68"/>
        <v/>
      </c>
      <c r="M890" t="str">
        <f t="shared" si="69"/>
        <v/>
      </c>
    </row>
    <row r="891" spans="1:13" x14ac:dyDescent="0.3">
      <c r="A891" t="str">
        <f>Segmenter!A891</f>
        <v/>
      </c>
      <c r="B891" t="str">
        <f>Segmenter!B891</f>
        <v/>
      </c>
      <c r="C891" t="str">
        <f t="shared" si="65"/>
        <v/>
      </c>
      <c r="D891" t="str">
        <f t="shared" si="66"/>
        <v/>
      </c>
      <c r="E891" t="str">
        <f t="shared" si="67"/>
        <v/>
      </c>
      <c r="F891" t="str">
        <f>IF(D891="","",INDEX(Knutepunkter!$B:$B,D891+1))</f>
        <v/>
      </c>
      <c r="G891" t="str">
        <f>IF(D891="","",INDEX(Knutepunkter!$C:$C,D891+1))</f>
        <v/>
      </c>
      <c r="H891" t="str">
        <f>IF(D891="","",INDEX(Knutepunkter!$D:$D,D891+1))</f>
        <v/>
      </c>
      <c r="I891" t="str">
        <f>IF(E891="","",INDEX(Knutepunkter!$B:$B,E891+1))</f>
        <v/>
      </c>
      <c r="J891" t="str">
        <f>IF(E891="","",INDEX(Knutepunkter!$C:$C,E891+1))</f>
        <v/>
      </c>
      <c r="K891" t="str">
        <f>IF(E891="","",INDEX(Knutepunkter!$D:$D,E891+1))</f>
        <v/>
      </c>
      <c r="L891" t="str">
        <f t="shared" si="68"/>
        <v/>
      </c>
      <c r="M891" t="str">
        <f t="shared" si="69"/>
        <v/>
      </c>
    </row>
    <row r="892" spans="1:13" x14ac:dyDescent="0.3">
      <c r="A892" t="str">
        <f>Segmenter!A892</f>
        <v/>
      </c>
      <c r="B892" t="str">
        <f>Segmenter!B892</f>
        <v/>
      </c>
      <c r="C892" t="str">
        <f t="shared" si="65"/>
        <v/>
      </c>
      <c r="D892" t="str">
        <f t="shared" si="66"/>
        <v/>
      </c>
      <c r="E892" t="str">
        <f t="shared" si="67"/>
        <v/>
      </c>
      <c r="F892" t="str">
        <f>IF(D892="","",INDEX(Knutepunkter!$B:$B,D892+1))</f>
        <v/>
      </c>
      <c r="G892" t="str">
        <f>IF(D892="","",INDEX(Knutepunkter!$C:$C,D892+1))</f>
        <v/>
      </c>
      <c r="H892" t="str">
        <f>IF(D892="","",INDEX(Knutepunkter!$D:$D,D892+1))</f>
        <v/>
      </c>
      <c r="I892" t="str">
        <f>IF(E892="","",INDEX(Knutepunkter!$B:$B,E892+1))</f>
        <v/>
      </c>
      <c r="J892" t="str">
        <f>IF(E892="","",INDEX(Knutepunkter!$C:$C,E892+1))</f>
        <v/>
      </c>
      <c r="K892" t="str">
        <f>IF(E892="","",INDEX(Knutepunkter!$D:$D,E892+1))</f>
        <v/>
      </c>
      <c r="L892" t="str">
        <f t="shared" si="68"/>
        <v/>
      </c>
      <c r="M892" t="str">
        <f t="shared" si="69"/>
        <v/>
      </c>
    </row>
    <row r="893" spans="1:13" x14ac:dyDescent="0.3">
      <c r="A893" t="str">
        <f>Segmenter!A893</f>
        <v/>
      </c>
      <c r="B893" t="str">
        <f>Segmenter!B893</f>
        <v/>
      </c>
      <c r="C893" t="str">
        <f t="shared" si="65"/>
        <v/>
      </c>
      <c r="D893" t="str">
        <f t="shared" si="66"/>
        <v/>
      </c>
      <c r="E893" t="str">
        <f t="shared" si="67"/>
        <v/>
      </c>
      <c r="F893" t="str">
        <f>IF(D893="","",INDEX(Knutepunkter!$B:$B,D893+1))</f>
        <v/>
      </c>
      <c r="G893" t="str">
        <f>IF(D893="","",INDEX(Knutepunkter!$C:$C,D893+1))</f>
        <v/>
      </c>
      <c r="H893" t="str">
        <f>IF(D893="","",INDEX(Knutepunkter!$D:$D,D893+1))</f>
        <v/>
      </c>
      <c r="I893" t="str">
        <f>IF(E893="","",INDEX(Knutepunkter!$B:$B,E893+1))</f>
        <v/>
      </c>
      <c r="J893" t="str">
        <f>IF(E893="","",INDEX(Knutepunkter!$C:$C,E893+1))</f>
        <v/>
      </c>
      <c r="K893" t="str">
        <f>IF(E893="","",INDEX(Knutepunkter!$D:$D,E893+1))</f>
        <v/>
      </c>
      <c r="L893" t="str">
        <f t="shared" si="68"/>
        <v/>
      </c>
      <c r="M893" t="str">
        <f t="shared" si="69"/>
        <v/>
      </c>
    </row>
    <row r="894" spans="1:13" x14ac:dyDescent="0.3">
      <c r="A894" t="str">
        <f>Segmenter!A894</f>
        <v/>
      </c>
      <c r="B894" t="str">
        <f>Segmenter!B894</f>
        <v/>
      </c>
      <c r="C894" t="str">
        <f t="shared" si="65"/>
        <v/>
      </c>
      <c r="D894" t="str">
        <f t="shared" si="66"/>
        <v/>
      </c>
      <c r="E894" t="str">
        <f t="shared" si="67"/>
        <v/>
      </c>
      <c r="F894" t="str">
        <f>IF(D894="","",INDEX(Knutepunkter!$B:$B,D894+1))</f>
        <v/>
      </c>
      <c r="G894" t="str">
        <f>IF(D894="","",INDEX(Knutepunkter!$C:$C,D894+1))</f>
        <v/>
      </c>
      <c r="H894" t="str">
        <f>IF(D894="","",INDEX(Knutepunkter!$D:$D,D894+1))</f>
        <v/>
      </c>
      <c r="I894" t="str">
        <f>IF(E894="","",INDEX(Knutepunkter!$B:$B,E894+1))</f>
        <v/>
      </c>
      <c r="J894" t="str">
        <f>IF(E894="","",INDEX(Knutepunkter!$C:$C,E894+1))</f>
        <v/>
      </c>
      <c r="K894" t="str">
        <f>IF(E894="","",INDEX(Knutepunkter!$D:$D,E894+1))</f>
        <v/>
      </c>
      <c r="L894" t="str">
        <f t="shared" si="68"/>
        <v/>
      </c>
      <c r="M894" t="str">
        <f t="shared" si="69"/>
        <v/>
      </c>
    </row>
    <row r="895" spans="1:13" x14ac:dyDescent="0.3">
      <c r="A895" t="str">
        <f>Segmenter!A895</f>
        <v/>
      </c>
      <c r="B895" t="str">
        <f>Segmenter!B895</f>
        <v/>
      </c>
      <c r="C895" t="str">
        <f t="shared" si="65"/>
        <v/>
      </c>
      <c r="D895" t="str">
        <f t="shared" si="66"/>
        <v/>
      </c>
      <c r="E895" t="str">
        <f t="shared" si="67"/>
        <v/>
      </c>
      <c r="F895" t="str">
        <f>IF(D895="","",INDEX(Knutepunkter!$B:$B,D895+1))</f>
        <v/>
      </c>
      <c r="G895" t="str">
        <f>IF(D895="","",INDEX(Knutepunkter!$C:$C,D895+1))</f>
        <v/>
      </c>
      <c r="H895" t="str">
        <f>IF(D895="","",INDEX(Knutepunkter!$D:$D,D895+1))</f>
        <v/>
      </c>
      <c r="I895" t="str">
        <f>IF(E895="","",INDEX(Knutepunkter!$B:$B,E895+1))</f>
        <v/>
      </c>
      <c r="J895" t="str">
        <f>IF(E895="","",INDEX(Knutepunkter!$C:$C,E895+1))</f>
        <v/>
      </c>
      <c r="K895" t="str">
        <f>IF(E895="","",INDEX(Knutepunkter!$D:$D,E895+1))</f>
        <v/>
      </c>
      <c r="L895" t="str">
        <f t="shared" si="68"/>
        <v/>
      </c>
      <c r="M895" t="str">
        <f t="shared" si="69"/>
        <v/>
      </c>
    </row>
    <row r="896" spans="1:13" x14ac:dyDescent="0.3">
      <c r="A896" t="str">
        <f>Segmenter!A896</f>
        <v/>
      </c>
      <c r="B896" t="str">
        <f>Segmenter!B896</f>
        <v/>
      </c>
      <c r="C896" t="str">
        <f t="shared" si="65"/>
        <v/>
      </c>
      <c r="D896" t="str">
        <f t="shared" si="66"/>
        <v/>
      </c>
      <c r="E896" t="str">
        <f t="shared" si="67"/>
        <v/>
      </c>
      <c r="F896" t="str">
        <f>IF(D896="","",INDEX(Knutepunkter!$B:$B,D896+1))</f>
        <v/>
      </c>
      <c r="G896" t="str">
        <f>IF(D896="","",INDEX(Knutepunkter!$C:$C,D896+1))</f>
        <v/>
      </c>
      <c r="H896" t="str">
        <f>IF(D896="","",INDEX(Knutepunkter!$D:$D,D896+1))</f>
        <v/>
      </c>
      <c r="I896" t="str">
        <f>IF(E896="","",INDEX(Knutepunkter!$B:$B,E896+1))</f>
        <v/>
      </c>
      <c r="J896" t="str">
        <f>IF(E896="","",INDEX(Knutepunkter!$C:$C,E896+1))</f>
        <v/>
      </c>
      <c r="K896" t="str">
        <f>IF(E896="","",INDEX(Knutepunkter!$D:$D,E896+1))</f>
        <v/>
      </c>
      <c r="L896" t="str">
        <f t="shared" si="68"/>
        <v/>
      </c>
      <c r="M896" t="str">
        <f t="shared" si="69"/>
        <v/>
      </c>
    </row>
    <row r="897" spans="1:13" x14ac:dyDescent="0.3">
      <c r="A897" t="str">
        <f>Segmenter!A897</f>
        <v/>
      </c>
      <c r="B897" t="str">
        <f>Segmenter!B897</f>
        <v/>
      </c>
      <c r="C897" t="str">
        <f t="shared" si="65"/>
        <v/>
      </c>
      <c r="D897" t="str">
        <f t="shared" si="66"/>
        <v/>
      </c>
      <c r="E897" t="str">
        <f t="shared" si="67"/>
        <v/>
      </c>
      <c r="F897" t="str">
        <f>IF(D897="","",INDEX(Knutepunkter!$B:$B,D897+1))</f>
        <v/>
      </c>
      <c r="G897" t="str">
        <f>IF(D897="","",INDEX(Knutepunkter!$C:$C,D897+1))</f>
        <v/>
      </c>
      <c r="H897" t="str">
        <f>IF(D897="","",INDEX(Knutepunkter!$D:$D,D897+1))</f>
        <v/>
      </c>
      <c r="I897" t="str">
        <f>IF(E897="","",INDEX(Knutepunkter!$B:$B,E897+1))</f>
        <v/>
      </c>
      <c r="J897" t="str">
        <f>IF(E897="","",INDEX(Knutepunkter!$C:$C,E897+1))</f>
        <v/>
      </c>
      <c r="K897" t="str">
        <f>IF(E897="","",INDEX(Knutepunkter!$D:$D,E897+1))</f>
        <v/>
      </c>
      <c r="L897" t="str">
        <f t="shared" si="68"/>
        <v/>
      </c>
      <c r="M897" t="str">
        <f t="shared" si="69"/>
        <v/>
      </c>
    </row>
    <row r="898" spans="1:13" x14ac:dyDescent="0.3">
      <c r="A898" t="str">
        <f>Segmenter!A898</f>
        <v/>
      </c>
      <c r="B898" t="str">
        <f>Segmenter!B898</f>
        <v/>
      </c>
      <c r="C898" t="str">
        <f t="shared" ref="C898:C961" si="70">IF(B898="","",IF(AND(F898=I898,G898=J898,H898&lt;&gt;K898),"Søyle","Bjelke"))</f>
        <v/>
      </c>
      <c r="D898" t="str">
        <f t="shared" ref="D898:D961" si="71">IF(B898="","",VALUE(LEFT(B898,FIND(" -&gt; ",B898)-1)))</f>
        <v/>
      </c>
      <c r="E898" t="str">
        <f t="shared" ref="E898:E961" si="72">IF(B898="","",VALUE(MID(B898,FIND(" -&gt; ",B898)+4,99)))</f>
        <v/>
      </c>
      <c r="F898" t="str">
        <f>IF(D898="","",INDEX(Knutepunkter!$B:$B,D898+1))</f>
        <v/>
      </c>
      <c r="G898" t="str">
        <f>IF(D898="","",INDEX(Knutepunkter!$C:$C,D898+1))</f>
        <v/>
      </c>
      <c r="H898" t="str">
        <f>IF(D898="","",INDEX(Knutepunkter!$D:$D,D898+1))</f>
        <v/>
      </c>
      <c r="I898" t="str">
        <f>IF(E898="","",INDEX(Knutepunkter!$B:$B,E898+1))</f>
        <v/>
      </c>
      <c r="J898" t="str">
        <f>IF(E898="","",INDEX(Knutepunkter!$C:$C,E898+1))</f>
        <v/>
      </c>
      <c r="K898" t="str">
        <f>IF(E898="","",INDEX(Knutepunkter!$D:$D,E898+1))</f>
        <v/>
      </c>
      <c r="L898" t="str">
        <f t="shared" ref="L898:L961" si="73">IF(B898="","",SQRT((I898-F898)^2+(J898-G898)^2+(K898-H898)^2))</f>
        <v/>
      </c>
      <c r="M898" t="str">
        <f t="shared" ref="M898:M961" si="74">IF(L898="","",L898/1000)</f>
        <v/>
      </c>
    </row>
    <row r="899" spans="1:13" x14ac:dyDescent="0.3">
      <c r="A899" t="str">
        <f>Segmenter!A899</f>
        <v/>
      </c>
      <c r="B899" t="str">
        <f>Segmenter!B899</f>
        <v/>
      </c>
      <c r="C899" t="str">
        <f t="shared" si="70"/>
        <v/>
      </c>
      <c r="D899" t="str">
        <f t="shared" si="71"/>
        <v/>
      </c>
      <c r="E899" t="str">
        <f t="shared" si="72"/>
        <v/>
      </c>
      <c r="F899" t="str">
        <f>IF(D899="","",INDEX(Knutepunkter!$B:$B,D899+1))</f>
        <v/>
      </c>
      <c r="G899" t="str">
        <f>IF(D899="","",INDEX(Knutepunkter!$C:$C,D899+1))</f>
        <v/>
      </c>
      <c r="H899" t="str">
        <f>IF(D899="","",INDEX(Knutepunkter!$D:$D,D899+1))</f>
        <v/>
      </c>
      <c r="I899" t="str">
        <f>IF(E899="","",INDEX(Knutepunkter!$B:$B,E899+1))</f>
        <v/>
      </c>
      <c r="J899" t="str">
        <f>IF(E899="","",INDEX(Knutepunkter!$C:$C,E899+1))</f>
        <v/>
      </c>
      <c r="K899" t="str">
        <f>IF(E899="","",INDEX(Knutepunkter!$D:$D,E899+1))</f>
        <v/>
      </c>
      <c r="L899" t="str">
        <f t="shared" si="73"/>
        <v/>
      </c>
      <c r="M899" t="str">
        <f t="shared" si="74"/>
        <v/>
      </c>
    </row>
    <row r="900" spans="1:13" x14ac:dyDescent="0.3">
      <c r="A900" t="str">
        <f>Segmenter!A900</f>
        <v/>
      </c>
      <c r="B900" t="str">
        <f>Segmenter!B900</f>
        <v/>
      </c>
      <c r="C900" t="str">
        <f t="shared" si="70"/>
        <v/>
      </c>
      <c r="D900" t="str">
        <f t="shared" si="71"/>
        <v/>
      </c>
      <c r="E900" t="str">
        <f t="shared" si="72"/>
        <v/>
      </c>
      <c r="F900" t="str">
        <f>IF(D900="","",INDEX(Knutepunkter!$B:$B,D900+1))</f>
        <v/>
      </c>
      <c r="G900" t="str">
        <f>IF(D900="","",INDEX(Knutepunkter!$C:$C,D900+1))</f>
        <v/>
      </c>
      <c r="H900" t="str">
        <f>IF(D900="","",INDEX(Knutepunkter!$D:$D,D900+1))</f>
        <v/>
      </c>
      <c r="I900" t="str">
        <f>IF(E900="","",INDEX(Knutepunkter!$B:$B,E900+1))</f>
        <v/>
      </c>
      <c r="J900" t="str">
        <f>IF(E900="","",INDEX(Knutepunkter!$C:$C,E900+1))</f>
        <v/>
      </c>
      <c r="K900" t="str">
        <f>IF(E900="","",INDEX(Knutepunkter!$D:$D,E900+1))</f>
        <v/>
      </c>
      <c r="L900" t="str">
        <f t="shared" si="73"/>
        <v/>
      </c>
      <c r="M900" t="str">
        <f t="shared" si="74"/>
        <v/>
      </c>
    </row>
    <row r="901" spans="1:13" x14ac:dyDescent="0.3">
      <c r="A901" t="str">
        <f>Segmenter!A901</f>
        <v/>
      </c>
      <c r="B901" t="str">
        <f>Segmenter!B901</f>
        <v/>
      </c>
      <c r="C901" t="str">
        <f t="shared" si="70"/>
        <v/>
      </c>
      <c r="D901" t="str">
        <f t="shared" si="71"/>
        <v/>
      </c>
      <c r="E901" t="str">
        <f t="shared" si="72"/>
        <v/>
      </c>
      <c r="F901" t="str">
        <f>IF(D901="","",INDEX(Knutepunkter!$B:$B,D901+1))</f>
        <v/>
      </c>
      <c r="G901" t="str">
        <f>IF(D901="","",INDEX(Knutepunkter!$C:$C,D901+1))</f>
        <v/>
      </c>
      <c r="H901" t="str">
        <f>IF(D901="","",INDEX(Knutepunkter!$D:$D,D901+1))</f>
        <v/>
      </c>
      <c r="I901" t="str">
        <f>IF(E901="","",INDEX(Knutepunkter!$B:$B,E901+1))</f>
        <v/>
      </c>
      <c r="J901" t="str">
        <f>IF(E901="","",INDEX(Knutepunkter!$C:$C,E901+1))</f>
        <v/>
      </c>
      <c r="K901" t="str">
        <f>IF(E901="","",INDEX(Knutepunkter!$D:$D,E901+1))</f>
        <v/>
      </c>
      <c r="L901" t="str">
        <f t="shared" si="73"/>
        <v/>
      </c>
      <c r="M901" t="str">
        <f t="shared" si="74"/>
        <v/>
      </c>
    </row>
    <row r="902" spans="1:13" x14ac:dyDescent="0.3">
      <c r="A902" t="str">
        <f>Segmenter!A902</f>
        <v/>
      </c>
      <c r="B902" t="str">
        <f>Segmenter!B902</f>
        <v/>
      </c>
      <c r="C902" t="str">
        <f t="shared" si="70"/>
        <v/>
      </c>
      <c r="D902" t="str">
        <f t="shared" si="71"/>
        <v/>
      </c>
      <c r="E902" t="str">
        <f t="shared" si="72"/>
        <v/>
      </c>
      <c r="F902" t="str">
        <f>IF(D902="","",INDEX(Knutepunkter!$B:$B,D902+1))</f>
        <v/>
      </c>
      <c r="G902" t="str">
        <f>IF(D902="","",INDEX(Knutepunkter!$C:$C,D902+1))</f>
        <v/>
      </c>
      <c r="H902" t="str">
        <f>IF(D902="","",INDEX(Knutepunkter!$D:$D,D902+1))</f>
        <v/>
      </c>
      <c r="I902" t="str">
        <f>IF(E902="","",INDEX(Knutepunkter!$B:$B,E902+1))</f>
        <v/>
      </c>
      <c r="J902" t="str">
        <f>IF(E902="","",INDEX(Knutepunkter!$C:$C,E902+1))</f>
        <v/>
      </c>
      <c r="K902" t="str">
        <f>IF(E902="","",INDEX(Knutepunkter!$D:$D,E902+1))</f>
        <v/>
      </c>
      <c r="L902" t="str">
        <f t="shared" si="73"/>
        <v/>
      </c>
      <c r="M902" t="str">
        <f t="shared" si="74"/>
        <v/>
      </c>
    </row>
    <row r="903" spans="1:13" x14ac:dyDescent="0.3">
      <c r="A903" t="str">
        <f>Segmenter!A903</f>
        <v/>
      </c>
      <c r="B903" t="str">
        <f>Segmenter!B903</f>
        <v/>
      </c>
      <c r="C903" t="str">
        <f t="shared" si="70"/>
        <v/>
      </c>
      <c r="D903" t="str">
        <f t="shared" si="71"/>
        <v/>
      </c>
      <c r="E903" t="str">
        <f t="shared" si="72"/>
        <v/>
      </c>
      <c r="F903" t="str">
        <f>IF(D903="","",INDEX(Knutepunkter!$B:$B,D903+1))</f>
        <v/>
      </c>
      <c r="G903" t="str">
        <f>IF(D903="","",INDEX(Knutepunkter!$C:$C,D903+1))</f>
        <v/>
      </c>
      <c r="H903" t="str">
        <f>IF(D903="","",INDEX(Knutepunkter!$D:$D,D903+1))</f>
        <v/>
      </c>
      <c r="I903" t="str">
        <f>IF(E903="","",INDEX(Knutepunkter!$B:$B,E903+1))</f>
        <v/>
      </c>
      <c r="J903" t="str">
        <f>IF(E903="","",INDEX(Knutepunkter!$C:$C,E903+1))</f>
        <v/>
      </c>
      <c r="K903" t="str">
        <f>IF(E903="","",INDEX(Knutepunkter!$D:$D,E903+1))</f>
        <v/>
      </c>
      <c r="L903" t="str">
        <f t="shared" si="73"/>
        <v/>
      </c>
      <c r="M903" t="str">
        <f t="shared" si="74"/>
        <v/>
      </c>
    </row>
    <row r="904" spans="1:13" x14ac:dyDescent="0.3">
      <c r="A904" t="str">
        <f>Segmenter!A904</f>
        <v/>
      </c>
      <c r="B904" t="str">
        <f>Segmenter!B904</f>
        <v/>
      </c>
      <c r="C904" t="str">
        <f t="shared" si="70"/>
        <v/>
      </c>
      <c r="D904" t="str">
        <f t="shared" si="71"/>
        <v/>
      </c>
      <c r="E904" t="str">
        <f t="shared" si="72"/>
        <v/>
      </c>
      <c r="F904" t="str">
        <f>IF(D904="","",INDEX(Knutepunkter!$B:$B,D904+1))</f>
        <v/>
      </c>
      <c r="G904" t="str">
        <f>IF(D904="","",INDEX(Knutepunkter!$C:$C,D904+1))</f>
        <v/>
      </c>
      <c r="H904" t="str">
        <f>IF(D904="","",INDEX(Knutepunkter!$D:$D,D904+1))</f>
        <v/>
      </c>
      <c r="I904" t="str">
        <f>IF(E904="","",INDEX(Knutepunkter!$B:$B,E904+1))</f>
        <v/>
      </c>
      <c r="J904" t="str">
        <f>IF(E904="","",INDEX(Knutepunkter!$C:$C,E904+1))</f>
        <v/>
      </c>
      <c r="K904" t="str">
        <f>IF(E904="","",INDEX(Knutepunkter!$D:$D,E904+1))</f>
        <v/>
      </c>
      <c r="L904" t="str">
        <f t="shared" si="73"/>
        <v/>
      </c>
      <c r="M904" t="str">
        <f t="shared" si="74"/>
        <v/>
      </c>
    </row>
    <row r="905" spans="1:13" x14ac:dyDescent="0.3">
      <c r="A905" t="str">
        <f>Segmenter!A905</f>
        <v/>
      </c>
      <c r="B905" t="str">
        <f>Segmenter!B905</f>
        <v/>
      </c>
      <c r="C905" t="str">
        <f t="shared" si="70"/>
        <v/>
      </c>
      <c r="D905" t="str">
        <f t="shared" si="71"/>
        <v/>
      </c>
      <c r="E905" t="str">
        <f t="shared" si="72"/>
        <v/>
      </c>
      <c r="F905" t="str">
        <f>IF(D905="","",INDEX(Knutepunkter!$B:$B,D905+1))</f>
        <v/>
      </c>
      <c r="G905" t="str">
        <f>IF(D905="","",INDEX(Knutepunkter!$C:$C,D905+1))</f>
        <v/>
      </c>
      <c r="H905" t="str">
        <f>IF(D905="","",INDEX(Knutepunkter!$D:$D,D905+1))</f>
        <v/>
      </c>
      <c r="I905" t="str">
        <f>IF(E905="","",INDEX(Knutepunkter!$B:$B,E905+1))</f>
        <v/>
      </c>
      <c r="J905" t="str">
        <f>IF(E905="","",INDEX(Knutepunkter!$C:$C,E905+1))</f>
        <v/>
      </c>
      <c r="K905" t="str">
        <f>IF(E905="","",INDEX(Knutepunkter!$D:$D,E905+1))</f>
        <v/>
      </c>
      <c r="L905" t="str">
        <f t="shared" si="73"/>
        <v/>
      </c>
      <c r="M905" t="str">
        <f t="shared" si="74"/>
        <v/>
      </c>
    </row>
    <row r="906" spans="1:13" x14ac:dyDescent="0.3">
      <c r="A906" t="str">
        <f>Segmenter!A906</f>
        <v/>
      </c>
      <c r="B906" t="str">
        <f>Segmenter!B906</f>
        <v/>
      </c>
      <c r="C906" t="str">
        <f t="shared" si="70"/>
        <v/>
      </c>
      <c r="D906" t="str">
        <f t="shared" si="71"/>
        <v/>
      </c>
      <c r="E906" t="str">
        <f t="shared" si="72"/>
        <v/>
      </c>
      <c r="F906" t="str">
        <f>IF(D906="","",INDEX(Knutepunkter!$B:$B,D906+1))</f>
        <v/>
      </c>
      <c r="G906" t="str">
        <f>IF(D906="","",INDEX(Knutepunkter!$C:$C,D906+1))</f>
        <v/>
      </c>
      <c r="H906" t="str">
        <f>IF(D906="","",INDEX(Knutepunkter!$D:$D,D906+1))</f>
        <v/>
      </c>
      <c r="I906" t="str">
        <f>IF(E906="","",INDEX(Knutepunkter!$B:$B,E906+1))</f>
        <v/>
      </c>
      <c r="J906" t="str">
        <f>IF(E906="","",INDEX(Knutepunkter!$C:$C,E906+1))</f>
        <v/>
      </c>
      <c r="K906" t="str">
        <f>IF(E906="","",INDEX(Knutepunkter!$D:$D,E906+1))</f>
        <v/>
      </c>
      <c r="L906" t="str">
        <f t="shared" si="73"/>
        <v/>
      </c>
      <c r="M906" t="str">
        <f t="shared" si="74"/>
        <v/>
      </c>
    </row>
    <row r="907" spans="1:13" x14ac:dyDescent="0.3">
      <c r="A907" t="str">
        <f>Segmenter!A907</f>
        <v/>
      </c>
      <c r="B907" t="str">
        <f>Segmenter!B907</f>
        <v/>
      </c>
      <c r="C907" t="str">
        <f t="shared" si="70"/>
        <v/>
      </c>
      <c r="D907" t="str">
        <f t="shared" si="71"/>
        <v/>
      </c>
      <c r="E907" t="str">
        <f t="shared" si="72"/>
        <v/>
      </c>
      <c r="F907" t="str">
        <f>IF(D907="","",INDEX(Knutepunkter!$B:$B,D907+1))</f>
        <v/>
      </c>
      <c r="G907" t="str">
        <f>IF(D907="","",INDEX(Knutepunkter!$C:$C,D907+1))</f>
        <v/>
      </c>
      <c r="H907" t="str">
        <f>IF(D907="","",INDEX(Knutepunkter!$D:$D,D907+1))</f>
        <v/>
      </c>
      <c r="I907" t="str">
        <f>IF(E907="","",INDEX(Knutepunkter!$B:$B,E907+1))</f>
        <v/>
      </c>
      <c r="J907" t="str">
        <f>IF(E907="","",INDEX(Knutepunkter!$C:$C,E907+1))</f>
        <v/>
      </c>
      <c r="K907" t="str">
        <f>IF(E907="","",INDEX(Knutepunkter!$D:$D,E907+1))</f>
        <v/>
      </c>
      <c r="L907" t="str">
        <f t="shared" si="73"/>
        <v/>
      </c>
      <c r="M907" t="str">
        <f t="shared" si="74"/>
        <v/>
      </c>
    </row>
    <row r="908" spans="1:13" x14ac:dyDescent="0.3">
      <c r="A908" t="str">
        <f>Segmenter!A908</f>
        <v/>
      </c>
      <c r="B908" t="str">
        <f>Segmenter!B908</f>
        <v/>
      </c>
      <c r="C908" t="str">
        <f t="shared" si="70"/>
        <v/>
      </c>
      <c r="D908" t="str">
        <f t="shared" si="71"/>
        <v/>
      </c>
      <c r="E908" t="str">
        <f t="shared" si="72"/>
        <v/>
      </c>
      <c r="F908" t="str">
        <f>IF(D908="","",INDEX(Knutepunkter!$B:$B,D908+1))</f>
        <v/>
      </c>
      <c r="G908" t="str">
        <f>IF(D908="","",INDEX(Knutepunkter!$C:$C,D908+1))</f>
        <v/>
      </c>
      <c r="H908" t="str">
        <f>IF(D908="","",INDEX(Knutepunkter!$D:$D,D908+1))</f>
        <v/>
      </c>
      <c r="I908" t="str">
        <f>IF(E908="","",INDEX(Knutepunkter!$B:$B,E908+1))</f>
        <v/>
      </c>
      <c r="J908" t="str">
        <f>IF(E908="","",INDEX(Knutepunkter!$C:$C,E908+1))</f>
        <v/>
      </c>
      <c r="K908" t="str">
        <f>IF(E908="","",INDEX(Knutepunkter!$D:$D,E908+1))</f>
        <v/>
      </c>
      <c r="L908" t="str">
        <f t="shared" si="73"/>
        <v/>
      </c>
      <c r="M908" t="str">
        <f t="shared" si="74"/>
        <v/>
      </c>
    </row>
    <row r="909" spans="1:13" x14ac:dyDescent="0.3">
      <c r="A909" t="str">
        <f>Segmenter!A909</f>
        <v/>
      </c>
      <c r="B909" t="str">
        <f>Segmenter!B909</f>
        <v/>
      </c>
      <c r="C909" t="str">
        <f t="shared" si="70"/>
        <v/>
      </c>
      <c r="D909" t="str">
        <f t="shared" si="71"/>
        <v/>
      </c>
      <c r="E909" t="str">
        <f t="shared" si="72"/>
        <v/>
      </c>
      <c r="F909" t="str">
        <f>IF(D909="","",INDEX(Knutepunkter!$B:$B,D909+1))</f>
        <v/>
      </c>
      <c r="G909" t="str">
        <f>IF(D909="","",INDEX(Knutepunkter!$C:$C,D909+1))</f>
        <v/>
      </c>
      <c r="H909" t="str">
        <f>IF(D909="","",INDEX(Knutepunkter!$D:$D,D909+1))</f>
        <v/>
      </c>
      <c r="I909" t="str">
        <f>IF(E909="","",INDEX(Knutepunkter!$B:$B,E909+1))</f>
        <v/>
      </c>
      <c r="J909" t="str">
        <f>IF(E909="","",INDEX(Knutepunkter!$C:$C,E909+1))</f>
        <v/>
      </c>
      <c r="K909" t="str">
        <f>IF(E909="","",INDEX(Knutepunkter!$D:$D,E909+1))</f>
        <v/>
      </c>
      <c r="L909" t="str">
        <f t="shared" si="73"/>
        <v/>
      </c>
      <c r="M909" t="str">
        <f t="shared" si="74"/>
        <v/>
      </c>
    </row>
    <row r="910" spans="1:13" x14ac:dyDescent="0.3">
      <c r="A910" t="str">
        <f>Segmenter!A910</f>
        <v/>
      </c>
      <c r="B910" t="str">
        <f>Segmenter!B910</f>
        <v/>
      </c>
      <c r="C910" t="str">
        <f t="shared" si="70"/>
        <v/>
      </c>
      <c r="D910" t="str">
        <f t="shared" si="71"/>
        <v/>
      </c>
      <c r="E910" t="str">
        <f t="shared" si="72"/>
        <v/>
      </c>
      <c r="F910" t="str">
        <f>IF(D910="","",INDEX(Knutepunkter!$B:$B,D910+1))</f>
        <v/>
      </c>
      <c r="G910" t="str">
        <f>IF(D910="","",INDEX(Knutepunkter!$C:$C,D910+1))</f>
        <v/>
      </c>
      <c r="H910" t="str">
        <f>IF(D910="","",INDEX(Knutepunkter!$D:$D,D910+1))</f>
        <v/>
      </c>
      <c r="I910" t="str">
        <f>IF(E910="","",INDEX(Knutepunkter!$B:$B,E910+1))</f>
        <v/>
      </c>
      <c r="J910" t="str">
        <f>IF(E910="","",INDEX(Knutepunkter!$C:$C,E910+1))</f>
        <v/>
      </c>
      <c r="K910" t="str">
        <f>IF(E910="","",INDEX(Knutepunkter!$D:$D,E910+1))</f>
        <v/>
      </c>
      <c r="L910" t="str">
        <f t="shared" si="73"/>
        <v/>
      </c>
      <c r="M910" t="str">
        <f t="shared" si="74"/>
        <v/>
      </c>
    </row>
    <row r="911" spans="1:13" x14ac:dyDescent="0.3">
      <c r="A911" t="str">
        <f>Segmenter!A911</f>
        <v/>
      </c>
      <c r="B911" t="str">
        <f>Segmenter!B911</f>
        <v/>
      </c>
      <c r="C911" t="str">
        <f t="shared" si="70"/>
        <v/>
      </c>
      <c r="D911" t="str">
        <f t="shared" si="71"/>
        <v/>
      </c>
      <c r="E911" t="str">
        <f t="shared" si="72"/>
        <v/>
      </c>
      <c r="F911" t="str">
        <f>IF(D911="","",INDEX(Knutepunkter!$B:$B,D911+1))</f>
        <v/>
      </c>
      <c r="G911" t="str">
        <f>IF(D911="","",INDEX(Knutepunkter!$C:$C,D911+1))</f>
        <v/>
      </c>
      <c r="H911" t="str">
        <f>IF(D911="","",INDEX(Knutepunkter!$D:$D,D911+1))</f>
        <v/>
      </c>
      <c r="I911" t="str">
        <f>IF(E911="","",INDEX(Knutepunkter!$B:$B,E911+1))</f>
        <v/>
      </c>
      <c r="J911" t="str">
        <f>IF(E911="","",INDEX(Knutepunkter!$C:$C,E911+1))</f>
        <v/>
      </c>
      <c r="K911" t="str">
        <f>IF(E911="","",INDEX(Knutepunkter!$D:$D,E911+1))</f>
        <v/>
      </c>
      <c r="L911" t="str">
        <f t="shared" si="73"/>
        <v/>
      </c>
      <c r="M911" t="str">
        <f t="shared" si="74"/>
        <v/>
      </c>
    </row>
    <row r="912" spans="1:13" x14ac:dyDescent="0.3">
      <c r="A912" t="str">
        <f>Segmenter!A912</f>
        <v/>
      </c>
      <c r="B912" t="str">
        <f>Segmenter!B912</f>
        <v/>
      </c>
      <c r="C912" t="str">
        <f t="shared" si="70"/>
        <v/>
      </c>
      <c r="D912" t="str">
        <f t="shared" si="71"/>
        <v/>
      </c>
      <c r="E912" t="str">
        <f t="shared" si="72"/>
        <v/>
      </c>
      <c r="F912" t="str">
        <f>IF(D912="","",INDEX(Knutepunkter!$B:$B,D912+1))</f>
        <v/>
      </c>
      <c r="G912" t="str">
        <f>IF(D912="","",INDEX(Knutepunkter!$C:$C,D912+1))</f>
        <v/>
      </c>
      <c r="H912" t="str">
        <f>IF(D912="","",INDEX(Knutepunkter!$D:$D,D912+1))</f>
        <v/>
      </c>
      <c r="I912" t="str">
        <f>IF(E912="","",INDEX(Knutepunkter!$B:$B,E912+1))</f>
        <v/>
      </c>
      <c r="J912" t="str">
        <f>IF(E912="","",INDEX(Knutepunkter!$C:$C,E912+1))</f>
        <v/>
      </c>
      <c r="K912" t="str">
        <f>IF(E912="","",INDEX(Knutepunkter!$D:$D,E912+1))</f>
        <v/>
      </c>
      <c r="L912" t="str">
        <f t="shared" si="73"/>
        <v/>
      </c>
      <c r="M912" t="str">
        <f t="shared" si="74"/>
        <v/>
      </c>
    </row>
    <row r="913" spans="1:13" x14ac:dyDescent="0.3">
      <c r="A913" t="str">
        <f>Segmenter!A913</f>
        <v/>
      </c>
      <c r="B913" t="str">
        <f>Segmenter!B913</f>
        <v/>
      </c>
      <c r="C913" t="str">
        <f t="shared" si="70"/>
        <v/>
      </c>
      <c r="D913" t="str">
        <f t="shared" si="71"/>
        <v/>
      </c>
      <c r="E913" t="str">
        <f t="shared" si="72"/>
        <v/>
      </c>
      <c r="F913" t="str">
        <f>IF(D913="","",INDEX(Knutepunkter!$B:$B,D913+1))</f>
        <v/>
      </c>
      <c r="G913" t="str">
        <f>IF(D913="","",INDEX(Knutepunkter!$C:$C,D913+1))</f>
        <v/>
      </c>
      <c r="H913" t="str">
        <f>IF(D913="","",INDEX(Knutepunkter!$D:$D,D913+1))</f>
        <v/>
      </c>
      <c r="I913" t="str">
        <f>IF(E913="","",INDEX(Knutepunkter!$B:$B,E913+1))</f>
        <v/>
      </c>
      <c r="J913" t="str">
        <f>IF(E913="","",INDEX(Knutepunkter!$C:$C,E913+1))</f>
        <v/>
      </c>
      <c r="K913" t="str">
        <f>IF(E913="","",INDEX(Knutepunkter!$D:$D,E913+1))</f>
        <v/>
      </c>
      <c r="L913" t="str">
        <f t="shared" si="73"/>
        <v/>
      </c>
      <c r="M913" t="str">
        <f t="shared" si="74"/>
        <v/>
      </c>
    </row>
    <row r="914" spans="1:13" x14ac:dyDescent="0.3">
      <c r="A914" t="str">
        <f>Segmenter!A914</f>
        <v/>
      </c>
      <c r="B914" t="str">
        <f>Segmenter!B914</f>
        <v/>
      </c>
      <c r="C914" t="str">
        <f t="shared" si="70"/>
        <v/>
      </c>
      <c r="D914" t="str">
        <f t="shared" si="71"/>
        <v/>
      </c>
      <c r="E914" t="str">
        <f t="shared" si="72"/>
        <v/>
      </c>
      <c r="F914" t="str">
        <f>IF(D914="","",INDEX(Knutepunkter!$B:$B,D914+1))</f>
        <v/>
      </c>
      <c r="G914" t="str">
        <f>IF(D914="","",INDEX(Knutepunkter!$C:$C,D914+1))</f>
        <v/>
      </c>
      <c r="H914" t="str">
        <f>IF(D914="","",INDEX(Knutepunkter!$D:$D,D914+1))</f>
        <v/>
      </c>
      <c r="I914" t="str">
        <f>IF(E914="","",INDEX(Knutepunkter!$B:$B,E914+1))</f>
        <v/>
      </c>
      <c r="J914" t="str">
        <f>IF(E914="","",INDEX(Knutepunkter!$C:$C,E914+1))</f>
        <v/>
      </c>
      <c r="K914" t="str">
        <f>IF(E914="","",INDEX(Knutepunkter!$D:$D,E914+1))</f>
        <v/>
      </c>
      <c r="L914" t="str">
        <f t="shared" si="73"/>
        <v/>
      </c>
      <c r="M914" t="str">
        <f t="shared" si="74"/>
        <v/>
      </c>
    </row>
    <row r="915" spans="1:13" x14ac:dyDescent="0.3">
      <c r="A915" t="str">
        <f>Segmenter!A915</f>
        <v/>
      </c>
      <c r="B915" t="str">
        <f>Segmenter!B915</f>
        <v/>
      </c>
      <c r="C915" t="str">
        <f t="shared" si="70"/>
        <v/>
      </c>
      <c r="D915" t="str">
        <f t="shared" si="71"/>
        <v/>
      </c>
      <c r="E915" t="str">
        <f t="shared" si="72"/>
        <v/>
      </c>
      <c r="F915" t="str">
        <f>IF(D915="","",INDEX(Knutepunkter!$B:$B,D915+1))</f>
        <v/>
      </c>
      <c r="G915" t="str">
        <f>IF(D915="","",INDEX(Knutepunkter!$C:$C,D915+1))</f>
        <v/>
      </c>
      <c r="H915" t="str">
        <f>IF(D915="","",INDEX(Knutepunkter!$D:$D,D915+1))</f>
        <v/>
      </c>
      <c r="I915" t="str">
        <f>IF(E915="","",INDEX(Knutepunkter!$B:$B,E915+1))</f>
        <v/>
      </c>
      <c r="J915" t="str">
        <f>IF(E915="","",INDEX(Knutepunkter!$C:$C,E915+1))</f>
        <v/>
      </c>
      <c r="K915" t="str">
        <f>IF(E915="","",INDEX(Knutepunkter!$D:$D,E915+1))</f>
        <v/>
      </c>
      <c r="L915" t="str">
        <f t="shared" si="73"/>
        <v/>
      </c>
      <c r="M915" t="str">
        <f t="shared" si="74"/>
        <v/>
      </c>
    </row>
    <row r="916" spans="1:13" x14ac:dyDescent="0.3">
      <c r="A916" t="str">
        <f>Segmenter!A916</f>
        <v/>
      </c>
      <c r="B916" t="str">
        <f>Segmenter!B916</f>
        <v/>
      </c>
      <c r="C916" t="str">
        <f t="shared" si="70"/>
        <v/>
      </c>
      <c r="D916" t="str">
        <f t="shared" si="71"/>
        <v/>
      </c>
      <c r="E916" t="str">
        <f t="shared" si="72"/>
        <v/>
      </c>
      <c r="F916" t="str">
        <f>IF(D916="","",INDEX(Knutepunkter!$B:$B,D916+1))</f>
        <v/>
      </c>
      <c r="G916" t="str">
        <f>IF(D916="","",INDEX(Knutepunkter!$C:$C,D916+1))</f>
        <v/>
      </c>
      <c r="H916" t="str">
        <f>IF(D916="","",INDEX(Knutepunkter!$D:$D,D916+1))</f>
        <v/>
      </c>
      <c r="I916" t="str">
        <f>IF(E916="","",INDEX(Knutepunkter!$B:$B,E916+1))</f>
        <v/>
      </c>
      <c r="J916" t="str">
        <f>IF(E916="","",INDEX(Knutepunkter!$C:$C,E916+1))</f>
        <v/>
      </c>
      <c r="K916" t="str">
        <f>IF(E916="","",INDEX(Knutepunkter!$D:$D,E916+1))</f>
        <v/>
      </c>
      <c r="L916" t="str">
        <f t="shared" si="73"/>
        <v/>
      </c>
      <c r="M916" t="str">
        <f t="shared" si="74"/>
        <v/>
      </c>
    </row>
    <row r="917" spans="1:13" x14ac:dyDescent="0.3">
      <c r="A917" t="str">
        <f>Segmenter!A917</f>
        <v/>
      </c>
      <c r="B917" t="str">
        <f>Segmenter!B917</f>
        <v/>
      </c>
      <c r="C917" t="str">
        <f t="shared" si="70"/>
        <v/>
      </c>
      <c r="D917" t="str">
        <f t="shared" si="71"/>
        <v/>
      </c>
      <c r="E917" t="str">
        <f t="shared" si="72"/>
        <v/>
      </c>
      <c r="F917" t="str">
        <f>IF(D917="","",INDEX(Knutepunkter!$B:$B,D917+1))</f>
        <v/>
      </c>
      <c r="G917" t="str">
        <f>IF(D917="","",INDEX(Knutepunkter!$C:$C,D917+1))</f>
        <v/>
      </c>
      <c r="H917" t="str">
        <f>IF(D917="","",INDEX(Knutepunkter!$D:$D,D917+1))</f>
        <v/>
      </c>
      <c r="I917" t="str">
        <f>IF(E917="","",INDEX(Knutepunkter!$B:$B,E917+1))</f>
        <v/>
      </c>
      <c r="J917" t="str">
        <f>IF(E917="","",INDEX(Knutepunkter!$C:$C,E917+1))</f>
        <v/>
      </c>
      <c r="K917" t="str">
        <f>IF(E917="","",INDEX(Knutepunkter!$D:$D,E917+1))</f>
        <v/>
      </c>
      <c r="L917" t="str">
        <f t="shared" si="73"/>
        <v/>
      </c>
      <c r="M917" t="str">
        <f t="shared" si="74"/>
        <v/>
      </c>
    </row>
    <row r="918" spans="1:13" x14ac:dyDescent="0.3">
      <c r="A918" t="str">
        <f>Segmenter!A918</f>
        <v/>
      </c>
      <c r="B918" t="str">
        <f>Segmenter!B918</f>
        <v/>
      </c>
      <c r="C918" t="str">
        <f t="shared" si="70"/>
        <v/>
      </c>
      <c r="D918" t="str">
        <f t="shared" si="71"/>
        <v/>
      </c>
      <c r="E918" t="str">
        <f t="shared" si="72"/>
        <v/>
      </c>
      <c r="F918" t="str">
        <f>IF(D918="","",INDEX(Knutepunkter!$B:$B,D918+1))</f>
        <v/>
      </c>
      <c r="G918" t="str">
        <f>IF(D918="","",INDEX(Knutepunkter!$C:$C,D918+1))</f>
        <v/>
      </c>
      <c r="H918" t="str">
        <f>IF(D918="","",INDEX(Knutepunkter!$D:$D,D918+1))</f>
        <v/>
      </c>
      <c r="I918" t="str">
        <f>IF(E918="","",INDEX(Knutepunkter!$B:$B,E918+1))</f>
        <v/>
      </c>
      <c r="J918" t="str">
        <f>IF(E918="","",INDEX(Knutepunkter!$C:$C,E918+1))</f>
        <v/>
      </c>
      <c r="K918" t="str">
        <f>IF(E918="","",INDEX(Knutepunkter!$D:$D,E918+1))</f>
        <v/>
      </c>
      <c r="L918" t="str">
        <f t="shared" si="73"/>
        <v/>
      </c>
      <c r="M918" t="str">
        <f t="shared" si="74"/>
        <v/>
      </c>
    </row>
    <row r="919" spans="1:13" x14ac:dyDescent="0.3">
      <c r="A919" t="str">
        <f>Segmenter!A919</f>
        <v/>
      </c>
      <c r="B919" t="str">
        <f>Segmenter!B919</f>
        <v/>
      </c>
      <c r="C919" t="str">
        <f t="shared" si="70"/>
        <v/>
      </c>
      <c r="D919" t="str">
        <f t="shared" si="71"/>
        <v/>
      </c>
      <c r="E919" t="str">
        <f t="shared" si="72"/>
        <v/>
      </c>
      <c r="F919" t="str">
        <f>IF(D919="","",INDEX(Knutepunkter!$B:$B,D919+1))</f>
        <v/>
      </c>
      <c r="G919" t="str">
        <f>IF(D919="","",INDEX(Knutepunkter!$C:$C,D919+1))</f>
        <v/>
      </c>
      <c r="H919" t="str">
        <f>IF(D919="","",INDEX(Knutepunkter!$D:$D,D919+1))</f>
        <v/>
      </c>
      <c r="I919" t="str">
        <f>IF(E919="","",INDEX(Knutepunkter!$B:$B,E919+1))</f>
        <v/>
      </c>
      <c r="J919" t="str">
        <f>IF(E919="","",INDEX(Knutepunkter!$C:$C,E919+1))</f>
        <v/>
      </c>
      <c r="K919" t="str">
        <f>IF(E919="","",INDEX(Knutepunkter!$D:$D,E919+1))</f>
        <v/>
      </c>
      <c r="L919" t="str">
        <f t="shared" si="73"/>
        <v/>
      </c>
      <c r="M919" t="str">
        <f t="shared" si="74"/>
        <v/>
      </c>
    </row>
    <row r="920" spans="1:13" x14ac:dyDescent="0.3">
      <c r="A920" t="str">
        <f>Segmenter!A920</f>
        <v/>
      </c>
      <c r="B920" t="str">
        <f>Segmenter!B920</f>
        <v/>
      </c>
      <c r="C920" t="str">
        <f t="shared" si="70"/>
        <v/>
      </c>
      <c r="D920" t="str">
        <f t="shared" si="71"/>
        <v/>
      </c>
      <c r="E920" t="str">
        <f t="shared" si="72"/>
        <v/>
      </c>
      <c r="F920" t="str">
        <f>IF(D920="","",INDEX(Knutepunkter!$B:$B,D920+1))</f>
        <v/>
      </c>
      <c r="G920" t="str">
        <f>IF(D920="","",INDEX(Knutepunkter!$C:$C,D920+1))</f>
        <v/>
      </c>
      <c r="H920" t="str">
        <f>IF(D920="","",INDEX(Knutepunkter!$D:$D,D920+1))</f>
        <v/>
      </c>
      <c r="I920" t="str">
        <f>IF(E920="","",INDEX(Knutepunkter!$B:$B,E920+1))</f>
        <v/>
      </c>
      <c r="J920" t="str">
        <f>IF(E920="","",INDEX(Knutepunkter!$C:$C,E920+1))</f>
        <v/>
      </c>
      <c r="K920" t="str">
        <f>IF(E920="","",INDEX(Knutepunkter!$D:$D,E920+1))</f>
        <v/>
      </c>
      <c r="L920" t="str">
        <f t="shared" si="73"/>
        <v/>
      </c>
      <c r="M920" t="str">
        <f t="shared" si="74"/>
        <v/>
      </c>
    </row>
    <row r="921" spans="1:13" x14ac:dyDescent="0.3">
      <c r="A921" t="str">
        <f>Segmenter!A921</f>
        <v/>
      </c>
      <c r="B921" t="str">
        <f>Segmenter!B921</f>
        <v/>
      </c>
      <c r="C921" t="str">
        <f t="shared" si="70"/>
        <v/>
      </c>
      <c r="D921" t="str">
        <f t="shared" si="71"/>
        <v/>
      </c>
      <c r="E921" t="str">
        <f t="shared" si="72"/>
        <v/>
      </c>
      <c r="F921" t="str">
        <f>IF(D921="","",INDEX(Knutepunkter!$B:$B,D921+1))</f>
        <v/>
      </c>
      <c r="G921" t="str">
        <f>IF(D921="","",INDEX(Knutepunkter!$C:$C,D921+1))</f>
        <v/>
      </c>
      <c r="H921" t="str">
        <f>IF(D921="","",INDEX(Knutepunkter!$D:$D,D921+1))</f>
        <v/>
      </c>
      <c r="I921" t="str">
        <f>IF(E921="","",INDEX(Knutepunkter!$B:$B,E921+1))</f>
        <v/>
      </c>
      <c r="J921" t="str">
        <f>IF(E921="","",INDEX(Knutepunkter!$C:$C,E921+1))</f>
        <v/>
      </c>
      <c r="K921" t="str">
        <f>IF(E921="","",INDEX(Knutepunkter!$D:$D,E921+1))</f>
        <v/>
      </c>
      <c r="L921" t="str">
        <f t="shared" si="73"/>
        <v/>
      </c>
      <c r="M921" t="str">
        <f t="shared" si="74"/>
        <v/>
      </c>
    </row>
    <row r="922" spans="1:13" x14ac:dyDescent="0.3">
      <c r="A922" t="str">
        <f>Segmenter!A922</f>
        <v/>
      </c>
      <c r="B922" t="str">
        <f>Segmenter!B922</f>
        <v/>
      </c>
      <c r="C922" t="str">
        <f t="shared" si="70"/>
        <v/>
      </c>
      <c r="D922" t="str">
        <f t="shared" si="71"/>
        <v/>
      </c>
      <c r="E922" t="str">
        <f t="shared" si="72"/>
        <v/>
      </c>
      <c r="F922" t="str">
        <f>IF(D922="","",INDEX(Knutepunkter!$B:$B,D922+1))</f>
        <v/>
      </c>
      <c r="G922" t="str">
        <f>IF(D922="","",INDEX(Knutepunkter!$C:$C,D922+1))</f>
        <v/>
      </c>
      <c r="H922" t="str">
        <f>IF(D922="","",INDEX(Knutepunkter!$D:$D,D922+1))</f>
        <v/>
      </c>
      <c r="I922" t="str">
        <f>IF(E922="","",INDEX(Knutepunkter!$B:$B,E922+1))</f>
        <v/>
      </c>
      <c r="J922" t="str">
        <f>IF(E922="","",INDEX(Knutepunkter!$C:$C,E922+1))</f>
        <v/>
      </c>
      <c r="K922" t="str">
        <f>IF(E922="","",INDEX(Knutepunkter!$D:$D,E922+1))</f>
        <v/>
      </c>
      <c r="L922" t="str">
        <f t="shared" si="73"/>
        <v/>
      </c>
      <c r="M922" t="str">
        <f t="shared" si="74"/>
        <v/>
      </c>
    </row>
    <row r="923" spans="1:13" x14ac:dyDescent="0.3">
      <c r="A923" t="str">
        <f>Segmenter!A923</f>
        <v/>
      </c>
      <c r="B923" t="str">
        <f>Segmenter!B923</f>
        <v/>
      </c>
      <c r="C923" t="str">
        <f t="shared" si="70"/>
        <v/>
      </c>
      <c r="D923" t="str">
        <f t="shared" si="71"/>
        <v/>
      </c>
      <c r="E923" t="str">
        <f t="shared" si="72"/>
        <v/>
      </c>
      <c r="F923" t="str">
        <f>IF(D923="","",INDEX(Knutepunkter!$B:$B,D923+1))</f>
        <v/>
      </c>
      <c r="G923" t="str">
        <f>IF(D923="","",INDEX(Knutepunkter!$C:$C,D923+1))</f>
        <v/>
      </c>
      <c r="H923" t="str">
        <f>IF(D923="","",INDEX(Knutepunkter!$D:$D,D923+1))</f>
        <v/>
      </c>
      <c r="I923" t="str">
        <f>IF(E923="","",INDEX(Knutepunkter!$B:$B,E923+1))</f>
        <v/>
      </c>
      <c r="J923" t="str">
        <f>IF(E923="","",INDEX(Knutepunkter!$C:$C,E923+1))</f>
        <v/>
      </c>
      <c r="K923" t="str">
        <f>IF(E923="","",INDEX(Knutepunkter!$D:$D,E923+1))</f>
        <v/>
      </c>
      <c r="L923" t="str">
        <f t="shared" si="73"/>
        <v/>
      </c>
      <c r="M923" t="str">
        <f t="shared" si="74"/>
        <v/>
      </c>
    </row>
    <row r="924" spans="1:13" x14ac:dyDescent="0.3">
      <c r="A924" t="str">
        <f>Segmenter!A924</f>
        <v/>
      </c>
      <c r="B924" t="str">
        <f>Segmenter!B924</f>
        <v/>
      </c>
      <c r="C924" t="str">
        <f t="shared" si="70"/>
        <v/>
      </c>
      <c r="D924" t="str">
        <f t="shared" si="71"/>
        <v/>
      </c>
      <c r="E924" t="str">
        <f t="shared" si="72"/>
        <v/>
      </c>
      <c r="F924" t="str">
        <f>IF(D924="","",INDEX(Knutepunkter!$B:$B,D924+1))</f>
        <v/>
      </c>
      <c r="G924" t="str">
        <f>IF(D924="","",INDEX(Knutepunkter!$C:$C,D924+1))</f>
        <v/>
      </c>
      <c r="H924" t="str">
        <f>IF(D924="","",INDEX(Knutepunkter!$D:$D,D924+1))</f>
        <v/>
      </c>
      <c r="I924" t="str">
        <f>IF(E924="","",INDEX(Knutepunkter!$B:$B,E924+1))</f>
        <v/>
      </c>
      <c r="J924" t="str">
        <f>IF(E924="","",INDEX(Knutepunkter!$C:$C,E924+1))</f>
        <v/>
      </c>
      <c r="K924" t="str">
        <f>IF(E924="","",INDEX(Knutepunkter!$D:$D,E924+1))</f>
        <v/>
      </c>
      <c r="L924" t="str">
        <f t="shared" si="73"/>
        <v/>
      </c>
      <c r="M924" t="str">
        <f t="shared" si="74"/>
        <v/>
      </c>
    </row>
    <row r="925" spans="1:13" x14ac:dyDescent="0.3">
      <c r="A925" t="str">
        <f>Segmenter!A925</f>
        <v/>
      </c>
      <c r="B925" t="str">
        <f>Segmenter!B925</f>
        <v/>
      </c>
      <c r="C925" t="str">
        <f t="shared" si="70"/>
        <v/>
      </c>
      <c r="D925" t="str">
        <f t="shared" si="71"/>
        <v/>
      </c>
      <c r="E925" t="str">
        <f t="shared" si="72"/>
        <v/>
      </c>
      <c r="F925" t="str">
        <f>IF(D925="","",INDEX(Knutepunkter!$B:$B,D925+1))</f>
        <v/>
      </c>
      <c r="G925" t="str">
        <f>IF(D925="","",INDEX(Knutepunkter!$C:$C,D925+1))</f>
        <v/>
      </c>
      <c r="H925" t="str">
        <f>IF(D925="","",INDEX(Knutepunkter!$D:$D,D925+1))</f>
        <v/>
      </c>
      <c r="I925" t="str">
        <f>IF(E925="","",INDEX(Knutepunkter!$B:$B,E925+1))</f>
        <v/>
      </c>
      <c r="J925" t="str">
        <f>IF(E925="","",INDEX(Knutepunkter!$C:$C,E925+1))</f>
        <v/>
      </c>
      <c r="K925" t="str">
        <f>IF(E925="","",INDEX(Knutepunkter!$D:$D,E925+1))</f>
        <v/>
      </c>
      <c r="L925" t="str">
        <f t="shared" si="73"/>
        <v/>
      </c>
      <c r="M925" t="str">
        <f t="shared" si="74"/>
        <v/>
      </c>
    </row>
    <row r="926" spans="1:13" x14ac:dyDescent="0.3">
      <c r="A926" t="str">
        <f>Segmenter!A926</f>
        <v/>
      </c>
      <c r="B926" t="str">
        <f>Segmenter!B926</f>
        <v/>
      </c>
      <c r="C926" t="str">
        <f t="shared" si="70"/>
        <v/>
      </c>
      <c r="D926" t="str">
        <f t="shared" si="71"/>
        <v/>
      </c>
      <c r="E926" t="str">
        <f t="shared" si="72"/>
        <v/>
      </c>
      <c r="F926" t="str">
        <f>IF(D926="","",INDEX(Knutepunkter!$B:$B,D926+1))</f>
        <v/>
      </c>
      <c r="G926" t="str">
        <f>IF(D926="","",INDEX(Knutepunkter!$C:$C,D926+1))</f>
        <v/>
      </c>
      <c r="H926" t="str">
        <f>IF(D926="","",INDEX(Knutepunkter!$D:$D,D926+1))</f>
        <v/>
      </c>
      <c r="I926" t="str">
        <f>IF(E926="","",INDEX(Knutepunkter!$B:$B,E926+1))</f>
        <v/>
      </c>
      <c r="J926" t="str">
        <f>IF(E926="","",INDEX(Knutepunkter!$C:$C,E926+1))</f>
        <v/>
      </c>
      <c r="K926" t="str">
        <f>IF(E926="","",INDEX(Knutepunkter!$D:$D,E926+1))</f>
        <v/>
      </c>
      <c r="L926" t="str">
        <f t="shared" si="73"/>
        <v/>
      </c>
      <c r="M926" t="str">
        <f t="shared" si="74"/>
        <v/>
      </c>
    </row>
    <row r="927" spans="1:13" x14ac:dyDescent="0.3">
      <c r="A927" t="str">
        <f>Segmenter!A927</f>
        <v/>
      </c>
      <c r="B927" t="str">
        <f>Segmenter!B927</f>
        <v/>
      </c>
      <c r="C927" t="str">
        <f t="shared" si="70"/>
        <v/>
      </c>
      <c r="D927" t="str">
        <f t="shared" si="71"/>
        <v/>
      </c>
      <c r="E927" t="str">
        <f t="shared" si="72"/>
        <v/>
      </c>
      <c r="F927" t="str">
        <f>IF(D927="","",INDEX(Knutepunkter!$B:$B,D927+1))</f>
        <v/>
      </c>
      <c r="G927" t="str">
        <f>IF(D927="","",INDEX(Knutepunkter!$C:$C,D927+1))</f>
        <v/>
      </c>
      <c r="H927" t="str">
        <f>IF(D927="","",INDEX(Knutepunkter!$D:$D,D927+1))</f>
        <v/>
      </c>
      <c r="I927" t="str">
        <f>IF(E927="","",INDEX(Knutepunkter!$B:$B,E927+1))</f>
        <v/>
      </c>
      <c r="J927" t="str">
        <f>IF(E927="","",INDEX(Knutepunkter!$C:$C,E927+1))</f>
        <v/>
      </c>
      <c r="K927" t="str">
        <f>IF(E927="","",INDEX(Knutepunkter!$D:$D,E927+1))</f>
        <v/>
      </c>
      <c r="L927" t="str">
        <f t="shared" si="73"/>
        <v/>
      </c>
      <c r="M927" t="str">
        <f t="shared" si="74"/>
        <v/>
      </c>
    </row>
    <row r="928" spans="1:13" x14ac:dyDescent="0.3">
      <c r="A928" t="str">
        <f>Segmenter!A928</f>
        <v/>
      </c>
      <c r="B928" t="str">
        <f>Segmenter!B928</f>
        <v/>
      </c>
      <c r="C928" t="str">
        <f t="shared" si="70"/>
        <v/>
      </c>
      <c r="D928" t="str">
        <f t="shared" si="71"/>
        <v/>
      </c>
      <c r="E928" t="str">
        <f t="shared" si="72"/>
        <v/>
      </c>
      <c r="F928" t="str">
        <f>IF(D928="","",INDEX(Knutepunkter!$B:$B,D928+1))</f>
        <v/>
      </c>
      <c r="G928" t="str">
        <f>IF(D928="","",INDEX(Knutepunkter!$C:$C,D928+1))</f>
        <v/>
      </c>
      <c r="H928" t="str">
        <f>IF(D928="","",INDEX(Knutepunkter!$D:$D,D928+1))</f>
        <v/>
      </c>
      <c r="I928" t="str">
        <f>IF(E928="","",INDEX(Knutepunkter!$B:$B,E928+1))</f>
        <v/>
      </c>
      <c r="J928" t="str">
        <f>IF(E928="","",INDEX(Knutepunkter!$C:$C,E928+1))</f>
        <v/>
      </c>
      <c r="K928" t="str">
        <f>IF(E928="","",INDEX(Knutepunkter!$D:$D,E928+1))</f>
        <v/>
      </c>
      <c r="L928" t="str">
        <f t="shared" si="73"/>
        <v/>
      </c>
      <c r="M928" t="str">
        <f t="shared" si="74"/>
        <v/>
      </c>
    </row>
    <row r="929" spans="1:13" x14ac:dyDescent="0.3">
      <c r="A929" t="str">
        <f>Segmenter!A929</f>
        <v/>
      </c>
      <c r="B929" t="str">
        <f>Segmenter!B929</f>
        <v/>
      </c>
      <c r="C929" t="str">
        <f t="shared" si="70"/>
        <v/>
      </c>
      <c r="D929" t="str">
        <f t="shared" si="71"/>
        <v/>
      </c>
      <c r="E929" t="str">
        <f t="shared" si="72"/>
        <v/>
      </c>
      <c r="F929" t="str">
        <f>IF(D929="","",INDEX(Knutepunkter!$B:$B,D929+1))</f>
        <v/>
      </c>
      <c r="G929" t="str">
        <f>IF(D929="","",INDEX(Knutepunkter!$C:$C,D929+1))</f>
        <v/>
      </c>
      <c r="H929" t="str">
        <f>IF(D929="","",INDEX(Knutepunkter!$D:$D,D929+1))</f>
        <v/>
      </c>
      <c r="I929" t="str">
        <f>IF(E929="","",INDEX(Knutepunkter!$B:$B,E929+1))</f>
        <v/>
      </c>
      <c r="J929" t="str">
        <f>IF(E929="","",INDEX(Knutepunkter!$C:$C,E929+1))</f>
        <v/>
      </c>
      <c r="K929" t="str">
        <f>IF(E929="","",INDEX(Knutepunkter!$D:$D,E929+1))</f>
        <v/>
      </c>
      <c r="L929" t="str">
        <f t="shared" si="73"/>
        <v/>
      </c>
      <c r="M929" t="str">
        <f t="shared" si="74"/>
        <v/>
      </c>
    </row>
    <row r="930" spans="1:13" x14ac:dyDescent="0.3">
      <c r="A930" t="str">
        <f>Segmenter!A930</f>
        <v/>
      </c>
      <c r="B930" t="str">
        <f>Segmenter!B930</f>
        <v/>
      </c>
      <c r="C930" t="str">
        <f t="shared" si="70"/>
        <v/>
      </c>
      <c r="D930" t="str">
        <f t="shared" si="71"/>
        <v/>
      </c>
      <c r="E930" t="str">
        <f t="shared" si="72"/>
        <v/>
      </c>
      <c r="F930" t="str">
        <f>IF(D930="","",INDEX(Knutepunkter!$B:$B,D930+1))</f>
        <v/>
      </c>
      <c r="G930" t="str">
        <f>IF(D930="","",INDEX(Knutepunkter!$C:$C,D930+1))</f>
        <v/>
      </c>
      <c r="H930" t="str">
        <f>IF(D930="","",INDEX(Knutepunkter!$D:$D,D930+1))</f>
        <v/>
      </c>
      <c r="I930" t="str">
        <f>IF(E930="","",INDEX(Knutepunkter!$B:$B,E930+1))</f>
        <v/>
      </c>
      <c r="J930" t="str">
        <f>IF(E930="","",INDEX(Knutepunkter!$C:$C,E930+1))</f>
        <v/>
      </c>
      <c r="K930" t="str">
        <f>IF(E930="","",INDEX(Knutepunkter!$D:$D,E930+1))</f>
        <v/>
      </c>
      <c r="L930" t="str">
        <f t="shared" si="73"/>
        <v/>
      </c>
      <c r="M930" t="str">
        <f t="shared" si="74"/>
        <v/>
      </c>
    </row>
    <row r="931" spans="1:13" x14ac:dyDescent="0.3">
      <c r="A931" t="str">
        <f>Segmenter!A931</f>
        <v/>
      </c>
      <c r="B931" t="str">
        <f>Segmenter!B931</f>
        <v/>
      </c>
      <c r="C931" t="str">
        <f t="shared" si="70"/>
        <v/>
      </c>
      <c r="D931" t="str">
        <f t="shared" si="71"/>
        <v/>
      </c>
      <c r="E931" t="str">
        <f t="shared" si="72"/>
        <v/>
      </c>
      <c r="F931" t="str">
        <f>IF(D931="","",INDEX(Knutepunkter!$B:$B,D931+1))</f>
        <v/>
      </c>
      <c r="G931" t="str">
        <f>IF(D931="","",INDEX(Knutepunkter!$C:$C,D931+1))</f>
        <v/>
      </c>
      <c r="H931" t="str">
        <f>IF(D931="","",INDEX(Knutepunkter!$D:$D,D931+1))</f>
        <v/>
      </c>
      <c r="I931" t="str">
        <f>IF(E931="","",INDEX(Knutepunkter!$B:$B,E931+1))</f>
        <v/>
      </c>
      <c r="J931" t="str">
        <f>IF(E931="","",INDEX(Knutepunkter!$C:$C,E931+1))</f>
        <v/>
      </c>
      <c r="K931" t="str">
        <f>IF(E931="","",INDEX(Knutepunkter!$D:$D,E931+1))</f>
        <v/>
      </c>
      <c r="L931" t="str">
        <f t="shared" si="73"/>
        <v/>
      </c>
      <c r="M931" t="str">
        <f t="shared" si="74"/>
        <v/>
      </c>
    </row>
    <row r="932" spans="1:13" x14ac:dyDescent="0.3">
      <c r="A932" t="str">
        <f>Segmenter!A932</f>
        <v/>
      </c>
      <c r="B932" t="str">
        <f>Segmenter!B932</f>
        <v/>
      </c>
      <c r="C932" t="str">
        <f t="shared" si="70"/>
        <v/>
      </c>
      <c r="D932" t="str">
        <f t="shared" si="71"/>
        <v/>
      </c>
      <c r="E932" t="str">
        <f t="shared" si="72"/>
        <v/>
      </c>
      <c r="F932" t="str">
        <f>IF(D932="","",INDEX(Knutepunkter!$B:$B,D932+1))</f>
        <v/>
      </c>
      <c r="G932" t="str">
        <f>IF(D932="","",INDEX(Knutepunkter!$C:$C,D932+1))</f>
        <v/>
      </c>
      <c r="H932" t="str">
        <f>IF(D932="","",INDEX(Knutepunkter!$D:$D,D932+1))</f>
        <v/>
      </c>
      <c r="I932" t="str">
        <f>IF(E932="","",INDEX(Knutepunkter!$B:$B,E932+1))</f>
        <v/>
      </c>
      <c r="J932" t="str">
        <f>IF(E932="","",INDEX(Knutepunkter!$C:$C,E932+1))</f>
        <v/>
      </c>
      <c r="K932" t="str">
        <f>IF(E932="","",INDEX(Knutepunkter!$D:$D,E932+1))</f>
        <v/>
      </c>
      <c r="L932" t="str">
        <f t="shared" si="73"/>
        <v/>
      </c>
      <c r="M932" t="str">
        <f t="shared" si="74"/>
        <v/>
      </c>
    </row>
    <row r="933" spans="1:13" x14ac:dyDescent="0.3">
      <c r="A933" t="str">
        <f>Segmenter!A933</f>
        <v/>
      </c>
      <c r="B933" t="str">
        <f>Segmenter!B933</f>
        <v/>
      </c>
      <c r="C933" t="str">
        <f t="shared" si="70"/>
        <v/>
      </c>
      <c r="D933" t="str">
        <f t="shared" si="71"/>
        <v/>
      </c>
      <c r="E933" t="str">
        <f t="shared" si="72"/>
        <v/>
      </c>
      <c r="F933" t="str">
        <f>IF(D933="","",INDEX(Knutepunkter!$B:$B,D933+1))</f>
        <v/>
      </c>
      <c r="G933" t="str">
        <f>IF(D933="","",INDEX(Knutepunkter!$C:$C,D933+1))</f>
        <v/>
      </c>
      <c r="H933" t="str">
        <f>IF(D933="","",INDEX(Knutepunkter!$D:$D,D933+1))</f>
        <v/>
      </c>
      <c r="I933" t="str">
        <f>IF(E933="","",INDEX(Knutepunkter!$B:$B,E933+1))</f>
        <v/>
      </c>
      <c r="J933" t="str">
        <f>IF(E933="","",INDEX(Knutepunkter!$C:$C,E933+1))</f>
        <v/>
      </c>
      <c r="K933" t="str">
        <f>IF(E933="","",INDEX(Knutepunkter!$D:$D,E933+1))</f>
        <v/>
      </c>
      <c r="L933" t="str">
        <f t="shared" si="73"/>
        <v/>
      </c>
      <c r="M933" t="str">
        <f t="shared" si="74"/>
        <v/>
      </c>
    </row>
    <row r="934" spans="1:13" x14ac:dyDescent="0.3">
      <c r="A934" t="str">
        <f>Segmenter!A934</f>
        <v/>
      </c>
      <c r="B934" t="str">
        <f>Segmenter!B934</f>
        <v/>
      </c>
      <c r="C934" t="str">
        <f t="shared" si="70"/>
        <v/>
      </c>
      <c r="D934" t="str">
        <f t="shared" si="71"/>
        <v/>
      </c>
      <c r="E934" t="str">
        <f t="shared" si="72"/>
        <v/>
      </c>
      <c r="F934" t="str">
        <f>IF(D934="","",INDEX(Knutepunkter!$B:$B,D934+1))</f>
        <v/>
      </c>
      <c r="G934" t="str">
        <f>IF(D934="","",INDEX(Knutepunkter!$C:$C,D934+1))</f>
        <v/>
      </c>
      <c r="H934" t="str">
        <f>IF(D934="","",INDEX(Knutepunkter!$D:$D,D934+1))</f>
        <v/>
      </c>
      <c r="I934" t="str">
        <f>IF(E934="","",INDEX(Knutepunkter!$B:$B,E934+1))</f>
        <v/>
      </c>
      <c r="J934" t="str">
        <f>IF(E934="","",INDEX(Knutepunkter!$C:$C,E934+1))</f>
        <v/>
      </c>
      <c r="K934" t="str">
        <f>IF(E934="","",INDEX(Knutepunkter!$D:$D,E934+1))</f>
        <v/>
      </c>
      <c r="L934" t="str">
        <f t="shared" si="73"/>
        <v/>
      </c>
      <c r="M934" t="str">
        <f t="shared" si="74"/>
        <v/>
      </c>
    </row>
    <row r="935" spans="1:13" x14ac:dyDescent="0.3">
      <c r="A935" t="str">
        <f>Segmenter!A935</f>
        <v/>
      </c>
      <c r="B935" t="str">
        <f>Segmenter!B935</f>
        <v/>
      </c>
      <c r="C935" t="str">
        <f t="shared" si="70"/>
        <v/>
      </c>
      <c r="D935" t="str">
        <f t="shared" si="71"/>
        <v/>
      </c>
      <c r="E935" t="str">
        <f t="shared" si="72"/>
        <v/>
      </c>
      <c r="F935" t="str">
        <f>IF(D935="","",INDEX(Knutepunkter!$B:$B,D935+1))</f>
        <v/>
      </c>
      <c r="G935" t="str">
        <f>IF(D935="","",INDEX(Knutepunkter!$C:$C,D935+1))</f>
        <v/>
      </c>
      <c r="H935" t="str">
        <f>IF(D935="","",INDEX(Knutepunkter!$D:$D,D935+1))</f>
        <v/>
      </c>
      <c r="I935" t="str">
        <f>IF(E935="","",INDEX(Knutepunkter!$B:$B,E935+1))</f>
        <v/>
      </c>
      <c r="J935" t="str">
        <f>IF(E935="","",INDEX(Knutepunkter!$C:$C,E935+1))</f>
        <v/>
      </c>
      <c r="K935" t="str">
        <f>IF(E935="","",INDEX(Knutepunkter!$D:$D,E935+1))</f>
        <v/>
      </c>
      <c r="L935" t="str">
        <f t="shared" si="73"/>
        <v/>
      </c>
      <c r="M935" t="str">
        <f t="shared" si="74"/>
        <v/>
      </c>
    </row>
    <row r="936" spans="1:13" x14ac:dyDescent="0.3">
      <c r="A936" t="str">
        <f>Segmenter!A936</f>
        <v/>
      </c>
      <c r="B936" t="str">
        <f>Segmenter!B936</f>
        <v/>
      </c>
      <c r="C936" t="str">
        <f t="shared" si="70"/>
        <v/>
      </c>
      <c r="D936" t="str">
        <f t="shared" si="71"/>
        <v/>
      </c>
      <c r="E936" t="str">
        <f t="shared" si="72"/>
        <v/>
      </c>
      <c r="F936" t="str">
        <f>IF(D936="","",INDEX(Knutepunkter!$B:$B,D936+1))</f>
        <v/>
      </c>
      <c r="G936" t="str">
        <f>IF(D936="","",INDEX(Knutepunkter!$C:$C,D936+1))</f>
        <v/>
      </c>
      <c r="H936" t="str">
        <f>IF(D936="","",INDEX(Knutepunkter!$D:$D,D936+1))</f>
        <v/>
      </c>
      <c r="I936" t="str">
        <f>IF(E936="","",INDEX(Knutepunkter!$B:$B,E936+1))</f>
        <v/>
      </c>
      <c r="J936" t="str">
        <f>IF(E936="","",INDEX(Knutepunkter!$C:$C,E936+1))</f>
        <v/>
      </c>
      <c r="K936" t="str">
        <f>IF(E936="","",INDEX(Knutepunkter!$D:$D,E936+1))</f>
        <v/>
      </c>
      <c r="L936" t="str">
        <f t="shared" si="73"/>
        <v/>
      </c>
      <c r="M936" t="str">
        <f t="shared" si="74"/>
        <v/>
      </c>
    </row>
    <row r="937" spans="1:13" x14ac:dyDescent="0.3">
      <c r="A937" t="str">
        <f>Segmenter!A937</f>
        <v/>
      </c>
      <c r="B937" t="str">
        <f>Segmenter!B937</f>
        <v/>
      </c>
      <c r="C937" t="str">
        <f t="shared" si="70"/>
        <v/>
      </c>
      <c r="D937" t="str">
        <f t="shared" si="71"/>
        <v/>
      </c>
      <c r="E937" t="str">
        <f t="shared" si="72"/>
        <v/>
      </c>
      <c r="F937" t="str">
        <f>IF(D937="","",INDEX(Knutepunkter!$B:$B,D937+1))</f>
        <v/>
      </c>
      <c r="G937" t="str">
        <f>IF(D937="","",INDEX(Knutepunkter!$C:$C,D937+1))</f>
        <v/>
      </c>
      <c r="H937" t="str">
        <f>IF(D937="","",INDEX(Knutepunkter!$D:$D,D937+1))</f>
        <v/>
      </c>
      <c r="I937" t="str">
        <f>IF(E937="","",INDEX(Knutepunkter!$B:$B,E937+1))</f>
        <v/>
      </c>
      <c r="J937" t="str">
        <f>IF(E937="","",INDEX(Knutepunkter!$C:$C,E937+1))</f>
        <v/>
      </c>
      <c r="K937" t="str">
        <f>IF(E937="","",INDEX(Knutepunkter!$D:$D,E937+1))</f>
        <v/>
      </c>
      <c r="L937" t="str">
        <f t="shared" si="73"/>
        <v/>
      </c>
      <c r="M937" t="str">
        <f t="shared" si="74"/>
        <v/>
      </c>
    </row>
    <row r="938" spans="1:13" x14ac:dyDescent="0.3">
      <c r="A938" t="str">
        <f>Segmenter!A938</f>
        <v/>
      </c>
      <c r="B938" t="str">
        <f>Segmenter!B938</f>
        <v/>
      </c>
      <c r="C938" t="str">
        <f t="shared" si="70"/>
        <v/>
      </c>
      <c r="D938" t="str">
        <f t="shared" si="71"/>
        <v/>
      </c>
      <c r="E938" t="str">
        <f t="shared" si="72"/>
        <v/>
      </c>
      <c r="F938" t="str">
        <f>IF(D938="","",INDEX(Knutepunkter!$B:$B,D938+1))</f>
        <v/>
      </c>
      <c r="G938" t="str">
        <f>IF(D938="","",INDEX(Knutepunkter!$C:$C,D938+1))</f>
        <v/>
      </c>
      <c r="H938" t="str">
        <f>IF(D938="","",INDEX(Knutepunkter!$D:$D,D938+1))</f>
        <v/>
      </c>
      <c r="I938" t="str">
        <f>IF(E938="","",INDEX(Knutepunkter!$B:$B,E938+1))</f>
        <v/>
      </c>
      <c r="J938" t="str">
        <f>IF(E938="","",INDEX(Knutepunkter!$C:$C,E938+1))</f>
        <v/>
      </c>
      <c r="K938" t="str">
        <f>IF(E938="","",INDEX(Knutepunkter!$D:$D,E938+1))</f>
        <v/>
      </c>
      <c r="L938" t="str">
        <f t="shared" si="73"/>
        <v/>
      </c>
      <c r="M938" t="str">
        <f t="shared" si="74"/>
        <v/>
      </c>
    </row>
    <row r="939" spans="1:13" x14ac:dyDescent="0.3">
      <c r="A939" t="str">
        <f>Segmenter!A939</f>
        <v/>
      </c>
      <c r="B939" t="str">
        <f>Segmenter!B939</f>
        <v/>
      </c>
      <c r="C939" t="str">
        <f t="shared" si="70"/>
        <v/>
      </c>
      <c r="D939" t="str">
        <f t="shared" si="71"/>
        <v/>
      </c>
      <c r="E939" t="str">
        <f t="shared" si="72"/>
        <v/>
      </c>
      <c r="F939" t="str">
        <f>IF(D939="","",INDEX(Knutepunkter!$B:$B,D939+1))</f>
        <v/>
      </c>
      <c r="G939" t="str">
        <f>IF(D939="","",INDEX(Knutepunkter!$C:$C,D939+1))</f>
        <v/>
      </c>
      <c r="H939" t="str">
        <f>IF(D939="","",INDEX(Knutepunkter!$D:$D,D939+1))</f>
        <v/>
      </c>
      <c r="I939" t="str">
        <f>IF(E939="","",INDEX(Knutepunkter!$B:$B,E939+1))</f>
        <v/>
      </c>
      <c r="J939" t="str">
        <f>IF(E939="","",INDEX(Knutepunkter!$C:$C,E939+1))</f>
        <v/>
      </c>
      <c r="K939" t="str">
        <f>IF(E939="","",INDEX(Knutepunkter!$D:$D,E939+1))</f>
        <v/>
      </c>
      <c r="L939" t="str">
        <f t="shared" si="73"/>
        <v/>
      </c>
      <c r="M939" t="str">
        <f t="shared" si="74"/>
        <v/>
      </c>
    </row>
    <row r="940" spans="1:13" x14ac:dyDescent="0.3">
      <c r="A940" t="str">
        <f>Segmenter!A940</f>
        <v/>
      </c>
      <c r="B940" t="str">
        <f>Segmenter!B940</f>
        <v/>
      </c>
      <c r="C940" t="str">
        <f t="shared" si="70"/>
        <v/>
      </c>
      <c r="D940" t="str">
        <f t="shared" si="71"/>
        <v/>
      </c>
      <c r="E940" t="str">
        <f t="shared" si="72"/>
        <v/>
      </c>
      <c r="F940" t="str">
        <f>IF(D940="","",INDEX(Knutepunkter!$B:$B,D940+1))</f>
        <v/>
      </c>
      <c r="G940" t="str">
        <f>IF(D940="","",INDEX(Knutepunkter!$C:$C,D940+1))</f>
        <v/>
      </c>
      <c r="H940" t="str">
        <f>IF(D940="","",INDEX(Knutepunkter!$D:$D,D940+1))</f>
        <v/>
      </c>
      <c r="I940" t="str">
        <f>IF(E940="","",INDEX(Knutepunkter!$B:$B,E940+1))</f>
        <v/>
      </c>
      <c r="J940" t="str">
        <f>IF(E940="","",INDEX(Knutepunkter!$C:$C,E940+1))</f>
        <v/>
      </c>
      <c r="K940" t="str">
        <f>IF(E940="","",INDEX(Knutepunkter!$D:$D,E940+1))</f>
        <v/>
      </c>
      <c r="L940" t="str">
        <f t="shared" si="73"/>
        <v/>
      </c>
      <c r="M940" t="str">
        <f t="shared" si="74"/>
        <v/>
      </c>
    </row>
    <row r="941" spans="1:13" x14ac:dyDescent="0.3">
      <c r="A941" t="str">
        <f>Segmenter!A941</f>
        <v/>
      </c>
      <c r="B941" t="str">
        <f>Segmenter!B941</f>
        <v/>
      </c>
      <c r="C941" t="str">
        <f t="shared" si="70"/>
        <v/>
      </c>
      <c r="D941" t="str">
        <f t="shared" si="71"/>
        <v/>
      </c>
      <c r="E941" t="str">
        <f t="shared" si="72"/>
        <v/>
      </c>
      <c r="F941" t="str">
        <f>IF(D941="","",INDEX(Knutepunkter!$B:$B,D941+1))</f>
        <v/>
      </c>
      <c r="G941" t="str">
        <f>IF(D941="","",INDEX(Knutepunkter!$C:$C,D941+1))</f>
        <v/>
      </c>
      <c r="H941" t="str">
        <f>IF(D941="","",INDEX(Knutepunkter!$D:$D,D941+1))</f>
        <v/>
      </c>
      <c r="I941" t="str">
        <f>IF(E941="","",INDEX(Knutepunkter!$B:$B,E941+1))</f>
        <v/>
      </c>
      <c r="J941" t="str">
        <f>IF(E941="","",INDEX(Knutepunkter!$C:$C,E941+1))</f>
        <v/>
      </c>
      <c r="K941" t="str">
        <f>IF(E941="","",INDEX(Knutepunkter!$D:$D,E941+1))</f>
        <v/>
      </c>
      <c r="L941" t="str">
        <f t="shared" si="73"/>
        <v/>
      </c>
      <c r="M941" t="str">
        <f t="shared" si="74"/>
        <v/>
      </c>
    </row>
    <row r="942" spans="1:13" x14ac:dyDescent="0.3">
      <c r="A942" t="str">
        <f>Segmenter!A942</f>
        <v/>
      </c>
      <c r="B942" t="str">
        <f>Segmenter!B942</f>
        <v/>
      </c>
      <c r="C942" t="str">
        <f t="shared" si="70"/>
        <v/>
      </c>
      <c r="D942" t="str">
        <f t="shared" si="71"/>
        <v/>
      </c>
      <c r="E942" t="str">
        <f t="shared" si="72"/>
        <v/>
      </c>
      <c r="F942" t="str">
        <f>IF(D942="","",INDEX(Knutepunkter!$B:$B,D942+1))</f>
        <v/>
      </c>
      <c r="G942" t="str">
        <f>IF(D942="","",INDEX(Knutepunkter!$C:$C,D942+1))</f>
        <v/>
      </c>
      <c r="H942" t="str">
        <f>IF(D942="","",INDEX(Knutepunkter!$D:$D,D942+1))</f>
        <v/>
      </c>
      <c r="I942" t="str">
        <f>IF(E942="","",INDEX(Knutepunkter!$B:$B,E942+1))</f>
        <v/>
      </c>
      <c r="J942" t="str">
        <f>IF(E942="","",INDEX(Knutepunkter!$C:$C,E942+1))</f>
        <v/>
      </c>
      <c r="K942" t="str">
        <f>IF(E942="","",INDEX(Knutepunkter!$D:$D,E942+1))</f>
        <v/>
      </c>
      <c r="L942" t="str">
        <f t="shared" si="73"/>
        <v/>
      </c>
      <c r="M942" t="str">
        <f t="shared" si="74"/>
        <v/>
      </c>
    </row>
    <row r="943" spans="1:13" x14ac:dyDescent="0.3">
      <c r="A943" t="str">
        <f>Segmenter!A943</f>
        <v/>
      </c>
      <c r="B943" t="str">
        <f>Segmenter!B943</f>
        <v/>
      </c>
      <c r="C943" t="str">
        <f t="shared" si="70"/>
        <v/>
      </c>
      <c r="D943" t="str">
        <f t="shared" si="71"/>
        <v/>
      </c>
      <c r="E943" t="str">
        <f t="shared" si="72"/>
        <v/>
      </c>
      <c r="F943" t="str">
        <f>IF(D943="","",INDEX(Knutepunkter!$B:$B,D943+1))</f>
        <v/>
      </c>
      <c r="G943" t="str">
        <f>IF(D943="","",INDEX(Knutepunkter!$C:$C,D943+1))</f>
        <v/>
      </c>
      <c r="H943" t="str">
        <f>IF(D943="","",INDEX(Knutepunkter!$D:$D,D943+1))</f>
        <v/>
      </c>
      <c r="I943" t="str">
        <f>IF(E943="","",INDEX(Knutepunkter!$B:$B,E943+1))</f>
        <v/>
      </c>
      <c r="J943" t="str">
        <f>IF(E943="","",INDEX(Knutepunkter!$C:$C,E943+1))</f>
        <v/>
      </c>
      <c r="K943" t="str">
        <f>IF(E943="","",INDEX(Knutepunkter!$D:$D,E943+1))</f>
        <v/>
      </c>
      <c r="L943" t="str">
        <f t="shared" si="73"/>
        <v/>
      </c>
      <c r="M943" t="str">
        <f t="shared" si="74"/>
        <v/>
      </c>
    </row>
    <row r="944" spans="1:13" x14ac:dyDescent="0.3">
      <c r="A944" t="str">
        <f>Segmenter!A944</f>
        <v/>
      </c>
      <c r="B944" t="str">
        <f>Segmenter!B944</f>
        <v/>
      </c>
      <c r="C944" t="str">
        <f t="shared" si="70"/>
        <v/>
      </c>
      <c r="D944" t="str">
        <f t="shared" si="71"/>
        <v/>
      </c>
      <c r="E944" t="str">
        <f t="shared" si="72"/>
        <v/>
      </c>
      <c r="F944" t="str">
        <f>IF(D944="","",INDEX(Knutepunkter!$B:$B,D944+1))</f>
        <v/>
      </c>
      <c r="G944" t="str">
        <f>IF(D944="","",INDEX(Knutepunkter!$C:$C,D944+1))</f>
        <v/>
      </c>
      <c r="H944" t="str">
        <f>IF(D944="","",INDEX(Knutepunkter!$D:$D,D944+1))</f>
        <v/>
      </c>
      <c r="I944" t="str">
        <f>IF(E944="","",INDEX(Knutepunkter!$B:$B,E944+1))</f>
        <v/>
      </c>
      <c r="J944" t="str">
        <f>IF(E944="","",INDEX(Knutepunkter!$C:$C,E944+1))</f>
        <v/>
      </c>
      <c r="K944" t="str">
        <f>IF(E944="","",INDEX(Knutepunkter!$D:$D,E944+1))</f>
        <v/>
      </c>
      <c r="L944" t="str">
        <f t="shared" si="73"/>
        <v/>
      </c>
      <c r="M944" t="str">
        <f t="shared" si="74"/>
        <v/>
      </c>
    </row>
    <row r="945" spans="1:13" x14ac:dyDescent="0.3">
      <c r="A945" t="str">
        <f>Segmenter!A945</f>
        <v/>
      </c>
      <c r="B945" t="str">
        <f>Segmenter!B945</f>
        <v/>
      </c>
      <c r="C945" t="str">
        <f t="shared" si="70"/>
        <v/>
      </c>
      <c r="D945" t="str">
        <f t="shared" si="71"/>
        <v/>
      </c>
      <c r="E945" t="str">
        <f t="shared" si="72"/>
        <v/>
      </c>
      <c r="F945" t="str">
        <f>IF(D945="","",INDEX(Knutepunkter!$B:$B,D945+1))</f>
        <v/>
      </c>
      <c r="G945" t="str">
        <f>IF(D945="","",INDEX(Knutepunkter!$C:$C,D945+1))</f>
        <v/>
      </c>
      <c r="H945" t="str">
        <f>IF(D945="","",INDEX(Knutepunkter!$D:$D,D945+1))</f>
        <v/>
      </c>
      <c r="I945" t="str">
        <f>IF(E945="","",INDEX(Knutepunkter!$B:$B,E945+1))</f>
        <v/>
      </c>
      <c r="J945" t="str">
        <f>IF(E945="","",INDEX(Knutepunkter!$C:$C,E945+1))</f>
        <v/>
      </c>
      <c r="K945" t="str">
        <f>IF(E945="","",INDEX(Knutepunkter!$D:$D,E945+1))</f>
        <v/>
      </c>
      <c r="L945" t="str">
        <f t="shared" si="73"/>
        <v/>
      </c>
      <c r="M945" t="str">
        <f t="shared" si="74"/>
        <v/>
      </c>
    </row>
    <row r="946" spans="1:13" x14ac:dyDescent="0.3">
      <c r="A946" t="str">
        <f>Segmenter!A946</f>
        <v/>
      </c>
      <c r="B946" t="str">
        <f>Segmenter!B946</f>
        <v/>
      </c>
      <c r="C946" t="str">
        <f t="shared" si="70"/>
        <v/>
      </c>
      <c r="D946" t="str">
        <f t="shared" si="71"/>
        <v/>
      </c>
      <c r="E946" t="str">
        <f t="shared" si="72"/>
        <v/>
      </c>
      <c r="F946" t="str">
        <f>IF(D946="","",INDEX(Knutepunkter!$B:$B,D946+1))</f>
        <v/>
      </c>
      <c r="G946" t="str">
        <f>IF(D946="","",INDEX(Knutepunkter!$C:$C,D946+1))</f>
        <v/>
      </c>
      <c r="H946" t="str">
        <f>IF(D946="","",INDEX(Knutepunkter!$D:$D,D946+1))</f>
        <v/>
      </c>
      <c r="I946" t="str">
        <f>IF(E946="","",INDEX(Knutepunkter!$B:$B,E946+1))</f>
        <v/>
      </c>
      <c r="J946" t="str">
        <f>IF(E946="","",INDEX(Knutepunkter!$C:$C,E946+1))</f>
        <v/>
      </c>
      <c r="K946" t="str">
        <f>IF(E946="","",INDEX(Knutepunkter!$D:$D,E946+1))</f>
        <v/>
      </c>
      <c r="L946" t="str">
        <f t="shared" si="73"/>
        <v/>
      </c>
      <c r="M946" t="str">
        <f t="shared" si="74"/>
        <v/>
      </c>
    </row>
    <row r="947" spans="1:13" x14ac:dyDescent="0.3">
      <c r="A947" t="str">
        <f>Segmenter!A947</f>
        <v/>
      </c>
      <c r="B947" t="str">
        <f>Segmenter!B947</f>
        <v/>
      </c>
      <c r="C947" t="str">
        <f t="shared" si="70"/>
        <v/>
      </c>
      <c r="D947" t="str">
        <f t="shared" si="71"/>
        <v/>
      </c>
      <c r="E947" t="str">
        <f t="shared" si="72"/>
        <v/>
      </c>
      <c r="F947" t="str">
        <f>IF(D947="","",INDEX(Knutepunkter!$B:$B,D947+1))</f>
        <v/>
      </c>
      <c r="G947" t="str">
        <f>IF(D947="","",INDEX(Knutepunkter!$C:$C,D947+1))</f>
        <v/>
      </c>
      <c r="H947" t="str">
        <f>IF(D947="","",INDEX(Knutepunkter!$D:$D,D947+1))</f>
        <v/>
      </c>
      <c r="I947" t="str">
        <f>IF(E947="","",INDEX(Knutepunkter!$B:$B,E947+1))</f>
        <v/>
      </c>
      <c r="J947" t="str">
        <f>IF(E947="","",INDEX(Knutepunkter!$C:$C,E947+1))</f>
        <v/>
      </c>
      <c r="K947" t="str">
        <f>IF(E947="","",INDEX(Knutepunkter!$D:$D,E947+1))</f>
        <v/>
      </c>
      <c r="L947" t="str">
        <f t="shared" si="73"/>
        <v/>
      </c>
      <c r="M947" t="str">
        <f t="shared" si="74"/>
        <v/>
      </c>
    </row>
    <row r="948" spans="1:13" x14ac:dyDescent="0.3">
      <c r="A948" t="str">
        <f>Segmenter!A948</f>
        <v/>
      </c>
      <c r="B948" t="str">
        <f>Segmenter!B948</f>
        <v/>
      </c>
      <c r="C948" t="str">
        <f t="shared" si="70"/>
        <v/>
      </c>
      <c r="D948" t="str">
        <f t="shared" si="71"/>
        <v/>
      </c>
      <c r="E948" t="str">
        <f t="shared" si="72"/>
        <v/>
      </c>
      <c r="F948" t="str">
        <f>IF(D948="","",INDEX(Knutepunkter!$B:$B,D948+1))</f>
        <v/>
      </c>
      <c r="G948" t="str">
        <f>IF(D948="","",INDEX(Knutepunkter!$C:$C,D948+1))</f>
        <v/>
      </c>
      <c r="H948" t="str">
        <f>IF(D948="","",INDEX(Knutepunkter!$D:$D,D948+1))</f>
        <v/>
      </c>
      <c r="I948" t="str">
        <f>IF(E948="","",INDEX(Knutepunkter!$B:$B,E948+1))</f>
        <v/>
      </c>
      <c r="J948" t="str">
        <f>IF(E948="","",INDEX(Knutepunkter!$C:$C,E948+1))</f>
        <v/>
      </c>
      <c r="K948" t="str">
        <f>IF(E948="","",INDEX(Knutepunkter!$D:$D,E948+1))</f>
        <v/>
      </c>
      <c r="L948" t="str">
        <f t="shared" si="73"/>
        <v/>
      </c>
      <c r="M948" t="str">
        <f t="shared" si="74"/>
        <v/>
      </c>
    </row>
    <row r="949" spans="1:13" x14ac:dyDescent="0.3">
      <c r="A949" t="str">
        <f>Segmenter!A949</f>
        <v/>
      </c>
      <c r="B949" t="str">
        <f>Segmenter!B949</f>
        <v/>
      </c>
      <c r="C949" t="str">
        <f t="shared" si="70"/>
        <v/>
      </c>
      <c r="D949" t="str">
        <f t="shared" si="71"/>
        <v/>
      </c>
      <c r="E949" t="str">
        <f t="shared" si="72"/>
        <v/>
      </c>
      <c r="F949" t="str">
        <f>IF(D949="","",INDEX(Knutepunkter!$B:$B,D949+1))</f>
        <v/>
      </c>
      <c r="G949" t="str">
        <f>IF(D949="","",INDEX(Knutepunkter!$C:$C,D949+1))</f>
        <v/>
      </c>
      <c r="H949" t="str">
        <f>IF(D949="","",INDEX(Knutepunkter!$D:$D,D949+1))</f>
        <v/>
      </c>
      <c r="I949" t="str">
        <f>IF(E949="","",INDEX(Knutepunkter!$B:$B,E949+1))</f>
        <v/>
      </c>
      <c r="J949" t="str">
        <f>IF(E949="","",INDEX(Knutepunkter!$C:$C,E949+1))</f>
        <v/>
      </c>
      <c r="K949" t="str">
        <f>IF(E949="","",INDEX(Knutepunkter!$D:$D,E949+1))</f>
        <v/>
      </c>
      <c r="L949" t="str">
        <f t="shared" si="73"/>
        <v/>
      </c>
      <c r="M949" t="str">
        <f t="shared" si="74"/>
        <v/>
      </c>
    </row>
    <row r="950" spans="1:13" x14ac:dyDescent="0.3">
      <c r="A950" t="str">
        <f>Segmenter!A950</f>
        <v/>
      </c>
      <c r="B950" t="str">
        <f>Segmenter!B950</f>
        <v/>
      </c>
      <c r="C950" t="str">
        <f t="shared" si="70"/>
        <v/>
      </c>
      <c r="D950" t="str">
        <f t="shared" si="71"/>
        <v/>
      </c>
      <c r="E950" t="str">
        <f t="shared" si="72"/>
        <v/>
      </c>
      <c r="F950" t="str">
        <f>IF(D950="","",INDEX(Knutepunkter!$B:$B,D950+1))</f>
        <v/>
      </c>
      <c r="G950" t="str">
        <f>IF(D950="","",INDEX(Knutepunkter!$C:$C,D950+1))</f>
        <v/>
      </c>
      <c r="H950" t="str">
        <f>IF(D950="","",INDEX(Knutepunkter!$D:$D,D950+1))</f>
        <v/>
      </c>
      <c r="I950" t="str">
        <f>IF(E950="","",INDEX(Knutepunkter!$B:$B,E950+1))</f>
        <v/>
      </c>
      <c r="J950" t="str">
        <f>IF(E950="","",INDEX(Knutepunkter!$C:$C,E950+1))</f>
        <v/>
      </c>
      <c r="K950" t="str">
        <f>IF(E950="","",INDEX(Knutepunkter!$D:$D,E950+1))</f>
        <v/>
      </c>
      <c r="L950" t="str">
        <f t="shared" si="73"/>
        <v/>
      </c>
      <c r="M950" t="str">
        <f t="shared" si="74"/>
        <v/>
      </c>
    </row>
    <row r="951" spans="1:13" x14ac:dyDescent="0.3">
      <c r="A951" t="str">
        <f>Segmenter!A951</f>
        <v/>
      </c>
      <c r="B951" t="str">
        <f>Segmenter!B951</f>
        <v/>
      </c>
      <c r="C951" t="str">
        <f t="shared" si="70"/>
        <v/>
      </c>
      <c r="D951" t="str">
        <f t="shared" si="71"/>
        <v/>
      </c>
      <c r="E951" t="str">
        <f t="shared" si="72"/>
        <v/>
      </c>
      <c r="F951" t="str">
        <f>IF(D951="","",INDEX(Knutepunkter!$B:$B,D951+1))</f>
        <v/>
      </c>
      <c r="G951" t="str">
        <f>IF(D951="","",INDEX(Knutepunkter!$C:$C,D951+1))</f>
        <v/>
      </c>
      <c r="H951" t="str">
        <f>IF(D951="","",INDEX(Knutepunkter!$D:$D,D951+1))</f>
        <v/>
      </c>
      <c r="I951" t="str">
        <f>IF(E951="","",INDEX(Knutepunkter!$B:$B,E951+1))</f>
        <v/>
      </c>
      <c r="J951" t="str">
        <f>IF(E951="","",INDEX(Knutepunkter!$C:$C,E951+1))</f>
        <v/>
      </c>
      <c r="K951" t="str">
        <f>IF(E951="","",INDEX(Knutepunkter!$D:$D,E951+1))</f>
        <v/>
      </c>
      <c r="L951" t="str">
        <f t="shared" si="73"/>
        <v/>
      </c>
      <c r="M951" t="str">
        <f t="shared" si="74"/>
        <v/>
      </c>
    </row>
    <row r="952" spans="1:13" x14ac:dyDescent="0.3">
      <c r="A952" t="str">
        <f>Segmenter!A952</f>
        <v/>
      </c>
      <c r="B952" t="str">
        <f>Segmenter!B952</f>
        <v/>
      </c>
      <c r="C952" t="str">
        <f t="shared" si="70"/>
        <v/>
      </c>
      <c r="D952" t="str">
        <f t="shared" si="71"/>
        <v/>
      </c>
      <c r="E952" t="str">
        <f t="shared" si="72"/>
        <v/>
      </c>
      <c r="F952" t="str">
        <f>IF(D952="","",INDEX(Knutepunkter!$B:$B,D952+1))</f>
        <v/>
      </c>
      <c r="G952" t="str">
        <f>IF(D952="","",INDEX(Knutepunkter!$C:$C,D952+1))</f>
        <v/>
      </c>
      <c r="H952" t="str">
        <f>IF(D952="","",INDEX(Knutepunkter!$D:$D,D952+1))</f>
        <v/>
      </c>
      <c r="I952" t="str">
        <f>IF(E952="","",INDEX(Knutepunkter!$B:$B,E952+1))</f>
        <v/>
      </c>
      <c r="J952" t="str">
        <f>IF(E952="","",INDEX(Knutepunkter!$C:$C,E952+1))</f>
        <v/>
      </c>
      <c r="K952" t="str">
        <f>IF(E952="","",INDEX(Knutepunkter!$D:$D,E952+1))</f>
        <v/>
      </c>
      <c r="L952" t="str">
        <f t="shared" si="73"/>
        <v/>
      </c>
      <c r="M952" t="str">
        <f t="shared" si="74"/>
        <v/>
      </c>
    </row>
    <row r="953" spans="1:13" x14ac:dyDescent="0.3">
      <c r="A953" t="str">
        <f>Segmenter!A953</f>
        <v/>
      </c>
      <c r="B953" t="str">
        <f>Segmenter!B953</f>
        <v/>
      </c>
      <c r="C953" t="str">
        <f t="shared" si="70"/>
        <v/>
      </c>
      <c r="D953" t="str">
        <f t="shared" si="71"/>
        <v/>
      </c>
      <c r="E953" t="str">
        <f t="shared" si="72"/>
        <v/>
      </c>
      <c r="F953" t="str">
        <f>IF(D953="","",INDEX(Knutepunkter!$B:$B,D953+1))</f>
        <v/>
      </c>
      <c r="G953" t="str">
        <f>IF(D953="","",INDEX(Knutepunkter!$C:$C,D953+1))</f>
        <v/>
      </c>
      <c r="H953" t="str">
        <f>IF(D953="","",INDEX(Knutepunkter!$D:$D,D953+1))</f>
        <v/>
      </c>
      <c r="I953" t="str">
        <f>IF(E953="","",INDEX(Knutepunkter!$B:$B,E953+1))</f>
        <v/>
      </c>
      <c r="J953" t="str">
        <f>IF(E953="","",INDEX(Knutepunkter!$C:$C,E953+1))</f>
        <v/>
      </c>
      <c r="K953" t="str">
        <f>IF(E953="","",INDEX(Knutepunkter!$D:$D,E953+1))</f>
        <v/>
      </c>
      <c r="L953" t="str">
        <f t="shared" si="73"/>
        <v/>
      </c>
      <c r="M953" t="str">
        <f t="shared" si="74"/>
        <v/>
      </c>
    </row>
    <row r="954" spans="1:13" x14ac:dyDescent="0.3">
      <c r="A954" t="str">
        <f>Segmenter!A954</f>
        <v/>
      </c>
      <c r="B954" t="str">
        <f>Segmenter!B954</f>
        <v/>
      </c>
      <c r="C954" t="str">
        <f t="shared" si="70"/>
        <v/>
      </c>
      <c r="D954" t="str">
        <f t="shared" si="71"/>
        <v/>
      </c>
      <c r="E954" t="str">
        <f t="shared" si="72"/>
        <v/>
      </c>
      <c r="F954" t="str">
        <f>IF(D954="","",INDEX(Knutepunkter!$B:$B,D954+1))</f>
        <v/>
      </c>
      <c r="G954" t="str">
        <f>IF(D954="","",INDEX(Knutepunkter!$C:$C,D954+1))</f>
        <v/>
      </c>
      <c r="H954" t="str">
        <f>IF(D954="","",INDEX(Knutepunkter!$D:$D,D954+1))</f>
        <v/>
      </c>
      <c r="I954" t="str">
        <f>IF(E954="","",INDEX(Knutepunkter!$B:$B,E954+1))</f>
        <v/>
      </c>
      <c r="J954" t="str">
        <f>IF(E954="","",INDEX(Knutepunkter!$C:$C,E954+1))</f>
        <v/>
      </c>
      <c r="K954" t="str">
        <f>IF(E954="","",INDEX(Knutepunkter!$D:$D,E954+1))</f>
        <v/>
      </c>
      <c r="L954" t="str">
        <f t="shared" si="73"/>
        <v/>
      </c>
      <c r="M954" t="str">
        <f t="shared" si="74"/>
        <v/>
      </c>
    </row>
    <row r="955" spans="1:13" x14ac:dyDescent="0.3">
      <c r="A955" t="str">
        <f>Segmenter!A955</f>
        <v/>
      </c>
      <c r="B955" t="str">
        <f>Segmenter!B955</f>
        <v/>
      </c>
      <c r="C955" t="str">
        <f t="shared" si="70"/>
        <v/>
      </c>
      <c r="D955" t="str">
        <f t="shared" si="71"/>
        <v/>
      </c>
      <c r="E955" t="str">
        <f t="shared" si="72"/>
        <v/>
      </c>
      <c r="F955" t="str">
        <f>IF(D955="","",INDEX(Knutepunkter!$B:$B,D955+1))</f>
        <v/>
      </c>
      <c r="G955" t="str">
        <f>IF(D955="","",INDEX(Knutepunkter!$C:$C,D955+1))</f>
        <v/>
      </c>
      <c r="H955" t="str">
        <f>IF(D955="","",INDEX(Knutepunkter!$D:$D,D955+1))</f>
        <v/>
      </c>
      <c r="I955" t="str">
        <f>IF(E955="","",INDEX(Knutepunkter!$B:$B,E955+1))</f>
        <v/>
      </c>
      <c r="J955" t="str">
        <f>IF(E955="","",INDEX(Knutepunkter!$C:$C,E955+1))</f>
        <v/>
      </c>
      <c r="K955" t="str">
        <f>IF(E955="","",INDEX(Knutepunkter!$D:$D,E955+1))</f>
        <v/>
      </c>
      <c r="L955" t="str">
        <f t="shared" si="73"/>
        <v/>
      </c>
      <c r="M955" t="str">
        <f t="shared" si="74"/>
        <v/>
      </c>
    </row>
    <row r="956" spans="1:13" x14ac:dyDescent="0.3">
      <c r="A956" t="str">
        <f>Segmenter!A956</f>
        <v/>
      </c>
      <c r="B956" t="str">
        <f>Segmenter!B956</f>
        <v/>
      </c>
      <c r="C956" t="str">
        <f t="shared" si="70"/>
        <v/>
      </c>
      <c r="D956" t="str">
        <f t="shared" si="71"/>
        <v/>
      </c>
      <c r="E956" t="str">
        <f t="shared" si="72"/>
        <v/>
      </c>
      <c r="F956" t="str">
        <f>IF(D956="","",INDEX(Knutepunkter!$B:$B,D956+1))</f>
        <v/>
      </c>
      <c r="G956" t="str">
        <f>IF(D956="","",INDEX(Knutepunkter!$C:$C,D956+1))</f>
        <v/>
      </c>
      <c r="H956" t="str">
        <f>IF(D956="","",INDEX(Knutepunkter!$D:$D,D956+1))</f>
        <v/>
      </c>
      <c r="I956" t="str">
        <f>IF(E956="","",INDEX(Knutepunkter!$B:$B,E956+1))</f>
        <v/>
      </c>
      <c r="J956" t="str">
        <f>IF(E956="","",INDEX(Knutepunkter!$C:$C,E956+1))</f>
        <v/>
      </c>
      <c r="K956" t="str">
        <f>IF(E956="","",INDEX(Knutepunkter!$D:$D,E956+1))</f>
        <v/>
      </c>
      <c r="L956" t="str">
        <f t="shared" si="73"/>
        <v/>
      </c>
      <c r="M956" t="str">
        <f t="shared" si="74"/>
        <v/>
      </c>
    </row>
    <row r="957" spans="1:13" x14ac:dyDescent="0.3">
      <c r="A957" t="str">
        <f>Segmenter!A957</f>
        <v/>
      </c>
      <c r="B957" t="str">
        <f>Segmenter!B957</f>
        <v/>
      </c>
      <c r="C957" t="str">
        <f t="shared" si="70"/>
        <v/>
      </c>
      <c r="D957" t="str">
        <f t="shared" si="71"/>
        <v/>
      </c>
      <c r="E957" t="str">
        <f t="shared" si="72"/>
        <v/>
      </c>
      <c r="F957" t="str">
        <f>IF(D957="","",INDEX(Knutepunkter!$B:$B,D957+1))</f>
        <v/>
      </c>
      <c r="G957" t="str">
        <f>IF(D957="","",INDEX(Knutepunkter!$C:$C,D957+1))</f>
        <v/>
      </c>
      <c r="H957" t="str">
        <f>IF(D957="","",INDEX(Knutepunkter!$D:$D,D957+1))</f>
        <v/>
      </c>
      <c r="I957" t="str">
        <f>IF(E957="","",INDEX(Knutepunkter!$B:$B,E957+1))</f>
        <v/>
      </c>
      <c r="J957" t="str">
        <f>IF(E957="","",INDEX(Knutepunkter!$C:$C,E957+1))</f>
        <v/>
      </c>
      <c r="K957" t="str">
        <f>IF(E957="","",INDEX(Knutepunkter!$D:$D,E957+1))</f>
        <v/>
      </c>
      <c r="L957" t="str">
        <f t="shared" si="73"/>
        <v/>
      </c>
      <c r="M957" t="str">
        <f t="shared" si="74"/>
        <v/>
      </c>
    </row>
    <row r="958" spans="1:13" x14ac:dyDescent="0.3">
      <c r="A958" t="str">
        <f>Segmenter!A958</f>
        <v/>
      </c>
      <c r="B958" t="str">
        <f>Segmenter!B958</f>
        <v/>
      </c>
      <c r="C958" t="str">
        <f t="shared" si="70"/>
        <v/>
      </c>
      <c r="D958" t="str">
        <f t="shared" si="71"/>
        <v/>
      </c>
      <c r="E958" t="str">
        <f t="shared" si="72"/>
        <v/>
      </c>
      <c r="F958" t="str">
        <f>IF(D958="","",INDEX(Knutepunkter!$B:$B,D958+1))</f>
        <v/>
      </c>
      <c r="G958" t="str">
        <f>IF(D958="","",INDEX(Knutepunkter!$C:$C,D958+1))</f>
        <v/>
      </c>
      <c r="H958" t="str">
        <f>IF(D958="","",INDEX(Knutepunkter!$D:$D,D958+1))</f>
        <v/>
      </c>
      <c r="I958" t="str">
        <f>IF(E958="","",INDEX(Knutepunkter!$B:$B,E958+1))</f>
        <v/>
      </c>
      <c r="J958" t="str">
        <f>IF(E958="","",INDEX(Knutepunkter!$C:$C,E958+1))</f>
        <v/>
      </c>
      <c r="K958" t="str">
        <f>IF(E958="","",INDEX(Knutepunkter!$D:$D,E958+1))</f>
        <v/>
      </c>
      <c r="L958" t="str">
        <f t="shared" si="73"/>
        <v/>
      </c>
      <c r="M958" t="str">
        <f t="shared" si="74"/>
        <v/>
      </c>
    </row>
    <row r="959" spans="1:13" x14ac:dyDescent="0.3">
      <c r="A959" t="str">
        <f>Segmenter!A959</f>
        <v/>
      </c>
      <c r="B959" t="str">
        <f>Segmenter!B959</f>
        <v/>
      </c>
      <c r="C959" t="str">
        <f t="shared" si="70"/>
        <v/>
      </c>
      <c r="D959" t="str">
        <f t="shared" si="71"/>
        <v/>
      </c>
      <c r="E959" t="str">
        <f t="shared" si="72"/>
        <v/>
      </c>
      <c r="F959" t="str">
        <f>IF(D959="","",INDEX(Knutepunkter!$B:$B,D959+1))</f>
        <v/>
      </c>
      <c r="G959" t="str">
        <f>IF(D959="","",INDEX(Knutepunkter!$C:$C,D959+1))</f>
        <v/>
      </c>
      <c r="H959" t="str">
        <f>IF(D959="","",INDEX(Knutepunkter!$D:$D,D959+1))</f>
        <v/>
      </c>
      <c r="I959" t="str">
        <f>IF(E959="","",INDEX(Knutepunkter!$B:$B,E959+1))</f>
        <v/>
      </c>
      <c r="J959" t="str">
        <f>IF(E959="","",INDEX(Knutepunkter!$C:$C,E959+1))</f>
        <v/>
      </c>
      <c r="K959" t="str">
        <f>IF(E959="","",INDEX(Knutepunkter!$D:$D,E959+1))</f>
        <v/>
      </c>
      <c r="L959" t="str">
        <f t="shared" si="73"/>
        <v/>
      </c>
      <c r="M959" t="str">
        <f t="shared" si="74"/>
        <v/>
      </c>
    </row>
    <row r="960" spans="1:13" x14ac:dyDescent="0.3">
      <c r="A960" t="str">
        <f>Segmenter!A960</f>
        <v/>
      </c>
      <c r="B960" t="str">
        <f>Segmenter!B960</f>
        <v/>
      </c>
      <c r="C960" t="str">
        <f t="shared" si="70"/>
        <v/>
      </c>
      <c r="D960" t="str">
        <f t="shared" si="71"/>
        <v/>
      </c>
      <c r="E960" t="str">
        <f t="shared" si="72"/>
        <v/>
      </c>
      <c r="F960" t="str">
        <f>IF(D960="","",INDEX(Knutepunkter!$B:$B,D960+1))</f>
        <v/>
      </c>
      <c r="G960" t="str">
        <f>IF(D960="","",INDEX(Knutepunkter!$C:$C,D960+1))</f>
        <v/>
      </c>
      <c r="H960" t="str">
        <f>IF(D960="","",INDEX(Knutepunkter!$D:$D,D960+1))</f>
        <v/>
      </c>
      <c r="I960" t="str">
        <f>IF(E960="","",INDEX(Knutepunkter!$B:$B,E960+1))</f>
        <v/>
      </c>
      <c r="J960" t="str">
        <f>IF(E960="","",INDEX(Knutepunkter!$C:$C,E960+1))</f>
        <v/>
      </c>
      <c r="K960" t="str">
        <f>IF(E960="","",INDEX(Knutepunkter!$D:$D,E960+1))</f>
        <v/>
      </c>
      <c r="L960" t="str">
        <f t="shared" si="73"/>
        <v/>
      </c>
      <c r="M960" t="str">
        <f t="shared" si="74"/>
        <v/>
      </c>
    </row>
    <row r="961" spans="1:13" x14ac:dyDescent="0.3">
      <c r="A961" t="str">
        <f>Segmenter!A961</f>
        <v/>
      </c>
      <c r="B961" t="str">
        <f>Segmenter!B961</f>
        <v/>
      </c>
      <c r="C961" t="str">
        <f t="shared" si="70"/>
        <v/>
      </c>
      <c r="D961" t="str">
        <f t="shared" si="71"/>
        <v/>
      </c>
      <c r="E961" t="str">
        <f t="shared" si="72"/>
        <v/>
      </c>
      <c r="F961" t="str">
        <f>IF(D961="","",INDEX(Knutepunkter!$B:$B,D961+1))</f>
        <v/>
      </c>
      <c r="G961" t="str">
        <f>IF(D961="","",INDEX(Knutepunkter!$C:$C,D961+1))</f>
        <v/>
      </c>
      <c r="H961" t="str">
        <f>IF(D961="","",INDEX(Knutepunkter!$D:$D,D961+1))</f>
        <v/>
      </c>
      <c r="I961" t="str">
        <f>IF(E961="","",INDEX(Knutepunkter!$B:$B,E961+1))</f>
        <v/>
      </c>
      <c r="J961" t="str">
        <f>IF(E961="","",INDEX(Knutepunkter!$C:$C,E961+1))</f>
        <v/>
      </c>
      <c r="K961" t="str">
        <f>IF(E961="","",INDEX(Knutepunkter!$D:$D,E961+1))</f>
        <v/>
      </c>
      <c r="L961" t="str">
        <f t="shared" si="73"/>
        <v/>
      </c>
      <c r="M961" t="str">
        <f t="shared" si="74"/>
        <v/>
      </c>
    </row>
    <row r="962" spans="1:13" x14ac:dyDescent="0.3">
      <c r="A962" t="str">
        <f>Segmenter!A962</f>
        <v/>
      </c>
      <c r="B962" t="str">
        <f>Segmenter!B962</f>
        <v/>
      </c>
      <c r="C962" t="str">
        <f t="shared" ref="C962:C1025" si="75">IF(B962="","",IF(AND(F962=I962,G962=J962,H962&lt;&gt;K962),"Søyle","Bjelke"))</f>
        <v/>
      </c>
      <c r="D962" t="str">
        <f t="shared" ref="D962:D1025" si="76">IF(B962="","",VALUE(LEFT(B962,FIND(" -&gt; ",B962)-1)))</f>
        <v/>
      </c>
      <c r="E962" t="str">
        <f t="shared" ref="E962:E1025" si="77">IF(B962="","",VALUE(MID(B962,FIND(" -&gt; ",B962)+4,99)))</f>
        <v/>
      </c>
      <c r="F962" t="str">
        <f>IF(D962="","",INDEX(Knutepunkter!$B:$B,D962+1))</f>
        <v/>
      </c>
      <c r="G962" t="str">
        <f>IF(D962="","",INDEX(Knutepunkter!$C:$C,D962+1))</f>
        <v/>
      </c>
      <c r="H962" t="str">
        <f>IF(D962="","",INDEX(Knutepunkter!$D:$D,D962+1))</f>
        <v/>
      </c>
      <c r="I962" t="str">
        <f>IF(E962="","",INDEX(Knutepunkter!$B:$B,E962+1))</f>
        <v/>
      </c>
      <c r="J962" t="str">
        <f>IF(E962="","",INDEX(Knutepunkter!$C:$C,E962+1))</f>
        <v/>
      </c>
      <c r="K962" t="str">
        <f>IF(E962="","",INDEX(Knutepunkter!$D:$D,E962+1))</f>
        <v/>
      </c>
      <c r="L962" t="str">
        <f t="shared" ref="L962:L1025" si="78">IF(B962="","",SQRT((I962-F962)^2+(J962-G962)^2+(K962-H962)^2))</f>
        <v/>
      </c>
      <c r="M962" t="str">
        <f t="shared" ref="M962:M1025" si="79">IF(L962="","",L962/1000)</f>
        <v/>
      </c>
    </row>
    <row r="963" spans="1:13" x14ac:dyDescent="0.3">
      <c r="A963" t="str">
        <f>Segmenter!A963</f>
        <v/>
      </c>
      <c r="B963" t="str">
        <f>Segmenter!B963</f>
        <v/>
      </c>
      <c r="C963" t="str">
        <f t="shared" si="75"/>
        <v/>
      </c>
      <c r="D963" t="str">
        <f t="shared" si="76"/>
        <v/>
      </c>
      <c r="E963" t="str">
        <f t="shared" si="77"/>
        <v/>
      </c>
      <c r="F963" t="str">
        <f>IF(D963="","",INDEX(Knutepunkter!$B:$B,D963+1))</f>
        <v/>
      </c>
      <c r="G963" t="str">
        <f>IF(D963="","",INDEX(Knutepunkter!$C:$C,D963+1))</f>
        <v/>
      </c>
      <c r="H963" t="str">
        <f>IF(D963="","",INDEX(Knutepunkter!$D:$D,D963+1))</f>
        <v/>
      </c>
      <c r="I963" t="str">
        <f>IF(E963="","",INDEX(Knutepunkter!$B:$B,E963+1))</f>
        <v/>
      </c>
      <c r="J963" t="str">
        <f>IF(E963="","",INDEX(Knutepunkter!$C:$C,E963+1))</f>
        <v/>
      </c>
      <c r="K963" t="str">
        <f>IF(E963="","",INDEX(Knutepunkter!$D:$D,E963+1))</f>
        <v/>
      </c>
      <c r="L963" t="str">
        <f t="shared" si="78"/>
        <v/>
      </c>
      <c r="M963" t="str">
        <f t="shared" si="79"/>
        <v/>
      </c>
    </row>
    <row r="964" spans="1:13" x14ac:dyDescent="0.3">
      <c r="A964" t="str">
        <f>Segmenter!A964</f>
        <v/>
      </c>
      <c r="B964" t="str">
        <f>Segmenter!B964</f>
        <v/>
      </c>
      <c r="C964" t="str">
        <f t="shared" si="75"/>
        <v/>
      </c>
      <c r="D964" t="str">
        <f t="shared" si="76"/>
        <v/>
      </c>
      <c r="E964" t="str">
        <f t="shared" si="77"/>
        <v/>
      </c>
      <c r="F964" t="str">
        <f>IF(D964="","",INDEX(Knutepunkter!$B:$B,D964+1))</f>
        <v/>
      </c>
      <c r="G964" t="str">
        <f>IF(D964="","",INDEX(Knutepunkter!$C:$C,D964+1))</f>
        <v/>
      </c>
      <c r="H964" t="str">
        <f>IF(D964="","",INDEX(Knutepunkter!$D:$D,D964+1))</f>
        <v/>
      </c>
      <c r="I964" t="str">
        <f>IF(E964="","",INDEX(Knutepunkter!$B:$B,E964+1))</f>
        <v/>
      </c>
      <c r="J964" t="str">
        <f>IF(E964="","",INDEX(Knutepunkter!$C:$C,E964+1))</f>
        <v/>
      </c>
      <c r="K964" t="str">
        <f>IF(E964="","",INDEX(Knutepunkter!$D:$D,E964+1))</f>
        <v/>
      </c>
      <c r="L964" t="str">
        <f t="shared" si="78"/>
        <v/>
      </c>
      <c r="M964" t="str">
        <f t="shared" si="79"/>
        <v/>
      </c>
    </row>
    <row r="965" spans="1:13" x14ac:dyDescent="0.3">
      <c r="A965" t="str">
        <f>Segmenter!A965</f>
        <v/>
      </c>
      <c r="B965" t="str">
        <f>Segmenter!B965</f>
        <v/>
      </c>
      <c r="C965" t="str">
        <f t="shared" si="75"/>
        <v/>
      </c>
      <c r="D965" t="str">
        <f t="shared" si="76"/>
        <v/>
      </c>
      <c r="E965" t="str">
        <f t="shared" si="77"/>
        <v/>
      </c>
      <c r="F965" t="str">
        <f>IF(D965="","",INDEX(Knutepunkter!$B:$B,D965+1))</f>
        <v/>
      </c>
      <c r="G965" t="str">
        <f>IF(D965="","",INDEX(Knutepunkter!$C:$C,D965+1))</f>
        <v/>
      </c>
      <c r="H965" t="str">
        <f>IF(D965="","",INDEX(Knutepunkter!$D:$D,D965+1))</f>
        <v/>
      </c>
      <c r="I965" t="str">
        <f>IF(E965="","",INDEX(Knutepunkter!$B:$B,E965+1))</f>
        <v/>
      </c>
      <c r="J965" t="str">
        <f>IF(E965="","",INDEX(Knutepunkter!$C:$C,E965+1))</f>
        <v/>
      </c>
      <c r="K965" t="str">
        <f>IF(E965="","",INDEX(Knutepunkter!$D:$D,E965+1))</f>
        <v/>
      </c>
      <c r="L965" t="str">
        <f t="shared" si="78"/>
        <v/>
      </c>
      <c r="M965" t="str">
        <f t="shared" si="79"/>
        <v/>
      </c>
    </row>
    <row r="966" spans="1:13" x14ac:dyDescent="0.3">
      <c r="A966" t="str">
        <f>Segmenter!A966</f>
        <v/>
      </c>
      <c r="B966" t="str">
        <f>Segmenter!B966</f>
        <v/>
      </c>
      <c r="C966" t="str">
        <f t="shared" si="75"/>
        <v/>
      </c>
      <c r="D966" t="str">
        <f t="shared" si="76"/>
        <v/>
      </c>
      <c r="E966" t="str">
        <f t="shared" si="77"/>
        <v/>
      </c>
      <c r="F966" t="str">
        <f>IF(D966="","",INDEX(Knutepunkter!$B:$B,D966+1))</f>
        <v/>
      </c>
      <c r="G966" t="str">
        <f>IF(D966="","",INDEX(Knutepunkter!$C:$C,D966+1))</f>
        <v/>
      </c>
      <c r="H966" t="str">
        <f>IF(D966="","",INDEX(Knutepunkter!$D:$D,D966+1))</f>
        <v/>
      </c>
      <c r="I966" t="str">
        <f>IF(E966="","",INDEX(Knutepunkter!$B:$B,E966+1))</f>
        <v/>
      </c>
      <c r="J966" t="str">
        <f>IF(E966="","",INDEX(Knutepunkter!$C:$C,E966+1))</f>
        <v/>
      </c>
      <c r="K966" t="str">
        <f>IF(E966="","",INDEX(Knutepunkter!$D:$D,E966+1))</f>
        <v/>
      </c>
      <c r="L966" t="str">
        <f t="shared" si="78"/>
        <v/>
      </c>
      <c r="M966" t="str">
        <f t="shared" si="79"/>
        <v/>
      </c>
    </row>
    <row r="967" spans="1:13" x14ac:dyDescent="0.3">
      <c r="A967" t="str">
        <f>Segmenter!A967</f>
        <v/>
      </c>
      <c r="B967" t="str">
        <f>Segmenter!B967</f>
        <v/>
      </c>
      <c r="C967" t="str">
        <f t="shared" si="75"/>
        <v/>
      </c>
      <c r="D967" t="str">
        <f t="shared" si="76"/>
        <v/>
      </c>
      <c r="E967" t="str">
        <f t="shared" si="77"/>
        <v/>
      </c>
      <c r="F967" t="str">
        <f>IF(D967="","",INDEX(Knutepunkter!$B:$B,D967+1))</f>
        <v/>
      </c>
      <c r="G967" t="str">
        <f>IF(D967="","",INDEX(Knutepunkter!$C:$C,D967+1))</f>
        <v/>
      </c>
      <c r="H967" t="str">
        <f>IF(D967="","",INDEX(Knutepunkter!$D:$D,D967+1))</f>
        <v/>
      </c>
      <c r="I967" t="str">
        <f>IF(E967="","",INDEX(Knutepunkter!$B:$B,E967+1))</f>
        <v/>
      </c>
      <c r="J967" t="str">
        <f>IF(E967="","",INDEX(Knutepunkter!$C:$C,E967+1))</f>
        <v/>
      </c>
      <c r="K967" t="str">
        <f>IF(E967="","",INDEX(Knutepunkter!$D:$D,E967+1))</f>
        <v/>
      </c>
      <c r="L967" t="str">
        <f t="shared" si="78"/>
        <v/>
      </c>
      <c r="M967" t="str">
        <f t="shared" si="79"/>
        <v/>
      </c>
    </row>
    <row r="968" spans="1:13" x14ac:dyDescent="0.3">
      <c r="A968" t="str">
        <f>Segmenter!A968</f>
        <v/>
      </c>
      <c r="B968" t="str">
        <f>Segmenter!B968</f>
        <v/>
      </c>
      <c r="C968" t="str">
        <f t="shared" si="75"/>
        <v/>
      </c>
      <c r="D968" t="str">
        <f t="shared" si="76"/>
        <v/>
      </c>
      <c r="E968" t="str">
        <f t="shared" si="77"/>
        <v/>
      </c>
      <c r="F968" t="str">
        <f>IF(D968="","",INDEX(Knutepunkter!$B:$B,D968+1))</f>
        <v/>
      </c>
      <c r="G968" t="str">
        <f>IF(D968="","",INDEX(Knutepunkter!$C:$C,D968+1))</f>
        <v/>
      </c>
      <c r="H968" t="str">
        <f>IF(D968="","",INDEX(Knutepunkter!$D:$D,D968+1))</f>
        <v/>
      </c>
      <c r="I968" t="str">
        <f>IF(E968="","",INDEX(Knutepunkter!$B:$B,E968+1))</f>
        <v/>
      </c>
      <c r="J968" t="str">
        <f>IF(E968="","",INDEX(Knutepunkter!$C:$C,E968+1))</f>
        <v/>
      </c>
      <c r="K968" t="str">
        <f>IF(E968="","",INDEX(Knutepunkter!$D:$D,E968+1))</f>
        <v/>
      </c>
      <c r="L968" t="str">
        <f t="shared" si="78"/>
        <v/>
      </c>
      <c r="M968" t="str">
        <f t="shared" si="79"/>
        <v/>
      </c>
    </row>
    <row r="969" spans="1:13" x14ac:dyDescent="0.3">
      <c r="A969" t="str">
        <f>Segmenter!A969</f>
        <v/>
      </c>
      <c r="B969" t="str">
        <f>Segmenter!B969</f>
        <v/>
      </c>
      <c r="C969" t="str">
        <f t="shared" si="75"/>
        <v/>
      </c>
      <c r="D969" t="str">
        <f t="shared" si="76"/>
        <v/>
      </c>
      <c r="E969" t="str">
        <f t="shared" si="77"/>
        <v/>
      </c>
      <c r="F969" t="str">
        <f>IF(D969="","",INDEX(Knutepunkter!$B:$B,D969+1))</f>
        <v/>
      </c>
      <c r="G969" t="str">
        <f>IF(D969="","",INDEX(Knutepunkter!$C:$C,D969+1))</f>
        <v/>
      </c>
      <c r="H969" t="str">
        <f>IF(D969="","",INDEX(Knutepunkter!$D:$D,D969+1))</f>
        <v/>
      </c>
      <c r="I969" t="str">
        <f>IF(E969="","",INDEX(Knutepunkter!$B:$B,E969+1))</f>
        <v/>
      </c>
      <c r="J969" t="str">
        <f>IF(E969="","",INDEX(Knutepunkter!$C:$C,E969+1))</f>
        <v/>
      </c>
      <c r="K969" t="str">
        <f>IF(E969="","",INDEX(Knutepunkter!$D:$D,E969+1))</f>
        <v/>
      </c>
      <c r="L969" t="str">
        <f t="shared" si="78"/>
        <v/>
      </c>
      <c r="M969" t="str">
        <f t="shared" si="79"/>
        <v/>
      </c>
    </row>
    <row r="970" spans="1:13" x14ac:dyDescent="0.3">
      <c r="A970" t="str">
        <f>Segmenter!A970</f>
        <v/>
      </c>
      <c r="B970" t="str">
        <f>Segmenter!B970</f>
        <v/>
      </c>
      <c r="C970" t="str">
        <f t="shared" si="75"/>
        <v/>
      </c>
      <c r="D970" t="str">
        <f t="shared" si="76"/>
        <v/>
      </c>
      <c r="E970" t="str">
        <f t="shared" si="77"/>
        <v/>
      </c>
      <c r="F970" t="str">
        <f>IF(D970="","",INDEX(Knutepunkter!$B:$B,D970+1))</f>
        <v/>
      </c>
      <c r="G970" t="str">
        <f>IF(D970="","",INDEX(Knutepunkter!$C:$C,D970+1))</f>
        <v/>
      </c>
      <c r="H970" t="str">
        <f>IF(D970="","",INDEX(Knutepunkter!$D:$D,D970+1))</f>
        <v/>
      </c>
      <c r="I970" t="str">
        <f>IF(E970="","",INDEX(Knutepunkter!$B:$B,E970+1))</f>
        <v/>
      </c>
      <c r="J970" t="str">
        <f>IF(E970="","",INDEX(Knutepunkter!$C:$C,E970+1))</f>
        <v/>
      </c>
      <c r="K970" t="str">
        <f>IF(E970="","",INDEX(Knutepunkter!$D:$D,E970+1))</f>
        <v/>
      </c>
      <c r="L970" t="str">
        <f t="shared" si="78"/>
        <v/>
      </c>
      <c r="M970" t="str">
        <f t="shared" si="79"/>
        <v/>
      </c>
    </row>
    <row r="971" spans="1:13" x14ac:dyDescent="0.3">
      <c r="A971" t="str">
        <f>Segmenter!A971</f>
        <v/>
      </c>
      <c r="B971" t="str">
        <f>Segmenter!B971</f>
        <v/>
      </c>
      <c r="C971" t="str">
        <f t="shared" si="75"/>
        <v/>
      </c>
      <c r="D971" t="str">
        <f t="shared" si="76"/>
        <v/>
      </c>
      <c r="E971" t="str">
        <f t="shared" si="77"/>
        <v/>
      </c>
      <c r="F971" t="str">
        <f>IF(D971="","",INDEX(Knutepunkter!$B:$B,D971+1))</f>
        <v/>
      </c>
      <c r="G971" t="str">
        <f>IF(D971="","",INDEX(Knutepunkter!$C:$C,D971+1))</f>
        <v/>
      </c>
      <c r="H971" t="str">
        <f>IF(D971="","",INDEX(Knutepunkter!$D:$D,D971+1))</f>
        <v/>
      </c>
      <c r="I971" t="str">
        <f>IF(E971="","",INDEX(Knutepunkter!$B:$B,E971+1))</f>
        <v/>
      </c>
      <c r="J971" t="str">
        <f>IF(E971="","",INDEX(Knutepunkter!$C:$C,E971+1))</f>
        <v/>
      </c>
      <c r="K971" t="str">
        <f>IF(E971="","",INDEX(Knutepunkter!$D:$D,E971+1))</f>
        <v/>
      </c>
      <c r="L971" t="str">
        <f t="shared" si="78"/>
        <v/>
      </c>
      <c r="M971" t="str">
        <f t="shared" si="79"/>
        <v/>
      </c>
    </row>
    <row r="972" spans="1:13" x14ac:dyDescent="0.3">
      <c r="A972" t="str">
        <f>Segmenter!A972</f>
        <v/>
      </c>
      <c r="B972" t="str">
        <f>Segmenter!B972</f>
        <v/>
      </c>
      <c r="C972" t="str">
        <f t="shared" si="75"/>
        <v/>
      </c>
      <c r="D972" t="str">
        <f t="shared" si="76"/>
        <v/>
      </c>
      <c r="E972" t="str">
        <f t="shared" si="77"/>
        <v/>
      </c>
      <c r="F972" t="str">
        <f>IF(D972="","",INDEX(Knutepunkter!$B:$B,D972+1))</f>
        <v/>
      </c>
      <c r="G972" t="str">
        <f>IF(D972="","",INDEX(Knutepunkter!$C:$C,D972+1))</f>
        <v/>
      </c>
      <c r="H972" t="str">
        <f>IF(D972="","",INDEX(Knutepunkter!$D:$D,D972+1))</f>
        <v/>
      </c>
      <c r="I972" t="str">
        <f>IF(E972="","",INDEX(Knutepunkter!$B:$B,E972+1))</f>
        <v/>
      </c>
      <c r="J972" t="str">
        <f>IF(E972="","",INDEX(Knutepunkter!$C:$C,E972+1))</f>
        <v/>
      </c>
      <c r="K972" t="str">
        <f>IF(E972="","",INDEX(Knutepunkter!$D:$D,E972+1))</f>
        <v/>
      </c>
      <c r="L972" t="str">
        <f t="shared" si="78"/>
        <v/>
      </c>
      <c r="M972" t="str">
        <f t="shared" si="79"/>
        <v/>
      </c>
    </row>
    <row r="973" spans="1:13" x14ac:dyDescent="0.3">
      <c r="A973" t="str">
        <f>Segmenter!A973</f>
        <v/>
      </c>
      <c r="B973" t="str">
        <f>Segmenter!B973</f>
        <v/>
      </c>
      <c r="C973" t="str">
        <f t="shared" si="75"/>
        <v/>
      </c>
      <c r="D973" t="str">
        <f t="shared" si="76"/>
        <v/>
      </c>
      <c r="E973" t="str">
        <f t="shared" si="77"/>
        <v/>
      </c>
      <c r="F973" t="str">
        <f>IF(D973="","",INDEX(Knutepunkter!$B:$B,D973+1))</f>
        <v/>
      </c>
      <c r="G973" t="str">
        <f>IF(D973="","",INDEX(Knutepunkter!$C:$C,D973+1))</f>
        <v/>
      </c>
      <c r="H973" t="str">
        <f>IF(D973="","",INDEX(Knutepunkter!$D:$D,D973+1))</f>
        <v/>
      </c>
      <c r="I973" t="str">
        <f>IF(E973="","",INDEX(Knutepunkter!$B:$B,E973+1))</f>
        <v/>
      </c>
      <c r="J973" t="str">
        <f>IF(E973="","",INDEX(Knutepunkter!$C:$C,E973+1))</f>
        <v/>
      </c>
      <c r="K973" t="str">
        <f>IF(E973="","",INDEX(Knutepunkter!$D:$D,E973+1))</f>
        <v/>
      </c>
      <c r="L973" t="str">
        <f t="shared" si="78"/>
        <v/>
      </c>
      <c r="M973" t="str">
        <f t="shared" si="79"/>
        <v/>
      </c>
    </row>
    <row r="974" spans="1:13" x14ac:dyDescent="0.3">
      <c r="A974" t="str">
        <f>Segmenter!A974</f>
        <v/>
      </c>
      <c r="B974" t="str">
        <f>Segmenter!B974</f>
        <v/>
      </c>
      <c r="C974" t="str">
        <f t="shared" si="75"/>
        <v/>
      </c>
      <c r="D974" t="str">
        <f t="shared" si="76"/>
        <v/>
      </c>
      <c r="E974" t="str">
        <f t="shared" si="77"/>
        <v/>
      </c>
      <c r="F974" t="str">
        <f>IF(D974="","",INDEX(Knutepunkter!$B:$B,D974+1))</f>
        <v/>
      </c>
      <c r="G974" t="str">
        <f>IF(D974="","",INDEX(Knutepunkter!$C:$C,D974+1))</f>
        <v/>
      </c>
      <c r="H974" t="str">
        <f>IF(D974="","",INDEX(Knutepunkter!$D:$D,D974+1))</f>
        <v/>
      </c>
      <c r="I974" t="str">
        <f>IF(E974="","",INDEX(Knutepunkter!$B:$B,E974+1))</f>
        <v/>
      </c>
      <c r="J974" t="str">
        <f>IF(E974="","",INDEX(Knutepunkter!$C:$C,E974+1))</f>
        <v/>
      </c>
      <c r="K974" t="str">
        <f>IF(E974="","",INDEX(Knutepunkter!$D:$D,E974+1))</f>
        <v/>
      </c>
      <c r="L974" t="str">
        <f t="shared" si="78"/>
        <v/>
      </c>
      <c r="M974" t="str">
        <f t="shared" si="79"/>
        <v/>
      </c>
    </row>
    <row r="975" spans="1:13" x14ac:dyDescent="0.3">
      <c r="A975" t="str">
        <f>Segmenter!A975</f>
        <v/>
      </c>
      <c r="B975" t="str">
        <f>Segmenter!B975</f>
        <v/>
      </c>
      <c r="C975" t="str">
        <f t="shared" si="75"/>
        <v/>
      </c>
      <c r="D975" t="str">
        <f t="shared" si="76"/>
        <v/>
      </c>
      <c r="E975" t="str">
        <f t="shared" si="77"/>
        <v/>
      </c>
      <c r="F975" t="str">
        <f>IF(D975="","",INDEX(Knutepunkter!$B:$B,D975+1))</f>
        <v/>
      </c>
      <c r="G975" t="str">
        <f>IF(D975="","",INDEX(Knutepunkter!$C:$C,D975+1))</f>
        <v/>
      </c>
      <c r="H975" t="str">
        <f>IF(D975="","",INDEX(Knutepunkter!$D:$D,D975+1))</f>
        <v/>
      </c>
      <c r="I975" t="str">
        <f>IF(E975="","",INDEX(Knutepunkter!$B:$B,E975+1))</f>
        <v/>
      </c>
      <c r="J975" t="str">
        <f>IF(E975="","",INDEX(Knutepunkter!$C:$C,E975+1))</f>
        <v/>
      </c>
      <c r="K975" t="str">
        <f>IF(E975="","",INDEX(Knutepunkter!$D:$D,E975+1))</f>
        <v/>
      </c>
      <c r="L975" t="str">
        <f t="shared" si="78"/>
        <v/>
      </c>
      <c r="M975" t="str">
        <f t="shared" si="79"/>
        <v/>
      </c>
    </row>
    <row r="976" spans="1:13" x14ac:dyDescent="0.3">
      <c r="A976" t="str">
        <f>Segmenter!A976</f>
        <v/>
      </c>
      <c r="B976" t="str">
        <f>Segmenter!B976</f>
        <v/>
      </c>
      <c r="C976" t="str">
        <f t="shared" si="75"/>
        <v/>
      </c>
      <c r="D976" t="str">
        <f t="shared" si="76"/>
        <v/>
      </c>
      <c r="E976" t="str">
        <f t="shared" si="77"/>
        <v/>
      </c>
      <c r="F976" t="str">
        <f>IF(D976="","",INDEX(Knutepunkter!$B:$B,D976+1))</f>
        <v/>
      </c>
      <c r="G976" t="str">
        <f>IF(D976="","",INDEX(Knutepunkter!$C:$C,D976+1))</f>
        <v/>
      </c>
      <c r="H976" t="str">
        <f>IF(D976="","",INDEX(Knutepunkter!$D:$D,D976+1))</f>
        <v/>
      </c>
      <c r="I976" t="str">
        <f>IF(E976="","",INDEX(Knutepunkter!$B:$B,E976+1))</f>
        <v/>
      </c>
      <c r="J976" t="str">
        <f>IF(E976="","",INDEX(Knutepunkter!$C:$C,E976+1))</f>
        <v/>
      </c>
      <c r="K976" t="str">
        <f>IF(E976="","",INDEX(Knutepunkter!$D:$D,E976+1))</f>
        <v/>
      </c>
      <c r="L976" t="str">
        <f t="shared" si="78"/>
        <v/>
      </c>
      <c r="M976" t="str">
        <f t="shared" si="79"/>
        <v/>
      </c>
    </row>
    <row r="977" spans="1:13" x14ac:dyDescent="0.3">
      <c r="A977" t="str">
        <f>Segmenter!A977</f>
        <v/>
      </c>
      <c r="B977" t="str">
        <f>Segmenter!B977</f>
        <v/>
      </c>
      <c r="C977" t="str">
        <f t="shared" si="75"/>
        <v/>
      </c>
      <c r="D977" t="str">
        <f t="shared" si="76"/>
        <v/>
      </c>
      <c r="E977" t="str">
        <f t="shared" si="77"/>
        <v/>
      </c>
      <c r="F977" t="str">
        <f>IF(D977="","",INDEX(Knutepunkter!$B:$B,D977+1))</f>
        <v/>
      </c>
      <c r="G977" t="str">
        <f>IF(D977="","",INDEX(Knutepunkter!$C:$C,D977+1))</f>
        <v/>
      </c>
      <c r="H977" t="str">
        <f>IF(D977="","",INDEX(Knutepunkter!$D:$D,D977+1))</f>
        <v/>
      </c>
      <c r="I977" t="str">
        <f>IF(E977="","",INDEX(Knutepunkter!$B:$B,E977+1))</f>
        <v/>
      </c>
      <c r="J977" t="str">
        <f>IF(E977="","",INDEX(Knutepunkter!$C:$C,E977+1))</f>
        <v/>
      </c>
      <c r="K977" t="str">
        <f>IF(E977="","",INDEX(Knutepunkter!$D:$D,E977+1))</f>
        <v/>
      </c>
      <c r="L977" t="str">
        <f t="shared" si="78"/>
        <v/>
      </c>
      <c r="M977" t="str">
        <f t="shared" si="79"/>
        <v/>
      </c>
    </row>
    <row r="978" spans="1:13" x14ac:dyDescent="0.3">
      <c r="A978" t="str">
        <f>Segmenter!A978</f>
        <v/>
      </c>
      <c r="B978" t="str">
        <f>Segmenter!B978</f>
        <v/>
      </c>
      <c r="C978" t="str">
        <f t="shared" si="75"/>
        <v/>
      </c>
      <c r="D978" t="str">
        <f t="shared" si="76"/>
        <v/>
      </c>
      <c r="E978" t="str">
        <f t="shared" si="77"/>
        <v/>
      </c>
      <c r="F978" t="str">
        <f>IF(D978="","",INDEX(Knutepunkter!$B:$B,D978+1))</f>
        <v/>
      </c>
      <c r="G978" t="str">
        <f>IF(D978="","",INDEX(Knutepunkter!$C:$C,D978+1))</f>
        <v/>
      </c>
      <c r="H978" t="str">
        <f>IF(D978="","",INDEX(Knutepunkter!$D:$D,D978+1))</f>
        <v/>
      </c>
      <c r="I978" t="str">
        <f>IF(E978="","",INDEX(Knutepunkter!$B:$B,E978+1))</f>
        <v/>
      </c>
      <c r="J978" t="str">
        <f>IF(E978="","",INDEX(Knutepunkter!$C:$C,E978+1))</f>
        <v/>
      </c>
      <c r="K978" t="str">
        <f>IF(E978="","",INDEX(Knutepunkter!$D:$D,E978+1))</f>
        <v/>
      </c>
      <c r="L978" t="str">
        <f t="shared" si="78"/>
        <v/>
      </c>
      <c r="M978" t="str">
        <f t="shared" si="79"/>
        <v/>
      </c>
    </row>
    <row r="979" spans="1:13" x14ac:dyDescent="0.3">
      <c r="A979" t="str">
        <f>Segmenter!A979</f>
        <v/>
      </c>
      <c r="B979" t="str">
        <f>Segmenter!B979</f>
        <v/>
      </c>
      <c r="C979" t="str">
        <f t="shared" si="75"/>
        <v/>
      </c>
      <c r="D979" t="str">
        <f t="shared" si="76"/>
        <v/>
      </c>
      <c r="E979" t="str">
        <f t="shared" si="77"/>
        <v/>
      </c>
      <c r="F979" t="str">
        <f>IF(D979="","",INDEX(Knutepunkter!$B:$B,D979+1))</f>
        <v/>
      </c>
      <c r="G979" t="str">
        <f>IF(D979="","",INDEX(Knutepunkter!$C:$C,D979+1))</f>
        <v/>
      </c>
      <c r="H979" t="str">
        <f>IF(D979="","",INDEX(Knutepunkter!$D:$D,D979+1))</f>
        <v/>
      </c>
      <c r="I979" t="str">
        <f>IF(E979="","",INDEX(Knutepunkter!$B:$B,E979+1))</f>
        <v/>
      </c>
      <c r="J979" t="str">
        <f>IF(E979="","",INDEX(Knutepunkter!$C:$C,E979+1))</f>
        <v/>
      </c>
      <c r="K979" t="str">
        <f>IF(E979="","",INDEX(Knutepunkter!$D:$D,E979+1))</f>
        <v/>
      </c>
      <c r="L979" t="str">
        <f t="shared" si="78"/>
        <v/>
      </c>
      <c r="M979" t="str">
        <f t="shared" si="79"/>
        <v/>
      </c>
    </row>
    <row r="980" spans="1:13" x14ac:dyDescent="0.3">
      <c r="A980" t="str">
        <f>Segmenter!A980</f>
        <v/>
      </c>
      <c r="B980" t="str">
        <f>Segmenter!B980</f>
        <v/>
      </c>
      <c r="C980" t="str">
        <f t="shared" si="75"/>
        <v/>
      </c>
      <c r="D980" t="str">
        <f t="shared" si="76"/>
        <v/>
      </c>
      <c r="E980" t="str">
        <f t="shared" si="77"/>
        <v/>
      </c>
      <c r="F980" t="str">
        <f>IF(D980="","",INDEX(Knutepunkter!$B:$B,D980+1))</f>
        <v/>
      </c>
      <c r="G980" t="str">
        <f>IF(D980="","",INDEX(Knutepunkter!$C:$C,D980+1))</f>
        <v/>
      </c>
      <c r="H980" t="str">
        <f>IF(D980="","",INDEX(Knutepunkter!$D:$D,D980+1))</f>
        <v/>
      </c>
      <c r="I980" t="str">
        <f>IF(E980="","",INDEX(Knutepunkter!$B:$B,E980+1))</f>
        <v/>
      </c>
      <c r="J980" t="str">
        <f>IF(E980="","",INDEX(Knutepunkter!$C:$C,E980+1))</f>
        <v/>
      </c>
      <c r="K980" t="str">
        <f>IF(E980="","",INDEX(Knutepunkter!$D:$D,E980+1))</f>
        <v/>
      </c>
      <c r="L980" t="str">
        <f t="shared" si="78"/>
        <v/>
      </c>
      <c r="M980" t="str">
        <f t="shared" si="79"/>
        <v/>
      </c>
    </row>
    <row r="981" spans="1:13" x14ac:dyDescent="0.3">
      <c r="A981" t="str">
        <f>Segmenter!A981</f>
        <v/>
      </c>
      <c r="B981" t="str">
        <f>Segmenter!B981</f>
        <v/>
      </c>
      <c r="C981" t="str">
        <f t="shared" si="75"/>
        <v/>
      </c>
      <c r="D981" t="str">
        <f t="shared" si="76"/>
        <v/>
      </c>
      <c r="E981" t="str">
        <f t="shared" si="77"/>
        <v/>
      </c>
      <c r="F981" t="str">
        <f>IF(D981="","",INDEX(Knutepunkter!$B:$B,D981+1))</f>
        <v/>
      </c>
      <c r="G981" t="str">
        <f>IF(D981="","",INDEX(Knutepunkter!$C:$C,D981+1))</f>
        <v/>
      </c>
      <c r="H981" t="str">
        <f>IF(D981="","",INDEX(Knutepunkter!$D:$D,D981+1))</f>
        <v/>
      </c>
      <c r="I981" t="str">
        <f>IF(E981="","",INDEX(Knutepunkter!$B:$B,E981+1))</f>
        <v/>
      </c>
      <c r="J981" t="str">
        <f>IF(E981="","",INDEX(Knutepunkter!$C:$C,E981+1))</f>
        <v/>
      </c>
      <c r="K981" t="str">
        <f>IF(E981="","",INDEX(Knutepunkter!$D:$D,E981+1))</f>
        <v/>
      </c>
      <c r="L981" t="str">
        <f t="shared" si="78"/>
        <v/>
      </c>
      <c r="M981" t="str">
        <f t="shared" si="79"/>
        <v/>
      </c>
    </row>
    <row r="982" spans="1:13" x14ac:dyDescent="0.3">
      <c r="A982" t="str">
        <f>Segmenter!A982</f>
        <v/>
      </c>
      <c r="B982" t="str">
        <f>Segmenter!B982</f>
        <v/>
      </c>
      <c r="C982" t="str">
        <f t="shared" si="75"/>
        <v/>
      </c>
      <c r="D982" t="str">
        <f t="shared" si="76"/>
        <v/>
      </c>
      <c r="E982" t="str">
        <f t="shared" si="77"/>
        <v/>
      </c>
      <c r="F982" t="str">
        <f>IF(D982="","",INDEX(Knutepunkter!$B:$B,D982+1))</f>
        <v/>
      </c>
      <c r="G982" t="str">
        <f>IF(D982="","",INDEX(Knutepunkter!$C:$C,D982+1))</f>
        <v/>
      </c>
      <c r="H982" t="str">
        <f>IF(D982="","",INDEX(Knutepunkter!$D:$D,D982+1))</f>
        <v/>
      </c>
      <c r="I982" t="str">
        <f>IF(E982="","",INDEX(Knutepunkter!$B:$B,E982+1))</f>
        <v/>
      </c>
      <c r="J982" t="str">
        <f>IF(E982="","",INDEX(Knutepunkter!$C:$C,E982+1))</f>
        <v/>
      </c>
      <c r="K982" t="str">
        <f>IF(E982="","",INDEX(Knutepunkter!$D:$D,E982+1))</f>
        <v/>
      </c>
      <c r="L982" t="str">
        <f t="shared" si="78"/>
        <v/>
      </c>
      <c r="M982" t="str">
        <f t="shared" si="79"/>
        <v/>
      </c>
    </row>
    <row r="983" spans="1:13" x14ac:dyDescent="0.3">
      <c r="A983" t="str">
        <f>Segmenter!A983</f>
        <v/>
      </c>
      <c r="B983" t="str">
        <f>Segmenter!B983</f>
        <v/>
      </c>
      <c r="C983" t="str">
        <f t="shared" si="75"/>
        <v/>
      </c>
      <c r="D983" t="str">
        <f t="shared" si="76"/>
        <v/>
      </c>
      <c r="E983" t="str">
        <f t="shared" si="77"/>
        <v/>
      </c>
      <c r="F983" t="str">
        <f>IF(D983="","",INDEX(Knutepunkter!$B:$B,D983+1))</f>
        <v/>
      </c>
      <c r="G983" t="str">
        <f>IF(D983="","",INDEX(Knutepunkter!$C:$C,D983+1))</f>
        <v/>
      </c>
      <c r="H983" t="str">
        <f>IF(D983="","",INDEX(Knutepunkter!$D:$D,D983+1))</f>
        <v/>
      </c>
      <c r="I983" t="str">
        <f>IF(E983="","",INDEX(Knutepunkter!$B:$B,E983+1))</f>
        <v/>
      </c>
      <c r="J983" t="str">
        <f>IF(E983="","",INDEX(Knutepunkter!$C:$C,E983+1))</f>
        <v/>
      </c>
      <c r="K983" t="str">
        <f>IF(E983="","",INDEX(Knutepunkter!$D:$D,E983+1))</f>
        <v/>
      </c>
      <c r="L983" t="str">
        <f t="shared" si="78"/>
        <v/>
      </c>
      <c r="M983" t="str">
        <f t="shared" si="79"/>
        <v/>
      </c>
    </row>
    <row r="984" spans="1:13" x14ac:dyDescent="0.3">
      <c r="A984" t="str">
        <f>Segmenter!A984</f>
        <v/>
      </c>
      <c r="B984" t="str">
        <f>Segmenter!B984</f>
        <v/>
      </c>
      <c r="C984" t="str">
        <f t="shared" si="75"/>
        <v/>
      </c>
      <c r="D984" t="str">
        <f t="shared" si="76"/>
        <v/>
      </c>
      <c r="E984" t="str">
        <f t="shared" si="77"/>
        <v/>
      </c>
      <c r="F984" t="str">
        <f>IF(D984="","",INDEX(Knutepunkter!$B:$B,D984+1))</f>
        <v/>
      </c>
      <c r="G984" t="str">
        <f>IF(D984="","",INDEX(Knutepunkter!$C:$C,D984+1))</f>
        <v/>
      </c>
      <c r="H984" t="str">
        <f>IF(D984="","",INDEX(Knutepunkter!$D:$D,D984+1))</f>
        <v/>
      </c>
      <c r="I984" t="str">
        <f>IF(E984="","",INDEX(Knutepunkter!$B:$B,E984+1))</f>
        <v/>
      </c>
      <c r="J984" t="str">
        <f>IF(E984="","",INDEX(Knutepunkter!$C:$C,E984+1))</f>
        <v/>
      </c>
      <c r="K984" t="str">
        <f>IF(E984="","",INDEX(Knutepunkter!$D:$D,E984+1))</f>
        <v/>
      </c>
      <c r="L984" t="str">
        <f t="shared" si="78"/>
        <v/>
      </c>
      <c r="M984" t="str">
        <f t="shared" si="79"/>
        <v/>
      </c>
    </row>
    <row r="985" spans="1:13" x14ac:dyDescent="0.3">
      <c r="A985" t="str">
        <f>Segmenter!A985</f>
        <v/>
      </c>
      <c r="B985" t="str">
        <f>Segmenter!B985</f>
        <v/>
      </c>
      <c r="C985" t="str">
        <f t="shared" si="75"/>
        <v/>
      </c>
      <c r="D985" t="str">
        <f t="shared" si="76"/>
        <v/>
      </c>
      <c r="E985" t="str">
        <f t="shared" si="77"/>
        <v/>
      </c>
      <c r="F985" t="str">
        <f>IF(D985="","",INDEX(Knutepunkter!$B:$B,D985+1))</f>
        <v/>
      </c>
      <c r="G985" t="str">
        <f>IF(D985="","",INDEX(Knutepunkter!$C:$C,D985+1))</f>
        <v/>
      </c>
      <c r="H985" t="str">
        <f>IF(D985="","",INDEX(Knutepunkter!$D:$D,D985+1))</f>
        <v/>
      </c>
      <c r="I985" t="str">
        <f>IF(E985="","",INDEX(Knutepunkter!$B:$B,E985+1))</f>
        <v/>
      </c>
      <c r="J985" t="str">
        <f>IF(E985="","",INDEX(Knutepunkter!$C:$C,E985+1))</f>
        <v/>
      </c>
      <c r="K985" t="str">
        <f>IF(E985="","",INDEX(Knutepunkter!$D:$D,E985+1))</f>
        <v/>
      </c>
      <c r="L985" t="str">
        <f t="shared" si="78"/>
        <v/>
      </c>
      <c r="M985" t="str">
        <f t="shared" si="79"/>
        <v/>
      </c>
    </row>
    <row r="986" spans="1:13" x14ac:dyDescent="0.3">
      <c r="A986" t="str">
        <f>Segmenter!A986</f>
        <v/>
      </c>
      <c r="B986" t="str">
        <f>Segmenter!B986</f>
        <v/>
      </c>
      <c r="C986" t="str">
        <f t="shared" si="75"/>
        <v/>
      </c>
      <c r="D986" t="str">
        <f t="shared" si="76"/>
        <v/>
      </c>
      <c r="E986" t="str">
        <f t="shared" si="77"/>
        <v/>
      </c>
      <c r="F986" t="str">
        <f>IF(D986="","",INDEX(Knutepunkter!$B:$B,D986+1))</f>
        <v/>
      </c>
      <c r="G986" t="str">
        <f>IF(D986="","",INDEX(Knutepunkter!$C:$C,D986+1))</f>
        <v/>
      </c>
      <c r="H986" t="str">
        <f>IF(D986="","",INDEX(Knutepunkter!$D:$D,D986+1))</f>
        <v/>
      </c>
      <c r="I986" t="str">
        <f>IF(E986="","",INDEX(Knutepunkter!$B:$B,E986+1))</f>
        <v/>
      </c>
      <c r="J986" t="str">
        <f>IF(E986="","",INDEX(Knutepunkter!$C:$C,E986+1))</f>
        <v/>
      </c>
      <c r="K986" t="str">
        <f>IF(E986="","",INDEX(Knutepunkter!$D:$D,E986+1))</f>
        <v/>
      </c>
      <c r="L986" t="str">
        <f t="shared" si="78"/>
        <v/>
      </c>
      <c r="M986" t="str">
        <f t="shared" si="79"/>
        <v/>
      </c>
    </row>
    <row r="987" spans="1:13" x14ac:dyDescent="0.3">
      <c r="A987" t="str">
        <f>Segmenter!A987</f>
        <v/>
      </c>
      <c r="B987" t="str">
        <f>Segmenter!B987</f>
        <v/>
      </c>
      <c r="C987" t="str">
        <f t="shared" si="75"/>
        <v/>
      </c>
      <c r="D987" t="str">
        <f t="shared" si="76"/>
        <v/>
      </c>
      <c r="E987" t="str">
        <f t="shared" si="77"/>
        <v/>
      </c>
      <c r="F987" t="str">
        <f>IF(D987="","",INDEX(Knutepunkter!$B:$B,D987+1))</f>
        <v/>
      </c>
      <c r="G987" t="str">
        <f>IF(D987="","",INDEX(Knutepunkter!$C:$C,D987+1))</f>
        <v/>
      </c>
      <c r="H987" t="str">
        <f>IF(D987="","",INDEX(Knutepunkter!$D:$D,D987+1))</f>
        <v/>
      </c>
      <c r="I987" t="str">
        <f>IF(E987="","",INDEX(Knutepunkter!$B:$B,E987+1))</f>
        <v/>
      </c>
      <c r="J987" t="str">
        <f>IF(E987="","",INDEX(Knutepunkter!$C:$C,E987+1))</f>
        <v/>
      </c>
      <c r="K987" t="str">
        <f>IF(E987="","",INDEX(Knutepunkter!$D:$D,E987+1))</f>
        <v/>
      </c>
      <c r="L987" t="str">
        <f t="shared" si="78"/>
        <v/>
      </c>
      <c r="M987" t="str">
        <f t="shared" si="79"/>
        <v/>
      </c>
    </row>
    <row r="988" spans="1:13" x14ac:dyDescent="0.3">
      <c r="A988" t="str">
        <f>Segmenter!A988</f>
        <v/>
      </c>
      <c r="B988" t="str">
        <f>Segmenter!B988</f>
        <v/>
      </c>
      <c r="C988" t="str">
        <f t="shared" si="75"/>
        <v/>
      </c>
      <c r="D988" t="str">
        <f t="shared" si="76"/>
        <v/>
      </c>
      <c r="E988" t="str">
        <f t="shared" si="77"/>
        <v/>
      </c>
      <c r="F988" t="str">
        <f>IF(D988="","",INDEX(Knutepunkter!$B:$B,D988+1))</f>
        <v/>
      </c>
      <c r="G988" t="str">
        <f>IF(D988="","",INDEX(Knutepunkter!$C:$C,D988+1))</f>
        <v/>
      </c>
      <c r="H988" t="str">
        <f>IF(D988="","",INDEX(Knutepunkter!$D:$D,D988+1))</f>
        <v/>
      </c>
      <c r="I988" t="str">
        <f>IF(E988="","",INDEX(Knutepunkter!$B:$B,E988+1))</f>
        <v/>
      </c>
      <c r="J988" t="str">
        <f>IF(E988="","",INDEX(Knutepunkter!$C:$C,E988+1))</f>
        <v/>
      </c>
      <c r="K988" t="str">
        <f>IF(E988="","",INDEX(Knutepunkter!$D:$D,E988+1))</f>
        <v/>
      </c>
      <c r="L988" t="str">
        <f t="shared" si="78"/>
        <v/>
      </c>
      <c r="M988" t="str">
        <f t="shared" si="79"/>
        <v/>
      </c>
    </row>
    <row r="989" spans="1:13" x14ac:dyDescent="0.3">
      <c r="A989" t="str">
        <f>Segmenter!A989</f>
        <v/>
      </c>
      <c r="B989" t="str">
        <f>Segmenter!B989</f>
        <v/>
      </c>
      <c r="C989" t="str">
        <f t="shared" si="75"/>
        <v/>
      </c>
      <c r="D989" t="str">
        <f t="shared" si="76"/>
        <v/>
      </c>
      <c r="E989" t="str">
        <f t="shared" si="77"/>
        <v/>
      </c>
      <c r="F989" t="str">
        <f>IF(D989="","",INDEX(Knutepunkter!$B:$B,D989+1))</f>
        <v/>
      </c>
      <c r="G989" t="str">
        <f>IF(D989="","",INDEX(Knutepunkter!$C:$C,D989+1))</f>
        <v/>
      </c>
      <c r="H989" t="str">
        <f>IF(D989="","",INDEX(Knutepunkter!$D:$D,D989+1))</f>
        <v/>
      </c>
      <c r="I989" t="str">
        <f>IF(E989="","",INDEX(Knutepunkter!$B:$B,E989+1))</f>
        <v/>
      </c>
      <c r="J989" t="str">
        <f>IF(E989="","",INDEX(Knutepunkter!$C:$C,E989+1))</f>
        <v/>
      </c>
      <c r="K989" t="str">
        <f>IF(E989="","",INDEX(Knutepunkter!$D:$D,E989+1))</f>
        <v/>
      </c>
      <c r="L989" t="str">
        <f t="shared" si="78"/>
        <v/>
      </c>
      <c r="M989" t="str">
        <f t="shared" si="79"/>
        <v/>
      </c>
    </row>
    <row r="990" spans="1:13" x14ac:dyDescent="0.3">
      <c r="A990" t="str">
        <f>Segmenter!A990</f>
        <v/>
      </c>
      <c r="B990" t="str">
        <f>Segmenter!B990</f>
        <v/>
      </c>
      <c r="C990" t="str">
        <f t="shared" si="75"/>
        <v/>
      </c>
      <c r="D990" t="str">
        <f t="shared" si="76"/>
        <v/>
      </c>
      <c r="E990" t="str">
        <f t="shared" si="77"/>
        <v/>
      </c>
      <c r="F990" t="str">
        <f>IF(D990="","",INDEX(Knutepunkter!$B:$B,D990+1))</f>
        <v/>
      </c>
      <c r="G990" t="str">
        <f>IF(D990="","",INDEX(Knutepunkter!$C:$C,D990+1))</f>
        <v/>
      </c>
      <c r="H990" t="str">
        <f>IF(D990="","",INDEX(Knutepunkter!$D:$D,D990+1))</f>
        <v/>
      </c>
      <c r="I990" t="str">
        <f>IF(E990="","",INDEX(Knutepunkter!$B:$B,E990+1))</f>
        <v/>
      </c>
      <c r="J990" t="str">
        <f>IF(E990="","",INDEX(Knutepunkter!$C:$C,E990+1))</f>
        <v/>
      </c>
      <c r="K990" t="str">
        <f>IF(E990="","",INDEX(Knutepunkter!$D:$D,E990+1))</f>
        <v/>
      </c>
      <c r="L990" t="str">
        <f t="shared" si="78"/>
        <v/>
      </c>
      <c r="M990" t="str">
        <f t="shared" si="79"/>
        <v/>
      </c>
    </row>
    <row r="991" spans="1:13" x14ac:dyDescent="0.3">
      <c r="A991" t="str">
        <f>Segmenter!A991</f>
        <v/>
      </c>
      <c r="B991" t="str">
        <f>Segmenter!B991</f>
        <v/>
      </c>
      <c r="C991" t="str">
        <f t="shared" si="75"/>
        <v/>
      </c>
      <c r="D991" t="str">
        <f t="shared" si="76"/>
        <v/>
      </c>
      <c r="E991" t="str">
        <f t="shared" si="77"/>
        <v/>
      </c>
      <c r="F991" t="str">
        <f>IF(D991="","",INDEX(Knutepunkter!$B:$B,D991+1))</f>
        <v/>
      </c>
      <c r="G991" t="str">
        <f>IF(D991="","",INDEX(Knutepunkter!$C:$C,D991+1))</f>
        <v/>
      </c>
      <c r="H991" t="str">
        <f>IF(D991="","",INDEX(Knutepunkter!$D:$D,D991+1))</f>
        <v/>
      </c>
      <c r="I991" t="str">
        <f>IF(E991="","",INDEX(Knutepunkter!$B:$B,E991+1))</f>
        <v/>
      </c>
      <c r="J991" t="str">
        <f>IF(E991="","",INDEX(Knutepunkter!$C:$C,E991+1))</f>
        <v/>
      </c>
      <c r="K991" t="str">
        <f>IF(E991="","",INDEX(Knutepunkter!$D:$D,E991+1))</f>
        <v/>
      </c>
      <c r="L991" t="str">
        <f t="shared" si="78"/>
        <v/>
      </c>
      <c r="M991" t="str">
        <f t="shared" si="79"/>
        <v/>
      </c>
    </row>
    <row r="992" spans="1:13" x14ac:dyDescent="0.3">
      <c r="A992" t="str">
        <f>Segmenter!A992</f>
        <v/>
      </c>
      <c r="B992" t="str">
        <f>Segmenter!B992</f>
        <v/>
      </c>
      <c r="C992" t="str">
        <f t="shared" si="75"/>
        <v/>
      </c>
      <c r="D992" t="str">
        <f t="shared" si="76"/>
        <v/>
      </c>
      <c r="E992" t="str">
        <f t="shared" si="77"/>
        <v/>
      </c>
      <c r="F992" t="str">
        <f>IF(D992="","",INDEX(Knutepunkter!$B:$B,D992+1))</f>
        <v/>
      </c>
      <c r="G992" t="str">
        <f>IF(D992="","",INDEX(Knutepunkter!$C:$C,D992+1))</f>
        <v/>
      </c>
      <c r="H992" t="str">
        <f>IF(D992="","",INDEX(Knutepunkter!$D:$D,D992+1))</f>
        <v/>
      </c>
      <c r="I992" t="str">
        <f>IF(E992="","",INDEX(Knutepunkter!$B:$B,E992+1))</f>
        <v/>
      </c>
      <c r="J992" t="str">
        <f>IF(E992="","",INDEX(Knutepunkter!$C:$C,E992+1))</f>
        <v/>
      </c>
      <c r="K992" t="str">
        <f>IF(E992="","",INDEX(Knutepunkter!$D:$D,E992+1))</f>
        <v/>
      </c>
      <c r="L992" t="str">
        <f t="shared" si="78"/>
        <v/>
      </c>
      <c r="M992" t="str">
        <f t="shared" si="79"/>
        <v/>
      </c>
    </row>
    <row r="993" spans="1:13" x14ac:dyDescent="0.3">
      <c r="A993" t="str">
        <f>Segmenter!A993</f>
        <v/>
      </c>
      <c r="B993" t="str">
        <f>Segmenter!B993</f>
        <v/>
      </c>
      <c r="C993" t="str">
        <f t="shared" si="75"/>
        <v/>
      </c>
      <c r="D993" t="str">
        <f t="shared" si="76"/>
        <v/>
      </c>
      <c r="E993" t="str">
        <f t="shared" si="77"/>
        <v/>
      </c>
      <c r="F993" t="str">
        <f>IF(D993="","",INDEX(Knutepunkter!$B:$B,D993+1))</f>
        <v/>
      </c>
      <c r="G993" t="str">
        <f>IF(D993="","",INDEX(Knutepunkter!$C:$C,D993+1))</f>
        <v/>
      </c>
      <c r="H993" t="str">
        <f>IF(D993="","",INDEX(Knutepunkter!$D:$D,D993+1))</f>
        <v/>
      </c>
      <c r="I993" t="str">
        <f>IF(E993="","",INDEX(Knutepunkter!$B:$B,E993+1))</f>
        <v/>
      </c>
      <c r="J993" t="str">
        <f>IF(E993="","",INDEX(Knutepunkter!$C:$C,E993+1))</f>
        <v/>
      </c>
      <c r="K993" t="str">
        <f>IF(E993="","",INDEX(Knutepunkter!$D:$D,E993+1))</f>
        <v/>
      </c>
      <c r="L993" t="str">
        <f t="shared" si="78"/>
        <v/>
      </c>
      <c r="M993" t="str">
        <f t="shared" si="79"/>
        <v/>
      </c>
    </row>
    <row r="994" spans="1:13" x14ac:dyDescent="0.3">
      <c r="A994" t="str">
        <f>Segmenter!A994</f>
        <v/>
      </c>
      <c r="B994" t="str">
        <f>Segmenter!B994</f>
        <v/>
      </c>
      <c r="C994" t="str">
        <f t="shared" si="75"/>
        <v/>
      </c>
      <c r="D994" t="str">
        <f t="shared" si="76"/>
        <v/>
      </c>
      <c r="E994" t="str">
        <f t="shared" si="77"/>
        <v/>
      </c>
      <c r="F994" t="str">
        <f>IF(D994="","",INDEX(Knutepunkter!$B:$B,D994+1))</f>
        <v/>
      </c>
      <c r="G994" t="str">
        <f>IF(D994="","",INDEX(Knutepunkter!$C:$C,D994+1))</f>
        <v/>
      </c>
      <c r="H994" t="str">
        <f>IF(D994="","",INDEX(Knutepunkter!$D:$D,D994+1))</f>
        <v/>
      </c>
      <c r="I994" t="str">
        <f>IF(E994="","",INDEX(Knutepunkter!$B:$B,E994+1))</f>
        <v/>
      </c>
      <c r="J994" t="str">
        <f>IF(E994="","",INDEX(Knutepunkter!$C:$C,E994+1))</f>
        <v/>
      </c>
      <c r="K994" t="str">
        <f>IF(E994="","",INDEX(Knutepunkter!$D:$D,E994+1))</f>
        <v/>
      </c>
      <c r="L994" t="str">
        <f t="shared" si="78"/>
        <v/>
      </c>
      <c r="M994" t="str">
        <f t="shared" si="79"/>
        <v/>
      </c>
    </row>
    <row r="995" spans="1:13" x14ac:dyDescent="0.3">
      <c r="A995" t="str">
        <f>Segmenter!A995</f>
        <v/>
      </c>
      <c r="B995" t="str">
        <f>Segmenter!B995</f>
        <v/>
      </c>
      <c r="C995" t="str">
        <f t="shared" si="75"/>
        <v/>
      </c>
      <c r="D995" t="str">
        <f t="shared" si="76"/>
        <v/>
      </c>
      <c r="E995" t="str">
        <f t="shared" si="77"/>
        <v/>
      </c>
      <c r="F995" t="str">
        <f>IF(D995="","",INDEX(Knutepunkter!$B:$B,D995+1))</f>
        <v/>
      </c>
      <c r="G995" t="str">
        <f>IF(D995="","",INDEX(Knutepunkter!$C:$C,D995+1))</f>
        <v/>
      </c>
      <c r="H995" t="str">
        <f>IF(D995="","",INDEX(Knutepunkter!$D:$D,D995+1))</f>
        <v/>
      </c>
      <c r="I995" t="str">
        <f>IF(E995="","",INDEX(Knutepunkter!$B:$B,E995+1))</f>
        <v/>
      </c>
      <c r="J995" t="str">
        <f>IF(E995="","",INDEX(Knutepunkter!$C:$C,E995+1))</f>
        <v/>
      </c>
      <c r="K995" t="str">
        <f>IF(E995="","",INDEX(Knutepunkter!$D:$D,E995+1))</f>
        <v/>
      </c>
      <c r="L995" t="str">
        <f t="shared" si="78"/>
        <v/>
      </c>
      <c r="M995" t="str">
        <f t="shared" si="79"/>
        <v/>
      </c>
    </row>
    <row r="996" spans="1:13" x14ac:dyDescent="0.3">
      <c r="A996" t="str">
        <f>Segmenter!A996</f>
        <v/>
      </c>
      <c r="B996" t="str">
        <f>Segmenter!B996</f>
        <v/>
      </c>
      <c r="C996" t="str">
        <f t="shared" si="75"/>
        <v/>
      </c>
      <c r="D996" t="str">
        <f t="shared" si="76"/>
        <v/>
      </c>
      <c r="E996" t="str">
        <f t="shared" si="77"/>
        <v/>
      </c>
      <c r="F996" t="str">
        <f>IF(D996="","",INDEX(Knutepunkter!$B:$B,D996+1))</f>
        <v/>
      </c>
      <c r="G996" t="str">
        <f>IF(D996="","",INDEX(Knutepunkter!$C:$C,D996+1))</f>
        <v/>
      </c>
      <c r="H996" t="str">
        <f>IF(D996="","",INDEX(Knutepunkter!$D:$D,D996+1))</f>
        <v/>
      </c>
      <c r="I996" t="str">
        <f>IF(E996="","",INDEX(Knutepunkter!$B:$B,E996+1))</f>
        <v/>
      </c>
      <c r="J996" t="str">
        <f>IF(E996="","",INDEX(Knutepunkter!$C:$C,E996+1))</f>
        <v/>
      </c>
      <c r="K996" t="str">
        <f>IF(E996="","",INDEX(Knutepunkter!$D:$D,E996+1))</f>
        <v/>
      </c>
      <c r="L996" t="str">
        <f t="shared" si="78"/>
        <v/>
      </c>
      <c r="M996" t="str">
        <f t="shared" si="79"/>
        <v/>
      </c>
    </row>
    <row r="997" spans="1:13" x14ac:dyDescent="0.3">
      <c r="A997" t="str">
        <f>Segmenter!A997</f>
        <v/>
      </c>
      <c r="B997" t="str">
        <f>Segmenter!B997</f>
        <v/>
      </c>
      <c r="C997" t="str">
        <f t="shared" si="75"/>
        <v/>
      </c>
      <c r="D997" t="str">
        <f t="shared" si="76"/>
        <v/>
      </c>
      <c r="E997" t="str">
        <f t="shared" si="77"/>
        <v/>
      </c>
      <c r="F997" t="str">
        <f>IF(D997="","",INDEX(Knutepunkter!$B:$B,D997+1))</f>
        <v/>
      </c>
      <c r="G997" t="str">
        <f>IF(D997="","",INDEX(Knutepunkter!$C:$C,D997+1))</f>
        <v/>
      </c>
      <c r="H997" t="str">
        <f>IF(D997="","",INDEX(Knutepunkter!$D:$D,D997+1))</f>
        <v/>
      </c>
      <c r="I997" t="str">
        <f>IF(E997="","",INDEX(Knutepunkter!$B:$B,E997+1))</f>
        <v/>
      </c>
      <c r="J997" t="str">
        <f>IF(E997="","",INDEX(Knutepunkter!$C:$C,E997+1))</f>
        <v/>
      </c>
      <c r="K997" t="str">
        <f>IF(E997="","",INDEX(Knutepunkter!$D:$D,E997+1))</f>
        <v/>
      </c>
      <c r="L997" t="str">
        <f t="shared" si="78"/>
        <v/>
      </c>
      <c r="M997" t="str">
        <f t="shared" si="79"/>
        <v/>
      </c>
    </row>
    <row r="998" spans="1:13" x14ac:dyDescent="0.3">
      <c r="A998" t="str">
        <f>Segmenter!A998</f>
        <v/>
      </c>
      <c r="B998" t="str">
        <f>Segmenter!B998</f>
        <v/>
      </c>
      <c r="C998" t="str">
        <f t="shared" si="75"/>
        <v/>
      </c>
      <c r="D998" t="str">
        <f t="shared" si="76"/>
        <v/>
      </c>
      <c r="E998" t="str">
        <f t="shared" si="77"/>
        <v/>
      </c>
      <c r="F998" t="str">
        <f>IF(D998="","",INDEX(Knutepunkter!$B:$B,D998+1))</f>
        <v/>
      </c>
      <c r="G998" t="str">
        <f>IF(D998="","",INDEX(Knutepunkter!$C:$C,D998+1))</f>
        <v/>
      </c>
      <c r="H998" t="str">
        <f>IF(D998="","",INDEX(Knutepunkter!$D:$D,D998+1))</f>
        <v/>
      </c>
      <c r="I998" t="str">
        <f>IF(E998="","",INDEX(Knutepunkter!$B:$B,E998+1))</f>
        <v/>
      </c>
      <c r="J998" t="str">
        <f>IF(E998="","",INDEX(Knutepunkter!$C:$C,E998+1))</f>
        <v/>
      </c>
      <c r="K998" t="str">
        <f>IF(E998="","",INDEX(Knutepunkter!$D:$D,E998+1))</f>
        <v/>
      </c>
      <c r="L998" t="str">
        <f t="shared" si="78"/>
        <v/>
      </c>
      <c r="M998" t="str">
        <f t="shared" si="79"/>
        <v/>
      </c>
    </row>
    <row r="999" spans="1:13" x14ac:dyDescent="0.3">
      <c r="A999" t="str">
        <f>Segmenter!A999</f>
        <v/>
      </c>
      <c r="B999" t="str">
        <f>Segmenter!B999</f>
        <v/>
      </c>
      <c r="C999" t="str">
        <f t="shared" si="75"/>
        <v/>
      </c>
      <c r="D999" t="str">
        <f t="shared" si="76"/>
        <v/>
      </c>
      <c r="E999" t="str">
        <f t="shared" si="77"/>
        <v/>
      </c>
      <c r="F999" t="str">
        <f>IF(D999="","",INDEX(Knutepunkter!$B:$B,D999+1))</f>
        <v/>
      </c>
      <c r="G999" t="str">
        <f>IF(D999="","",INDEX(Knutepunkter!$C:$C,D999+1))</f>
        <v/>
      </c>
      <c r="H999" t="str">
        <f>IF(D999="","",INDEX(Knutepunkter!$D:$D,D999+1))</f>
        <v/>
      </c>
      <c r="I999" t="str">
        <f>IF(E999="","",INDEX(Knutepunkter!$B:$B,E999+1))</f>
        <v/>
      </c>
      <c r="J999" t="str">
        <f>IF(E999="","",INDEX(Knutepunkter!$C:$C,E999+1))</f>
        <v/>
      </c>
      <c r="K999" t="str">
        <f>IF(E999="","",INDEX(Knutepunkter!$D:$D,E999+1))</f>
        <v/>
      </c>
      <c r="L999" t="str">
        <f t="shared" si="78"/>
        <v/>
      </c>
      <c r="M999" t="str">
        <f t="shared" si="79"/>
        <v/>
      </c>
    </row>
    <row r="1000" spans="1:13" x14ac:dyDescent="0.3">
      <c r="A1000" t="str">
        <f>Segmenter!A1000</f>
        <v/>
      </c>
      <c r="B1000" t="str">
        <f>Segmenter!B1000</f>
        <v/>
      </c>
      <c r="C1000" t="str">
        <f t="shared" si="75"/>
        <v/>
      </c>
      <c r="D1000" t="str">
        <f t="shared" si="76"/>
        <v/>
      </c>
      <c r="E1000" t="str">
        <f t="shared" si="77"/>
        <v/>
      </c>
      <c r="F1000" t="str">
        <f>IF(D1000="","",INDEX(Knutepunkter!$B:$B,D1000+1))</f>
        <v/>
      </c>
      <c r="G1000" t="str">
        <f>IF(D1000="","",INDEX(Knutepunkter!$C:$C,D1000+1))</f>
        <v/>
      </c>
      <c r="H1000" t="str">
        <f>IF(D1000="","",INDEX(Knutepunkter!$D:$D,D1000+1))</f>
        <v/>
      </c>
      <c r="I1000" t="str">
        <f>IF(E1000="","",INDEX(Knutepunkter!$B:$B,E1000+1))</f>
        <v/>
      </c>
      <c r="J1000" t="str">
        <f>IF(E1000="","",INDEX(Knutepunkter!$C:$C,E1000+1))</f>
        <v/>
      </c>
      <c r="K1000" t="str">
        <f>IF(E1000="","",INDEX(Knutepunkter!$D:$D,E1000+1))</f>
        <v/>
      </c>
      <c r="L1000" t="str">
        <f t="shared" si="78"/>
        <v/>
      </c>
      <c r="M1000" t="str">
        <f t="shared" si="79"/>
        <v/>
      </c>
    </row>
    <row r="1001" spans="1:13" x14ac:dyDescent="0.3">
      <c r="A1001" t="str">
        <f>Segmenter!A1001</f>
        <v/>
      </c>
      <c r="B1001" t="str">
        <f>Segmenter!B1001</f>
        <v/>
      </c>
      <c r="C1001" t="str">
        <f t="shared" si="75"/>
        <v/>
      </c>
      <c r="D1001" t="str">
        <f t="shared" si="76"/>
        <v/>
      </c>
      <c r="E1001" t="str">
        <f t="shared" si="77"/>
        <v/>
      </c>
      <c r="F1001" t="str">
        <f>IF(D1001="","",INDEX(Knutepunkter!$B:$B,D1001+1))</f>
        <v/>
      </c>
      <c r="G1001" t="str">
        <f>IF(D1001="","",INDEX(Knutepunkter!$C:$C,D1001+1))</f>
        <v/>
      </c>
      <c r="H1001" t="str">
        <f>IF(D1001="","",INDEX(Knutepunkter!$D:$D,D1001+1))</f>
        <v/>
      </c>
      <c r="I1001" t="str">
        <f>IF(E1001="","",INDEX(Knutepunkter!$B:$B,E1001+1))</f>
        <v/>
      </c>
      <c r="J1001" t="str">
        <f>IF(E1001="","",INDEX(Knutepunkter!$C:$C,E1001+1))</f>
        <v/>
      </c>
      <c r="K1001" t="str">
        <f>IF(E1001="","",INDEX(Knutepunkter!$D:$D,E1001+1))</f>
        <v/>
      </c>
      <c r="L1001" t="str">
        <f t="shared" si="78"/>
        <v/>
      </c>
      <c r="M1001" t="str">
        <f t="shared" si="79"/>
        <v/>
      </c>
    </row>
    <row r="1002" spans="1:13" x14ac:dyDescent="0.3">
      <c r="A1002" t="str">
        <f>Segmenter!A1002</f>
        <v/>
      </c>
      <c r="B1002" t="str">
        <f>Segmenter!B1002</f>
        <v/>
      </c>
      <c r="C1002" t="str">
        <f t="shared" si="75"/>
        <v/>
      </c>
      <c r="D1002" t="str">
        <f t="shared" si="76"/>
        <v/>
      </c>
      <c r="E1002" t="str">
        <f t="shared" si="77"/>
        <v/>
      </c>
      <c r="F1002" t="str">
        <f>IF(D1002="","",INDEX(Knutepunkter!$B:$B,D1002+1))</f>
        <v/>
      </c>
      <c r="G1002" t="str">
        <f>IF(D1002="","",INDEX(Knutepunkter!$C:$C,D1002+1))</f>
        <v/>
      </c>
      <c r="H1002" t="str">
        <f>IF(D1002="","",INDEX(Knutepunkter!$D:$D,D1002+1))</f>
        <v/>
      </c>
      <c r="I1002" t="str">
        <f>IF(E1002="","",INDEX(Knutepunkter!$B:$B,E1002+1))</f>
        <v/>
      </c>
      <c r="J1002" t="str">
        <f>IF(E1002="","",INDEX(Knutepunkter!$C:$C,E1002+1))</f>
        <v/>
      </c>
      <c r="K1002" t="str">
        <f>IF(E1002="","",INDEX(Knutepunkter!$D:$D,E1002+1))</f>
        <v/>
      </c>
      <c r="L1002" t="str">
        <f t="shared" si="78"/>
        <v/>
      </c>
      <c r="M1002" t="str">
        <f t="shared" si="79"/>
        <v/>
      </c>
    </row>
    <row r="1003" spans="1:13" x14ac:dyDescent="0.3">
      <c r="A1003" t="str">
        <f>Segmenter!A1003</f>
        <v/>
      </c>
      <c r="B1003" t="str">
        <f>Segmenter!B1003</f>
        <v/>
      </c>
      <c r="C1003" t="str">
        <f t="shared" si="75"/>
        <v/>
      </c>
      <c r="D1003" t="str">
        <f t="shared" si="76"/>
        <v/>
      </c>
      <c r="E1003" t="str">
        <f t="shared" si="77"/>
        <v/>
      </c>
      <c r="F1003" t="str">
        <f>IF(D1003="","",INDEX(Knutepunkter!$B:$B,D1003+1))</f>
        <v/>
      </c>
      <c r="G1003" t="str">
        <f>IF(D1003="","",INDEX(Knutepunkter!$C:$C,D1003+1))</f>
        <v/>
      </c>
      <c r="H1003" t="str">
        <f>IF(D1003="","",INDEX(Knutepunkter!$D:$D,D1003+1))</f>
        <v/>
      </c>
      <c r="I1003" t="str">
        <f>IF(E1003="","",INDEX(Knutepunkter!$B:$B,E1003+1))</f>
        <v/>
      </c>
      <c r="J1003" t="str">
        <f>IF(E1003="","",INDEX(Knutepunkter!$C:$C,E1003+1))</f>
        <v/>
      </c>
      <c r="K1003" t="str">
        <f>IF(E1003="","",INDEX(Knutepunkter!$D:$D,E1003+1))</f>
        <v/>
      </c>
      <c r="L1003" t="str">
        <f t="shared" si="78"/>
        <v/>
      </c>
      <c r="M1003" t="str">
        <f t="shared" si="79"/>
        <v/>
      </c>
    </row>
    <row r="1004" spans="1:13" x14ac:dyDescent="0.3">
      <c r="A1004" t="str">
        <f>Segmenter!A1004</f>
        <v/>
      </c>
      <c r="B1004" t="str">
        <f>Segmenter!B1004</f>
        <v/>
      </c>
      <c r="C1004" t="str">
        <f t="shared" si="75"/>
        <v/>
      </c>
      <c r="D1004" t="str">
        <f t="shared" si="76"/>
        <v/>
      </c>
      <c r="E1004" t="str">
        <f t="shared" si="77"/>
        <v/>
      </c>
      <c r="F1004" t="str">
        <f>IF(D1004="","",INDEX(Knutepunkter!$B:$B,D1004+1))</f>
        <v/>
      </c>
      <c r="G1004" t="str">
        <f>IF(D1004="","",INDEX(Knutepunkter!$C:$C,D1004+1))</f>
        <v/>
      </c>
      <c r="H1004" t="str">
        <f>IF(D1004="","",INDEX(Knutepunkter!$D:$D,D1004+1))</f>
        <v/>
      </c>
      <c r="I1004" t="str">
        <f>IF(E1004="","",INDEX(Knutepunkter!$B:$B,E1004+1))</f>
        <v/>
      </c>
      <c r="J1004" t="str">
        <f>IF(E1004="","",INDEX(Knutepunkter!$C:$C,E1004+1))</f>
        <v/>
      </c>
      <c r="K1004" t="str">
        <f>IF(E1004="","",INDEX(Knutepunkter!$D:$D,E1004+1))</f>
        <v/>
      </c>
      <c r="L1004" t="str">
        <f t="shared" si="78"/>
        <v/>
      </c>
      <c r="M1004" t="str">
        <f t="shared" si="79"/>
        <v/>
      </c>
    </row>
    <row r="1005" spans="1:13" x14ac:dyDescent="0.3">
      <c r="A1005" t="str">
        <f>Segmenter!A1005</f>
        <v/>
      </c>
      <c r="B1005" t="str">
        <f>Segmenter!B1005</f>
        <v/>
      </c>
      <c r="C1005" t="str">
        <f t="shared" si="75"/>
        <v/>
      </c>
      <c r="D1005" t="str">
        <f t="shared" si="76"/>
        <v/>
      </c>
      <c r="E1005" t="str">
        <f t="shared" si="77"/>
        <v/>
      </c>
      <c r="F1005" t="str">
        <f>IF(D1005="","",INDEX(Knutepunkter!$B:$B,D1005+1))</f>
        <v/>
      </c>
      <c r="G1005" t="str">
        <f>IF(D1005="","",INDEX(Knutepunkter!$C:$C,D1005+1))</f>
        <v/>
      </c>
      <c r="H1005" t="str">
        <f>IF(D1005="","",INDEX(Knutepunkter!$D:$D,D1005+1))</f>
        <v/>
      </c>
      <c r="I1005" t="str">
        <f>IF(E1005="","",INDEX(Knutepunkter!$B:$B,E1005+1))</f>
        <v/>
      </c>
      <c r="J1005" t="str">
        <f>IF(E1005="","",INDEX(Knutepunkter!$C:$C,E1005+1))</f>
        <v/>
      </c>
      <c r="K1005" t="str">
        <f>IF(E1005="","",INDEX(Knutepunkter!$D:$D,E1005+1))</f>
        <v/>
      </c>
      <c r="L1005" t="str">
        <f t="shared" si="78"/>
        <v/>
      </c>
      <c r="M1005" t="str">
        <f t="shared" si="79"/>
        <v/>
      </c>
    </row>
    <row r="1006" spans="1:13" x14ac:dyDescent="0.3">
      <c r="A1006" t="str">
        <f>Segmenter!A1006</f>
        <v/>
      </c>
      <c r="B1006" t="str">
        <f>Segmenter!B1006</f>
        <v/>
      </c>
      <c r="C1006" t="str">
        <f t="shared" si="75"/>
        <v/>
      </c>
      <c r="D1006" t="str">
        <f t="shared" si="76"/>
        <v/>
      </c>
      <c r="E1006" t="str">
        <f t="shared" si="77"/>
        <v/>
      </c>
      <c r="F1006" t="str">
        <f>IF(D1006="","",INDEX(Knutepunkter!$B:$B,D1006+1))</f>
        <v/>
      </c>
      <c r="G1006" t="str">
        <f>IF(D1006="","",INDEX(Knutepunkter!$C:$C,D1006+1))</f>
        <v/>
      </c>
      <c r="H1006" t="str">
        <f>IF(D1006="","",INDEX(Knutepunkter!$D:$D,D1006+1))</f>
        <v/>
      </c>
      <c r="I1006" t="str">
        <f>IF(E1006="","",INDEX(Knutepunkter!$B:$B,E1006+1))</f>
        <v/>
      </c>
      <c r="J1006" t="str">
        <f>IF(E1006="","",INDEX(Knutepunkter!$C:$C,E1006+1))</f>
        <v/>
      </c>
      <c r="K1006" t="str">
        <f>IF(E1006="","",INDEX(Knutepunkter!$D:$D,E1006+1))</f>
        <v/>
      </c>
      <c r="L1006" t="str">
        <f t="shared" si="78"/>
        <v/>
      </c>
      <c r="M1006" t="str">
        <f t="shared" si="79"/>
        <v/>
      </c>
    </row>
    <row r="1007" spans="1:13" x14ac:dyDescent="0.3">
      <c r="A1007" t="str">
        <f>Segmenter!A1007</f>
        <v/>
      </c>
      <c r="B1007" t="str">
        <f>Segmenter!B1007</f>
        <v/>
      </c>
      <c r="C1007" t="str">
        <f t="shared" si="75"/>
        <v/>
      </c>
      <c r="D1007" t="str">
        <f t="shared" si="76"/>
        <v/>
      </c>
      <c r="E1007" t="str">
        <f t="shared" si="77"/>
        <v/>
      </c>
      <c r="F1007" t="str">
        <f>IF(D1007="","",INDEX(Knutepunkter!$B:$B,D1007+1))</f>
        <v/>
      </c>
      <c r="G1007" t="str">
        <f>IF(D1007="","",INDEX(Knutepunkter!$C:$C,D1007+1))</f>
        <v/>
      </c>
      <c r="H1007" t="str">
        <f>IF(D1007="","",INDEX(Knutepunkter!$D:$D,D1007+1))</f>
        <v/>
      </c>
      <c r="I1007" t="str">
        <f>IF(E1007="","",INDEX(Knutepunkter!$B:$B,E1007+1))</f>
        <v/>
      </c>
      <c r="J1007" t="str">
        <f>IF(E1007="","",INDEX(Knutepunkter!$C:$C,E1007+1))</f>
        <v/>
      </c>
      <c r="K1007" t="str">
        <f>IF(E1007="","",INDEX(Knutepunkter!$D:$D,E1007+1))</f>
        <v/>
      </c>
      <c r="L1007" t="str">
        <f t="shared" si="78"/>
        <v/>
      </c>
      <c r="M1007" t="str">
        <f t="shared" si="79"/>
        <v/>
      </c>
    </row>
    <row r="1008" spans="1:13" x14ac:dyDescent="0.3">
      <c r="A1008" t="str">
        <f>Segmenter!A1008</f>
        <v/>
      </c>
      <c r="B1008" t="str">
        <f>Segmenter!B1008</f>
        <v/>
      </c>
      <c r="C1008" t="str">
        <f t="shared" si="75"/>
        <v/>
      </c>
      <c r="D1008" t="str">
        <f t="shared" si="76"/>
        <v/>
      </c>
      <c r="E1008" t="str">
        <f t="shared" si="77"/>
        <v/>
      </c>
      <c r="F1008" t="str">
        <f>IF(D1008="","",INDEX(Knutepunkter!$B:$B,D1008+1))</f>
        <v/>
      </c>
      <c r="G1008" t="str">
        <f>IF(D1008="","",INDEX(Knutepunkter!$C:$C,D1008+1))</f>
        <v/>
      </c>
      <c r="H1008" t="str">
        <f>IF(D1008="","",INDEX(Knutepunkter!$D:$D,D1008+1))</f>
        <v/>
      </c>
      <c r="I1008" t="str">
        <f>IF(E1008="","",INDEX(Knutepunkter!$B:$B,E1008+1))</f>
        <v/>
      </c>
      <c r="J1008" t="str">
        <f>IF(E1008="","",INDEX(Knutepunkter!$C:$C,E1008+1))</f>
        <v/>
      </c>
      <c r="K1008" t="str">
        <f>IF(E1008="","",INDEX(Knutepunkter!$D:$D,E1008+1))</f>
        <v/>
      </c>
      <c r="L1008" t="str">
        <f t="shared" si="78"/>
        <v/>
      </c>
      <c r="M1008" t="str">
        <f t="shared" si="79"/>
        <v/>
      </c>
    </row>
    <row r="1009" spans="1:13" x14ac:dyDescent="0.3">
      <c r="A1009" t="str">
        <f>Segmenter!A1009</f>
        <v/>
      </c>
      <c r="B1009" t="str">
        <f>Segmenter!B1009</f>
        <v/>
      </c>
      <c r="C1009" t="str">
        <f t="shared" si="75"/>
        <v/>
      </c>
      <c r="D1009" t="str">
        <f t="shared" si="76"/>
        <v/>
      </c>
      <c r="E1009" t="str">
        <f t="shared" si="77"/>
        <v/>
      </c>
      <c r="F1009" t="str">
        <f>IF(D1009="","",INDEX(Knutepunkter!$B:$B,D1009+1))</f>
        <v/>
      </c>
      <c r="G1009" t="str">
        <f>IF(D1009="","",INDEX(Knutepunkter!$C:$C,D1009+1))</f>
        <v/>
      </c>
      <c r="H1009" t="str">
        <f>IF(D1009="","",INDEX(Knutepunkter!$D:$D,D1009+1))</f>
        <v/>
      </c>
      <c r="I1009" t="str">
        <f>IF(E1009="","",INDEX(Knutepunkter!$B:$B,E1009+1))</f>
        <v/>
      </c>
      <c r="J1009" t="str">
        <f>IF(E1009="","",INDEX(Knutepunkter!$C:$C,E1009+1))</f>
        <v/>
      </c>
      <c r="K1009" t="str">
        <f>IF(E1009="","",INDEX(Knutepunkter!$D:$D,E1009+1))</f>
        <v/>
      </c>
      <c r="L1009" t="str">
        <f t="shared" si="78"/>
        <v/>
      </c>
      <c r="M1009" t="str">
        <f t="shared" si="79"/>
        <v/>
      </c>
    </row>
    <row r="1010" spans="1:13" x14ac:dyDescent="0.3">
      <c r="A1010" t="str">
        <f>Segmenter!A1010</f>
        <v/>
      </c>
      <c r="B1010" t="str">
        <f>Segmenter!B1010</f>
        <v/>
      </c>
      <c r="C1010" t="str">
        <f t="shared" si="75"/>
        <v/>
      </c>
      <c r="D1010" t="str">
        <f t="shared" si="76"/>
        <v/>
      </c>
      <c r="E1010" t="str">
        <f t="shared" si="77"/>
        <v/>
      </c>
      <c r="F1010" t="str">
        <f>IF(D1010="","",INDEX(Knutepunkter!$B:$B,D1010+1))</f>
        <v/>
      </c>
      <c r="G1010" t="str">
        <f>IF(D1010="","",INDEX(Knutepunkter!$C:$C,D1010+1))</f>
        <v/>
      </c>
      <c r="H1010" t="str">
        <f>IF(D1010="","",INDEX(Knutepunkter!$D:$D,D1010+1))</f>
        <v/>
      </c>
      <c r="I1010" t="str">
        <f>IF(E1010="","",INDEX(Knutepunkter!$B:$B,E1010+1))</f>
        <v/>
      </c>
      <c r="J1010" t="str">
        <f>IF(E1010="","",INDEX(Knutepunkter!$C:$C,E1010+1))</f>
        <v/>
      </c>
      <c r="K1010" t="str">
        <f>IF(E1010="","",INDEX(Knutepunkter!$D:$D,E1010+1))</f>
        <v/>
      </c>
      <c r="L1010" t="str">
        <f t="shared" si="78"/>
        <v/>
      </c>
      <c r="M1010" t="str">
        <f t="shared" si="79"/>
        <v/>
      </c>
    </row>
    <row r="1011" spans="1:13" x14ac:dyDescent="0.3">
      <c r="A1011" t="str">
        <f>Segmenter!A1011</f>
        <v/>
      </c>
      <c r="B1011" t="str">
        <f>Segmenter!B1011</f>
        <v/>
      </c>
      <c r="C1011" t="str">
        <f t="shared" si="75"/>
        <v/>
      </c>
      <c r="D1011" t="str">
        <f t="shared" si="76"/>
        <v/>
      </c>
      <c r="E1011" t="str">
        <f t="shared" si="77"/>
        <v/>
      </c>
      <c r="F1011" t="str">
        <f>IF(D1011="","",INDEX(Knutepunkter!$B:$B,D1011+1))</f>
        <v/>
      </c>
      <c r="G1011" t="str">
        <f>IF(D1011="","",INDEX(Knutepunkter!$C:$C,D1011+1))</f>
        <v/>
      </c>
      <c r="H1011" t="str">
        <f>IF(D1011="","",INDEX(Knutepunkter!$D:$D,D1011+1))</f>
        <v/>
      </c>
      <c r="I1011" t="str">
        <f>IF(E1011="","",INDEX(Knutepunkter!$B:$B,E1011+1))</f>
        <v/>
      </c>
      <c r="J1011" t="str">
        <f>IF(E1011="","",INDEX(Knutepunkter!$C:$C,E1011+1))</f>
        <v/>
      </c>
      <c r="K1011" t="str">
        <f>IF(E1011="","",INDEX(Knutepunkter!$D:$D,E1011+1))</f>
        <v/>
      </c>
      <c r="L1011" t="str">
        <f t="shared" si="78"/>
        <v/>
      </c>
      <c r="M1011" t="str">
        <f t="shared" si="79"/>
        <v/>
      </c>
    </row>
    <row r="1012" spans="1:13" x14ac:dyDescent="0.3">
      <c r="A1012" t="str">
        <f>Segmenter!A1012</f>
        <v/>
      </c>
      <c r="B1012" t="str">
        <f>Segmenter!B1012</f>
        <v/>
      </c>
      <c r="C1012" t="str">
        <f t="shared" si="75"/>
        <v/>
      </c>
      <c r="D1012" t="str">
        <f t="shared" si="76"/>
        <v/>
      </c>
      <c r="E1012" t="str">
        <f t="shared" si="77"/>
        <v/>
      </c>
      <c r="F1012" t="str">
        <f>IF(D1012="","",INDEX(Knutepunkter!$B:$B,D1012+1))</f>
        <v/>
      </c>
      <c r="G1012" t="str">
        <f>IF(D1012="","",INDEX(Knutepunkter!$C:$C,D1012+1))</f>
        <v/>
      </c>
      <c r="H1012" t="str">
        <f>IF(D1012="","",INDEX(Knutepunkter!$D:$D,D1012+1))</f>
        <v/>
      </c>
      <c r="I1012" t="str">
        <f>IF(E1012="","",INDEX(Knutepunkter!$B:$B,E1012+1))</f>
        <v/>
      </c>
      <c r="J1012" t="str">
        <f>IF(E1012="","",INDEX(Knutepunkter!$C:$C,E1012+1))</f>
        <v/>
      </c>
      <c r="K1012" t="str">
        <f>IF(E1012="","",INDEX(Knutepunkter!$D:$D,E1012+1))</f>
        <v/>
      </c>
      <c r="L1012" t="str">
        <f t="shared" si="78"/>
        <v/>
      </c>
      <c r="M1012" t="str">
        <f t="shared" si="79"/>
        <v/>
      </c>
    </row>
    <row r="1013" spans="1:13" x14ac:dyDescent="0.3">
      <c r="A1013" t="str">
        <f>Segmenter!A1013</f>
        <v/>
      </c>
      <c r="B1013" t="str">
        <f>Segmenter!B1013</f>
        <v/>
      </c>
      <c r="C1013" t="str">
        <f t="shared" si="75"/>
        <v/>
      </c>
      <c r="D1013" t="str">
        <f t="shared" si="76"/>
        <v/>
      </c>
      <c r="E1013" t="str">
        <f t="shared" si="77"/>
        <v/>
      </c>
      <c r="F1013" t="str">
        <f>IF(D1013="","",INDEX(Knutepunkter!$B:$B,D1013+1))</f>
        <v/>
      </c>
      <c r="G1013" t="str">
        <f>IF(D1013="","",INDEX(Knutepunkter!$C:$C,D1013+1))</f>
        <v/>
      </c>
      <c r="H1013" t="str">
        <f>IF(D1013="","",INDEX(Knutepunkter!$D:$D,D1013+1))</f>
        <v/>
      </c>
      <c r="I1013" t="str">
        <f>IF(E1013="","",INDEX(Knutepunkter!$B:$B,E1013+1))</f>
        <v/>
      </c>
      <c r="J1013" t="str">
        <f>IF(E1013="","",INDEX(Knutepunkter!$C:$C,E1013+1))</f>
        <v/>
      </c>
      <c r="K1013" t="str">
        <f>IF(E1013="","",INDEX(Knutepunkter!$D:$D,E1013+1))</f>
        <v/>
      </c>
      <c r="L1013" t="str">
        <f t="shared" si="78"/>
        <v/>
      </c>
      <c r="M1013" t="str">
        <f t="shared" si="79"/>
        <v/>
      </c>
    </row>
    <row r="1014" spans="1:13" x14ac:dyDescent="0.3">
      <c r="A1014" t="str">
        <f>Segmenter!A1014</f>
        <v/>
      </c>
      <c r="B1014" t="str">
        <f>Segmenter!B1014</f>
        <v/>
      </c>
      <c r="C1014" t="str">
        <f t="shared" si="75"/>
        <v/>
      </c>
      <c r="D1014" t="str">
        <f t="shared" si="76"/>
        <v/>
      </c>
      <c r="E1014" t="str">
        <f t="shared" si="77"/>
        <v/>
      </c>
      <c r="F1014" t="str">
        <f>IF(D1014="","",INDEX(Knutepunkter!$B:$B,D1014+1))</f>
        <v/>
      </c>
      <c r="G1014" t="str">
        <f>IF(D1014="","",INDEX(Knutepunkter!$C:$C,D1014+1))</f>
        <v/>
      </c>
      <c r="H1014" t="str">
        <f>IF(D1014="","",INDEX(Knutepunkter!$D:$D,D1014+1))</f>
        <v/>
      </c>
      <c r="I1014" t="str">
        <f>IF(E1014="","",INDEX(Knutepunkter!$B:$B,E1014+1))</f>
        <v/>
      </c>
      <c r="J1014" t="str">
        <f>IF(E1014="","",INDEX(Knutepunkter!$C:$C,E1014+1))</f>
        <v/>
      </c>
      <c r="K1014" t="str">
        <f>IF(E1014="","",INDEX(Knutepunkter!$D:$D,E1014+1))</f>
        <v/>
      </c>
      <c r="L1014" t="str">
        <f t="shared" si="78"/>
        <v/>
      </c>
      <c r="M1014" t="str">
        <f t="shared" si="79"/>
        <v/>
      </c>
    </row>
    <row r="1015" spans="1:13" x14ac:dyDescent="0.3">
      <c r="A1015" t="str">
        <f>Segmenter!A1015</f>
        <v/>
      </c>
      <c r="B1015" t="str">
        <f>Segmenter!B1015</f>
        <v/>
      </c>
      <c r="C1015" t="str">
        <f t="shared" si="75"/>
        <v/>
      </c>
      <c r="D1015" t="str">
        <f t="shared" si="76"/>
        <v/>
      </c>
      <c r="E1015" t="str">
        <f t="shared" si="77"/>
        <v/>
      </c>
      <c r="F1015" t="str">
        <f>IF(D1015="","",INDEX(Knutepunkter!$B:$B,D1015+1))</f>
        <v/>
      </c>
      <c r="G1015" t="str">
        <f>IF(D1015="","",INDEX(Knutepunkter!$C:$C,D1015+1))</f>
        <v/>
      </c>
      <c r="H1015" t="str">
        <f>IF(D1015="","",INDEX(Knutepunkter!$D:$D,D1015+1))</f>
        <v/>
      </c>
      <c r="I1015" t="str">
        <f>IF(E1015="","",INDEX(Knutepunkter!$B:$B,E1015+1))</f>
        <v/>
      </c>
      <c r="J1015" t="str">
        <f>IF(E1015="","",INDEX(Knutepunkter!$C:$C,E1015+1))</f>
        <v/>
      </c>
      <c r="K1015" t="str">
        <f>IF(E1015="","",INDEX(Knutepunkter!$D:$D,E1015+1))</f>
        <v/>
      </c>
      <c r="L1015" t="str">
        <f t="shared" si="78"/>
        <v/>
      </c>
      <c r="M1015" t="str">
        <f t="shared" si="79"/>
        <v/>
      </c>
    </row>
    <row r="1016" spans="1:13" x14ac:dyDescent="0.3">
      <c r="A1016" t="str">
        <f>Segmenter!A1016</f>
        <v/>
      </c>
      <c r="B1016" t="str">
        <f>Segmenter!B1016</f>
        <v/>
      </c>
      <c r="C1016" t="str">
        <f t="shared" si="75"/>
        <v/>
      </c>
      <c r="D1016" t="str">
        <f t="shared" si="76"/>
        <v/>
      </c>
      <c r="E1016" t="str">
        <f t="shared" si="77"/>
        <v/>
      </c>
      <c r="F1016" t="str">
        <f>IF(D1016="","",INDEX(Knutepunkter!$B:$B,D1016+1))</f>
        <v/>
      </c>
      <c r="G1016" t="str">
        <f>IF(D1016="","",INDEX(Knutepunkter!$C:$C,D1016+1))</f>
        <v/>
      </c>
      <c r="H1016" t="str">
        <f>IF(D1016="","",INDEX(Knutepunkter!$D:$D,D1016+1))</f>
        <v/>
      </c>
      <c r="I1016" t="str">
        <f>IF(E1016="","",INDEX(Knutepunkter!$B:$B,E1016+1))</f>
        <v/>
      </c>
      <c r="J1016" t="str">
        <f>IF(E1016="","",INDEX(Knutepunkter!$C:$C,E1016+1))</f>
        <v/>
      </c>
      <c r="K1016" t="str">
        <f>IF(E1016="","",INDEX(Knutepunkter!$D:$D,E1016+1))</f>
        <v/>
      </c>
      <c r="L1016" t="str">
        <f t="shared" si="78"/>
        <v/>
      </c>
      <c r="M1016" t="str">
        <f t="shared" si="79"/>
        <v/>
      </c>
    </row>
    <row r="1017" spans="1:13" x14ac:dyDescent="0.3">
      <c r="A1017" t="str">
        <f>Segmenter!A1017</f>
        <v/>
      </c>
      <c r="B1017" t="str">
        <f>Segmenter!B1017</f>
        <v/>
      </c>
      <c r="C1017" t="str">
        <f t="shared" si="75"/>
        <v/>
      </c>
      <c r="D1017" t="str">
        <f t="shared" si="76"/>
        <v/>
      </c>
      <c r="E1017" t="str">
        <f t="shared" si="77"/>
        <v/>
      </c>
      <c r="F1017" t="str">
        <f>IF(D1017="","",INDEX(Knutepunkter!$B:$B,D1017+1))</f>
        <v/>
      </c>
      <c r="G1017" t="str">
        <f>IF(D1017="","",INDEX(Knutepunkter!$C:$C,D1017+1))</f>
        <v/>
      </c>
      <c r="H1017" t="str">
        <f>IF(D1017="","",INDEX(Knutepunkter!$D:$D,D1017+1))</f>
        <v/>
      </c>
      <c r="I1017" t="str">
        <f>IF(E1017="","",INDEX(Knutepunkter!$B:$B,E1017+1))</f>
        <v/>
      </c>
      <c r="J1017" t="str">
        <f>IF(E1017="","",INDEX(Knutepunkter!$C:$C,E1017+1))</f>
        <v/>
      </c>
      <c r="K1017" t="str">
        <f>IF(E1017="","",INDEX(Knutepunkter!$D:$D,E1017+1))</f>
        <v/>
      </c>
      <c r="L1017" t="str">
        <f t="shared" si="78"/>
        <v/>
      </c>
      <c r="M1017" t="str">
        <f t="shared" si="79"/>
        <v/>
      </c>
    </row>
    <row r="1018" spans="1:13" x14ac:dyDescent="0.3">
      <c r="A1018" t="str">
        <f>Segmenter!A1018</f>
        <v/>
      </c>
      <c r="B1018" t="str">
        <f>Segmenter!B1018</f>
        <v/>
      </c>
      <c r="C1018" t="str">
        <f t="shared" si="75"/>
        <v/>
      </c>
      <c r="D1018" t="str">
        <f t="shared" si="76"/>
        <v/>
      </c>
      <c r="E1018" t="str">
        <f t="shared" si="77"/>
        <v/>
      </c>
      <c r="F1018" t="str">
        <f>IF(D1018="","",INDEX(Knutepunkter!$B:$B,D1018+1))</f>
        <v/>
      </c>
      <c r="G1018" t="str">
        <f>IF(D1018="","",INDEX(Knutepunkter!$C:$C,D1018+1))</f>
        <v/>
      </c>
      <c r="H1018" t="str">
        <f>IF(D1018="","",INDEX(Knutepunkter!$D:$D,D1018+1))</f>
        <v/>
      </c>
      <c r="I1018" t="str">
        <f>IF(E1018="","",INDEX(Knutepunkter!$B:$B,E1018+1))</f>
        <v/>
      </c>
      <c r="J1018" t="str">
        <f>IF(E1018="","",INDEX(Knutepunkter!$C:$C,E1018+1))</f>
        <v/>
      </c>
      <c r="K1018" t="str">
        <f>IF(E1018="","",INDEX(Knutepunkter!$D:$D,E1018+1))</f>
        <v/>
      </c>
      <c r="L1018" t="str">
        <f t="shared" si="78"/>
        <v/>
      </c>
      <c r="M1018" t="str">
        <f t="shared" si="79"/>
        <v/>
      </c>
    </row>
    <row r="1019" spans="1:13" x14ac:dyDescent="0.3">
      <c r="A1019" t="str">
        <f>Segmenter!A1019</f>
        <v/>
      </c>
      <c r="B1019" t="str">
        <f>Segmenter!B1019</f>
        <v/>
      </c>
      <c r="C1019" t="str">
        <f t="shared" si="75"/>
        <v/>
      </c>
      <c r="D1019" t="str">
        <f t="shared" si="76"/>
        <v/>
      </c>
      <c r="E1019" t="str">
        <f t="shared" si="77"/>
        <v/>
      </c>
      <c r="F1019" t="str">
        <f>IF(D1019="","",INDEX(Knutepunkter!$B:$B,D1019+1))</f>
        <v/>
      </c>
      <c r="G1019" t="str">
        <f>IF(D1019="","",INDEX(Knutepunkter!$C:$C,D1019+1))</f>
        <v/>
      </c>
      <c r="H1019" t="str">
        <f>IF(D1019="","",INDEX(Knutepunkter!$D:$D,D1019+1))</f>
        <v/>
      </c>
      <c r="I1019" t="str">
        <f>IF(E1019="","",INDEX(Knutepunkter!$B:$B,E1019+1))</f>
        <v/>
      </c>
      <c r="J1019" t="str">
        <f>IF(E1019="","",INDEX(Knutepunkter!$C:$C,E1019+1))</f>
        <v/>
      </c>
      <c r="K1019" t="str">
        <f>IF(E1019="","",INDEX(Knutepunkter!$D:$D,E1019+1))</f>
        <v/>
      </c>
      <c r="L1019" t="str">
        <f t="shared" si="78"/>
        <v/>
      </c>
      <c r="M1019" t="str">
        <f t="shared" si="79"/>
        <v/>
      </c>
    </row>
    <row r="1020" spans="1:13" x14ac:dyDescent="0.3">
      <c r="A1020" t="str">
        <f>Segmenter!A1020</f>
        <v/>
      </c>
      <c r="B1020" t="str">
        <f>Segmenter!B1020</f>
        <v/>
      </c>
      <c r="C1020" t="str">
        <f t="shared" si="75"/>
        <v/>
      </c>
      <c r="D1020" t="str">
        <f t="shared" si="76"/>
        <v/>
      </c>
      <c r="E1020" t="str">
        <f t="shared" si="77"/>
        <v/>
      </c>
      <c r="F1020" t="str">
        <f>IF(D1020="","",INDEX(Knutepunkter!$B:$B,D1020+1))</f>
        <v/>
      </c>
      <c r="G1020" t="str">
        <f>IF(D1020="","",INDEX(Knutepunkter!$C:$C,D1020+1))</f>
        <v/>
      </c>
      <c r="H1020" t="str">
        <f>IF(D1020="","",INDEX(Knutepunkter!$D:$D,D1020+1))</f>
        <v/>
      </c>
      <c r="I1020" t="str">
        <f>IF(E1020="","",INDEX(Knutepunkter!$B:$B,E1020+1))</f>
        <v/>
      </c>
      <c r="J1020" t="str">
        <f>IF(E1020="","",INDEX(Knutepunkter!$C:$C,E1020+1))</f>
        <v/>
      </c>
      <c r="K1020" t="str">
        <f>IF(E1020="","",INDEX(Knutepunkter!$D:$D,E1020+1))</f>
        <v/>
      </c>
      <c r="L1020" t="str">
        <f t="shared" si="78"/>
        <v/>
      </c>
      <c r="M1020" t="str">
        <f t="shared" si="79"/>
        <v/>
      </c>
    </row>
    <row r="1021" spans="1:13" x14ac:dyDescent="0.3">
      <c r="A1021" t="str">
        <f>Segmenter!A1021</f>
        <v/>
      </c>
      <c r="B1021" t="str">
        <f>Segmenter!B1021</f>
        <v/>
      </c>
      <c r="C1021" t="str">
        <f t="shared" si="75"/>
        <v/>
      </c>
      <c r="D1021" t="str">
        <f t="shared" si="76"/>
        <v/>
      </c>
      <c r="E1021" t="str">
        <f t="shared" si="77"/>
        <v/>
      </c>
      <c r="F1021" t="str">
        <f>IF(D1021="","",INDEX(Knutepunkter!$B:$B,D1021+1))</f>
        <v/>
      </c>
      <c r="G1021" t="str">
        <f>IF(D1021="","",INDEX(Knutepunkter!$C:$C,D1021+1))</f>
        <v/>
      </c>
      <c r="H1021" t="str">
        <f>IF(D1021="","",INDEX(Knutepunkter!$D:$D,D1021+1))</f>
        <v/>
      </c>
      <c r="I1021" t="str">
        <f>IF(E1021="","",INDEX(Knutepunkter!$B:$B,E1021+1))</f>
        <v/>
      </c>
      <c r="J1021" t="str">
        <f>IF(E1021="","",INDEX(Knutepunkter!$C:$C,E1021+1))</f>
        <v/>
      </c>
      <c r="K1021" t="str">
        <f>IF(E1021="","",INDEX(Knutepunkter!$D:$D,E1021+1))</f>
        <v/>
      </c>
      <c r="L1021" t="str">
        <f t="shared" si="78"/>
        <v/>
      </c>
      <c r="M1021" t="str">
        <f t="shared" si="79"/>
        <v/>
      </c>
    </row>
    <row r="1022" spans="1:13" x14ac:dyDescent="0.3">
      <c r="A1022" t="str">
        <f>Segmenter!A1022</f>
        <v/>
      </c>
      <c r="B1022" t="str">
        <f>Segmenter!B1022</f>
        <v/>
      </c>
      <c r="C1022" t="str">
        <f t="shared" si="75"/>
        <v/>
      </c>
      <c r="D1022" t="str">
        <f t="shared" si="76"/>
        <v/>
      </c>
      <c r="E1022" t="str">
        <f t="shared" si="77"/>
        <v/>
      </c>
      <c r="F1022" t="str">
        <f>IF(D1022="","",INDEX(Knutepunkter!$B:$B,D1022+1))</f>
        <v/>
      </c>
      <c r="G1022" t="str">
        <f>IF(D1022="","",INDEX(Knutepunkter!$C:$C,D1022+1))</f>
        <v/>
      </c>
      <c r="H1022" t="str">
        <f>IF(D1022="","",INDEX(Knutepunkter!$D:$D,D1022+1))</f>
        <v/>
      </c>
      <c r="I1022" t="str">
        <f>IF(E1022="","",INDEX(Knutepunkter!$B:$B,E1022+1))</f>
        <v/>
      </c>
      <c r="J1022" t="str">
        <f>IF(E1022="","",INDEX(Knutepunkter!$C:$C,E1022+1))</f>
        <v/>
      </c>
      <c r="K1022" t="str">
        <f>IF(E1022="","",INDEX(Knutepunkter!$D:$D,E1022+1))</f>
        <v/>
      </c>
      <c r="L1022" t="str">
        <f t="shared" si="78"/>
        <v/>
      </c>
      <c r="M1022" t="str">
        <f t="shared" si="79"/>
        <v/>
      </c>
    </row>
    <row r="1023" spans="1:13" x14ac:dyDescent="0.3">
      <c r="A1023" t="str">
        <f>Segmenter!A1023</f>
        <v/>
      </c>
      <c r="B1023" t="str">
        <f>Segmenter!B1023</f>
        <v/>
      </c>
      <c r="C1023" t="str">
        <f t="shared" si="75"/>
        <v/>
      </c>
      <c r="D1023" t="str">
        <f t="shared" si="76"/>
        <v/>
      </c>
      <c r="E1023" t="str">
        <f t="shared" si="77"/>
        <v/>
      </c>
      <c r="F1023" t="str">
        <f>IF(D1023="","",INDEX(Knutepunkter!$B:$B,D1023+1))</f>
        <v/>
      </c>
      <c r="G1023" t="str">
        <f>IF(D1023="","",INDEX(Knutepunkter!$C:$C,D1023+1))</f>
        <v/>
      </c>
      <c r="H1023" t="str">
        <f>IF(D1023="","",INDEX(Knutepunkter!$D:$D,D1023+1))</f>
        <v/>
      </c>
      <c r="I1023" t="str">
        <f>IF(E1023="","",INDEX(Knutepunkter!$B:$B,E1023+1))</f>
        <v/>
      </c>
      <c r="J1023" t="str">
        <f>IF(E1023="","",INDEX(Knutepunkter!$C:$C,E1023+1))</f>
        <v/>
      </c>
      <c r="K1023" t="str">
        <f>IF(E1023="","",INDEX(Knutepunkter!$D:$D,E1023+1))</f>
        <v/>
      </c>
      <c r="L1023" t="str">
        <f t="shared" si="78"/>
        <v/>
      </c>
      <c r="M1023" t="str">
        <f t="shared" si="79"/>
        <v/>
      </c>
    </row>
    <row r="1024" spans="1:13" x14ac:dyDescent="0.3">
      <c r="A1024" t="str">
        <f>Segmenter!A1024</f>
        <v/>
      </c>
      <c r="B1024" t="str">
        <f>Segmenter!B1024</f>
        <v/>
      </c>
      <c r="C1024" t="str">
        <f t="shared" si="75"/>
        <v/>
      </c>
      <c r="D1024" t="str">
        <f t="shared" si="76"/>
        <v/>
      </c>
      <c r="E1024" t="str">
        <f t="shared" si="77"/>
        <v/>
      </c>
      <c r="F1024" t="str">
        <f>IF(D1024="","",INDEX(Knutepunkter!$B:$B,D1024+1))</f>
        <v/>
      </c>
      <c r="G1024" t="str">
        <f>IF(D1024="","",INDEX(Knutepunkter!$C:$C,D1024+1))</f>
        <v/>
      </c>
      <c r="H1024" t="str">
        <f>IF(D1024="","",INDEX(Knutepunkter!$D:$D,D1024+1))</f>
        <v/>
      </c>
      <c r="I1024" t="str">
        <f>IF(E1024="","",INDEX(Knutepunkter!$B:$B,E1024+1))</f>
        <v/>
      </c>
      <c r="J1024" t="str">
        <f>IF(E1024="","",INDEX(Knutepunkter!$C:$C,E1024+1))</f>
        <v/>
      </c>
      <c r="K1024" t="str">
        <f>IF(E1024="","",INDEX(Knutepunkter!$D:$D,E1024+1))</f>
        <v/>
      </c>
      <c r="L1024" t="str">
        <f t="shared" si="78"/>
        <v/>
      </c>
      <c r="M1024" t="str">
        <f t="shared" si="79"/>
        <v/>
      </c>
    </row>
    <row r="1025" spans="1:13" x14ac:dyDescent="0.3">
      <c r="A1025" t="str">
        <f>Segmenter!A1025</f>
        <v/>
      </c>
      <c r="B1025" t="str">
        <f>Segmenter!B1025</f>
        <v/>
      </c>
      <c r="C1025" t="str">
        <f t="shared" si="75"/>
        <v/>
      </c>
      <c r="D1025" t="str">
        <f t="shared" si="76"/>
        <v/>
      </c>
      <c r="E1025" t="str">
        <f t="shared" si="77"/>
        <v/>
      </c>
      <c r="F1025" t="str">
        <f>IF(D1025="","",INDEX(Knutepunkter!$B:$B,D1025+1))</f>
        <v/>
      </c>
      <c r="G1025" t="str">
        <f>IF(D1025="","",INDEX(Knutepunkter!$C:$C,D1025+1))</f>
        <v/>
      </c>
      <c r="H1025" t="str">
        <f>IF(D1025="","",INDEX(Knutepunkter!$D:$D,D1025+1))</f>
        <v/>
      </c>
      <c r="I1025" t="str">
        <f>IF(E1025="","",INDEX(Knutepunkter!$B:$B,E1025+1))</f>
        <v/>
      </c>
      <c r="J1025" t="str">
        <f>IF(E1025="","",INDEX(Knutepunkter!$C:$C,E1025+1))</f>
        <v/>
      </c>
      <c r="K1025" t="str">
        <f>IF(E1025="","",INDEX(Knutepunkter!$D:$D,E1025+1))</f>
        <v/>
      </c>
      <c r="L1025" t="str">
        <f t="shared" si="78"/>
        <v/>
      </c>
      <c r="M1025" t="str">
        <f t="shared" si="79"/>
        <v/>
      </c>
    </row>
    <row r="1026" spans="1:13" x14ac:dyDescent="0.3">
      <c r="A1026" t="str">
        <f>Segmenter!A1026</f>
        <v/>
      </c>
      <c r="B1026" t="str">
        <f>Segmenter!B1026</f>
        <v/>
      </c>
      <c r="C1026" t="str">
        <f t="shared" ref="C1026:C1089" si="80">IF(B1026="","",IF(AND(F1026=I1026,G1026=J1026,H1026&lt;&gt;K1026),"Søyle","Bjelke"))</f>
        <v/>
      </c>
      <c r="D1026" t="str">
        <f t="shared" ref="D1026:D1089" si="81">IF(B1026="","",VALUE(LEFT(B1026,FIND(" -&gt; ",B1026)-1)))</f>
        <v/>
      </c>
      <c r="E1026" t="str">
        <f t="shared" ref="E1026:E1089" si="82">IF(B1026="","",VALUE(MID(B1026,FIND(" -&gt; ",B1026)+4,99)))</f>
        <v/>
      </c>
      <c r="F1026" t="str">
        <f>IF(D1026="","",INDEX(Knutepunkter!$B:$B,D1026+1))</f>
        <v/>
      </c>
      <c r="G1026" t="str">
        <f>IF(D1026="","",INDEX(Knutepunkter!$C:$C,D1026+1))</f>
        <v/>
      </c>
      <c r="H1026" t="str">
        <f>IF(D1026="","",INDEX(Knutepunkter!$D:$D,D1026+1))</f>
        <v/>
      </c>
      <c r="I1026" t="str">
        <f>IF(E1026="","",INDEX(Knutepunkter!$B:$B,E1026+1))</f>
        <v/>
      </c>
      <c r="J1026" t="str">
        <f>IF(E1026="","",INDEX(Knutepunkter!$C:$C,E1026+1))</f>
        <v/>
      </c>
      <c r="K1026" t="str">
        <f>IF(E1026="","",INDEX(Knutepunkter!$D:$D,E1026+1))</f>
        <v/>
      </c>
      <c r="L1026" t="str">
        <f t="shared" ref="L1026:L1089" si="83">IF(B1026="","",SQRT((I1026-F1026)^2+(J1026-G1026)^2+(K1026-H1026)^2))</f>
        <v/>
      </c>
      <c r="M1026" t="str">
        <f t="shared" ref="M1026:M1089" si="84">IF(L1026="","",L1026/1000)</f>
        <v/>
      </c>
    </row>
    <row r="1027" spans="1:13" x14ac:dyDescent="0.3">
      <c r="A1027" t="str">
        <f>Segmenter!A1027</f>
        <v/>
      </c>
      <c r="B1027" t="str">
        <f>Segmenter!B1027</f>
        <v/>
      </c>
      <c r="C1027" t="str">
        <f t="shared" si="80"/>
        <v/>
      </c>
      <c r="D1027" t="str">
        <f t="shared" si="81"/>
        <v/>
      </c>
      <c r="E1027" t="str">
        <f t="shared" si="82"/>
        <v/>
      </c>
      <c r="F1027" t="str">
        <f>IF(D1027="","",INDEX(Knutepunkter!$B:$B,D1027+1))</f>
        <v/>
      </c>
      <c r="G1027" t="str">
        <f>IF(D1027="","",INDEX(Knutepunkter!$C:$C,D1027+1))</f>
        <v/>
      </c>
      <c r="H1027" t="str">
        <f>IF(D1027="","",INDEX(Knutepunkter!$D:$D,D1027+1))</f>
        <v/>
      </c>
      <c r="I1027" t="str">
        <f>IF(E1027="","",INDEX(Knutepunkter!$B:$B,E1027+1))</f>
        <v/>
      </c>
      <c r="J1027" t="str">
        <f>IF(E1027="","",INDEX(Knutepunkter!$C:$C,E1027+1))</f>
        <v/>
      </c>
      <c r="K1027" t="str">
        <f>IF(E1027="","",INDEX(Knutepunkter!$D:$D,E1027+1))</f>
        <v/>
      </c>
      <c r="L1027" t="str">
        <f t="shared" si="83"/>
        <v/>
      </c>
      <c r="M1027" t="str">
        <f t="shared" si="84"/>
        <v/>
      </c>
    </row>
    <row r="1028" spans="1:13" x14ac:dyDescent="0.3">
      <c r="A1028" t="str">
        <f>Segmenter!A1028</f>
        <v/>
      </c>
      <c r="B1028" t="str">
        <f>Segmenter!B1028</f>
        <v/>
      </c>
      <c r="C1028" t="str">
        <f t="shared" si="80"/>
        <v/>
      </c>
      <c r="D1028" t="str">
        <f t="shared" si="81"/>
        <v/>
      </c>
      <c r="E1028" t="str">
        <f t="shared" si="82"/>
        <v/>
      </c>
      <c r="F1028" t="str">
        <f>IF(D1028="","",INDEX(Knutepunkter!$B:$B,D1028+1))</f>
        <v/>
      </c>
      <c r="G1028" t="str">
        <f>IF(D1028="","",INDEX(Knutepunkter!$C:$C,D1028+1))</f>
        <v/>
      </c>
      <c r="H1028" t="str">
        <f>IF(D1028="","",INDEX(Knutepunkter!$D:$D,D1028+1))</f>
        <v/>
      </c>
      <c r="I1028" t="str">
        <f>IF(E1028="","",INDEX(Knutepunkter!$B:$B,E1028+1))</f>
        <v/>
      </c>
      <c r="J1028" t="str">
        <f>IF(E1028="","",INDEX(Knutepunkter!$C:$C,E1028+1))</f>
        <v/>
      </c>
      <c r="K1028" t="str">
        <f>IF(E1028="","",INDEX(Knutepunkter!$D:$D,E1028+1))</f>
        <v/>
      </c>
      <c r="L1028" t="str">
        <f t="shared" si="83"/>
        <v/>
      </c>
      <c r="M1028" t="str">
        <f t="shared" si="84"/>
        <v/>
      </c>
    </row>
    <row r="1029" spans="1:13" x14ac:dyDescent="0.3">
      <c r="A1029" t="str">
        <f>Segmenter!A1029</f>
        <v/>
      </c>
      <c r="B1029" t="str">
        <f>Segmenter!B1029</f>
        <v/>
      </c>
      <c r="C1029" t="str">
        <f t="shared" si="80"/>
        <v/>
      </c>
      <c r="D1029" t="str">
        <f t="shared" si="81"/>
        <v/>
      </c>
      <c r="E1029" t="str">
        <f t="shared" si="82"/>
        <v/>
      </c>
      <c r="F1029" t="str">
        <f>IF(D1029="","",INDEX(Knutepunkter!$B:$B,D1029+1))</f>
        <v/>
      </c>
      <c r="G1029" t="str">
        <f>IF(D1029="","",INDEX(Knutepunkter!$C:$C,D1029+1))</f>
        <v/>
      </c>
      <c r="H1029" t="str">
        <f>IF(D1029="","",INDEX(Knutepunkter!$D:$D,D1029+1))</f>
        <v/>
      </c>
      <c r="I1029" t="str">
        <f>IF(E1029="","",INDEX(Knutepunkter!$B:$B,E1029+1))</f>
        <v/>
      </c>
      <c r="J1029" t="str">
        <f>IF(E1029="","",INDEX(Knutepunkter!$C:$C,E1029+1))</f>
        <v/>
      </c>
      <c r="K1029" t="str">
        <f>IF(E1029="","",INDEX(Knutepunkter!$D:$D,E1029+1))</f>
        <v/>
      </c>
      <c r="L1029" t="str">
        <f t="shared" si="83"/>
        <v/>
      </c>
      <c r="M1029" t="str">
        <f t="shared" si="84"/>
        <v/>
      </c>
    </row>
    <row r="1030" spans="1:13" x14ac:dyDescent="0.3">
      <c r="A1030" t="str">
        <f>Segmenter!A1030</f>
        <v/>
      </c>
      <c r="B1030" t="str">
        <f>Segmenter!B1030</f>
        <v/>
      </c>
      <c r="C1030" t="str">
        <f t="shared" si="80"/>
        <v/>
      </c>
      <c r="D1030" t="str">
        <f t="shared" si="81"/>
        <v/>
      </c>
      <c r="E1030" t="str">
        <f t="shared" si="82"/>
        <v/>
      </c>
      <c r="F1030" t="str">
        <f>IF(D1030="","",INDEX(Knutepunkter!$B:$B,D1030+1))</f>
        <v/>
      </c>
      <c r="G1030" t="str">
        <f>IF(D1030="","",INDEX(Knutepunkter!$C:$C,D1030+1))</f>
        <v/>
      </c>
      <c r="H1030" t="str">
        <f>IF(D1030="","",INDEX(Knutepunkter!$D:$D,D1030+1))</f>
        <v/>
      </c>
      <c r="I1030" t="str">
        <f>IF(E1030="","",INDEX(Knutepunkter!$B:$B,E1030+1))</f>
        <v/>
      </c>
      <c r="J1030" t="str">
        <f>IF(E1030="","",INDEX(Knutepunkter!$C:$C,E1030+1))</f>
        <v/>
      </c>
      <c r="K1030" t="str">
        <f>IF(E1030="","",INDEX(Knutepunkter!$D:$D,E1030+1))</f>
        <v/>
      </c>
      <c r="L1030" t="str">
        <f t="shared" si="83"/>
        <v/>
      </c>
      <c r="M1030" t="str">
        <f t="shared" si="84"/>
        <v/>
      </c>
    </row>
    <row r="1031" spans="1:13" x14ac:dyDescent="0.3">
      <c r="A1031" t="str">
        <f>Segmenter!A1031</f>
        <v/>
      </c>
      <c r="B1031" t="str">
        <f>Segmenter!B1031</f>
        <v/>
      </c>
      <c r="C1031" t="str">
        <f t="shared" si="80"/>
        <v/>
      </c>
      <c r="D1031" t="str">
        <f t="shared" si="81"/>
        <v/>
      </c>
      <c r="E1031" t="str">
        <f t="shared" si="82"/>
        <v/>
      </c>
      <c r="F1031" t="str">
        <f>IF(D1031="","",INDEX(Knutepunkter!$B:$B,D1031+1))</f>
        <v/>
      </c>
      <c r="G1031" t="str">
        <f>IF(D1031="","",INDEX(Knutepunkter!$C:$C,D1031+1))</f>
        <v/>
      </c>
      <c r="H1031" t="str">
        <f>IF(D1031="","",INDEX(Knutepunkter!$D:$D,D1031+1))</f>
        <v/>
      </c>
      <c r="I1031" t="str">
        <f>IF(E1031="","",INDEX(Knutepunkter!$B:$B,E1031+1))</f>
        <v/>
      </c>
      <c r="J1031" t="str">
        <f>IF(E1031="","",INDEX(Knutepunkter!$C:$C,E1031+1))</f>
        <v/>
      </c>
      <c r="K1031" t="str">
        <f>IF(E1031="","",INDEX(Knutepunkter!$D:$D,E1031+1))</f>
        <v/>
      </c>
      <c r="L1031" t="str">
        <f t="shared" si="83"/>
        <v/>
      </c>
      <c r="M1031" t="str">
        <f t="shared" si="84"/>
        <v/>
      </c>
    </row>
    <row r="1032" spans="1:13" x14ac:dyDescent="0.3">
      <c r="A1032" t="str">
        <f>Segmenter!A1032</f>
        <v/>
      </c>
      <c r="B1032" t="str">
        <f>Segmenter!B1032</f>
        <v/>
      </c>
      <c r="C1032" t="str">
        <f t="shared" si="80"/>
        <v/>
      </c>
      <c r="D1032" t="str">
        <f t="shared" si="81"/>
        <v/>
      </c>
      <c r="E1032" t="str">
        <f t="shared" si="82"/>
        <v/>
      </c>
      <c r="F1032" t="str">
        <f>IF(D1032="","",INDEX(Knutepunkter!$B:$B,D1032+1))</f>
        <v/>
      </c>
      <c r="G1032" t="str">
        <f>IF(D1032="","",INDEX(Knutepunkter!$C:$C,D1032+1))</f>
        <v/>
      </c>
      <c r="H1032" t="str">
        <f>IF(D1032="","",INDEX(Knutepunkter!$D:$D,D1032+1))</f>
        <v/>
      </c>
      <c r="I1032" t="str">
        <f>IF(E1032="","",INDEX(Knutepunkter!$B:$B,E1032+1))</f>
        <v/>
      </c>
      <c r="J1032" t="str">
        <f>IF(E1032="","",INDEX(Knutepunkter!$C:$C,E1032+1))</f>
        <v/>
      </c>
      <c r="K1032" t="str">
        <f>IF(E1032="","",INDEX(Knutepunkter!$D:$D,E1032+1))</f>
        <v/>
      </c>
      <c r="L1032" t="str">
        <f t="shared" si="83"/>
        <v/>
      </c>
      <c r="M1032" t="str">
        <f t="shared" si="84"/>
        <v/>
      </c>
    </row>
    <row r="1033" spans="1:13" x14ac:dyDescent="0.3">
      <c r="A1033" t="str">
        <f>Segmenter!A1033</f>
        <v/>
      </c>
      <c r="B1033" t="str">
        <f>Segmenter!B1033</f>
        <v/>
      </c>
      <c r="C1033" t="str">
        <f t="shared" si="80"/>
        <v/>
      </c>
      <c r="D1033" t="str">
        <f t="shared" si="81"/>
        <v/>
      </c>
      <c r="E1033" t="str">
        <f t="shared" si="82"/>
        <v/>
      </c>
      <c r="F1033" t="str">
        <f>IF(D1033="","",INDEX(Knutepunkter!$B:$B,D1033+1))</f>
        <v/>
      </c>
      <c r="G1033" t="str">
        <f>IF(D1033="","",INDEX(Knutepunkter!$C:$C,D1033+1))</f>
        <v/>
      </c>
      <c r="H1033" t="str">
        <f>IF(D1033="","",INDEX(Knutepunkter!$D:$D,D1033+1))</f>
        <v/>
      </c>
      <c r="I1033" t="str">
        <f>IF(E1033="","",INDEX(Knutepunkter!$B:$B,E1033+1))</f>
        <v/>
      </c>
      <c r="J1033" t="str">
        <f>IF(E1033="","",INDEX(Knutepunkter!$C:$C,E1033+1))</f>
        <v/>
      </c>
      <c r="K1033" t="str">
        <f>IF(E1033="","",INDEX(Knutepunkter!$D:$D,E1033+1))</f>
        <v/>
      </c>
      <c r="L1033" t="str">
        <f t="shared" si="83"/>
        <v/>
      </c>
      <c r="M1033" t="str">
        <f t="shared" si="84"/>
        <v/>
      </c>
    </row>
    <row r="1034" spans="1:13" x14ac:dyDescent="0.3">
      <c r="A1034" t="str">
        <f>Segmenter!A1034</f>
        <v/>
      </c>
      <c r="B1034" t="str">
        <f>Segmenter!B1034</f>
        <v/>
      </c>
      <c r="C1034" t="str">
        <f t="shared" si="80"/>
        <v/>
      </c>
      <c r="D1034" t="str">
        <f t="shared" si="81"/>
        <v/>
      </c>
      <c r="E1034" t="str">
        <f t="shared" si="82"/>
        <v/>
      </c>
      <c r="F1034" t="str">
        <f>IF(D1034="","",INDEX(Knutepunkter!$B:$B,D1034+1))</f>
        <v/>
      </c>
      <c r="G1034" t="str">
        <f>IF(D1034="","",INDEX(Knutepunkter!$C:$C,D1034+1))</f>
        <v/>
      </c>
      <c r="H1034" t="str">
        <f>IF(D1034="","",INDEX(Knutepunkter!$D:$D,D1034+1))</f>
        <v/>
      </c>
      <c r="I1034" t="str">
        <f>IF(E1034="","",INDEX(Knutepunkter!$B:$B,E1034+1))</f>
        <v/>
      </c>
      <c r="J1034" t="str">
        <f>IF(E1034="","",INDEX(Knutepunkter!$C:$C,E1034+1))</f>
        <v/>
      </c>
      <c r="K1034" t="str">
        <f>IF(E1034="","",INDEX(Knutepunkter!$D:$D,E1034+1))</f>
        <v/>
      </c>
      <c r="L1034" t="str">
        <f t="shared" si="83"/>
        <v/>
      </c>
      <c r="M1034" t="str">
        <f t="shared" si="84"/>
        <v/>
      </c>
    </row>
    <row r="1035" spans="1:13" x14ac:dyDescent="0.3">
      <c r="A1035" t="str">
        <f>Segmenter!A1035</f>
        <v/>
      </c>
      <c r="B1035" t="str">
        <f>Segmenter!B1035</f>
        <v/>
      </c>
      <c r="C1035" t="str">
        <f t="shared" si="80"/>
        <v/>
      </c>
      <c r="D1035" t="str">
        <f t="shared" si="81"/>
        <v/>
      </c>
      <c r="E1035" t="str">
        <f t="shared" si="82"/>
        <v/>
      </c>
      <c r="F1035" t="str">
        <f>IF(D1035="","",INDEX(Knutepunkter!$B:$B,D1035+1))</f>
        <v/>
      </c>
      <c r="G1035" t="str">
        <f>IF(D1035="","",INDEX(Knutepunkter!$C:$C,D1035+1))</f>
        <v/>
      </c>
      <c r="H1035" t="str">
        <f>IF(D1035="","",INDEX(Knutepunkter!$D:$D,D1035+1))</f>
        <v/>
      </c>
      <c r="I1035" t="str">
        <f>IF(E1035="","",INDEX(Knutepunkter!$B:$B,E1035+1))</f>
        <v/>
      </c>
      <c r="J1035" t="str">
        <f>IF(E1035="","",INDEX(Knutepunkter!$C:$C,E1035+1))</f>
        <v/>
      </c>
      <c r="K1035" t="str">
        <f>IF(E1035="","",INDEX(Knutepunkter!$D:$D,E1035+1))</f>
        <v/>
      </c>
      <c r="L1035" t="str">
        <f t="shared" si="83"/>
        <v/>
      </c>
      <c r="M1035" t="str">
        <f t="shared" si="84"/>
        <v/>
      </c>
    </row>
    <row r="1036" spans="1:13" x14ac:dyDescent="0.3">
      <c r="A1036" t="str">
        <f>Segmenter!A1036</f>
        <v/>
      </c>
      <c r="B1036" t="str">
        <f>Segmenter!B1036</f>
        <v/>
      </c>
      <c r="C1036" t="str">
        <f t="shared" si="80"/>
        <v/>
      </c>
      <c r="D1036" t="str">
        <f t="shared" si="81"/>
        <v/>
      </c>
      <c r="E1036" t="str">
        <f t="shared" si="82"/>
        <v/>
      </c>
      <c r="F1036" t="str">
        <f>IF(D1036="","",INDEX(Knutepunkter!$B:$B,D1036+1))</f>
        <v/>
      </c>
      <c r="G1036" t="str">
        <f>IF(D1036="","",INDEX(Knutepunkter!$C:$C,D1036+1))</f>
        <v/>
      </c>
      <c r="H1036" t="str">
        <f>IF(D1036="","",INDEX(Knutepunkter!$D:$D,D1036+1))</f>
        <v/>
      </c>
      <c r="I1036" t="str">
        <f>IF(E1036="","",INDEX(Knutepunkter!$B:$B,E1036+1))</f>
        <v/>
      </c>
      <c r="J1036" t="str">
        <f>IF(E1036="","",INDEX(Knutepunkter!$C:$C,E1036+1))</f>
        <v/>
      </c>
      <c r="K1036" t="str">
        <f>IF(E1036="","",INDEX(Knutepunkter!$D:$D,E1036+1))</f>
        <v/>
      </c>
      <c r="L1036" t="str">
        <f t="shared" si="83"/>
        <v/>
      </c>
      <c r="M1036" t="str">
        <f t="shared" si="84"/>
        <v/>
      </c>
    </row>
    <row r="1037" spans="1:13" x14ac:dyDescent="0.3">
      <c r="A1037" t="str">
        <f>Segmenter!A1037</f>
        <v/>
      </c>
      <c r="B1037" t="str">
        <f>Segmenter!B1037</f>
        <v/>
      </c>
      <c r="C1037" t="str">
        <f t="shared" si="80"/>
        <v/>
      </c>
      <c r="D1037" t="str">
        <f t="shared" si="81"/>
        <v/>
      </c>
      <c r="E1037" t="str">
        <f t="shared" si="82"/>
        <v/>
      </c>
      <c r="F1037" t="str">
        <f>IF(D1037="","",INDEX(Knutepunkter!$B:$B,D1037+1))</f>
        <v/>
      </c>
      <c r="G1037" t="str">
        <f>IF(D1037="","",INDEX(Knutepunkter!$C:$C,D1037+1))</f>
        <v/>
      </c>
      <c r="H1037" t="str">
        <f>IF(D1037="","",INDEX(Knutepunkter!$D:$D,D1037+1))</f>
        <v/>
      </c>
      <c r="I1037" t="str">
        <f>IF(E1037="","",INDEX(Knutepunkter!$B:$B,E1037+1))</f>
        <v/>
      </c>
      <c r="J1037" t="str">
        <f>IF(E1037="","",INDEX(Knutepunkter!$C:$C,E1037+1))</f>
        <v/>
      </c>
      <c r="K1037" t="str">
        <f>IF(E1037="","",INDEX(Knutepunkter!$D:$D,E1037+1))</f>
        <v/>
      </c>
      <c r="L1037" t="str">
        <f t="shared" si="83"/>
        <v/>
      </c>
      <c r="M1037" t="str">
        <f t="shared" si="84"/>
        <v/>
      </c>
    </row>
    <row r="1038" spans="1:13" x14ac:dyDescent="0.3">
      <c r="A1038" t="str">
        <f>Segmenter!A1038</f>
        <v/>
      </c>
      <c r="B1038" t="str">
        <f>Segmenter!B1038</f>
        <v/>
      </c>
      <c r="C1038" t="str">
        <f t="shared" si="80"/>
        <v/>
      </c>
      <c r="D1038" t="str">
        <f t="shared" si="81"/>
        <v/>
      </c>
      <c r="E1038" t="str">
        <f t="shared" si="82"/>
        <v/>
      </c>
      <c r="F1038" t="str">
        <f>IF(D1038="","",INDEX(Knutepunkter!$B:$B,D1038+1))</f>
        <v/>
      </c>
      <c r="G1038" t="str">
        <f>IF(D1038="","",INDEX(Knutepunkter!$C:$C,D1038+1))</f>
        <v/>
      </c>
      <c r="H1038" t="str">
        <f>IF(D1038="","",INDEX(Knutepunkter!$D:$D,D1038+1))</f>
        <v/>
      </c>
      <c r="I1038" t="str">
        <f>IF(E1038="","",INDEX(Knutepunkter!$B:$B,E1038+1))</f>
        <v/>
      </c>
      <c r="J1038" t="str">
        <f>IF(E1038="","",INDEX(Knutepunkter!$C:$C,E1038+1))</f>
        <v/>
      </c>
      <c r="K1038" t="str">
        <f>IF(E1038="","",INDEX(Knutepunkter!$D:$D,E1038+1))</f>
        <v/>
      </c>
      <c r="L1038" t="str">
        <f t="shared" si="83"/>
        <v/>
      </c>
      <c r="M1038" t="str">
        <f t="shared" si="84"/>
        <v/>
      </c>
    </row>
    <row r="1039" spans="1:13" x14ac:dyDescent="0.3">
      <c r="A1039" t="str">
        <f>Segmenter!A1039</f>
        <v/>
      </c>
      <c r="B1039" t="str">
        <f>Segmenter!B1039</f>
        <v/>
      </c>
      <c r="C1039" t="str">
        <f t="shared" si="80"/>
        <v/>
      </c>
      <c r="D1039" t="str">
        <f t="shared" si="81"/>
        <v/>
      </c>
      <c r="E1039" t="str">
        <f t="shared" si="82"/>
        <v/>
      </c>
      <c r="F1039" t="str">
        <f>IF(D1039="","",INDEX(Knutepunkter!$B:$B,D1039+1))</f>
        <v/>
      </c>
      <c r="G1039" t="str">
        <f>IF(D1039="","",INDEX(Knutepunkter!$C:$C,D1039+1))</f>
        <v/>
      </c>
      <c r="H1039" t="str">
        <f>IF(D1039="","",INDEX(Knutepunkter!$D:$D,D1039+1))</f>
        <v/>
      </c>
      <c r="I1039" t="str">
        <f>IF(E1039="","",INDEX(Knutepunkter!$B:$B,E1039+1))</f>
        <v/>
      </c>
      <c r="J1039" t="str">
        <f>IF(E1039="","",INDEX(Knutepunkter!$C:$C,E1039+1))</f>
        <v/>
      </c>
      <c r="K1039" t="str">
        <f>IF(E1039="","",INDEX(Knutepunkter!$D:$D,E1039+1))</f>
        <v/>
      </c>
      <c r="L1039" t="str">
        <f t="shared" si="83"/>
        <v/>
      </c>
      <c r="M1039" t="str">
        <f t="shared" si="84"/>
        <v/>
      </c>
    </row>
    <row r="1040" spans="1:13" x14ac:dyDescent="0.3">
      <c r="A1040" t="str">
        <f>Segmenter!A1040</f>
        <v/>
      </c>
      <c r="B1040" t="str">
        <f>Segmenter!B1040</f>
        <v/>
      </c>
      <c r="C1040" t="str">
        <f t="shared" si="80"/>
        <v/>
      </c>
      <c r="D1040" t="str">
        <f t="shared" si="81"/>
        <v/>
      </c>
      <c r="E1040" t="str">
        <f t="shared" si="82"/>
        <v/>
      </c>
      <c r="F1040" t="str">
        <f>IF(D1040="","",INDEX(Knutepunkter!$B:$B,D1040+1))</f>
        <v/>
      </c>
      <c r="G1040" t="str">
        <f>IF(D1040="","",INDEX(Knutepunkter!$C:$C,D1040+1))</f>
        <v/>
      </c>
      <c r="H1040" t="str">
        <f>IF(D1040="","",INDEX(Knutepunkter!$D:$D,D1040+1))</f>
        <v/>
      </c>
      <c r="I1040" t="str">
        <f>IF(E1040="","",INDEX(Knutepunkter!$B:$B,E1040+1))</f>
        <v/>
      </c>
      <c r="J1040" t="str">
        <f>IF(E1040="","",INDEX(Knutepunkter!$C:$C,E1040+1))</f>
        <v/>
      </c>
      <c r="K1040" t="str">
        <f>IF(E1040="","",INDEX(Knutepunkter!$D:$D,E1040+1))</f>
        <v/>
      </c>
      <c r="L1040" t="str">
        <f t="shared" si="83"/>
        <v/>
      </c>
      <c r="M1040" t="str">
        <f t="shared" si="84"/>
        <v/>
      </c>
    </row>
    <row r="1041" spans="1:13" x14ac:dyDescent="0.3">
      <c r="A1041" t="str">
        <f>Segmenter!A1041</f>
        <v/>
      </c>
      <c r="B1041" t="str">
        <f>Segmenter!B1041</f>
        <v/>
      </c>
      <c r="C1041" t="str">
        <f t="shared" si="80"/>
        <v/>
      </c>
      <c r="D1041" t="str">
        <f t="shared" si="81"/>
        <v/>
      </c>
      <c r="E1041" t="str">
        <f t="shared" si="82"/>
        <v/>
      </c>
      <c r="F1041" t="str">
        <f>IF(D1041="","",INDEX(Knutepunkter!$B:$B,D1041+1))</f>
        <v/>
      </c>
      <c r="G1041" t="str">
        <f>IF(D1041="","",INDEX(Knutepunkter!$C:$C,D1041+1))</f>
        <v/>
      </c>
      <c r="H1041" t="str">
        <f>IF(D1041="","",INDEX(Knutepunkter!$D:$D,D1041+1))</f>
        <v/>
      </c>
      <c r="I1041" t="str">
        <f>IF(E1041="","",INDEX(Knutepunkter!$B:$B,E1041+1))</f>
        <v/>
      </c>
      <c r="J1041" t="str">
        <f>IF(E1041="","",INDEX(Knutepunkter!$C:$C,E1041+1))</f>
        <v/>
      </c>
      <c r="K1041" t="str">
        <f>IF(E1041="","",INDEX(Knutepunkter!$D:$D,E1041+1))</f>
        <v/>
      </c>
      <c r="L1041" t="str">
        <f t="shared" si="83"/>
        <v/>
      </c>
      <c r="M1041" t="str">
        <f t="shared" si="84"/>
        <v/>
      </c>
    </row>
    <row r="1042" spans="1:13" x14ac:dyDescent="0.3">
      <c r="A1042" t="str">
        <f>Segmenter!A1042</f>
        <v/>
      </c>
      <c r="B1042" t="str">
        <f>Segmenter!B1042</f>
        <v/>
      </c>
      <c r="C1042" t="str">
        <f t="shared" si="80"/>
        <v/>
      </c>
      <c r="D1042" t="str">
        <f t="shared" si="81"/>
        <v/>
      </c>
      <c r="E1042" t="str">
        <f t="shared" si="82"/>
        <v/>
      </c>
      <c r="F1042" t="str">
        <f>IF(D1042="","",INDEX(Knutepunkter!$B:$B,D1042+1))</f>
        <v/>
      </c>
      <c r="G1042" t="str">
        <f>IF(D1042="","",INDEX(Knutepunkter!$C:$C,D1042+1))</f>
        <v/>
      </c>
      <c r="H1042" t="str">
        <f>IF(D1042="","",INDEX(Knutepunkter!$D:$D,D1042+1))</f>
        <v/>
      </c>
      <c r="I1042" t="str">
        <f>IF(E1042="","",INDEX(Knutepunkter!$B:$B,E1042+1))</f>
        <v/>
      </c>
      <c r="J1042" t="str">
        <f>IF(E1042="","",INDEX(Knutepunkter!$C:$C,E1042+1))</f>
        <v/>
      </c>
      <c r="K1042" t="str">
        <f>IF(E1042="","",INDEX(Knutepunkter!$D:$D,E1042+1))</f>
        <v/>
      </c>
      <c r="L1042" t="str">
        <f t="shared" si="83"/>
        <v/>
      </c>
      <c r="M1042" t="str">
        <f t="shared" si="84"/>
        <v/>
      </c>
    </row>
    <row r="1043" spans="1:13" x14ac:dyDescent="0.3">
      <c r="A1043" t="str">
        <f>Segmenter!A1043</f>
        <v/>
      </c>
      <c r="B1043" t="str">
        <f>Segmenter!B1043</f>
        <v/>
      </c>
      <c r="C1043" t="str">
        <f t="shared" si="80"/>
        <v/>
      </c>
      <c r="D1043" t="str">
        <f t="shared" si="81"/>
        <v/>
      </c>
      <c r="E1043" t="str">
        <f t="shared" si="82"/>
        <v/>
      </c>
      <c r="F1043" t="str">
        <f>IF(D1043="","",INDEX(Knutepunkter!$B:$B,D1043+1))</f>
        <v/>
      </c>
      <c r="G1043" t="str">
        <f>IF(D1043="","",INDEX(Knutepunkter!$C:$C,D1043+1))</f>
        <v/>
      </c>
      <c r="H1043" t="str">
        <f>IF(D1043="","",INDEX(Knutepunkter!$D:$D,D1043+1))</f>
        <v/>
      </c>
      <c r="I1043" t="str">
        <f>IF(E1043="","",INDEX(Knutepunkter!$B:$B,E1043+1))</f>
        <v/>
      </c>
      <c r="J1043" t="str">
        <f>IF(E1043="","",INDEX(Knutepunkter!$C:$C,E1043+1))</f>
        <v/>
      </c>
      <c r="K1043" t="str">
        <f>IF(E1043="","",INDEX(Knutepunkter!$D:$D,E1043+1))</f>
        <v/>
      </c>
      <c r="L1043" t="str">
        <f t="shared" si="83"/>
        <v/>
      </c>
      <c r="M1043" t="str">
        <f t="shared" si="84"/>
        <v/>
      </c>
    </row>
    <row r="1044" spans="1:13" x14ac:dyDescent="0.3">
      <c r="A1044" t="str">
        <f>Segmenter!A1044</f>
        <v/>
      </c>
      <c r="B1044" t="str">
        <f>Segmenter!B1044</f>
        <v/>
      </c>
      <c r="C1044" t="str">
        <f t="shared" si="80"/>
        <v/>
      </c>
      <c r="D1044" t="str">
        <f t="shared" si="81"/>
        <v/>
      </c>
      <c r="E1044" t="str">
        <f t="shared" si="82"/>
        <v/>
      </c>
      <c r="F1044" t="str">
        <f>IF(D1044="","",INDEX(Knutepunkter!$B:$B,D1044+1))</f>
        <v/>
      </c>
      <c r="G1044" t="str">
        <f>IF(D1044="","",INDEX(Knutepunkter!$C:$C,D1044+1))</f>
        <v/>
      </c>
      <c r="H1044" t="str">
        <f>IF(D1044="","",INDEX(Knutepunkter!$D:$D,D1044+1))</f>
        <v/>
      </c>
      <c r="I1044" t="str">
        <f>IF(E1044="","",INDEX(Knutepunkter!$B:$B,E1044+1))</f>
        <v/>
      </c>
      <c r="J1044" t="str">
        <f>IF(E1044="","",INDEX(Knutepunkter!$C:$C,E1044+1))</f>
        <v/>
      </c>
      <c r="K1044" t="str">
        <f>IF(E1044="","",INDEX(Knutepunkter!$D:$D,E1044+1))</f>
        <v/>
      </c>
      <c r="L1044" t="str">
        <f t="shared" si="83"/>
        <v/>
      </c>
      <c r="M1044" t="str">
        <f t="shared" si="84"/>
        <v/>
      </c>
    </row>
    <row r="1045" spans="1:13" x14ac:dyDescent="0.3">
      <c r="A1045" t="str">
        <f>Segmenter!A1045</f>
        <v/>
      </c>
      <c r="B1045" t="str">
        <f>Segmenter!B1045</f>
        <v/>
      </c>
      <c r="C1045" t="str">
        <f t="shared" si="80"/>
        <v/>
      </c>
      <c r="D1045" t="str">
        <f t="shared" si="81"/>
        <v/>
      </c>
      <c r="E1045" t="str">
        <f t="shared" si="82"/>
        <v/>
      </c>
      <c r="F1045" t="str">
        <f>IF(D1045="","",INDEX(Knutepunkter!$B:$B,D1045+1))</f>
        <v/>
      </c>
      <c r="G1045" t="str">
        <f>IF(D1045="","",INDEX(Knutepunkter!$C:$C,D1045+1))</f>
        <v/>
      </c>
      <c r="H1045" t="str">
        <f>IF(D1045="","",INDEX(Knutepunkter!$D:$D,D1045+1))</f>
        <v/>
      </c>
      <c r="I1045" t="str">
        <f>IF(E1045="","",INDEX(Knutepunkter!$B:$B,E1045+1))</f>
        <v/>
      </c>
      <c r="J1045" t="str">
        <f>IF(E1045="","",INDEX(Knutepunkter!$C:$C,E1045+1))</f>
        <v/>
      </c>
      <c r="K1045" t="str">
        <f>IF(E1045="","",INDEX(Knutepunkter!$D:$D,E1045+1))</f>
        <v/>
      </c>
      <c r="L1045" t="str">
        <f t="shared" si="83"/>
        <v/>
      </c>
      <c r="M1045" t="str">
        <f t="shared" si="84"/>
        <v/>
      </c>
    </row>
    <row r="1046" spans="1:13" x14ac:dyDescent="0.3">
      <c r="A1046" t="str">
        <f>Segmenter!A1046</f>
        <v/>
      </c>
      <c r="B1046" t="str">
        <f>Segmenter!B1046</f>
        <v/>
      </c>
      <c r="C1046" t="str">
        <f t="shared" si="80"/>
        <v/>
      </c>
      <c r="D1046" t="str">
        <f t="shared" si="81"/>
        <v/>
      </c>
      <c r="E1046" t="str">
        <f t="shared" si="82"/>
        <v/>
      </c>
      <c r="F1046" t="str">
        <f>IF(D1046="","",INDEX(Knutepunkter!$B:$B,D1046+1))</f>
        <v/>
      </c>
      <c r="G1046" t="str">
        <f>IF(D1046="","",INDEX(Knutepunkter!$C:$C,D1046+1))</f>
        <v/>
      </c>
      <c r="H1046" t="str">
        <f>IF(D1046="","",INDEX(Knutepunkter!$D:$D,D1046+1))</f>
        <v/>
      </c>
      <c r="I1046" t="str">
        <f>IF(E1046="","",INDEX(Knutepunkter!$B:$B,E1046+1))</f>
        <v/>
      </c>
      <c r="J1046" t="str">
        <f>IF(E1046="","",INDEX(Knutepunkter!$C:$C,E1046+1))</f>
        <v/>
      </c>
      <c r="K1046" t="str">
        <f>IF(E1046="","",INDEX(Knutepunkter!$D:$D,E1046+1))</f>
        <v/>
      </c>
      <c r="L1046" t="str">
        <f t="shared" si="83"/>
        <v/>
      </c>
      <c r="M1046" t="str">
        <f t="shared" si="84"/>
        <v/>
      </c>
    </row>
    <row r="1047" spans="1:13" x14ac:dyDescent="0.3">
      <c r="A1047" t="str">
        <f>Segmenter!A1047</f>
        <v/>
      </c>
      <c r="B1047" t="str">
        <f>Segmenter!B1047</f>
        <v/>
      </c>
      <c r="C1047" t="str">
        <f t="shared" si="80"/>
        <v/>
      </c>
      <c r="D1047" t="str">
        <f t="shared" si="81"/>
        <v/>
      </c>
      <c r="E1047" t="str">
        <f t="shared" si="82"/>
        <v/>
      </c>
      <c r="F1047" t="str">
        <f>IF(D1047="","",INDEX(Knutepunkter!$B:$B,D1047+1))</f>
        <v/>
      </c>
      <c r="G1047" t="str">
        <f>IF(D1047="","",INDEX(Knutepunkter!$C:$C,D1047+1))</f>
        <v/>
      </c>
      <c r="H1047" t="str">
        <f>IF(D1047="","",INDEX(Knutepunkter!$D:$D,D1047+1))</f>
        <v/>
      </c>
      <c r="I1047" t="str">
        <f>IF(E1047="","",INDEX(Knutepunkter!$B:$B,E1047+1))</f>
        <v/>
      </c>
      <c r="J1047" t="str">
        <f>IF(E1047="","",INDEX(Knutepunkter!$C:$C,E1047+1))</f>
        <v/>
      </c>
      <c r="K1047" t="str">
        <f>IF(E1047="","",INDEX(Knutepunkter!$D:$D,E1047+1))</f>
        <v/>
      </c>
      <c r="L1047" t="str">
        <f t="shared" si="83"/>
        <v/>
      </c>
      <c r="M1047" t="str">
        <f t="shared" si="84"/>
        <v/>
      </c>
    </row>
    <row r="1048" spans="1:13" x14ac:dyDescent="0.3">
      <c r="A1048" t="str">
        <f>Segmenter!A1048</f>
        <v/>
      </c>
      <c r="B1048" t="str">
        <f>Segmenter!B1048</f>
        <v/>
      </c>
      <c r="C1048" t="str">
        <f t="shared" si="80"/>
        <v/>
      </c>
      <c r="D1048" t="str">
        <f t="shared" si="81"/>
        <v/>
      </c>
      <c r="E1048" t="str">
        <f t="shared" si="82"/>
        <v/>
      </c>
      <c r="F1048" t="str">
        <f>IF(D1048="","",INDEX(Knutepunkter!$B:$B,D1048+1))</f>
        <v/>
      </c>
      <c r="G1048" t="str">
        <f>IF(D1048="","",INDEX(Knutepunkter!$C:$C,D1048+1))</f>
        <v/>
      </c>
      <c r="H1048" t="str">
        <f>IF(D1048="","",INDEX(Knutepunkter!$D:$D,D1048+1))</f>
        <v/>
      </c>
      <c r="I1048" t="str">
        <f>IF(E1048="","",INDEX(Knutepunkter!$B:$B,E1048+1))</f>
        <v/>
      </c>
      <c r="J1048" t="str">
        <f>IF(E1048="","",INDEX(Knutepunkter!$C:$C,E1048+1))</f>
        <v/>
      </c>
      <c r="K1048" t="str">
        <f>IF(E1048="","",INDEX(Knutepunkter!$D:$D,E1048+1))</f>
        <v/>
      </c>
      <c r="L1048" t="str">
        <f t="shared" si="83"/>
        <v/>
      </c>
      <c r="M1048" t="str">
        <f t="shared" si="84"/>
        <v/>
      </c>
    </row>
    <row r="1049" spans="1:13" x14ac:dyDescent="0.3">
      <c r="A1049" t="str">
        <f>Segmenter!A1049</f>
        <v/>
      </c>
      <c r="B1049" t="str">
        <f>Segmenter!B1049</f>
        <v/>
      </c>
      <c r="C1049" t="str">
        <f t="shared" si="80"/>
        <v/>
      </c>
      <c r="D1049" t="str">
        <f t="shared" si="81"/>
        <v/>
      </c>
      <c r="E1049" t="str">
        <f t="shared" si="82"/>
        <v/>
      </c>
      <c r="F1049" t="str">
        <f>IF(D1049="","",INDEX(Knutepunkter!$B:$B,D1049+1))</f>
        <v/>
      </c>
      <c r="G1049" t="str">
        <f>IF(D1049="","",INDEX(Knutepunkter!$C:$C,D1049+1))</f>
        <v/>
      </c>
      <c r="H1049" t="str">
        <f>IF(D1049="","",INDEX(Knutepunkter!$D:$D,D1049+1))</f>
        <v/>
      </c>
      <c r="I1049" t="str">
        <f>IF(E1049="","",INDEX(Knutepunkter!$B:$B,E1049+1))</f>
        <v/>
      </c>
      <c r="J1049" t="str">
        <f>IF(E1049="","",INDEX(Knutepunkter!$C:$C,E1049+1))</f>
        <v/>
      </c>
      <c r="K1049" t="str">
        <f>IF(E1049="","",INDEX(Knutepunkter!$D:$D,E1049+1))</f>
        <v/>
      </c>
      <c r="L1049" t="str">
        <f t="shared" si="83"/>
        <v/>
      </c>
      <c r="M1049" t="str">
        <f t="shared" si="84"/>
        <v/>
      </c>
    </row>
    <row r="1050" spans="1:13" x14ac:dyDescent="0.3">
      <c r="A1050" t="str">
        <f>Segmenter!A1050</f>
        <v/>
      </c>
      <c r="B1050" t="str">
        <f>Segmenter!B1050</f>
        <v/>
      </c>
      <c r="C1050" t="str">
        <f t="shared" si="80"/>
        <v/>
      </c>
      <c r="D1050" t="str">
        <f t="shared" si="81"/>
        <v/>
      </c>
      <c r="E1050" t="str">
        <f t="shared" si="82"/>
        <v/>
      </c>
      <c r="F1050" t="str">
        <f>IF(D1050="","",INDEX(Knutepunkter!$B:$B,D1050+1))</f>
        <v/>
      </c>
      <c r="G1050" t="str">
        <f>IF(D1050="","",INDEX(Knutepunkter!$C:$C,D1050+1))</f>
        <v/>
      </c>
      <c r="H1050" t="str">
        <f>IF(D1050="","",INDEX(Knutepunkter!$D:$D,D1050+1))</f>
        <v/>
      </c>
      <c r="I1050" t="str">
        <f>IF(E1050="","",INDEX(Knutepunkter!$B:$B,E1050+1))</f>
        <v/>
      </c>
      <c r="J1050" t="str">
        <f>IF(E1050="","",INDEX(Knutepunkter!$C:$C,E1050+1))</f>
        <v/>
      </c>
      <c r="K1050" t="str">
        <f>IF(E1050="","",INDEX(Knutepunkter!$D:$D,E1050+1))</f>
        <v/>
      </c>
      <c r="L1050" t="str">
        <f t="shared" si="83"/>
        <v/>
      </c>
      <c r="M1050" t="str">
        <f t="shared" si="84"/>
        <v/>
      </c>
    </row>
    <row r="1051" spans="1:13" x14ac:dyDescent="0.3">
      <c r="A1051" t="str">
        <f>Segmenter!A1051</f>
        <v/>
      </c>
      <c r="B1051" t="str">
        <f>Segmenter!B1051</f>
        <v/>
      </c>
      <c r="C1051" t="str">
        <f t="shared" si="80"/>
        <v/>
      </c>
      <c r="D1051" t="str">
        <f t="shared" si="81"/>
        <v/>
      </c>
      <c r="E1051" t="str">
        <f t="shared" si="82"/>
        <v/>
      </c>
      <c r="F1051" t="str">
        <f>IF(D1051="","",INDEX(Knutepunkter!$B:$B,D1051+1))</f>
        <v/>
      </c>
      <c r="G1051" t="str">
        <f>IF(D1051="","",INDEX(Knutepunkter!$C:$C,D1051+1))</f>
        <v/>
      </c>
      <c r="H1051" t="str">
        <f>IF(D1051="","",INDEX(Knutepunkter!$D:$D,D1051+1))</f>
        <v/>
      </c>
      <c r="I1051" t="str">
        <f>IF(E1051="","",INDEX(Knutepunkter!$B:$B,E1051+1))</f>
        <v/>
      </c>
      <c r="J1051" t="str">
        <f>IF(E1051="","",INDEX(Knutepunkter!$C:$C,E1051+1))</f>
        <v/>
      </c>
      <c r="K1051" t="str">
        <f>IF(E1051="","",INDEX(Knutepunkter!$D:$D,E1051+1))</f>
        <v/>
      </c>
      <c r="L1051" t="str">
        <f t="shared" si="83"/>
        <v/>
      </c>
      <c r="M1051" t="str">
        <f t="shared" si="84"/>
        <v/>
      </c>
    </row>
    <row r="1052" spans="1:13" x14ac:dyDescent="0.3">
      <c r="A1052" t="str">
        <f>Segmenter!A1052</f>
        <v/>
      </c>
      <c r="B1052" t="str">
        <f>Segmenter!B1052</f>
        <v/>
      </c>
      <c r="C1052" t="str">
        <f t="shared" si="80"/>
        <v/>
      </c>
      <c r="D1052" t="str">
        <f t="shared" si="81"/>
        <v/>
      </c>
      <c r="E1052" t="str">
        <f t="shared" si="82"/>
        <v/>
      </c>
      <c r="F1052" t="str">
        <f>IF(D1052="","",INDEX(Knutepunkter!$B:$B,D1052+1))</f>
        <v/>
      </c>
      <c r="G1052" t="str">
        <f>IF(D1052="","",INDEX(Knutepunkter!$C:$C,D1052+1))</f>
        <v/>
      </c>
      <c r="H1052" t="str">
        <f>IF(D1052="","",INDEX(Knutepunkter!$D:$D,D1052+1))</f>
        <v/>
      </c>
      <c r="I1052" t="str">
        <f>IF(E1052="","",INDEX(Knutepunkter!$B:$B,E1052+1))</f>
        <v/>
      </c>
      <c r="J1052" t="str">
        <f>IF(E1052="","",INDEX(Knutepunkter!$C:$C,E1052+1))</f>
        <v/>
      </c>
      <c r="K1052" t="str">
        <f>IF(E1052="","",INDEX(Knutepunkter!$D:$D,E1052+1))</f>
        <v/>
      </c>
      <c r="L1052" t="str">
        <f t="shared" si="83"/>
        <v/>
      </c>
      <c r="M1052" t="str">
        <f t="shared" si="84"/>
        <v/>
      </c>
    </row>
    <row r="1053" spans="1:13" x14ac:dyDescent="0.3">
      <c r="A1053" t="str">
        <f>Segmenter!A1053</f>
        <v/>
      </c>
      <c r="B1053" t="str">
        <f>Segmenter!B1053</f>
        <v/>
      </c>
      <c r="C1053" t="str">
        <f t="shared" si="80"/>
        <v/>
      </c>
      <c r="D1053" t="str">
        <f t="shared" si="81"/>
        <v/>
      </c>
      <c r="E1053" t="str">
        <f t="shared" si="82"/>
        <v/>
      </c>
      <c r="F1053" t="str">
        <f>IF(D1053="","",INDEX(Knutepunkter!$B:$B,D1053+1))</f>
        <v/>
      </c>
      <c r="G1053" t="str">
        <f>IF(D1053="","",INDEX(Knutepunkter!$C:$C,D1053+1))</f>
        <v/>
      </c>
      <c r="H1053" t="str">
        <f>IF(D1053="","",INDEX(Knutepunkter!$D:$D,D1053+1))</f>
        <v/>
      </c>
      <c r="I1053" t="str">
        <f>IF(E1053="","",INDEX(Knutepunkter!$B:$B,E1053+1))</f>
        <v/>
      </c>
      <c r="J1053" t="str">
        <f>IF(E1053="","",INDEX(Knutepunkter!$C:$C,E1053+1))</f>
        <v/>
      </c>
      <c r="K1053" t="str">
        <f>IF(E1053="","",INDEX(Knutepunkter!$D:$D,E1053+1))</f>
        <v/>
      </c>
      <c r="L1053" t="str">
        <f t="shared" si="83"/>
        <v/>
      </c>
      <c r="M1053" t="str">
        <f t="shared" si="84"/>
        <v/>
      </c>
    </row>
    <row r="1054" spans="1:13" x14ac:dyDescent="0.3">
      <c r="A1054" t="str">
        <f>Segmenter!A1054</f>
        <v/>
      </c>
      <c r="B1054" t="str">
        <f>Segmenter!B1054</f>
        <v/>
      </c>
      <c r="C1054" t="str">
        <f t="shared" si="80"/>
        <v/>
      </c>
      <c r="D1054" t="str">
        <f t="shared" si="81"/>
        <v/>
      </c>
      <c r="E1054" t="str">
        <f t="shared" si="82"/>
        <v/>
      </c>
      <c r="F1054" t="str">
        <f>IF(D1054="","",INDEX(Knutepunkter!$B:$B,D1054+1))</f>
        <v/>
      </c>
      <c r="G1054" t="str">
        <f>IF(D1054="","",INDEX(Knutepunkter!$C:$C,D1054+1))</f>
        <v/>
      </c>
      <c r="H1054" t="str">
        <f>IF(D1054="","",INDEX(Knutepunkter!$D:$D,D1054+1))</f>
        <v/>
      </c>
      <c r="I1054" t="str">
        <f>IF(E1054="","",INDEX(Knutepunkter!$B:$B,E1054+1))</f>
        <v/>
      </c>
      <c r="J1054" t="str">
        <f>IF(E1054="","",INDEX(Knutepunkter!$C:$C,E1054+1))</f>
        <v/>
      </c>
      <c r="K1054" t="str">
        <f>IF(E1054="","",INDEX(Knutepunkter!$D:$D,E1054+1))</f>
        <v/>
      </c>
      <c r="L1054" t="str">
        <f t="shared" si="83"/>
        <v/>
      </c>
      <c r="M1054" t="str">
        <f t="shared" si="84"/>
        <v/>
      </c>
    </row>
    <row r="1055" spans="1:13" x14ac:dyDescent="0.3">
      <c r="A1055" t="str">
        <f>Segmenter!A1055</f>
        <v/>
      </c>
      <c r="B1055" t="str">
        <f>Segmenter!B1055</f>
        <v/>
      </c>
      <c r="C1055" t="str">
        <f t="shared" si="80"/>
        <v/>
      </c>
      <c r="D1055" t="str">
        <f t="shared" si="81"/>
        <v/>
      </c>
      <c r="E1055" t="str">
        <f t="shared" si="82"/>
        <v/>
      </c>
      <c r="F1055" t="str">
        <f>IF(D1055="","",INDEX(Knutepunkter!$B:$B,D1055+1))</f>
        <v/>
      </c>
      <c r="G1055" t="str">
        <f>IF(D1055="","",INDEX(Knutepunkter!$C:$C,D1055+1))</f>
        <v/>
      </c>
      <c r="H1055" t="str">
        <f>IF(D1055="","",INDEX(Knutepunkter!$D:$D,D1055+1))</f>
        <v/>
      </c>
      <c r="I1055" t="str">
        <f>IF(E1055="","",INDEX(Knutepunkter!$B:$B,E1055+1))</f>
        <v/>
      </c>
      <c r="J1055" t="str">
        <f>IF(E1055="","",INDEX(Knutepunkter!$C:$C,E1055+1))</f>
        <v/>
      </c>
      <c r="K1055" t="str">
        <f>IF(E1055="","",INDEX(Knutepunkter!$D:$D,E1055+1))</f>
        <v/>
      </c>
      <c r="L1055" t="str">
        <f t="shared" si="83"/>
        <v/>
      </c>
      <c r="M1055" t="str">
        <f t="shared" si="84"/>
        <v/>
      </c>
    </row>
    <row r="1056" spans="1:13" x14ac:dyDescent="0.3">
      <c r="A1056" t="str">
        <f>Segmenter!A1056</f>
        <v/>
      </c>
      <c r="B1056" t="str">
        <f>Segmenter!B1056</f>
        <v/>
      </c>
      <c r="C1056" t="str">
        <f t="shared" si="80"/>
        <v/>
      </c>
      <c r="D1056" t="str">
        <f t="shared" si="81"/>
        <v/>
      </c>
      <c r="E1056" t="str">
        <f t="shared" si="82"/>
        <v/>
      </c>
      <c r="F1056" t="str">
        <f>IF(D1056="","",INDEX(Knutepunkter!$B:$B,D1056+1))</f>
        <v/>
      </c>
      <c r="G1056" t="str">
        <f>IF(D1056="","",INDEX(Knutepunkter!$C:$C,D1056+1))</f>
        <v/>
      </c>
      <c r="H1056" t="str">
        <f>IF(D1056="","",INDEX(Knutepunkter!$D:$D,D1056+1))</f>
        <v/>
      </c>
      <c r="I1056" t="str">
        <f>IF(E1056="","",INDEX(Knutepunkter!$B:$B,E1056+1))</f>
        <v/>
      </c>
      <c r="J1056" t="str">
        <f>IF(E1056="","",INDEX(Knutepunkter!$C:$C,E1056+1))</f>
        <v/>
      </c>
      <c r="K1056" t="str">
        <f>IF(E1056="","",INDEX(Knutepunkter!$D:$D,E1056+1))</f>
        <v/>
      </c>
      <c r="L1056" t="str">
        <f t="shared" si="83"/>
        <v/>
      </c>
      <c r="M1056" t="str">
        <f t="shared" si="84"/>
        <v/>
      </c>
    </row>
    <row r="1057" spans="1:13" x14ac:dyDescent="0.3">
      <c r="A1057" t="str">
        <f>Segmenter!A1057</f>
        <v/>
      </c>
      <c r="B1057" t="str">
        <f>Segmenter!B1057</f>
        <v/>
      </c>
      <c r="C1057" t="str">
        <f t="shared" si="80"/>
        <v/>
      </c>
      <c r="D1057" t="str">
        <f t="shared" si="81"/>
        <v/>
      </c>
      <c r="E1057" t="str">
        <f t="shared" si="82"/>
        <v/>
      </c>
      <c r="F1057" t="str">
        <f>IF(D1057="","",INDEX(Knutepunkter!$B:$B,D1057+1))</f>
        <v/>
      </c>
      <c r="G1057" t="str">
        <f>IF(D1057="","",INDEX(Knutepunkter!$C:$C,D1057+1))</f>
        <v/>
      </c>
      <c r="H1057" t="str">
        <f>IF(D1057="","",INDEX(Knutepunkter!$D:$D,D1057+1))</f>
        <v/>
      </c>
      <c r="I1057" t="str">
        <f>IF(E1057="","",INDEX(Knutepunkter!$B:$B,E1057+1))</f>
        <v/>
      </c>
      <c r="J1057" t="str">
        <f>IF(E1057="","",INDEX(Knutepunkter!$C:$C,E1057+1))</f>
        <v/>
      </c>
      <c r="K1057" t="str">
        <f>IF(E1057="","",INDEX(Knutepunkter!$D:$D,E1057+1))</f>
        <v/>
      </c>
      <c r="L1057" t="str">
        <f t="shared" si="83"/>
        <v/>
      </c>
      <c r="M1057" t="str">
        <f t="shared" si="84"/>
        <v/>
      </c>
    </row>
    <row r="1058" spans="1:13" x14ac:dyDescent="0.3">
      <c r="A1058" t="str">
        <f>Segmenter!A1058</f>
        <v/>
      </c>
      <c r="B1058" t="str">
        <f>Segmenter!B1058</f>
        <v/>
      </c>
      <c r="C1058" t="str">
        <f t="shared" si="80"/>
        <v/>
      </c>
      <c r="D1058" t="str">
        <f t="shared" si="81"/>
        <v/>
      </c>
      <c r="E1058" t="str">
        <f t="shared" si="82"/>
        <v/>
      </c>
      <c r="F1058" t="str">
        <f>IF(D1058="","",INDEX(Knutepunkter!$B:$B,D1058+1))</f>
        <v/>
      </c>
      <c r="G1058" t="str">
        <f>IF(D1058="","",INDEX(Knutepunkter!$C:$C,D1058+1))</f>
        <v/>
      </c>
      <c r="H1058" t="str">
        <f>IF(D1058="","",INDEX(Knutepunkter!$D:$D,D1058+1))</f>
        <v/>
      </c>
      <c r="I1058" t="str">
        <f>IF(E1058="","",INDEX(Knutepunkter!$B:$B,E1058+1))</f>
        <v/>
      </c>
      <c r="J1058" t="str">
        <f>IF(E1058="","",INDEX(Knutepunkter!$C:$C,E1058+1))</f>
        <v/>
      </c>
      <c r="K1058" t="str">
        <f>IF(E1058="","",INDEX(Knutepunkter!$D:$D,E1058+1))</f>
        <v/>
      </c>
      <c r="L1058" t="str">
        <f t="shared" si="83"/>
        <v/>
      </c>
      <c r="M1058" t="str">
        <f t="shared" si="84"/>
        <v/>
      </c>
    </row>
    <row r="1059" spans="1:13" x14ac:dyDescent="0.3">
      <c r="A1059" t="str">
        <f>Segmenter!A1059</f>
        <v/>
      </c>
      <c r="B1059" t="str">
        <f>Segmenter!B1059</f>
        <v/>
      </c>
      <c r="C1059" t="str">
        <f t="shared" si="80"/>
        <v/>
      </c>
      <c r="D1059" t="str">
        <f t="shared" si="81"/>
        <v/>
      </c>
      <c r="E1059" t="str">
        <f t="shared" si="82"/>
        <v/>
      </c>
      <c r="F1059" t="str">
        <f>IF(D1059="","",INDEX(Knutepunkter!$B:$B,D1059+1))</f>
        <v/>
      </c>
      <c r="G1059" t="str">
        <f>IF(D1059="","",INDEX(Knutepunkter!$C:$C,D1059+1))</f>
        <v/>
      </c>
      <c r="H1059" t="str">
        <f>IF(D1059="","",INDEX(Knutepunkter!$D:$D,D1059+1))</f>
        <v/>
      </c>
      <c r="I1059" t="str">
        <f>IF(E1059="","",INDEX(Knutepunkter!$B:$B,E1059+1))</f>
        <v/>
      </c>
      <c r="J1059" t="str">
        <f>IF(E1059="","",INDEX(Knutepunkter!$C:$C,E1059+1))</f>
        <v/>
      </c>
      <c r="K1059" t="str">
        <f>IF(E1059="","",INDEX(Knutepunkter!$D:$D,E1059+1))</f>
        <v/>
      </c>
      <c r="L1059" t="str">
        <f t="shared" si="83"/>
        <v/>
      </c>
      <c r="M1059" t="str">
        <f t="shared" si="84"/>
        <v/>
      </c>
    </row>
    <row r="1060" spans="1:13" x14ac:dyDescent="0.3">
      <c r="A1060" t="str">
        <f>Segmenter!A1060</f>
        <v/>
      </c>
      <c r="B1060" t="str">
        <f>Segmenter!B1060</f>
        <v/>
      </c>
      <c r="C1060" t="str">
        <f t="shared" si="80"/>
        <v/>
      </c>
      <c r="D1060" t="str">
        <f t="shared" si="81"/>
        <v/>
      </c>
      <c r="E1060" t="str">
        <f t="shared" si="82"/>
        <v/>
      </c>
      <c r="F1060" t="str">
        <f>IF(D1060="","",INDEX(Knutepunkter!$B:$B,D1060+1))</f>
        <v/>
      </c>
      <c r="G1060" t="str">
        <f>IF(D1060="","",INDEX(Knutepunkter!$C:$C,D1060+1))</f>
        <v/>
      </c>
      <c r="H1060" t="str">
        <f>IF(D1060="","",INDEX(Knutepunkter!$D:$D,D1060+1))</f>
        <v/>
      </c>
      <c r="I1060" t="str">
        <f>IF(E1060="","",INDEX(Knutepunkter!$B:$B,E1060+1))</f>
        <v/>
      </c>
      <c r="J1060" t="str">
        <f>IF(E1060="","",INDEX(Knutepunkter!$C:$C,E1060+1))</f>
        <v/>
      </c>
      <c r="K1060" t="str">
        <f>IF(E1060="","",INDEX(Knutepunkter!$D:$D,E1060+1))</f>
        <v/>
      </c>
      <c r="L1060" t="str">
        <f t="shared" si="83"/>
        <v/>
      </c>
      <c r="M1060" t="str">
        <f t="shared" si="84"/>
        <v/>
      </c>
    </row>
    <row r="1061" spans="1:13" x14ac:dyDescent="0.3">
      <c r="A1061" t="str">
        <f>Segmenter!A1061</f>
        <v/>
      </c>
      <c r="B1061" t="str">
        <f>Segmenter!B1061</f>
        <v/>
      </c>
      <c r="C1061" t="str">
        <f t="shared" si="80"/>
        <v/>
      </c>
      <c r="D1061" t="str">
        <f t="shared" si="81"/>
        <v/>
      </c>
      <c r="E1061" t="str">
        <f t="shared" si="82"/>
        <v/>
      </c>
      <c r="F1061" t="str">
        <f>IF(D1061="","",INDEX(Knutepunkter!$B:$B,D1061+1))</f>
        <v/>
      </c>
      <c r="G1061" t="str">
        <f>IF(D1061="","",INDEX(Knutepunkter!$C:$C,D1061+1))</f>
        <v/>
      </c>
      <c r="H1061" t="str">
        <f>IF(D1061="","",INDEX(Knutepunkter!$D:$D,D1061+1))</f>
        <v/>
      </c>
      <c r="I1061" t="str">
        <f>IF(E1061="","",INDEX(Knutepunkter!$B:$B,E1061+1))</f>
        <v/>
      </c>
      <c r="J1061" t="str">
        <f>IF(E1061="","",INDEX(Knutepunkter!$C:$C,E1061+1))</f>
        <v/>
      </c>
      <c r="K1061" t="str">
        <f>IF(E1061="","",INDEX(Knutepunkter!$D:$D,E1061+1))</f>
        <v/>
      </c>
      <c r="L1061" t="str">
        <f t="shared" si="83"/>
        <v/>
      </c>
      <c r="M1061" t="str">
        <f t="shared" si="84"/>
        <v/>
      </c>
    </row>
    <row r="1062" spans="1:13" x14ac:dyDescent="0.3">
      <c r="A1062" t="str">
        <f>Segmenter!A1062</f>
        <v/>
      </c>
      <c r="B1062" t="str">
        <f>Segmenter!B1062</f>
        <v/>
      </c>
      <c r="C1062" t="str">
        <f t="shared" si="80"/>
        <v/>
      </c>
      <c r="D1062" t="str">
        <f t="shared" si="81"/>
        <v/>
      </c>
      <c r="E1062" t="str">
        <f t="shared" si="82"/>
        <v/>
      </c>
      <c r="F1062" t="str">
        <f>IF(D1062="","",INDEX(Knutepunkter!$B:$B,D1062+1))</f>
        <v/>
      </c>
      <c r="G1062" t="str">
        <f>IF(D1062="","",INDEX(Knutepunkter!$C:$C,D1062+1))</f>
        <v/>
      </c>
      <c r="H1062" t="str">
        <f>IF(D1062="","",INDEX(Knutepunkter!$D:$D,D1062+1))</f>
        <v/>
      </c>
      <c r="I1062" t="str">
        <f>IF(E1062="","",INDEX(Knutepunkter!$B:$B,E1062+1))</f>
        <v/>
      </c>
      <c r="J1062" t="str">
        <f>IF(E1062="","",INDEX(Knutepunkter!$C:$C,E1062+1))</f>
        <v/>
      </c>
      <c r="K1062" t="str">
        <f>IF(E1062="","",INDEX(Knutepunkter!$D:$D,E1062+1))</f>
        <v/>
      </c>
      <c r="L1062" t="str">
        <f t="shared" si="83"/>
        <v/>
      </c>
      <c r="M1062" t="str">
        <f t="shared" si="84"/>
        <v/>
      </c>
    </row>
    <row r="1063" spans="1:13" x14ac:dyDescent="0.3">
      <c r="A1063" t="str">
        <f>Segmenter!A1063</f>
        <v/>
      </c>
      <c r="B1063" t="str">
        <f>Segmenter!B1063</f>
        <v/>
      </c>
      <c r="C1063" t="str">
        <f t="shared" si="80"/>
        <v/>
      </c>
      <c r="D1063" t="str">
        <f t="shared" si="81"/>
        <v/>
      </c>
      <c r="E1063" t="str">
        <f t="shared" si="82"/>
        <v/>
      </c>
      <c r="F1063" t="str">
        <f>IF(D1063="","",INDEX(Knutepunkter!$B:$B,D1063+1))</f>
        <v/>
      </c>
      <c r="G1063" t="str">
        <f>IF(D1063="","",INDEX(Knutepunkter!$C:$C,D1063+1))</f>
        <v/>
      </c>
      <c r="H1063" t="str">
        <f>IF(D1063="","",INDEX(Knutepunkter!$D:$D,D1063+1))</f>
        <v/>
      </c>
      <c r="I1063" t="str">
        <f>IF(E1063="","",INDEX(Knutepunkter!$B:$B,E1063+1))</f>
        <v/>
      </c>
      <c r="J1063" t="str">
        <f>IF(E1063="","",INDEX(Knutepunkter!$C:$C,E1063+1))</f>
        <v/>
      </c>
      <c r="K1063" t="str">
        <f>IF(E1063="","",INDEX(Knutepunkter!$D:$D,E1063+1))</f>
        <v/>
      </c>
      <c r="L1063" t="str">
        <f t="shared" si="83"/>
        <v/>
      </c>
      <c r="M1063" t="str">
        <f t="shared" si="84"/>
        <v/>
      </c>
    </row>
    <row r="1064" spans="1:13" x14ac:dyDescent="0.3">
      <c r="A1064" t="str">
        <f>Segmenter!A1064</f>
        <v/>
      </c>
      <c r="B1064" t="str">
        <f>Segmenter!B1064</f>
        <v/>
      </c>
      <c r="C1064" t="str">
        <f t="shared" si="80"/>
        <v/>
      </c>
      <c r="D1064" t="str">
        <f t="shared" si="81"/>
        <v/>
      </c>
      <c r="E1064" t="str">
        <f t="shared" si="82"/>
        <v/>
      </c>
      <c r="F1064" t="str">
        <f>IF(D1064="","",INDEX(Knutepunkter!$B:$B,D1064+1))</f>
        <v/>
      </c>
      <c r="G1064" t="str">
        <f>IF(D1064="","",INDEX(Knutepunkter!$C:$C,D1064+1))</f>
        <v/>
      </c>
      <c r="H1064" t="str">
        <f>IF(D1064="","",INDEX(Knutepunkter!$D:$D,D1064+1))</f>
        <v/>
      </c>
      <c r="I1064" t="str">
        <f>IF(E1064="","",INDEX(Knutepunkter!$B:$B,E1064+1))</f>
        <v/>
      </c>
      <c r="J1064" t="str">
        <f>IF(E1064="","",INDEX(Knutepunkter!$C:$C,E1064+1))</f>
        <v/>
      </c>
      <c r="K1064" t="str">
        <f>IF(E1064="","",INDEX(Knutepunkter!$D:$D,E1064+1))</f>
        <v/>
      </c>
      <c r="L1064" t="str">
        <f t="shared" si="83"/>
        <v/>
      </c>
      <c r="M1064" t="str">
        <f t="shared" si="84"/>
        <v/>
      </c>
    </row>
    <row r="1065" spans="1:13" x14ac:dyDescent="0.3">
      <c r="A1065" t="str">
        <f>Segmenter!A1065</f>
        <v/>
      </c>
      <c r="B1065" t="str">
        <f>Segmenter!B1065</f>
        <v/>
      </c>
      <c r="C1065" t="str">
        <f t="shared" si="80"/>
        <v/>
      </c>
      <c r="D1065" t="str">
        <f t="shared" si="81"/>
        <v/>
      </c>
      <c r="E1065" t="str">
        <f t="shared" si="82"/>
        <v/>
      </c>
      <c r="F1065" t="str">
        <f>IF(D1065="","",INDEX(Knutepunkter!$B:$B,D1065+1))</f>
        <v/>
      </c>
      <c r="G1065" t="str">
        <f>IF(D1065="","",INDEX(Knutepunkter!$C:$C,D1065+1))</f>
        <v/>
      </c>
      <c r="H1065" t="str">
        <f>IF(D1065="","",INDEX(Knutepunkter!$D:$D,D1065+1))</f>
        <v/>
      </c>
      <c r="I1065" t="str">
        <f>IF(E1065="","",INDEX(Knutepunkter!$B:$B,E1065+1))</f>
        <v/>
      </c>
      <c r="J1065" t="str">
        <f>IF(E1065="","",INDEX(Knutepunkter!$C:$C,E1065+1))</f>
        <v/>
      </c>
      <c r="K1065" t="str">
        <f>IF(E1065="","",INDEX(Knutepunkter!$D:$D,E1065+1))</f>
        <v/>
      </c>
      <c r="L1065" t="str">
        <f t="shared" si="83"/>
        <v/>
      </c>
      <c r="M1065" t="str">
        <f t="shared" si="84"/>
        <v/>
      </c>
    </row>
    <row r="1066" spans="1:13" x14ac:dyDescent="0.3">
      <c r="A1066" t="str">
        <f>Segmenter!A1066</f>
        <v/>
      </c>
      <c r="B1066" t="str">
        <f>Segmenter!B1066</f>
        <v/>
      </c>
      <c r="C1066" t="str">
        <f t="shared" si="80"/>
        <v/>
      </c>
      <c r="D1066" t="str">
        <f t="shared" si="81"/>
        <v/>
      </c>
      <c r="E1066" t="str">
        <f t="shared" si="82"/>
        <v/>
      </c>
      <c r="F1066" t="str">
        <f>IF(D1066="","",INDEX(Knutepunkter!$B:$B,D1066+1))</f>
        <v/>
      </c>
      <c r="G1066" t="str">
        <f>IF(D1066="","",INDEX(Knutepunkter!$C:$C,D1066+1))</f>
        <v/>
      </c>
      <c r="H1066" t="str">
        <f>IF(D1066="","",INDEX(Knutepunkter!$D:$D,D1066+1))</f>
        <v/>
      </c>
      <c r="I1066" t="str">
        <f>IF(E1066="","",INDEX(Knutepunkter!$B:$B,E1066+1))</f>
        <v/>
      </c>
      <c r="J1066" t="str">
        <f>IF(E1066="","",INDEX(Knutepunkter!$C:$C,E1066+1))</f>
        <v/>
      </c>
      <c r="K1066" t="str">
        <f>IF(E1066="","",INDEX(Knutepunkter!$D:$D,E1066+1))</f>
        <v/>
      </c>
      <c r="L1066" t="str">
        <f t="shared" si="83"/>
        <v/>
      </c>
      <c r="M1066" t="str">
        <f t="shared" si="84"/>
        <v/>
      </c>
    </row>
    <row r="1067" spans="1:13" x14ac:dyDescent="0.3">
      <c r="A1067" t="str">
        <f>Segmenter!A1067</f>
        <v/>
      </c>
      <c r="B1067" t="str">
        <f>Segmenter!B1067</f>
        <v/>
      </c>
      <c r="C1067" t="str">
        <f t="shared" si="80"/>
        <v/>
      </c>
      <c r="D1067" t="str">
        <f t="shared" si="81"/>
        <v/>
      </c>
      <c r="E1067" t="str">
        <f t="shared" si="82"/>
        <v/>
      </c>
      <c r="F1067" t="str">
        <f>IF(D1067="","",INDEX(Knutepunkter!$B:$B,D1067+1))</f>
        <v/>
      </c>
      <c r="G1067" t="str">
        <f>IF(D1067="","",INDEX(Knutepunkter!$C:$C,D1067+1))</f>
        <v/>
      </c>
      <c r="H1067" t="str">
        <f>IF(D1067="","",INDEX(Knutepunkter!$D:$D,D1067+1))</f>
        <v/>
      </c>
      <c r="I1067" t="str">
        <f>IF(E1067="","",INDEX(Knutepunkter!$B:$B,E1067+1))</f>
        <v/>
      </c>
      <c r="J1067" t="str">
        <f>IF(E1067="","",INDEX(Knutepunkter!$C:$C,E1067+1))</f>
        <v/>
      </c>
      <c r="K1067" t="str">
        <f>IF(E1067="","",INDEX(Knutepunkter!$D:$D,E1067+1))</f>
        <v/>
      </c>
      <c r="L1067" t="str">
        <f t="shared" si="83"/>
        <v/>
      </c>
      <c r="M1067" t="str">
        <f t="shared" si="84"/>
        <v/>
      </c>
    </row>
    <row r="1068" spans="1:13" x14ac:dyDescent="0.3">
      <c r="A1068" t="str">
        <f>Segmenter!A1068</f>
        <v/>
      </c>
      <c r="B1068" t="str">
        <f>Segmenter!B1068</f>
        <v/>
      </c>
      <c r="C1068" t="str">
        <f t="shared" si="80"/>
        <v/>
      </c>
      <c r="D1068" t="str">
        <f t="shared" si="81"/>
        <v/>
      </c>
      <c r="E1068" t="str">
        <f t="shared" si="82"/>
        <v/>
      </c>
      <c r="F1068" t="str">
        <f>IF(D1068="","",INDEX(Knutepunkter!$B:$B,D1068+1))</f>
        <v/>
      </c>
      <c r="G1068" t="str">
        <f>IF(D1068="","",INDEX(Knutepunkter!$C:$C,D1068+1))</f>
        <v/>
      </c>
      <c r="H1068" t="str">
        <f>IF(D1068="","",INDEX(Knutepunkter!$D:$D,D1068+1))</f>
        <v/>
      </c>
      <c r="I1068" t="str">
        <f>IF(E1068="","",INDEX(Knutepunkter!$B:$B,E1068+1))</f>
        <v/>
      </c>
      <c r="J1068" t="str">
        <f>IF(E1068="","",INDEX(Knutepunkter!$C:$C,E1068+1))</f>
        <v/>
      </c>
      <c r="K1068" t="str">
        <f>IF(E1068="","",INDEX(Knutepunkter!$D:$D,E1068+1))</f>
        <v/>
      </c>
      <c r="L1068" t="str">
        <f t="shared" si="83"/>
        <v/>
      </c>
      <c r="M1068" t="str">
        <f t="shared" si="84"/>
        <v/>
      </c>
    </row>
    <row r="1069" spans="1:13" x14ac:dyDescent="0.3">
      <c r="A1069" t="str">
        <f>Segmenter!A1069</f>
        <v/>
      </c>
      <c r="B1069" t="str">
        <f>Segmenter!B1069</f>
        <v/>
      </c>
      <c r="C1069" t="str">
        <f t="shared" si="80"/>
        <v/>
      </c>
      <c r="D1069" t="str">
        <f t="shared" si="81"/>
        <v/>
      </c>
      <c r="E1069" t="str">
        <f t="shared" si="82"/>
        <v/>
      </c>
      <c r="F1069" t="str">
        <f>IF(D1069="","",INDEX(Knutepunkter!$B:$B,D1069+1))</f>
        <v/>
      </c>
      <c r="G1069" t="str">
        <f>IF(D1069="","",INDEX(Knutepunkter!$C:$C,D1069+1))</f>
        <v/>
      </c>
      <c r="H1069" t="str">
        <f>IF(D1069="","",INDEX(Knutepunkter!$D:$D,D1069+1))</f>
        <v/>
      </c>
      <c r="I1069" t="str">
        <f>IF(E1069="","",INDEX(Knutepunkter!$B:$B,E1069+1))</f>
        <v/>
      </c>
      <c r="J1069" t="str">
        <f>IF(E1069="","",INDEX(Knutepunkter!$C:$C,E1069+1))</f>
        <v/>
      </c>
      <c r="K1069" t="str">
        <f>IF(E1069="","",INDEX(Knutepunkter!$D:$D,E1069+1))</f>
        <v/>
      </c>
      <c r="L1069" t="str">
        <f t="shared" si="83"/>
        <v/>
      </c>
      <c r="M1069" t="str">
        <f t="shared" si="84"/>
        <v/>
      </c>
    </row>
    <row r="1070" spans="1:13" x14ac:dyDescent="0.3">
      <c r="A1070" t="str">
        <f>Segmenter!A1070</f>
        <v/>
      </c>
      <c r="B1070" t="str">
        <f>Segmenter!B1070</f>
        <v/>
      </c>
      <c r="C1070" t="str">
        <f t="shared" si="80"/>
        <v/>
      </c>
      <c r="D1070" t="str">
        <f t="shared" si="81"/>
        <v/>
      </c>
      <c r="E1070" t="str">
        <f t="shared" si="82"/>
        <v/>
      </c>
      <c r="F1070" t="str">
        <f>IF(D1070="","",INDEX(Knutepunkter!$B:$B,D1070+1))</f>
        <v/>
      </c>
      <c r="G1070" t="str">
        <f>IF(D1070="","",INDEX(Knutepunkter!$C:$C,D1070+1))</f>
        <v/>
      </c>
      <c r="H1070" t="str">
        <f>IF(D1070="","",INDEX(Knutepunkter!$D:$D,D1070+1))</f>
        <v/>
      </c>
      <c r="I1070" t="str">
        <f>IF(E1070="","",INDEX(Knutepunkter!$B:$B,E1070+1))</f>
        <v/>
      </c>
      <c r="J1070" t="str">
        <f>IF(E1070="","",INDEX(Knutepunkter!$C:$C,E1070+1))</f>
        <v/>
      </c>
      <c r="K1070" t="str">
        <f>IF(E1070="","",INDEX(Knutepunkter!$D:$D,E1070+1))</f>
        <v/>
      </c>
      <c r="L1070" t="str">
        <f t="shared" si="83"/>
        <v/>
      </c>
      <c r="M1070" t="str">
        <f t="shared" si="84"/>
        <v/>
      </c>
    </row>
    <row r="1071" spans="1:13" x14ac:dyDescent="0.3">
      <c r="A1071" t="str">
        <f>Segmenter!A1071</f>
        <v/>
      </c>
      <c r="B1071" t="str">
        <f>Segmenter!B1071</f>
        <v/>
      </c>
      <c r="C1071" t="str">
        <f t="shared" si="80"/>
        <v/>
      </c>
      <c r="D1071" t="str">
        <f t="shared" si="81"/>
        <v/>
      </c>
      <c r="E1071" t="str">
        <f t="shared" si="82"/>
        <v/>
      </c>
      <c r="F1071" t="str">
        <f>IF(D1071="","",INDEX(Knutepunkter!$B:$B,D1071+1))</f>
        <v/>
      </c>
      <c r="G1071" t="str">
        <f>IF(D1071="","",INDEX(Knutepunkter!$C:$C,D1071+1))</f>
        <v/>
      </c>
      <c r="H1071" t="str">
        <f>IF(D1071="","",INDEX(Knutepunkter!$D:$D,D1071+1))</f>
        <v/>
      </c>
      <c r="I1071" t="str">
        <f>IF(E1071="","",INDEX(Knutepunkter!$B:$B,E1071+1))</f>
        <v/>
      </c>
      <c r="J1071" t="str">
        <f>IF(E1071="","",INDEX(Knutepunkter!$C:$C,E1071+1))</f>
        <v/>
      </c>
      <c r="K1071" t="str">
        <f>IF(E1071="","",INDEX(Knutepunkter!$D:$D,E1071+1))</f>
        <v/>
      </c>
      <c r="L1071" t="str">
        <f t="shared" si="83"/>
        <v/>
      </c>
      <c r="M1071" t="str">
        <f t="shared" si="84"/>
        <v/>
      </c>
    </row>
    <row r="1072" spans="1:13" x14ac:dyDescent="0.3">
      <c r="A1072" t="str">
        <f>Segmenter!A1072</f>
        <v/>
      </c>
      <c r="B1072" t="str">
        <f>Segmenter!B1072</f>
        <v/>
      </c>
      <c r="C1072" t="str">
        <f t="shared" si="80"/>
        <v/>
      </c>
      <c r="D1072" t="str">
        <f t="shared" si="81"/>
        <v/>
      </c>
      <c r="E1072" t="str">
        <f t="shared" si="82"/>
        <v/>
      </c>
      <c r="F1072" t="str">
        <f>IF(D1072="","",INDEX(Knutepunkter!$B:$B,D1072+1))</f>
        <v/>
      </c>
      <c r="G1072" t="str">
        <f>IF(D1072="","",INDEX(Knutepunkter!$C:$C,D1072+1))</f>
        <v/>
      </c>
      <c r="H1072" t="str">
        <f>IF(D1072="","",INDEX(Knutepunkter!$D:$D,D1072+1))</f>
        <v/>
      </c>
      <c r="I1072" t="str">
        <f>IF(E1072="","",INDEX(Knutepunkter!$B:$B,E1072+1))</f>
        <v/>
      </c>
      <c r="J1072" t="str">
        <f>IF(E1072="","",INDEX(Knutepunkter!$C:$C,E1072+1))</f>
        <v/>
      </c>
      <c r="K1072" t="str">
        <f>IF(E1072="","",INDEX(Knutepunkter!$D:$D,E1072+1))</f>
        <v/>
      </c>
      <c r="L1072" t="str">
        <f t="shared" si="83"/>
        <v/>
      </c>
      <c r="M1072" t="str">
        <f t="shared" si="84"/>
        <v/>
      </c>
    </row>
    <row r="1073" spans="1:13" x14ac:dyDescent="0.3">
      <c r="A1073" t="str">
        <f>Segmenter!A1073</f>
        <v/>
      </c>
      <c r="B1073" t="str">
        <f>Segmenter!B1073</f>
        <v/>
      </c>
      <c r="C1073" t="str">
        <f t="shared" si="80"/>
        <v/>
      </c>
      <c r="D1073" t="str">
        <f t="shared" si="81"/>
        <v/>
      </c>
      <c r="E1073" t="str">
        <f t="shared" si="82"/>
        <v/>
      </c>
      <c r="F1073" t="str">
        <f>IF(D1073="","",INDEX(Knutepunkter!$B:$B,D1073+1))</f>
        <v/>
      </c>
      <c r="G1073" t="str">
        <f>IF(D1073="","",INDEX(Knutepunkter!$C:$C,D1073+1))</f>
        <v/>
      </c>
      <c r="H1073" t="str">
        <f>IF(D1073="","",INDEX(Knutepunkter!$D:$D,D1073+1))</f>
        <v/>
      </c>
      <c r="I1073" t="str">
        <f>IF(E1073="","",INDEX(Knutepunkter!$B:$B,E1073+1))</f>
        <v/>
      </c>
      <c r="J1073" t="str">
        <f>IF(E1073="","",INDEX(Knutepunkter!$C:$C,E1073+1))</f>
        <v/>
      </c>
      <c r="K1073" t="str">
        <f>IF(E1073="","",INDEX(Knutepunkter!$D:$D,E1073+1))</f>
        <v/>
      </c>
      <c r="L1073" t="str">
        <f t="shared" si="83"/>
        <v/>
      </c>
      <c r="M1073" t="str">
        <f t="shared" si="84"/>
        <v/>
      </c>
    </row>
    <row r="1074" spans="1:13" x14ac:dyDescent="0.3">
      <c r="A1074" t="str">
        <f>Segmenter!A1074</f>
        <v/>
      </c>
      <c r="B1074" t="str">
        <f>Segmenter!B1074</f>
        <v/>
      </c>
      <c r="C1074" t="str">
        <f t="shared" si="80"/>
        <v/>
      </c>
      <c r="D1074" t="str">
        <f t="shared" si="81"/>
        <v/>
      </c>
      <c r="E1074" t="str">
        <f t="shared" si="82"/>
        <v/>
      </c>
      <c r="F1074" t="str">
        <f>IF(D1074="","",INDEX(Knutepunkter!$B:$B,D1074+1))</f>
        <v/>
      </c>
      <c r="G1074" t="str">
        <f>IF(D1074="","",INDEX(Knutepunkter!$C:$C,D1074+1))</f>
        <v/>
      </c>
      <c r="H1074" t="str">
        <f>IF(D1074="","",INDEX(Knutepunkter!$D:$D,D1074+1))</f>
        <v/>
      </c>
      <c r="I1074" t="str">
        <f>IF(E1074="","",INDEX(Knutepunkter!$B:$B,E1074+1))</f>
        <v/>
      </c>
      <c r="J1074" t="str">
        <f>IF(E1074="","",INDEX(Knutepunkter!$C:$C,E1074+1))</f>
        <v/>
      </c>
      <c r="K1074" t="str">
        <f>IF(E1074="","",INDEX(Knutepunkter!$D:$D,E1074+1))</f>
        <v/>
      </c>
      <c r="L1074" t="str">
        <f t="shared" si="83"/>
        <v/>
      </c>
      <c r="M1074" t="str">
        <f t="shared" si="84"/>
        <v/>
      </c>
    </row>
    <row r="1075" spans="1:13" x14ac:dyDescent="0.3">
      <c r="A1075" t="str">
        <f>Segmenter!A1075</f>
        <v/>
      </c>
      <c r="B1075" t="str">
        <f>Segmenter!B1075</f>
        <v/>
      </c>
      <c r="C1075" t="str">
        <f t="shared" si="80"/>
        <v/>
      </c>
      <c r="D1075" t="str">
        <f t="shared" si="81"/>
        <v/>
      </c>
      <c r="E1075" t="str">
        <f t="shared" si="82"/>
        <v/>
      </c>
      <c r="F1075" t="str">
        <f>IF(D1075="","",INDEX(Knutepunkter!$B:$B,D1075+1))</f>
        <v/>
      </c>
      <c r="G1075" t="str">
        <f>IF(D1075="","",INDEX(Knutepunkter!$C:$C,D1075+1))</f>
        <v/>
      </c>
      <c r="H1075" t="str">
        <f>IF(D1075="","",INDEX(Knutepunkter!$D:$D,D1075+1))</f>
        <v/>
      </c>
      <c r="I1075" t="str">
        <f>IF(E1075="","",INDEX(Knutepunkter!$B:$B,E1075+1))</f>
        <v/>
      </c>
      <c r="J1075" t="str">
        <f>IF(E1075="","",INDEX(Knutepunkter!$C:$C,E1075+1))</f>
        <v/>
      </c>
      <c r="K1075" t="str">
        <f>IF(E1075="","",INDEX(Knutepunkter!$D:$D,E1075+1))</f>
        <v/>
      </c>
      <c r="L1075" t="str">
        <f t="shared" si="83"/>
        <v/>
      </c>
      <c r="M1075" t="str">
        <f t="shared" si="84"/>
        <v/>
      </c>
    </row>
    <row r="1076" spans="1:13" x14ac:dyDescent="0.3">
      <c r="A1076" t="str">
        <f>Segmenter!A1076</f>
        <v/>
      </c>
      <c r="B1076" t="str">
        <f>Segmenter!B1076</f>
        <v/>
      </c>
      <c r="C1076" t="str">
        <f t="shared" si="80"/>
        <v/>
      </c>
      <c r="D1076" t="str">
        <f t="shared" si="81"/>
        <v/>
      </c>
      <c r="E1076" t="str">
        <f t="shared" si="82"/>
        <v/>
      </c>
      <c r="F1076" t="str">
        <f>IF(D1076="","",INDEX(Knutepunkter!$B:$B,D1076+1))</f>
        <v/>
      </c>
      <c r="G1076" t="str">
        <f>IF(D1076="","",INDEX(Knutepunkter!$C:$C,D1076+1))</f>
        <v/>
      </c>
      <c r="H1076" t="str">
        <f>IF(D1076="","",INDEX(Knutepunkter!$D:$D,D1076+1))</f>
        <v/>
      </c>
      <c r="I1076" t="str">
        <f>IF(E1076="","",INDEX(Knutepunkter!$B:$B,E1076+1))</f>
        <v/>
      </c>
      <c r="J1076" t="str">
        <f>IF(E1076="","",INDEX(Knutepunkter!$C:$C,E1076+1))</f>
        <v/>
      </c>
      <c r="K1076" t="str">
        <f>IF(E1076="","",INDEX(Knutepunkter!$D:$D,E1076+1))</f>
        <v/>
      </c>
      <c r="L1076" t="str">
        <f t="shared" si="83"/>
        <v/>
      </c>
      <c r="M1076" t="str">
        <f t="shared" si="84"/>
        <v/>
      </c>
    </row>
    <row r="1077" spans="1:13" x14ac:dyDescent="0.3">
      <c r="A1077" t="str">
        <f>Segmenter!A1077</f>
        <v/>
      </c>
      <c r="B1077" t="str">
        <f>Segmenter!B1077</f>
        <v/>
      </c>
      <c r="C1077" t="str">
        <f t="shared" si="80"/>
        <v/>
      </c>
      <c r="D1077" t="str">
        <f t="shared" si="81"/>
        <v/>
      </c>
      <c r="E1077" t="str">
        <f t="shared" si="82"/>
        <v/>
      </c>
      <c r="F1077" t="str">
        <f>IF(D1077="","",INDEX(Knutepunkter!$B:$B,D1077+1))</f>
        <v/>
      </c>
      <c r="G1077" t="str">
        <f>IF(D1077="","",INDEX(Knutepunkter!$C:$C,D1077+1))</f>
        <v/>
      </c>
      <c r="H1077" t="str">
        <f>IF(D1077="","",INDEX(Knutepunkter!$D:$D,D1077+1))</f>
        <v/>
      </c>
      <c r="I1077" t="str">
        <f>IF(E1077="","",INDEX(Knutepunkter!$B:$B,E1077+1))</f>
        <v/>
      </c>
      <c r="J1077" t="str">
        <f>IF(E1077="","",INDEX(Knutepunkter!$C:$C,E1077+1))</f>
        <v/>
      </c>
      <c r="K1077" t="str">
        <f>IF(E1077="","",INDEX(Knutepunkter!$D:$D,E1077+1))</f>
        <v/>
      </c>
      <c r="L1077" t="str">
        <f t="shared" si="83"/>
        <v/>
      </c>
      <c r="M1077" t="str">
        <f t="shared" si="84"/>
        <v/>
      </c>
    </row>
    <row r="1078" spans="1:13" x14ac:dyDescent="0.3">
      <c r="A1078" t="str">
        <f>Segmenter!A1078</f>
        <v/>
      </c>
      <c r="B1078" t="str">
        <f>Segmenter!B1078</f>
        <v/>
      </c>
      <c r="C1078" t="str">
        <f t="shared" si="80"/>
        <v/>
      </c>
      <c r="D1078" t="str">
        <f t="shared" si="81"/>
        <v/>
      </c>
      <c r="E1078" t="str">
        <f t="shared" si="82"/>
        <v/>
      </c>
      <c r="F1078" t="str">
        <f>IF(D1078="","",INDEX(Knutepunkter!$B:$B,D1078+1))</f>
        <v/>
      </c>
      <c r="G1078" t="str">
        <f>IF(D1078="","",INDEX(Knutepunkter!$C:$C,D1078+1))</f>
        <v/>
      </c>
      <c r="H1078" t="str">
        <f>IF(D1078="","",INDEX(Knutepunkter!$D:$D,D1078+1))</f>
        <v/>
      </c>
      <c r="I1078" t="str">
        <f>IF(E1078="","",INDEX(Knutepunkter!$B:$B,E1078+1))</f>
        <v/>
      </c>
      <c r="J1078" t="str">
        <f>IF(E1078="","",INDEX(Knutepunkter!$C:$C,E1078+1))</f>
        <v/>
      </c>
      <c r="K1078" t="str">
        <f>IF(E1078="","",INDEX(Knutepunkter!$D:$D,E1078+1))</f>
        <v/>
      </c>
      <c r="L1078" t="str">
        <f t="shared" si="83"/>
        <v/>
      </c>
      <c r="M1078" t="str">
        <f t="shared" si="84"/>
        <v/>
      </c>
    </row>
    <row r="1079" spans="1:13" x14ac:dyDescent="0.3">
      <c r="A1079" t="str">
        <f>Segmenter!A1079</f>
        <v/>
      </c>
      <c r="B1079" t="str">
        <f>Segmenter!B1079</f>
        <v/>
      </c>
      <c r="C1079" t="str">
        <f t="shared" si="80"/>
        <v/>
      </c>
      <c r="D1079" t="str">
        <f t="shared" si="81"/>
        <v/>
      </c>
      <c r="E1079" t="str">
        <f t="shared" si="82"/>
        <v/>
      </c>
      <c r="F1079" t="str">
        <f>IF(D1079="","",INDEX(Knutepunkter!$B:$B,D1079+1))</f>
        <v/>
      </c>
      <c r="G1079" t="str">
        <f>IF(D1079="","",INDEX(Knutepunkter!$C:$C,D1079+1))</f>
        <v/>
      </c>
      <c r="H1079" t="str">
        <f>IF(D1079="","",INDEX(Knutepunkter!$D:$D,D1079+1))</f>
        <v/>
      </c>
      <c r="I1079" t="str">
        <f>IF(E1079="","",INDEX(Knutepunkter!$B:$B,E1079+1))</f>
        <v/>
      </c>
      <c r="J1079" t="str">
        <f>IF(E1079="","",INDEX(Knutepunkter!$C:$C,E1079+1))</f>
        <v/>
      </c>
      <c r="K1079" t="str">
        <f>IF(E1079="","",INDEX(Knutepunkter!$D:$D,E1079+1))</f>
        <v/>
      </c>
      <c r="L1079" t="str">
        <f t="shared" si="83"/>
        <v/>
      </c>
      <c r="M1079" t="str">
        <f t="shared" si="84"/>
        <v/>
      </c>
    </row>
    <row r="1080" spans="1:13" x14ac:dyDescent="0.3">
      <c r="A1080" t="str">
        <f>Segmenter!A1080</f>
        <v/>
      </c>
      <c r="B1080" t="str">
        <f>Segmenter!B1080</f>
        <v/>
      </c>
      <c r="C1080" t="str">
        <f t="shared" si="80"/>
        <v/>
      </c>
      <c r="D1080" t="str">
        <f t="shared" si="81"/>
        <v/>
      </c>
      <c r="E1080" t="str">
        <f t="shared" si="82"/>
        <v/>
      </c>
      <c r="F1080" t="str">
        <f>IF(D1080="","",INDEX(Knutepunkter!$B:$B,D1080+1))</f>
        <v/>
      </c>
      <c r="G1080" t="str">
        <f>IF(D1080="","",INDEX(Knutepunkter!$C:$C,D1080+1))</f>
        <v/>
      </c>
      <c r="H1080" t="str">
        <f>IF(D1080="","",INDEX(Knutepunkter!$D:$D,D1080+1))</f>
        <v/>
      </c>
      <c r="I1080" t="str">
        <f>IF(E1080="","",INDEX(Knutepunkter!$B:$B,E1080+1))</f>
        <v/>
      </c>
      <c r="J1080" t="str">
        <f>IF(E1080="","",INDEX(Knutepunkter!$C:$C,E1080+1))</f>
        <v/>
      </c>
      <c r="K1080" t="str">
        <f>IF(E1080="","",INDEX(Knutepunkter!$D:$D,E1080+1))</f>
        <v/>
      </c>
      <c r="L1080" t="str">
        <f t="shared" si="83"/>
        <v/>
      </c>
      <c r="M1080" t="str">
        <f t="shared" si="84"/>
        <v/>
      </c>
    </row>
    <row r="1081" spans="1:13" x14ac:dyDescent="0.3">
      <c r="A1081" t="str">
        <f>Segmenter!A1081</f>
        <v/>
      </c>
      <c r="B1081" t="str">
        <f>Segmenter!B1081</f>
        <v/>
      </c>
      <c r="C1081" t="str">
        <f t="shared" si="80"/>
        <v/>
      </c>
      <c r="D1081" t="str">
        <f t="shared" si="81"/>
        <v/>
      </c>
      <c r="E1081" t="str">
        <f t="shared" si="82"/>
        <v/>
      </c>
      <c r="F1081" t="str">
        <f>IF(D1081="","",INDEX(Knutepunkter!$B:$B,D1081+1))</f>
        <v/>
      </c>
      <c r="G1081" t="str">
        <f>IF(D1081="","",INDEX(Knutepunkter!$C:$C,D1081+1))</f>
        <v/>
      </c>
      <c r="H1081" t="str">
        <f>IF(D1081="","",INDEX(Knutepunkter!$D:$D,D1081+1))</f>
        <v/>
      </c>
      <c r="I1081" t="str">
        <f>IF(E1081="","",INDEX(Knutepunkter!$B:$B,E1081+1))</f>
        <v/>
      </c>
      <c r="J1081" t="str">
        <f>IF(E1081="","",INDEX(Knutepunkter!$C:$C,E1081+1))</f>
        <v/>
      </c>
      <c r="K1081" t="str">
        <f>IF(E1081="","",INDEX(Knutepunkter!$D:$D,E1081+1))</f>
        <v/>
      </c>
      <c r="L1081" t="str">
        <f t="shared" si="83"/>
        <v/>
      </c>
      <c r="M1081" t="str">
        <f t="shared" si="84"/>
        <v/>
      </c>
    </row>
    <row r="1082" spans="1:13" x14ac:dyDescent="0.3">
      <c r="A1082" t="str">
        <f>Segmenter!A1082</f>
        <v/>
      </c>
      <c r="B1082" t="str">
        <f>Segmenter!B1082</f>
        <v/>
      </c>
      <c r="C1082" t="str">
        <f t="shared" si="80"/>
        <v/>
      </c>
      <c r="D1082" t="str">
        <f t="shared" si="81"/>
        <v/>
      </c>
      <c r="E1082" t="str">
        <f t="shared" si="82"/>
        <v/>
      </c>
      <c r="F1082" t="str">
        <f>IF(D1082="","",INDEX(Knutepunkter!$B:$B,D1082+1))</f>
        <v/>
      </c>
      <c r="G1082" t="str">
        <f>IF(D1082="","",INDEX(Knutepunkter!$C:$C,D1082+1))</f>
        <v/>
      </c>
      <c r="H1082" t="str">
        <f>IF(D1082="","",INDEX(Knutepunkter!$D:$D,D1082+1))</f>
        <v/>
      </c>
      <c r="I1082" t="str">
        <f>IF(E1082="","",INDEX(Knutepunkter!$B:$B,E1082+1))</f>
        <v/>
      </c>
      <c r="J1082" t="str">
        <f>IF(E1082="","",INDEX(Knutepunkter!$C:$C,E1082+1))</f>
        <v/>
      </c>
      <c r="K1082" t="str">
        <f>IF(E1082="","",INDEX(Knutepunkter!$D:$D,E1082+1))</f>
        <v/>
      </c>
      <c r="L1082" t="str">
        <f t="shared" si="83"/>
        <v/>
      </c>
      <c r="M1082" t="str">
        <f t="shared" si="84"/>
        <v/>
      </c>
    </row>
    <row r="1083" spans="1:13" x14ac:dyDescent="0.3">
      <c r="A1083" t="str">
        <f>Segmenter!A1083</f>
        <v/>
      </c>
      <c r="B1083" t="str">
        <f>Segmenter!B1083</f>
        <v/>
      </c>
      <c r="C1083" t="str">
        <f t="shared" si="80"/>
        <v/>
      </c>
      <c r="D1083" t="str">
        <f t="shared" si="81"/>
        <v/>
      </c>
      <c r="E1083" t="str">
        <f t="shared" si="82"/>
        <v/>
      </c>
      <c r="F1083" t="str">
        <f>IF(D1083="","",INDEX(Knutepunkter!$B:$B,D1083+1))</f>
        <v/>
      </c>
      <c r="G1083" t="str">
        <f>IF(D1083="","",INDEX(Knutepunkter!$C:$C,D1083+1))</f>
        <v/>
      </c>
      <c r="H1083" t="str">
        <f>IF(D1083="","",INDEX(Knutepunkter!$D:$D,D1083+1))</f>
        <v/>
      </c>
      <c r="I1083" t="str">
        <f>IF(E1083="","",INDEX(Knutepunkter!$B:$B,E1083+1))</f>
        <v/>
      </c>
      <c r="J1083" t="str">
        <f>IF(E1083="","",INDEX(Knutepunkter!$C:$C,E1083+1))</f>
        <v/>
      </c>
      <c r="K1083" t="str">
        <f>IF(E1083="","",INDEX(Knutepunkter!$D:$D,E1083+1))</f>
        <v/>
      </c>
      <c r="L1083" t="str">
        <f t="shared" si="83"/>
        <v/>
      </c>
      <c r="M1083" t="str">
        <f t="shared" si="84"/>
        <v/>
      </c>
    </row>
    <row r="1084" spans="1:13" x14ac:dyDescent="0.3">
      <c r="A1084" t="str">
        <f>Segmenter!A1084</f>
        <v/>
      </c>
      <c r="B1084" t="str">
        <f>Segmenter!B1084</f>
        <v/>
      </c>
      <c r="C1084" t="str">
        <f t="shared" si="80"/>
        <v/>
      </c>
      <c r="D1084" t="str">
        <f t="shared" si="81"/>
        <v/>
      </c>
      <c r="E1084" t="str">
        <f t="shared" si="82"/>
        <v/>
      </c>
      <c r="F1084" t="str">
        <f>IF(D1084="","",INDEX(Knutepunkter!$B:$B,D1084+1))</f>
        <v/>
      </c>
      <c r="G1084" t="str">
        <f>IF(D1084="","",INDEX(Knutepunkter!$C:$C,D1084+1))</f>
        <v/>
      </c>
      <c r="H1084" t="str">
        <f>IF(D1084="","",INDEX(Knutepunkter!$D:$D,D1084+1))</f>
        <v/>
      </c>
      <c r="I1084" t="str">
        <f>IF(E1084="","",INDEX(Knutepunkter!$B:$B,E1084+1))</f>
        <v/>
      </c>
      <c r="J1084" t="str">
        <f>IF(E1084="","",INDEX(Knutepunkter!$C:$C,E1084+1))</f>
        <v/>
      </c>
      <c r="K1084" t="str">
        <f>IF(E1084="","",INDEX(Knutepunkter!$D:$D,E1084+1))</f>
        <v/>
      </c>
      <c r="L1084" t="str">
        <f t="shared" si="83"/>
        <v/>
      </c>
      <c r="M1084" t="str">
        <f t="shared" si="84"/>
        <v/>
      </c>
    </row>
    <row r="1085" spans="1:13" x14ac:dyDescent="0.3">
      <c r="A1085" t="str">
        <f>Segmenter!A1085</f>
        <v/>
      </c>
      <c r="B1085" t="str">
        <f>Segmenter!B1085</f>
        <v/>
      </c>
      <c r="C1085" t="str">
        <f t="shared" si="80"/>
        <v/>
      </c>
      <c r="D1085" t="str">
        <f t="shared" si="81"/>
        <v/>
      </c>
      <c r="E1085" t="str">
        <f t="shared" si="82"/>
        <v/>
      </c>
      <c r="F1085" t="str">
        <f>IF(D1085="","",INDEX(Knutepunkter!$B:$B,D1085+1))</f>
        <v/>
      </c>
      <c r="G1085" t="str">
        <f>IF(D1085="","",INDEX(Knutepunkter!$C:$C,D1085+1))</f>
        <v/>
      </c>
      <c r="H1085" t="str">
        <f>IF(D1085="","",INDEX(Knutepunkter!$D:$D,D1085+1))</f>
        <v/>
      </c>
      <c r="I1085" t="str">
        <f>IF(E1085="","",INDEX(Knutepunkter!$B:$B,E1085+1))</f>
        <v/>
      </c>
      <c r="J1085" t="str">
        <f>IF(E1085="","",INDEX(Knutepunkter!$C:$C,E1085+1))</f>
        <v/>
      </c>
      <c r="K1085" t="str">
        <f>IF(E1085="","",INDEX(Knutepunkter!$D:$D,E1085+1))</f>
        <v/>
      </c>
      <c r="L1085" t="str">
        <f t="shared" si="83"/>
        <v/>
      </c>
      <c r="M1085" t="str">
        <f t="shared" si="84"/>
        <v/>
      </c>
    </row>
    <row r="1086" spans="1:13" x14ac:dyDescent="0.3">
      <c r="A1086" t="str">
        <f>Segmenter!A1086</f>
        <v/>
      </c>
      <c r="B1086" t="str">
        <f>Segmenter!B1086</f>
        <v/>
      </c>
      <c r="C1086" t="str">
        <f t="shared" si="80"/>
        <v/>
      </c>
      <c r="D1086" t="str">
        <f t="shared" si="81"/>
        <v/>
      </c>
      <c r="E1086" t="str">
        <f t="shared" si="82"/>
        <v/>
      </c>
      <c r="F1086" t="str">
        <f>IF(D1086="","",INDEX(Knutepunkter!$B:$B,D1086+1))</f>
        <v/>
      </c>
      <c r="G1086" t="str">
        <f>IF(D1086="","",INDEX(Knutepunkter!$C:$C,D1086+1))</f>
        <v/>
      </c>
      <c r="H1086" t="str">
        <f>IF(D1086="","",INDEX(Knutepunkter!$D:$D,D1086+1))</f>
        <v/>
      </c>
      <c r="I1086" t="str">
        <f>IF(E1086="","",INDEX(Knutepunkter!$B:$B,E1086+1))</f>
        <v/>
      </c>
      <c r="J1086" t="str">
        <f>IF(E1086="","",INDEX(Knutepunkter!$C:$C,E1086+1))</f>
        <v/>
      </c>
      <c r="K1086" t="str">
        <f>IF(E1086="","",INDEX(Knutepunkter!$D:$D,E1086+1))</f>
        <v/>
      </c>
      <c r="L1086" t="str">
        <f t="shared" si="83"/>
        <v/>
      </c>
      <c r="M1086" t="str">
        <f t="shared" si="84"/>
        <v/>
      </c>
    </row>
    <row r="1087" spans="1:13" x14ac:dyDescent="0.3">
      <c r="A1087" t="str">
        <f>Segmenter!A1087</f>
        <v/>
      </c>
      <c r="B1087" t="str">
        <f>Segmenter!B1087</f>
        <v/>
      </c>
      <c r="C1087" t="str">
        <f t="shared" si="80"/>
        <v/>
      </c>
      <c r="D1087" t="str">
        <f t="shared" si="81"/>
        <v/>
      </c>
      <c r="E1087" t="str">
        <f t="shared" si="82"/>
        <v/>
      </c>
      <c r="F1087" t="str">
        <f>IF(D1087="","",INDEX(Knutepunkter!$B:$B,D1087+1))</f>
        <v/>
      </c>
      <c r="G1087" t="str">
        <f>IF(D1087="","",INDEX(Knutepunkter!$C:$C,D1087+1))</f>
        <v/>
      </c>
      <c r="H1087" t="str">
        <f>IF(D1087="","",INDEX(Knutepunkter!$D:$D,D1087+1))</f>
        <v/>
      </c>
      <c r="I1087" t="str">
        <f>IF(E1087="","",INDEX(Knutepunkter!$B:$B,E1087+1))</f>
        <v/>
      </c>
      <c r="J1087" t="str">
        <f>IF(E1087="","",INDEX(Knutepunkter!$C:$C,E1087+1))</f>
        <v/>
      </c>
      <c r="K1087" t="str">
        <f>IF(E1087="","",INDEX(Knutepunkter!$D:$D,E1087+1))</f>
        <v/>
      </c>
      <c r="L1087" t="str">
        <f t="shared" si="83"/>
        <v/>
      </c>
      <c r="M1087" t="str">
        <f t="shared" si="84"/>
        <v/>
      </c>
    </row>
    <row r="1088" spans="1:13" x14ac:dyDescent="0.3">
      <c r="A1088" t="str">
        <f>Segmenter!A1088</f>
        <v/>
      </c>
      <c r="B1088" t="str">
        <f>Segmenter!B1088</f>
        <v/>
      </c>
      <c r="C1088" t="str">
        <f t="shared" si="80"/>
        <v/>
      </c>
      <c r="D1088" t="str">
        <f t="shared" si="81"/>
        <v/>
      </c>
      <c r="E1088" t="str">
        <f t="shared" si="82"/>
        <v/>
      </c>
      <c r="F1088" t="str">
        <f>IF(D1088="","",INDEX(Knutepunkter!$B:$B,D1088+1))</f>
        <v/>
      </c>
      <c r="G1088" t="str">
        <f>IF(D1088="","",INDEX(Knutepunkter!$C:$C,D1088+1))</f>
        <v/>
      </c>
      <c r="H1088" t="str">
        <f>IF(D1088="","",INDEX(Knutepunkter!$D:$D,D1088+1))</f>
        <v/>
      </c>
      <c r="I1088" t="str">
        <f>IF(E1088="","",INDEX(Knutepunkter!$B:$B,E1088+1))</f>
        <v/>
      </c>
      <c r="J1088" t="str">
        <f>IF(E1088="","",INDEX(Knutepunkter!$C:$C,E1088+1))</f>
        <v/>
      </c>
      <c r="K1088" t="str">
        <f>IF(E1088="","",INDEX(Knutepunkter!$D:$D,E1088+1))</f>
        <v/>
      </c>
      <c r="L1088" t="str">
        <f t="shared" si="83"/>
        <v/>
      </c>
      <c r="M1088" t="str">
        <f t="shared" si="84"/>
        <v/>
      </c>
    </row>
    <row r="1089" spans="1:13" x14ac:dyDescent="0.3">
      <c r="A1089" t="str">
        <f>Segmenter!A1089</f>
        <v/>
      </c>
      <c r="B1089" t="str">
        <f>Segmenter!B1089</f>
        <v/>
      </c>
      <c r="C1089" t="str">
        <f t="shared" si="80"/>
        <v/>
      </c>
      <c r="D1089" t="str">
        <f t="shared" si="81"/>
        <v/>
      </c>
      <c r="E1089" t="str">
        <f t="shared" si="82"/>
        <v/>
      </c>
      <c r="F1089" t="str">
        <f>IF(D1089="","",INDEX(Knutepunkter!$B:$B,D1089+1))</f>
        <v/>
      </c>
      <c r="G1089" t="str">
        <f>IF(D1089="","",INDEX(Knutepunkter!$C:$C,D1089+1))</f>
        <v/>
      </c>
      <c r="H1089" t="str">
        <f>IF(D1089="","",INDEX(Knutepunkter!$D:$D,D1089+1))</f>
        <v/>
      </c>
      <c r="I1089" t="str">
        <f>IF(E1089="","",INDEX(Knutepunkter!$B:$B,E1089+1))</f>
        <v/>
      </c>
      <c r="J1089" t="str">
        <f>IF(E1089="","",INDEX(Knutepunkter!$C:$C,E1089+1))</f>
        <v/>
      </c>
      <c r="K1089" t="str">
        <f>IF(E1089="","",INDEX(Knutepunkter!$D:$D,E1089+1))</f>
        <v/>
      </c>
      <c r="L1089" t="str">
        <f t="shared" si="83"/>
        <v/>
      </c>
      <c r="M1089" t="str">
        <f t="shared" si="84"/>
        <v/>
      </c>
    </row>
    <row r="1090" spans="1:13" x14ac:dyDescent="0.3">
      <c r="A1090" t="str">
        <f>Segmenter!A1090</f>
        <v/>
      </c>
      <c r="B1090" t="str">
        <f>Segmenter!B1090</f>
        <v/>
      </c>
      <c r="C1090" t="str">
        <f t="shared" ref="C1090:C1153" si="85">IF(B1090="","",IF(AND(F1090=I1090,G1090=J1090,H1090&lt;&gt;K1090),"Søyle","Bjelke"))</f>
        <v/>
      </c>
      <c r="D1090" t="str">
        <f t="shared" ref="D1090:D1153" si="86">IF(B1090="","",VALUE(LEFT(B1090,FIND(" -&gt; ",B1090)-1)))</f>
        <v/>
      </c>
      <c r="E1090" t="str">
        <f t="shared" ref="E1090:E1153" si="87">IF(B1090="","",VALUE(MID(B1090,FIND(" -&gt; ",B1090)+4,99)))</f>
        <v/>
      </c>
      <c r="F1090" t="str">
        <f>IF(D1090="","",INDEX(Knutepunkter!$B:$B,D1090+1))</f>
        <v/>
      </c>
      <c r="G1090" t="str">
        <f>IF(D1090="","",INDEX(Knutepunkter!$C:$C,D1090+1))</f>
        <v/>
      </c>
      <c r="H1090" t="str">
        <f>IF(D1090="","",INDEX(Knutepunkter!$D:$D,D1090+1))</f>
        <v/>
      </c>
      <c r="I1090" t="str">
        <f>IF(E1090="","",INDEX(Knutepunkter!$B:$B,E1090+1))</f>
        <v/>
      </c>
      <c r="J1090" t="str">
        <f>IF(E1090="","",INDEX(Knutepunkter!$C:$C,E1090+1))</f>
        <v/>
      </c>
      <c r="K1090" t="str">
        <f>IF(E1090="","",INDEX(Knutepunkter!$D:$D,E1090+1))</f>
        <v/>
      </c>
      <c r="L1090" t="str">
        <f t="shared" ref="L1090:L1153" si="88">IF(B1090="","",SQRT((I1090-F1090)^2+(J1090-G1090)^2+(K1090-H1090)^2))</f>
        <v/>
      </c>
      <c r="M1090" t="str">
        <f t="shared" ref="M1090:M1153" si="89">IF(L1090="","",L1090/1000)</f>
        <v/>
      </c>
    </row>
    <row r="1091" spans="1:13" x14ac:dyDescent="0.3">
      <c r="A1091" t="str">
        <f>Segmenter!A1091</f>
        <v/>
      </c>
      <c r="B1091" t="str">
        <f>Segmenter!B1091</f>
        <v/>
      </c>
      <c r="C1091" t="str">
        <f t="shared" si="85"/>
        <v/>
      </c>
      <c r="D1091" t="str">
        <f t="shared" si="86"/>
        <v/>
      </c>
      <c r="E1091" t="str">
        <f t="shared" si="87"/>
        <v/>
      </c>
      <c r="F1091" t="str">
        <f>IF(D1091="","",INDEX(Knutepunkter!$B:$B,D1091+1))</f>
        <v/>
      </c>
      <c r="G1091" t="str">
        <f>IF(D1091="","",INDEX(Knutepunkter!$C:$C,D1091+1))</f>
        <v/>
      </c>
      <c r="H1091" t="str">
        <f>IF(D1091="","",INDEX(Knutepunkter!$D:$D,D1091+1))</f>
        <v/>
      </c>
      <c r="I1091" t="str">
        <f>IF(E1091="","",INDEX(Knutepunkter!$B:$B,E1091+1))</f>
        <v/>
      </c>
      <c r="J1091" t="str">
        <f>IF(E1091="","",INDEX(Knutepunkter!$C:$C,E1091+1))</f>
        <v/>
      </c>
      <c r="K1091" t="str">
        <f>IF(E1091="","",INDEX(Knutepunkter!$D:$D,E1091+1))</f>
        <v/>
      </c>
      <c r="L1091" t="str">
        <f t="shared" si="88"/>
        <v/>
      </c>
      <c r="M1091" t="str">
        <f t="shared" si="89"/>
        <v/>
      </c>
    </row>
    <row r="1092" spans="1:13" x14ac:dyDescent="0.3">
      <c r="A1092" t="str">
        <f>Segmenter!A1092</f>
        <v/>
      </c>
      <c r="B1092" t="str">
        <f>Segmenter!B1092</f>
        <v/>
      </c>
      <c r="C1092" t="str">
        <f t="shared" si="85"/>
        <v/>
      </c>
      <c r="D1092" t="str">
        <f t="shared" si="86"/>
        <v/>
      </c>
      <c r="E1092" t="str">
        <f t="shared" si="87"/>
        <v/>
      </c>
      <c r="F1092" t="str">
        <f>IF(D1092="","",INDEX(Knutepunkter!$B:$B,D1092+1))</f>
        <v/>
      </c>
      <c r="G1092" t="str">
        <f>IF(D1092="","",INDEX(Knutepunkter!$C:$C,D1092+1))</f>
        <v/>
      </c>
      <c r="H1092" t="str">
        <f>IF(D1092="","",INDEX(Knutepunkter!$D:$D,D1092+1))</f>
        <v/>
      </c>
      <c r="I1092" t="str">
        <f>IF(E1092="","",INDEX(Knutepunkter!$B:$B,E1092+1))</f>
        <v/>
      </c>
      <c r="J1092" t="str">
        <f>IF(E1092="","",INDEX(Knutepunkter!$C:$C,E1092+1))</f>
        <v/>
      </c>
      <c r="K1092" t="str">
        <f>IF(E1092="","",INDEX(Knutepunkter!$D:$D,E1092+1))</f>
        <v/>
      </c>
      <c r="L1092" t="str">
        <f t="shared" si="88"/>
        <v/>
      </c>
      <c r="M1092" t="str">
        <f t="shared" si="89"/>
        <v/>
      </c>
    </row>
    <row r="1093" spans="1:13" x14ac:dyDescent="0.3">
      <c r="A1093" t="str">
        <f>Segmenter!A1093</f>
        <v/>
      </c>
      <c r="B1093" t="str">
        <f>Segmenter!B1093</f>
        <v/>
      </c>
      <c r="C1093" t="str">
        <f t="shared" si="85"/>
        <v/>
      </c>
      <c r="D1093" t="str">
        <f t="shared" si="86"/>
        <v/>
      </c>
      <c r="E1093" t="str">
        <f t="shared" si="87"/>
        <v/>
      </c>
      <c r="F1093" t="str">
        <f>IF(D1093="","",INDEX(Knutepunkter!$B:$B,D1093+1))</f>
        <v/>
      </c>
      <c r="G1093" t="str">
        <f>IF(D1093="","",INDEX(Knutepunkter!$C:$C,D1093+1))</f>
        <v/>
      </c>
      <c r="H1093" t="str">
        <f>IF(D1093="","",INDEX(Knutepunkter!$D:$D,D1093+1))</f>
        <v/>
      </c>
      <c r="I1093" t="str">
        <f>IF(E1093="","",INDEX(Knutepunkter!$B:$B,E1093+1))</f>
        <v/>
      </c>
      <c r="J1093" t="str">
        <f>IF(E1093="","",INDEX(Knutepunkter!$C:$C,E1093+1))</f>
        <v/>
      </c>
      <c r="K1093" t="str">
        <f>IF(E1093="","",INDEX(Knutepunkter!$D:$D,E1093+1))</f>
        <v/>
      </c>
      <c r="L1093" t="str">
        <f t="shared" si="88"/>
        <v/>
      </c>
      <c r="M1093" t="str">
        <f t="shared" si="89"/>
        <v/>
      </c>
    </row>
    <row r="1094" spans="1:13" x14ac:dyDescent="0.3">
      <c r="A1094" t="str">
        <f>Segmenter!A1094</f>
        <v/>
      </c>
      <c r="B1094" t="str">
        <f>Segmenter!B1094</f>
        <v/>
      </c>
      <c r="C1094" t="str">
        <f t="shared" si="85"/>
        <v/>
      </c>
      <c r="D1094" t="str">
        <f t="shared" si="86"/>
        <v/>
      </c>
      <c r="E1094" t="str">
        <f t="shared" si="87"/>
        <v/>
      </c>
      <c r="F1094" t="str">
        <f>IF(D1094="","",INDEX(Knutepunkter!$B:$B,D1094+1))</f>
        <v/>
      </c>
      <c r="G1094" t="str">
        <f>IF(D1094="","",INDEX(Knutepunkter!$C:$C,D1094+1))</f>
        <v/>
      </c>
      <c r="H1094" t="str">
        <f>IF(D1094="","",INDEX(Knutepunkter!$D:$D,D1094+1))</f>
        <v/>
      </c>
      <c r="I1094" t="str">
        <f>IF(E1094="","",INDEX(Knutepunkter!$B:$B,E1094+1))</f>
        <v/>
      </c>
      <c r="J1094" t="str">
        <f>IF(E1094="","",INDEX(Knutepunkter!$C:$C,E1094+1))</f>
        <v/>
      </c>
      <c r="K1094" t="str">
        <f>IF(E1094="","",INDEX(Knutepunkter!$D:$D,E1094+1))</f>
        <v/>
      </c>
      <c r="L1094" t="str">
        <f t="shared" si="88"/>
        <v/>
      </c>
      <c r="M1094" t="str">
        <f t="shared" si="89"/>
        <v/>
      </c>
    </row>
    <row r="1095" spans="1:13" x14ac:dyDescent="0.3">
      <c r="A1095" t="str">
        <f>Segmenter!A1095</f>
        <v/>
      </c>
      <c r="B1095" t="str">
        <f>Segmenter!B1095</f>
        <v/>
      </c>
      <c r="C1095" t="str">
        <f t="shared" si="85"/>
        <v/>
      </c>
      <c r="D1095" t="str">
        <f t="shared" si="86"/>
        <v/>
      </c>
      <c r="E1095" t="str">
        <f t="shared" si="87"/>
        <v/>
      </c>
      <c r="F1095" t="str">
        <f>IF(D1095="","",INDEX(Knutepunkter!$B:$B,D1095+1))</f>
        <v/>
      </c>
      <c r="G1095" t="str">
        <f>IF(D1095="","",INDEX(Knutepunkter!$C:$C,D1095+1))</f>
        <v/>
      </c>
      <c r="H1095" t="str">
        <f>IF(D1095="","",INDEX(Knutepunkter!$D:$D,D1095+1))</f>
        <v/>
      </c>
      <c r="I1095" t="str">
        <f>IF(E1095="","",INDEX(Knutepunkter!$B:$B,E1095+1))</f>
        <v/>
      </c>
      <c r="J1095" t="str">
        <f>IF(E1095="","",INDEX(Knutepunkter!$C:$C,E1095+1))</f>
        <v/>
      </c>
      <c r="K1095" t="str">
        <f>IF(E1095="","",INDEX(Knutepunkter!$D:$D,E1095+1))</f>
        <v/>
      </c>
      <c r="L1095" t="str">
        <f t="shared" si="88"/>
        <v/>
      </c>
      <c r="M1095" t="str">
        <f t="shared" si="89"/>
        <v/>
      </c>
    </row>
    <row r="1096" spans="1:13" x14ac:dyDescent="0.3">
      <c r="A1096" t="str">
        <f>Segmenter!A1096</f>
        <v/>
      </c>
      <c r="B1096" t="str">
        <f>Segmenter!B1096</f>
        <v/>
      </c>
      <c r="C1096" t="str">
        <f t="shared" si="85"/>
        <v/>
      </c>
      <c r="D1096" t="str">
        <f t="shared" si="86"/>
        <v/>
      </c>
      <c r="E1096" t="str">
        <f t="shared" si="87"/>
        <v/>
      </c>
      <c r="F1096" t="str">
        <f>IF(D1096="","",INDEX(Knutepunkter!$B:$B,D1096+1))</f>
        <v/>
      </c>
      <c r="G1096" t="str">
        <f>IF(D1096="","",INDEX(Knutepunkter!$C:$C,D1096+1))</f>
        <v/>
      </c>
      <c r="H1096" t="str">
        <f>IF(D1096="","",INDEX(Knutepunkter!$D:$D,D1096+1))</f>
        <v/>
      </c>
      <c r="I1096" t="str">
        <f>IF(E1096="","",INDEX(Knutepunkter!$B:$B,E1096+1))</f>
        <v/>
      </c>
      <c r="J1096" t="str">
        <f>IF(E1096="","",INDEX(Knutepunkter!$C:$C,E1096+1))</f>
        <v/>
      </c>
      <c r="K1096" t="str">
        <f>IF(E1096="","",INDEX(Knutepunkter!$D:$D,E1096+1))</f>
        <v/>
      </c>
      <c r="L1096" t="str">
        <f t="shared" si="88"/>
        <v/>
      </c>
      <c r="M1096" t="str">
        <f t="shared" si="89"/>
        <v/>
      </c>
    </row>
    <row r="1097" spans="1:13" x14ac:dyDescent="0.3">
      <c r="A1097" t="str">
        <f>Segmenter!A1097</f>
        <v/>
      </c>
      <c r="B1097" t="str">
        <f>Segmenter!B1097</f>
        <v/>
      </c>
      <c r="C1097" t="str">
        <f t="shared" si="85"/>
        <v/>
      </c>
      <c r="D1097" t="str">
        <f t="shared" si="86"/>
        <v/>
      </c>
      <c r="E1097" t="str">
        <f t="shared" si="87"/>
        <v/>
      </c>
      <c r="F1097" t="str">
        <f>IF(D1097="","",INDEX(Knutepunkter!$B:$B,D1097+1))</f>
        <v/>
      </c>
      <c r="G1097" t="str">
        <f>IF(D1097="","",INDEX(Knutepunkter!$C:$C,D1097+1))</f>
        <v/>
      </c>
      <c r="H1097" t="str">
        <f>IF(D1097="","",INDEX(Knutepunkter!$D:$D,D1097+1))</f>
        <v/>
      </c>
      <c r="I1097" t="str">
        <f>IF(E1097="","",INDEX(Knutepunkter!$B:$B,E1097+1))</f>
        <v/>
      </c>
      <c r="J1097" t="str">
        <f>IF(E1097="","",INDEX(Knutepunkter!$C:$C,E1097+1))</f>
        <v/>
      </c>
      <c r="K1097" t="str">
        <f>IF(E1097="","",INDEX(Knutepunkter!$D:$D,E1097+1))</f>
        <v/>
      </c>
      <c r="L1097" t="str">
        <f t="shared" si="88"/>
        <v/>
      </c>
      <c r="M1097" t="str">
        <f t="shared" si="89"/>
        <v/>
      </c>
    </row>
    <row r="1098" spans="1:13" x14ac:dyDescent="0.3">
      <c r="A1098" t="str">
        <f>Segmenter!A1098</f>
        <v/>
      </c>
      <c r="B1098" t="str">
        <f>Segmenter!B1098</f>
        <v/>
      </c>
      <c r="C1098" t="str">
        <f t="shared" si="85"/>
        <v/>
      </c>
      <c r="D1098" t="str">
        <f t="shared" si="86"/>
        <v/>
      </c>
      <c r="E1098" t="str">
        <f t="shared" si="87"/>
        <v/>
      </c>
      <c r="F1098" t="str">
        <f>IF(D1098="","",INDEX(Knutepunkter!$B:$B,D1098+1))</f>
        <v/>
      </c>
      <c r="G1098" t="str">
        <f>IF(D1098="","",INDEX(Knutepunkter!$C:$C,D1098+1))</f>
        <v/>
      </c>
      <c r="H1098" t="str">
        <f>IF(D1098="","",INDEX(Knutepunkter!$D:$D,D1098+1))</f>
        <v/>
      </c>
      <c r="I1098" t="str">
        <f>IF(E1098="","",INDEX(Knutepunkter!$B:$B,E1098+1))</f>
        <v/>
      </c>
      <c r="J1098" t="str">
        <f>IF(E1098="","",INDEX(Knutepunkter!$C:$C,E1098+1))</f>
        <v/>
      </c>
      <c r="K1098" t="str">
        <f>IF(E1098="","",INDEX(Knutepunkter!$D:$D,E1098+1))</f>
        <v/>
      </c>
      <c r="L1098" t="str">
        <f t="shared" si="88"/>
        <v/>
      </c>
      <c r="M1098" t="str">
        <f t="shared" si="89"/>
        <v/>
      </c>
    </row>
    <row r="1099" spans="1:13" x14ac:dyDescent="0.3">
      <c r="A1099" t="str">
        <f>Segmenter!A1099</f>
        <v/>
      </c>
      <c r="B1099" t="str">
        <f>Segmenter!B1099</f>
        <v/>
      </c>
      <c r="C1099" t="str">
        <f t="shared" si="85"/>
        <v/>
      </c>
      <c r="D1099" t="str">
        <f t="shared" si="86"/>
        <v/>
      </c>
      <c r="E1099" t="str">
        <f t="shared" si="87"/>
        <v/>
      </c>
      <c r="F1099" t="str">
        <f>IF(D1099="","",INDEX(Knutepunkter!$B:$B,D1099+1))</f>
        <v/>
      </c>
      <c r="G1099" t="str">
        <f>IF(D1099="","",INDEX(Knutepunkter!$C:$C,D1099+1))</f>
        <v/>
      </c>
      <c r="H1099" t="str">
        <f>IF(D1099="","",INDEX(Knutepunkter!$D:$D,D1099+1))</f>
        <v/>
      </c>
      <c r="I1099" t="str">
        <f>IF(E1099="","",INDEX(Knutepunkter!$B:$B,E1099+1))</f>
        <v/>
      </c>
      <c r="J1099" t="str">
        <f>IF(E1099="","",INDEX(Knutepunkter!$C:$C,E1099+1))</f>
        <v/>
      </c>
      <c r="K1099" t="str">
        <f>IF(E1099="","",INDEX(Knutepunkter!$D:$D,E1099+1))</f>
        <v/>
      </c>
      <c r="L1099" t="str">
        <f t="shared" si="88"/>
        <v/>
      </c>
      <c r="M1099" t="str">
        <f t="shared" si="89"/>
        <v/>
      </c>
    </row>
    <row r="1100" spans="1:13" x14ac:dyDescent="0.3">
      <c r="A1100" t="str">
        <f>Segmenter!A1100</f>
        <v/>
      </c>
      <c r="B1100" t="str">
        <f>Segmenter!B1100</f>
        <v/>
      </c>
      <c r="C1100" t="str">
        <f t="shared" si="85"/>
        <v/>
      </c>
      <c r="D1100" t="str">
        <f t="shared" si="86"/>
        <v/>
      </c>
      <c r="E1100" t="str">
        <f t="shared" si="87"/>
        <v/>
      </c>
      <c r="F1100" t="str">
        <f>IF(D1100="","",INDEX(Knutepunkter!$B:$B,D1100+1))</f>
        <v/>
      </c>
      <c r="G1100" t="str">
        <f>IF(D1100="","",INDEX(Knutepunkter!$C:$C,D1100+1))</f>
        <v/>
      </c>
      <c r="H1100" t="str">
        <f>IF(D1100="","",INDEX(Knutepunkter!$D:$D,D1100+1))</f>
        <v/>
      </c>
      <c r="I1100" t="str">
        <f>IF(E1100="","",INDEX(Knutepunkter!$B:$B,E1100+1))</f>
        <v/>
      </c>
      <c r="J1100" t="str">
        <f>IF(E1100="","",INDEX(Knutepunkter!$C:$C,E1100+1))</f>
        <v/>
      </c>
      <c r="K1100" t="str">
        <f>IF(E1100="","",INDEX(Knutepunkter!$D:$D,E1100+1))</f>
        <v/>
      </c>
      <c r="L1100" t="str">
        <f t="shared" si="88"/>
        <v/>
      </c>
      <c r="M1100" t="str">
        <f t="shared" si="89"/>
        <v/>
      </c>
    </row>
    <row r="1101" spans="1:13" x14ac:dyDescent="0.3">
      <c r="A1101" t="str">
        <f>Segmenter!A1101</f>
        <v/>
      </c>
      <c r="B1101" t="str">
        <f>Segmenter!B1101</f>
        <v/>
      </c>
      <c r="C1101" t="str">
        <f t="shared" si="85"/>
        <v/>
      </c>
      <c r="D1101" t="str">
        <f t="shared" si="86"/>
        <v/>
      </c>
      <c r="E1101" t="str">
        <f t="shared" si="87"/>
        <v/>
      </c>
      <c r="F1101" t="str">
        <f>IF(D1101="","",INDEX(Knutepunkter!$B:$B,D1101+1))</f>
        <v/>
      </c>
      <c r="G1101" t="str">
        <f>IF(D1101="","",INDEX(Knutepunkter!$C:$C,D1101+1))</f>
        <v/>
      </c>
      <c r="H1101" t="str">
        <f>IF(D1101="","",INDEX(Knutepunkter!$D:$D,D1101+1))</f>
        <v/>
      </c>
      <c r="I1101" t="str">
        <f>IF(E1101="","",INDEX(Knutepunkter!$B:$B,E1101+1))</f>
        <v/>
      </c>
      <c r="J1101" t="str">
        <f>IF(E1101="","",INDEX(Knutepunkter!$C:$C,E1101+1))</f>
        <v/>
      </c>
      <c r="K1101" t="str">
        <f>IF(E1101="","",INDEX(Knutepunkter!$D:$D,E1101+1))</f>
        <v/>
      </c>
      <c r="L1101" t="str">
        <f t="shared" si="88"/>
        <v/>
      </c>
      <c r="M1101" t="str">
        <f t="shared" si="89"/>
        <v/>
      </c>
    </row>
    <row r="1102" spans="1:13" x14ac:dyDescent="0.3">
      <c r="A1102" t="str">
        <f>Segmenter!A1102</f>
        <v/>
      </c>
      <c r="B1102" t="str">
        <f>Segmenter!B1102</f>
        <v/>
      </c>
      <c r="C1102" t="str">
        <f t="shared" si="85"/>
        <v/>
      </c>
      <c r="D1102" t="str">
        <f t="shared" si="86"/>
        <v/>
      </c>
      <c r="E1102" t="str">
        <f t="shared" si="87"/>
        <v/>
      </c>
      <c r="F1102" t="str">
        <f>IF(D1102="","",INDEX(Knutepunkter!$B:$B,D1102+1))</f>
        <v/>
      </c>
      <c r="G1102" t="str">
        <f>IF(D1102="","",INDEX(Knutepunkter!$C:$C,D1102+1))</f>
        <v/>
      </c>
      <c r="H1102" t="str">
        <f>IF(D1102="","",INDEX(Knutepunkter!$D:$D,D1102+1))</f>
        <v/>
      </c>
      <c r="I1102" t="str">
        <f>IF(E1102="","",INDEX(Knutepunkter!$B:$B,E1102+1))</f>
        <v/>
      </c>
      <c r="J1102" t="str">
        <f>IF(E1102="","",INDEX(Knutepunkter!$C:$C,E1102+1))</f>
        <v/>
      </c>
      <c r="K1102" t="str">
        <f>IF(E1102="","",INDEX(Knutepunkter!$D:$D,E1102+1))</f>
        <v/>
      </c>
      <c r="L1102" t="str">
        <f t="shared" si="88"/>
        <v/>
      </c>
      <c r="M1102" t="str">
        <f t="shared" si="89"/>
        <v/>
      </c>
    </row>
    <row r="1103" spans="1:13" x14ac:dyDescent="0.3">
      <c r="A1103" t="str">
        <f>Segmenter!A1103</f>
        <v/>
      </c>
      <c r="B1103" t="str">
        <f>Segmenter!B1103</f>
        <v/>
      </c>
      <c r="C1103" t="str">
        <f t="shared" si="85"/>
        <v/>
      </c>
      <c r="D1103" t="str">
        <f t="shared" si="86"/>
        <v/>
      </c>
      <c r="E1103" t="str">
        <f t="shared" si="87"/>
        <v/>
      </c>
      <c r="F1103" t="str">
        <f>IF(D1103="","",INDEX(Knutepunkter!$B:$B,D1103+1))</f>
        <v/>
      </c>
      <c r="G1103" t="str">
        <f>IF(D1103="","",INDEX(Knutepunkter!$C:$C,D1103+1))</f>
        <v/>
      </c>
      <c r="H1103" t="str">
        <f>IF(D1103="","",INDEX(Knutepunkter!$D:$D,D1103+1))</f>
        <v/>
      </c>
      <c r="I1103" t="str">
        <f>IF(E1103="","",INDEX(Knutepunkter!$B:$B,E1103+1))</f>
        <v/>
      </c>
      <c r="J1103" t="str">
        <f>IF(E1103="","",INDEX(Knutepunkter!$C:$C,E1103+1))</f>
        <v/>
      </c>
      <c r="K1103" t="str">
        <f>IF(E1103="","",INDEX(Knutepunkter!$D:$D,E1103+1))</f>
        <v/>
      </c>
      <c r="L1103" t="str">
        <f t="shared" si="88"/>
        <v/>
      </c>
      <c r="M1103" t="str">
        <f t="shared" si="89"/>
        <v/>
      </c>
    </row>
    <row r="1104" spans="1:13" x14ac:dyDescent="0.3">
      <c r="A1104" t="str">
        <f>Segmenter!A1104</f>
        <v/>
      </c>
      <c r="B1104" t="str">
        <f>Segmenter!B1104</f>
        <v/>
      </c>
      <c r="C1104" t="str">
        <f t="shared" si="85"/>
        <v/>
      </c>
      <c r="D1104" t="str">
        <f t="shared" si="86"/>
        <v/>
      </c>
      <c r="E1104" t="str">
        <f t="shared" si="87"/>
        <v/>
      </c>
      <c r="F1104" t="str">
        <f>IF(D1104="","",INDEX(Knutepunkter!$B:$B,D1104+1))</f>
        <v/>
      </c>
      <c r="G1104" t="str">
        <f>IF(D1104="","",INDEX(Knutepunkter!$C:$C,D1104+1))</f>
        <v/>
      </c>
      <c r="H1104" t="str">
        <f>IF(D1104="","",INDEX(Knutepunkter!$D:$D,D1104+1))</f>
        <v/>
      </c>
      <c r="I1104" t="str">
        <f>IF(E1104="","",INDEX(Knutepunkter!$B:$B,E1104+1))</f>
        <v/>
      </c>
      <c r="J1104" t="str">
        <f>IF(E1104="","",INDEX(Knutepunkter!$C:$C,E1104+1))</f>
        <v/>
      </c>
      <c r="K1104" t="str">
        <f>IF(E1104="","",INDEX(Knutepunkter!$D:$D,E1104+1))</f>
        <v/>
      </c>
      <c r="L1104" t="str">
        <f t="shared" si="88"/>
        <v/>
      </c>
      <c r="M1104" t="str">
        <f t="shared" si="89"/>
        <v/>
      </c>
    </row>
    <row r="1105" spans="1:13" x14ac:dyDescent="0.3">
      <c r="A1105" t="str">
        <f>Segmenter!A1105</f>
        <v/>
      </c>
      <c r="B1105" t="str">
        <f>Segmenter!B1105</f>
        <v/>
      </c>
      <c r="C1105" t="str">
        <f t="shared" si="85"/>
        <v/>
      </c>
      <c r="D1105" t="str">
        <f t="shared" si="86"/>
        <v/>
      </c>
      <c r="E1105" t="str">
        <f t="shared" si="87"/>
        <v/>
      </c>
      <c r="F1105" t="str">
        <f>IF(D1105="","",INDEX(Knutepunkter!$B:$B,D1105+1))</f>
        <v/>
      </c>
      <c r="G1105" t="str">
        <f>IF(D1105="","",INDEX(Knutepunkter!$C:$C,D1105+1))</f>
        <v/>
      </c>
      <c r="H1105" t="str">
        <f>IF(D1105="","",INDEX(Knutepunkter!$D:$D,D1105+1))</f>
        <v/>
      </c>
      <c r="I1105" t="str">
        <f>IF(E1105="","",INDEX(Knutepunkter!$B:$B,E1105+1))</f>
        <v/>
      </c>
      <c r="J1105" t="str">
        <f>IF(E1105="","",INDEX(Knutepunkter!$C:$C,E1105+1))</f>
        <v/>
      </c>
      <c r="K1105" t="str">
        <f>IF(E1105="","",INDEX(Knutepunkter!$D:$D,E1105+1))</f>
        <v/>
      </c>
      <c r="L1105" t="str">
        <f t="shared" si="88"/>
        <v/>
      </c>
      <c r="M1105" t="str">
        <f t="shared" si="89"/>
        <v/>
      </c>
    </row>
    <row r="1106" spans="1:13" x14ac:dyDescent="0.3">
      <c r="A1106" t="str">
        <f>Segmenter!A1106</f>
        <v/>
      </c>
      <c r="B1106" t="str">
        <f>Segmenter!B1106</f>
        <v/>
      </c>
      <c r="C1106" t="str">
        <f t="shared" si="85"/>
        <v/>
      </c>
      <c r="D1106" t="str">
        <f t="shared" si="86"/>
        <v/>
      </c>
      <c r="E1106" t="str">
        <f t="shared" si="87"/>
        <v/>
      </c>
      <c r="F1106" t="str">
        <f>IF(D1106="","",INDEX(Knutepunkter!$B:$B,D1106+1))</f>
        <v/>
      </c>
      <c r="G1106" t="str">
        <f>IF(D1106="","",INDEX(Knutepunkter!$C:$C,D1106+1))</f>
        <v/>
      </c>
      <c r="H1106" t="str">
        <f>IF(D1106="","",INDEX(Knutepunkter!$D:$D,D1106+1))</f>
        <v/>
      </c>
      <c r="I1106" t="str">
        <f>IF(E1106="","",INDEX(Knutepunkter!$B:$B,E1106+1))</f>
        <v/>
      </c>
      <c r="J1106" t="str">
        <f>IF(E1106="","",INDEX(Knutepunkter!$C:$C,E1106+1))</f>
        <v/>
      </c>
      <c r="K1106" t="str">
        <f>IF(E1106="","",INDEX(Knutepunkter!$D:$D,E1106+1))</f>
        <v/>
      </c>
      <c r="L1106" t="str">
        <f t="shared" si="88"/>
        <v/>
      </c>
      <c r="M1106" t="str">
        <f t="shared" si="89"/>
        <v/>
      </c>
    </row>
    <row r="1107" spans="1:13" x14ac:dyDescent="0.3">
      <c r="A1107" t="str">
        <f>Segmenter!A1107</f>
        <v/>
      </c>
      <c r="B1107" t="str">
        <f>Segmenter!B1107</f>
        <v/>
      </c>
      <c r="C1107" t="str">
        <f t="shared" si="85"/>
        <v/>
      </c>
      <c r="D1107" t="str">
        <f t="shared" si="86"/>
        <v/>
      </c>
      <c r="E1107" t="str">
        <f t="shared" si="87"/>
        <v/>
      </c>
      <c r="F1107" t="str">
        <f>IF(D1107="","",INDEX(Knutepunkter!$B:$B,D1107+1))</f>
        <v/>
      </c>
      <c r="G1107" t="str">
        <f>IF(D1107="","",INDEX(Knutepunkter!$C:$C,D1107+1))</f>
        <v/>
      </c>
      <c r="H1107" t="str">
        <f>IF(D1107="","",INDEX(Knutepunkter!$D:$D,D1107+1))</f>
        <v/>
      </c>
      <c r="I1107" t="str">
        <f>IF(E1107="","",INDEX(Knutepunkter!$B:$B,E1107+1))</f>
        <v/>
      </c>
      <c r="J1107" t="str">
        <f>IF(E1107="","",INDEX(Knutepunkter!$C:$C,E1107+1))</f>
        <v/>
      </c>
      <c r="K1107" t="str">
        <f>IF(E1107="","",INDEX(Knutepunkter!$D:$D,E1107+1))</f>
        <v/>
      </c>
      <c r="L1107" t="str">
        <f t="shared" si="88"/>
        <v/>
      </c>
      <c r="M1107" t="str">
        <f t="shared" si="89"/>
        <v/>
      </c>
    </row>
    <row r="1108" spans="1:13" x14ac:dyDescent="0.3">
      <c r="A1108" t="str">
        <f>Segmenter!A1108</f>
        <v/>
      </c>
      <c r="B1108" t="str">
        <f>Segmenter!B1108</f>
        <v/>
      </c>
      <c r="C1108" t="str">
        <f t="shared" si="85"/>
        <v/>
      </c>
      <c r="D1108" t="str">
        <f t="shared" si="86"/>
        <v/>
      </c>
      <c r="E1108" t="str">
        <f t="shared" si="87"/>
        <v/>
      </c>
      <c r="F1108" t="str">
        <f>IF(D1108="","",INDEX(Knutepunkter!$B:$B,D1108+1))</f>
        <v/>
      </c>
      <c r="G1108" t="str">
        <f>IF(D1108="","",INDEX(Knutepunkter!$C:$C,D1108+1))</f>
        <v/>
      </c>
      <c r="H1108" t="str">
        <f>IF(D1108="","",INDEX(Knutepunkter!$D:$D,D1108+1))</f>
        <v/>
      </c>
      <c r="I1108" t="str">
        <f>IF(E1108="","",INDEX(Knutepunkter!$B:$B,E1108+1))</f>
        <v/>
      </c>
      <c r="J1108" t="str">
        <f>IF(E1108="","",INDEX(Knutepunkter!$C:$C,E1108+1))</f>
        <v/>
      </c>
      <c r="K1108" t="str">
        <f>IF(E1108="","",INDEX(Knutepunkter!$D:$D,E1108+1))</f>
        <v/>
      </c>
      <c r="L1108" t="str">
        <f t="shared" si="88"/>
        <v/>
      </c>
      <c r="M1108" t="str">
        <f t="shared" si="89"/>
        <v/>
      </c>
    </row>
    <row r="1109" spans="1:13" x14ac:dyDescent="0.3">
      <c r="A1109" t="str">
        <f>Segmenter!A1109</f>
        <v/>
      </c>
      <c r="B1109" t="str">
        <f>Segmenter!B1109</f>
        <v/>
      </c>
      <c r="C1109" t="str">
        <f t="shared" si="85"/>
        <v/>
      </c>
      <c r="D1109" t="str">
        <f t="shared" si="86"/>
        <v/>
      </c>
      <c r="E1109" t="str">
        <f t="shared" si="87"/>
        <v/>
      </c>
      <c r="F1109" t="str">
        <f>IF(D1109="","",INDEX(Knutepunkter!$B:$B,D1109+1))</f>
        <v/>
      </c>
      <c r="G1109" t="str">
        <f>IF(D1109="","",INDEX(Knutepunkter!$C:$C,D1109+1))</f>
        <v/>
      </c>
      <c r="H1109" t="str">
        <f>IF(D1109="","",INDEX(Knutepunkter!$D:$D,D1109+1))</f>
        <v/>
      </c>
      <c r="I1109" t="str">
        <f>IF(E1109="","",INDEX(Knutepunkter!$B:$B,E1109+1))</f>
        <v/>
      </c>
      <c r="J1109" t="str">
        <f>IF(E1109="","",INDEX(Knutepunkter!$C:$C,E1109+1))</f>
        <v/>
      </c>
      <c r="K1109" t="str">
        <f>IF(E1109="","",INDEX(Knutepunkter!$D:$D,E1109+1))</f>
        <v/>
      </c>
      <c r="L1109" t="str">
        <f t="shared" si="88"/>
        <v/>
      </c>
      <c r="M1109" t="str">
        <f t="shared" si="89"/>
        <v/>
      </c>
    </row>
    <row r="1110" spans="1:13" x14ac:dyDescent="0.3">
      <c r="A1110" t="str">
        <f>Segmenter!A1110</f>
        <v/>
      </c>
      <c r="B1110" t="str">
        <f>Segmenter!B1110</f>
        <v/>
      </c>
      <c r="C1110" t="str">
        <f t="shared" si="85"/>
        <v/>
      </c>
      <c r="D1110" t="str">
        <f t="shared" si="86"/>
        <v/>
      </c>
      <c r="E1110" t="str">
        <f t="shared" si="87"/>
        <v/>
      </c>
      <c r="F1110" t="str">
        <f>IF(D1110="","",INDEX(Knutepunkter!$B:$B,D1110+1))</f>
        <v/>
      </c>
      <c r="G1110" t="str">
        <f>IF(D1110="","",INDEX(Knutepunkter!$C:$C,D1110+1))</f>
        <v/>
      </c>
      <c r="H1110" t="str">
        <f>IF(D1110="","",INDEX(Knutepunkter!$D:$D,D1110+1))</f>
        <v/>
      </c>
      <c r="I1110" t="str">
        <f>IF(E1110="","",INDEX(Knutepunkter!$B:$B,E1110+1))</f>
        <v/>
      </c>
      <c r="J1110" t="str">
        <f>IF(E1110="","",INDEX(Knutepunkter!$C:$C,E1110+1))</f>
        <v/>
      </c>
      <c r="K1110" t="str">
        <f>IF(E1110="","",INDEX(Knutepunkter!$D:$D,E1110+1))</f>
        <v/>
      </c>
      <c r="L1110" t="str">
        <f t="shared" si="88"/>
        <v/>
      </c>
      <c r="M1110" t="str">
        <f t="shared" si="89"/>
        <v/>
      </c>
    </row>
    <row r="1111" spans="1:13" x14ac:dyDescent="0.3">
      <c r="A1111" t="str">
        <f>Segmenter!A1111</f>
        <v/>
      </c>
      <c r="B1111" t="str">
        <f>Segmenter!B1111</f>
        <v/>
      </c>
      <c r="C1111" t="str">
        <f t="shared" si="85"/>
        <v/>
      </c>
      <c r="D1111" t="str">
        <f t="shared" si="86"/>
        <v/>
      </c>
      <c r="E1111" t="str">
        <f t="shared" si="87"/>
        <v/>
      </c>
      <c r="F1111" t="str">
        <f>IF(D1111="","",INDEX(Knutepunkter!$B:$B,D1111+1))</f>
        <v/>
      </c>
      <c r="G1111" t="str">
        <f>IF(D1111="","",INDEX(Knutepunkter!$C:$C,D1111+1))</f>
        <v/>
      </c>
      <c r="H1111" t="str">
        <f>IF(D1111="","",INDEX(Knutepunkter!$D:$D,D1111+1))</f>
        <v/>
      </c>
      <c r="I1111" t="str">
        <f>IF(E1111="","",INDEX(Knutepunkter!$B:$B,E1111+1))</f>
        <v/>
      </c>
      <c r="J1111" t="str">
        <f>IF(E1111="","",INDEX(Knutepunkter!$C:$C,E1111+1))</f>
        <v/>
      </c>
      <c r="K1111" t="str">
        <f>IF(E1111="","",INDEX(Knutepunkter!$D:$D,E1111+1))</f>
        <v/>
      </c>
      <c r="L1111" t="str">
        <f t="shared" si="88"/>
        <v/>
      </c>
      <c r="M1111" t="str">
        <f t="shared" si="89"/>
        <v/>
      </c>
    </row>
    <row r="1112" spans="1:13" x14ac:dyDescent="0.3">
      <c r="A1112" t="str">
        <f>Segmenter!A1112</f>
        <v/>
      </c>
      <c r="B1112" t="str">
        <f>Segmenter!B1112</f>
        <v/>
      </c>
      <c r="C1112" t="str">
        <f t="shared" si="85"/>
        <v/>
      </c>
      <c r="D1112" t="str">
        <f t="shared" si="86"/>
        <v/>
      </c>
      <c r="E1112" t="str">
        <f t="shared" si="87"/>
        <v/>
      </c>
      <c r="F1112" t="str">
        <f>IF(D1112="","",INDEX(Knutepunkter!$B:$B,D1112+1))</f>
        <v/>
      </c>
      <c r="G1112" t="str">
        <f>IF(D1112="","",INDEX(Knutepunkter!$C:$C,D1112+1))</f>
        <v/>
      </c>
      <c r="H1112" t="str">
        <f>IF(D1112="","",INDEX(Knutepunkter!$D:$D,D1112+1))</f>
        <v/>
      </c>
      <c r="I1112" t="str">
        <f>IF(E1112="","",INDEX(Knutepunkter!$B:$B,E1112+1))</f>
        <v/>
      </c>
      <c r="J1112" t="str">
        <f>IF(E1112="","",INDEX(Knutepunkter!$C:$C,E1112+1))</f>
        <v/>
      </c>
      <c r="K1112" t="str">
        <f>IF(E1112="","",INDEX(Knutepunkter!$D:$D,E1112+1))</f>
        <v/>
      </c>
      <c r="L1112" t="str">
        <f t="shared" si="88"/>
        <v/>
      </c>
      <c r="M1112" t="str">
        <f t="shared" si="89"/>
        <v/>
      </c>
    </row>
    <row r="1113" spans="1:13" x14ac:dyDescent="0.3">
      <c r="A1113" t="str">
        <f>Segmenter!A1113</f>
        <v/>
      </c>
      <c r="B1113" t="str">
        <f>Segmenter!B1113</f>
        <v/>
      </c>
      <c r="C1113" t="str">
        <f t="shared" si="85"/>
        <v/>
      </c>
      <c r="D1113" t="str">
        <f t="shared" si="86"/>
        <v/>
      </c>
      <c r="E1113" t="str">
        <f t="shared" si="87"/>
        <v/>
      </c>
      <c r="F1113" t="str">
        <f>IF(D1113="","",INDEX(Knutepunkter!$B:$B,D1113+1))</f>
        <v/>
      </c>
      <c r="G1113" t="str">
        <f>IF(D1113="","",INDEX(Knutepunkter!$C:$C,D1113+1))</f>
        <v/>
      </c>
      <c r="H1113" t="str">
        <f>IF(D1113="","",INDEX(Knutepunkter!$D:$D,D1113+1))</f>
        <v/>
      </c>
      <c r="I1113" t="str">
        <f>IF(E1113="","",INDEX(Knutepunkter!$B:$B,E1113+1))</f>
        <v/>
      </c>
      <c r="J1113" t="str">
        <f>IF(E1113="","",INDEX(Knutepunkter!$C:$C,E1113+1))</f>
        <v/>
      </c>
      <c r="K1113" t="str">
        <f>IF(E1113="","",INDEX(Knutepunkter!$D:$D,E1113+1))</f>
        <v/>
      </c>
      <c r="L1113" t="str">
        <f t="shared" si="88"/>
        <v/>
      </c>
      <c r="M1113" t="str">
        <f t="shared" si="89"/>
        <v/>
      </c>
    </row>
    <row r="1114" spans="1:13" x14ac:dyDescent="0.3">
      <c r="A1114" t="str">
        <f>Segmenter!A1114</f>
        <v/>
      </c>
      <c r="B1114" t="str">
        <f>Segmenter!B1114</f>
        <v/>
      </c>
      <c r="C1114" t="str">
        <f t="shared" si="85"/>
        <v/>
      </c>
      <c r="D1114" t="str">
        <f t="shared" si="86"/>
        <v/>
      </c>
      <c r="E1114" t="str">
        <f t="shared" si="87"/>
        <v/>
      </c>
      <c r="F1114" t="str">
        <f>IF(D1114="","",INDEX(Knutepunkter!$B:$B,D1114+1))</f>
        <v/>
      </c>
      <c r="G1114" t="str">
        <f>IF(D1114="","",INDEX(Knutepunkter!$C:$C,D1114+1))</f>
        <v/>
      </c>
      <c r="H1114" t="str">
        <f>IF(D1114="","",INDEX(Knutepunkter!$D:$D,D1114+1))</f>
        <v/>
      </c>
      <c r="I1114" t="str">
        <f>IF(E1114="","",INDEX(Knutepunkter!$B:$B,E1114+1))</f>
        <v/>
      </c>
      <c r="J1114" t="str">
        <f>IF(E1114="","",INDEX(Knutepunkter!$C:$C,E1114+1))</f>
        <v/>
      </c>
      <c r="K1114" t="str">
        <f>IF(E1114="","",INDEX(Knutepunkter!$D:$D,E1114+1))</f>
        <v/>
      </c>
      <c r="L1114" t="str">
        <f t="shared" si="88"/>
        <v/>
      </c>
      <c r="M1114" t="str">
        <f t="shared" si="89"/>
        <v/>
      </c>
    </row>
    <row r="1115" spans="1:13" x14ac:dyDescent="0.3">
      <c r="A1115" t="str">
        <f>Segmenter!A1115</f>
        <v/>
      </c>
      <c r="B1115" t="str">
        <f>Segmenter!B1115</f>
        <v/>
      </c>
      <c r="C1115" t="str">
        <f t="shared" si="85"/>
        <v/>
      </c>
      <c r="D1115" t="str">
        <f t="shared" si="86"/>
        <v/>
      </c>
      <c r="E1115" t="str">
        <f t="shared" si="87"/>
        <v/>
      </c>
      <c r="F1115" t="str">
        <f>IF(D1115="","",INDEX(Knutepunkter!$B:$B,D1115+1))</f>
        <v/>
      </c>
      <c r="G1115" t="str">
        <f>IF(D1115="","",INDEX(Knutepunkter!$C:$C,D1115+1))</f>
        <v/>
      </c>
      <c r="H1115" t="str">
        <f>IF(D1115="","",INDEX(Knutepunkter!$D:$D,D1115+1))</f>
        <v/>
      </c>
      <c r="I1115" t="str">
        <f>IF(E1115="","",INDEX(Knutepunkter!$B:$B,E1115+1))</f>
        <v/>
      </c>
      <c r="J1115" t="str">
        <f>IF(E1115="","",INDEX(Knutepunkter!$C:$C,E1115+1))</f>
        <v/>
      </c>
      <c r="K1115" t="str">
        <f>IF(E1115="","",INDEX(Knutepunkter!$D:$D,E1115+1))</f>
        <v/>
      </c>
      <c r="L1115" t="str">
        <f t="shared" si="88"/>
        <v/>
      </c>
      <c r="M1115" t="str">
        <f t="shared" si="89"/>
        <v/>
      </c>
    </row>
    <row r="1116" spans="1:13" x14ac:dyDescent="0.3">
      <c r="A1116" t="str">
        <f>Segmenter!A1116</f>
        <v/>
      </c>
      <c r="B1116" t="str">
        <f>Segmenter!B1116</f>
        <v/>
      </c>
      <c r="C1116" t="str">
        <f t="shared" si="85"/>
        <v/>
      </c>
      <c r="D1116" t="str">
        <f t="shared" si="86"/>
        <v/>
      </c>
      <c r="E1116" t="str">
        <f t="shared" si="87"/>
        <v/>
      </c>
      <c r="F1116" t="str">
        <f>IF(D1116="","",INDEX(Knutepunkter!$B:$B,D1116+1))</f>
        <v/>
      </c>
      <c r="G1116" t="str">
        <f>IF(D1116="","",INDEX(Knutepunkter!$C:$C,D1116+1))</f>
        <v/>
      </c>
      <c r="H1116" t="str">
        <f>IF(D1116="","",INDEX(Knutepunkter!$D:$D,D1116+1))</f>
        <v/>
      </c>
      <c r="I1116" t="str">
        <f>IF(E1116="","",INDEX(Knutepunkter!$B:$B,E1116+1))</f>
        <v/>
      </c>
      <c r="J1116" t="str">
        <f>IF(E1116="","",INDEX(Knutepunkter!$C:$C,E1116+1))</f>
        <v/>
      </c>
      <c r="K1116" t="str">
        <f>IF(E1116="","",INDEX(Knutepunkter!$D:$D,E1116+1))</f>
        <v/>
      </c>
      <c r="L1116" t="str">
        <f t="shared" si="88"/>
        <v/>
      </c>
      <c r="M1116" t="str">
        <f t="shared" si="89"/>
        <v/>
      </c>
    </row>
    <row r="1117" spans="1:13" x14ac:dyDescent="0.3">
      <c r="A1117" t="str">
        <f>Segmenter!A1117</f>
        <v/>
      </c>
      <c r="B1117" t="str">
        <f>Segmenter!B1117</f>
        <v/>
      </c>
      <c r="C1117" t="str">
        <f t="shared" si="85"/>
        <v/>
      </c>
      <c r="D1117" t="str">
        <f t="shared" si="86"/>
        <v/>
      </c>
      <c r="E1117" t="str">
        <f t="shared" si="87"/>
        <v/>
      </c>
      <c r="F1117" t="str">
        <f>IF(D1117="","",INDEX(Knutepunkter!$B:$B,D1117+1))</f>
        <v/>
      </c>
      <c r="G1117" t="str">
        <f>IF(D1117="","",INDEX(Knutepunkter!$C:$C,D1117+1))</f>
        <v/>
      </c>
      <c r="H1117" t="str">
        <f>IF(D1117="","",INDEX(Knutepunkter!$D:$D,D1117+1))</f>
        <v/>
      </c>
      <c r="I1117" t="str">
        <f>IF(E1117="","",INDEX(Knutepunkter!$B:$B,E1117+1))</f>
        <v/>
      </c>
      <c r="J1117" t="str">
        <f>IF(E1117="","",INDEX(Knutepunkter!$C:$C,E1117+1))</f>
        <v/>
      </c>
      <c r="K1117" t="str">
        <f>IF(E1117="","",INDEX(Knutepunkter!$D:$D,E1117+1))</f>
        <v/>
      </c>
      <c r="L1117" t="str">
        <f t="shared" si="88"/>
        <v/>
      </c>
      <c r="M1117" t="str">
        <f t="shared" si="89"/>
        <v/>
      </c>
    </row>
    <row r="1118" spans="1:13" x14ac:dyDescent="0.3">
      <c r="A1118" t="str">
        <f>Segmenter!A1118</f>
        <v/>
      </c>
      <c r="B1118" t="str">
        <f>Segmenter!B1118</f>
        <v/>
      </c>
      <c r="C1118" t="str">
        <f t="shared" si="85"/>
        <v/>
      </c>
      <c r="D1118" t="str">
        <f t="shared" si="86"/>
        <v/>
      </c>
      <c r="E1118" t="str">
        <f t="shared" si="87"/>
        <v/>
      </c>
      <c r="F1118" t="str">
        <f>IF(D1118="","",INDEX(Knutepunkter!$B:$B,D1118+1))</f>
        <v/>
      </c>
      <c r="G1118" t="str">
        <f>IF(D1118="","",INDEX(Knutepunkter!$C:$C,D1118+1))</f>
        <v/>
      </c>
      <c r="H1118" t="str">
        <f>IF(D1118="","",INDEX(Knutepunkter!$D:$D,D1118+1))</f>
        <v/>
      </c>
      <c r="I1118" t="str">
        <f>IF(E1118="","",INDEX(Knutepunkter!$B:$B,E1118+1))</f>
        <v/>
      </c>
      <c r="J1118" t="str">
        <f>IF(E1118="","",INDEX(Knutepunkter!$C:$C,E1118+1))</f>
        <v/>
      </c>
      <c r="K1118" t="str">
        <f>IF(E1118="","",INDEX(Knutepunkter!$D:$D,E1118+1))</f>
        <v/>
      </c>
      <c r="L1118" t="str">
        <f t="shared" si="88"/>
        <v/>
      </c>
      <c r="M1118" t="str">
        <f t="shared" si="89"/>
        <v/>
      </c>
    </row>
    <row r="1119" spans="1:13" x14ac:dyDescent="0.3">
      <c r="A1119" t="str">
        <f>Segmenter!A1119</f>
        <v/>
      </c>
      <c r="B1119" t="str">
        <f>Segmenter!B1119</f>
        <v/>
      </c>
      <c r="C1119" t="str">
        <f t="shared" si="85"/>
        <v/>
      </c>
      <c r="D1119" t="str">
        <f t="shared" si="86"/>
        <v/>
      </c>
      <c r="E1119" t="str">
        <f t="shared" si="87"/>
        <v/>
      </c>
      <c r="F1119" t="str">
        <f>IF(D1119="","",INDEX(Knutepunkter!$B:$B,D1119+1))</f>
        <v/>
      </c>
      <c r="G1119" t="str">
        <f>IF(D1119="","",INDEX(Knutepunkter!$C:$C,D1119+1))</f>
        <v/>
      </c>
      <c r="H1119" t="str">
        <f>IF(D1119="","",INDEX(Knutepunkter!$D:$D,D1119+1))</f>
        <v/>
      </c>
      <c r="I1119" t="str">
        <f>IF(E1119="","",INDEX(Knutepunkter!$B:$B,E1119+1))</f>
        <v/>
      </c>
      <c r="J1119" t="str">
        <f>IF(E1119="","",INDEX(Knutepunkter!$C:$C,E1119+1))</f>
        <v/>
      </c>
      <c r="K1119" t="str">
        <f>IF(E1119="","",INDEX(Knutepunkter!$D:$D,E1119+1))</f>
        <v/>
      </c>
      <c r="L1119" t="str">
        <f t="shared" si="88"/>
        <v/>
      </c>
      <c r="M1119" t="str">
        <f t="shared" si="89"/>
        <v/>
      </c>
    </row>
    <row r="1120" spans="1:13" x14ac:dyDescent="0.3">
      <c r="A1120" t="str">
        <f>Segmenter!A1120</f>
        <v/>
      </c>
      <c r="B1120" t="str">
        <f>Segmenter!B1120</f>
        <v/>
      </c>
      <c r="C1120" t="str">
        <f t="shared" si="85"/>
        <v/>
      </c>
      <c r="D1120" t="str">
        <f t="shared" si="86"/>
        <v/>
      </c>
      <c r="E1120" t="str">
        <f t="shared" si="87"/>
        <v/>
      </c>
      <c r="F1120" t="str">
        <f>IF(D1120="","",INDEX(Knutepunkter!$B:$B,D1120+1))</f>
        <v/>
      </c>
      <c r="G1120" t="str">
        <f>IF(D1120="","",INDEX(Knutepunkter!$C:$C,D1120+1))</f>
        <v/>
      </c>
      <c r="H1120" t="str">
        <f>IF(D1120="","",INDEX(Knutepunkter!$D:$D,D1120+1))</f>
        <v/>
      </c>
      <c r="I1120" t="str">
        <f>IF(E1120="","",INDEX(Knutepunkter!$B:$B,E1120+1))</f>
        <v/>
      </c>
      <c r="J1120" t="str">
        <f>IF(E1120="","",INDEX(Knutepunkter!$C:$C,E1120+1))</f>
        <v/>
      </c>
      <c r="K1120" t="str">
        <f>IF(E1120="","",INDEX(Knutepunkter!$D:$D,E1120+1))</f>
        <v/>
      </c>
      <c r="L1120" t="str">
        <f t="shared" si="88"/>
        <v/>
      </c>
      <c r="M1120" t="str">
        <f t="shared" si="89"/>
        <v/>
      </c>
    </row>
    <row r="1121" spans="1:13" x14ac:dyDescent="0.3">
      <c r="A1121" t="str">
        <f>Segmenter!A1121</f>
        <v/>
      </c>
      <c r="B1121" t="str">
        <f>Segmenter!B1121</f>
        <v/>
      </c>
      <c r="C1121" t="str">
        <f t="shared" si="85"/>
        <v/>
      </c>
      <c r="D1121" t="str">
        <f t="shared" si="86"/>
        <v/>
      </c>
      <c r="E1121" t="str">
        <f t="shared" si="87"/>
        <v/>
      </c>
      <c r="F1121" t="str">
        <f>IF(D1121="","",INDEX(Knutepunkter!$B:$B,D1121+1))</f>
        <v/>
      </c>
      <c r="G1121" t="str">
        <f>IF(D1121="","",INDEX(Knutepunkter!$C:$C,D1121+1))</f>
        <v/>
      </c>
      <c r="H1121" t="str">
        <f>IF(D1121="","",INDEX(Knutepunkter!$D:$D,D1121+1))</f>
        <v/>
      </c>
      <c r="I1121" t="str">
        <f>IF(E1121="","",INDEX(Knutepunkter!$B:$B,E1121+1))</f>
        <v/>
      </c>
      <c r="J1121" t="str">
        <f>IF(E1121="","",INDEX(Knutepunkter!$C:$C,E1121+1))</f>
        <v/>
      </c>
      <c r="K1121" t="str">
        <f>IF(E1121="","",INDEX(Knutepunkter!$D:$D,E1121+1))</f>
        <v/>
      </c>
      <c r="L1121" t="str">
        <f t="shared" si="88"/>
        <v/>
      </c>
      <c r="M1121" t="str">
        <f t="shared" si="89"/>
        <v/>
      </c>
    </row>
    <row r="1122" spans="1:13" x14ac:dyDescent="0.3">
      <c r="A1122" t="str">
        <f>Segmenter!A1122</f>
        <v/>
      </c>
      <c r="B1122" t="str">
        <f>Segmenter!B1122</f>
        <v/>
      </c>
      <c r="C1122" t="str">
        <f t="shared" si="85"/>
        <v/>
      </c>
      <c r="D1122" t="str">
        <f t="shared" si="86"/>
        <v/>
      </c>
      <c r="E1122" t="str">
        <f t="shared" si="87"/>
        <v/>
      </c>
      <c r="F1122" t="str">
        <f>IF(D1122="","",INDEX(Knutepunkter!$B:$B,D1122+1))</f>
        <v/>
      </c>
      <c r="G1122" t="str">
        <f>IF(D1122="","",INDEX(Knutepunkter!$C:$C,D1122+1))</f>
        <v/>
      </c>
      <c r="H1122" t="str">
        <f>IF(D1122="","",INDEX(Knutepunkter!$D:$D,D1122+1))</f>
        <v/>
      </c>
      <c r="I1122" t="str">
        <f>IF(E1122="","",INDEX(Knutepunkter!$B:$B,E1122+1))</f>
        <v/>
      </c>
      <c r="J1122" t="str">
        <f>IF(E1122="","",INDEX(Knutepunkter!$C:$C,E1122+1))</f>
        <v/>
      </c>
      <c r="K1122" t="str">
        <f>IF(E1122="","",INDEX(Knutepunkter!$D:$D,E1122+1))</f>
        <v/>
      </c>
      <c r="L1122" t="str">
        <f t="shared" si="88"/>
        <v/>
      </c>
      <c r="M1122" t="str">
        <f t="shared" si="89"/>
        <v/>
      </c>
    </row>
    <row r="1123" spans="1:13" x14ac:dyDescent="0.3">
      <c r="A1123" t="str">
        <f>Segmenter!A1123</f>
        <v/>
      </c>
      <c r="B1123" t="str">
        <f>Segmenter!B1123</f>
        <v/>
      </c>
      <c r="C1123" t="str">
        <f t="shared" si="85"/>
        <v/>
      </c>
      <c r="D1123" t="str">
        <f t="shared" si="86"/>
        <v/>
      </c>
      <c r="E1123" t="str">
        <f t="shared" si="87"/>
        <v/>
      </c>
      <c r="F1123" t="str">
        <f>IF(D1123="","",INDEX(Knutepunkter!$B:$B,D1123+1))</f>
        <v/>
      </c>
      <c r="G1123" t="str">
        <f>IF(D1123="","",INDEX(Knutepunkter!$C:$C,D1123+1))</f>
        <v/>
      </c>
      <c r="H1123" t="str">
        <f>IF(D1123="","",INDEX(Knutepunkter!$D:$D,D1123+1))</f>
        <v/>
      </c>
      <c r="I1123" t="str">
        <f>IF(E1123="","",INDEX(Knutepunkter!$B:$B,E1123+1))</f>
        <v/>
      </c>
      <c r="J1123" t="str">
        <f>IF(E1123="","",INDEX(Knutepunkter!$C:$C,E1123+1))</f>
        <v/>
      </c>
      <c r="K1123" t="str">
        <f>IF(E1123="","",INDEX(Knutepunkter!$D:$D,E1123+1))</f>
        <v/>
      </c>
      <c r="L1123" t="str">
        <f t="shared" si="88"/>
        <v/>
      </c>
      <c r="M1123" t="str">
        <f t="shared" si="89"/>
        <v/>
      </c>
    </row>
    <row r="1124" spans="1:13" x14ac:dyDescent="0.3">
      <c r="A1124" t="str">
        <f>Segmenter!A1124</f>
        <v/>
      </c>
      <c r="B1124" t="str">
        <f>Segmenter!B1124</f>
        <v/>
      </c>
      <c r="C1124" t="str">
        <f t="shared" si="85"/>
        <v/>
      </c>
      <c r="D1124" t="str">
        <f t="shared" si="86"/>
        <v/>
      </c>
      <c r="E1124" t="str">
        <f t="shared" si="87"/>
        <v/>
      </c>
      <c r="F1124" t="str">
        <f>IF(D1124="","",INDEX(Knutepunkter!$B:$B,D1124+1))</f>
        <v/>
      </c>
      <c r="G1124" t="str">
        <f>IF(D1124="","",INDEX(Knutepunkter!$C:$C,D1124+1))</f>
        <v/>
      </c>
      <c r="H1124" t="str">
        <f>IF(D1124="","",INDEX(Knutepunkter!$D:$D,D1124+1))</f>
        <v/>
      </c>
      <c r="I1124" t="str">
        <f>IF(E1124="","",INDEX(Knutepunkter!$B:$B,E1124+1))</f>
        <v/>
      </c>
      <c r="J1124" t="str">
        <f>IF(E1124="","",INDEX(Knutepunkter!$C:$C,E1124+1))</f>
        <v/>
      </c>
      <c r="K1124" t="str">
        <f>IF(E1124="","",INDEX(Knutepunkter!$D:$D,E1124+1))</f>
        <v/>
      </c>
      <c r="L1124" t="str">
        <f t="shared" si="88"/>
        <v/>
      </c>
      <c r="M1124" t="str">
        <f t="shared" si="89"/>
        <v/>
      </c>
    </row>
    <row r="1125" spans="1:13" x14ac:dyDescent="0.3">
      <c r="A1125" t="str">
        <f>Segmenter!A1125</f>
        <v/>
      </c>
      <c r="B1125" t="str">
        <f>Segmenter!B1125</f>
        <v/>
      </c>
      <c r="C1125" t="str">
        <f t="shared" si="85"/>
        <v/>
      </c>
      <c r="D1125" t="str">
        <f t="shared" si="86"/>
        <v/>
      </c>
      <c r="E1125" t="str">
        <f t="shared" si="87"/>
        <v/>
      </c>
      <c r="F1125" t="str">
        <f>IF(D1125="","",INDEX(Knutepunkter!$B:$B,D1125+1))</f>
        <v/>
      </c>
      <c r="G1125" t="str">
        <f>IF(D1125="","",INDEX(Knutepunkter!$C:$C,D1125+1))</f>
        <v/>
      </c>
      <c r="H1125" t="str">
        <f>IF(D1125="","",INDEX(Knutepunkter!$D:$D,D1125+1))</f>
        <v/>
      </c>
      <c r="I1125" t="str">
        <f>IF(E1125="","",INDEX(Knutepunkter!$B:$B,E1125+1))</f>
        <v/>
      </c>
      <c r="J1125" t="str">
        <f>IF(E1125="","",INDEX(Knutepunkter!$C:$C,E1125+1))</f>
        <v/>
      </c>
      <c r="K1125" t="str">
        <f>IF(E1125="","",INDEX(Knutepunkter!$D:$D,E1125+1))</f>
        <v/>
      </c>
      <c r="L1125" t="str">
        <f t="shared" si="88"/>
        <v/>
      </c>
      <c r="M1125" t="str">
        <f t="shared" si="89"/>
        <v/>
      </c>
    </row>
    <row r="1126" spans="1:13" x14ac:dyDescent="0.3">
      <c r="A1126" t="str">
        <f>Segmenter!A1126</f>
        <v/>
      </c>
      <c r="B1126" t="str">
        <f>Segmenter!B1126</f>
        <v/>
      </c>
      <c r="C1126" t="str">
        <f t="shared" si="85"/>
        <v/>
      </c>
      <c r="D1126" t="str">
        <f t="shared" si="86"/>
        <v/>
      </c>
      <c r="E1126" t="str">
        <f t="shared" si="87"/>
        <v/>
      </c>
      <c r="F1126" t="str">
        <f>IF(D1126="","",INDEX(Knutepunkter!$B:$B,D1126+1))</f>
        <v/>
      </c>
      <c r="G1126" t="str">
        <f>IF(D1126="","",INDEX(Knutepunkter!$C:$C,D1126+1))</f>
        <v/>
      </c>
      <c r="H1126" t="str">
        <f>IF(D1126="","",INDEX(Knutepunkter!$D:$D,D1126+1))</f>
        <v/>
      </c>
      <c r="I1126" t="str">
        <f>IF(E1126="","",INDEX(Knutepunkter!$B:$B,E1126+1))</f>
        <v/>
      </c>
      <c r="J1126" t="str">
        <f>IF(E1126="","",INDEX(Knutepunkter!$C:$C,E1126+1))</f>
        <v/>
      </c>
      <c r="K1126" t="str">
        <f>IF(E1126="","",INDEX(Knutepunkter!$D:$D,E1126+1))</f>
        <v/>
      </c>
      <c r="L1126" t="str">
        <f t="shared" si="88"/>
        <v/>
      </c>
      <c r="M1126" t="str">
        <f t="shared" si="89"/>
        <v/>
      </c>
    </row>
    <row r="1127" spans="1:13" x14ac:dyDescent="0.3">
      <c r="A1127" t="str">
        <f>Segmenter!A1127</f>
        <v/>
      </c>
      <c r="B1127" t="str">
        <f>Segmenter!B1127</f>
        <v/>
      </c>
      <c r="C1127" t="str">
        <f t="shared" si="85"/>
        <v/>
      </c>
      <c r="D1127" t="str">
        <f t="shared" si="86"/>
        <v/>
      </c>
      <c r="E1127" t="str">
        <f t="shared" si="87"/>
        <v/>
      </c>
      <c r="F1127" t="str">
        <f>IF(D1127="","",INDEX(Knutepunkter!$B:$B,D1127+1))</f>
        <v/>
      </c>
      <c r="G1127" t="str">
        <f>IF(D1127="","",INDEX(Knutepunkter!$C:$C,D1127+1))</f>
        <v/>
      </c>
      <c r="H1127" t="str">
        <f>IF(D1127="","",INDEX(Knutepunkter!$D:$D,D1127+1))</f>
        <v/>
      </c>
      <c r="I1127" t="str">
        <f>IF(E1127="","",INDEX(Knutepunkter!$B:$B,E1127+1))</f>
        <v/>
      </c>
      <c r="J1127" t="str">
        <f>IF(E1127="","",INDEX(Knutepunkter!$C:$C,E1127+1))</f>
        <v/>
      </c>
      <c r="K1127" t="str">
        <f>IF(E1127="","",INDEX(Knutepunkter!$D:$D,E1127+1))</f>
        <v/>
      </c>
      <c r="L1127" t="str">
        <f t="shared" si="88"/>
        <v/>
      </c>
      <c r="M1127" t="str">
        <f t="shared" si="89"/>
        <v/>
      </c>
    </row>
    <row r="1128" spans="1:13" x14ac:dyDescent="0.3">
      <c r="A1128" t="str">
        <f>Segmenter!A1128</f>
        <v/>
      </c>
      <c r="B1128" t="str">
        <f>Segmenter!B1128</f>
        <v/>
      </c>
      <c r="C1128" t="str">
        <f t="shared" si="85"/>
        <v/>
      </c>
      <c r="D1128" t="str">
        <f t="shared" si="86"/>
        <v/>
      </c>
      <c r="E1128" t="str">
        <f t="shared" si="87"/>
        <v/>
      </c>
      <c r="F1128" t="str">
        <f>IF(D1128="","",INDEX(Knutepunkter!$B:$B,D1128+1))</f>
        <v/>
      </c>
      <c r="G1128" t="str">
        <f>IF(D1128="","",INDEX(Knutepunkter!$C:$C,D1128+1))</f>
        <v/>
      </c>
      <c r="H1128" t="str">
        <f>IF(D1128="","",INDEX(Knutepunkter!$D:$D,D1128+1))</f>
        <v/>
      </c>
      <c r="I1128" t="str">
        <f>IF(E1128="","",INDEX(Knutepunkter!$B:$B,E1128+1))</f>
        <v/>
      </c>
      <c r="J1128" t="str">
        <f>IF(E1128="","",INDEX(Knutepunkter!$C:$C,E1128+1))</f>
        <v/>
      </c>
      <c r="K1128" t="str">
        <f>IF(E1128="","",INDEX(Knutepunkter!$D:$D,E1128+1))</f>
        <v/>
      </c>
      <c r="L1128" t="str">
        <f t="shared" si="88"/>
        <v/>
      </c>
      <c r="M1128" t="str">
        <f t="shared" si="89"/>
        <v/>
      </c>
    </row>
    <row r="1129" spans="1:13" x14ac:dyDescent="0.3">
      <c r="A1129" t="str">
        <f>Segmenter!A1129</f>
        <v/>
      </c>
      <c r="B1129" t="str">
        <f>Segmenter!B1129</f>
        <v/>
      </c>
      <c r="C1129" t="str">
        <f t="shared" si="85"/>
        <v/>
      </c>
      <c r="D1129" t="str">
        <f t="shared" si="86"/>
        <v/>
      </c>
      <c r="E1129" t="str">
        <f t="shared" si="87"/>
        <v/>
      </c>
      <c r="F1129" t="str">
        <f>IF(D1129="","",INDEX(Knutepunkter!$B:$B,D1129+1))</f>
        <v/>
      </c>
      <c r="G1129" t="str">
        <f>IF(D1129="","",INDEX(Knutepunkter!$C:$C,D1129+1))</f>
        <v/>
      </c>
      <c r="H1129" t="str">
        <f>IF(D1129="","",INDEX(Knutepunkter!$D:$D,D1129+1))</f>
        <v/>
      </c>
      <c r="I1129" t="str">
        <f>IF(E1129="","",INDEX(Knutepunkter!$B:$B,E1129+1))</f>
        <v/>
      </c>
      <c r="J1129" t="str">
        <f>IF(E1129="","",INDEX(Knutepunkter!$C:$C,E1129+1))</f>
        <v/>
      </c>
      <c r="K1129" t="str">
        <f>IF(E1129="","",INDEX(Knutepunkter!$D:$D,E1129+1))</f>
        <v/>
      </c>
      <c r="L1129" t="str">
        <f t="shared" si="88"/>
        <v/>
      </c>
      <c r="M1129" t="str">
        <f t="shared" si="89"/>
        <v/>
      </c>
    </row>
    <row r="1130" spans="1:13" x14ac:dyDescent="0.3">
      <c r="A1130" t="str">
        <f>Segmenter!A1130</f>
        <v/>
      </c>
      <c r="B1130" t="str">
        <f>Segmenter!B1130</f>
        <v/>
      </c>
      <c r="C1130" t="str">
        <f t="shared" si="85"/>
        <v/>
      </c>
      <c r="D1130" t="str">
        <f t="shared" si="86"/>
        <v/>
      </c>
      <c r="E1130" t="str">
        <f t="shared" si="87"/>
        <v/>
      </c>
      <c r="F1130" t="str">
        <f>IF(D1130="","",INDEX(Knutepunkter!$B:$B,D1130+1))</f>
        <v/>
      </c>
      <c r="G1130" t="str">
        <f>IF(D1130="","",INDEX(Knutepunkter!$C:$C,D1130+1))</f>
        <v/>
      </c>
      <c r="H1130" t="str">
        <f>IF(D1130="","",INDEX(Knutepunkter!$D:$D,D1130+1))</f>
        <v/>
      </c>
      <c r="I1130" t="str">
        <f>IF(E1130="","",INDEX(Knutepunkter!$B:$B,E1130+1))</f>
        <v/>
      </c>
      <c r="J1130" t="str">
        <f>IF(E1130="","",INDEX(Knutepunkter!$C:$C,E1130+1))</f>
        <v/>
      </c>
      <c r="K1130" t="str">
        <f>IF(E1130="","",INDEX(Knutepunkter!$D:$D,E1130+1))</f>
        <v/>
      </c>
      <c r="L1130" t="str">
        <f t="shared" si="88"/>
        <v/>
      </c>
      <c r="M1130" t="str">
        <f t="shared" si="89"/>
        <v/>
      </c>
    </row>
    <row r="1131" spans="1:13" x14ac:dyDescent="0.3">
      <c r="A1131" t="str">
        <f>Segmenter!A1131</f>
        <v/>
      </c>
      <c r="B1131" t="str">
        <f>Segmenter!B1131</f>
        <v/>
      </c>
      <c r="C1131" t="str">
        <f t="shared" si="85"/>
        <v/>
      </c>
      <c r="D1131" t="str">
        <f t="shared" si="86"/>
        <v/>
      </c>
      <c r="E1131" t="str">
        <f t="shared" si="87"/>
        <v/>
      </c>
      <c r="F1131" t="str">
        <f>IF(D1131="","",INDEX(Knutepunkter!$B:$B,D1131+1))</f>
        <v/>
      </c>
      <c r="G1131" t="str">
        <f>IF(D1131="","",INDEX(Knutepunkter!$C:$C,D1131+1))</f>
        <v/>
      </c>
      <c r="H1131" t="str">
        <f>IF(D1131="","",INDEX(Knutepunkter!$D:$D,D1131+1))</f>
        <v/>
      </c>
      <c r="I1131" t="str">
        <f>IF(E1131="","",INDEX(Knutepunkter!$B:$B,E1131+1))</f>
        <v/>
      </c>
      <c r="J1131" t="str">
        <f>IF(E1131="","",INDEX(Knutepunkter!$C:$C,E1131+1))</f>
        <v/>
      </c>
      <c r="K1131" t="str">
        <f>IF(E1131="","",INDEX(Knutepunkter!$D:$D,E1131+1))</f>
        <v/>
      </c>
      <c r="L1131" t="str">
        <f t="shared" si="88"/>
        <v/>
      </c>
      <c r="M1131" t="str">
        <f t="shared" si="89"/>
        <v/>
      </c>
    </row>
    <row r="1132" spans="1:13" x14ac:dyDescent="0.3">
      <c r="A1132" t="str">
        <f>Segmenter!A1132</f>
        <v/>
      </c>
      <c r="B1132" t="str">
        <f>Segmenter!B1132</f>
        <v/>
      </c>
      <c r="C1132" t="str">
        <f t="shared" si="85"/>
        <v/>
      </c>
      <c r="D1132" t="str">
        <f t="shared" si="86"/>
        <v/>
      </c>
      <c r="E1132" t="str">
        <f t="shared" si="87"/>
        <v/>
      </c>
      <c r="F1132" t="str">
        <f>IF(D1132="","",INDEX(Knutepunkter!$B:$B,D1132+1))</f>
        <v/>
      </c>
      <c r="G1132" t="str">
        <f>IF(D1132="","",INDEX(Knutepunkter!$C:$C,D1132+1))</f>
        <v/>
      </c>
      <c r="H1132" t="str">
        <f>IF(D1132="","",INDEX(Knutepunkter!$D:$D,D1132+1))</f>
        <v/>
      </c>
      <c r="I1132" t="str">
        <f>IF(E1132="","",INDEX(Knutepunkter!$B:$B,E1132+1))</f>
        <v/>
      </c>
      <c r="J1132" t="str">
        <f>IF(E1132="","",INDEX(Knutepunkter!$C:$C,E1132+1))</f>
        <v/>
      </c>
      <c r="K1132" t="str">
        <f>IF(E1132="","",INDEX(Knutepunkter!$D:$D,E1132+1))</f>
        <v/>
      </c>
      <c r="L1132" t="str">
        <f t="shared" si="88"/>
        <v/>
      </c>
      <c r="M1132" t="str">
        <f t="shared" si="89"/>
        <v/>
      </c>
    </row>
    <row r="1133" spans="1:13" x14ac:dyDescent="0.3">
      <c r="A1133" t="str">
        <f>Segmenter!A1133</f>
        <v/>
      </c>
      <c r="B1133" t="str">
        <f>Segmenter!B1133</f>
        <v/>
      </c>
      <c r="C1133" t="str">
        <f t="shared" si="85"/>
        <v/>
      </c>
      <c r="D1133" t="str">
        <f t="shared" si="86"/>
        <v/>
      </c>
      <c r="E1133" t="str">
        <f t="shared" si="87"/>
        <v/>
      </c>
      <c r="F1133" t="str">
        <f>IF(D1133="","",INDEX(Knutepunkter!$B:$B,D1133+1))</f>
        <v/>
      </c>
      <c r="G1133" t="str">
        <f>IF(D1133="","",INDEX(Knutepunkter!$C:$C,D1133+1))</f>
        <v/>
      </c>
      <c r="H1133" t="str">
        <f>IF(D1133="","",INDEX(Knutepunkter!$D:$D,D1133+1))</f>
        <v/>
      </c>
      <c r="I1133" t="str">
        <f>IF(E1133="","",INDEX(Knutepunkter!$B:$B,E1133+1))</f>
        <v/>
      </c>
      <c r="J1133" t="str">
        <f>IF(E1133="","",INDEX(Knutepunkter!$C:$C,E1133+1))</f>
        <v/>
      </c>
      <c r="K1133" t="str">
        <f>IF(E1133="","",INDEX(Knutepunkter!$D:$D,E1133+1))</f>
        <v/>
      </c>
      <c r="L1133" t="str">
        <f t="shared" si="88"/>
        <v/>
      </c>
      <c r="M1133" t="str">
        <f t="shared" si="89"/>
        <v/>
      </c>
    </row>
    <row r="1134" spans="1:13" x14ac:dyDescent="0.3">
      <c r="A1134" t="str">
        <f>Segmenter!A1134</f>
        <v/>
      </c>
      <c r="B1134" t="str">
        <f>Segmenter!B1134</f>
        <v/>
      </c>
      <c r="C1134" t="str">
        <f t="shared" si="85"/>
        <v/>
      </c>
      <c r="D1134" t="str">
        <f t="shared" si="86"/>
        <v/>
      </c>
      <c r="E1134" t="str">
        <f t="shared" si="87"/>
        <v/>
      </c>
      <c r="F1134" t="str">
        <f>IF(D1134="","",INDEX(Knutepunkter!$B:$B,D1134+1))</f>
        <v/>
      </c>
      <c r="G1134" t="str">
        <f>IF(D1134="","",INDEX(Knutepunkter!$C:$C,D1134+1))</f>
        <v/>
      </c>
      <c r="H1134" t="str">
        <f>IF(D1134="","",INDEX(Knutepunkter!$D:$D,D1134+1))</f>
        <v/>
      </c>
      <c r="I1134" t="str">
        <f>IF(E1134="","",INDEX(Knutepunkter!$B:$B,E1134+1))</f>
        <v/>
      </c>
      <c r="J1134" t="str">
        <f>IF(E1134="","",INDEX(Knutepunkter!$C:$C,E1134+1))</f>
        <v/>
      </c>
      <c r="K1134" t="str">
        <f>IF(E1134="","",INDEX(Knutepunkter!$D:$D,E1134+1))</f>
        <v/>
      </c>
      <c r="L1134" t="str">
        <f t="shared" si="88"/>
        <v/>
      </c>
      <c r="M1134" t="str">
        <f t="shared" si="89"/>
        <v/>
      </c>
    </row>
    <row r="1135" spans="1:13" x14ac:dyDescent="0.3">
      <c r="A1135" t="str">
        <f>Segmenter!A1135</f>
        <v/>
      </c>
      <c r="B1135" t="str">
        <f>Segmenter!B1135</f>
        <v/>
      </c>
      <c r="C1135" t="str">
        <f t="shared" si="85"/>
        <v/>
      </c>
      <c r="D1135" t="str">
        <f t="shared" si="86"/>
        <v/>
      </c>
      <c r="E1135" t="str">
        <f t="shared" si="87"/>
        <v/>
      </c>
      <c r="F1135" t="str">
        <f>IF(D1135="","",INDEX(Knutepunkter!$B:$B,D1135+1))</f>
        <v/>
      </c>
      <c r="G1135" t="str">
        <f>IF(D1135="","",INDEX(Knutepunkter!$C:$C,D1135+1))</f>
        <v/>
      </c>
      <c r="H1135" t="str">
        <f>IF(D1135="","",INDEX(Knutepunkter!$D:$D,D1135+1))</f>
        <v/>
      </c>
      <c r="I1135" t="str">
        <f>IF(E1135="","",INDEX(Knutepunkter!$B:$B,E1135+1))</f>
        <v/>
      </c>
      <c r="J1135" t="str">
        <f>IF(E1135="","",INDEX(Knutepunkter!$C:$C,E1135+1))</f>
        <v/>
      </c>
      <c r="K1135" t="str">
        <f>IF(E1135="","",INDEX(Knutepunkter!$D:$D,E1135+1))</f>
        <v/>
      </c>
      <c r="L1135" t="str">
        <f t="shared" si="88"/>
        <v/>
      </c>
      <c r="M1135" t="str">
        <f t="shared" si="89"/>
        <v/>
      </c>
    </row>
    <row r="1136" spans="1:13" x14ac:dyDescent="0.3">
      <c r="A1136" t="str">
        <f>Segmenter!A1136</f>
        <v/>
      </c>
      <c r="B1136" t="str">
        <f>Segmenter!B1136</f>
        <v/>
      </c>
      <c r="C1136" t="str">
        <f t="shared" si="85"/>
        <v/>
      </c>
      <c r="D1136" t="str">
        <f t="shared" si="86"/>
        <v/>
      </c>
      <c r="E1136" t="str">
        <f t="shared" si="87"/>
        <v/>
      </c>
      <c r="F1136" t="str">
        <f>IF(D1136="","",INDEX(Knutepunkter!$B:$B,D1136+1))</f>
        <v/>
      </c>
      <c r="G1136" t="str">
        <f>IF(D1136="","",INDEX(Knutepunkter!$C:$C,D1136+1))</f>
        <v/>
      </c>
      <c r="H1136" t="str">
        <f>IF(D1136="","",INDEX(Knutepunkter!$D:$D,D1136+1))</f>
        <v/>
      </c>
      <c r="I1136" t="str">
        <f>IF(E1136="","",INDEX(Knutepunkter!$B:$B,E1136+1))</f>
        <v/>
      </c>
      <c r="J1136" t="str">
        <f>IF(E1136="","",INDEX(Knutepunkter!$C:$C,E1136+1))</f>
        <v/>
      </c>
      <c r="K1136" t="str">
        <f>IF(E1136="","",INDEX(Knutepunkter!$D:$D,E1136+1))</f>
        <v/>
      </c>
      <c r="L1136" t="str">
        <f t="shared" si="88"/>
        <v/>
      </c>
      <c r="M1136" t="str">
        <f t="shared" si="89"/>
        <v/>
      </c>
    </row>
    <row r="1137" spans="1:13" x14ac:dyDescent="0.3">
      <c r="A1137" t="str">
        <f>Segmenter!A1137</f>
        <v/>
      </c>
      <c r="B1137" t="str">
        <f>Segmenter!B1137</f>
        <v/>
      </c>
      <c r="C1137" t="str">
        <f t="shared" si="85"/>
        <v/>
      </c>
      <c r="D1137" t="str">
        <f t="shared" si="86"/>
        <v/>
      </c>
      <c r="E1137" t="str">
        <f t="shared" si="87"/>
        <v/>
      </c>
      <c r="F1137" t="str">
        <f>IF(D1137="","",INDEX(Knutepunkter!$B:$B,D1137+1))</f>
        <v/>
      </c>
      <c r="G1137" t="str">
        <f>IF(D1137="","",INDEX(Knutepunkter!$C:$C,D1137+1))</f>
        <v/>
      </c>
      <c r="H1137" t="str">
        <f>IF(D1137="","",INDEX(Knutepunkter!$D:$D,D1137+1))</f>
        <v/>
      </c>
      <c r="I1137" t="str">
        <f>IF(E1137="","",INDEX(Knutepunkter!$B:$B,E1137+1))</f>
        <v/>
      </c>
      <c r="J1137" t="str">
        <f>IF(E1137="","",INDEX(Knutepunkter!$C:$C,E1137+1))</f>
        <v/>
      </c>
      <c r="K1137" t="str">
        <f>IF(E1137="","",INDEX(Knutepunkter!$D:$D,E1137+1))</f>
        <v/>
      </c>
      <c r="L1137" t="str">
        <f t="shared" si="88"/>
        <v/>
      </c>
      <c r="M1137" t="str">
        <f t="shared" si="89"/>
        <v/>
      </c>
    </row>
    <row r="1138" spans="1:13" x14ac:dyDescent="0.3">
      <c r="A1138" t="str">
        <f>Segmenter!A1138</f>
        <v/>
      </c>
      <c r="B1138" t="str">
        <f>Segmenter!B1138</f>
        <v/>
      </c>
      <c r="C1138" t="str">
        <f t="shared" si="85"/>
        <v/>
      </c>
      <c r="D1138" t="str">
        <f t="shared" si="86"/>
        <v/>
      </c>
      <c r="E1138" t="str">
        <f t="shared" si="87"/>
        <v/>
      </c>
      <c r="F1138" t="str">
        <f>IF(D1138="","",INDEX(Knutepunkter!$B:$B,D1138+1))</f>
        <v/>
      </c>
      <c r="G1138" t="str">
        <f>IF(D1138="","",INDEX(Knutepunkter!$C:$C,D1138+1))</f>
        <v/>
      </c>
      <c r="H1138" t="str">
        <f>IF(D1138="","",INDEX(Knutepunkter!$D:$D,D1138+1))</f>
        <v/>
      </c>
      <c r="I1138" t="str">
        <f>IF(E1138="","",INDEX(Knutepunkter!$B:$B,E1138+1))</f>
        <v/>
      </c>
      <c r="J1138" t="str">
        <f>IF(E1138="","",INDEX(Knutepunkter!$C:$C,E1138+1))</f>
        <v/>
      </c>
      <c r="K1138" t="str">
        <f>IF(E1138="","",INDEX(Knutepunkter!$D:$D,E1138+1))</f>
        <v/>
      </c>
      <c r="L1138" t="str">
        <f t="shared" si="88"/>
        <v/>
      </c>
      <c r="M1138" t="str">
        <f t="shared" si="89"/>
        <v/>
      </c>
    </row>
    <row r="1139" spans="1:13" x14ac:dyDescent="0.3">
      <c r="A1139" t="str">
        <f>Segmenter!A1139</f>
        <v/>
      </c>
      <c r="B1139" t="str">
        <f>Segmenter!B1139</f>
        <v/>
      </c>
      <c r="C1139" t="str">
        <f t="shared" si="85"/>
        <v/>
      </c>
      <c r="D1139" t="str">
        <f t="shared" si="86"/>
        <v/>
      </c>
      <c r="E1139" t="str">
        <f t="shared" si="87"/>
        <v/>
      </c>
      <c r="F1139" t="str">
        <f>IF(D1139="","",INDEX(Knutepunkter!$B:$B,D1139+1))</f>
        <v/>
      </c>
      <c r="G1139" t="str">
        <f>IF(D1139="","",INDEX(Knutepunkter!$C:$C,D1139+1))</f>
        <v/>
      </c>
      <c r="H1139" t="str">
        <f>IF(D1139="","",INDEX(Knutepunkter!$D:$D,D1139+1))</f>
        <v/>
      </c>
      <c r="I1139" t="str">
        <f>IF(E1139="","",INDEX(Knutepunkter!$B:$B,E1139+1))</f>
        <v/>
      </c>
      <c r="J1139" t="str">
        <f>IF(E1139="","",INDEX(Knutepunkter!$C:$C,E1139+1))</f>
        <v/>
      </c>
      <c r="K1139" t="str">
        <f>IF(E1139="","",INDEX(Knutepunkter!$D:$D,E1139+1))</f>
        <v/>
      </c>
      <c r="L1139" t="str">
        <f t="shared" si="88"/>
        <v/>
      </c>
      <c r="M1139" t="str">
        <f t="shared" si="89"/>
        <v/>
      </c>
    </row>
    <row r="1140" spans="1:13" x14ac:dyDescent="0.3">
      <c r="A1140" t="str">
        <f>Segmenter!A1140</f>
        <v/>
      </c>
      <c r="B1140" t="str">
        <f>Segmenter!B1140</f>
        <v/>
      </c>
      <c r="C1140" t="str">
        <f t="shared" si="85"/>
        <v/>
      </c>
      <c r="D1140" t="str">
        <f t="shared" si="86"/>
        <v/>
      </c>
      <c r="E1140" t="str">
        <f t="shared" si="87"/>
        <v/>
      </c>
      <c r="F1140" t="str">
        <f>IF(D1140="","",INDEX(Knutepunkter!$B:$B,D1140+1))</f>
        <v/>
      </c>
      <c r="G1140" t="str">
        <f>IF(D1140="","",INDEX(Knutepunkter!$C:$C,D1140+1))</f>
        <v/>
      </c>
      <c r="H1140" t="str">
        <f>IF(D1140="","",INDEX(Knutepunkter!$D:$D,D1140+1))</f>
        <v/>
      </c>
      <c r="I1140" t="str">
        <f>IF(E1140="","",INDEX(Knutepunkter!$B:$B,E1140+1))</f>
        <v/>
      </c>
      <c r="J1140" t="str">
        <f>IF(E1140="","",INDEX(Knutepunkter!$C:$C,E1140+1))</f>
        <v/>
      </c>
      <c r="K1140" t="str">
        <f>IF(E1140="","",INDEX(Knutepunkter!$D:$D,E1140+1))</f>
        <v/>
      </c>
      <c r="L1140" t="str">
        <f t="shared" si="88"/>
        <v/>
      </c>
      <c r="M1140" t="str">
        <f t="shared" si="89"/>
        <v/>
      </c>
    </row>
    <row r="1141" spans="1:13" x14ac:dyDescent="0.3">
      <c r="A1141" t="str">
        <f>Segmenter!A1141</f>
        <v/>
      </c>
      <c r="B1141" t="str">
        <f>Segmenter!B1141</f>
        <v/>
      </c>
      <c r="C1141" t="str">
        <f t="shared" si="85"/>
        <v/>
      </c>
      <c r="D1141" t="str">
        <f t="shared" si="86"/>
        <v/>
      </c>
      <c r="E1141" t="str">
        <f t="shared" si="87"/>
        <v/>
      </c>
      <c r="F1141" t="str">
        <f>IF(D1141="","",INDEX(Knutepunkter!$B:$B,D1141+1))</f>
        <v/>
      </c>
      <c r="G1141" t="str">
        <f>IF(D1141="","",INDEX(Knutepunkter!$C:$C,D1141+1))</f>
        <v/>
      </c>
      <c r="H1141" t="str">
        <f>IF(D1141="","",INDEX(Knutepunkter!$D:$D,D1141+1))</f>
        <v/>
      </c>
      <c r="I1141" t="str">
        <f>IF(E1141="","",INDEX(Knutepunkter!$B:$B,E1141+1))</f>
        <v/>
      </c>
      <c r="J1141" t="str">
        <f>IF(E1141="","",INDEX(Knutepunkter!$C:$C,E1141+1))</f>
        <v/>
      </c>
      <c r="K1141" t="str">
        <f>IF(E1141="","",INDEX(Knutepunkter!$D:$D,E1141+1))</f>
        <v/>
      </c>
      <c r="L1141" t="str">
        <f t="shared" si="88"/>
        <v/>
      </c>
      <c r="M1141" t="str">
        <f t="shared" si="89"/>
        <v/>
      </c>
    </row>
    <row r="1142" spans="1:13" x14ac:dyDescent="0.3">
      <c r="A1142" t="str">
        <f>Segmenter!A1142</f>
        <v/>
      </c>
      <c r="B1142" t="str">
        <f>Segmenter!B1142</f>
        <v/>
      </c>
      <c r="C1142" t="str">
        <f t="shared" si="85"/>
        <v/>
      </c>
      <c r="D1142" t="str">
        <f t="shared" si="86"/>
        <v/>
      </c>
      <c r="E1142" t="str">
        <f t="shared" si="87"/>
        <v/>
      </c>
      <c r="F1142" t="str">
        <f>IF(D1142="","",INDEX(Knutepunkter!$B:$B,D1142+1))</f>
        <v/>
      </c>
      <c r="G1142" t="str">
        <f>IF(D1142="","",INDEX(Knutepunkter!$C:$C,D1142+1))</f>
        <v/>
      </c>
      <c r="H1142" t="str">
        <f>IF(D1142="","",INDEX(Knutepunkter!$D:$D,D1142+1))</f>
        <v/>
      </c>
      <c r="I1142" t="str">
        <f>IF(E1142="","",INDEX(Knutepunkter!$B:$B,E1142+1))</f>
        <v/>
      </c>
      <c r="J1142" t="str">
        <f>IF(E1142="","",INDEX(Knutepunkter!$C:$C,E1142+1))</f>
        <v/>
      </c>
      <c r="K1142" t="str">
        <f>IF(E1142="","",INDEX(Knutepunkter!$D:$D,E1142+1))</f>
        <v/>
      </c>
      <c r="L1142" t="str">
        <f t="shared" si="88"/>
        <v/>
      </c>
      <c r="M1142" t="str">
        <f t="shared" si="89"/>
        <v/>
      </c>
    </row>
    <row r="1143" spans="1:13" x14ac:dyDescent="0.3">
      <c r="A1143" t="str">
        <f>Segmenter!A1143</f>
        <v/>
      </c>
      <c r="B1143" t="str">
        <f>Segmenter!B1143</f>
        <v/>
      </c>
      <c r="C1143" t="str">
        <f t="shared" si="85"/>
        <v/>
      </c>
      <c r="D1143" t="str">
        <f t="shared" si="86"/>
        <v/>
      </c>
      <c r="E1143" t="str">
        <f t="shared" si="87"/>
        <v/>
      </c>
      <c r="F1143" t="str">
        <f>IF(D1143="","",INDEX(Knutepunkter!$B:$B,D1143+1))</f>
        <v/>
      </c>
      <c r="G1143" t="str">
        <f>IF(D1143="","",INDEX(Knutepunkter!$C:$C,D1143+1))</f>
        <v/>
      </c>
      <c r="H1143" t="str">
        <f>IF(D1143="","",INDEX(Knutepunkter!$D:$D,D1143+1))</f>
        <v/>
      </c>
      <c r="I1143" t="str">
        <f>IF(E1143="","",INDEX(Knutepunkter!$B:$B,E1143+1))</f>
        <v/>
      </c>
      <c r="J1143" t="str">
        <f>IF(E1143="","",INDEX(Knutepunkter!$C:$C,E1143+1))</f>
        <v/>
      </c>
      <c r="K1143" t="str">
        <f>IF(E1143="","",INDEX(Knutepunkter!$D:$D,E1143+1))</f>
        <v/>
      </c>
      <c r="L1143" t="str">
        <f t="shared" si="88"/>
        <v/>
      </c>
      <c r="M1143" t="str">
        <f t="shared" si="89"/>
        <v/>
      </c>
    </row>
    <row r="1144" spans="1:13" x14ac:dyDescent="0.3">
      <c r="A1144" t="str">
        <f>Segmenter!A1144</f>
        <v/>
      </c>
      <c r="B1144" t="str">
        <f>Segmenter!B1144</f>
        <v/>
      </c>
      <c r="C1144" t="str">
        <f t="shared" si="85"/>
        <v/>
      </c>
      <c r="D1144" t="str">
        <f t="shared" si="86"/>
        <v/>
      </c>
      <c r="E1144" t="str">
        <f t="shared" si="87"/>
        <v/>
      </c>
      <c r="F1144" t="str">
        <f>IF(D1144="","",INDEX(Knutepunkter!$B:$B,D1144+1))</f>
        <v/>
      </c>
      <c r="G1144" t="str">
        <f>IF(D1144="","",INDEX(Knutepunkter!$C:$C,D1144+1))</f>
        <v/>
      </c>
      <c r="H1144" t="str">
        <f>IF(D1144="","",INDEX(Knutepunkter!$D:$D,D1144+1))</f>
        <v/>
      </c>
      <c r="I1144" t="str">
        <f>IF(E1144="","",INDEX(Knutepunkter!$B:$B,E1144+1))</f>
        <v/>
      </c>
      <c r="J1144" t="str">
        <f>IF(E1144="","",INDEX(Knutepunkter!$C:$C,E1144+1))</f>
        <v/>
      </c>
      <c r="K1144" t="str">
        <f>IF(E1144="","",INDEX(Knutepunkter!$D:$D,E1144+1))</f>
        <v/>
      </c>
      <c r="L1144" t="str">
        <f t="shared" si="88"/>
        <v/>
      </c>
      <c r="M1144" t="str">
        <f t="shared" si="89"/>
        <v/>
      </c>
    </row>
    <row r="1145" spans="1:13" x14ac:dyDescent="0.3">
      <c r="A1145" t="str">
        <f>Segmenter!A1145</f>
        <v/>
      </c>
      <c r="B1145" t="str">
        <f>Segmenter!B1145</f>
        <v/>
      </c>
      <c r="C1145" t="str">
        <f t="shared" si="85"/>
        <v/>
      </c>
      <c r="D1145" t="str">
        <f t="shared" si="86"/>
        <v/>
      </c>
      <c r="E1145" t="str">
        <f t="shared" si="87"/>
        <v/>
      </c>
      <c r="F1145" t="str">
        <f>IF(D1145="","",INDEX(Knutepunkter!$B:$B,D1145+1))</f>
        <v/>
      </c>
      <c r="G1145" t="str">
        <f>IF(D1145="","",INDEX(Knutepunkter!$C:$C,D1145+1))</f>
        <v/>
      </c>
      <c r="H1145" t="str">
        <f>IF(D1145="","",INDEX(Knutepunkter!$D:$D,D1145+1))</f>
        <v/>
      </c>
      <c r="I1145" t="str">
        <f>IF(E1145="","",INDEX(Knutepunkter!$B:$B,E1145+1))</f>
        <v/>
      </c>
      <c r="J1145" t="str">
        <f>IF(E1145="","",INDEX(Knutepunkter!$C:$C,E1145+1))</f>
        <v/>
      </c>
      <c r="K1145" t="str">
        <f>IF(E1145="","",INDEX(Knutepunkter!$D:$D,E1145+1))</f>
        <v/>
      </c>
      <c r="L1145" t="str">
        <f t="shared" si="88"/>
        <v/>
      </c>
      <c r="M1145" t="str">
        <f t="shared" si="89"/>
        <v/>
      </c>
    </row>
    <row r="1146" spans="1:13" x14ac:dyDescent="0.3">
      <c r="A1146" t="str">
        <f>Segmenter!A1146</f>
        <v/>
      </c>
      <c r="B1146" t="str">
        <f>Segmenter!B1146</f>
        <v/>
      </c>
      <c r="C1146" t="str">
        <f t="shared" si="85"/>
        <v/>
      </c>
      <c r="D1146" t="str">
        <f t="shared" si="86"/>
        <v/>
      </c>
      <c r="E1146" t="str">
        <f t="shared" si="87"/>
        <v/>
      </c>
      <c r="F1146" t="str">
        <f>IF(D1146="","",INDEX(Knutepunkter!$B:$B,D1146+1))</f>
        <v/>
      </c>
      <c r="G1146" t="str">
        <f>IF(D1146="","",INDEX(Knutepunkter!$C:$C,D1146+1))</f>
        <v/>
      </c>
      <c r="H1146" t="str">
        <f>IF(D1146="","",INDEX(Knutepunkter!$D:$D,D1146+1))</f>
        <v/>
      </c>
      <c r="I1146" t="str">
        <f>IF(E1146="","",INDEX(Knutepunkter!$B:$B,E1146+1))</f>
        <v/>
      </c>
      <c r="J1146" t="str">
        <f>IF(E1146="","",INDEX(Knutepunkter!$C:$C,E1146+1))</f>
        <v/>
      </c>
      <c r="K1146" t="str">
        <f>IF(E1146="","",INDEX(Knutepunkter!$D:$D,E1146+1))</f>
        <v/>
      </c>
      <c r="L1146" t="str">
        <f t="shared" si="88"/>
        <v/>
      </c>
      <c r="M1146" t="str">
        <f t="shared" si="89"/>
        <v/>
      </c>
    </row>
    <row r="1147" spans="1:13" x14ac:dyDescent="0.3">
      <c r="A1147" t="str">
        <f>Segmenter!A1147</f>
        <v/>
      </c>
      <c r="B1147" t="str">
        <f>Segmenter!B1147</f>
        <v/>
      </c>
      <c r="C1147" t="str">
        <f t="shared" si="85"/>
        <v/>
      </c>
      <c r="D1147" t="str">
        <f t="shared" si="86"/>
        <v/>
      </c>
      <c r="E1147" t="str">
        <f t="shared" si="87"/>
        <v/>
      </c>
      <c r="F1147" t="str">
        <f>IF(D1147="","",INDEX(Knutepunkter!$B:$B,D1147+1))</f>
        <v/>
      </c>
      <c r="G1147" t="str">
        <f>IF(D1147="","",INDEX(Knutepunkter!$C:$C,D1147+1))</f>
        <v/>
      </c>
      <c r="H1147" t="str">
        <f>IF(D1147="","",INDEX(Knutepunkter!$D:$D,D1147+1))</f>
        <v/>
      </c>
      <c r="I1147" t="str">
        <f>IF(E1147="","",INDEX(Knutepunkter!$B:$B,E1147+1))</f>
        <v/>
      </c>
      <c r="J1147" t="str">
        <f>IF(E1147="","",INDEX(Knutepunkter!$C:$C,E1147+1))</f>
        <v/>
      </c>
      <c r="K1147" t="str">
        <f>IF(E1147="","",INDEX(Knutepunkter!$D:$D,E1147+1))</f>
        <v/>
      </c>
      <c r="L1147" t="str">
        <f t="shared" si="88"/>
        <v/>
      </c>
      <c r="M1147" t="str">
        <f t="shared" si="89"/>
        <v/>
      </c>
    </row>
    <row r="1148" spans="1:13" x14ac:dyDescent="0.3">
      <c r="A1148" t="str">
        <f>Segmenter!A1148</f>
        <v/>
      </c>
      <c r="B1148" t="str">
        <f>Segmenter!B1148</f>
        <v/>
      </c>
      <c r="C1148" t="str">
        <f t="shared" si="85"/>
        <v/>
      </c>
      <c r="D1148" t="str">
        <f t="shared" si="86"/>
        <v/>
      </c>
      <c r="E1148" t="str">
        <f t="shared" si="87"/>
        <v/>
      </c>
      <c r="F1148" t="str">
        <f>IF(D1148="","",INDEX(Knutepunkter!$B:$B,D1148+1))</f>
        <v/>
      </c>
      <c r="G1148" t="str">
        <f>IF(D1148="","",INDEX(Knutepunkter!$C:$C,D1148+1))</f>
        <v/>
      </c>
      <c r="H1148" t="str">
        <f>IF(D1148="","",INDEX(Knutepunkter!$D:$D,D1148+1))</f>
        <v/>
      </c>
      <c r="I1148" t="str">
        <f>IF(E1148="","",INDEX(Knutepunkter!$B:$B,E1148+1))</f>
        <v/>
      </c>
      <c r="J1148" t="str">
        <f>IF(E1148="","",INDEX(Knutepunkter!$C:$C,E1148+1))</f>
        <v/>
      </c>
      <c r="K1148" t="str">
        <f>IF(E1148="","",INDEX(Knutepunkter!$D:$D,E1148+1))</f>
        <v/>
      </c>
      <c r="L1148" t="str">
        <f t="shared" si="88"/>
        <v/>
      </c>
      <c r="M1148" t="str">
        <f t="shared" si="89"/>
        <v/>
      </c>
    </row>
    <row r="1149" spans="1:13" x14ac:dyDescent="0.3">
      <c r="A1149" t="str">
        <f>Segmenter!A1149</f>
        <v/>
      </c>
      <c r="B1149" t="str">
        <f>Segmenter!B1149</f>
        <v/>
      </c>
      <c r="C1149" t="str">
        <f t="shared" si="85"/>
        <v/>
      </c>
      <c r="D1149" t="str">
        <f t="shared" si="86"/>
        <v/>
      </c>
      <c r="E1149" t="str">
        <f t="shared" si="87"/>
        <v/>
      </c>
      <c r="F1149" t="str">
        <f>IF(D1149="","",INDEX(Knutepunkter!$B:$B,D1149+1))</f>
        <v/>
      </c>
      <c r="G1149" t="str">
        <f>IF(D1149="","",INDEX(Knutepunkter!$C:$C,D1149+1))</f>
        <v/>
      </c>
      <c r="H1149" t="str">
        <f>IF(D1149="","",INDEX(Knutepunkter!$D:$D,D1149+1))</f>
        <v/>
      </c>
      <c r="I1149" t="str">
        <f>IF(E1149="","",INDEX(Knutepunkter!$B:$B,E1149+1))</f>
        <v/>
      </c>
      <c r="J1149" t="str">
        <f>IF(E1149="","",INDEX(Knutepunkter!$C:$C,E1149+1))</f>
        <v/>
      </c>
      <c r="K1149" t="str">
        <f>IF(E1149="","",INDEX(Knutepunkter!$D:$D,E1149+1))</f>
        <v/>
      </c>
      <c r="L1149" t="str">
        <f t="shared" si="88"/>
        <v/>
      </c>
      <c r="M1149" t="str">
        <f t="shared" si="89"/>
        <v/>
      </c>
    </row>
    <row r="1150" spans="1:13" x14ac:dyDescent="0.3">
      <c r="A1150" t="str">
        <f>Segmenter!A1150</f>
        <v/>
      </c>
      <c r="B1150" t="str">
        <f>Segmenter!B1150</f>
        <v/>
      </c>
      <c r="C1150" t="str">
        <f t="shared" si="85"/>
        <v/>
      </c>
      <c r="D1150" t="str">
        <f t="shared" si="86"/>
        <v/>
      </c>
      <c r="E1150" t="str">
        <f t="shared" si="87"/>
        <v/>
      </c>
      <c r="F1150" t="str">
        <f>IF(D1150="","",INDEX(Knutepunkter!$B:$B,D1150+1))</f>
        <v/>
      </c>
      <c r="G1150" t="str">
        <f>IF(D1150="","",INDEX(Knutepunkter!$C:$C,D1150+1))</f>
        <v/>
      </c>
      <c r="H1150" t="str">
        <f>IF(D1150="","",INDEX(Knutepunkter!$D:$D,D1150+1))</f>
        <v/>
      </c>
      <c r="I1150" t="str">
        <f>IF(E1150="","",INDEX(Knutepunkter!$B:$B,E1150+1))</f>
        <v/>
      </c>
      <c r="J1150" t="str">
        <f>IF(E1150="","",INDEX(Knutepunkter!$C:$C,E1150+1))</f>
        <v/>
      </c>
      <c r="K1150" t="str">
        <f>IF(E1150="","",INDEX(Knutepunkter!$D:$D,E1150+1))</f>
        <v/>
      </c>
      <c r="L1150" t="str">
        <f t="shared" si="88"/>
        <v/>
      </c>
      <c r="M1150" t="str">
        <f t="shared" si="89"/>
        <v/>
      </c>
    </row>
    <row r="1151" spans="1:13" x14ac:dyDescent="0.3">
      <c r="A1151" t="str">
        <f>Segmenter!A1151</f>
        <v/>
      </c>
      <c r="B1151" t="str">
        <f>Segmenter!B1151</f>
        <v/>
      </c>
      <c r="C1151" t="str">
        <f t="shared" si="85"/>
        <v/>
      </c>
      <c r="D1151" t="str">
        <f t="shared" si="86"/>
        <v/>
      </c>
      <c r="E1151" t="str">
        <f t="shared" si="87"/>
        <v/>
      </c>
      <c r="F1151" t="str">
        <f>IF(D1151="","",INDEX(Knutepunkter!$B:$B,D1151+1))</f>
        <v/>
      </c>
      <c r="G1151" t="str">
        <f>IF(D1151="","",INDEX(Knutepunkter!$C:$C,D1151+1))</f>
        <v/>
      </c>
      <c r="H1151" t="str">
        <f>IF(D1151="","",INDEX(Knutepunkter!$D:$D,D1151+1))</f>
        <v/>
      </c>
      <c r="I1151" t="str">
        <f>IF(E1151="","",INDEX(Knutepunkter!$B:$B,E1151+1))</f>
        <v/>
      </c>
      <c r="J1151" t="str">
        <f>IF(E1151="","",INDEX(Knutepunkter!$C:$C,E1151+1))</f>
        <v/>
      </c>
      <c r="K1151" t="str">
        <f>IF(E1151="","",INDEX(Knutepunkter!$D:$D,E1151+1))</f>
        <v/>
      </c>
      <c r="L1151" t="str">
        <f t="shared" si="88"/>
        <v/>
      </c>
      <c r="M1151" t="str">
        <f t="shared" si="89"/>
        <v/>
      </c>
    </row>
    <row r="1152" spans="1:13" x14ac:dyDescent="0.3">
      <c r="A1152" t="str">
        <f>Segmenter!A1152</f>
        <v/>
      </c>
      <c r="B1152" t="str">
        <f>Segmenter!B1152</f>
        <v/>
      </c>
      <c r="C1152" t="str">
        <f t="shared" si="85"/>
        <v/>
      </c>
      <c r="D1152" t="str">
        <f t="shared" si="86"/>
        <v/>
      </c>
      <c r="E1152" t="str">
        <f t="shared" si="87"/>
        <v/>
      </c>
      <c r="F1152" t="str">
        <f>IF(D1152="","",INDEX(Knutepunkter!$B:$B,D1152+1))</f>
        <v/>
      </c>
      <c r="G1152" t="str">
        <f>IF(D1152="","",INDEX(Knutepunkter!$C:$C,D1152+1))</f>
        <v/>
      </c>
      <c r="H1152" t="str">
        <f>IF(D1152="","",INDEX(Knutepunkter!$D:$D,D1152+1))</f>
        <v/>
      </c>
      <c r="I1152" t="str">
        <f>IF(E1152="","",INDEX(Knutepunkter!$B:$B,E1152+1))</f>
        <v/>
      </c>
      <c r="J1152" t="str">
        <f>IF(E1152="","",INDEX(Knutepunkter!$C:$C,E1152+1))</f>
        <v/>
      </c>
      <c r="K1152" t="str">
        <f>IF(E1152="","",INDEX(Knutepunkter!$D:$D,E1152+1))</f>
        <v/>
      </c>
      <c r="L1152" t="str">
        <f t="shared" si="88"/>
        <v/>
      </c>
      <c r="M1152" t="str">
        <f t="shared" si="89"/>
        <v/>
      </c>
    </row>
    <row r="1153" spans="1:13" x14ac:dyDescent="0.3">
      <c r="A1153" t="str">
        <f>Segmenter!A1153</f>
        <v/>
      </c>
      <c r="B1153" t="str">
        <f>Segmenter!B1153</f>
        <v/>
      </c>
      <c r="C1153" t="str">
        <f t="shared" si="85"/>
        <v/>
      </c>
      <c r="D1153" t="str">
        <f t="shared" si="86"/>
        <v/>
      </c>
      <c r="E1153" t="str">
        <f t="shared" si="87"/>
        <v/>
      </c>
      <c r="F1153" t="str">
        <f>IF(D1153="","",INDEX(Knutepunkter!$B:$B,D1153+1))</f>
        <v/>
      </c>
      <c r="G1153" t="str">
        <f>IF(D1153="","",INDEX(Knutepunkter!$C:$C,D1153+1))</f>
        <v/>
      </c>
      <c r="H1153" t="str">
        <f>IF(D1153="","",INDEX(Knutepunkter!$D:$D,D1153+1))</f>
        <v/>
      </c>
      <c r="I1153" t="str">
        <f>IF(E1153="","",INDEX(Knutepunkter!$B:$B,E1153+1))</f>
        <v/>
      </c>
      <c r="J1153" t="str">
        <f>IF(E1153="","",INDEX(Knutepunkter!$C:$C,E1153+1))</f>
        <v/>
      </c>
      <c r="K1153" t="str">
        <f>IF(E1153="","",INDEX(Knutepunkter!$D:$D,E1153+1))</f>
        <v/>
      </c>
      <c r="L1153" t="str">
        <f t="shared" si="88"/>
        <v/>
      </c>
      <c r="M1153" t="str">
        <f t="shared" si="89"/>
        <v/>
      </c>
    </row>
    <row r="1154" spans="1:13" x14ac:dyDescent="0.3">
      <c r="A1154" t="str">
        <f>Segmenter!A1154</f>
        <v/>
      </c>
      <c r="B1154" t="str">
        <f>Segmenter!B1154</f>
        <v/>
      </c>
      <c r="C1154" t="str">
        <f t="shared" ref="C1154:C1217" si="90">IF(B1154="","",IF(AND(F1154=I1154,G1154=J1154,H1154&lt;&gt;K1154),"Søyle","Bjelke"))</f>
        <v/>
      </c>
      <c r="D1154" t="str">
        <f t="shared" ref="D1154:D1217" si="91">IF(B1154="","",VALUE(LEFT(B1154,FIND(" -&gt; ",B1154)-1)))</f>
        <v/>
      </c>
      <c r="E1154" t="str">
        <f t="shared" ref="E1154:E1217" si="92">IF(B1154="","",VALUE(MID(B1154,FIND(" -&gt; ",B1154)+4,99)))</f>
        <v/>
      </c>
      <c r="F1154" t="str">
        <f>IF(D1154="","",INDEX(Knutepunkter!$B:$B,D1154+1))</f>
        <v/>
      </c>
      <c r="G1154" t="str">
        <f>IF(D1154="","",INDEX(Knutepunkter!$C:$C,D1154+1))</f>
        <v/>
      </c>
      <c r="H1154" t="str">
        <f>IF(D1154="","",INDEX(Knutepunkter!$D:$D,D1154+1))</f>
        <v/>
      </c>
      <c r="I1154" t="str">
        <f>IF(E1154="","",INDEX(Knutepunkter!$B:$B,E1154+1))</f>
        <v/>
      </c>
      <c r="J1154" t="str">
        <f>IF(E1154="","",INDEX(Knutepunkter!$C:$C,E1154+1))</f>
        <v/>
      </c>
      <c r="K1154" t="str">
        <f>IF(E1154="","",INDEX(Knutepunkter!$D:$D,E1154+1))</f>
        <v/>
      </c>
      <c r="L1154" t="str">
        <f t="shared" ref="L1154:L1217" si="93">IF(B1154="","",SQRT((I1154-F1154)^2+(J1154-G1154)^2+(K1154-H1154)^2))</f>
        <v/>
      </c>
      <c r="M1154" t="str">
        <f t="shared" ref="M1154:M1217" si="94">IF(L1154="","",L1154/1000)</f>
        <v/>
      </c>
    </row>
    <row r="1155" spans="1:13" x14ac:dyDescent="0.3">
      <c r="A1155" t="str">
        <f>Segmenter!A1155</f>
        <v/>
      </c>
      <c r="B1155" t="str">
        <f>Segmenter!B1155</f>
        <v/>
      </c>
      <c r="C1155" t="str">
        <f t="shared" si="90"/>
        <v/>
      </c>
      <c r="D1155" t="str">
        <f t="shared" si="91"/>
        <v/>
      </c>
      <c r="E1155" t="str">
        <f t="shared" si="92"/>
        <v/>
      </c>
      <c r="F1155" t="str">
        <f>IF(D1155="","",INDEX(Knutepunkter!$B:$B,D1155+1))</f>
        <v/>
      </c>
      <c r="G1155" t="str">
        <f>IF(D1155="","",INDEX(Knutepunkter!$C:$C,D1155+1))</f>
        <v/>
      </c>
      <c r="H1155" t="str">
        <f>IF(D1155="","",INDEX(Knutepunkter!$D:$D,D1155+1))</f>
        <v/>
      </c>
      <c r="I1155" t="str">
        <f>IF(E1155="","",INDEX(Knutepunkter!$B:$B,E1155+1))</f>
        <v/>
      </c>
      <c r="J1155" t="str">
        <f>IF(E1155="","",INDEX(Knutepunkter!$C:$C,E1155+1))</f>
        <v/>
      </c>
      <c r="K1155" t="str">
        <f>IF(E1155="","",INDEX(Knutepunkter!$D:$D,E1155+1))</f>
        <v/>
      </c>
      <c r="L1155" t="str">
        <f t="shared" si="93"/>
        <v/>
      </c>
      <c r="M1155" t="str">
        <f t="shared" si="94"/>
        <v/>
      </c>
    </row>
    <row r="1156" spans="1:13" x14ac:dyDescent="0.3">
      <c r="A1156" t="str">
        <f>Segmenter!A1156</f>
        <v/>
      </c>
      <c r="B1156" t="str">
        <f>Segmenter!B1156</f>
        <v/>
      </c>
      <c r="C1156" t="str">
        <f t="shared" si="90"/>
        <v/>
      </c>
      <c r="D1156" t="str">
        <f t="shared" si="91"/>
        <v/>
      </c>
      <c r="E1156" t="str">
        <f t="shared" si="92"/>
        <v/>
      </c>
      <c r="F1156" t="str">
        <f>IF(D1156="","",INDEX(Knutepunkter!$B:$B,D1156+1))</f>
        <v/>
      </c>
      <c r="G1156" t="str">
        <f>IF(D1156="","",INDEX(Knutepunkter!$C:$C,D1156+1))</f>
        <v/>
      </c>
      <c r="H1156" t="str">
        <f>IF(D1156="","",INDEX(Knutepunkter!$D:$D,D1156+1))</f>
        <v/>
      </c>
      <c r="I1156" t="str">
        <f>IF(E1156="","",INDEX(Knutepunkter!$B:$B,E1156+1))</f>
        <v/>
      </c>
      <c r="J1156" t="str">
        <f>IF(E1156="","",INDEX(Knutepunkter!$C:$C,E1156+1))</f>
        <v/>
      </c>
      <c r="K1156" t="str">
        <f>IF(E1156="","",INDEX(Knutepunkter!$D:$D,E1156+1))</f>
        <v/>
      </c>
      <c r="L1156" t="str">
        <f t="shared" si="93"/>
        <v/>
      </c>
      <c r="M1156" t="str">
        <f t="shared" si="94"/>
        <v/>
      </c>
    </row>
    <row r="1157" spans="1:13" x14ac:dyDescent="0.3">
      <c r="A1157" t="str">
        <f>Segmenter!A1157</f>
        <v/>
      </c>
      <c r="B1157" t="str">
        <f>Segmenter!B1157</f>
        <v/>
      </c>
      <c r="C1157" t="str">
        <f t="shared" si="90"/>
        <v/>
      </c>
      <c r="D1157" t="str">
        <f t="shared" si="91"/>
        <v/>
      </c>
      <c r="E1157" t="str">
        <f t="shared" si="92"/>
        <v/>
      </c>
      <c r="F1157" t="str">
        <f>IF(D1157="","",INDEX(Knutepunkter!$B:$B,D1157+1))</f>
        <v/>
      </c>
      <c r="G1157" t="str">
        <f>IF(D1157="","",INDEX(Knutepunkter!$C:$C,D1157+1))</f>
        <v/>
      </c>
      <c r="H1157" t="str">
        <f>IF(D1157="","",INDEX(Knutepunkter!$D:$D,D1157+1))</f>
        <v/>
      </c>
      <c r="I1157" t="str">
        <f>IF(E1157="","",INDEX(Knutepunkter!$B:$B,E1157+1))</f>
        <v/>
      </c>
      <c r="J1157" t="str">
        <f>IF(E1157="","",INDEX(Knutepunkter!$C:$C,E1157+1))</f>
        <v/>
      </c>
      <c r="K1157" t="str">
        <f>IF(E1157="","",INDEX(Knutepunkter!$D:$D,E1157+1))</f>
        <v/>
      </c>
      <c r="L1157" t="str">
        <f t="shared" si="93"/>
        <v/>
      </c>
      <c r="M1157" t="str">
        <f t="shared" si="94"/>
        <v/>
      </c>
    </row>
    <row r="1158" spans="1:13" x14ac:dyDescent="0.3">
      <c r="A1158" t="str">
        <f>Segmenter!A1158</f>
        <v/>
      </c>
      <c r="B1158" t="str">
        <f>Segmenter!B1158</f>
        <v/>
      </c>
      <c r="C1158" t="str">
        <f t="shared" si="90"/>
        <v/>
      </c>
      <c r="D1158" t="str">
        <f t="shared" si="91"/>
        <v/>
      </c>
      <c r="E1158" t="str">
        <f t="shared" si="92"/>
        <v/>
      </c>
      <c r="F1158" t="str">
        <f>IF(D1158="","",INDEX(Knutepunkter!$B:$B,D1158+1))</f>
        <v/>
      </c>
      <c r="G1158" t="str">
        <f>IF(D1158="","",INDEX(Knutepunkter!$C:$C,D1158+1))</f>
        <v/>
      </c>
      <c r="H1158" t="str">
        <f>IF(D1158="","",INDEX(Knutepunkter!$D:$D,D1158+1))</f>
        <v/>
      </c>
      <c r="I1158" t="str">
        <f>IF(E1158="","",INDEX(Knutepunkter!$B:$B,E1158+1))</f>
        <v/>
      </c>
      <c r="J1158" t="str">
        <f>IF(E1158="","",INDEX(Knutepunkter!$C:$C,E1158+1))</f>
        <v/>
      </c>
      <c r="K1158" t="str">
        <f>IF(E1158="","",INDEX(Knutepunkter!$D:$D,E1158+1))</f>
        <v/>
      </c>
      <c r="L1158" t="str">
        <f t="shared" si="93"/>
        <v/>
      </c>
      <c r="M1158" t="str">
        <f t="shared" si="94"/>
        <v/>
      </c>
    </row>
    <row r="1159" spans="1:13" x14ac:dyDescent="0.3">
      <c r="A1159" t="str">
        <f>Segmenter!A1159</f>
        <v/>
      </c>
      <c r="B1159" t="str">
        <f>Segmenter!B1159</f>
        <v/>
      </c>
      <c r="C1159" t="str">
        <f t="shared" si="90"/>
        <v/>
      </c>
      <c r="D1159" t="str">
        <f t="shared" si="91"/>
        <v/>
      </c>
      <c r="E1159" t="str">
        <f t="shared" si="92"/>
        <v/>
      </c>
      <c r="F1159" t="str">
        <f>IF(D1159="","",INDEX(Knutepunkter!$B:$B,D1159+1))</f>
        <v/>
      </c>
      <c r="G1159" t="str">
        <f>IF(D1159="","",INDEX(Knutepunkter!$C:$C,D1159+1))</f>
        <v/>
      </c>
      <c r="H1159" t="str">
        <f>IF(D1159="","",INDEX(Knutepunkter!$D:$D,D1159+1))</f>
        <v/>
      </c>
      <c r="I1159" t="str">
        <f>IF(E1159="","",INDEX(Knutepunkter!$B:$B,E1159+1))</f>
        <v/>
      </c>
      <c r="J1159" t="str">
        <f>IF(E1159="","",INDEX(Knutepunkter!$C:$C,E1159+1))</f>
        <v/>
      </c>
      <c r="K1159" t="str">
        <f>IF(E1159="","",INDEX(Knutepunkter!$D:$D,E1159+1))</f>
        <v/>
      </c>
      <c r="L1159" t="str">
        <f t="shared" si="93"/>
        <v/>
      </c>
      <c r="M1159" t="str">
        <f t="shared" si="94"/>
        <v/>
      </c>
    </row>
    <row r="1160" spans="1:13" x14ac:dyDescent="0.3">
      <c r="A1160" t="str">
        <f>Segmenter!A1160</f>
        <v/>
      </c>
      <c r="B1160" t="str">
        <f>Segmenter!B1160</f>
        <v/>
      </c>
      <c r="C1160" t="str">
        <f t="shared" si="90"/>
        <v/>
      </c>
      <c r="D1160" t="str">
        <f t="shared" si="91"/>
        <v/>
      </c>
      <c r="E1160" t="str">
        <f t="shared" si="92"/>
        <v/>
      </c>
      <c r="F1160" t="str">
        <f>IF(D1160="","",INDEX(Knutepunkter!$B:$B,D1160+1))</f>
        <v/>
      </c>
      <c r="G1160" t="str">
        <f>IF(D1160="","",INDEX(Knutepunkter!$C:$C,D1160+1))</f>
        <v/>
      </c>
      <c r="H1160" t="str">
        <f>IF(D1160="","",INDEX(Knutepunkter!$D:$D,D1160+1))</f>
        <v/>
      </c>
      <c r="I1160" t="str">
        <f>IF(E1160="","",INDEX(Knutepunkter!$B:$B,E1160+1))</f>
        <v/>
      </c>
      <c r="J1160" t="str">
        <f>IF(E1160="","",INDEX(Knutepunkter!$C:$C,E1160+1))</f>
        <v/>
      </c>
      <c r="K1160" t="str">
        <f>IF(E1160="","",INDEX(Knutepunkter!$D:$D,E1160+1))</f>
        <v/>
      </c>
      <c r="L1160" t="str">
        <f t="shared" si="93"/>
        <v/>
      </c>
      <c r="M1160" t="str">
        <f t="shared" si="94"/>
        <v/>
      </c>
    </row>
    <row r="1161" spans="1:13" x14ac:dyDescent="0.3">
      <c r="A1161" t="str">
        <f>Segmenter!A1161</f>
        <v/>
      </c>
      <c r="B1161" t="str">
        <f>Segmenter!B1161</f>
        <v/>
      </c>
      <c r="C1161" t="str">
        <f t="shared" si="90"/>
        <v/>
      </c>
      <c r="D1161" t="str">
        <f t="shared" si="91"/>
        <v/>
      </c>
      <c r="E1161" t="str">
        <f t="shared" si="92"/>
        <v/>
      </c>
      <c r="F1161" t="str">
        <f>IF(D1161="","",INDEX(Knutepunkter!$B:$B,D1161+1))</f>
        <v/>
      </c>
      <c r="G1161" t="str">
        <f>IF(D1161="","",INDEX(Knutepunkter!$C:$C,D1161+1))</f>
        <v/>
      </c>
      <c r="H1161" t="str">
        <f>IF(D1161="","",INDEX(Knutepunkter!$D:$D,D1161+1))</f>
        <v/>
      </c>
      <c r="I1161" t="str">
        <f>IF(E1161="","",INDEX(Knutepunkter!$B:$B,E1161+1))</f>
        <v/>
      </c>
      <c r="J1161" t="str">
        <f>IF(E1161="","",INDEX(Knutepunkter!$C:$C,E1161+1))</f>
        <v/>
      </c>
      <c r="K1161" t="str">
        <f>IF(E1161="","",INDEX(Knutepunkter!$D:$D,E1161+1))</f>
        <v/>
      </c>
      <c r="L1161" t="str">
        <f t="shared" si="93"/>
        <v/>
      </c>
      <c r="M1161" t="str">
        <f t="shared" si="94"/>
        <v/>
      </c>
    </row>
    <row r="1162" spans="1:13" x14ac:dyDescent="0.3">
      <c r="A1162" t="str">
        <f>Segmenter!A1162</f>
        <v/>
      </c>
      <c r="B1162" t="str">
        <f>Segmenter!B1162</f>
        <v/>
      </c>
      <c r="C1162" t="str">
        <f t="shared" si="90"/>
        <v/>
      </c>
      <c r="D1162" t="str">
        <f t="shared" si="91"/>
        <v/>
      </c>
      <c r="E1162" t="str">
        <f t="shared" si="92"/>
        <v/>
      </c>
      <c r="F1162" t="str">
        <f>IF(D1162="","",INDEX(Knutepunkter!$B:$B,D1162+1))</f>
        <v/>
      </c>
      <c r="G1162" t="str">
        <f>IF(D1162="","",INDEX(Knutepunkter!$C:$C,D1162+1))</f>
        <v/>
      </c>
      <c r="H1162" t="str">
        <f>IF(D1162="","",INDEX(Knutepunkter!$D:$D,D1162+1))</f>
        <v/>
      </c>
      <c r="I1162" t="str">
        <f>IF(E1162="","",INDEX(Knutepunkter!$B:$B,E1162+1))</f>
        <v/>
      </c>
      <c r="J1162" t="str">
        <f>IF(E1162="","",INDEX(Knutepunkter!$C:$C,E1162+1))</f>
        <v/>
      </c>
      <c r="K1162" t="str">
        <f>IF(E1162="","",INDEX(Knutepunkter!$D:$D,E1162+1))</f>
        <v/>
      </c>
      <c r="L1162" t="str">
        <f t="shared" si="93"/>
        <v/>
      </c>
      <c r="M1162" t="str">
        <f t="shared" si="94"/>
        <v/>
      </c>
    </row>
    <row r="1163" spans="1:13" x14ac:dyDescent="0.3">
      <c r="A1163" t="str">
        <f>Segmenter!A1163</f>
        <v/>
      </c>
      <c r="B1163" t="str">
        <f>Segmenter!B1163</f>
        <v/>
      </c>
      <c r="C1163" t="str">
        <f t="shared" si="90"/>
        <v/>
      </c>
      <c r="D1163" t="str">
        <f t="shared" si="91"/>
        <v/>
      </c>
      <c r="E1163" t="str">
        <f t="shared" si="92"/>
        <v/>
      </c>
      <c r="F1163" t="str">
        <f>IF(D1163="","",INDEX(Knutepunkter!$B:$B,D1163+1))</f>
        <v/>
      </c>
      <c r="G1163" t="str">
        <f>IF(D1163="","",INDEX(Knutepunkter!$C:$C,D1163+1))</f>
        <v/>
      </c>
      <c r="H1163" t="str">
        <f>IF(D1163="","",INDEX(Knutepunkter!$D:$D,D1163+1))</f>
        <v/>
      </c>
      <c r="I1163" t="str">
        <f>IF(E1163="","",INDEX(Knutepunkter!$B:$B,E1163+1))</f>
        <v/>
      </c>
      <c r="J1163" t="str">
        <f>IF(E1163="","",INDEX(Knutepunkter!$C:$C,E1163+1))</f>
        <v/>
      </c>
      <c r="K1163" t="str">
        <f>IF(E1163="","",INDEX(Knutepunkter!$D:$D,E1163+1))</f>
        <v/>
      </c>
      <c r="L1163" t="str">
        <f t="shared" si="93"/>
        <v/>
      </c>
      <c r="M1163" t="str">
        <f t="shared" si="94"/>
        <v/>
      </c>
    </row>
    <row r="1164" spans="1:13" x14ac:dyDescent="0.3">
      <c r="A1164" t="str">
        <f>Segmenter!A1164</f>
        <v/>
      </c>
      <c r="B1164" t="str">
        <f>Segmenter!B1164</f>
        <v/>
      </c>
      <c r="C1164" t="str">
        <f t="shared" si="90"/>
        <v/>
      </c>
      <c r="D1164" t="str">
        <f t="shared" si="91"/>
        <v/>
      </c>
      <c r="E1164" t="str">
        <f t="shared" si="92"/>
        <v/>
      </c>
      <c r="F1164" t="str">
        <f>IF(D1164="","",INDEX(Knutepunkter!$B:$B,D1164+1))</f>
        <v/>
      </c>
      <c r="G1164" t="str">
        <f>IF(D1164="","",INDEX(Knutepunkter!$C:$C,D1164+1))</f>
        <v/>
      </c>
      <c r="H1164" t="str">
        <f>IF(D1164="","",INDEX(Knutepunkter!$D:$D,D1164+1))</f>
        <v/>
      </c>
      <c r="I1164" t="str">
        <f>IF(E1164="","",INDEX(Knutepunkter!$B:$B,E1164+1))</f>
        <v/>
      </c>
      <c r="J1164" t="str">
        <f>IF(E1164="","",INDEX(Knutepunkter!$C:$C,E1164+1))</f>
        <v/>
      </c>
      <c r="K1164" t="str">
        <f>IF(E1164="","",INDEX(Knutepunkter!$D:$D,E1164+1))</f>
        <v/>
      </c>
      <c r="L1164" t="str">
        <f t="shared" si="93"/>
        <v/>
      </c>
      <c r="M1164" t="str">
        <f t="shared" si="94"/>
        <v/>
      </c>
    </row>
    <row r="1165" spans="1:13" x14ac:dyDescent="0.3">
      <c r="A1165" t="str">
        <f>Segmenter!A1165</f>
        <v/>
      </c>
      <c r="B1165" t="str">
        <f>Segmenter!B1165</f>
        <v/>
      </c>
      <c r="C1165" t="str">
        <f t="shared" si="90"/>
        <v/>
      </c>
      <c r="D1165" t="str">
        <f t="shared" si="91"/>
        <v/>
      </c>
      <c r="E1165" t="str">
        <f t="shared" si="92"/>
        <v/>
      </c>
      <c r="F1165" t="str">
        <f>IF(D1165="","",INDEX(Knutepunkter!$B:$B,D1165+1))</f>
        <v/>
      </c>
      <c r="G1165" t="str">
        <f>IF(D1165="","",INDEX(Knutepunkter!$C:$C,D1165+1))</f>
        <v/>
      </c>
      <c r="H1165" t="str">
        <f>IF(D1165="","",INDEX(Knutepunkter!$D:$D,D1165+1))</f>
        <v/>
      </c>
      <c r="I1165" t="str">
        <f>IF(E1165="","",INDEX(Knutepunkter!$B:$B,E1165+1))</f>
        <v/>
      </c>
      <c r="J1165" t="str">
        <f>IF(E1165="","",INDEX(Knutepunkter!$C:$C,E1165+1))</f>
        <v/>
      </c>
      <c r="K1165" t="str">
        <f>IF(E1165="","",INDEX(Knutepunkter!$D:$D,E1165+1))</f>
        <v/>
      </c>
      <c r="L1165" t="str">
        <f t="shared" si="93"/>
        <v/>
      </c>
      <c r="M1165" t="str">
        <f t="shared" si="94"/>
        <v/>
      </c>
    </row>
    <row r="1166" spans="1:13" x14ac:dyDescent="0.3">
      <c r="A1166" t="str">
        <f>Segmenter!A1166</f>
        <v/>
      </c>
      <c r="B1166" t="str">
        <f>Segmenter!B1166</f>
        <v/>
      </c>
      <c r="C1166" t="str">
        <f t="shared" si="90"/>
        <v/>
      </c>
      <c r="D1166" t="str">
        <f t="shared" si="91"/>
        <v/>
      </c>
      <c r="E1166" t="str">
        <f t="shared" si="92"/>
        <v/>
      </c>
      <c r="F1166" t="str">
        <f>IF(D1166="","",INDEX(Knutepunkter!$B:$B,D1166+1))</f>
        <v/>
      </c>
      <c r="G1166" t="str">
        <f>IF(D1166="","",INDEX(Knutepunkter!$C:$C,D1166+1))</f>
        <v/>
      </c>
      <c r="H1166" t="str">
        <f>IF(D1166="","",INDEX(Knutepunkter!$D:$D,D1166+1))</f>
        <v/>
      </c>
      <c r="I1166" t="str">
        <f>IF(E1166="","",INDEX(Knutepunkter!$B:$B,E1166+1))</f>
        <v/>
      </c>
      <c r="J1166" t="str">
        <f>IF(E1166="","",INDEX(Knutepunkter!$C:$C,E1166+1))</f>
        <v/>
      </c>
      <c r="K1166" t="str">
        <f>IF(E1166="","",INDEX(Knutepunkter!$D:$D,E1166+1))</f>
        <v/>
      </c>
      <c r="L1166" t="str">
        <f t="shared" si="93"/>
        <v/>
      </c>
      <c r="M1166" t="str">
        <f t="shared" si="94"/>
        <v/>
      </c>
    </row>
    <row r="1167" spans="1:13" x14ac:dyDescent="0.3">
      <c r="A1167" t="str">
        <f>Segmenter!A1167</f>
        <v/>
      </c>
      <c r="B1167" t="str">
        <f>Segmenter!B1167</f>
        <v/>
      </c>
      <c r="C1167" t="str">
        <f t="shared" si="90"/>
        <v/>
      </c>
      <c r="D1167" t="str">
        <f t="shared" si="91"/>
        <v/>
      </c>
      <c r="E1167" t="str">
        <f t="shared" si="92"/>
        <v/>
      </c>
      <c r="F1167" t="str">
        <f>IF(D1167="","",INDEX(Knutepunkter!$B:$B,D1167+1))</f>
        <v/>
      </c>
      <c r="G1167" t="str">
        <f>IF(D1167="","",INDEX(Knutepunkter!$C:$C,D1167+1))</f>
        <v/>
      </c>
      <c r="H1167" t="str">
        <f>IF(D1167="","",INDEX(Knutepunkter!$D:$D,D1167+1))</f>
        <v/>
      </c>
      <c r="I1167" t="str">
        <f>IF(E1167="","",INDEX(Knutepunkter!$B:$B,E1167+1))</f>
        <v/>
      </c>
      <c r="J1167" t="str">
        <f>IF(E1167="","",INDEX(Knutepunkter!$C:$C,E1167+1))</f>
        <v/>
      </c>
      <c r="K1167" t="str">
        <f>IF(E1167="","",INDEX(Knutepunkter!$D:$D,E1167+1))</f>
        <v/>
      </c>
      <c r="L1167" t="str">
        <f t="shared" si="93"/>
        <v/>
      </c>
      <c r="M1167" t="str">
        <f t="shared" si="94"/>
        <v/>
      </c>
    </row>
    <row r="1168" spans="1:13" x14ac:dyDescent="0.3">
      <c r="A1168" t="str">
        <f>Segmenter!A1168</f>
        <v/>
      </c>
      <c r="B1168" t="str">
        <f>Segmenter!B1168</f>
        <v/>
      </c>
      <c r="C1168" t="str">
        <f t="shared" si="90"/>
        <v/>
      </c>
      <c r="D1168" t="str">
        <f t="shared" si="91"/>
        <v/>
      </c>
      <c r="E1168" t="str">
        <f t="shared" si="92"/>
        <v/>
      </c>
      <c r="F1168" t="str">
        <f>IF(D1168="","",INDEX(Knutepunkter!$B:$B,D1168+1))</f>
        <v/>
      </c>
      <c r="G1168" t="str">
        <f>IF(D1168="","",INDEX(Knutepunkter!$C:$C,D1168+1))</f>
        <v/>
      </c>
      <c r="H1168" t="str">
        <f>IF(D1168="","",INDEX(Knutepunkter!$D:$D,D1168+1))</f>
        <v/>
      </c>
      <c r="I1168" t="str">
        <f>IF(E1168="","",INDEX(Knutepunkter!$B:$B,E1168+1))</f>
        <v/>
      </c>
      <c r="J1168" t="str">
        <f>IF(E1168="","",INDEX(Knutepunkter!$C:$C,E1168+1))</f>
        <v/>
      </c>
      <c r="K1168" t="str">
        <f>IF(E1168="","",INDEX(Knutepunkter!$D:$D,E1168+1))</f>
        <v/>
      </c>
      <c r="L1168" t="str">
        <f t="shared" si="93"/>
        <v/>
      </c>
      <c r="M1168" t="str">
        <f t="shared" si="94"/>
        <v/>
      </c>
    </row>
    <row r="1169" spans="1:13" x14ac:dyDescent="0.3">
      <c r="A1169" t="str">
        <f>Segmenter!A1169</f>
        <v/>
      </c>
      <c r="B1169" t="str">
        <f>Segmenter!B1169</f>
        <v/>
      </c>
      <c r="C1169" t="str">
        <f t="shared" si="90"/>
        <v/>
      </c>
      <c r="D1169" t="str">
        <f t="shared" si="91"/>
        <v/>
      </c>
      <c r="E1169" t="str">
        <f t="shared" si="92"/>
        <v/>
      </c>
      <c r="F1169" t="str">
        <f>IF(D1169="","",INDEX(Knutepunkter!$B:$B,D1169+1))</f>
        <v/>
      </c>
      <c r="G1169" t="str">
        <f>IF(D1169="","",INDEX(Knutepunkter!$C:$C,D1169+1))</f>
        <v/>
      </c>
      <c r="H1169" t="str">
        <f>IF(D1169="","",INDEX(Knutepunkter!$D:$D,D1169+1))</f>
        <v/>
      </c>
      <c r="I1169" t="str">
        <f>IF(E1169="","",INDEX(Knutepunkter!$B:$B,E1169+1))</f>
        <v/>
      </c>
      <c r="J1169" t="str">
        <f>IF(E1169="","",INDEX(Knutepunkter!$C:$C,E1169+1))</f>
        <v/>
      </c>
      <c r="K1169" t="str">
        <f>IF(E1169="","",INDEX(Knutepunkter!$D:$D,E1169+1))</f>
        <v/>
      </c>
      <c r="L1169" t="str">
        <f t="shared" si="93"/>
        <v/>
      </c>
      <c r="M1169" t="str">
        <f t="shared" si="94"/>
        <v/>
      </c>
    </row>
    <row r="1170" spans="1:13" x14ac:dyDescent="0.3">
      <c r="A1170" t="str">
        <f>Segmenter!A1170</f>
        <v/>
      </c>
      <c r="B1170" t="str">
        <f>Segmenter!B1170</f>
        <v/>
      </c>
      <c r="C1170" t="str">
        <f t="shared" si="90"/>
        <v/>
      </c>
      <c r="D1170" t="str">
        <f t="shared" si="91"/>
        <v/>
      </c>
      <c r="E1170" t="str">
        <f t="shared" si="92"/>
        <v/>
      </c>
      <c r="F1170" t="str">
        <f>IF(D1170="","",INDEX(Knutepunkter!$B:$B,D1170+1))</f>
        <v/>
      </c>
      <c r="G1170" t="str">
        <f>IF(D1170="","",INDEX(Knutepunkter!$C:$C,D1170+1))</f>
        <v/>
      </c>
      <c r="H1170" t="str">
        <f>IF(D1170="","",INDEX(Knutepunkter!$D:$D,D1170+1))</f>
        <v/>
      </c>
      <c r="I1170" t="str">
        <f>IF(E1170="","",INDEX(Knutepunkter!$B:$B,E1170+1))</f>
        <v/>
      </c>
      <c r="J1170" t="str">
        <f>IF(E1170="","",INDEX(Knutepunkter!$C:$C,E1170+1))</f>
        <v/>
      </c>
      <c r="K1170" t="str">
        <f>IF(E1170="","",INDEX(Knutepunkter!$D:$D,E1170+1))</f>
        <v/>
      </c>
      <c r="L1170" t="str">
        <f t="shared" si="93"/>
        <v/>
      </c>
      <c r="M1170" t="str">
        <f t="shared" si="94"/>
        <v/>
      </c>
    </row>
    <row r="1171" spans="1:13" x14ac:dyDescent="0.3">
      <c r="A1171" t="str">
        <f>Segmenter!A1171</f>
        <v/>
      </c>
      <c r="B1171" t="str">
        <f>Segmenter!B1171</f>
        <v/>
      </c>
      <c r="C1171" t="str">
        <f t="shared" si="90"/>
        <v/>
      </c>
      <c r="D1171" t="str">
        <f t="shared" si="91"/>
        <v/>
      </c>
      <c r="E1171" t="str">
        <f t="shared" si="92"/>
        <v/>
      </c>
      <c r="F1171" t="str">
        <f>IF(D1171="","",INDEX(Knutepunkter!$B:$B,D1171+1))</f>
        <v/>
      </c>
      <c r="G1171" t="str">
        <f>IF(D1171="","",INDEX(Knutepunkter!$C:$C,D1171+1))</f>
        <v/>
      </c>
      <c r="H1171" t="str">
        <f>IF(D1171="","",INDEX(Knutepunkter!$D:$D,D1171+1))</f>
        <v/>
      </c>
      <c r="I1171" t="str">
        <f>IF(E1171="","",INDEX(Knutepunkter!$B:$B,E1171+1))</f>
        <v/>
      </c>
      <c r="J1171" t="str">
        <f>IF(E1171="","",INDEX(Knutepunkter!$C:$C,E1171+1))</f>
        <v/>
      </c>
      <c r="K1171" t="str">
        <f>IF(E1171="","",INDEX(Knutepunkter!$D:$D,E1171+1))</f>
        <v/>
      </c>
      <c r="L1171" t="str">
        <f t="shared" si="93"/>
        <v/>
      </c>
      <c r="M1171" t="str">
        <f t="shared" si="94"/>
        <v/>
      </c>
    </row>
    <row r="1172" spans="1:13" x14ac:dyDescent="0.3">
      <c r="A1172" t="str">
        <f>Segmenter!A1172</f>
        <v/>
      </c>
      <c r="B1172" t="str">
        <f>Segmenter!B1172</f>
        <v/>
      </c>
      <c r="C1172" t="str">
        <f t="shared" si="90"/>
        <v/>
      </c>
      <c r="D1172" t="str">
        <f t="shared" si="91"/>
        <v/>
      </c>
      <c r="E1172" t="str">
        <f t="shared" si="92"/>
        <v/>
      </c>
      <c r="F1172" t="str">
        <f>IF(D1172="","",INDEX(Knutepunkter!$B:$B,D1172+1))</f>
        <v/>
      </c>
      <c r="G1172" t="str">
        <f>IF(D1172="","",INDEX(Knutepunkter!$C:$C,D1172+1))</f>
        <v/>
      </c>
      <c r="H1172" t="str">
        <f>IF(D1172="","",INDEX(Knutepunkter!$D:$D,D1172+1))</f>
        <v/>
      </c>
      <c r="I1172" t="str">
        <f>IF(E1172="","",INDEX(Knutepunkter!$B:$B,E1172+1))</f>
        <v/>
      </c>
      <c r="J1172" t="str">
        <f>IF(E1172="","",INDEX(Knutepunkter!$C:$C,E1172+1))</f>
        <v/>
      </c>
      <c r="K1172" t="str">
        <f>IF(E1172="","",INDEX(Knutepunkter!$D:$D,E1172+1))</f>
        <v/>
      </c>
      <c r="L1172" t="str">
        <f t="shared" si="93"/>
        <v/>
      </c>
      <c r="M1172" t="str">
        <f t="shared" si="94"/>
        <v/>
      </c>
    </row>
    <row r="1173" spans="1:13" x14ac:dyDescent="0.3">
      <c r="A1173" t="str">
        <f>Segmenter!A1173</f>
        <v/>
      </c>
      <c r="B1173" t="str">
        <f>Segmenter!B1173</f>
        <v/>
      </c>
      <c r="C1173" t="str">
        <f t="shared" si="90"/>
        <v/>
      </c>
      <c r="D1173" t="str">
        <f t="shared" si="91"/>
        <v/>
      </c>
      <c r="E1173" t="str">
        <f t="shared" si="92"/>
        <v/>
      </c>
      <c r="F1173" t="str">
        <f>IF(D1173="","",INDEX(Knutepunkter!$B:$B,D1173+1))</f>
        <v/>
      </c>
      <c r="G1173" t="str">
        <f>IF(D1173="","",INDEX(Knutepunkter!$C:$C,D1173+1))</f>
        <v/>
      </c>
      <c r="H1173" t="str">
        <f>IF(D1173="","",INDEX(Knutepunkter!$D:$D,D1173+1))</f>
        <v/>
      </c>
      <c r="I1173" t="str">
        <f>IF(E1173="","",INDEX(Knutepunkter!$B:$B,E1173+1))</f>
        <v/>
      </c>
      <c r="J1173" t="str">
        <f>IF(E1173="","",INDEX(Knutepunkter!$C:$C,E1173+1))</f>
        <v/>
      </c>
      <c r="K1173" t="str">
        <f>IF(E1173="","",INDEX(Knutepunkter!$D:$D,E1173+1))</f>
        <v/>
      </c>
      <c r="L1173" t="str">
        <f t="shared" si="93"/>
        <v/>
      </c>
      <c r="M1173" t="str">
        <f t="shared" si="94"/>
        <v/>
      </c>
    </row>
    <row r="1174" spans="1:13" x14ac:dyDescent="0.3">
      <c r="A1174" t="str">
        <f>Segmenter!A1174</f>
        <v/>
      </c>
      <c r="B1174" t="str">
        <f>Segmenter!B1174</f>
        <v/>
      </c>
      <c r="C1174" t="str">
        <f t="shared" si="90"/>
        <v/>
      </c>
      <c r="D1174" t="str">
        <f t="shared" si="91"/>
        <v/>
      </c>
      <c r="E1174" t="str">
        <f t="shared" si="92"/>
        <v/>
      </c>
      <c r="F1174" t="str">
        <f>IF(D1174="","",INDEX(Knutepunkter!$B:$B,D1174+1))</f>
        <v/>
      </c>
      <c r="G1174" t="str">
        <f>IF(D1174="","",INDEX(Knutepunkter!$C:$C,D1174+1))</f>
        <v/>
      </c>
      <c r="H1174" t="str">
        <f>IF(D1174="","",INDEX(Knutepunkter!$D:$D,D1174+1))</f>
        <v/>
      </c>
      <c r="I1174" t="str">
        <f>IF(E1174="","",INDEX(Knutepunkter!$B:$B,E1174+1))</f>
        <v/>
      </c>
      <c r="J1174" t="str">
        <f>IF(E1174="","",INDEX(Knutepunkter!$C:$C,E1174+1))</f>
        <v/>
      </c>
      <c r="K1174" t="str">
        <f>IF(E1174="","",INDEX(Knutepunkter!$D:$D,E1174+1))</f>
        <v/>
      </c>
      <c r="L1174" t="str">
        <f t="shared" si="93"/>
        <v/>
      </c>
      <c r="M1174" t="str">
        <f t="shared" si="94"/>
        <v/>
      </c>
    </row>
    <row r="1175" spans="1:13" x14ac:dyDescent="0.3">
      <c r="A1175" t="str">
        <f>Segmenter!A1175</f>
        <v/>
      </c>
      <c r="B1175" t="str">
        <f>Segmenter!B1175</f>
        <v/>
      </c>
      <c r="C1175" t="str">
        <f t="shared" si="90"/>
        <v/>
      </c>
      <c r="D1175" t="str">
        <f t="shared" si="91"/>
        <v/>
      </c>
      <c r="E1175" t="str">
        <f t="shared" si="92"/>
        <v/>
      </c>
      <c r="F1175" t="str">
        <f>IF(D1175="","",INDEX(Knutepunkter!$B:$B,D1175+1))</f>
        <v/>
      </c>
      <c r="G1175" t="str">
        <f>IF(D1175="","",INDEX(Knutepunkter!$C:$C,D1175+1))</f>
        <v/>
      </c>
      <c r="H1175" t="str">
        <f>IF(D1175="","",INDEX(Knutepunkter!$D:$D,D1175+1))</f>
        <v/>
      </c>
      <c r="I1175" t="str">
        <f>IF(E1175="","",INDEX(Knutepunkter!$B:$B,E1175+1))</f>
        <v/>
      </c>
      <c r="J1175" t="str">
        <f>IF(E1175="","",INDEX(Knutepunkter!$C:$C,E1175+1))</f>
        <v/>
      </c>
      <c r="K1175" t="str">
        <f>IF(E1175="","",INDEX(Knutepunkter!$D:$D,E1175+1))</f>
        <v/>
      </c>
      <c r="L1175" t="str">
        <f t="shared" si="93"/>
        <v/>
      </c>
      <c r="M1175" t="str">
        <f t="shared" si="94"/>
        <v/>
      </c>
    </row>
    <row r="1176" spans="1:13" x14ac:dyDescent="0.3">
      <c r="A1176" t="str">
        <f>Segmenter!A1176</f>
        <v/>
      </c>
      <c r="B1176" t="str">
        <f>Segmenter!B1176</f>
        <v/>
      </c>
      <c r="C1176" t="str">
        <f t="shared" si="90"/>
        <v/>
      </c>
      <c r="D1176" t="str">
        <f t="shared" si="91"/>
        <v/>
      </c>
      <c r="E1176" t="str">
        <f t="shared" si="92"/>
        <v/>
      </c>
      <c r="F1176" t="str">
        <f>IF(D1176="","",INDEX(Knutepunkter!$B:$B,D1176+1))</f>
        <v/>
      </c>
      <c r="G1176" t="str">
        <f>IF(D1176="","",INDEX(Knutepunkter!$C:$C,D1176+1))</f>
        <v/>
      </c>
      <c r="H1176" t="str">
        <f>IF(D1176="","",INDEX(Knutepunkter!$D:$D,D1176+1))</f>
        <v/>
      </c>
      <c r="I1176" t="str">
        <f>IF(E1176="","",INDEX(Knutepunkter!$B:$B,E1176+1))</f>
        <v/>
      </c>
      <c r="J1176" t="str">
        <f>IF(E1176="","",INDEX(Knutepunkter!$C:$C,E1176+1))</f>
        <v/>
      </c>
      <c r="K1176" t="str">
        <f>IF(E1176="","",INDEX(Knutepunkter!$D:$D,E1176+1))</f>
        <v/>
      </c>
      <c r="L1176" t="str">
        <f t="shared" si="93"/>
        <v/>
      </c>
      <c r="M1176" t="str">
        <f t="shared" si="94"/>
        <v/>
      </c>
    </row>
    <row r="1177" spans="1:13" x14ac:dyDescent="0.3">
      <c r="A1177" t="str">
        <f>Segmenter!A1177</f>
        <v/>
      </c>
      <c r="B1177" t="str">
        <f>Segmenter!B1177</f>
        <v/>
      </c>
      <c r="C1177" t="str">
        <f t="shared" si="90"/>
        <v/>
      </c>
      <c r="D1177" t="str">
        <f t="shared" si="91"/>
        <v/>
      </c>
      <c r="E1177" t="str">
        <f t="shared" si="92"/>
        <v/>
      </c>
      <c r="F1177" t="str">
        <f>IF(D1177="","",INDEX(Knutepunkter!$B:$B,D1177+1))</f>
        <v/>
      </c>
      <c r="G1177" t="str">
        <f>IF(D1177="","",INDEX(Knutepunkter!$C:$C,D1177+1))</f>
        <v/>
      </c>
      <c r="H1177" t="str">
        <f>IF(D1177="","",INDEX(Knutepunkter!$D:$D,D1177+1))</f>
        <v/>
      </c>
      <c r="I1177" t="str">
        <f>IF(E1177="","",INDEX(Knutepunkter!$B:$B,E1177+1))</f>
        <v/>
      </c>
      <c r="J1177" t="str">
        <f>IF(E1177="","",INDEX(Knutepunkter!$C:$C,E1177+1))</f>
        <v/>
      </c>
      <c r="K1177" t="str">
        <f>IF(E1177="","",INDEX(Knutepunkter!$D:$D,E1177+1))</f>
        <v/>
      </c>
      <c r="L1177" t="str">
        <f t="shared" si="93"/>
        <v/>
      </c>
      <c r="M1177" t="str">
        <f t="shared" si="94"/>
        <v/>
      </c>
    </row>
    <row r="1178" spans="1:13" x14ac:dyDescent="0.3">
      <c r="A1178" t="str">
        <f>Segmenter!A1178</f>
        <v/>
      </c>
      <c r="B1178" t="str">
        <f>Segmenter!B1178</f>
        <v/>
      </c>
      <c r="C1178" t="str">
        <f t="shared" si="90"/>
        <v/>
      </c>
      <c r="D1178" t="str">
        <f t="shared" si="91"/>
        <v/>
      </c>
      <c r="E1178" t="str">
        <f t="shared" si="92"/>
        <v/>
      </c>
      <c r="F1178" t="str">
        <f>IF(D1178="","",INDEX(Knutepunkter!$B:$B,D1178+1))</f>
        <v/>
      </c>
      <c r="G1178" t="str">
        <f>IF(D1178="","",INDEX(Knutepunkter!$C:$C,D1178+1))</f>
        <v/>
      </c>
      <c r="H1178" t="str">
        <f>IF(D1178="","",INDEX(Knutepunkter!$D:$D,D1178+1))</f>
        <v/>
      </c>
      <c r="I1178" t="str">
        <f>IF(E1178="","",INDEX(Knutepunkter!$B:$B,E1178+1))</f>
        <v/>
      </c>
      <c r="J1178" t="str">
        <f>IF(E1178="","",INDEX(Knutepunkter!$C:$C,E1178+1))</f>
        <v/>
      </c>
      <c r="K1178" t="str">
        <f>IF(E1178="","",INDEX(Knutepunkter!$D:$D,E1178+1))</f>
        <v/>
      </c>
      <c r="L1178" t="str">
        <f t="shared" si="93"/>
        <v/>
      </c>
      <c r="M1178" t="str">
        <f t="shared" si="94"/>
        <v/>
      </c>
    </row>
    <row r="1179" spans="1:13" x14ac:dyDescent="0.3">
      <c r="A1179" t="str">
        <f>Segmenter!A1179</f>
        <v/>
      </c>
      <c r="B1179" t="str">
        <f>Segmenter!B1179</f>
        <v/>
      </c>
      <c r="C1179" t="str">
        <f t="shared" si="90"/>
        <v/>
      </c>
      <c r="D1179" t="str">
        <f t="shared" si="91"/>
        <v/>
      </c>
      <c r="E1179" t="str">
        <f t="shared" si="92"/>
        <v/>
      </c>
      <c r="F1179" t="str">
        <f>IF(D1179="","",INDEX(Knutepunkter!$B:$B,D1179+1))</f>
        <v/>
      </c>
      <c r="G1179" t="str">
        <f>IF(D1179="","",INDEX(Knutepunkter!$C:$C,D1179+1))</f>
        <v/>
      </c>
      <c r="H1179" t="str">
        <f>IF(D1179="","",INDEX(Knutepunkter!$D:$D,D1179+1))</f>
        <v/>
      </c>
      <c r="I1179" t="str">
        <f>IF(E1179="","",INDEX(Knutepunkter!$B:$B,E1179+1))</f>
        <v/>
      </c>
      <c r="J1179" t="str">
        <f>IF(E1179="","",INDEX(Knutepunkter!$C:$C,E1179+1))</f>
        <v/>
      </c>
      <c r="K1179" t="str">
        <f>IF(E1179="","",INDEX(Knutepunkter!$D:$D,E1179+1))</f>
        <v/>
      </c>
      <c r="L1179" t="str">
        <f t="shared" si="93"/>
        <v/>
      </c>
      <c r="M1179" t="str">
        <f t="shared" si="94"/>
        <v/>
      </c>
    </row>
    <row r="1180" spans="1:13" x14ac:dyDescent="0.3">
      <c r="A1180" t="str">
        <f>Segmenter!A1180</f>
        <v/>
      </c>
      <c r="B1180" t="str">
        <f>Segmenter!B1180</f>
        <v/>
      </c>
      <c r="C1180" t="str">
        <f t="shared" si="90"/>
        <v/>
      </c>
      <c r="D1180" t="str">
        <f t="shared" si="91"/>
        <v/>
      </c>
      <c r="E1180" t="str">
        <f t="shared" si="92"/>
        <v/>
      </c>
      <c r="F1180" t="str">
        <f>IF(D1180="","",INDEX(Knutepunkter!$B:$B,D1180+1))</f>
        <v/>
      </c>
      <c r="G1180" t="str">
        <f>IF(D1180="","",INDEX(Knutepunkter!$C:$C,D1180+1))</f>
        <v/>
      </c>
      <c r="H1180" t="str">
        <f>IF(D1180="","",INDEX(Knutepunkter!$D:$D,D1180+1))</f>
        <v/>
      </c>
      <c r="I1180" t="str">
        <f>IF(E1180="","",INDEX(Knutepunkter!$B:$B,E1180+1))</f>
        <v/>
      </c>
      <c r="J1180" t="str">
        <f>IF(E1180="","",INDEX(Knutepunkter!$C:$C,E1180+1))</f>
        <v/>
      </c>
      <c r="K1180" t="str">
        <f>IF(E1180="","",INDEX(Knutepunkter!$D:$D,E1180+1))</f>
        <v/>
      </c>
      <c r="L1180" t="str">
        <f t="shared" si="93"/>
        <v/>
      </c>
      <c r="M1180" t="str">
        <f t="shared" si="94"/>
        <v/>
      </c>
    </row>
    <row r="1181" spans="1:13" x14ac:dyDescent="0.3">
      <c r="A1181" t="str">
        <f>Segmenter!A1181</f>
        <v/>
      </c>
      <c r="B1181" t="str">
        <f>Segmenter!B1181</f>
        <v/>
      </c>
      <c r="C1181" t="str">
        <f t="shared" si="90"/>
        <v/>
      </c>
      <c r="D1181" t="str">
        <f t="shared" si="91"/>
        <v/>
      </c>
      <c r="E1181" t="str">
        <f t="shared" si="92"/>
        <v/>
      </c>
      <c r="F1181" t="str">
        <f>IF(D1181="","",INDEX(Knutepunkter!$B:$B,D1181+1))</f>
        <v/>
      </c>
      <c r="G1181" t="str">
        <f>IF(D1181="","",INDEX(Knutepunkter!$C:$C,D1181+1))</f>
        <v/>
      </c>
      <c r="H1181" t="str">
        <f>IF(D1181="","",INDEX(Knutepunkter!$D:$D,D1181+1))</f>
        <v/>
      </c>
      <c r="I1181" t="str">
        <f>IF(E1181="","",INDEX(Knutepunkter!$B:$B,E1181+1))</f>
        <v/>
      </c>
      <c r="J1181" t="str">
        <f>IF(E1181="","",INDEX(Knutepunkter!$C:$C,E1181+1))</f>
        <v/>
      </c>
      <c r="K1181" t="str">
        <f>IF(E1181="","",INDEX(Knutepunkter!$D:$D,E1181+1))</f>
        <v/>
      </c>
      <c r="L1181" t="str">
        <f t="shared" si="93"/>
        <v/>
      </c>
      <c r="M1181" t="str">
        <f t="shared" si="94"/>
        <v/>
      </c>
    </row>
    <row r="1182" spans="1:13" x14ac:dyDescent="0.3">
      <c r="A1182" t="str">
        <f>Segmenter!A1182</f>
        <v/>
      </c>
      <c r="B1182" t="str">
        <f>Segmenter!B1182</f>
        <v/>
      </c>
      <c r="C1182" t="str">
        <f t="shared" si="90"/>
        <v/>
      </c>
      <c r="D1182" t="str">
        <f t="shared" si="91"/>
        <v/>
      </c>
      <c r="E1182" t="str">
        <f t="shared" si="92"/>
        <v/>
      </c>
      <c r="F1182" t="str">
        <f>IF(D1182="","",INDEX(Knutepunkter!$B:$B,D1182+1))</f>
        <v/>
      </c>
      <c r="G1182" t="str">
        <f>IF(D1182="","",INDEX(Knutepunkter!$C:$C,D1182+1))</f>
        <v/>
      </c>
      <c r="H1182" t="str">
        <f>IF(D1182="","",INDEX(Knutepunkter!$D:$D,D1182+1))</f>
        <v/>
      </c>
      <c r="I1182" t="str">
        <f>IF(E1182="","",INDEX(Knutepunkter!$B:$B,E1182+1))</f>
        <v/>
      </c>
      <c r="J1182" t="str">
        <f>IF(E1182="","",INDEX(Knutepunkter!$C:$C,E1182+1))</f>
        <v/>
      </c>
      <c r="K1182" t="str">
        <f>IF(E1182="","",INDEX(Knutepunkter!$D:$D,E1182+1))</f>
        <v/>
      </c>
      <c r="L1182" t="str">
        <f t="shared" si="93"/>
        <v/>
      </c>
      <c r="M1182" t="str">
        <f t="shared" si="94"/>
        <v/>
      </c>
    </row>
    <row r="1183" spans="1:13" x14ac:dyDescent="0.3">
      <c r="A1183" t="str">
        <f>Segmenter!A1183</f>
        <v/>
      </c>
      <c r="B1183" t="str">
        <f>Segmenter!B1183</f>
        <v/>
      </c>
      <c r="C1183" t="str">
        <f t="shared" si="90"/>
        <v/>
      </c>
      <c r="D1183" t="str">
        <f t="shared" si="91"/>
        <v/>
      </c>
      <c r="E1183" t="str">
        <f t="shared" si="92"/>
        <v/>
      </c>
      <c r="F1183" t="str">
        <f>IF(D1183="","",INDEX(Knutepunkter!$B:$B,D1183+1))</f>
        <v/>
      </c>
      <c r="G1183" t="str">
        <f>IF(D1183="","",INDEX(Knutepunkter!$C:$C,D1183+1))</f>
        <v/>
      </c>
      <c r="H1183" t="str">
        <f>IF(D1183="","",INDEX(Knutepunkter!$D:$D,D1183+1))</f>
        <v/>
      </c>
      <c r="I1183" t="str">
        <f>IF(E1183="","",INDEX(Knutepunkter!$B:$B,E1183+1))</f>
        <v/>
      </c>
      <c r="J1183" t="str">
        <f>IF(E1183="","",INDEX(Knutepunkter!$C:$C,E1183+1))</f>
        <v/>
      </c>
      <c r="K1183" t="str">
        <f>IF(E1183="","",INDEX(Knutepunkter!$D:$D,E1183+1))</f>
        <v/>
      </c>
      <c r="L1183" t="str">
        <f t="shared" si="93"/>
        <v/>
      </c>
      <c r="M1183" t="str">
        <f t="shared" si="94"/>
        <v/>
      </c>
    </row>
    <row r="1184" spans="1:13" x14ac:dyDescent="0.3">
      <c r="A1184" t="str">
        <f>Segmenter!A1184</f>
        <v/>
      </c>
      <c r="B1184" t="str">
        <f>Segmenter!B1184</f>
        <v/>
      </c>
      <c r="C1184" t="str">
        <f t="shared" si="90"/>
        <v/>
      </c>
      <c r="D1184" t="str">
        <f t="shared" si="91"/>
        <v/>
      </c>
      <c r="E1184" t="str">
        <f t="shared" si="92"/>
        <v/>
      </c>
      <c r="F1184" t="str">
        <f>IF(D1184="","",INDEX(Knutepunkter!$B:$B,D1184+1))</f>
        <v/>
      </c>
      <c r="G1184" t="str">
        <f>IF(D1184="","",INDEX(Knutepunkter!$C:$C,D1184+1))</f>
        <v/>
      </c>
      <c r="H1184" t="str">
        <f>IF(D1184="","",INDEX(Knutepunkter!$D:$D,D1184+1))</f>
        <v/>
      </c>
      <c r="I1184" t="str">
        <f>IF(E1184="","",INDEX(Knutepunkter!$B:$B,E1184+1))</f>
        <v/>
      </c>
      <c r="J1184" t="str">
        <f>IF(E1184="","",INDEX(Knutepunkter!$C:$C,E1184+1))</f>
        <v/>
      </c>
      <c r="K1184" t="str">
        <f>IF(E1184="","",INDEX(Knutepunkter!$D:$D,E1184+1))</f>
        <v/>
      </c>
      <c r="L1184" t="str">
        <f t="shared" si="93"/>
        <v/>
      </c>
      <c r="M1184" t="str">
        <f t="shared" si="94"/>
        <v/>
      </c>
    </row>
    <row r="1185" spans="1:13" x14ac:dyDescent="0.3">
      <c r="A1185" t="str">
        <f>Segmenter!A1185</f>
        <v/>
      </c>
      <c r="B1185" t="str">
        <f>Segmenter!B1185</f>
        <v/>
      </c>
      <c r="C1185" t="str">
        <f t="shared" si="90"/>
        <v/>
      </c>
      <c r="D1185" t="str">
        <f t="shared" si="91"/>
        <v/>
      </c>
      <c r="E1185" t="str">
        <f t="shared" si="92"/>
        <v/>
      </c>
      <c r="F1185" t="str">
        <f>IF(D1185="","",INDEX(Knutepunkter!$B:$B,D1185+1))</f>
        <v/>
      </c>
      <c r="G1185" t="str">
        <f>IF(D1185="","",INDEX(Knutepunkter!$C:$C,D1185+1))</f>
        <v/>
      </c>
      <c r="H1185" t="str">
        <f>IF(D1185="","",INDEX(Knutepunkter!$D:$D,D1185+1))</f>
        <v/>
      </c>
      <c r="I1185" t="str">
        <f>IF(E1185="","",INDEX(Knutepunkter!$B:$B,E1185+1))</f>
        <v/>
      </c>
      <c r="J1185" t="str">
        <f>IF(E1185="","",INDEX(Knutepunkter!$C:$C,E1185+1))</f>
        <v/>
      </c>
      <c r="K1185" t="str">
        <f>IF(E1185="","",INDEX(Knutepunkter!$D:$D,E1185+1))</f>
        <v/>
      </c>
      <c r="L1185" t="str">
        <f t="shared" si="93"/>
        <v/>
      </c>
      <c r="M1185" t="str">
        <f t="shared" si="94"/>
        <v/>
      </c>
    </row>
    <row r="1186" spans="1:13" x14ac:dyDescent="0.3">
      <c r="A1186" t="str">
        <f>Segmenter!A1186</f>
        <v/>
      </c>
      <c r="B1186" t="str">
        <f>Segmenter!B1186</f>
        <v/>
      </c>
      <c r="C1186" t="str">
        <f t="shared" si="90"/>
        <v/>
      </c>
      <c r="D1186" t="str">
        <f t="shared" si="91"/>
        <v/>
      </c>
      <c r="E1186" t="str">
        <f t="shared" si="92"/>
        <v/>
      </c>
      <c r="F1186" t="str">
        <f>IF(D1186="","",INDEX(Knutepunkter!$B:$B,D1186+1))</f>
        <v/>
      </c>
      <c r="G1186" t="str">
        <f>IF(D1186="","",INDEX(Knutepunkter!$C:$C,D1186+1))</f>
        <v/>
      </c>
      <c r="H1186" t="str">
        <f>IF(D1186="","",INDEX(Knutepunkter!$D:$D,D1186+1))</f>
        <v/>
      </c>
      <c r="I1186" t="str">
        <f>IF(E1186="","",INDEX(Knutepunkter!$B:$B,E1186+1))</f>
        <v/>
      </c>
      <c r="J1186" t="str">
        <f>IF(E1186="","",INDEX(Knutepunkter!$C:$C,E1186+1))</f>
        <v/>
      </c>
      <c r="K1186" t="str">
        <f>IF(E1186="","",INDEX(Knutepunkter!$D:$D,E1186+1))</f>
        <v/>
      </c>
      <c r="L1186" t="str">
        <f t="shared" si="93"/>
        <v/>
      </c>
      <c r="M1186" t="str">
        <f t="shared" si="94"/>
        <v/>
      </c>
    </row>
    <row r="1187" spans="1:13" x14ac:dyDescent="0.3">
      <c r="A1187" t="str">
        <f>Segmenter!A1187</f>
        <v/>
      </c>
      <c r="B1187" t="str">
        <f>Segmenter!B1187</f>
        <v/>
      </c>
      <c r="C1187" t="str">
        <f t="shared" si="90"/>
        <v/>
      </c>
      <c r="D1187" t="str">
        <f t="shared" si="91"/>
        <v/>
      </c>
      <c r="E1187" t="str">
        <f t="shared" si="92"/>
        <v/>
      </c>
      <c r="F1187" t="str">
        <f>IF(D1187="","",INDEX(Knutepunkter!$B:$B,D1187+1))</f>
        <v/>
      </c>
      <c r="G1187" t="str">
        <f>IF(D1187="","",INDEX(Knutepunkter!$C:$C,D1187+1))</f>
        <v/>
      </c>
      <c r="H1187" t="str">
        <f>IF(D1187="","",INDEX(Knutepunkter!$D:$D,D1187+1))</f>
        <v/>
      </c>
      <c r="I1187" t="str">
        <f>IF(E1187="","",INDEX(Knutepunkter!$B:$B,E1187+1))</f>
        <v/>
      </c>
      <c r="J1187" t="str">
        <f>IF(E1187="","",INDEX(Knutepunkter!$C:$C,E1187+1))</f>
        <v/>
      </c>
      <c r="K1187" t="str">
        <f>IF(E1187="","",INDEX(Knutepunkter!$D:$D,E1187+1))</f>
        <v/>
      </c>
      <c r="L1187" t="str">
        <f t="shared" si="93"/>
        <v/>
      </c>
      <c r="M1187" t="str">
        <f t="shared" si="94"/>
        <v/>
      </c>
    </row>
    <row r="1188" spans="1:13" x14ac:dyDescent="0.3">
      <c r="A1188" t="str">
        <f>Segmenter!A1188</f>
        <v/>
      </c>
      <c r="B1188" t="str">
        <f>Segmenter!B1188</f>
        <v/>
      </c>
      <c r="C1188" t="str">
        <f t="shared" si="90"/>
        <v/>
      </c>
      <c r="D1188" t="str">
        <f t="shared" si="91"/>
        <v/>
      </c>
      <c r="E1188" t="str">
        <f t="shared" si="92"/>
        <v/>
      </c>
      <c r="F1188" t="str">
        <f>IF(D1188="","",INDEX(Knutepunkter!$B:$B,D1188+1))</f>
        <v/>
      </c>
      <c r="G1188" t="str">
        <f>IF(D1188="","",INDEX(Knutepunkter!$C:$C,D1188+1))</f>
        <v/>
      </c>
      <c r="H1188" t="str">
        <f>IF(D1188="","",INDEX(Knutepunkter!$D:$D,D1188+1))</f>
        <v/>
      </c>
      <c r="I1188" t="str">
        <f>IF(E1188="","",INDEX(Knutepunkter!$B:$B,E1188+1))</f>
        <v/>
      </c>
      <c r="J1188" t="str">
        <f>IF(E1188="","",INDEX(Knutepunkter!$C:$C,E1188+1))</f>
        <v/>
      </c>
      <c r="K1188" t="str">
        <f>IF(E1188="","",INDEX(Knutepunkter!$D:$D,E1188+1))</f>
        <v/>
      </c>
      <c r="L1188" t="str">
        <f t="shared" si="93"/>
        <v/>
      </c>
      <c r="M1188" t="str">
        <f t="shared" si="94"/>
        <v/>
      </c>
    </row>
    <row r="1189" spans="1:13" x14ac:dyDescent="0.3">
      <c r="A1189" t="str">
        <f>Segmenter!A1189</f>
        <v/>
      </c>
      <c r="B1189" t="str">
        <f>Segmenter!B1189</f>
        <v/>
      </c>
      <c r="C1189" t="str">
        <f t="shared" si="90"/>
        <v/>
      </c>
      <c r="D1189" t="str">
        <f t="shared" si="91"/>
        <v/>
      </c>
      <c r="E1189" t="str">
        <f t="shared" si="92"/>
        <v/>
      </c>
      <c r="F1189" t="str">
        <f>IF(D1189="","",INDEX(Knutepunkter!$B:$B,D1189+1))</f>
        <v/>
      </c>
      <c r="G1189" t="str">
        <f>IF(D1189="","",INDEX(Knutepunkter!$C:$C,D1189+1))</f>
        <v/>
      </c>
      <c r="H1189" t="str">
        <f>IF(D1189="","",INDEX(Knutepunkter!$D:$D,D1189+1))</f>
        <v/>
      </c>
      <c r="I1189" t="str">
        <f>IF(E1189="","",INDEX(Knutepunkter!$B:$B,E1189+1))</f>
        <v/>
      </c>
      <c r="J1189" t="str">
        <f>IF(E1189="","",INDEX(Knutepunkter!$C:$C,E1189+1))</f>
        <v/>
      </c>
      <c r="K1189" t="str">
        <f>IF(E1189="","",INDEX(Knutepunkter!$D:$D,E1189+1))</f>
        <v/>
      </c>
      <c r="L1189" t="str">
        <f t="shared" si="93"/>
        <v/>
      </c>
      <c r="M1189" t="str">
        <f t="shared" si="94"/>
        <v/>
      </c>
    </row>
    <row r="1190" spans="1:13" x14ac:dyDescent="0.3">
      <c r="A1190" t="str">
        <f>Segmenter!A1190</f>
        <v/>
      </c>
      <c r="B1190" t="str">
        <f>Segmenter!B1190</f>
        <v/>
      </c>
      <c r="C1190" t="str">
        <f t="shared" si="90"/>
        <v/>
      </c>
      <c r="D1190" t="str">
        <f t="shared" si="91"/>
        <v/>
      </c>
      <c r="E1190" t="str">
        <f t="shared" si="92"/>
        <v/>
      </c>
      <c r="F1190" t="str">
        <f>IF(D1190="","",INDEX(Knutepunkter!$B:$B,D1190+1))</f>
        <v/>
      </c>
      <c r="G1190" t="str">
        <f>IF(D1190="","",INDEX(Knutepunkter!$C:$C,D1190+1))</f>
        <v/>
      </c>
      <c r="H1190" t="str">
        <f>IF(D1190="","",INDEX(Knutepunkter!$D:$D,D1190+1))</f>
        <v/>
      </c>
      <c r="I1190" t="str">
        <f>IF(E1190="","",INDEX(Knutepunkter!$B:$B,E1190+1))</f>
        <v/>
      </c>
      <c r="J1190" t="str">
        <f>IF(E1190="","",INDEX(Knutepunkter!$C:$C,E1190+1))</f>
        <v/>
      </c>
      <c r="K1190" t="str">
        <f>IF(E1190="","",INDEX(Knutepunkter!$D:$D,E1190+1))</f>
        <v/>
      </c>
      <c r="L1190" t="str">
        <f t="shared" si="93"/>
        <v/>
      </c>
      <c r="M1190" t="str">
        <f t="shared" si="94"/>
        <v/>
      </c>
    </row>
    <row r="1191" spans="1:13" x14ac:dyDescent="0.3">
      <c r="A1191" t="str">
        <f>Segmenter!A1191</f>
        <v/>
      </c>
      <c r="B1191" t="str">
        <f>Segmenter!B1191</f>
        <v/>
      </c>
      <c r="C1191" t="str">
        <f t="shared" si="90"/>
        <v/>
      </c>
      <c r="D1191" t="str">
        <f t="shared" si="91"/>
        <v/>
      </c>
      <c r="E1191" t="str">
        <f t="shared" si="92"/>
        <v/>
      </c>
      <c r="F1191" t="str">
        <f>IF(D1191="","",INDEX(Knutepunkter!$B:$B,D1191+1))</f>
        <v/>
      </c>
      <c r="G1191" t="str">
        <f>IF(D1191="","",INDEX(Knutepunkter!$C:$C,D1191+1))</f>
        <v/>
      </c>
      <c r="H1191" t="str">
        <f>IF(D1191="","",INDEX(Knutepunkter!$D:$D,D1191+1))</f>
        <v/>
      </c>
      <c r="I1191" t="str">
        <f>IF(E1191="","",INDEX(Knutepunkter!$B:$B,E1191+1))</f>
        <v/>
      </c>
      <c r="J1191" t="str">
        <f>IF(E1191="","",INDEX(Knutepunkter!$C:$C,E1191+1))</f>
        <v/>
      </c>
      <c r="K1191" t="str">
        <f>IF(E1191="","",INDEX(Knutepunkter!$D:$D,E1191+1))</f>
        <v/>
      </c>
      <c r="L1191" t="str">
        <f t="shared" si="93"/>
        <v/>
      </c>
      <c r="M1191" t="str">
        <f t="shared" si="94"/>
        <v/>
      </c>
    </row>
    <row r="1192" spans="1:13" x14ac:dyDescent="0.3">
      <c r="A1192" t="str">
        <f>Segmenter!A1192</f>
        <v/>
      </c>
      <c r="B1192" t="str">
        <f>Segmenter!B1192</f>
        <v/>
      </c>
      <c r="C1192" t="str">
        <f t="shared" si="90"/>
        <v/>
      </c>
      <c r="D1192" t="str">
        <f t="shared" si="91"/>
        <v/>
      </c>
      <c r="E1192" t="str">
        <f t="shared" si="92"/>
        <v/>
      </c>
      <c r="F1192" t="str">
        <f>IF(D1192="","",INDEX(Knutepunkter!$B:$B,D1192+1))</f>
        <v/>
      </c>
      <c r="G1192" t="str">
        <f>IF(D1192="","",INDEX(Knutepunkter!$C:$C,D1192+1))</f>
        <v/>
      </c>
      <c r="H1192" t="str">
        <f>IF(D1192="","",INDEX(Knutepunkter!$D:$D,D1192+1))</f>
        <v/>
      </c>
      <c r="I1192" t="str">
        <f>IF(E1192="","",INDEX(Knutepunkter!$B:$B,E1192+1))</f>
        <v/>
      </c>
      <c r="J1192" t="str">
        <f>IF(E1192="","",INDEX(Knutepunkter!$C:$C,E1192+1))</f>
        <v/>
      </c>
      <c r="K1192" t="str">
        <f>IF(E1192="","",INDEX(Knutepunkter!$D:$D,E1192+1))</f>
        <v/>
      </c>
      <c r="L1192" t="str">
        <f t="shared" si="93"/>
        <v/>
      </c>
      <c r="M1192" t="str">
        <f t="shared" si="94"/>
        <v/>
      </c>
    </row>
    <row r="1193" spans="1:13" x14ac:dyDescent="0.3">
      <c r="A1193" t="str">
        <f>Segmenter!A1193</f>
        <v/>
      </c>
      <c r="B1193" t="str">
        <f>Segmenter!B1193</f>
        <v/>
      </c>
      <c r="C1193" t="str">
        <f t="shared" si="90"/>
        <v/>
      </c>
      <c r="D1193" t="str">
        <f t="shared" si="91"/>
        <v/>
      </c>
      <c r="E1193" t="str">
        <f t="shared" si="92"/>
        <v/>
      </c>
      <c r="F1193" t="str">
        <f>IF(D1193="","",INDEX(Knutepunkter!$B:$B,D1193+1))</f>
        <v/>
      </c>
      <c r="G1193" t="str">
        <f>IF(D1193="","",INDEX(Knutepunkter!$C:$C,D1193+1))</f>
        <v/>
      </c>
      <c r="H1193" t="str">
        <f>IF(D1193="","",INDEX(Knutepunkter!$D:$D,D1193+1))</f>
        <v/>
      </c>
      <c r="I1193" t="str">
        <f>IF(E1193="","",INDEX(Knutepunkter!$B:$B,E1193+1))</f>
        <v/>
      </c>
      <c r="J1193" t="str">
        <f>IF(E1193="","",INDEX(Knutepunkter!$C:$C,E1193+1))</f>
        <v/>
      </c>
      <c r="K1193" t="str">
        <f>IF(E1193="","",INDEX(Knutepunkter!$D:$D,E1193+1))</f>
        <v/>
      </c>
      <c r="L1193" t="str">
        <f t="shared" si="93"/>
        <v/>
      </c>
      <c r="M1193" t="str">
        <f t="shared" si="94"/>
        <v/>
      </c>
    </row>
    <row r="1194" spans="1:13" x14ac:dyDescent="0.3">
      <c r="A1194" t="str">
        <f>Segmenter!A1194</f>
        <v/>
      </c>
      <c r="B1194" t="str">
        <f>Segmenter!B1194</f>
        <v/>
      </c>
      <c r="C1194" t="str">
        <f t="shared" si="90"/>
        <v/>
      </c>
      <c r="D1194" t="str">
        <f t="shared" si="91"/>
        <v/>
      </c>
      <c r="E1194" t="str">
        <f t="shared" si="92"/>
        <v/>
      </c>
      <c r="F1194" t="str">
        <f>IF(D1194="","",INDEX(Knutepunkter!$B:$B,D1194+1))</f>
        <v/>
      </c>
      <c r="G1194" t="str">
        <f>IF(D1194="","",INDEX(Knutepunkter!$C:$C,D1194+1))</f>
        <v/>
      </c>
      <c r="H1194" t="str">
        <f>IF(D1194="","",INDEX(Knutepunkter!$D:$D,D1194+1))</f>
        <v/>
      </c>
      <c r="I1194" t="str">
        <f>IF(E1194="","",INDEX(Knutepunkter!$B:$B,E1194+1))</f>
        <v/>
      </c>
      <c r="J1194" t="str">
        <f>IF(E1194="","",INDEX(Knutepunkter!$C:$C,E1194+1))</f>
        <v/>
      </c>
      <c r="K1194" t="str">
        <f>IF(E1194="","",INDEX(Knutepunkter!$D:$D,E1194+1))</f>
        <v/>
      </c>
      <c r="L1194" t="str">
        <f t="shared" si="93"/>
        <v/>
      </c>
      <c r="M1194" t="str">
        <f t="shared" si="94"/>
        <v/>
      </c>
    </row>
    <row r="1195" spans="1:13" x14ac:dyDescent="0.3">
      <c r="A1195" t="str">
        <f>Segmenter!A1195</f>
        <v/>
      </c>
      <c r="B1195" t="str">
        <f>Segmenter!B1195</f>
        <v/>
      </c>
      <c r="C1195" t="str">
        <f t="shared" si="90"/>
        <v/>
      </c>
      <c r="D1195" t="str">
        <f t="shared" si="91"/>
        <v/>
      </c>
      <c r="E1195" t="str">
        <f t="shared" si="92"/>
        <v/>
      </c>
      <c r="F1195" t="str">
        <f>IF(D1195="","",INDEX(Knutepunkter!$B:$B,D1195+1))</f>
        <v/>
      </c>
      <c r="G1195" t="str">
        <f>IF(D1195="","",INDEX(Knutepunkter!$C:$C,D1195+1))</f>
        <v/>
      </c>
      <c r="H1195" t="str">
        <f>IF(D1195="","",INDEX(Knutepunkter!$D:$D,D1195+1))</f>
        <v/>
      </c>
      <c r="I1195" t="str">
        <f>IF(E1195="","",INDEX(Knutepunkter!$B:$B,E1195+1))</f>
        <v/>
      </c>
      <c r="J1195" t="str">
        <f>IF(E1195="","",INDEX(Knutepunkter!$C:$C,E1195+1))</f>
        <v/>
      </c>
      <c r="K1195" t="str">
        <f>IF(E1195="","",INDEX(Knutepunkter!$D:$D,E1195+1))</f>
        <v/>
      </c>
      <c r="L1195" t="str">
        <f t="shared" si="93"/>
        <v/>
      </c>
      <c r="M1195" t="str">
        <f t="shared" si="94"/>
        <v/>
      </c>
    </row>
    <row r="1196" spans="1:13" x14ac:dyDescent="0.3">
      <c r="A1196" t="str">
        <f>Segmenter!A1196</f>
        <v/>
      </c>
      <c r="B1196" t="str">
        <f>Segmenter!B1196</f>
        <v/>
      </c>
      <c r="C1196" t="str">
        <f t="shared" si="90"/>
        <v/>
      </c>
      <c r="D1196" t="str">
        <f t="shared" si="91"/>
        <v/>
      </c>
      <c r="E1196" t="str">
        <f t="shared" si="92"/>
        <v/>
      </c>
      <c r="F1196" t="str">
        <f>IF(D1196="","",INDEX(Knutepunkter!$B:$B,D1196+1))</f>
        <v/>
      </c>
      <c r="G1196" t="str">
        <f>IF(D1196="","",INDEX(Knutepunkter!$C:$C,D1196+1))</f>
        <v/>
      </c>
      <c r="H1196" t="str">
        <f>IF(D1196="","",INDEX(Knutepunkter!$D:$D,D1196+1))</f>
        <v/>
      </c>
      <c r="I1196" t="str">
        <f>IF(E1196="","",INDEX(Knutepunkter!$B:$B,E1196+1))</f>
        <v/>
      </c>
      <c r="J1196" t="str">
        <f>IF(E1196="","",INDEX(Knutepunkter!$C:$C,E1196+1))</f>
        <v/>
      </c>
      <c r="K1196" t="str">
        <f>IF(E1196="","",INDEX(Knutepunkter!$D:$D,E1196+1))</f>
        <v/>
      </c>
      <c r="L1196" t="str">
        <f t="shared" si="93"/>
        <v/>
      </c>
      <c r="M1196" t="str">
        <f t="shared" si="94"/>
        <v/>
      </c>
    </row>
    <row r="1197" spans="1:13" x14ac:dyDescent="0.3">
      <c r="A1197" t="str">
        <f>Segmenter!A1197</f>
        <v/>
      </c>
      <c r="B1197" t="str">
        <f>Segmenter!B1197</f>
        <v/>
      </c>
      <c r="C1197" t="str">
        <f t="shared" si="90"/>
        <v/>
      </c>
      <c r="D1197" t="str">
        <f t="shared" si="91"/>
        <v/>
      </c>
      <c r="E1197" t="str">
        <f t="shared" si="92"/>
        <v/>
      </c>
      <c r="F1197" t="str">
        <f>IF(D1197="","",INDEX(Knutepunkter!$B:$B,D1197+1))</f>
        <v/>
      </c>
      <c r="G1197" t="str">
        <f>IF(D1197="","",INDEX(Knutepunkter!$C:$C,D1197+1))</f>
        <v/>
      </c>
      <c r="H1197" t="str">
        <f>IF(D1197="","",INDEX(Knutepunkter!$D:$D,D1197+1))</f>
        <v/>
      </c>
      <c r="I1197" t="str">
        <f>IF(E1197="","",INDEX(Knutepunkter!$B:$B,E1197+1))</f>
        <v/>
      </c>
      <c r="J1197" t="str">
        <f>IF(E1197="","",INDEX(Knutepunkter!$C:$C,E1197+1))</f>
        <v/>
      </c>
      <c r="K1197" t="str">
        <f>IF(E1197="","",INDEX(Knutepunkter!$D:$D,E1197+1))</f>
        <v/>
      </c>
      <c r="L1197" t="str">
        <f t="shared" si="93"/>
        <v/>
      </c>
      <c r="M1197" t="str">
        <f t="shared" si="94"/>
        <v/>
      </c>
    </row>
    <row r="1198" spans="1:13" x14ac:dyDescent="0.3">
      <c r="A1198" t="str">
        <f>Segmenter!A1198</f>
        <v/>
      </c>
      <c r="B1198" t="str">
        <f>Segmenter!B1198</f>
        <v/>
      </c>
      <c r="C1198" t="str">
        <f t="shared" si="90"/>
        <v/>
      </c>
      <c r="D1198" t="str">
        <f t="shared" si="91"/>
        <v/>
      </c>
      <c r="E1198" t="str">
        <f t="shared" si="92"/>
        <v/>
      </c>
      <c r="F1198" t="str">
        <f>IF(D1198="","",INDEX(Knutepunkter!$B:$B,D1198+1))</f>
        <v/>
      </c>
      <c r="G1198" t="str">
        <f>IF(D1198="","",INDEX(Knutepunkter!$C:$C,D1198+1))</f>
        <v/>
      </c>
      <c r="H1198" t="str">
        <f>IF(D1198="","",INDEX(Knutepunkter!$D:$D,D1198+1))</f>
        <v/>
      </c>
      <c r="I1198" t="str">
        <f>IF(E1198="","",INDEX(Knutepunkter!$B:$B,E1198+1))</f>
        <v/>
      </c>
      <c r="J1198" t="str">
        <f>IF(E1198="","",INDEX(Knutepunkter!$C:$C,E1198+1))</f>
        <v/>
      </c>
      <c r="K1198" t="str">
        <f>IF(E1198="","",INDEX(Knutepunkter!$D:$D,E1198+1))</f>
        <v/>
      </c>
      <c r="L1198" t="str">
        <f t="shared" si="93"/>
        <v/>
      </c>
      <c r="M1198" t="str">
        <f t="shared" si="94"/>
        <v/>
      </c>
    </row>
    <row r="1199" spans="1:13" x14ac:dyDescent="0.3">
      <c r="A1199" t="str">
        <f>Segmenter!A1199</f>
        <v/>
      </c>
      <c r="B1199" t="str">
        <f>Segmenter!B1199</f>
        <v/>
      </c>
      <c r="C1199" t="str">
        <f t="shared" si="90"/>
        <v/>
      </c>
      <c r="D1199" t="str">
        <f t="shared" si="91"/>
        <v/>
      </c>
      <c r="E1199" t="str">
        <f t="shared" si="92"/>
        <v/>
      </c>
      <c r="F1199" t="str">
        <f>IF(D1199="","",INDEX(Knutepunkter!$B:$B,D1199+1))</f>
        <v/>
      </c>
      <c r="G1199" t="str">
        <f>IF(D1199="","",INDEX(Knutepunkter!$C:$C,D1199+1))</f>
        <v/>
      </c>
      <c r="H1199" t="str">
        <f>IF(D1199="","",INDEX(Knutepunkter!$D:$D,D1199+1))</f>
        <v/>
      </c>
      <c r="I1199" t="str">
        <f>IF(E1199="","",INDEX(Knutepunkter!$B:$B,E1199+1))</f>
        <v/>
      </c>
      <c r="J1199" t="str">
        <f>IF(E1199="","",INDEX(Knutepunkter!$C:$C,E1199+1))</f>
        <v/>
      </c>
      <c r="K1199" t="str">
        <f>IF(E1199="","",INDEX(Knutepunkter!$D:$D,E1199+1))</f>
        <v/>
      </c>
      <c r="L1199" t="str">
        <f t="shared" si="93"/>
        <v/>
      </c>
      <c r="M1199" t="str">
        <f t="shared" si="94"/>
        <v/>
      </c>
    </row>
    <row r="1200" spans="1:13" x14ac:dyDescent="0.3">
      <c r="A1200" t="str">
        <f>Segmenter!A1200</f>
        <v/>
      </c>
      <c r="B1200" t="str">
        <f>Segmenter!B1200</f>
        <v/>
      </c>
      <c r="C1200" t="str">
        <f t="shared" si="90"/>
        <v/>
      </c>
      <c r="D1200" t="str">
        <f t="shared" si="91"/>
        <v/>
      </c>
      <c r="E1200" t="str">
        <f t="shared" si="92"/>
        <v/>
      </c>
      <c r="F1200" t="str">
        <f>IF(D1200="","",INDEX(Knutepunkter!$B:$B,D1200+1))</f>
        <v/>
      </c>
      <c r="G1200" t="str">
        <f>IF(D1200="","",INDEX(Knutepunkter!$C:$C,D1200+1))</f>
        <v/>
      </c>
      <c r="H1200" t="str">
        <f>IF(D1200="","",INDEX(Knutepunkter!$D:$D,D1200+1))</f>
        <v/>
      </c>
      <c r="I1200" t="str">
        <f>IF(E1200="","",INDEX(Knutepunkter!$B:$B,E1200+1))</f>
        <v/>
      </c>
      <c r="J1200" t="str">
        <f>IF(E1200="","",INDEX(Knutepunkter!$C:$C,E1200+1))</f>
        <v/>
      </c>
      <c r="K1200" t="str">
        <f>IF(E1200="","",INDEX(Knutepunkter!$D:$D,E1200+1))</f>
        <v/>
      </c>
      <c r="L1200" t="str">
        <f t="shared" si="93"/>
        <v/>
      </c>
      <c r="M1200" t="str">
        <f t="shared" si="94"/>
        <v/>
      </c>
    </row>
    <row r="1201" spans="1:13" x14ac:dyDescent="0.3">
      <c r="A1201" t="str">
        <f>Segmenter!A1201</f>
        <v/>
      </c>
      <c r="B1201" t="str">
        <f>Segmenter!B1201</f>
        <v/>
      </c>
      <c r="C1201" t="str">
        <f t="shared" si="90"/>
        <v/>
      </c>
      <c r="D1201" t="str">
        <f t="shared" si="91"/>
        <v/>
      </c>
      <c r="E1201" t="str">
        <f t="shared" si="92"/>
        <v/>
      </c>
      <c r="F1201" t="str">
        <f>IF(D1201="","",INDEX(Knutepunkter!$B:$B,D1201+1))</f>
        <v/>
      </c>
      <c r="G1201" t="str">
        <f>IF(D1201="","",INDEX(Knutepunkter!$C:$C,D1201+1))</f>
        <v/>
      </c>
      <c r="H1201" t="str">
        <f>IF(D1201="","",INDEX(Knutepunkter!$D:$D,D1201+1))</f>
        <v/>
      </c>
      <c r="I1201" t="str">
        <f>IF(E1201="","",INDEX(Knutepunkter!$B:$B,E1201+1))</f>
        <v/>
      </c>
      <c r="J1201" t="str">
        <f>IF(E1201="","",INDEX(Knutepunkter!$C:$C,E1201+1))</f>
        <v/>
      </c>
      <c r="K1201" t="str">
        <f>IF(E1201="","",INDEX(Knutepunkter!$D:$D,E1201+1))</f>
        <v/>
      </c>
      <c r="L1201" t="str">
        <f t="shared" si="93"/>
        <v/>
      </c>
      <c r="M1201" t="str">
        <f t="shared" si="94"/>
        <v/>
      </c>
    </row>
    <row r="1202" spans="1:13" x14ac:dyDescent="0.3">
      <c r="A1202" t="str">
        <f>Segmenter!A1202</f>
        <v/>
      </c>
      <c r="B1202" t="str">
        <f>Segmenter!B1202</f>
        <v/>
      </c>
      <c r="C1202" t="str">
        <f t="shared" si="90"/>
        <v/>
      </c>
      <c r="D1202" t="str">
        <f t="shared" si="91"/>
        <v/>
      </c>
      <c r="E1202" t="str">
        <f t="shared" si="92"/>
        <v/>
      </c>
      <c r="F1202" t="str">
        <f>IF(D1202="","",INDEX(Knutepunkter!$B:$B,D1202+1))</f>
        <v/>
      </c>
      <c r="G1202" t="str">
        <f>IF(D1202="","",INDEX(Knutepunkter!$C:$C,D1202+1))</f>
        <v/>
      </c>
      <c r="H1202" t="str">
        <f>IF(D1202="","",INDEX(Knutepunkter!$D:$D,D1202+1))</f>
        <v/>
      </c>
      <c r="I1202" t="str">
        <f>IF(E1202="","",INDEX(Knutepunkter!$B:$B,E1202+1))</f>
        <v/>
      </c>
      <c r="J1202" t="str">
        <f>IF(E1202="","",INDEX(Knutepunkter!$C:$C,E1202+1))</f>
        <v/>
      </c>
      <c r="K1202" t="str">
        <f>IF(E1202="","",INDEX(Knutepunkter!$D:$D,E1202+1))</f>
        <v/>
      </c>
      <c r="L1202" t="str">
        <f t="shared" si="93"/>
        <v/>
      </c>
      <c r="M1202" t="str">
        <f t="shared" si="94"/>
        <v/>
      </c>
    </row>
    <row r="1203" spans="1:13" x14ac:dyDescent="0.3">
      <c r="A1203" t="str">
        <f>Segmenter!A1203</f>
        <v/>
      </c>
      <c r="B1203" t="str">
        <f>Segmenter!B1203</f>
        <v/>
      </c>
      <c r="C1203" t="str">
        <f t="shared" si="90"/>
        <v/>
      </c>
      <c r="D1203" t="str">
        <f t="shared" si="91"/>
        <v/>
      </c>
      <c r="E1203" t="str">
        <f t="shared" si="92"/>
        <v/>
      </c>
      <c r="F1203" t="str">
        <f>IF(D1203="","",INDEX(Knutepunkter!$B:$B,D1203+1))</f>
        <v/>
      </c>
      <c r="G1203" t="str">
        <f>IF(D1203="","",INDEX(Knutepunkter!$C:$C,D1203+1))</f>
        <v/>
      </c>
      <c r="H1203" t="str">
        <f>IF(D1203="","",INDEX(Knutepunkter!$D:$D,D1203+1))</f>
        <v/>
      </c>
      <c r="I1203" t="str">
        <f>IF(E1203="","",INDEX(Knutepunkter!$B:$B,E1203+1))</f>
        <v/>
      </c>
      <c r="J1203" t="str">
        <f>IF(E1203="","",INDEX(Knutepunkter!$C:$C,E1203+1))</f>
        <v/>
      </c>
      <c r="K1203" t="str">
        <f>IF(E1203="","",INDEX(Knutepunkter!$D:$D,E1203+1))</f>
        <v/>
      </c>
      <c r="L1203" t="str">
        <f t="shared" si="93"/>
        <v/>
      </c>
      <c r="M1203" t="str">
        <f t="shared" si="94"/>
        <v/>
      </c>
    </row>
    <row r="1204" spans="1:13" x14ac:dyDescent="0.3">
      <c r="A1204" t="str">
        <f>Segmenter!A1204</f>
        <v/>
      </c>
      <c r="B1204" t="str">
        <f>Segmenter!B1204</f>
        <v/>
      </c>
      <c r="C1204" t="str">
        <f t="shared" si="90"/>
        <v/>
      </c>
      <c r="D1204" t="str">
        <f t="shared" si="91"/>
        <v/>
      </c>
      <c r="E1204" t="str">
        <f t="shared" si="92"/>
        <v/>
      </c>
      <c r="F1204" t="str">
        <f>IF(D1204="","",INDEX(Knutepunkter!$B:$B,D1204+1))</f>
        <v/>
      </c>
      <c r="G1204" t="str">
        <f>IF(D1204="","",INDEX(Knutepunkter!$C:$C,D1204+1))</f>
        <v/>
      </c>
      <c r="H1204" t="str">
        <f>IF(D1204="","",INDEX(Knutepunkter!$D:$D,D1204+1))</f>
        <v/>
      </c>
      <c r="I1204" t="str">
        <f>IF(E1204="","",INDEX(Knutepunkter!$B:$B,E1204+1))</f>
        <v/>
      </c>
      <c r="J1204" t="str">
        <f>IF(E1204="","",INDEX(Knutepunkter!$C:$C,E1204+1))</f>
        <v/>
      </c>
      <c r="K1204" t="str">
        <f>IF(E1204="","",INDEX(Knutepunkter!$D:$D,E1204+1))</f>
        <v/>
      </c>
      <c r="L1204" t="str">
        <f t="shared" si="93"/>
        <v/>
      </c>
      <c r="M1204" t="str">
        <f t="shared" si="94"/>
        <v/>
      </c>
    </row>
    <row r="1205" spans="1:13" x14ac:dyDescent="0.3">
      <c r="A1205" t="str">
        <f>Segmenter!A1205</f>
        <v/>
      </c>
      <c r="B1205" t="str">
        <f>Segmenter!B1205</f>
        <v/>
      </c>
      <c r="C1205" t="str">
        <f t="shared" si="90"/>
        <v/>
      </c>
      <c r="D1205" t="str">
        <f t="shared" si="91"/>
        <v/>
      </c>
      <c r="E1205" t="str">
        <f t="shared" si="92"/>
        <v/>
      </c>
      <c r="F1205" t="str">
        <f>IF(D1205="","",INDEX(Knutepunkter!$B:$B,D1205+1))</f>
        <v/>
      </c>
      <c r="G1205" t="str">
        <f>IF(D1205="","",INDEX(Knutepunkter!$C:$C,D1205+1))</f>
        <v/>
      </c>
      <c r="H1205" t="str">
        <f>IF(D1205="","",INDEX(Knutepunkter!$D:$D,D1205+1))</f>
        <v/>
      </c>
      <c r="I1205" t="str">
        <f>IF(E1205="","",INDEX(Knutepunkter!$B:$B,E1205+1))</f>
        <v/>
      </c>
      <c r="J1205" t="str">
        <f>IF(E1205="","",INDEX(Knutepunkter!$C:$C,E1205+1))</f>
        <v/>
      </c>
      <c r="K1205" t="str">
        <f>IF(E1205="","",INDEX(Knutepunkter!$D:$D,E1205+1))</f>
        <v/>
      </c>
      <c r="L1205" t="str">
        <f t="shared" si="93"/>
        <v/>
      </c>
      <c r="M1205" t="str">
        <f t="shared" si="94"/>
        <v/>
      </c>
    </row>
    <row r="1206" spans="1:13" x14ac:dyDescent="0.3">
      <c r="A1206" t="str">
        <f>Segmenter!A1206</f>
        <v/>
      </c>
      <c r="B1206" t="str">
        <f>Segmenter!B1206</f>
        <v/>
      </c>
      <c r="C1206" t="str">
        <f t="shared" si="90"/>
        <v/>
      </c>
      <c r="D1206" t="str">
        <f t="shared" si="91"/>
        <v/>
      </c>
      <c r="E1206" t="str">
        <f t="shared" si="92"/>
        <v/>
      </c>
      <c r="F1206" t="str">
        <f>IF(D1206="","",INDEX(Knutepunkter!$B:$B,D1206+1))</f>
        <v/>
      </c>
      <c r="G1206" t="str">
        <f>IF(D1206="","",INDEX(Knutepunkter!$C:$C,D1206+1))</f>
        <v/>
      </c>
      <c r="H1206" t="str">
        <f>IF(D1206="","",INDEX(Knutepunkter!$D:$D,D1206+1))</f>
        <v/>
      </c>
      <c r="I1206" t="str">
        <f>IF(E1206="","",INDEX(Knutepunkter!$B:$B,E1206+1))</f>
        <v/>
      </c>
      <c r="J1206" t="str">
        <f>IF(E1206="","",INDEX(Knutepunkter!$C:$C,E1206+1))</f>
        <v/>
      </c>
      <c r="K1206" t="str">
        <f>IF(E1206="","",INDEX(Knutepunkter!$D:$D,E1206+1))</f>
        <v/>
      </c>
      <c r="L1206" t="str">
        <f t="shared" si="93"/>
        <v/>
      </c>
      <c r="M1206" t="str">
        <f t="shared" si="94"/>
        <v/>
      </c>
    </row>
    <row r="1207" spans="1:13" x14ac:dyDescent="0.3">
      <c r="A1207" t="str">
        <f>Segmenter!A1207</f>
        <v/>
      </c>
      <c r="B1207" t="str">
        <f>Segmenter!B1207</f>
        <v/>
      </c>
      <c r="C1207" t="str">
        <f t="shared" si="90"/>
        <v/>
      </c>
      <c r="D1207" t="str">
        <f t="shared" si="91"/>
        <v/>
      </c>
      <c r="E1207" t="str">
        <f t="shared" si="92"/>
        <v/>
      </c>
      <c r="F1207" t="str">
        <f>IF(D1207="","",INDEX(Knutepunkter!$B:$B,D1207+1))</f>
        <v/>
      </c>
      <c r="G1207" t="str">
        <f>IF(D1207="","",INDEX(Knutepunkter!$C:$C,D1207+1))</f>
        <v/>
      </c>
      <c r="H1207" t="str">
        <f>IF(D1207="","",INDEX(Knutepunkter!$D:$D,D1207+1))</f>
        <v/>
      </c>
      <c r="I1207" t="str">
        <f>IF(E1207="","",INDEX(Knutepunkter!$B:$B,E1207+1))</f>
        <v/>
      </c>
      <c r="J1207" t="str">
        <f>IF(E1207="","",INDEX(Knutepunkter!$C:$C,E1207+1))</f>
        <v/>
      </c>
      <c r="K1207" t="str">
        <f>IF(E1207="","",INDEX(Knutepunkter!$D:$D,E1207+1))</f>
        <v/>
      </c>
      <c r="L1207" t="str">
        <f t="shared" si="93"/>
        <v/>
      </c>
      <c r="M1207" t="str">
        <f t="shared" si="94"/>
        <v/>
      </c>
    </row>
    <row r="1208" spans="1:13" x14ac:dyDescent="0.3">
      <c r="A1208" t="str">
        <f>Segmenter!A1208</f>
        <v/>
      </c>
      <c r="B1208" t="str">
        <f>Segmenter!B1208</f>
        <v/>
      </c>
      <c r="C1208" t="str">
        <f t="shared" si="90"/>
        <v/>
      </c>
      <c r="D1208" t="str">
        <f t="shared" si="91"/>
        <v/>
      </c>
      <c r="E1208" t="str">
        <f t="shared" si="92"/>
        <v/>
      </c>
      <c r="F1208" t="str">
        <f>IF(D1208="","",INDEX(Knutepunkter!$B:$B,D1208+1))</f>
        <v/>
      </c>
      <c r="G1208" t="str">
        <f>IF(D1208="","",INDEX(Knutepunkter!$C:$C,D1208+1))</f>
        <v/>
      </c>
      <c r="H1208" t="str">
        <f>IF(D1208="","",INDEX(Knutepunkter!$D:$D,D1208+1))</f>
        <v/>
      </c>
      <c r="I1208" t="str">
        <f>IF(E1208="","",INDEX(Knutepunkter!$B:$B,E1208+1))</f>
        <v/>
      </c>
      <c r="J1208" t="str">
        <f>IF(E1208="","",INDEX(Knutepunkter!$C:$C,E1208+1))</f>
        <v/>
      </c>
      <c r="K1208" t="str">
        <f>IF(E1208="","",INDEX(Knutepunkter!$D:$D,E1208+1))</f>
        <v/>
      </c>
      <c r="L1208" t="str">
        <f t="shared" si="93"/>
        <v/>
      </c>
      <c r="M1208" t="str">
        <f t="shared" si="94"/>
        <v/>
      </c>
    </row>
    <row r="1209" spans="1:13" x14ac:dyDescent="0.3">
      <c r="A1209" t="str">
        <f>Segmenter!A1209</f>
        <v/>
      </c>
      <c r="B1209" t="str">
        <f>Segmenter!B1209</f>
        <v/>
      </c>
      <c r="C1209" t="str">
        <f t="shared" si="90"/>
        <v/>
      </c>
      <c r="D1209" t="str">
        <f t="shared" si="91"/>
        <v/>
      </c>
      <c r="E1209" t="str">
        <f t="shared" si="92"/>
        <v/>
      </c>
      <c r="F1209" t="str">
        <f>IF(D1209="","",INDEX(Knutepunkter!$B:$B,D1209+1))</f>
        <v/>
      </c>
      <c r="G1209" t="str">
        <f>IF(D1209="","",INDEX(Knutepunkter!$C:$C,D1209+1))</f>
        <v/>
      </c>
      <c r="H1209" t="str">
        <f>IF(D1209="","",INDEX(Knutepunkter!$D:$D,D1209+1))</f>
        <v/>
      </c>
      <c r="I1209" t="str">
        <f>IF(E1209="","",INDEX(Knutepunkter!$B:$B,E1209+1))</f>
        <v/>
      </c>
      <c r="J1209" t="str">
        <f>IF(E1209="","",INDEX(Knutepunkter!$C:$C,E1209+1))</f>
        <v/>
      </c>
      <c r="K1209" t="str">
        <f>IF(E1209="","",INDEX(Knutepunkter!$D:$D,E1209+1))</f>
        <v/>
      </c>
      <c r="L1209" t="str">
        <f t="shared" si="93"/>
        <v/>
      </c>
      <c r="M1209" t="str">
        <f t="shared" si="94"/>
        <v/>
      </c>
    </row>
    <row r="1210" spans="1:13" x14ac:dyDescent="0.3">
      <c r="A1210" t="str">
        <f>Segmenter!A1210</f>
        <v/>
      </c>
      <c r="B1210" t="str">
        <f>Segmenter!B1210</f>
        <v/>
      </c>
      <c r="C1210" t="str">
        <f t="shared" si="90"/>
        <v/>
      </c>
      <c r="D1210" t="str">
        <f t="shared" si="91"/>
        <v/>
      </c>
      <c r="E1210" t="str">
        <f t="shared" si="92"/>
        <v/>
      </c>
      <c r="F1210" t="str">
        <f>IF(D1210="","",INDEX(Knutepunkter!$B:$B,D1210+1))</f>
        <v/>
      </c>
      <c r="G1210" t="str">
        <f>IF(D1210="","",INDEX(Knutepunkter!$C:$C,D1210+1))</f>
        <v/>
      </c>
      <c r="H1210" t="str">
        <f>IF(D1210="","",INDEX(Knutepunkter!$D:$D,D1210+1))</f>
        <v/>
      </c>
      <c r="I1210" t="str">
        <f>IF(E1210="","",INDEX(Knutepunkter!$B:$B,E1210+1))</f>
        <v/>
      </c>
      <c r="J1210" t="str">
        <f>IF(E1210="","",INDEX(Knutepunkter!$C:$C,E1210+1))</f>
        <v/>
      </c>
      <c r="K1210" t="str">
        <f>IF(E1210="","",INDEX(Knutepunkter!$D:$D,E1210+1))</f>
        <v/>
      </c>
      <c r="L1210" t="str">
        <f t="shared" si="93"/>
        <v/>
      </c>
      <c r="M1210" t="str">
        <f t="shared" si="94"/>
        <v/>
      </c>
    </row>
    <row r="1211" spans="1:13" x14ac:dyDescent="0.3">
      <c r="A1211" t="str">
        <f>Segmenter!A1211</f>
        <v/>
      </c>
      <c r="B1211" t="str">
        <f>Segmenter!B1211</f>
        <v/>
      </c>
      <c r="C1211" t="str">
        <f t="shared" si="90"/>
        <v/>
      </c>
      <c r="D1211" t="str">
        <f t="shared" si="91"/>
        <v/>
      </c>
      <c r="E1211" t="str">
        <f t="shared" si="92"/>
        <v/>
      </c>
      <c r="F1211" t="str">
        <f>IF(D1211="","",INDEX(Knutepunkter!$B:$B,D1211+1))</f>
        <v/>
      </c>
      <c r="G1211" t="str">
        <f>IF(D1211="","",INDEX(Knutepunkter!$C:$C,D1211+1))</f>
        <v/>
      </c>
      <c r="H1211" t="str">
        <f>IF(D1211="","",INDEX(Knutepunkter!$D:$D,D1211+1))</f>
        <v/>
      </c>
      <c r="I1211" t="str">
        <f>IF(E1211="","",INDEX(Knutepunkter!$B:$B,E1211+1))</f>
        <v/>
      </c>
      <c r="J1211" t="str">
        <f>IF(E1211="","",INDEX(Knutepunkter!$C:$C,E1211+1))</f>
        <v/>
      </c>
      <c r="K1211" t="str">
        <f>IF(E1211="","",INDEX(Knutepunkter!$D:$D,E1211+1))</f>
        <v/>
      </c>
      <c r="L1211" t="str">
        <f t="shared" si="93"/>
        <v/>
      </c>
      <c r="M1211" t="str">
        <f t="shared" si="94"/>
        <v/>
      </c>
    </row>
    <row r="1212" spans="1:13" x14ac:dyDescent="0.3">
      <c r="A1212" t="str">
        <f>Segmenter!A1212</f>
        <v/>
      </c>
      <c r="B1212" t="str">
        <f>Segmenter!B1212</f>
        <v/>
      </c>
      <c r="C1212" t="str">
        <f t="shared" si="90"/>
        <v/>
      </c>
      <c r="D1212" t="str">
        <f t="shared" si="91"/>
        <v/>
      </c>
      <c r="E1212" t="str">
        <f t="shared" si="92"/>
        <v/>
      </c>
      <c r="F1212" t="str">
        <f>IF(D1212="","",INDEX(Knutepunkter!$B:$B,D1212+1))</f>
        <v/>
      </c>
      <c r="G1212" t="str">
        <f>IF(D1212="","",INDEX(Knutepunkter!$C:$C,D1212+1))</f>
        <v/>
      </c>
      <c r="H1212" t="str">
        <f>IF(D1212="","",INDEX(Knutepunkter!$D:$D,D1212+1))</f>
        <v/>
      </c>
      <c r="I1212" t="str">
        <f>IF(E1212="","",INDEX(Knutepunkter!$B:$B,E1212+1))</f>
        <v/>
      </c>
      <c r="J1212" t="str">
        <f>IF(E1212="","",INDEX(Knutepunkter!$C:$C,E1212+1))</f>
        <v/>
      </c>
      <c r="K1212" t="str">
        <f>IF(E1212="","",INDEX(Knutepunkter!$D:$D,E1212+1))</f>
        <v/>
      </c>
      <c r="L1212" t="str">
        <f t="shared" si="93"/>
        <v/>
      </c>
      <c r="M1212" t="str">
        <f t="shared" si="94"/>
        <v/>
      </c>
    </row>
    <row r="1213" spans="1:13" x14ac:dyDescent="0.3">
      <c r="A1213" t="str">
        <f>Segmenter!A1213</f>
        <v/>
      </c>
      <c r="B1213" t="str">
        <f>Segmenter!B1213</f>
        <v/>
      </c>
      <c r="C1213" t="str">
        <f t="shared" si="90"/>
        <v/>
      </c>
      <c r="D1213" t="str">
        <f t="shared" si="91"/>
        <v/>
      </c>
      <c r="E1213" t="str">
        <f t="shared" si="92"/>
        <v/>
      </c>
      <c r="F1213" t="str">
        <f>IF(D1213="","",INDEX(Knutepunkter!$B:$B,D1213+1))</f>
        <v/>
      </c>
      <c r="G1213" t="str">
        <f>IF(D1213="","",INDEX(Knutepunkter!$C:$C,D1213+1))</f>
        <v/>
      </c>
      <c r="H1213" t="str">
        <f>IF(D1213="","",INDEX(Knutepunkter!$D:$D,D1213+1))</f>
        <v/>
      </c>
      <c r="I1213" t="str">
        <f>IF(E1213="","",INDEX(Knutepunkter!$B:$B,E1213+1))</f>
        <v/>
      </c>
      <c r="J1213" t="str">
        <f>IF(E1213="","",INDEX(Knutepunkter!$C:$C,E1213+1))</f>
        <v/>
      </c>
      <c r="K1213" t="str">
        <f>IF(E1213="","",INDEX(Knutepunkter!$D:$D,E1213+1))</f>
        <v/>
      </c>
      <c r="L1213" t="str">
        <f t="shared" si="93"/>
        <v/>
      </c>
      <c r="M1213" t="str">
        <f t="shared" si="94"/>
        <v/>
      </c>
    </row>
    <row r="1214" spans="1:13" x14ac:dyDescent="0.3">
      <c r="A1214" t="str">
        <f>Segmenter!A1214</f>
        <v/>
      </c>
      <c r="B1214" t="str">
        <f>Segmenter!B1214</f>
        <v/>
      </c>
      <c r="C1214" t="str">
        <f t="shared" si="90"/>
        <v/>
      </c>
      <c r="D1214" t="str">
        <f t="shared" si="91"/>
        <v/>
      </c>
      <c r="E1214" t="str">
        <f t="shared" si="92"/>
        <v/>
      </c>
      <c r="F1214" t="str">
        <f>IF(D1214="","",INDEX(Knutepunkter!$B:$B,D1214+1))</f>
        <v/>
      </c>
      <c r="G1214" t="str">
        <f>IF(D1214="","",INDEX(Knutepunkter!$C:$C,D1214+1))</f>
        <v/>
      </c>
      <c r="H1214" t="str">
        <f>IF(D1214="","",INDEX(Knutepunkter!$D:$D,D1214+1))</f>
        <v/>
      </c>
      <c r="I1214" t="str">
        <f>IF(E1214="","",INDEX(Knutepunkter!$B:$B,E1214+1))</f>
        <v/>
      </c>
      <c r="J1214" t="str">
        <f>IF(E1214="","",INDEX(Knutepunkter!$C:$C,E1214+1))</f>
        <v/>
      </c>
      <c r="K1214" t="str">
        <f>IF(E1214="","",INDEX(Knutepunkter!$D:$D,E1214+1))</f>
        <v/>
      </c>
      <c r="L1214" t="str">
        <f t="shared" si="93"/>
        <v/>
      </c>
      <c r="M1214" t="str">
        <f t="shared" si="94"/>
        <v/>
      </c>
    </row>
    <row r="1215" spans="1:13" x14ac:dyDescent="0.3">
      <c r="A1215" t="str">
        <f>Segmenter!A1215</f>
        <v/>
      </c>
      <c r="B1215" t="str">
        <f>Segmenter!B1215</f>
        <v/>
      </c>
      <c r="C1215" t="str">
        <f t="shared" si="90"/>
        <v/>
      </c>
      <c r="D1215" t="str">
        <f t="shared" si="91"/>
        <v/>
      </c>
      <c r="E1215" t="str">
        <f t="shared" si="92"/>
        <v/>
      </c>
      <c r="F1215" t="str">
        <f>IF(D1215="","",INDEX(Knutepunkter!$B:$B,D1215+1))</f>
        <v/>
      </c>
      <c r="G1215" t="str">
        <f>IF(D1215="","",INDEX(Knutepunkter!$C:$C,D1215+1))</f>
        <v/>
      </c>
      <c r="H1215" t="str">
        <f>IF(D1215="","",INDEX(Knutepunkter!$D:$D,D1215+1))</f>
        <v/>
      </c>
      <c r="I1215" t="str">
        <f>IF(E1215="","",INDEX(Knutepunkter!$B:$B,E1215+1))</f>
        <v/>
      </c>
      <c r="J1215" t="str">
        <f>IF(E1215="","",INDEX(Knutepunkter!$C:$C,E1215+1))</f>
        <v/>
      </c>
      <c r="K1215" t="str">
        <f>IF(E1215="","",INDEX(Knutepunkter!$D:$D,E1215+1))</f>
        <v/>
      </c>
      <c r="L1215" t="str">
        <f t="shared" si="93"/>
        <v/>
      </c>
      <c r="M1215" t="str">
        <f t="shared" si="94"/>
        <v/>
      </c>
    </row>
    <row r="1216" spans="1:13" x14ac:dyDescent="0.3">
      <c r="A1216" t="str">
        <f>Segmenter!A1216</f>
        <v/>
      </c>
      <c r="B1216" t="str">
        <f>Segmenter!B1216</f>
        <v/>
      </c>
      <c r="C1216" t="str">
        <f t="shared" si="90"/>
        <v/>
      </c>
      <c r="D1216" t="str">
        <f t="shared" si="91"/>
        <v/>
      </c>
      <c r="E1216" t="str">
        <f t="shared" si="92"/>
        <v/>
      </c>
      <c r="F1216" t="str">
        <f>IF(D1216="","",INDEX(Knutepunkter!$B:$B,D1216+1))</f>
        <v/>
      </c>
      <c r="G1216" t="str">
        <f>IF(D1216="","",INDEX(Knutepunkter!$C:$C,D1216+1))</f>
        <v/>
      </c>
      <c r="H1216" t="str">
        <f>IF(D1216="","",INDEX(Knutepunkter!$D:$D,D1216+1))</f>
        <v/>
      </c>
      <c r="I1216" t="str">
        <f>IF(E1216="","",INDEX(Knutepunkter!$B:$B,E1216+1))</f>
        <v/>
      </c>
      <c r="J1216" t="str">
        <f>IF(E1216="","",INDEX(Knutepunkter!$C:$C,E1216+1))</f>
        <v/>
      </c>
      <c r="K1216" t="str">
        <f>IF(E1216="","",INDEX(Knutepunkter!$D:$D,E1216+1))</f>
        <v/>
      </c>
      <c r="L1216" t="str">
        <f t="shared" si="93"/>
        <v/>
      </c>
      <c r="M1216" t="str">
        <f t="shared" si="94"/>
        <v/>
      </c>
    </row>
    <row r="1217" spans="1:13" x14ac:dyDescent="0.3">
      <c r="A1217" t="str">
        <f>Segmenter!A1217</f>
        <v/>
      </c>
      <c r="B1217" t="str">
        <f>Segmenter!B1217</f>
        <v/>
      </c>
      <c r="C1217" t="str">
        <f t="shared" si="90"/>
        <v/>
      </c>
      <c r="D1217" t="str">
        <f t="shared" si="91"/>
        <v/>
      </c>
      <c r="E1217" t="str">
        <f t="shared" si="92"/>
        <v/>
      </c>
      <c r="F1217" t="str">
        <f>IF(D1217="","",INDEX(Knutepunkter!$B:$B,D1217+1))</f>
        <v/>
      </c>
      <c r="G1217" t="str">
        <f>IF(D1217="","",INDEX(Knutepunkter!$C:$C,D1217+1))</f>
        <v/>
      </c>
      <c r="H1217" t="str">
        <f>IF(D1217="","",INDEX(Knutepunkter!$D:$D,D1217+1))</f>
        <v/>
      </c>
      <c r="I1217" t="str">
        <f>IF(E1217="","",INDEX(Knutepunkter!$B:$B,E1217+1))</f>
        <v/>
      </c>
      <c r="J1217" t="str">
        <f>IF(E1217="","",INDEX(Knutepunkter!$C:$C,E1217+1))</f>
        <v/>
      </c>
      <c r="K1217" t="str">
        <f>IF(E1217="","",INDEX(Knutepunkter!$D:$D,E1217+1))</f>
        <v/>
      </c>
      <c r="L1217" t="str">
        <f t="shared" si="93"/>
        <v/>
      </c>
      <c r="M1217" t="str">
        <f t="shared" si="94"/>
        <v/>
      </c>
    </row>
    <row r="1218" spans="1:13" x14ac:dyDescent="0.3">
      <c r="A1218" t="str">
        <f>Segmenter!A1218</f>
        <v/>
      </c>
      <c r="B1218" t="str">
        <f>Segmenter!B1218</f>
        <v/>
      </c>
      <c r="C1218" t="str">
        <f t="shared" ref="C1218:C1281" si="95">IF(B1218="","",IF(AND(F1218=I1218,G1218=J1218,H1218&lt;&gt;K1218),"Søyle","Bjelke"))</f>
        <v/>
      </c>
      <c r="D1218" t="str">
        <f t="shared" ref="D1218:D1281" si="96">IF(B1218="","",VALUE(LEFT(B1218,FIND(" -&gt; ",B1218)-1)))</f>
        <v/>
      </c>
      <c r="E1218" t="str">
        <f t="shared" ref="E1218:E1281" si="97">IF(B1218="","",VALUE(MID(B1218,FIND(" -&gt; ",B1218)+4,99)))</f>
        <v/>
      </c>
      <c r="F1218" t="str">
        <f>IF(D1218="","",INDEX(Knutepunkter!$B:$B,D1218+1))</f>
        <v/>
      </c>
      <c r="G1218" t="str">
        <f>IF(D1218="","",INDEX(Knutepunkter!$C:$C,D1218+1))</f>
        <v/>
      </c>
      <c r="H1218" t="str">
        <f>IF(D1218="","",INDEX(Knutepunkter!$D:$D,D1218+1))</f>
        <v/>
      </c>
      <c r="I1218" t="str">
        <f>IF(E1218="","",INDEX(Knutepunkter!$B:$B,E1218+1))</f>
        <v/>
      </c>
      <c r="J1218" t="str">
        <f>IF(E1218="","",INDEX(Knutepunkter!$C:$C,E1218+1))</f>
        <v/>
      </c>
      <c r="K1218" t="str">
        <f>IF(E1218="","",INDEX(Knutepunkter!$D:$D,E1218+1))</f>
        <v/>
      </c>
      <c r="L1218" t="str">
        <f t="shared" ref="L1218:L1281" si="98">IF(B1218="","",SQRT((I1218-F1218)^2+(J1218-G1218)^2+(K1218-H1218)^2))</f>
        <v/>
      </c>
      <c r="M1218" t="str">
        <f t="shared" ref="M1218:M1281" si="99">IF(L1218="","",L1218/1000)</f>
        <v/>
      </c>
    </row>
    <row r="1219" spans="1:13" x14ac:dyDescent="0.3">
      <c r="A1219" t="str">
        <f>Segmenter!A1219</f>
        <v/>
      </c>
      <c r="B1219" t="str">
        <f>Segmenter!B1219</f>
        <v/>
      </c>
      <c r="C1219" t="str">
        <f t="shared" si="95"/>
        <v/>
      </c>
      <c r="D1219" t="str">
        <f t="shared" si="96"/>
        <v/>
      </c>
      <c r="E1219" t="str">
        <f t="shared" si="97"/>
        <v/>
      </c>
      <c r="F1219" t="str">
        <f>IF(D1219="","",INDEX(Knutepunkter!$B:$B,D1219+1))</f>
        <v/>
      </c>
      <c r="G1219" t="str">
        <f>IF(D1219="","",INDEX(Knutepunkter!$C:$C,D1219+1))</f>
        <v/>
      </c>
      <c r="H1219" t="str">
        <f>IF(D1219="","",INDEX(Knutepunkter!$D:$D,D1219+1))</f>
        <v/>
      </c>
      <c r="I1219" t="str">
        <f>IF(E1219="","",INDEX(Knutepunkter!$B:$B,E1219+1))</f>
        <v/>
      </c>
      <c r="J1219" t="str">
        <f>IF(E1219="","",INDEX(Knutepunkter!$C:$C,E1219+1))</f>
        <v/>
      </c>
      <c r="K1219" t="str">
        <f>IF(E1219="","",INDEX(Knutepunkter!$D:$D,E1219+1))</f>
        <v/>
      </c>
      <c r="L1219" t="str">
        <f t="shared" si="98"/>
        <v/>
      </c>
      <c r="M1219" t="str">
        <f t="shared" si="99"/>
        <v/>
      </c>
    </row>
    <row r="1220" spans="1:13" x14ac:dyDescent="0.3">
      <c r="A1220" t="str">
        <f>Segmenter!A1220</f>
        <v/>
      </c>
      <c r="B1220" t="str">
        <f>Segmenter!B1220</f>
        <v/>
      </c>
      <c r="C1220" t="str">
        <f t="shared" si="95"/>
        <v/>
      </c>
      <c r="D1220" t="str">
        <f t="shared" si="96"/>
        <v/>
      </c>
      <c r="E1220" t="str">
        <f t="shared" si="97"/>
        <v/>
      </c>
      <c r="F1220" t="str">
        <f>IF(D1220="","",INDEX(Knutepunkter!$B:$B,D1220+1))</f>
        <v/>
      </c>
      <c r="G1220" t="str">
        <f>IF(D1220="","",INDEX(Knutepunkter!$C:$C,D1220+1))</f>
        <v/>
      </c>
      <c r="H1220" t="str">
        <f>IF(D1220="","",INDEX(Knutepunkter!$D:$D,D1220+1))</f>
        <v/>
      </c>
      <c r="I1220" t="str">
        <f>IF(E1220="","",INDEX(Knutepunkter!$B:$B,E1220+1))</f>
        <v/>
      </c>
      <c r="J1220" t="str">
        <f>IF(E1220="","",INDEX(Knutepunkter!$C:$C,E1220+1))</f>
        <v/>
      </c>
      <c r="K1220" t="str">
        <f>IF(E1220="","",INDEX(Knutepunkter!$D:$D,E1220+1))</f>
        <v/>
      </c>
      <c r="L1220" t="str">
        <f t="shared" si="98"/>
        <v/>
      </c>
      <c r="M1220" t="str">
        <f t="shared" si="99"/>
        <v/>
      </c>
    </row>
    <row r="1221" spans="1:13" x14ac:dyDescent="0.3">
      <c r="A1221" t="str">
        <f>Segmenter!A1221</f>
        <v/>
      </c>
      <c r="B1221" t="str">
        <f>Segmenter!B1221</f>
        <v/>
      </c>
      <c r="C1221" t="str">
        <f t="shared" si="95"/>
        <v/>
      </c>
      <c r="D1221" t="str">
        <f t="shared" si="96"/>
        <v/>
      </c>
      <c r="E1221" t="str">
        <f t="shared" si="97"/>
        <v/>
      </c>
      <c r="F1221" t="str">
        <f>IF(D1221="","",INDEX(Knutepunkter!$B:$B,D1221+1))</f>
        <v/>
      </c>
      <c r="G1221" t="str">
        <f>IF(D1221="","",INDEX(Knutepunkter!$C:$C,D1221+1))</f>
        <v/>
      </c>
      <c r="H1221" t="str">
        <f>IF(D1221="","",INDEX(Knutepunkter!$D:$D,D1221+1))</f>
        <v/>
      </c>
      <c r="I1221" t="str">
        <f>IF(E1221="","",INDEX(Knutepunkter!$B:$B,E1221+1))</f>
        <v/>
      </c>
      <c r="J1221" t="str">
        <f>IF(E1221="","",INDEX(Knutepunkter!$C:$C,E1221+1))</f>
        <v/>
      </c>
      <c r="K1221" t="str">
        <f>IF(E1221="","",INDEX(Knutepunkter!$D:$D,E1221+1))</f>
        <v/>
      </c>
      <c r="L1221" t="str">
        <f t="shared" si="98"/>
        <v/>
      </c>
      <c r="M1221" t="str">
        <f t="shared" si="99"/>
        <v/>
      </c>
    </row>
    <row r="1222" spans="1:13" x14ac:dyDescent="0.3">
      <c r="A1222" t="str">
        <f>Segmenter!A1222</f>
        <v/>
      </c>
      <c r="B1222" t="str">
        <f>Segmenter!B1222</f>
        <v/>
      </c>
      <c r="C1222" t="str">
        <f t="shared" si="95"/>
        <v/>
      </c>
      <c r="D1222" t="str">
        <f t="shared" si="96"/>
        <v/>
      </c>
      <c r="E1222" t="str">
        <f t="shared" si="97"/>
        <v/>
      </c>
      <c r="F1222" t="str">
        <f>IF(D1222="","",INDEX(Knutepunkter!$B:$B,D1222+1))</f>
        <v/>
      </c>
      <c r="G1222" t="str">
        <f>IF(D1222="","",INDEX(Knutepunkter!$C:$C,D1222+1))</f>
        <v/>
      </c>
      <c r="H1222" t="str">
        <f>IF(D1222="","",INDEX(Knutepunkter!$D:$D,D1222+1))</f>
        <v/>
      </c>
      <c r="I1222" t="str">
        <f>IF(E1222="","",INDEX(Knutepunkter!$B:$B,E1222+1))</f>
        <v/>
      </c>
      <c r="J1222" t="str">
        <f>IF(E1222="","",INDEX(Knutepunkter!$C:$C,E1222+1))</f>
        <v/>
      </c>
      <c r="K1222" t="str">
        <f>IF(E1222="","",INDEX(Knutepunkter!$D:$D,E1222+1))</f>
        <v/>
      </c>
      <c r="L1222" t="str">
        <f t="shared" si="98"/>
        <v/>
      </c>
      <c r="M1222" t="str">
        <f t="shared" si="99"/>
        <v/>
      </c>
    </row>
    <row r="1223" spans="1:13" x14ac:dyDescent="0.3">
      <c r="A1223" t="str">
        <f>Segmenter!A1223</f>
        <v/>
      </c>
      <c r="B1223" t="str">
        <f>Segmenter!B1223</f>
        <v/>
      </c>
      <c r="C1223" t="str">
        <f t="shared" si="95"/>
        <v/>
      </c>
      <c r="D1223" t="str">
        <f t="shared" si="96"/>
        <v/>
      </c>
      <c r="E1223" t="str">
        <f t="shared" si="97"/>
        <v/>
      </c>
      <c r="F1223" t="str">
        <f>IF(D1223="","",INDEX(Knutepunkter!$B:$B,D1223+1))</f>
        <v/>
      </c>
      <c r="G1223" t="str">
        <f>IF(D1223="","",INDEX(Knutepunkter!$C:$C,D1223+1))</f>
        <v/>
      </c>
      <c r="H1223" t="str">
        <f>IF(D1223="","",INDEX(Knutepunkter!$D:$D,D1223+1))</f>
        <v/>
      </c>
      <c r="I1223" t="str">
        <f>IF(E1223="","",INDEX(Knutepunkter!$B:$B,E1223+1))</f>
        <v/>
      </c>
      <c r="J1223" t="str">
        <f>IF(E1223="","",INDEX(Knutepunkter!$C:$C,E1223+1))</f>
        <v/>
      </c>
      <c r="K1223" t="str">
        <f>IF(E1223="","",INDEX(Knutepunkter!$D:$D,E1223+1))</f>
        <v/>
      </c>
      <c r="L1223" t="str">
        <f t="shared" si="98"/>
        <v/>
      </c>
      <c r="M1223" t="str">
        <f t="shared" si="99"/>
        <v/>
      </c>
    </row>
    <row r="1224" spans="1:13" x14ac:dyDescent="0.3">
      <c r="A1224" t="str">
        <f>Segmenter!A1224</f>
        <v/>
      </c>
      <c r="B1224" t="str">
        <f>Segmenter!B1224</f>
        <v/>
      </c>
      <c r="C1224" t="str">
        <f t="shared" si="95"/>
        <v/>
      </c>
      <c r="D1224" t="str">
        <f t="shared" si="96"/>
        <v/>
      </c>
      <c r="E1224" t="str">
        <f t="shared" si="97"/>
        <v/>
      </c>
      <c r="F1224" t="str">
        <f>IF(D1224="","",INDEX(Knutepunkter!$B:$B,D1224+1))</f>
        <v/>
      </c>
      <c r="G1224" t="str">
        <f>IF(D1224="","",INDEX(Knutepunkter!$C:$C,D1224+1))</f>
        <v/>
      </c>
      <c r="H1224" t="str">
        <f>IF(D1224="","",INDEX(Knutepunkter!$D:$D,D1224+1))</f>
        <v/>
      </c>
      <c r="I1224" t="str">
        <f>IF(E1224="","",INDEX(Knutepunkter!$B:$B,E1224+1))</f>
        <v/>
      </c>
      <c r="J1224" t="str">
        <f>IF(E1224="","",INDEX(Knutepunkter!$C:$C,E1224+1))</f>
        <v/>
      </c>
      <c r="K1224" t="str">
        <f>IF(E1224="","",INDEX(Knutepunkter!$D:$D,E1224+1))</f>
        <v/>
      </c>
      <c r="L1224" t="str">
        <f t="shared" si="98"/>
        <v/>
      </c>
      <c r="M1224" t="str">
        <f t="shared" si="99"/>
        <v/>
      </c>
    </row>
    <row r="1225" spans="1:13" x14ac:dyDescent="0.3">
      <c r="A1225" t="str">
        <f>Segmenter!A1225</f>
        <v/>
      </c>
      <c r="B1225" t="str">
        <f>Segmenter!B1225</f>
        <v/>
      </c>
      <c r="C1225" t="str">
        <f t="shared" si="95"/>
        <v/>
      </c>
      <c r="D1225" t="str">
        <f t="shared" si="96"/>
        <v/>
      </c>
      <c r="E1225" t="str">
        <f t="shared" si="97"/>
        <v/>
      </c>
      <c r="F1225" t="str">
        <f>IF(D1225="","",INDEX(Knutepunkter!$B:$B,D1225+1))</f>
        <v/>
      </c>
      <c r="G1225" t="str">
        <f>IF(D1225="","",INDEX(Knutepunkter!$C:$C,D1225+1))</f>
        <v/>
      </c>
      <c r="H1225" t="str">
        <f>IF(D1225="","",INDEX(Knutepunkter!$D:$D,D1225+1))</f>
        <v/>
      </c>
      <c r="I1225" t="str">
        <f>IF(E1225="","",INDEX(Knutepunkter!$B:$B,E1225+1))</f>
        <v/>
      </c>
      <c r="J1225" t="str">
        <f>IF(E1225="","",INDEX(Knutepunkter!$C:$C,E1225+1))</f>
        <v/>
      </c>
      <c r="K1225" t="str">
        <f>IF(E1225="","",INDEX(Knutepunkter!$D:$D,E1225+1))</f>
        <v/>
      </c>
      <c r="L1225" t="str">
        <f t="shared" si="98"/>
        <v/>
      </c>
      <c r="M1225" t="str">
        <f t="shared" si="99"/>
        <v/>
      </c>
    </row>
    <row r="1226" spans="1:13" x14ac:dyDescent="0.3">
      <c r="A1226" t="str">
        <f>Segmenter!A1226</f>
        <v/>
      </c>
      <c r="B1226" t="str">
        <f>Segmenter!B1226</f>
        <v/>
      </c>
      <c r="C1226" t="str">
        <f t="shared" si="95"/>
        <v/>
      </c>
      <c r="D1226" t="str">
        <f t="shared" si="96"/>
        <v/>
      </c>
      <c r="E1226" t="str">
        <f t="shared" si="97"/>
        <v/>
      </c>
      <c r="F1226" t="str">
        <f>IF(D1226="","",INDEX(Knutepunkter!$B:$B,D1226+1))</f>
        <v/>
      </c>
      <c r="G1226" t="str">
        <f>IF(D1226="","",INDEX(Knutepunkter!$C:$C,D1226+1))</f>
        <v/>
      </c>
      <c r="H1226" t="str">
        <f>IF(D1226="","",INDEX(Knutepunkter!$D:$D,D1226+1))</f>
        <v/>
      </c>
      <c r="I1226" t="str">
        <f>IF(E1226="","",INDEX(Knutepunkter!$B:$B,E1226+1))</f>
        <v/>
      </c>
      <c r="J1226" t="str">
        <f>IF(E1226="","",INDEX(Knutepunkter!$C:$C,E1226+1))</f>
        <v/>
      </c>
      <c r="K1226" t="str">
        <f>IF(E1226="","",INDEX(Knutepunkter!$D:$D,E1226+1))</f>
        <v/>
      </c>
      <c r="L1226" t="str">
        <f t="shared" si="98"/>
        <v/>
      </c>
      <c r="M1226" t="str">
        <f t="shared" si="99"/>
        <v/>
      </c>
    </row>
    <row r="1227" spans="1:13" x14ac:dyDescent="0.3">
      <c r="A1227" t="str">
        <f>Segmenter!A1227</f>
        <v/>
      </c>
      <c r="B1227" t="str">
        <f>Segmenter!B1227</f>
        <v/>
      </c>
      <c r="C1227" t="str">
        <f t="shared" si="95"/>
        <v/>
      </c>
      <c r="D1227" t="str">
        <f t="shared" si="96"/>
        <v/>
      </c>
      <c r="E1227" t="str">
        <f t="shared" si="97"/>
        <v/>
      </c>
      <c r="F1227" t="str">
        <f>IF(D1227="","",INDEX(Knutepunkter!$B:$B,D1227+1))</f>
        <v/>
      </c>
      <c r="G1227" t="str">
        <f>IF(D1227="","",INDEX(Knutepunkter!$C:$C,D1227+1))</f>
        <v/>
      </c>
      <c r="H1227" t="str">
        <f>IF(D1227="","",INDEX(Knutepunkter!$D:$D,D1227+1))</f>
        <v/>
      </c>
      <c r="I1227" t="str">
        <f>IF(E1227="","",INDEX(Knutepunkter!$B:$B,E1227+1))</f>
        <v/>
      </c>
      <c r="J1227" t="str">
        <f>IF(E1227="","",INDEX(Knutepunkter!$C:$C,E1227+1))</f>
        <v/>
      </c>
      <c r="K1227" t="str">
        <f>IF(E1227="","",INDEX(Knutepunkter!$D:$D,E1227+1))</f>
        <v/>
      </c>
      <c r="L1227" t="str">
        <f t="shared" si="98"/>
        <v/>
      </c>
      <c r="M1227" t="str">
        <f t="shared" si="99"/>
        <v/>
      </c>
    </row>
    <row r="1228" spans="1:13" x14ac:dyDescent="0.3">
      <c r="A1228" t="str">
        <f>Segmenter!A1228</f>
        <v/>
      </c>
      <c r="B1228" t="str">
        <f>Segmenter!B1228</f>
        <v/>
      </c>
      <c r="C1228" t="str">
        <f t="shared" si="95"/>
        <v/>
      </c>
      <c r="D1228" t="str">
        <f t="shared" si="96"/>
        <v/>
      </c>
      <c r="E1228" t="str">
        <f t="shared" si="97"/>
        <v/>
      </c>
      <c r="F1228" t="str">
        <f>IF(D1228="","",INDEX(Knutepunkter!$B:$B,D1228+1))</f>
        <v/>
      </c>
      <c r="G1228" t="str">
        <f>IF(D1228="","",INDEX(Knutepunkter!$C:$C,D1228+1))</f>
        <v/>
      </c>
      <c r="H1228" t="str">
        <f>IF(D1228="","",INDEX(Knutepunkter!$D:$D,D1228+1))</f>
        <v/>
      </c>
      <c r="I1228" t="str">
        <f>IF(E1228="","",INDEX(Knutepunkter!$B:$B,E1228+1))</f>
        <v/>
      </c>
      <c r="J1228" t="str">
        <f>IF(E1228="","",INDEX(Knutepunkter!$C:$C,E1228+1))</f>
        <v/>
      </c>
      <c r="K1228" t="str">
        <f>IF(E1228="","",INDEX(Knutepunkter!$D:$D,E1228+1))</f>
        <v/>
      </c>
      <c r="L1228" t="str">
        <f t="shared" si="98"/>
        <v/>
      </c>
      <c r="M1228" t="str">
        <f t="shared" si="99"/>
        <v/>
      </c>
    </row>
    <row r="1229" spans="1:13" x14ac:dyDescent="0.3">
      <c r="A1229" t="str">
        <f>Segmenter!A1229</f>
        <v/>
      </c>
      <c r="B1229" t="str">
        <f>Segmenter!B1229</f>
        <v/>
      </c>
      <c r="C1229" t="str">
        <f t="shared" si="95"/>
        <v/>
      </c>
      <c r="D1229" t="str">
        <f t="shared" si="96"/>
        <v/>
      </c>
      <c r="E1229" t="str">
        <f t="shared" si="97"/>
        <v/>
      </c>
      <c r="F1229" t="str">
        <f>IF(D1229="","",INDEX(Knutepunkter!$B:$B,D1229+1))</f>
        <v/>
      </c>
      <c r="G1229" t="str">
        <f>IF(D1229="","",INDEX(Knutepunkter!$C:$C,D1229+1))</f>
        <v/>
      </c>
      <c r="H1229" t="str">
        <f>IF(D1229="","",INDEX(Knutepunkter!$D:$D,D1229+1))</f>
        <v/>
      </c>
      <c r="I1229" t="str">
        <f>IF(E1229="","",INDEX(Knutepunkter!$B:$B,E1229+1))</f>
        <v/>
      </c>
      <c r="J1229" t="str">
        <f>IF(E1229="","",INDEX(Knutepunkter!$C:$C,E1229+1))</f>
        <v/>
      </c>
      <c r="K1229" t="str">
        <f>IF(E1229="","",INDEX(Knutepunkter!$D:$D,E1229+1))</f>
        <v/>
      </c>
      <c r="L1229" t="str">
        <f t="shared" si="98"/>
        <v/>
      </c>
      <c r="M1229" t="str">
        <f t="shared" si="99"/>
        <v/>
      </c>
    </row>
    <row r="1230" spans="1:13" x14ac:dyDescent="0.3">
      <c r="A1230" t="str">
        <f>Segmenter!A1230</f>
        <v/>
      </c>
      <c r="B1230" t="str">
        <f>Segmenter!B1230</f>
        <v/>
      </c>
      <c r="C1230" t="str">
        <f t="shared" si="95"/>
        <v/>
      </c>
      <c r="D1230" t="str">
        <f t="shared" si="96"/>
        <v/>
      </c>
      <c r="E1230" t="str">
        <f t="shared" si="97"/>
        <v/>
      </c>
      <c r="F1230" t="str">
        <f>IF(D1230="","",INDEX(Knutepunkter!$B:$B,D1230+1))</f>
        <v/>
      </c>
      <c r="G1230" t="str">
        <f>IF(D1230="","",INDEX(Knutepunkter!$C:$C,D1230+1))</f>
        <v/>
      </c>
      <c r="H1230" t="str">
        <f>IF(D1230="","",INDEX(Knutepunkter!$D:$D,D1230+1))</f>
        <v/>
      </c>
      <c r="I1230" t="str">
        <f>IF(E1230="","",INDEX(Knutepunkter!$B:$B,E1230+1))</f>
        <v/>
      </c>
      <c r="J1230" t="str">
        <f>IF(E1230="","",INDEX(Knutepunkter!$C:$C,E1230+1))</f>
        <v/>
      </c>
      <c r="K1230" t="str">
        <f>IF(E1230="","",INDEX(Knutepunkter!$D:$D,E1230+1))</f>
        <v/>
      </c>
      <c r="L1230" t="str">
        <f t="shared" si="98"/>
        <v/>
      </c>
      <c r="M1230" t="str">
        <f t="shared" si="99"/>
        <v/>
      </c>
    </row>
    <row r="1231" spans="1:13" x14ac:dyDescent="0.3">
      <c r="A1231" t="str">
        <f>Segmenter!A1231</f>
        <v/>
      </c>
      <c r="B1231" t="str">
        <f>Segmenter!B1231</f>
        <v/>
      </c>
      <c r="C1231" t="str">
        <f t="shared" si="95"/>
        <v/>
      </c>
      <c r="D1231" t="str">
        <f t="shared" si="96"/>
        <v/>
      </c>
      <c r="E1231" t="str">
        <f t="shared" si="97"/>
        <v/>
      </c>
      <c r="F1231" t="str">
        <f>IF(D1231="","",INDEX(Knutepunkter!$B:$B,D1231+1))</f>
        <v/>
      </c>
      <c r="G1231" t="str">
        <f>IF(D1231="","",INDEX(Knutepunkter!$C:$C,D1231+1))</f>
        <v/>
      </c>
      <c r="H1231" t="str">
        <f>IF(D1231="","",INDEX(Knutepunkter!$D:$D,D1231+1))</f>
        <v/>
      </c>
      <c r="I1231" t="str">
        <f>IF(E1231="","",INDEX(Knutepunkter!$B:$B,E1231+1))</f>
        <v/>
      </c>
      <c r="J1231" t="str">
        <f>IF(E1231="","",INDEX(Knutepunkter!$C:$C,E1231+1))</f>
        <v/>
      </c>
      <c r="K1231" t="str">
        <f>IF(E1231="","",INDEX(Knutepunkter!$D:$D,E1231+1))</f>
        <v/>
      </c>
      <c r="L1231" t="str">
        <f t="shared" si="98"/>
        <v/>
      </c>
      <c r="M1231" t="str">
        <f t="shared" si="99"/>
        <v/>
      </c>
    </row>
    <row r="1232" spans="1:13" x14ac:dyDescent="0.3">
      <c r="A1232" t="str">
        <f>Segmenter!A1232</f>
        <v/>
      </c>
      <c r="B1232" t="str">
        <f>Segmenter!B1232</f>
        <v/>
      </c>
      <c r="C1232" t="str">
        <f t="shared" si="95"/>
        <v/>
      </c>
      <c r="D1232" t="str">
        <f t="shared" si="96"/>
        <v/>
      </c>
      <c r="E1232" t="str">
        <f t="shared" si="97"/>
        <v/>
      </c>
      <c r="F1232" t="str">
        <f>IF(D1232="","",INDEX(Knutepunkter!$B:$B,D1232+1))</f>
        <v/>
      </c>
      <c r="G1232" t="str">
        <f>IF(D1232="","",INDEX(Knutepunkter!$C:$C,D1232+1))</f>
        <v/>
      </c>
      <c r="H1232" t="str">
        <f>IF(D1232="","",INDEX(Knutepunkter!$D:$D,D1232+1))</f>
        <v/>
      </c>
      <c r="I1232" t="str">
        <f>IF(E1232="","",INDEX(Knutepunkter!$B:$B,E1232+1))</f>
        <v/>
      </c>
      <c r="J1232" t="str">
        <f>IF(E1232="","",INDEX(Knutepunkter!$C:$C,E1232+1))</f>
        <v/>
      </c>
      <c r="K1232" t="str">
        <f>IF(E1232="","",INDEX(Knutepunkter!$D:$D,E1232+1))</f>
        <v/>
      </c>
      <c r="L1232" t="str">
        <f t="shared" si="98"/>
        <v/>
      </c>
      <c r="M1232" t="str">
        <f t="shared" si="99"/>
        <v/>
      </c>
    </row>
    <row r="1233" spans="1:13" x14ac:dyDescent="0.3">
      <c r="A1233" t="str">
        <f>Segmenter!A1233</f>
        <v/>
      </c>
      <c r="B1233" t="str">
        <f>Segmenter!B1233</f>
        <v/>
      </c>
      <c r="C1233" t="str">
        <f t="shared" si="95"/>
        <v/>
      </c>
      <c r="D1233" t="str">
        <f t="shared" si="96"/>
        <v/>
      </c>
      <c r="E1233" t="str">
        <f t="shared" si="97"/>
        <v/>
      </c>
      <c r="F1233" t="str">
        <f>IF(D1233="","",INDEX(Knutepunkter!$B:$B,D1233+1))</f>
        <v/>
      </c>
      <c r="G1233" t="str">
        <f>IF(D1233="","",INDEX(Knutepunkter!$C:$C,D1233+1))</f>
        <v/>
      </c>
      <c r="H1233" t="str">
        <f>IF(D1233="","",INDEX(Knutepunkter!$D:$D,D1233+1))</f>
        <v/>
      </c>
      <c r="I1233" t="str">
        <f>IF(E1233="","",INDEX(Knutepunkter!$B:$B,E1233+1))</f>
        <v/>
      </c>
      <c r="J1233" t="str">
        <f>IF(E1233="","",INDEX(Knutepunkter!$C:$C,E1233+1))</f>
        <v/>
      </c>
      <c r="K1233" t="str">
        <f>IF(E1233="","",INDEX(Knutepunkter!$D:$D,E1233+1))</f>
        <v/>
      </c>
      <c r="L1233" t="str">
        <f t="shared" si="98"/>
        <v/>
      </c>
      <c r="M1233" t="str">
        <f t="shared" si="99"/>
        <v/>
      </c>
    </row>
    <row r="1234" spans="1:13" x14ac:dyDescent="0.3">
      <c r="A1234" t="str">
        <f>Segmenter!A1234</f>
        <v/>
      </c>
      <c r="B1234" t="str">
        <f>Segmenter!B1234</f>
        <v/>
      </c>
      <c r="C1234" t="str">
        <f t="shared" si="95"/>
        <v/>
      </c>
      <c r="D1234" t="str">
        <f t="shared" si="96"/>
        <v/>
      </c>
      <c r="E1234" t="str">
        <f t="shared" si="97"/>
        <v/>
      </c>
      <c r="F1234" t="str">
        <f>IF(D1234="","",INDEX(Knutepunkter!$B:$B,D1234+1))</f>
        <v/>
      </c>
      <c r="G1234" t="str">
        <f>IF(D1234="","",INDEX(Knutepunkter!$C:$C,D1234+1))</f>
        <v/>
      </c>
      <c r="H1234" t="str">
        <f>IF(D1234="","",INDEX(Knutepunkter!$D:$D,D1234+1))</f>
        <v/>
      </c>
      <c r="I1234" t="str">
        <f>IF(E1234="","",INDEX(Knutepunkter!$B:$B,E1234+1))</f>
        <v/>
      </c>
      <c r="J1234" t="str">
        <f>IF(E1234="","",INDEX(Knutepunkter!$C:$C,E1234+1))</f>
        <v/>
      </c>
      <c r="K1234" t="str">
        <f>IF(E1234="","",INDEX(Knutepunkter!$D:$D,E1234+1))</f>
        <v/>
      </c>
      <c r="L1234" t="str">
        <f t="shared" si="98"/>
        <v/>
      </c>
      <c r="M1234" t="str">
        <f t="shared" si="99"/>
        <v/>
      </c>
    </row>
    <row r="1235" spans="1:13" x14ac:dyDescent="0.3">
      <c r="A1235" t="str">
        <f>Segmenter!A1235</f>
        <v/>
      </c>
      <c r="B1235" t="str">
        <f>Segmenter!B1235</f>
        <v/>
      </c>
      <c r="C1235" t="str">
        <f t="shared" si="95"/>
        <v/>
      </c>
      <c r="D1235" t="str">
        <f t="shared" si="96"/>
        <v/>
      </c>
      <c r="E1235" t="str">
        <f t="shared" si="97"/>
        <v/>
      </c>
      <c r="F1235" t="str">
        <f>IF(D1235="","",INDEX(Knutepunkter!$B:$B,D1235+1))</f>
        <v/>
      </c>
      <c r="G1235" t="str">
        <f>IF(D1235="","",INDEX(Knutepunkter!$C:$C,D1235+1))</f>
        <v/>
      </c>
      <c r="H1235" t="str">
        <f>IF(D1235="","",INDEX(Knutepunkter!$D:$D,D1235+1))</f>
        <v/>
      </c>
      <c r="I1235" t="str">
        <f>IF(E1235="","",INDEX(Knutepunkter!$B:$B,E1235+1))</f>
        <v/>
      </c>
      <c r="J1235" t="str">
        <f>IF(E1235="","",INDEX(Knutepunkter!$C:$C,E1235+1))</f>
        <v/>
      </c>
      <c r="K1235" t="str">
        <f>IF(E1235="","",INDEX(Knutepunkter!$D:$D,E1235+1))</f>
        <v/>
      </c>
      <c r="L1235" t="str">
        <f t="shared" si="98"/>
        <v/>
      </c>
      <c r="M1235" t="str">
        <f t="shared" si="99"/>
        <v/>
      </c>
    </row>
    <row r="1236" spans="1:13" x14ac:dyDescent="0.3">
      <c r="A1236" t="str">
        <f>Segmenter!A1236</f>
        <v/>
      </c>
      <c r="B1236" t="str">
        <f>Segmenter!B1236</f>
        <v/>
      </c>
      <c r="C1236" t="str">
        <f t="shared" si="95"/>
        <v/>
      </c>
      <c r="D1236" t="str">
        <f t="shared" si="96"/>
        <v/>
      </c>
      <c r="E1236" t="str">
        <f t="shared" si="97"/>
        <v/>
      </c>
      <c r="F1236" t="str">
        <f>IF(D1236="","",INDEX(Knutepunkter!$B:$B,D1236+1))</f>
        <v/>
      </c>
      <c r="G1236" t="str">
        <f>IF(D1236="","",INDEX(Knutepunkter!$C:$C,D1236+1))</f>
        <v/>
      </c>
      <c r="H1236" t="str">
        <f>IF(D1236="","",INDEX(Knutepunkter!$D:$D,D1236+1))</f>
        <v/>
      </c>
      <c r="I1236" t="str">
        <f>IF(E1236="","",INDEX(Knutepunkter!$B:$B,E1236+1))</f>
        <v/>
      </c>
      <c r="J1236" t="str">
        <f>IF(E1236="","",INDEX(Knutepunkter!$C:$C,E1236+1))</f>
        <v/>
      </c>
      <c r="K1236" t="str">
        <f>IF(E1236="","",INDEX(Knutepunkter!$D:$D,E1236+1))</f>
        <v/>
      </c>
      <c r="L1236" t="str">
        <f t="shared" si="98"/>
        <v/>
      </c>
      <c r="M1236" t="str">
        <f t="shared" si="99"/>
        <v/>
      </c>
    </row>
    <row r="1237" spans="1:13" x14ac:dyDescent="0.3">
      <c r="A1237" t="str">
        <f>Segmenter!A1237</f>
        <v/>
      </c>
      <c r="B1237" t="str">
        <f>Segmenter!B1237</f>
        <v/>
      </c>
      <c r="C1237" t="str">
        <f t="shared" si="95"/>
        <v/>
      </c>
      <c r="D1237" t="str">
        <f t="shared" si="96"/>
        <v/>
      </c>
      <c r="E1237" t="str">
        <f t="shared" si="97"/>
        <v/>
      </c>
      <c r="F1237" t="str">
        <f>IF(D1237="","",INDEX(Knutepunkter!$B:$B,D1237+1))</f>
        <v/>
      </c>
      <c r="G1237" t="str">
        <f>IF(D1237="","",INDEX(Knutepunkter!$C:$C,D1237+1))</f>
        <v/>
      </c>
      <c r="H1237" t="str">
        <f>IF(D1237="","",INDEX(Knutepunkter!$D:$D,D1237+1))</f>
        <v/>
      </c>
      <c r="I1237" t="str">
        <f>IF(E1237="","",INDEX(Knutepunkter!$B:$B,E1237+1))</f>
        <v/>
      </c>
      <c r="J1237" t="str">
        <f>IF(E1237="","",INDEX(Knutepunkter!$C:$C,E1237+1))</f>
        <v/>
      </c>
      <c r="K1237" t="str">
        <f>IF(E1237="","",INDEX(Knutepunkter!$D:$D,E1237+1))</f>
        <v/>
      </c>
      <c r="L1237" t="str">
        <f t="shared" si="98"/>
        <v/>
      </c>
      <c r="M1237" t="str">
        <f t="shared" si="99"/>
        <v/>
      </c>
    </row>
    <row r="1238" spans="1:13" x14ac:dyDescent="0.3">
      <c r="A1238" t="str">
        <f>Segmenter!A1238</f>
        <v/>
      </c>
      <c r="B1238" t="str">
        <f>Segmenter!B1238</f>
        <v/>
      </c>
      <c r="C1238" t="str">
        <f t="shared" si="95"/>
        <v/>
      </c>
      <c r="D1238" t="str">
        <f t="shared" si="96"/>
        <v/>
      </c>
      <c r="E1238" t="str">
        <f t="shared" si="97"/>
        <v/>
      </c>
      <c r="F1238" t="str">
        <f>IF(D1238="","",INDEX(Knutepunkter!$B:$B,D1238+1))</f>
        <v/>
      </c>
      <c r="G1238" t="str">
        <f>IF(D1238="","",INDEX(Knutepunkter!$C:$C,D1238+1))</f>
        <v/>
      </c>
      <c r="H1238" t="str">
        <f>IF(D1238="","",INDEX(Knutepunkter!$D:$D,D1238+1))</f>
        <v/>
      </c>
      <c r="I1238" t="str">
        <f>IF(E1238="","",INDEX(Knutepunkter!$B:$B,E1238+1))</f>
        <v/>
      </c>
      <c r="J1238" t="str">
        <f>IF(E1238="","",INDEX(Knutepunkter!$C:$C,E1238+1))</f>
        <v/>
      </c>
      <c r="K1238" t="str">
        <f>IF(E1238="","",INDEX(Knutepunkter!$D:$D,E1238+1))</f>
        <v/>
      </c>
      <c r="L1238" t="str">
        <f t="shared" si="98"/>
        <v/>
      </c>
      <c r="M1238" t="str">
        <f t="shared" si="99"/>
        <v/>
      </c>
    </row>
    <row r="1239" spans="1:13" x14ac:dyDescent="0.3">
      <c r="A1239" t="str">
        <f>Segmenter!A1239</f>
        <v/>
      </c>
      <c r="B1239" t="str">
        <f>Segmenter!B1239</f>
        <v/>
      </c>
      <c r="C1239" t="str">
        <f t="shared" si="95"/>
        <v/>
      </c>
      <c r="D1239" t="str">
        <f t="shared" si="96"/>
        <v/>
      </c>
      <c r="E1239" t="str">
        <f t="shared" si="97"/>
        <v/>
      </c>
      <c r="F1239" t="str">
        <f>IF(D1239="","",INDEX(Knutepunkter!$B:$B,D1239+1))</f>
        <v/>
      </c>
      <c r="G1239" t="str">
        <f>IF(D1239="","",INDEX(Knutepunkter!$C:$C,D1239+1))</f>
        <v/>
      </c>
      <c r="H1239" t="str">
        <f>IF(D1239="","",INDEX(Knutepunkter!$D:$D,D1239+1))</f>
        <v/>
      </c>
      <c r="I1239" t="str">
        <f>IF(E1239="","",INDEX(Knutepunkter!$B:$B,E1239+1))</f>
        <v/>
      </c>
      <c r="J1239" t="str">
        <f>IF(E1239="","",INDEX(Knutepunkter!$C:$C,E1239+1))</f>
        <v/>
      </c>
      <c r="K1239" t="str">
        <f>IF(E1239="","",INDEX(Knutepunkter!$D:$D,E1239+1))</f>
        <v/>
      </c>
      <c r="L1239" t="str">
        <f t="shared" si="98"/>
        <v/>
      </c>
      <c r="M1239" t="str">
        <f t="shared" si="99"/>
        <v/>
      </c>
    </row>
    <row r="1240" spans="1:13" x14ac:dyDescent="0.3">
      <c r="A1240" t="str">
        <f>Segmenter!A1240</f>
        <v/>
      </c>
      <c r="B1240" t="str">
        <f>Segmenter!B1240</f>
        <v/>
      </c>
      <c r="C1240" t="str">
        <f t="shared" si="95"/>
        <v/>
      </c>
      <c r="D1240" t="str">
        <f t="shared" si="96"/>
        <v/>
      </c>
      <c r="E1240" t="str">
        <f t="shared" si="97"/>
        <v/>
      </c>
      <c r="F1240" t="str">
        <f>IF(D1240="","",INDEX(Knutepunkter!$B:$B,D1240+1))</f>
        <v/>
      </c>
      <c r="G1240" t="str">
        <f>IF(D1240="","",INDEX(Knutepunkter!$C:$C,D1240+1))</f>
        <v/>
      </c>
      <c r="H1240" t="str">
        <f>IF(D1240="","",INDEX(Knutepunkter!$D:$D,D1240+1))</f>
        <v/>
      </c>
      <c r="I1240" t="str">
        <f>IF(E1240="","",INDEX(Knutepunkter!$B:$B,E1240+1))</f>
        <v/>
      </c>
      <c r="J1240" t="str">
        <f>IF(E1240="","",INDEX(Knutepunkter!$C:$C,E1240+1))</f>
        <v/>
      </c>
      <c r="K1240" t="str">
        <f>IF(E1240="","",INDEX(Knutepunkter!$D:$D,E1240+1))</f>
        <v/>
      </c>
      <c r="L1240" t="str">
        <f t="shared" si="98"/>
        <v/>
      </c>
      <c r="M1240" t="str">
        <f t="shared" si="99"/>
        <v/>
      </c>
    </row>
    <row r="1241" spans="1:13" x14ac:dyDescent="0.3">
      <c r="A1241" t="str">
        <f>Segmenter!A1241</f>
        <v/>
      </c>
      <c r="B1241" t="str">
        <f>Segmenter!B1241</f>
        <v/>
      </c>
      <c r="C1241" t="str">
        <f t="shared" si="95"/>
        <v/>
      </c>
      <c r="D1241" t="str">
        <f t="shared" si="96"/>
        <v/>
      </c>
      <c r="E1241" t="str">
        <f t="shared" si="97"/>
        <v/>
      </c>
      <c r="F1241" t="str">
        <f>IF(D1241="","",INDEX(Knutepunkter!$B:$B,D1241+1))</f>
        <v/>
      </c>
      <c r="G1241" t="str">
        <f>IF(D1241="","",INDEX(Knutepunkter!$C:$C,D1241+1))</f>
        <v/>
      </c>
      <c r="H1241" t="str">
        <f>IF(D1241="","",INDEX(Knutepunkter!$D:$D,D1241+1))</f>
        <v/>
      </c>
      <c r="I1241" t="str">
        <f>IF(E1241="","",INDEX(Knutepunkter!$B:$B,E1241+1))</f>
        <v/>
      </c>
      <c r="J1241" t="str">
        <f>IF(E1241="","",INDEX(Knutepunkter!$C:$C,E1241+1))</f>
        <v/>
      </c>
      <c r="K1241" t="str">
        <f>IF(E1241="","",INDEX(Knutepunkter!$D:$D,E1241+1))</f>
        <v/>
      </c>
      <c r="L1241" t="str">
        <f t="shared" si="98"/>
        <v/>
      </c>
      <c r="M1241" t="str">
        <f t="shared" si="99"/>
        <v/>
      </c>
    </row>
    <row r="1242" spans="1:13" x14ac:dyDescent="0.3">
      <c r="A1242" t="str">
        <f>Segmenter!A1242</f>
        <v/>
      </c>
      <c r="B1242" t="str">
        <f>Segmenter!B1242</f>
        <v/>
      </c>
      <c r="C1242" t="str">
        <f t="shared" si="95"/>
        <v/>
      </c>
      <c r="D1242" t="str">
        <f t="shared" si="96"/>
        <v/>
      </c>
      <c r="E1242" t="str">
        <f t="shared" si="97"/>
        <v/>
      </c>
      <c r="F1242" t="str">
        <f>IF(D1242="","",INDEX(Knutepunkter!$B:$B,D1242+1))</f>
        <v/>
      </c>
      <c r="G1242" t="str">
        <f>IF(D1242="","",INDEX(Knutepunkter!$C:$C,D1242+1))</f>
        <v/>
      </c>
      <c r="H1242" t="str">
        <f>IF(D1242="","",INDEX(Knutepunkter!$D:$D,D1242+1))</f>
        <v/>
      </c>
      <c r="I1242" t="str">
        <f>IF(E1242="","",INDEX(Knutepunkter!$B:$B,E1242+1))</f>
        <v/>
      </c>
      <c r="J1242" t="str">
        <f>IF(E1242="","",INDEX(Knutepunkter!$C:$C,E1242+1))</f>
        <v/>
      </c>
      <c r="K1242" t="str">
        <f>IF(E1242="","",INDEX(Knutepunkter!$D:$D,E1242+1))</f>
        <v/>
      </c>
      <c r="L1242" t="str">
        <f t="shared" si="98"/>
        <v/>
      </c>
      <c r="M1242" t="str">
        <f t="shared" si="99"/>
        <v/>
      </c>
    </row>
    <row r="1243" spans="1:13" x14ac:dyDescent="0.3">
      <c r="A1243" t="str">
        <f>Segmenter!A1243</f>
        <v/>
      </c>
      <c r="B1243" t="str">
        <f>Segmenter!B1243</f>
        <v/>
      </c>
      <c r="C1243" t="str">
        <f t="shared" si="95"/>
        <v/>
      </c>
      <c r="D1243" t="str">
        <f t="shared" si="96"/>
        <v/>
      </c>
      <c r="E1243" t="str">
        <f t="shared" si="97"/>
        <v/>
      </c>
      <c r="F1243" t="str">
        <f>IF(D1243="","",INDEX(Knutepunkter!$B:$B,D1243+1))</f>
        <v/>
      </c>
      <c r="G1243" t="str">
        <f>IF(D1243="","",INDEX(Knutepunkter!$C:$C,D1243+1))</f>
        <v/>
      </c>
      <c r="H1243" t="str">
        <f>IF(D1243="","",INDEX(Knutepunkter!$D:$D,D1243+1))</f>
        <v/>
      </c>
      <c r="I1243" t="str">
        <f>IF(E1243="","",INDEX(Knutepunkter!$B:$B,E1243+1))</f>
        <v/>
      </c>
      <c r="J1243" t="str">
        <f>IF(E1243="","",INDEX(Knutepunkter!$C:$C,E1243+1))</f>
        <v/>
      </c>
      <c r="K1243" t="str">
        <f>IF(E1243="","",INDEX(Knutepunkter!$D:$D,E1243+1))</f>
        <v/>
      </c>
      <c r="L1243" t="str">
        <f t="shared" si="98"/>
        <v/>
      </c>
      <c r="M1243" t="str">
        <f t="shared" si="99"/>
        <v/>
      </c>
    </row>
    <row r="1244" spans="1:13" x14ac:dyDescent="0.3">
      <c r="A1244" t="str">
        <f>Segmenter!A1244</f>
        <v/>
      </c>
      <c r="B1244" t="str">
        <f>Segmenter!B1244</f>
        <v/>
      </c>
      <c r="C1244" t="str">
        <f t="shared" si="95"/>
        <v/>
      </c>
      <c r="D1244" t="str">
        <f t="shared" si="96"/>
        <v/>
      </c>
      <c r="E1244" t="str">
        <f t="shared" si="97"/>
        <v/>
      </c>
      <c r="F1244" t="str">
        <f>IF(D1244="","",INDEX(Knutepunkter!$B:$B,D1244+1))</f>
        <v/>
      </c>
      <c r="G1244" t="str">
        <f>IF(D1244="","",INDEX(Knutepunkter!$C:$C,D1244+1))</f>
        <v/>
      </c>
      <c r="H1244" t="str">
        <f>IF(D1244="","",INDEX(Knutepunkter!$D:$D,D1244+1))</f>
        <v/>
      </c>
      <c r="I1244" t="str">
        <f>IF(E1244="","",INDEX(Knutepunkter!$B:$B,E1244+1))</f>
        <v/>
      </c>
      <c r="J1244" t="str">
        <f>IF(E1244="","",INDEX(Knutepunkter!$C:$C,E1244+1))</f>
        <v/>
      </c>
      <c r="K1244" t="str">
        <f>IF(E1244="","",INDEX(Knutepunkter!$D:$D,E1244+1))</f>
        <v/>
      </c>
      <c r="L1244" t="str">
        <f t="shared" si="98"/>
        <v/>
      </c>
      <c r="M1244" t="str">
        <f t="shared" si="99"/>
        <v/>
      </c>
    </row>
    <row r="1245" spans="1:13" x14ac:dyDescent="0.3">
      <c r="A1245" t="str">
        <f>Segmenter!A1245</f>
        <v/>
      </c>
      <c r="B1245" t="str">
        <f>Segmenter!B1245</f>
        <v/>
      </c>
      <c r="C1245" t="str">
        <f t="shared" si="95"/>
        <v/>
      </c>
      <c r="D1245" t="str">
        <f t="shared" si="96"/>
        <v/>
      </c>
      <c r="E1245" t="str">
        <f t="shared" si="97"/>
        <v/>
      </c>
      <c r="F1245" t="str">
        <f>IF(D1245="","",INDEX(Knutepunkter!$B:$B,D1245+1))</f>
        <v/>
      </c>
      <c r="G1245" t="str">
        <f>IF(D1245="","",INDEX(Knutepunkter!$C:$C,D1245+1))</f>
        <v/>
      </c>
      <c r="H1245" t="str">
        <f>IF(D1245="","",INDEX(Knutepunkter!$D:$D,D1245+1))</f>
        <v/>
      </c>
      <c r="I1245" t="str">
        <f>IF(E1245="","",INDEX(Knutepunkter!$B:$B,E1245+1))</f>
        <v/>
      </c>
      <c r="J1245" t="str">
        <f>IF(E1245="","",INDEX(Knutepunkter!$C:$C,E1245+1))</f>
        <v/>
      </c>
      <c r="K1245" t="str">
        <f>IF(E1245="","",INDEX(Knutepunkter!$D:$D,E1245+1))</f>
        <v/>
      </c>
      <c r="L1245" t="str">
        <f t="shared" si="98"/>
        <v/>
      </c>
      <c r="M1245" t="str">
        <f t="shared" si="99"/>
        <v/>
      </c>
    </row>
    <row r="1246" spans="1:13" x14ac:dyDescent="0.3">
      <c r="A1246" t="str">
        <f>Segmenter!A1246</f>
        <v/>
      </c>
      <c r="B1246" t="str">
        <f>Segmenter!B1246</f>
        <v/>
      </c>
      <c r="C1246" t="str">
        <f t="shared" si="95"/>
        <v/>
      </c>
      <c r="D1246" t="str">
        <f t="shared" si="96"/>
        <v/>
      </c>
      <c r="E1246" t="str">
        <f t="shared" si="97"/>
        <v/>
      </c>
      <c r="F1246" t="str">
        <f>IF(D1246="","",INDEX(Knutepunkter!$B:$B,D1246+1))</f>
        <v/>
      </c>
      <c r="G1246" t="str">
        <f>IF(D1246="","",INDEX(Knutepunkter!$C:$C,D1246+1))</f>
        <v/>
      </c>
      <c r="H1246" t="str">
        <f>IF(D1246="","",INDEX(Knutepunkter!$D:$D,D1246+1))</f>
        <v/>
      </c>
      <c r="I1246" t="str">
        <f>IF(E1246="","",INDEX(Knutepunkter!$B:$B,E1246+1))</f>
        <v/>
      </c>
      <c r="J1246" t="str">
        <f>IF(E1246="","",INDEX(Knutepunkter!$C:$C,E1246+1))</f>
        <v/>
      </c>
      <c r="K1246" t="str">
        <f>IF(E1246="","",INDEX(Knutepunkter!$D:$D,E1246+1))</f>
        <v/>
      </c>
      <c r="L1246" t="str">
        <f t="shared" si="98"/>
        <v/>
      </c>
      <c r="M1246" t="str">
        <f t="shared" si="99"/>
        <v/>
      </c>
    </row>
    <row r="1247" spans="1:13" x14ac:dyDescent="0.3">
      <c r="A1247" t="str">
        <f>Segmenter!A1247</f>
        <v/>
      </c>
      <c r="B1247" t="str">
        <f>Segmenter!B1247</f>
        <v/>
      </c>
      <c r="C1247" t="str">
        <f t="shared" si="95"/>
        <v/>
      </c>
      <c r="D1247" t="str">
        <f t="shared" si="96"/>
        <v/>
      </c>
      <c r="E1247" t="str">
        <f t="shared" si="97"/>
        <v/>
      </c>
      <c r="F1247" t="str">
        <f>IF(D1247="","",INDEX(Knutepunkter!$B:$B,D1247+1))</f>
        <v/>
      </c>
      <c r="G1247" t="str">
        <f>IF(D1247="","",INDEX(Knutepunkter!$C:$C,D1247+1))</f>
        <v/>
      </c>
      <c r="H1247" t="str">
        <f>IF(D1247="","",INDEX(Knutepunkter!$D:$D,D1247+1))</f>
        <v/>
      </c>
      <c r="I1247" t="str">
        <f>IF(E1247="","",INDEX(Knutepunkter!$B:$B,E1247+1))</f>
        <v/>
      </c>
      <c r="J1247" t="str">
        <f>IF(E1247="","",INDEX(Knutepunkter!$C:$C,E1247+1))</f>
        <v/>
      </c>
      <c r="K1247" t="str">
        <f>IF(E1247="","",INDEX(Knutepunkter!$D:$D,E1247+1))</f>
        <v/>
      </c>
      <c r="L1247" t="str">
        <f t="shared" si="98"/>
        <v/>
      </c>
      <c r="M1247" t="str">
        <f t="shared" si="99"/>
        <v/>
      </c>
    </row>
    <row r="1248" spans="1:13" x14ac:dyDescent="0.3">
      <c r="A1248" t="str">
        <f>Segmenter!A1248</f>
        <v/>
      </c>
      <c r="B1248" t="str">
        <f>Segmenter!B1248</f>
        <v/>
      </c>
      <c r="C1248" t="str">
        <f t="shared" si="95"/>
        <v/>
      </c>
      <c r="D1248" t="str">
        <f t="shared" si="96"/>
        <v/>
      </c>
      <c r="E1248" t="str">
        <f t="shared" si="97"/>
        <v/>
      </c>
      <c r="F1248" t="str">
        <f>IF(D1248="","",INDEX(Knutepunkter!$B:$B,D1248+1))</f>
        <v/>
      </c>
      <c r="G1248" t="str">
        <f>IF(D1248="","",INDEX(Knutepunkter!$C:$C,D1248+1))</f>
        <v/>
      </c>
      <c r="H1248" t="str">
        <f>IF(D1248="","",INDEX(Knutepunkter!$D:$D,D1248+1))</f>
        <v/>
      </c>
      <c r="I1248" t="str">
        <f>IF(E1248="","",INDEX(Knutepunkter!$B:$B,E1248+1))</f>
        <v/>
      </c>
      <c r="J1248" t="str">
        <f>IF(E1248="","",INDEX(Knutepunkter!$C:$C,E1248+1))</f>
        <v/>
      </c>
      <c r="K1248" t="str">
        <f>IF(E1248="","",INDEX(Knutepunkter!$D:$D,E1248+1))</f>
        <v/>
      </c>
      <c r="L1248" t="str">
        <f t="shared" si="98"/>
        <v/>
      </c>
      <c r="M1248" t="str">
        <f t="shared" si="99"/>
        <v/>
      </c>
    </row>
    <row r="1249" spans="1:13" x14ac:dyDescent="0.3">
      <c r="A1249" t="str">
        <f>Segmenter!A1249</f>
        <v/>
      </c>
      <c r="B1249" t="str">
        <f>Segmenter!B1249</f>
        <v/>
      </c>
      <c r="C1249" t="str">
        <f t="shared" si="95"/>
        <v/>
      </c>
      <c r="D1249" t="str">
        <f t="shared" si="96"/>
        <v/>
      </c>
      <c r="E1249" t="str">
        <f t="shared" si="97"/>
        <v/>
      </c>
      <c r="F1249" t="str">
        <f>IF(D1249="","",INDEX(Knutepunkter!$B:$B,D1249+1))</f>
        <v/>
      </c>
      <c r="G1249" t="str">
        <f>IF(D1249="","",INDEX(Knutepunkter!$C:$C,D1249+1))</f>
        <v/>
      </c>
      <c r="H1249" t="str">
        <f>IF(D1249="","",INDEX(Knutepunkter!$D:$D,D1249+1))</f>
        <v/>
      </c>
      <c r="I1249" t="str">
        <f>IF(E1249="","",INDEX(Knutepunkter!$B:$B,E1249+1))</f>
        <v/>
      </c>
      <c r="J1249" t="str">
        <f>IF(E1249="","",INDEX(Knutepunkter!$C:$C,E1249+1))</f>
        <v/>
      </c>
      <c r="K1249" t="str">
        <f>IF(E1249="","",INDEX(Knutepunkter!$D:$D,E1249+1))</f>
        <v/>
      </c>
      <c r="L1249" t="str">
        <f t="shared" si="98"/>
        <v/>
      </c>
      <c r="M1249" t="str">
        <f t="shared" si="99"/>
        <v/>
      </c>
    </row>
    <row r="1250" spans="1:13" x14ac:dyDescent="0.3">
      <c r="A1250" t="str">
        <f>Segmenter!A1250</f>
        <v/>
      </c>
      <c r="B1250" t="str">
        <f>Segmenter!B1250</f>
        <v/>
      </c>
      <c r="C1250" t="str">
        <f t="shared" si="95"/>
        <v/>
      </c>
      <c r="D1250" t="str">
        <f t="shared" si="96"/>
        <v/>
      </c>
      <c r="E1250" t="str">
        <f t="shared" si="97"/>
        <v/>
      </c>
      <c r="F1250" t="str">
        <f>IF(D1250="","",INDEX(Knutepunkter!$B:$B,D1250+1))</f>
        <v/>
      </c>
      <c r="G1250" t="str">
        <f>IF(D1250="","",INDEX(Knutepunkter!$C:$C,D1250+1))</f>
        <v/>
      </c>
      <c r="H1250" t="str">
        <f>IF(D1250="","",INDEX(Knutepunkter!$D:$D,D1250+1))</f>
        <v/>
      </c>
      <c r="I1250" t="str">
        <f>IF(E1250="","",INDEX(Knutepunkter!$B:$B,E1250+1))</f>
        <v/>
      </c>
      <c r="J1250" t="str">
        <f>IF(E1250="","",INDEX(Knutepunkter!$C:$C,E1250+1))</f>
        <v/>
      </c>
      <c r="K1250" t="str">
        <f>IF(E1250="","",INDEX(Knutepunkter!$D:$D,E1250+1))</f>
        <v/>
      </c>
      <c r="L1250" t="str">
        <f t="shared" si="98"/>
        <v/>
      </c>
      <c r="M1250" t="str">
        <f t="shared" si="99"/>
        <v/>
      </c>
    </row>
    <row r="1251" spans="1:13" x14ac:dyDescent="0.3">
      <c r="A1251" t="str">
        <f>Segmenter!A1251</f>
        <v/>
      </c>
      <c r="B1251" t="str">
        <f>Segmenter!B1251</f>
        <v/>
      </c>
      <c r="C1251" t="str">
        <f t="shared" si="95"/>
        <v/>
      </c>
      <c r="D1251" t="str">
        <f t="shared" si="96"/>
        <v/>
      </c>
      <c r="E1251" t="str">
        <f t="shared" si="97"/>
        <v/>
      </c>
      <c r="F1251" t="str">
        <f>IF(D1251="","",INDEX(Knutepunkter!$B:$B,D1251+1))</f>
        <v/>
      </c>
      <c r="G1251" t="str">
        <f>IF(D1251="","",INDEX(Knutepunkter!$C:$C,D1251+1))</f>
        <v/>
      </c>
      <c r="H1251" t="str">
        <f>IF(D1251="","",INDEX(Knutepunkter!$D:$D,D1251+1))</f>
        <v/>
      </c>
      <c r="I1251" t="str">
        <f>IF(E1251="","",INDEX(Knutepunkter!$B:$B,E1251+1))</f>
        <v/>
      </c>
      <c r="J1251" t="str">
        <f>IF(E1251="","",INDEX(Knutepunkter!$C:$C,E1251+1))</f>
        <v/>
      </c>
      <c r="K1251" t="str">
        <f>IF(E1251="","",INDEX(Knutepunkter!$D:$D,E1251+1))</f>
        <v/>
      </c>
      <c r="L1251" t="str">
        <f t="shared" si="98"/>
        <v/>
      </c>
      <c r="M1251" t="str">
        <f t="shared" si="99"/>
        <v/>
      </c>
    </row>
    <row r="1252" spans="1:13" x14ac:dyDescent="0.3">
      <c r="A1252" t="str">
        <f>Segmenter!A1252</f>
        <v/>
      </c>
      <c r="B1252" t="str">
        <f>Segmenter!B1252</f>
        <v/>
      </c>
      <c r="C1252" t="str">
        <f t="shared" si="95"/>
        <v/>
      </c>
      <c r="D1252" t="str">
        <f t="shared" si="96"/>
        <v/>
      </c>
      <c r="E1252" t="str">
        <f t="shared" si="97"/>
        <v/>
      </c>
      <c r="F1252" t="str">
        <f>IF(D1252="","",INDEX(Knutepunkter!$B:$B,D1252+1))</f>
        <v/>
      </c>
      <c r="G1252" t="str">
        <f>IF(D1252="","",INDEX(Knutepunkter!$C:$C,D1252+1))</f>
        <v/>
      </c>
      <c r="H1252" t="str">
        <f>IF(D1252="","",INDEX(Knutepunkter!$D:$D,D1252+1))</f>
        <v/>
      </c>
      <c r="I1252" t="str">
        <f>IF(E1252="","",INDEX(Knutepunkter!$B:$B,E1252+1))</f>
        <v/>
      </c>
      <c r="J1252" t="str">
        <f>IF(E1252="","",INDEX(Knutepunkter!$C:$C,E1252+1))</f>
        <v/>
      </c>
      <c r="K1252" t="str">
        <f>IF(E1252="","",INDEX(Knutepunkter!$D:$D,E1252+1))</f>
        <v/>
      </c>
      <c r="L1252" t="str">
        <f t="shared" si="98"/>
        <v/>
      </c>
      <c r="M1252" t="str">
        <f t="shared" si="99"/>
        <v/>
      </c>
    </row>
    <row r="1253" spans="1:13" x14ac:dyDescent="0.3">
      <c r="A1253" t="str">
        <f>Segmenter!A1253</f>
        <v/>
      </c>
      <c r="B1253" t="str">
        <f>Segmenter!B1253</f>
        <v/>
      </c>
      <c r="C1253" t="str">
        <f t="shared" si="95"/>
        <v/>
      </c>
      <c r="D1253" t="str">
        <f t="shared" si="96"/>
        <v/>
      </c>
      <c r="E1253" t="str">
        <f t="shared" si="97"/>
        <v/>
      </c>
      <c r="F1253" t="str">
        <f>IF(D1253="","",INDEX(Knutepunkter!$B:$B,D1253+1))</f>
        <v/>
      </c>
      <c r="G1253" t="str">
        <f>IF(D1253="","",INDEX(Knutepunkter!$C:$C,D1253+1))</f>
        <v/>
      </c>
      <c r="H1253" t="str">
        <f>IF(D1253="","",INDEX(Knutepunkter!$D:$D,D1253+1))</f>
        <v/>
      </c>
      <c r="I1253" t="str">
        <f>IF(E1253="","",INDEX(Knutepunkter!$B:$B,E1253+1))</f>
        <v/>
      </c>
      <c r="J1253" t="str">
        <f>IF(E1253="","",INDEX(Knutepunkter!$C:$C,E1253+1))</f>
        <v/>
      </c>
      <c r="K1253" t="str">
        <f>IF(E1253="","",INDEX(Knutepunkter!$D:$D,E1253+1))</f>
        <v/>
      </c>
      <c r="L1253" t="str">
        <f t="shared" si="98"/>
        <v/>
      </c>
      <c r="M1253" t="str">
        <f t="shared" si="99"/>
        <v/>
      </c>
    </row>
    <row r="1254" spans="1:13" x14ac:dyDescent="0.3">
      <c r="A1254" t="str">
        <f>Segmenter!A1254</f>
        <v/>
      </c>
      <c r="B1254" t="str">
        <f>Segmenter!B1254</f>
        <v/>
      </c>
      <c r="C1254" t="str">
        <f t="shared" si="95"/>
        <v/>
      </c>
      <c r="D1254" t="str">
        <f t="shared" si="96"/>
        <v/>
      </c>
      <c r="E1254" t="str">
        <f t="shared" si="97"/>
        <v/>
      </c>
      <c r="F1254" t="str">
        <f>IF(D1254="","",INDEX(Knutepunkter!$B:$B,D1254+1))</f>
        <v/>
      </c>
      <c r="G1254" t="str">
        <f>IF(D1254="","",INDEX(Knutepunkter!$C:$C,D1254+1))</f>
        <v/>
      </c>
      <c r="H1254" t="str">
        <f>IF(D1254="","",INDEX(Knutepunkter!$D:$D,D1254+1))</f>
        <v/>
      </c>
      <c r="I1254" t="str">
        <f>IF(E1254="","",INDEX(Knutepunkter!$B:$B,E1254+1))</f>
        <v/>
      </c>
      <c r="J1254" t="str">
        <f>IF(E1254="","",INDEX(Knutepunkter!$C:$C,E1254+1))</f>
        <v/>
      </c>
      <c r="K1254" t="str">
        <f>IF(E1254="","",INDEX(Knutepunkter!$D:$D,E1254+1))</f>
        <v/>
      </c>
      <c r="L1254" t="str">
        <f t="shared" si="98"/>
        <v/>
      </c>
      <c r="M1254" t="str">
        <f t="shared" si="99"/>
        <v/>
      </c>
    </row>
    <row r="1255" spans="1:13" x14ac:dyDescent="0.3">
      <c r="A1255" t="str">
        <f>Segmenter!A1255</f>
        <v/>
      </c>
      <c r="B1255" t="str">
        <f>Segmenter!B1255</f>
        <v/>
      </c>
      <c r="C1255" t="str">
        <f t="shared" si="95"/>
        <v/>
      </c>
      <c r="D1255" t="str">
        <f t="shared" si="96"/>
        <v/>
      </c>
      <c r="E1255" t="str">
        <f t="shared" si="97"/>
        <v/>
      </c>
      <c r="F1255" t="str">
        <f>IF(D1255="","",INDEX(Knutepunkter!$B:$B,D1255+1))</f>
        <v/>
      </c>
      <c r="G1255" t="str">
        <f>IF(D1255="","",INDEX(Knutepunkter!$C:$C,D1255+1))</f>
        <v/>
      </c>
      <c r="H1255" t="str">
        <f>IF(D1255="","",INDEX(Knutepunkter!$D:$D,D1255+1))</f>
        <v/>
      </c>
      <c r="I1255" t="str">
        <f>IF(E1255="","",INDEX(Knutepunkter!$B:$B,E1255+1))</f>
        <v/>
      </c>
      <c r="J1255" t="str">
        <f>IF(E1255="","",INDEX(Knutepunkter!$C:$C,E1255+1))</f>
        <v/>
      </c>
      <c r="K1255" t="str">
        <f>IF(E1255="","",INDEX(Knutepunkter!$D:$D,E1255+1))</f>
        <v/>
      </c>
      <c r="L1255" t="str">
        <f t="shared" si="98"/>
        <v/>
      </c>
      <c r="M1255" t="str">
        <f t="shared" si="99"/>
        <v/>
      </c>
    </row>
    <row r="1256" spans="1:13" x14ac:dyDescent="0.3">
      <c r="A1256" t="str">
        <f>Segmenter!A1256</f>
        <v/>
      </c>
      <c r="B1256" t="str">
        <f>Segmenter!B1256</f>
        <v/>
      </c>
      <c r="C1256" t="str">
        <f t="shared" si="95"/>
        <v/>
      </c>
      <c r="D1256" t="str">
        <f t="shared" si="96"/>
        <v/>
      </c>
      <c r="E1256" t="str">
        <f t="shared" si="97"/>
        <v/>
      </c>
      <c r="F1256" t="str">
        <f>IF(D1256="","",INDEX(Knutepunkter!$B:$B,D1256+1))</f>
        <v/>
      </c>
      <c r="G1256" t="str">
        <f>IF(D1256="","",INDEX(Knutepunkter!$C:$C,D1256+1))</f>
        <v/>
      </c>
      <c r="H1256" t="str">
        <f>IF(D1256="","",INDEX(Knutepunkter!$D:$D,D1256+1))</f>
        <v/>
      </c>
      <c r="I1256" t="str">
        <f>IF(E1256="","",INDEX(Knutepunkter!$B:$B,E1256+1))</f>
        <v/>
      </c>
      <c r="J1256" t="str">
        <f>IF(E1256="","",INDEX(Knutepunkter!$C:$C,E1256+1))</f>
        <v/>
      </c>
      <c r="K1256" t="str">
        <f>IF(E1256="","",INDEX(Knutepunkter!$D:$D,E1256+1))</f>
        <v/>
      </c>
      <c r="L1256" t="str">
        <f t="shared" si="98"/>
        <v/>
      </c>
      <c r="M1256" t="str">
        <f t="shared" si="99"/>
        <v/>
      </c>
    </row>
    <row r="1257" spans="1:13" x14ac:dyDescent="0.3">
      <c r="A1257" t="str">
        <f>Segmenter!A1257</f>
        <v/>
      </c>
      <c r="B1257" t="str">
        <f>Segmenter!B1257</f>
        <v/>
      </c>
      <c r="C1257" t="str">
        <f t="shared" si="95"/>
        <v/>
      </c>
      <c r="D1257" t="str">
        <f t="shared" si="96"/>
        <v/>
      </c>
      <c r="E1257" t="str">
        <f t="shared" si="97"/>
        <v/>
      </c>
      <c r="F1257" t="str">
        <f>IF(D1257="","",INDEX(Knutepunkter!$B:$B,D1257+1))</f>
        <v/>
      </c>
      <c r="G1257" t="str">
        <f>IF(D1257="","",INDEX(Knutepunkter!$C:$C,D1257+1))</f>
        <v/>
      </c>
      <c r="H1257" t="str">
        <f>IF(D1257="","",INDEX(Knutepunkter!$D:$D,D1257+1))</f>
        <v/>
      </c>
      <c r="I1257" t="str">
        <f>IF(E1257="","",INDEX(Knutepunkter!$B:$B,E1257+1))</f>
        <v/>
      </c>
      <c r="J1257" t="str">
        <f>IF(E1257="","",INDEX(Knutepunkter!$C:$C,E1257+1))</f>
        <v/>
      </c>
      <c r="K1257" t="str">
        <f>IF(E1257="","",INDEX(Knutepunkter!$D:$D,E1257+1))</f>
        <v/>
      </c>
      <c r="L1257" t="str">
        <f t="shared" si="98"/>
        <v/>
      </c>
      <c r="M1257" t="str">
        <f t="shared" si="99"/>
        <v/>
      </c>
    </row>
    <row r="1258" spans="1:13" x14ac:dyDescent="0.3">
      <c r="A1258" t="str">
        <f>Segmenter!A1258</f>
        <v/>
      </c>
      <c r="B1258" t="str">
        <f>Segmenter!B1258</f>
        <v/>
      </c>
      <c r="C1258" t="str">
        <f t="shared" si="95"/>
        <v/>
      </c>
      <c r="D1258" t="str">
        <f t="shared" si="96"/>
        <v/>
      </c>
      <c r="E1258" t="str">
        <f t="shared" si="97"/>
        <v/>
      </c>
      <c r="F1258" t="str">
        <f>IF(D1258="","",INDEX(Knutepunkter!$B:$B,D1258+1))</f>
        <v/>
      </c>
      <c r="G1258" t="str">
        <f>IF(D1258="","",INDEX(Knutepunkter!$C:$C,D1258+1))</f>
        <v/>
      </c>
      <c r="H1258" t="str">
        <f>IF(D1258="","",INDEX(Knutepunkter!$D:$D,D1258+1))</f>
        <v/>
      </c>
      <c r="I1258" t="str">
        <f>IF(E1258="","",INDEX(Knutepunkter!$B:$B,E1258+1))</f>
        <v/>
      </c>
      <c r="J1258" t="str">
        <f>IF(E1258="","",INDEX(Knutepunkter!$C:$C,E1258+1))</f>
        <v/>
      </c>
      <c r="K1258" t="str">
        <f>IF(E1258="","",INDEX(Knutepunkter!$D:$D,E1258+1))</f>
        <v/>
      </c>
      <c r="L1258" t="str">
        <f t="shared" si="98"/>
        <v/>
      </c>
      <c r="M1258" t="str">
        <f t="shared" si="99"/>
        <v/>
      </c>
    </row>
    <row r="1259" spans="1:13" x14ac:dyDescent="0.3">
      <c r="A1259" t="str">
        <f>Segmenter!A1259</f>
        <v/>
      </c>
      <c r="B1259" t="str">
        <f>Segmenter!B1259</f>
        <v/>
      </c>
      <c r="C1259" t="str">
        <f t="shared" si="95"/>
        <v/>
      </c>
      <c r="D1259" t="str">
        <f t="shared" si="96"/>
        <v/>
      </c>
      <c r="E1259" t="str">
        <f t="shared" si="97"/>
        <v/>
      </c>
      <c r="F1259" t="str">
        <f>IF(D1259="","",INDEX(Knutepunkter!$B:$B,D1259+1))</f>
        <v/>
      </c>
      <c r="G1259" t="str">
        <f>IF(D1259="","",INDEX(Knutepunkter!$C:$C,D1259+1))</f>
        <v/>
      </c>
      <c r="H1259" t="str">
        <f>IF(D1259="","",INDEX(Knutepunkter!$D:$D,D1259+1))</f>
        <v/>
      </c>
      <c r="I1259" t="str">
        <f>IF(E1259="","",INDEX(Knutepunkter!$B:$B,E1259+1))</f>
        <v/>
      </c>
      <c r="J1259" t="str">
        <f>IF(E1259="","",INDEX(Knutepunkter!$C:$C,E1259+1))</f>
        <v/>
      </c>
      <c r="K1259" t="str">
        <f>IF(E1259="","",INDEX(Knutepunkter!$D:$D,E1259+1))</f>
        <v/>
      </c>
      <c r="L1259" t="str">
        <f t="shared" si="98"/>
        <v/>
      </c>
      <c r="M1259" t="str">
        <f t="shared" si="99"/>
        <v/>
      </c>
    </row>
    <row r="1260" spans="1:13" x14ac:dyDescent="0.3">
      <c r="A1260" t="str">
        <f>Segmenter!A1260</f>
        <v/>
      </c>
      <c r="B1260" t="str">
        <f>Segmenter!B1260</f>
        <v/>
      </c>
      <c r="C1260" t="str">
        <f t="shared" si="95"/>
        <v/>
      </c>
      <c r="D1260" t="str">
        <f t="shared" si="96"/>
        <v/>
      </c>
      <c r="E1260" t="str">
        <f t="shared" si="97"/>
        <v/>
      </c>
      <c r="F1260" t="str">
        <f>IF(D1260="","",INDEX(Knutepunkter!$B:$B,D1260+1))</f>
        <v/>
      </c>
      <c r="G1260" t="str">
        <f>IF(D1260="","",INDEX(Knutepunkter!$C:$C,D1260+1))</f>
        <v/>
      </c>
      <c r="H1260" t="str">
        <f>IF(D1260="","",INDEX(Knutepunkter!$D:$D,D1260+1))</f>
        <v/>
      </c>
      <c r="I1260" t="str">
        <f>IF(E1260="","",INDEX(Knutepunkter!$B:$B,E1260+1))</f>
        <v/>
      </c>
      <c r="J1260" t="str">
        <f>IF(E1260="","",INDEX(Knutepunkter!$C:$C,E1260+1))</f>
        <v/>
      </c>
      <c r="K1260" t="str">
        <f>IF(E1260="","",INDEX(Knutepunkter!$D:$D,E1260+1))</f>
        <v/>
      </c>
      <c r="L1260" t="str">
        <f t="shared" si="98"/>
        <v/>
      </c>
      <c r="M1260" t="str">
        <f t="shared" si="99"/>
        <v/>
      </c>
    </row>
    <row r="1261" spans="1:13" x14ac:dyDescent="0.3">
      <c r="A1261" t="str">
        <f>Segmenter!A1261</f>
        <v/>
      </c>
      <c r="B1261" t="str">
        <f>Segmenter!B1261</f>
        <v/>
      </c>
      <c r="C1261" t="str">
        <f t="shared" si="95"/>
        <v/>
      </c>
      <c r="D1261" t="str">
        <f t="shared" si="96"/>
        <v/>
      </c>
      <c r="E1261" t="str">
        <f t="shared" si="97"/>
        <v/>
      </c>
      <c r="F1261" t="str">
        <f>IF(D1261="","",INDEX(Knutepunkter!$B:$B,D1261+1))</f>
        <v/>
      </c>
      <c r="G1261" t="str">
        <f>IF(D1261="","",INDEX(Knutepunkter!$C:$C,D1261+1))</f>
        <v/>
      </c>
      <c r="H1261" t="str">
        <f>IF(D1261="","",INDEX(Knutepunkter!$D:$D,D1261+1))</f>
        <v/>
      </c>
      <c r="I1261" t="str">
        <f>IF(E1261="","",INDEX(Knutepunkter!$B:$B,E1261+1))</f>
        <v/>
      </c>
      <c r="J1261" t="str">
        <f>IF(E1261="","",INDEX(Knutepunkter!$C:$C,E1261+1))</f>
        <v/>
      </c>
      <c r="K1261" t="str">
        <f>IF(E1261="","",INDEX(Knutepunkter!$D:$D,E1261+1))</f>
        <v/>
      </c>
      <c r="L1261" t="str">
        <f t="shared" si="98"/>
        <v/>
      </c>
      <c r="M1261" t="str">
        <f t="shared" si="99"/>
        <v/>
      </c>
    </row>
    <row r="1262" spans="1:13" x14ac:dyDescent="0.3">
      <c r="A1262" t="str">
        <f>Segmenter!A1262</f>
        <v/>
      </c>
      <c r="B1262" t="str">
        <f>Segmenter!B1262</f>
        <v/>
      </c>
      <c r="C1262" t="str">
        <f t="shared" si="95"/>
        <v/>
      </c>
      <c r="D1262" t="str">
        <f t="shared" si="96"/>
        <v/>
      </c>
      <c r="E1262" t="str">
        <f t="shared" si="97"/>
        <v/>
      </c>
      <c r="F1262" t="str">
        <f>IF(D1262="","",INDEX(Knutepunkter!$B:$B,D1262+1))</f>
        <v/>
      </c>
      <c r="G1262" t="str">
        <f>IF(D1262="","",INDEX(Knutepunkter!$C:$C,D1262+1))</f>
        <v/>
      </c>
      <c r="H1262" t="str">
        <f>IF(D1262="","",INDEX(Knutepunkter!$D:$D,D1262+1))</f>
        <v/>
      </c>
      <c r="I1262" t="str">
        <f>IF(E1262="","",INDEX(Knutepunkter!$B:$B,E1262+1))</f>
        <v/>
      </c>
      <c r="J1262" t="str">
        <f>IF(E1262="","",INDEX(Knutepunkter!$C:$C,E1262+1))</f>
        <v/>
      </c>
      <c r="K1262" t="str">
        <f>IF(E1262="","",INDEX(Knutepunkter!$D:$D,E1262+1))</f>
        <v/>
      </c>
      <c r="L1262" t="str">
        <f t="shared" si="98"/>
        <v/>
      </c>
      <c r="M1262" t="str">
        <f t="shared" si="99"/>
        <v/>
      </c>
    </row>
    <row r="1263" spans="1:13" x14ac:dyDescent="0.3">
      <c r="A1263" t="str">
        <f>Segmenter!A1263</f>
        <v/>
      </c>
      <c r="B1263" t="str">
        <f>Segmenter!B1263</f>
        <v/>
      </c>
      <c r="C1263" t="str">
        <f t="shared" si="95"/>
        <v/>
      </c>
      <c r="D1263" t="str">
        <f t="shared" si="96"/>
        <v/>
      </c>
      <c r="E1263" t="str">
        <f t="shared" si="97"/>
        <v/>
      </c>
      <c r="F1263" t="str">
        <f>IF(D1263="","",INDEX(Knutepunkter!$B:$B,D1263+1))</f>
        <v/>
      </c>
      <c r="G1263" t="str">
        <f>IF(D1263="","",INDEX(Knutepunkter!$C:$C,D1263+1))</f>
        <v/>
      </c>
      <c r="H1263" t="str">
        <f>IF(D1263="","",INDEX(Knutepunkter!$D:$D,D1263+1))</f>
        <v/>
      </c>
      <c r="I1263" t="str">
        <f>IF(E1263="","",INDEX(Knutepunkter!$B:$B,E1263+1))</f>
        <v/>
      </c>
      <c r="J1263" t="str">
        <f>IF(E1263="","",INDEX(Knutepunkter!$C:$C,E1263+1))</f>
        <v/>
      </c>
      <c r="K1263" t="str">
        <f>IF(E1263="","",INDEX(Knutepunkter!$D:$D,E1263+1))</f>
        <v/>
      </c>
      <c r="L1263" t="str">
        <f t="shared" si="98"/>
        <v/>
      </c>
      <c r="M1263" t="str">
        <f t="shared" si="99"/>
        <v/>
      </c>
    </row>
    <row r="1264" spans="1:13" x14ac:dyDescent="0.3">
      <c r="A1264" t="str">
        <f>Segmenter!A1264</f>
        <v/>
      </c>
      <c r="B1264" t="str">
        <f>Segmenter!B1264</f>
        <v/>
      </c>
      <c r="C1264" t="str">
        <f t="shared" si="95"/>
        <v/>
      </c>
      <c r="D1264" t="str">
        <f t="shared" si="96"/>
        <v/>
      </c>
      <c r="E1264" t="str">
        <f t="shared" si="97"/>
        <v/>
      </c>
      <c r="F1264" t="str">
        <f>IF(D1264="","",INDEX(Knutepunkter!$B:$B,D1264+1))</f>
        <v/>
      </c>
      <c r="G1264" t="str">
        <f>IF(D1264="","",INDEX(Knutepunkter!$C:$C,D1264+1))</f>
        <v/>
      </c>
      <c r="H1264" t="str">
        <f>IF(D1264="","",INDEX(Knutepunkter!$D:$D,D1264+1))</f>
        <v/>
      </c>
      <c r="I1264" t="str">
        <f>IF(E1264="","",INDEX(Knutepunkter!$B:$B,E1264+1))</f>
        <v/>
      </c>
      <c r="J1264" t="str">
        <f>IF(E1264="","",INDEX(Knutepunkter!$C:$C,E1264+1))</f>
        <v/>
      </c>
      <c r="K1264" t="str">
        <f>IF(E1264="","",INDEX(Knutepunkter!$D:$D,E1264+1))</f>
        <v/>
      </c>
      <c r="L1264" t="str">
        <f t="shared" si="98"/>
        <v/>
      </c>
      <c r="M1264" t="str">
        <f t="shared" si="99"/>
        <v/>
      </c>
    </row>
    <row r="1265" spans="1:13" x14ac:dyDescent="0.3">
      <c r="A1265" t="str">
        <f>Segmenter!A1265</f>
        <v/>
      </c>
      <c r="B1265" t="str">
        <f>Segmenter!B1265</f>
        <v/>
      </c>
      <c r="C1265" t="str">
        <f t="shared" si="95"/>
        <v/>
      </c>
      <c r="D1265" t="str">
        <f t="shared" si="96"/>
        <v/>
      </c>
      <c r="E1265" t="str">
        <f t="shared" si="97"/>
        <v/>
      </c>
      <c r="F1265" t="str">
        <f>IF(D1265="","",INDEX(Knutepunkter!$B:$B,D1265+1))</f>
        <v/>
      </c>
      <c r="G1265" t="str">
        <f>IF(D1265="","",INDEX(Knutepunkter!$C:$C,D1265+1))</f>
        <v/>
      </c>
      <c r="H1265" t="str">
        <f>IF(D1265="","",INDEX(Knutepunkter!$D:$D,D1265+1))</f>
        <v/>
      </c>
      <c r="I1265" t="str">
        <f>IF(E1265="","",INDEX(Knutepunkter!$B:$B,E1265+1))</f>
        <v/>
      </c>
      <c r="J1265" t="str">
        <f>IF(E1265="","",INDEX(Knutepunkter!$C:$C,E1265+1))</f>
        <v/>
      </c>
      <c r="K1265" t="str">
        <f>IF(E1265="","",INDEX(Knutepunkter!$D:$D,E1265+1))</f>
        <v/>
      </c>
      <c r="L1265" t="str">
        <f t="shared" si="98"/>
        <v/>
      </c>
      <c r="M1265" t="str">
        <f t="shared" si="99"/>
        <v/>
      </c>
    </row>
    <row r="1266" spans="1:13" x14ac:dyDescent="0.3">
      <c r="A1266" t="str">
        <f>Segmenter!A1266</f>
        <v/>
      </c>
      <c r="B1266" t="str">
        <f>Segmenter!B1266</f>
        <v/>
      </c>
      <c r="C1266" t="str">
        <f t="shared" si="95"/>
        <v/>
      </c>
      <c r="D1266" t="str">
        <f t="shared" si="96"/>
        <v/>
      </c>
      <c r="E1266" t="str">
        <f t="shared" si="97"/>
        <v/>
      </c>
      <c r="F1266" t="str">
        <f>IF(D1266="","",INDEX(Knutepunkter!$B:$B,D1266+1))</f>
        <v/>
      </c>
      <c r="G1266" t="str">
        <f>IF(D1266="","",INDEX(Knutepunkter!$C:$C,D1266+1))</f>
        <v/>
      </c>
      <c r="H1266" t="str">
        <f>IF(D1266="","",INDEX(Knutepunkter!$D:$D,D1266+1))</f>
        <v/>
      </c>
      <c r="I1266" t="str">
        <f>IF(E1266="","",INDEX(Knutepunkter!$B:$B,E1266+1))</f>
        <v/>
      </c>
      <c r="J1266" t="str">
        <f>IF(E1266="","",INDEX(Knutepunkter!$C:$C,E1266+1))</f>
        <v/>
      </c>
      <c r="K1266" t="str">
        <f>IF(E1266="","",INDEX(Knutepunkter!$D:$D,E1266+1))</f>
        <v/>
      </c>
      <c r="L1266" t="str">
        <f t="shared" si="98"/>
        <v/>
      </c>
      <c r="M1266" t="str">
        <f t="shared" si="99"/>
        <v/>
      </c>
    </row>
    <row r="1267" spans="1:13" x14ac:dyDescent="0.3">
      <c r="A1267" t="str">
        <f>Segmenter!A1267</f>
        <v/>
      </c>
      <c r="B1267" t="str">
        <f>Segmenter!B1267</f>
        <v/>
      </c>
      <c r="C1267" t="str">
        <f t="shared" si="95"/>
        <v/>
      </c>
      <c r="D1267" t="str">
        <f t="shared" si="96"/>
        <v/>
      </c>
      <c r="E1267" t="str">
        <f t="shared" si="97"/>
        <v/>
      </c>
      <c r="F1267" t="str">
        <f>IF(D1267="","",INDEX(Knutepunkter!$B:$B,D1267+1))</f>
        <v/>
      </c>
      <c r="G1267" t="str">
        <f>IF(D1267="","",INDEX(Knutepunkter!$C:$C,D1267+1))</f>
        <v/>
      </c>
      <c r="H1267" t="str">
        <f>IF(D1267="","",INDEX(Knutepunkter!$D:$D,D1267+1))</f>
        <v/>
      </c>
      <c r="I1267" t="str">
        <f>IF(E1267="","",INDEX(Knutepunkter!$B:$B,E1267+1))</f>
        <v/>
      </c>
      <c r="J1267" t="str">
        <f>IF(E1267="","",INDEX(Knutepunkter!$C:$C,E1267+1))</f>
        <v/>
      </c>
      <c r="K1267" t="str">
        <f>IF(E1267="","",INDEX(Knutepunkter!$D:$D,E1267+1))</f>
        <v/>
      </c>
      <c r="L1267" t="str">
        <f t="shared" si="98"/>
        <v/>
      </c>
      <c r="M1267" t="str">
        <f t="shared" si="99"/>
        <v/>
      </c>
    </row>
    <row r="1268" spans="1:13" x14ac:dyDescent="0.3">
      <c r="A1268" t="str">
        <f>Segmenter!A1268</f>
        <v/>
      </c>
      <c r="B1268" t="str">
        <f>Segmenter!B1268</f>
        <v/>
      </c>
      <c r="C1268" t="str">
        <f t="shared" si="95"/>
        <v/>
      </c>
      <c r="D1268" t="str">
        <f t="shared" si="96"/>
        <v/>
      </c>
      <c r="E1268" t="str">
        <f t="shared" si="97"/>
        <v/>
      </c>
      <c r="F1268" t="str">
        <f>IF(D1268="","",INDEX(Knutepunkter!$B:$B,D1268+1))</f>
        <v/>
      </c>
      <c r="G1268" t="str">
        <f>IF(D1268="","",INDEX(Knutepunkter!$C:$C,D1268+1))</f>
        <v/>
      </c>
      <c r="H1268" t="str">
        <f>IF(D1268="","",INDEX(Knutepunkter!$D:$D,D1268+1))</f>
        <v/>
      </c>
      <c r="I1268" t="str">
        <f>IF(E1268="","",INDEX(Knutepunkter!$B:$B,E1268+1))</f>
        <v/>
      </c>
      <c r="J1268" t="str">
        <f>IF(E1268="","",INDEX(Knutepunkter!$C:$C,E1268+1))</f>
        <v/>
      </c>
      <c r="K1268" t="str">
        <f>IF(E1268="","",INDEX(Knutepunkter!$D:$D,E1268+1))</f>
        <v/>
      </c>
      <c r="L1268" t="str">
        <f t="shared" si="98"/>
        <v/>
      </c>
      <c r="M1268" t="str">
        <f t="shared" si="99"/>
        <v/>
      </c>
    </row>
    <row r="1269" spans="1:13" x14ac:dyDescent="0.3">
      <c r="A1269" t="str">
        <f>Segmenter!A1269</f>
        <v/>
      </c>
      <c r="B1269" t="str">
        <f>Segmenter!B1269</f>
        <v/>
      </c>
      <c r="C1269" t="str">
        <f t="shared" si="95"/>
        <v/>
      </c>
      <c r="D1269" t="str">
        <f t="shared" si="96"/>
        <v/>
      </c>
      <c r="E1269" t="str">
        <f t="shared" si="97"/>
        <v/>
      </c>
      <c r="F1269" t="str">
        <f>IF(D1269="","",INDEX(Knutepunkter!$B:$B,D1269+1))</f>
        <v/>
      </c>
      <c r="G1269" t="str">
        <f>IF(D1269="","",INDEX(Knutepunkter!$C:$C,D1269+1))</f>
        <v/>
      </c>
      <c r="H1269" t="str">
        <f>IF(D1269="","",INDEX(Knutepunkter!$D:$D,D1269+1))</f>
        <v/>
      </c>
      <c r="I1269" t="str">
        <f>IF(E1269="","",INDEX(Knutepunkter!$B:$B,E1269+1))</f>
        <v/>
      </c>
      <c r="J1269" t="str">
        <f>IF(E1269="","",INDEX(Knutepunkter!$C:$C,E1269+1))</f>
        <v/>
      </c>
      <c r="K1269" t="str">
        <f>IF(E1269="","",INDEX(Knutepunkter!$D:$D,E1269+1))</f>
        <v/>
      </c>
      <c r="L1269" t="str">
        <f t="shared" si="98"/>
        <v/>
      </c>
      <c r="M1269" t="str">
        <f t="shared" si="99"/>
        <v/>
      </c>
    </row>
    <row r="1270" spans="1:13" x14ac:dyDescent="0.3">
      <c r="A1270" t="str">
        <f>Segmenter!A1270</f>
        <v/>
      </c>
      <c r="B1270" t="str">
        <f>Segmenter!B1270</f>
        <v/>
      </c>
      <c r="C1270" t="str">
        <f t="shared" si="95"/>
        <v/>
      </c>
      <c r="D1270" t="str">
        <f t="shared" si="96"/>
        <v/>
      </c>
      <c r="E1270" t="str">
        <f t="shared" si="97"/>
        <v/>
      </c>
      <c r="F1270" t="str">
        <f>IF(D1270="","",INDEX(Knutepunkter!$B:$B,D1270+1))</f>
        <v/>
      </c>
      <c r="G1270" t="str">
        <f>IF(D1270="","",INDEX(Knutepunkter!$C:$C,D1270+1))</f>
        <v/>
      </c>
      <c r="H1270" t="str">
        <f>IF(D1270="","",INDEX(Knutepunkter!$D:$D,D1270+1))</f>
        <v/>
      </c>
      <c r="I1270" t="str">
        <f>IF(E1270="","",INDEX(Knutepunkter!$B:$B,E1270+1))</f>
        <v/>
      </c>
      <c r="J1270" t="str">
        <f>IF(E1270="","",INDEX(Knutepunkter!$C:$C,E1270+1))</f>
        <v/>
      </c>
      <c r="K1270" t="str">
        <f>IF(E1270="","",INDEX(Knutepunkter!$D:$D,E1270+1))</f>
        <v/>
      </c>
      <c r="L1270" t="str">
        <f t="shared" si="98"/>
        <v/>
      </c>
      <c r="M1270" t="str">
        <f t="shared" si="99"/>
        <v/>
      </c>
    </row>
    <row r="1271" spans="1:13" x14ac:dyDescent="0.3">
      <c r="A1271" t="str">
        <f>Segmenter!A1271</f>
        <v/>
      </c>
      <c r="B1271" t="str">
        <f>Segmenter!B1271</f>
        <v/>
      </c>
      <c r="C1271" t="str">
        <f t="shared" si="95"/>
        <v/>
      </c>
      <c r="D1271" t="str">
        <f t="shared" si="96"/>
        <v/>
      </c>
      <c r="E1271" t="str">
        <f t="shared" si="97"/>
        <v/>
      </c>
      <c r="F1271" t="str">
        <f>IF(D1271="","",INDEX(Knutepunkter!$B:$B,D1271+1))</f>
        <v/>
      </c>
      <c r="G1271" t="str">
        <f>IF(D1271="","",INDEX(Knutepunkter!$C:$C,D1271+1))</f>
        <v/>
      </c>
      <c r="H1271" t="str">
        <f>IF(D1271="","",INDEX(Knutepunkter!$D:$D,D1271+1))</f>
        <v/>
      </c>
      <c r="I1271" t="str">
        <f>IF(E1271="","",INDEX(Knutepunkter!$B:$B,E1271+1))</f>
        <v/>
      </c>
      <c r="J1271" t="str">
        <f>IF(E1271="","",INDEX(Knutepunkter!$C:$C,E1271+1))</f>
        <v/>
      </c>
      <c r="K1271" t="str">
        <f>IF(E1271="","",INDEX(Knutepunkter!$D:$D,E1271+1))</f>
        <v/>
      </c>
      <c r="L1271" t="str">
        <f t="shared" si="98"/>
        <v/>
      </c>
      <c r="M1271" t="str">
        <f t="shared" si="99"/>
        <v/>
      </c>
    </row>
    <row r="1272" spans="1:13" x14ac:dyDescent="0.3">
      <c r="A1272" t="str">
        <f>Segmenter!A1272</f>
        <v/>
      </c>
      <c r="B1272" t="str">
        <f>Segmenter!B1272</f>
        <v/>
      </c>
      <c r="C1272" t="str">
        <f t="shared" si="95"/>
        <v/>
      </c>
      <c r="D1272" t="str">
        <f t="shared" si="96"/>
        <v/>
      </c>
      <c r="E1272" t="str">
        <f t="shared" si="97"/>
        <v/>
      </c>
      <c r="F1272" t="str">
        <f>IF(D1272="","",INDEX(Knutepunkter!$B:$B,D1272+1))</f>
        <v/>
      </c>
      <c r="G1272" t="str">
        <f>IF(D1272="","",INDEX(Knutepunkter!$C:$C,D1272+1))</f>
        <v/>
      </c>
      <c r="H1272" t="str">
        <f>IF(D1272="","",INDEX(Knutepunkter!$D:$D,D1272+1))</f>
        <v/>
      </c>
      <c r="I1272" t="str">
        <f>IF(E1272="","",INDEX(Knutepunkter!$B:$B,E1272+1))</f>
        <v/>
      </c>
      <c r="J1272" t="str">
        <f>IF(E1272="","",INDEX(Knutepunkter!$C:$C,E1272+1))</f>
        <v/>
      </c>
      <c r="K1272" t="str">
        <f>IF(E1272="","",INDEX(Knutepunkter!$D:$D,E1272+1))</f>
        <v/>
      </c>
      <c r="L1272" t="str">
        <f t="shared" si="98"/>
        <v/>
      </c>
      <c r="M1272" t="str">
        <f t="shared" si="99"/>
        <v/>
      </c>
    </row>
    <row r="1273" spans="1:13" x14ac:dyDescent="0.3">
      <c r="A1273" t="str">
        <f>Segmenter!A1273</f>
        <v/>
      </c>
      <c r="B1273" t="str">
        <f>Segmenter!B1273</f>
        <v/>
      </c>
      <c r="C1273" t="str">
        <f t="shared" si="95"/>
        <v/>
      </c>
      <c r="D1273" t="str">
        <f t="shared" si="96"/>
        <v/>
      </c>
      <c r="E1273" t="str">
        <f t="shared" si="97"/>
        <v/>
      </c>
      <c r="F1273" t="str">
        <f>IF(D1273="","",INDEX(Knutepunkter!$B:$B,D1273+1))</f>
        <v/>
      </c>
      <c r="G1273" t="str">
        <f>IF(D1273="","",INDEX(Knutepunkter!$C:$C,D1273+1))</f>
        <v/>
      </c>
      <c r="H1273" t="str">
        <f>IF(D1273="","",INDEX(Knutepunkter!$D:$D,D1273+1))</f>
        <v/>
      </c>
      <c r="I1273" t="str">
        <f>IF(E1273="","",INDEX(Knutepunkter!$B:$B,E1273+1))</f>
        <v/>
      </c>
      <c r="J1273" t="str">
        <f>IF(E1273="","",INDEX(Knutepunkter!$C:$C,E1273+1))</f>
        <v/>
      </c>
      <c r="K1273" t="str">
        <f>IF(E1273="","",INDEX(Knutepunkter!$D:$D,E1273+1))</f>
        <v/>
      </c>
      <c r="L1273" t="str">
        <f t="shared" si="98"/>
        <v/>
      </c>
      <c r="M1273" t="str">
        <f t="shared" si="99"/>
        <v/>
      </c>
    </row>
    <row r="1274" spans="1:13" x14ac:dyDescent="0.3">
      <c r="A1274" t="str">
        <f>Segmenter!A1274</f>
        <v/>
      </c>
      <c r="B1274" t="str">
        <f>Segmenter!B1274</f>
        <v/>
      </c>
      <c r="C1274" t="str">
        <f t="shared" si="95"/>
        <v/>
      </c>
      <c r="D1274" t="str">
        <f t="shared" si="96"/>
        <v/>
      </c>
      <c r="E1274" t="str">
        <f t="shared" si="97"/>
        <v/>
      </c>
      <c r="F1274" t="str">
        <f>IF(D1274="","",INDEX(Knutepunkter!$B:$B,D1274+1))</f>
        <v/>
      </c>
      <c r="G1274" t="str">
        <f>IF(D1274="","",INDEX(Knutepunkter!$C:$C,D1274+1))</f>
        <v/>
      </c>
      <c r="H1274" t="str">
        <f>IF(D1274="","",INDEX(Knutepunkter!$D:$D,D1274+1))</f>
        <v/>
      </c>
      <c r="I1274" t="str">
        <f>IF(E1274="","",INDEX(Knutepunkter!$B:$B,E1274+1))</f>
        <v/>
      </c>
      <c r="J1274" t="str">
        <f>IF(E1274="","",INDEX(Knutepunkter!$C:$C,E1274+1))</f>
        <v/>
      </c>
      <c r="K1274" t="str">
        <f>IF(E1274="","",INDEX(Knutepunkter!$D:$D,E1274+1))</f>
        <v/>
      </c>
      <c r="L1274" t="str">
        <f t="shared" si="98"/>
        <v/>
      </c>
      <c r="M1274" t="str">
        <f t="shared" si="99"/>
        <v/>
      </c>
    </row>
    <row r="1275" spans="1:13" x14ac:dyDescent="0.3">
      <c r="A1275" t="str">
        <f>Segmenter!A1275</f>
        <v/>
      </c>
      <c r="B1275" t="str">
        <f>Segmenter!B1275</f>
        <v/>
      </c>
      <c r="C1275" t="str">
        <f t="shared" si="95"/>
        <v/>
      </c>
      <c r="D1275" t="str">
        <f t="shared" si="96"/>
        <v/>
      </c>
      <c r="E1275" t="str">
        <f t="shared" si="97"/>
        <v/>
      </c>
      <c r="F1275" t="str">
        <f>IF(D1275="","",INDEX(Knutepunkter!$B:$B,D1275+1))</f>
        <v/>
      </c>
      <c r="G1275" t="str">
        <f>IF(D1275="","",INDEX(Knutepunkter!$C:$C,D1275+1))</f>
        <v/>
      </c>
      <c r="H1275" t="str">
        <f>IF(D1275="","",INDEX(Knutepunkter!$D:$D,D1275+1))</f>
        <v/>
      </c>
      <c r="I1275" t="str">
        <f>IF(E1275="","",INDEX(Knutepunkter!$B:$B,E1275+1))</f>
        <v/>
      </c>
      <c r="J1275" t="str">
        <f>IF(E1275="","",INDEX(Knutepunkter!$C:$C,E1275+1))</f>
        <v/>
      </c>
      <c r="K1275" t="str">
        <f>IF(E1275="","",INDEX(Knutepunkter!$D:$D,E1275+1))</f>
        <v/>
      </c>
      <c r="L1275" t="str">
        <f t="shared" si="98"/>
        <v/>
      </c>
      <c r="M1275" t="str">
        <f t="shared" si="99"/>
        <v/>
      </c>
    </row>
    <row r="1276" spans="1:13" x14ac:dyDescent="0.3">
      <c r="A1276" t="str">
        <f>Segmenter!A1276</f>
        <v/>
      </c>
      <c r="B1276" t="str">
        <f>Segmenter!B1276</f>
        <v/>
      </c>
      <c r="C1276" t="str">
        <f t="shared" si="95"/>
        <v/>
      </c>
      <c r="D1276" t="str">
        <f t="shared" si="96"/>
        <v/>
      </c>
      <c r="E1276" t="str">
        <f t="shared" si="97"/>
        <v/>
      </c>
      <c r="F1276" t="str">
        <f>IF(D1276="","",INDEX(Knutepunkter!$B:$B,D1276+1))</f>
        <v/>
      </c>
      <c r="G1276" t="str">
        <f>IF(D1276="","",INDEX(Knutepunkter!$C:$C,D1276+1))</f>
        <v/>
      </c>
      <c r="H1276" t="str">
        <f>IF(D1276="","",INDEX(Knutepunkter!$D:$D,D1276+1))</f>
        <v/>
      </c>
      <c r="I1276" t="str">
        <f>IF(E1276="","",INDEX(Knutepunkter!$B:$B,E1276+1))</f>
        <v/>
      </c>
      <c r="J1276" t="str">
        <f>IF(E1276="","",INDEX(Knutepunkter!$C:$C,E1276+1))</f>
        <v/>
      </c>
      <c r="K1276" t="str">
        <f>IF(E1276="","",INDEX(Knutepunkter!$D:$D,E1276+1))</f>
        <v/>
      </c>
      <c r="L1276" t="str">
        <f t="shared" si="98"/>
        <v/>
      </c>
      <c r="M1276" t="str">
        <f t="shared" si="99"/>
        <v/>
      </c>
    </row>
    <row r="1277" spans="1:13" x14ac:dyDescent="0.3">
      <c r="A1277" t="str">
        <f>Segmenter!A1277</f>
        <v/>
      </c>
      <c r="B1277" t="str">
        <f>Segmenter!B1277</f>
        <v/>
      </c>
      <c r="C1277" t="str">
        <f t="shared" si="95"/>
        <v/>
      </c>
      <c r="D1277" t="str">
        <f t="shared" si="96"/>
        <v/>
      </c>
      <c r="E1277" t="str">
        <f t="shared" si="97"/>
        <v/>
      </c>
      <c r="F1277" t="str">
        <f>IF(D1277="","",INDEX(Knutepunkter!$B:$B,D1277+1))</f>
        <v/>
      </c>
      <c r="G1277" t="str">
        <f>IF(D1277="","",INDEX(Knutepunkter!$C:$C,D1277+1))</f>
        <v/>
      </c>
      <c r="H1277" t="str">
        <f>IF(D1277="","",INDEX(Knutepunkter!$D:$D,D1277+1))</f>
        <v/>
      </c>
      <c r="I1277" t="str">
        <f>IF(E1277="","",INDEX(Knutepunkter!$B:$B,E1277+1))</f>
        <v/>
      </c>
      <c r="J1277" t="str">
        <f>IF(E1277="","",INDEX(Knutepunkter!$C:$C,E1277+1))</f>
        <v/>
      </c>
      <c r="K1277" t="str">
        <f>IF(E1277="","",INDEX(Knutepunkter!$D:$D,E1277+1))</f>
        <v/>
      </c>
      <c r="L1277" t="str">
        <f t="shared" si="98"/>
        <v/>
      </c>
      <c r="M1277" t="str">
        <f t="shared" si="99"/>
        <v/>
      </c>
    </row>
    <row r="1278" spans="1:13" x14ac:dyDescent="0.3">
      <c r="A1278" t="str">
        <f>Segmenter!A1278</f>
        <v/>
      </c>
      <c r="B1278" t="str">
        <f>Segmenter!B1278</f>
        <v/>
      </c>
      <c r="C1278" t="str">
        <f t="shared" si="95"/>
        <v/>
      </c>
      <c r="D1278" t="str">
        <f t="shared" si="96"/>
        <v/>
      </c>
      <c r="E1278" t="str">
        <f t="shared" si="97"/>
        <v/>
      </c>
      <c r="F1278" t="str">
        <f>IF(D1278="","",INDEX(Knutepunkter!$B:$B,D1278+1))</f>
        <v/>
      </c>
      <c r="G1278" t="str">
        <f>IF(D1278="","",INDEX(Knutepunkter!$C:$C,D1278+1))</f>
        <v/>
      </c>
      <c r="H1278" t="str">
        <f>IF(D1278="","",INDEX(Knutepunkter!$D:$D,D1278+1))</f>
        <v/>
      </c>
      <c r="I1278" t="str">
        <f>IF(E1278="","",INDEX(Knutepunkter!$B:$B,E1278+1))</f>
        <v/>
      </c>
      <c r="J1278" t="str">
        <f>IF(E1278="","",INDEX(Knutepunkter!$C:$C,E1278+1))</f>
        <v/>
      </c>
      <c r="K1278" t="str">
        <f>IF(E1278="","",INDEX(Knutepunkter!$D:$D,E1278+1))</f>
        <v/>
      </c>
      <c r="L1278" t="str">
        <f t="shared" si="98"/>
        <v/>
      </c>
      <c r="M1278" t="str">
        <f t="shared" si="99"/>
        <v/>
      </c>
    </row>
    <row r="1279" spans="1:13" x14ac:dyDescent="0.3">
      <c r="A1279" t="str">
        <f>Segmenter!A1279</f>
        <v/>
      </c>
      <c r="B1279" t="str">
        <f>Segmenter!B1279</f>
        <v/>
      </c>
      <c r="C1279" t="str">
        <f t="shared" si="95"/>
        <v/>
      </c>
      <c r="D1279" t="str">
        <f t="shared" si="96"/>
        <v/>
      </c>
      <c r="E1279" t="str">
        <f t="shared" si="97"/>
        <v/>
      </c>
      <c r="F1279" t="str">
        <f>IF(D1279="","",INDEX(Knutepunkter!$B:$B,D1279+1))</f>
        <v/>
      </c>
      <c r="G1279" t="str">
        <f>IF(D1279="","",INDEX(Knutepunkter!$C:$C,D1279+1))</f>
        <v/>
      </c>
      <c r="H1279" t="str">
        <f>IF(D1279="","",INDEX(Knutepunkter!$D:$D,D1279+1))</f>
        <v/>
      </c>
      <c r="I1279" t="str">
        <f>IF(E1279="","",INDEX(Knutepunkter!$B:$B,E1279+1))</f>
        <v/>
      </c>
      <c r="J1279" t="str">
        <f>IF(E1279="","",INDEX(Knutepunkter!$C:$C,E1279+1))</f>
        <v/>
      </c>
      <c r="K1279" t="str">
        <f>IF(E1279="","",INDEX(Knutepunkter!$D:$D,E1279+1))</f>
        <v/>
      </c>
      <c r="L1279" t="str">
        <f t="shared" si="98"/>
        <v/>
      </c>
      <c r="M1279" t="str">
        <f t="shared" si="99"/>
        <v/>
      </c>
    </row>
    <row r="1280" spans="1:13" x14ac:dyDescent="0.3">
      <c r="A1280" t="str">
        <f>Segmenter!A1280</f>
        <v/>
      </c>
      <c r="B1280" t="str">
        <f>Segmenter!B1280</f>
        <v/>
      </c>
      <c r="C1280" t="str">
        <f t="shared" si="95"/>
        <v/>
      </c>
      <c r="D1280" t="str">
        <f t="shared" si="96"/>
        <v/>
      </c>
      <c r="E1280" t="str">
        <f t="shared" si="97"/>
        <v/>
      </c>
      <c r="F1280" t="str">
        <f>IF(D1280="","",INDEX(Knutepunkter!$B:$B,D1280+1))</f>
        <v/>
      </c>
      <c r="G1280" t="str">
        <f>IF(D1280="","",INDEX(Knutepunkter!$C:$C,D1280+1))</f>
        <v/>
      </c>
      <c r="H1280" t="str">
        <f>IF(D1280="","",INDEX(Knutepunkter!$D:$D,D1280+1))</f>
        <v/>
      </c>
      <c r="I1280" t="str">
        <f>IF(E1280="","",INDEX(Knutepunkter!$B:$B,E1280+1))</f>
        <v/>
      </c>
      <c r="J1280" t="str">
        <f>IF(E1280="","",INDEX(Knutepunkter!$C:$C,E1280+1))</f>
        <v/>
      </c>
      <c r="K1280" t="str">
        <f>IF(E1280="","",INDEX(Knutepunkter!$D:$D,E1280+1))</f>
        <v/>
      </c>
      <c r="L1280" t="str">
        <f t="shared" si="98"/>
        <v/>
      </c>
      <c r="M1280" t="str">
        <f t="shared" si="99"/>
        <v/>
      </c>
    </row>
    <row r="1281" spans="1:13" x14ac:dyDescent="0.3">
      <c r="A1281" t="str">
        <f>Segmenter!A1281</f>
        <v/>
      </c>
      <c r="B1281" t="str">
        <f>Segmenter!B1281</f>
        <v/>
      </c>
      <c r="C1281" t="str">
        <f t="shared" si="95"/>
        <v/>
      </c>
      <c r="D1281" t="str">
        <f t="shared" si="96"/>
        <v/>
      </c>
      <c r="E1281" t="str">
        <f t="shared" si="97"/>
        <v/>
      </c>
      <c r="F1281" t="str">
        <f>IF(D1281="","",INDEX(Knutepunkter!$B:$B,D1281+1))</f>
        <v/>
      </c>
      <c r="G1281" t="str">
        <f>IF(D1281="","",INDEX(Knutepunkter!$C:$C,D1281+1))</f>
        <v/>
      </c>
      <c r="H1281" t="str">
        <f>IF(D1281="","",INDEX(Knutepunkter!$D:$D,D1281+1))</f>
        <v/>
      </c>
      <c r="I1281" t="str">
        <f>IF(E1281="","",INDEX(Knutepunkter!$B:$B,E1281+1))</f>
        <v/>
      </c>
      <c r="J1281" t="str">
        <f>IF(E1281="","",INDEX(Knutepunkter!$C:$C,E1281+1))</f>
        <v/>
      </c>
      <c r="K1281" t="str">
        <f>IF(E1281="","",INDEX(Knutepunkter!$D:$D,E1281+1))</f>
        <v/>
      </c>
      <c r="L1281" t="str">
        <f t="shared" si="98"/>
        <v/>
      </c>
      <c r="M1281" t="str">
        <f t="shared" si="99"/>
        <v/>
      </c>
    </row>
    <row r="1282" spans="1:13" x14ac:dyDescent="0.3">
      <c r="A1282" t="str">
        <f>Segmenter!A1282</f>
        <v/>
      </c>
      <c r="B1282" t="str">
        <f>Segmenter!B1282</f>
        <v/>
      </c>
      <c r="C1282" t="str">
        <f t="shared" ref="C1282:C1345" si="100">IF(B1282="","",IF(AND(F1282=I1282,G1282=J1282,H1282&lt;&gt;K1282),"Søyle","Bjelke"))</f>
        <v/>
      </c>
      <c r="D1282" t="str">
        <f t="shared" ref="D1282:D1345" si="101">IF(B1282="","",VALUE(LEFT(B1282,FIND(" -&gt; ",B1282)-1)))</f>
        <v/>
      </c>
      <c r="E1282" t="str">
        <f t="shared" ref="E1282:E1345" si="102">IF(B1282="","",VALUE(MID(B1282,FIND(" -&gt; ",B1282)+4,99)))</f>
        <v/>
      </c>
      <c r="F1282" t="str">
        <f>IF(D1282="","",INDEX(Knutepunkter!$B:$B,D1282+1))</f>
        <v/>
      </c>
      <c r="G1282" t="str">
        <f>IF(D1282="","",INDEX(Knutepunkter!$C:$C,D1282+1))</f>
        <v/>
      </c>
      <c r="H1282" t="str">
        <f>IF(D1282="","",INDEX(Knutepunkter!$D:$D,D1282+1))</f>
        <v/>
      </c>
      <c r="I1282" t="str">
        <f>IF(E1282="","",INDEX(Knutepunkter!$B:$B,E1282+1))</f>
        <v/>
      </c>
      <c r="J1282" t="str">
        <f>IF(E1282="","",INDEX(Knutepunkter!$C:$C,E1282+1))</f>
        <v/>
      </c>
      <c r="K1282" t="str">
        <f>IF(E1282="","",INDEX(Knutepunkter!$D:$D,E1282+1))</f>
        <v/>
      </c>
      <c r="L1282" t="str">
        <f t="shared" ref="L1282:L1345" si="103">IF(B1282="","",SQRT((I1282-F1282)^2+(J1282-G1282)^2+(K1282-H1282)^2))</f>
        <v/>
      </c>
      <c r="M1282" t="str">
        <f t="shared" ref="M1282:M1345" si="104">IF(L1282="","",L1282/1000)</f>
        <v/>
      </c>
    </row>
    <row r="1283" spans="1:13" x14ac:dyDescent="0.3">
      <c r="A1283" t="str">
        <f>Segmenter!A1283</f>
        <v/>
      </c>
      <c r="B1283" t="str">
        <f>Segmenter!B1283</f>
        <v/>
      </c>
      <c r="C1283" t="str">
        <f t="shared" si="100"/>
        <v/>
      </c>
      <c r="D1283" t="str">
        <f t="shared" si="101"/>
        <v/>
      </c>
      <c r="E1283" t="str">
        <f t="shared" si="102"/>
        <v/>
      </c>
      <c r="F1283" t="str">
        <f>IF(D1283="","",INDEX(Knutepunkter!$B:$B,D1283+1))</f>
        <v/>
      </c>
      <c r="G1283" t="str">
        <f>IF(D1283="","",INDEX(Knutepunkter!$C:$C,D1283+1))</f>
        <v/>
      </c>
      <c r="H1283" t="str">
        <f>IF(D1283="","",INDEX(Knutepunkter!$D:$D,D1283+1))</f>
        <v/>
      </c>
      <c r="I1283" t="str">
        <f>IF(E1283="","",INDEX(Knutepunkter!$B:$B,E1283+1))</f>
        <v/>
      </c>
      <c r="J1283" t="str">
        <f>IF(E1283="","",INDEX(Knutepunkter!$C:$C,E1283+1))</f>
        <v/>
      </c>
      <c r="K1283" t="str">
        <f>IF(E1283="","",INDEX(Knutepunkter!$D:$D,E1283+1))</f>
        <v/>
      </c>
      <c r="L1283" t="str">
        <f t="shared" si="103"/>
        <v/>
      </c>
      <c r="M1283" t="str">
        <f t="shared" si="104"/>
        <v/>
      </c>
    </row>
    <row r="1284" spans="1:13" x14ac:dyDescent="0.3">
      <c r="A1284" t="str">
        <f>Segmenter!A1284</f>
        <v/>
      </c>
      <c r="B1284" t="str">
        <f>Segmenter!B1284</f>
        <v/>
      </c>
      <c r="C1284" t="str">
        <f t="shared" si="100"/>
        <v/>
      </c>
      <c r="D1284" t="str">
        <f t="shared" si="101"/>
        <v/>
      </c>
      <c r="E1284" t="str">
        <f t="shared" si="102"/>
        <v/>
      </c>
      <c r="F1284" t="str">
        <f>IF(D1284="","",INDEX(Knutepunkter!$B:$B,D1284+1))</f>
        <v/>
      </c>
      <c r="G1284" t="str">
        <f>IF(D1284="","",INDEX(Knutepunkter!$C:$C,D1284+1))</f>
        <v/>
      </c>
      <c r="H1284" t="str">
        <f>IF(D1284="","",INDEX(Knutepunkter!$D:$D,D1284+1))</f>
        <v/>
      </c>
      <c r="I1284" t="str">
        <f>IF(E1284="","",INDEX(Knutepunkter!$B:$B,E1284+1))</f>
        <v/>
      </c>
      <c r="J1284" t="str">
        <f>IF(E1284="","",INDEX(Knutepunkter!$C:$C,E1284+1))</f>
        <v/>
      </c>
      <c r="K1284" t="str">
        <f>IF(E1284="","",INDEX(Knutepunkter!$D:$D,E1284+1))</f>
        <v/>
      </c>
      <c r="L1284" t="str">
        <f t="shared" si="103"/>
        <v/>
      </c>
      <c r="M1284" t="str">
        <f t="shared" si="104"/>
        <v/>
      </c>
    </row>
    <row r="1285" spans="1:13" x14ac:dyDescent="0.3">
      <c r="A1285" t="str">
        <f>Segmenter!A1285</f>
        <v/>
      </c>
      <c r="B1285" t="str">
        <f>Segmenter!B1285</f>
        <v/>
      </c>
      <c r="C1285" t="str">
        <f t="shared" si="100"/>
        <v/>
      </c>
      <c r="D1285" t="str">
        <f t="shared" si="101"/>
        <v/>
      </c>
      <c r="E1285" t="str">
        <f t="shared" si="102"/>
        <v/>
      </c>
      <c r="F1285" t="str">
        <f>IF(D1285="","",INDEX(Knutepunkter!$B:$B,D1285+1))</f>
        <v/>
      </c>
      <c r="G1285" t="str">
        <f>IF(D1285="","",INDEX(Knutepunkter!$C:$C,D1285+1))</f>
        <v/>
      </c>
      <c r="H1285" t="str">
        <f>IF(D1285="","",INDEX(Knutepunkter!$D:$D,D1285+1))</f>
        <v/>
      </c>
      <c r="I1285" t="str">
        <f>IF(E1285="","",INDEX(Knutepunkter!$B:$B,E1285+1))</f>
        <v/>
      </c>
      <c r="J1285" t="str">
        <f>IF(E1285="","",INDEX(Knutepunkter!$C:$C,E1285+1))</f>
        <v/>
      </c>
      <c r="K1285" t="str">
        <f>IF(E1285="","",INDEX(Knutepunkter!$D:$D,E1285+1))</f>
        <v/>
      </c>
      <c r="L1285" t="str">
        <f t="shared" si="103"/>
        <v/>
      </c>
      <c r="M1285" t="str">
        <f t="shared" si="104"/>
        <v/>
      </c>
    </row>
    <row r="1286" spans="1:13" x14ac:dyDescent="0.3">
      <c r="A1286" t="str">
        <f>Segmenter!A1286</f>
        <v/>
      </c>
      <c r="B1286" t="str">
        <f>Segmenter!B1286</f>
        <v/>
      </c>
      <c r="C1286" t="str">
        <f t="shared" si="100"/>
        <v/>
      </c>
      <c r="D1286" t="str">
        <f t="shared" si="101"/>
        <v/>
      </c>
      <c r="E1286" t="str">
        <f t="shared" si="102"/>
        <v/>
      </c>
      <c r="F1286" t="str">
        <f>IF(D1286="","",INDEX(Knutepunkter!$B:$B,D1286+1))</f>
        <v/>
      </c>
      <c r="G1286" t="str">
        <f>IF(D1286="","",INDEX(Knutepunkter!$C:$C,D1286+1))</f>
        <v/>
      </c>
      <c r="H1286" t="str">
        <f>IF(D1286="","",INDEX(Knutepunkter!$D:$D,D1286+1))</f>
        <v/>
      </c>
      <c r="I1286" t="str">
        <f>IF(E1286="","",INDEX(Knutepunkter!$B:$B,E1286+1))</f>
        <v/>
      </c>
      <c r="J1286" t="str">
        <f>IF(E1286="","",INDEX(Knutepunkter!$C:$C,E1286+1))</f>
        <v/>
      </c>
      <c r="K1286" t="str">
        <f>IF(E1286="","",INDEX(Knutepunkter!$D:$D,E1286+1))</f>
        <v/>
      </c>
      <c r="L1286" t="str">
        <f t="shared" si="103"/>
        <v/>
      </c>
      <c r="M1286" t="str">
        <f t="shared" si="104"/>
        <v/>
      </c>
    </row>
    <row r="1287" spans="1:13" x14ac:dyDescent="0.3">
      <c r="A1287" t="str">
        <f>Segmenter!A1287</f>
        <v/>
      </c>
      <c r="B1287" t="str">
        <f>Segmenter!B1287</f>
        <v/>
      </c>
      <c r="C1287" t="str">
        <f t="shared" si="100"/>
        <v/>
      </c>
      <c r="D1287" t="str">
        <f t="shared" si="101"/>
        <v/>
      </c>
      <c r="E1287" t="str">
        <f t="shared" si="102"/>
        <v/>
      </c>
      <c r="F1287" t="str">
        <f>IF(D1287="","",INDEX(Knutepunkter!$B:$B,D1287+1))</f>
        <v/>
      </c>
      <c r="G1287" t="str">
        <f>IF(D1287="","",INDEX(Knutepunkter!$C:$C,D1287+1))</f>
        <v/>
      </c>
      <c r="H1287" t="str">
        <f>IF(D1287="","",INDEX(Knutepunkter!$D:$D,D1287+1))</f>
        <v/>
      </c>
      <c r="I1287" t="str">
        <f>IF(E1287="","",INDEX(Knutepunkter!$B:$B,E1287+1))</f>
        <v/>
      </c>
      <c r="J1287" t="str">
        <f>IF(E1287="","",INDEX(Knutepunkter!$C:$C,E1287+1))</f>
        <v/>
      </c>
      <c r="K1287" t="str">
        <f>IF(E1287="","",INDEX(Knutepunkter!$D:$D,E1287+1))</f>
        <v/>
      </c>
      <c r="L1287" t="str">
        <f t="shared" si="103"/>
        <v/>
      </c>
      <c r="M1287" t="str">
        <f t="shared" si="104"/>
        <v/>
      </c>
    </row>
    <row r="1288" spans="1:13" x14ac:dyDescent="0.3">
      <c r="A1288" t="str">
        <f>Segmenter!A1288</f>
        <v/>
      </c>
      <c r="B1288" t="str">
        <f>Segmenter!B1288</f>
        <v/>
      </c>
      <c r="C1288" t="str">
        <f t="shared" si="100"/>
        <v/>
      </c>
      <c r="D1288" t="str">
        <f t="shared" si="101"/>
        <v/>
      </c>
      <c r="E1288" t="str">
        <f t="shared" si="102"/>
        <v/>
      </c>
      <c r="F1288" t="str">
        <f>IF(D1288="","",INDEX(Knutepunkter!$B:$B,D1288+1))</f>
        <v/>
      </c>
      <c r="G1288" t="str">
        <f>IF(D1288="","",INDEX(Knutepunkter!$C:$C,D1288+1))</f>
        <v/>
      </c>
      <c r="H1288" t="str">
        <f>IF(D1288="","",INDEX(Knutepunkter!$D:$D,D1288+1))</f>
        <v/>
      </c>
      <c r="I1288" t="str">
        <f>IF(E1288="","",INDEX(Knutepunkter!$B:$B,E1288+1))</f>
        <v/>
      </c>
      <c r="J1288" t="str">
        <f>IF(E1288="","",INDEX(Knutepunkter!$C:$C,E1288+1))</f>
        <v/>
      </c>
      <c r="K1288" t="str">
        <f>IF(E1288="","",INDEX(Knutepunkter!$D:$D,E1288+1))</f>
        <v/>
      </c>
      <c r="L1288" t="str">
        <f t="shared" si="103"/>
        <v/>
      </c>
      <c r="M1288" t="str">
        <f t="shared" si="104"/>
        <v/>
      </c>
    </row>
    <row r="1289" spans="1:13" x14ac:dyDescent="0.3">
      <c r="A1289" t="str">
        <f>Segmenter!A1289</f>
        <v/>
      </c>
      <c r="B1289" t="str">
        <f>Segmenter!B1289</f>
        <v/>
      </c>
      <c r="C1289" t="str">
        <f t="shared" si="100"/>
        <v/>
      </c>
      <c r="D1289" t="str">
        <f t="shared" si="101"/>
        <v/>
      </c>
      <c r="E1289" t="str">
        <f t="shared" si="102"/>
        <v/>
      </c>
      <c r="F1289" t="str">
        <f>IF(D1289="","",INDEX(Knutepunkter!$B:$B,D1289+1))</f>
        <v/>
      </c>
      <c r="G1289" t="str">
        <f>IF(D1289="","",INDEX(Knutepunkter!$C:$C,D1289+1))</f>
        <v/>
      </c>
      <c r="H1289" t="str">
        <f>IF(D1289="","",INDEX(Knutepunkter!$D:$D,D1289+1))</f>
        <v/>
      </c>
      <c r="I1289" t="str">
        <f>IF(E1289="","",INDEX(Knutepunkter!$B:$B,E1289+1))</f>
        <v/>
      </c>
      <c r="J1289" t="str">
        <f>IF(E1289="","",INDEX(Knutepunkter!$C:$C,E1289+1))</f>
        <v/>
      </c>
      <c r="K1289" t="str">
        <f>IF(E1289="","",INDEX(Knutepunkter!$D:$D,E1289+1))</f>
        <v/>
      </c>
      <c r="L1289" t="str">
        <f t="shared" si="103"/>
        <v/>
      </c>
      <c r="M1289" t="str">
        <f t="shared" si="104"/>
        <v/>
      </c>
    </row>
    <row r="1290" spans="1:13" x14ac:dyDescent="0.3">
      <c r="A1290" t="str">
        <f>Segmenter!A1290</f>
        <v/>
      </c>
      <c r="B1290" t="str">
        <f>Segmenter!B1290</f>
        <v/>
      </c>
      <c r="C1290" t="str">
        <f t="shared" si="100"/>
        <v/>
      </c>
      <c r="D1290" t="str">
        <f t="shared" si="101"/>
        <v/>
      </c>
      <c r="E1290" t="str">
        <f t="shared" si="102"/>
        <v/>
      </c>
      <c r="F1290" t="str">
        <f>IF(D1290="","",INDEX(Knutepunkter!$B:$B,D1290+1))</f>
        <v/>
      </c>
      <c r="G1290" t="str">
        <f>IF(D1290="","",INDEX(Knutepunkter!$C:$C,D1290+1))</f>
        <v/>
      </c>
      <c r="H1290" t="str">
        <f>IF(D1290="","",INDEX(Knutepunkter!$D:$D,D1290+1))</f>
        <v/>
      </c>
      <c r="I1290" t="str">
        <f>IF(E1290="","",INDEX(Knutepunkter!$B:$B,E1290+1))</f>
        <v/>
      </c>
      <c r="J1290" t="str">
        <f>IF(E1290="","",INDEX(Knutepunkter!$C:$C,E1290+1))</f>
        <v/>
      </c>
      <c r="K1290" t="str">
        <f>IF(E1290="","",INDEX(Knutepunkter!$D:$D,E1290+1))</f>
        <v/>
      </c>
      <c r="L1290" t="str">
        <f t="shared" si="103"/>
        <v/>
      </c>
      <c r="M1290" t="str">
        <f t="shared" si="104"/>
        <v/>
      </c>
    </row>
    <row r="1291" spans="1:13" x14ac:dyDescent="0.3">
      <c r="A1291" t="str">
        <f>Segmenter!A1291</f>
        <v/>
      </c>
      <c r="B1291" t="str">
        <f>Segmenter!B1291</f>
        <v/>
      </c>
      <c r="C1291" t="str">
        <f t="shared" si="100"/>
        <v/>
      </c>
      <c r="D1291" t="str">
        <f t="shared" si="101"/>
        <v/>
      </c>
      <c r="E1291" t="str">
        <f t="shared" si="102"/>
        <v/>
      </c>
      <c r="F1291" t="str">
        <f>IF(D1291="","",INDEX(Knutepunkter!$B:$B,D1291+1))</f>
        <v/>
      </c>
      <c r="G1291" t="str">
        <f>IF(D1291="","",INDEX(Knutepunkter!$C:$C,D1291+1))</f>
        <v/>
      </c>
      <c r="H1291" t="str">
        <f>IF(D1291="","",INDEX(Knutepunkter!$D:$D,D1291+1))</f>
        <v/>
      </c>
      <c r="I1291" t="str">
        <f>IF(E1291="","",INDEX(Knutepunkter!$B:$B,E1291+1))</f>
        <v/>
      </c>
      <c r="J1291" t="str">
        <f>IF(E1291="","",INDEX(Knutepunkter!$C:$C,E1291+1))</f>
        <v/>
      </c>
      <c r="K1291" t="str">
        <f>IF(E1291="","",INDEX(Knutepunkter!$D:$D,E1291+1))</f>
        <v/>
      </c>
      <c r="L1291" t="str">
        <f t="shared" si="103"/>
        <v/>
      </c>
      <c r="M1291" t="str">
        <f t="shared" si="104"/>
        <v/>
      </c>
    </row>
    <row r="1292" spans="1:13" x14ac:dyDescent="0.3">
      <c r="A1292" t="str">
        <f>Segmenter!A1292</f>
        <v/>
      </c>
      <c r="B1292" t="str">
        <f>Segmenter!B1292</f>
        <v/>
      </c>
      <c r="C1292" t="str">
        <f t="shared" si="100"/>
        <v/>
      </c>
      <c r="D1292" t="str">
        <f t="shared" si="101"/>
        <v/>
      </c>
      <c r="E1292" t="str">
        <f t="shared" si="102"/>
        <v/>
      </c>
      <c r="F1292" t="str">
        <f>IF(D1292="","",INDEX(Knutepunkter!$B:$B,D1292+1))</f>
        <v/>
      </c>
      <c r="G1292" t="str">
        <f>IF(D1292="","",INDEX(Knutepunkter!$C:$C,D1292+1))</f>
        <v/>
      </c>
      <c r="H1292" t="str">
        <f>IF(D1292="","",INDEX(Knutepunkter!$D:$D,D1292+1))</f>
        <v/>
      </c>
      <c r="I1292" t="str">
        <f>IF(E1292="","",INDEX(Knutepunkter!$B:$B,E1292+1))</f>
        <v/>
      </c>
      <c r="J1292" t="str">
        <f>IF(E1292="","",INDEX(Knutepunkter!$C:$C,E1292+1))</f>
        <v/>
      </c>
      <c r="K1292" t="str">
        <f>IF(E1292="","",INDEX(Knutepunkter!$D:$D,E1292+1))</f>
        <v/>
      </c>
      <c r="L1292" t="str">
        <f t="shared" si="103"/>
        <v/>
      </c>
      <c r="M1292" t="str">
        <f t="shared" si="104"/>
        <v/>
      </c>
    </row>
    <row r="1293" spans="1:13" x14ac:dyDescent="0.3">
      <c r="A1293" t="str">
        <f>Segmenter!A1293</f>
        <v/>
      </c>
      <c r="B1293" t="str">
        <f>Segmenter!B1293</f>
        <v/>
      </c>
      <c r="C1293" t="str">
        <f t="shared" si="100"/>
        <v/>
      </c>
      <c r="D1293" t="str">
        <f t="shared" si="101"/>
        <v/>
      </c>
      <c r="E1293" t="str">
        <f t="shared" si="102"/>
        <v/>
      </c>
      <c r="F1293" t="str">
        <f>IF(D1293="","",INDEX(Knutepunkter!$B:$B,D1293+1))</f>
        <v/>
      </c>
      <c r="G1293" t="str">
        <f>IF(D1293="","",INDEX(Knutepunkter!$C:$C,D1293+1))</f>
        <v/>
      </c>
      <c r="H1293" t="str">
        <f>IF(D1293="","",INDEX(Knutepunkter!$D:$D,D1293+1))</f>
        <v/>
      </c>
      <c r="I1293" t="str">
        <f>IF(E1293="","",INDEX(Knutepunkter!$B:$B,E1293+1))</f>
        <v/>
      </c>
      <c r="J1293" t="str">
        <f>IF(E1293="","",INDEX(Knutepunkter!$C:$C,E1293+1))</f>
        <v/>
      </c>
      <c r="K1293" t="str">
        <f>IF(E1293="","",INDEX(Knutepunkter!$D:$D,E1293+1))</f>
        <v/>
      </c>
      <c r="L1293" t="str">
        <f t="shared" si="103"/>
        <v/>
      </c>
      <c r="M1293" t="str">
        <f t="shared" si="104"/>
        <v/>
      </c>
    </row>
    <row r="1294" spans="1:13" x14ac:dyDescent="0.3">
      <c r="A1294" t="str">
        <f>Segmenter!A1294</f>
        <v/>
      </c>
      <c r="B1294" t="str">
        <f>Segmenter!B1294</f>
        <v/>
      </c>
      <c r="C1294" t="str">
        <f t="shared" si="100"/>
        <v/>
      </c>
      <c r="D1294" t="str">
        <f t="shared" si="101"/>
        <v/>
      </c>
      <c r="E1294" t="str">
        <f t="shared" si="102"/>
        <v/>
      </c>
      <c r="F1294" t="str">
        <f>IF(D1294="","",INDEX(Knutepunkter!$B:$B,D1294+1))</f>
        <v/>
      </c>
      <c r="G1294" t="str">
        <f>IF(D1294="","",INDEX(Knutepunkter!$C:$C,D1294+1))</f>
        <v/>
      </c>
      <c r="H1294" t="str">
        <f>IF(D1294="","",INDEX(Knutepunkter!$D:$D,D1294+1))</f>
        <v/>
      </c>
      <c r="I1294" t="str">
        <f>IF(E1294="","",INDEX(Knutepunkter!$B:$B,E1294+1))</f>
        <v/>
      </c>
      <c r="J1294" t="str">
        <f>IF(E1294="","",INDEX(Knutepunkter!$C:$C,E1294+1))</f>
        <v/>
      </c>
      <c r="K1294" t="str">
        <f>IF(E1294="","",INDEX(Knutepunkter!$D:$D,E1294+1))</f>
        <v/>
      </c>
      <c r="L1294" t="str">
        <f t="shared" si="103"/>
        <v/>
      </c>
      <c r="M1294" t="str">
        <f t="shared" si="104"/>
        <v/>
      </c>
    </row>
    <row r="1295" spans="1:13" x14ac:dyDescent="0.3">
      <c r="A1295" t="str">
        <f>Segmenter!A1295</f>
        <v/>
      </c>
      <c r="B1295" t="str">
        <f>Segmenter!B1295</f>
        <v/>
      </c>
      <c r="C1295" t="str">
        <f t="shared" si="100"/>
        <v/>
      </c>
      <c r="D1295" t="str">
        <f t="shared" si="101"/>
        <v/>
      </c>
      <c r="E1295" t="str">
        <f t="shared" si="102"/>
        <v/>
      </c>
      <c r="F1295" t="str">
        <f>IF(D1295="","",INDEX(Knutepunkter!$B:$B,D1295+1))</f>
        <v/>
      </c>
      <c r="G1295" t="str">
        <f>IF(D1295="","",INDEX(Knutepunkter!$C:$C,D1295+1))</f>
        <v/>
      </c>
      <c r="H1295" t="str">
        <f>IF(D1295="","",INDEX(Knutepunkter!$D:$D,D1295+1))</f>
        <v/>
      </c>
      <c r="I1295" t="str">
        <f>IF(E1295="","",INDEX(Knutepunkter!$B:$B,E1295+1))</f>
        <v/>
      </c>
      <c r="J1295" t="str">
        <f>IF(E1295="","",INDEX(Knutepunkter!$C:$C,E1295+1))</f>
        <v/>
      </c>
      <c r="K1295" t="str">
        <f>IF(E1295="","",INDEX(Knutepunkter!$D:$D,E1295+1))</f>
        <v/>
      </c>
      <c r="L1295" t="str">
        <f t="shared" si="103"/>
        <v/>
      </c>
      <c r="M1295" t="str">
        <f t="shared" si="104"/>
        <v/>
      </c>
    </row>
    <row r="1296" spans="1:13" x14ac:dyDescent="0.3">
      <c r="A1296" t="str">
        <f>Segmenter!A1296</f>
        <v/>
      </c>
      <c r="B1296" t="str">
        <f>Segmenter!B1296</f>
        <v/>
      </c>
      <c r="C1296" t="str">
        <f t="shared" si="100"/>
        <v/>
      </c>
      <c r="D1296" t="str">
        <f t="shared" si="101"/>
        <v/>
      </c>
      <c r="E1296" t="str">
        <f t="shared" si="102"/>
        <v/>
      </c>
      <c r="F1296" t="str">
        <f>IF(D1296="","",INDEX(Knutepunkter!$B:$B,D1296+1))</f>
        <v/>
      </c>
      <c r="G1296" t="str">
        <f>IF(D1296="","",INDEX(Knutepunkter!$C:$C,D1296+1))</f>
        <v/>
      </c>
      <c r="H1296" t="str">
        <f>IF(D1296="","",INDEX(Knutepunkter!$D:$D,D1296+1))</f>
        <v/>
      </c>
      <c r="I1296" t="str">
        <f>IF(E1296="","",INDEX(Knutepunkter!$B:$B,E1296+1))</f>
        <v/>
      </c>
      <c r="J1296" t="str">
        <f>IF(E1296="","",INDEX(Knutepunkter!$C:$C,E1296+1))</f>
        <v/>
      </c>
      <c r="K1296" t="str">
        <f>IF(E1296="","",INDEX(Knutepunkter!$D:$D,E1296+1))</f>
        <v/>
      </c>
      <c r="L1296" t="str">
        <f t="shared" si="103"/>
        <v/>
      </c>
      <c r="M1296" t="str">
        <f t="shared" si="104"/>
        <v/>
      </c>
    </row>
    <row r="1297" spans="1:13" x14ac:dyDescent="0.3">
      <c r="A1297" t="str">
        <f>Segmenter!A1297</f>
        <v/>
      </c>
      <c r="B1297" t="str">
        <f>Segmenter!B1297</f>
        <v/>
      </c>
      <c r="C1297" t="str">
        <f t="shared" si="100"/>
        <v/>
      </c>
      <c r="D1297" t="str">
        <f t="shared" si="101"/>
        <v/>
      </c>
      <c r="E1297" t="str">
        <f t="shared" si="102"/>
        <v/>
      </c>
      <c r="F1297" t="str">
        <f>IF(D1297="","",INDEX(Knutepunkter!$B:$B,D1297+1))</f>
        <v/>
      </c>
      <c r="G1297" t="str">
        <f>IF(D1297="","",INDEX(Knutepunkter!$C:$C,D1297+1))</f>
        <v/>
      </c>
      <c r="H1297" t="str">
        <f>IF(D1297="","",INDEX(Knutepunkter!$D:$D,D1297+1))</f>
        <v/>
      </c>
      <c r="I1297" t="str">
        <f>IF(E1297="","",INDEX(Knutepunkter!$B:$B,E1297+1))</f>
        <v/>
      </c>
      <c r="J1297" t="str">
        <f>IF(E1297="","",INDEX(Knutepunkter!$C:$C,E1297+1))</f>
        <v/>
      </c>
      <c r="K1297" t="str">
        <f>IF(E1297="","",INDEX(Knutepunkter!$D:$D,E1297+1))</f>
        <v/>
      </c>
      <c r="L1297" t="str">
        <f t="shared" si="103"/>
        <v/>
      </c>
      <c r="M1297" t="str">
        <f t="shared" si="104"/>
        <v/>
      </c>
    </row>
    <row r="1298" spans="1:13" x14ac:dyDescent="0.3">
      <c r="A1298" t="str">
        <f>Segmenter!A1298</f>
        <v/>
      </c>
      <c r="B1298" t="str">
        <f>Segmenter!B1298</f>
        <v/>
      </c>
      <c r="C1298" t="str">
        <f t="shared" si="100"/>
        <v/>
      </c>
      <c r="D1298" t="str">
        <f t="shared" si="101"/>
        <v/>
      </c>
      <c r="E1298" t="str">
        <f t="shared" si="102"/>
        <v/>
      </c>
      <c r="F1298" t="str">
        <f>IF(D1298="","",INDEX(Knutepunkter!$B:$B,D1298+1))</f>
        <v/>
      </c>
      <c r="G1298" t="str">
        <f>IF(D1298="","",INDEX(Knutepunkter!$C:$C,D1298+1))</f>
        <v/>
      </c>
      <c r="H1298" t="str">
        <f>IF(D1298="","",INDEX(Knutepunkter!$D:$D,D1298+1))</f>
        <v/>
      </c>
      <c r="I1298" t="str">
        <f>IF(E1298="","",INDEX(Knutepunkter!$B:$B,E1298+1))</f>
        <v/>
      </c>
      <c r="J1298" t="str">
        <f>IF(E1298="","",INDEX(Knutepunkter!$C:$C,E1298+1))</f>
        <v/>
      </c>
      <c r="K1298" t="str">
        <f>IF(E1298="","",INDEX(Knutepunkter!$D:$D,E1298+1))</f>
        <v/>
      </c>
      <c r="L1298" t="str">
        <f t="shared" si="103"/>
        <v/>
      </c>
      <c r="M1298" t="str">
        <f t="shared" si="104"/>
        <v/>
      </c>
    </row>
    <row r="1299" spans="1:13" x14ac:dyDescent="0.3">
      <c r="A1299" t="str">
        <f>Segmenter!A1299</f>
        <v/>
      </c>
      <c r="B1299" t="str">
        <f>Segmenter!B1299</f>
        <v/>
      </c>
      <c r="C1299" t="str">
        <f t="shared" si="100"/>
        <v/>
      </c>
      <c r="D1299" t="str">
        <f t="shared" si="101"/>
        <v/>
      </c>
      <c r="E1299" t="str">
        <f t="shared" si="102"/>
        <v/>
      </c>
      <c r="F1299" t="str">
        <f>IF(D1299="","",INDEX(Knutepunkter!$B:$B,D1299+1))</f>
        <v/>
      </c>
      <c r="G1299" t="str">
        <f>IF(D1299="","",INDEX(Knutepunkter!$C:$C,D1299+1))</f>
        <v/>
      </c>
      <c r="H1299" t="str">
        <f>IF(D1299="","",INDEX(Knutepunkter!$D:$D,D1299+1))</f>
        <v/>
      </c>
      <c r="I1299" t="str">
        <f>IF(E1299="","",INDEX(Knutepunkter!$B:$B,E1299+1))</f>
        <v/>
      </c>
      <c r="J1299" t="str">
        <f>IF(E1299="","",INDEX(Knutepunkter!$C:$C,E1299+1))</f>
        <v/>
      </c>
      <c r="K1299" t="str">
        <f>IF(E1299="","",INDEX(Knutepunkter!$D:$D,E1299+1))</f>
        <v/>
      </c>
      <c r="L1299" t="str">
        <f t="shared" si="103"/>
        <v/>
      </c>
      <c r="M1299" t="str">
        <f t="shared" si="104"/>
        <v/>
      </c>
    </row>
    <row r="1300" spans="1:13" x14ac:dyDescent="0.3">
      <c r="A1300" t="str">
        <f>Segmenter!A1300</f>
        <v/>
      </c>
      <c r="B1300" t="str">
        <f>Segmenter!B1300</f>
        <v/>
      </c>
      <c r="C1300" t="str">
        <f t="shared" si="100"/>
        <v/>
      </c>
      <c r="D1300" t="str">
        <f t="shared" si="101"/>
        <v/>
      </c>
      <c r="E1300" t="str">
        <f t="shared" si="102"/>
        <v/>
      </c>
      <c r="F1300" t="str">
        <f>IF(D1300="","",INDEX(Knutepunkter!$B:$B,D1300+1))</f>
        <v/>
      </c>
      <c r="G1300" t="str">
        <f>IF(D1300="","",INDEX(Knutepunkter!$C:$C,D1300+1))</f>
        <v/>
      </c>
      <c r="H1300" t="str">
        <f>IF(D1300="","",INDEX(Knutepunkter!$D:$D,D1300+1))</f>
        <v/>
      </c>
      <c r="I1300" t="str">
        <f>IF(E1300="","",INDEX(Knutepunkter!$B:$B,E1300+1))</f>
        <v/>
      </c>
      <c r="J1300" t="str">
        <f>IF(E1300="","",INDEX(Knutepunkter!$C:$C,E1300+1))</f>
        <v/>
      </c>
      <c r="K1300" t="str">
        <f>IF(E1300="","",INDEX(Knutepunkter!$D:$D,E1300+1))</f>
        <v/>
      </c>
      <c r="L1300" t="str">
        <f t="shared" si="103"/>
        <v/>
      </c>
      <c r="M1300" t="str">
        <f t="shared" si="104"/>
        <v/>
      </c>
    </row>
    <row r="1301" spans="1:13" x14ac:dyDescent="0.3">
      <c r="A1301" t="str">
        <f>Segmenter!A1301</f>
        <v/>
      </c>
      <c r="B1301" t="str">
        <f>Segmenter!B1301</f>
        <v/>
      </c>
      <c r="C1301" t="str">
        <f t="shared" si="100"/>
        <v/>
      </c>
      <c r="D1301" t="str">
        <f t="shared" si="101"/>
        <v/>
      </c>
      <c r="E1301" t="str">
        <f t="shared" si="102"/>
        <v/>
      </c>
      <c r="F1301" t="str">
        <f>IF(D1301="","",INDEX(Knutepunkter!$B:$B,D1301+1))</f>
        <v/>
      </c>
      <c r="G1301" t="str">
        <f>IF(D1301="","",INDEX(Knutepunkter!$C:$C,D1301+1))</f>
        <v/>
      </c>
      <c r="H1301" t="str">
        <f>IF(D1301="","",INDEX(Knutepunkter!$D:$D,D1301+1))</f>
        <v/>
      </c>
      <c r="I1301" t="str">
        <f>IF(E1301="","",INDEX(Knutepunkter!$B:$B,E1301+1))</f>
        <v/>
      </c>
      <c r="J1301" t="str">
        <f>IF(E1301="","",INDEX(Knutepunkter!$C:$C,E1301+1))</f>
        <v/>
      </c>
      <c r="K1301" t="str">
        <f>IF(E1301="","",INDEX(Knutepunkter!$D:$D,E1301+1))</f>
        <v/>
      </c>
      <c r="L1301" t="str">
        <f t="shared" si="103"/>
        <v/>
      </c>
      <c r="M1301" t="str">
        <f t="shared" si="104"/>
        <v/>
      </c>
    </row>
    <row r="1302" spans="1:13" x14ac:dyDescent="0.3">
      <c r="A1302" t="str">
        <f>Segmenter!A1302</f>
        <v/>
      </c>
      <c r="B1302" t="str">
        <f>Segmenter!B1302</f>
        <v/>
      </c>
      <c r="C1302" t="str">
        <f t="shared" si="100"/>
        <v/>
      </c>
      <c r="D1302" t="str">
        <f t="shared" si="101"/>
        <v/>
      </c>
      <c r="E1302" t="str">
        <f t="shared" si="102"/>
        <v/>
      </c>
      <c r="F1302" t="str">
        <f>IF(D1302="","",INDEX(Knutepunkter!$B:$B,D1302+1))</f>
        <v/>
      </c>
      <c r="G1302" t="str">
        <f>IF(D1302="","",INDEX(Knutepunkter!$C:$C,D1302+1))</f>
        <v/>
      </c>
      <c r="H1302" t="str">
        <f>IF(D1302="","",INDEX(Knutepunkter!$D:$D,D1302+1))</f>
        <v/>
      </c>
      <c r="I1302" t="str">
        <f>IF(E1302="","",INDEX(Knutepunkter!$B:$B,E1302+1))</f>
        <v/>
      </c>
      <c r="J1302" t="str">
        <f>IF(E1302="","",INDEX(Knutepunkter!$C:$C,E1302+1))</f>
        <v/>
      </c>
      <c r="K1302" t="str">
        <f>IF(E1302="","",INDEX(Knutepunkter!$D:$D,E1302+1))</f>
        <v/>
      </c>
      <c r="L1302" t="str">
        <f t="shared" si="103"/>
        <v/>
      </c>
      <c r="M1302" t="str">
        <f t="shared" si="104"/>
        <v/>
      </c>
    </row>
    <row r="1303" spans="1:13" x14ac:dyDescent="0.3">
      <c r="A1303" t="str">
        <f>Segmenter!A1303</f>
        <v/>
      </c>
      <c r="B1303" t="str">
        <f>Segmenter!B1303</f>
        <v/>
      </c>
      <c r="C1303" t="str">
        <f t="shared" si="100"/>
        <v/>
      </c>
      <c r="D1303" t="str">
        <f t="shared" si="101"/>
        <v/>
      </c>
      <c r="E1303" t="str">
        <f t="shared" si="102"/>
        <v/>
      </c>
      <c r="F1303" t="str">
        <f>IF(D1303="","",INDEX(Knutepunkter!$B:$B,D1303+1))</f>
        <v/>
      </c>
      <c r="G1303" t="str">
        <f>IF(D1303="","",INDEX(Knutepunkter!$C:$C,D1303+1))</f>
        <v/>
      </c>
      <c r="H1303" t="str">
        <f>IF(D1303="","",INDEX(Knutepunkter!$D:$D,D1303+1))</f>
        <v/>
      </c>
      <c r="I1303" t="str">
        <f>IF(E1303="","",INDEX(Knutepunkter!$B:$B,E1303+1))</f>
        <v/>
      </c>
      <c r="J1303" t="str">
        <f>IF(E1303="","",INDEX(Knutepunkter!$C:$C,E1303+1))</f>
        <v/>
      </c>
      <c r="K1303" t="str">
        <f>IF(E1303="","",INDEX(Knutepunkter!$D:$D,E1303+1))</f>
        <v/>
      </c>
      <c r="L1303" t="str">
        <f t="shared" si="103"/>
        <v/>
      </c>
      <c r="M1303" t="str">
        <f t="shared" si="104"/>
        <v/>
      </c>
    </row>
    <row r="1304" spans="1:13" x14ac:dyDescent="0.3">
      <c r="A1304" t="str">
        <f>Segmenter!A1304</f>
        <v/>
      </c>
      <c r="B1304" t="str">
        <f>Segmenter!B1304</f>
        <v/>
      </c>
      <c r="C1304" t="str">
        <f t="shared" si="100"/>
        <v/>
      </c>
      <c r="D1304" t="str">
        <f t="shared" si="101"/>
        <v/>
      </c>
      <c r="E1304" t="str">
        <f t="shared" si="102"/>
        <v/>
      </c>
      <c r="F1304" t="str">
        <f>IF(D1304="","",INDEX(Knutepunkter!$B:$B,D1304+1))</f>
        <v/>
      </c>
      <c r="G1304" t="str">
        <f>IF(D1304="","",INDEX(Knutepunkter!$C:$C,D1304+1))</f>
        <v/>
      </c>
      <c r="H1304" t="str">
        <f>IF(D1304="","",INDEX(Knutepunkter!$D:$D,D1304+1))</f>
        <v/>
      </c>
      <c r="I1304" t="str">
        <f>IF(E1304="","",INDEX(Knutepunkter!$B:$B,E1304+1))</f>
        <v/>
      </c>
      <c r="J1304" t="str">
        <f>IF(E1304="","",INDEX(Knutepunkter!$C:$C,E1304+1))</f>
        <v/>
      </c>
      <c r="K1304" t="str">
        <f>IF(E1304="","",INDEX(Knutepunkter!$D:$D,E1304+1))</f>
        <v/>
      </c>
      <c r="L1304" t="str">
        <f t="shared" si="103"/>
        <v/>
      </c>
      <c r="M1304" t="str">
        <f t="shared" si="104"/>
        <v/>
      </c>
    </row>
    <row r="1305" spans="1:13" x14ac:dyDescent="0.3">
      <c r="A1305" t="str">
        <f>Segmenter!A1305</f>
        <v/>
      </c>
      <c r="B1305" t="str">
        <f>Segmenter!B1305</f>
        <v/>
      </c>
      <c r="C1305" t="str">
        <f t="shared" si="100"/>
        <v/>
      </c>
      <c r="D1305" t="str">
        <f t="shared" si="101"/>
        <v/>
      </c>
      <c r="E1305" t="str">
        <f t="shared" si="102"/>
        <v/>
      </c>
      <c r="F1305" t="str">
        <f>IF(D1305="","",INDEX(Knutepunkter!$B:$B,D1305+1))</f>
        <v/>
      </c>
      <c r="G1305" t="str">
        <f>IF(D1305="","",INDEX(Knutepunkter!$C:$C,D1305+1))</f>
        <v/>
      </c>
      <c r="H1305" t="str">
        <f>IF(D1305="","",INDEX(Knutepunkter!$D:$D,D1305+1))</f>
        <v/>
      </c>
      <c r="I1305" t="str">
        <f>IF(E1305="","",INDEX(Knutepunkter!$B:$B,E1305+1))</f>
        <v/>
      </c>
      <c r="J1305" t="str">
        <f>IF(E1305="","",INDEX(Knutepunkter!$C:$C,E1305+1))</f>
        <v/>
      </c>
      <c r="K1305" t="str">
        <f>IF(E1305="","",INDEX(Knutepunkter!$D:$D,E1305+1))</f>
        <v/>
      </c>
      <c r="L1305" t="str">
        <f t="shared" si="103"/>
        <v/>
      </c>
      <c r="M1305" t="str">
        <f t="shared" si="104"/>
        <v/>
      </c>
    </row>
    <row r="1306" spans="1:13" x14ac:dyDescent="0.3">
      <c r="A1306" t="str">
        <f>Segmenter!A1306</f>
        <v/>
      </c>
      <c r="B1306" t="str">
        <f>Segmenter!B1306</f>
        <v/>
      </c>
      <c r="C1306" t="str">
        <f t="shared" si="100"/>
        <v/>
      </c>
      <c r="D1306" t="str">
        <f t="shared" si="101"/>
        <v/>
      </c>
      <c r="E1306" t="str">
        <f t="shared" si="102"/>
        <v/>
      </c>
      <c r="F1306" t="str">
        <f>IF(D1306="","",INDEX(Knutepunkter!$B:$B,D1306+1))</f>
        <v/>
      </c>
      <c r="G1306" t="str">
        <f>IF(D1306="","",INDEX(Knutepunkter!$C:$C,D1306+1))</f>
        <v/>
      </c>
      <c r="H1306" t="str">
        <f>IF(D1306="","",INDEX(Knutepunkter!$D:$D,D1306+1))</f>
        <v/>
      </c>
      <c r="I1306" t="str">
        <f>IF(E1306="","",INDEX(Knutepunkter!$B:$B,E1306+1))</f>
        <v/>
      </c>
      <c r="J1306" t="str">
        <f>IF(E1306="","",INDEX(Knutepunkter!$C:$C,E1306+1))</f>
        <v/>
      </c>
      <c r="K1306" t="str">
        <f>IF(E1306="","",INDEX(Knutepunkter!$D:$D,E1306+1))</f>
        <v/>
      </c>
      <c r="L1306" t="str">
        <f t="shared" si="103"/>
        <v/>
      </c>
      <c r="M1306" t="str">
        <f t="shared" si="104"/>
        <v/>
      </c>
    </row>
    <row r="1307" spans="1:13" x14ac:dyDescent="0.3">
      <c r="A1307" t="str">
        <f>Segmenter!A1307</f>
        <v/>
      </c>
      <c r="B1307" t="str">
        <f>Segmenter!B1307</f>
        <v/>
      </c>
      <c r="C1307" t="str">
        <f t="shared" si="100"/>
        <v/>
      </c>
      <c r="D1307" t="str">
        <f t="shared" si="101"/>
        <v/>
      </c>
      <c r="E1307" t="str">
        <f t="shared" si="102"/>
        <v/>
      </c>
      <c r="F1307" t="str">
        <f>IF(D1307="","",INDEX(Knutepunkter!$B:$B,D1307+1))</f>
        <v/>
      </c>
      <c r="G1307" t="str">
        <f>IF(D1307="","",INDEX(Knutepunkter!$C:$C,D1307+1))</f>
        <v/>
      </c>
      <c r="H1307" t="str">
        <f>IF(D1307="","",INDEX(Knutepunkter!$D:$D,D1307+1))</f>
        <v/>
      </c>
      <c r="I1307" t="str">
        <f>IF(E1307="","",INDEX(Knutepunkter!$B:$B,E1307+1))</f>
        <v/>
      </c>
      <c r="J1307" t="str">
        <f>IF(E1307="","",INDEX(Knutepunkter!$C:$C,E1307+1))</f>
        <v/>
      </c>
      <c r="K1307" t="str">
        <f>IF(E1307="","",INDEX(Knutepunkter!$D:$D,E1307+1))</f>
        <v/>
      </c>
      <c r="L1307" t="str">
        <f t="shared" si="103"/>
        <v/>
      </c>
      <c r="M1307" t="str">
        <f t="shared" si="104"/>
        <v/>
      </c>
    </row>
    <row r="1308" spans="1:13" x14ac:dyDescent="0.3">
      <c r="A1308" t="str">
        <f>Segmenter!A1308</f>
        <v/>
      </c>
      <c r="B1308" t="str">
        <f>Segmenter!B1308</f>
        <v/>
      </c>
      <c r="C1308" t="str">
        <f t="shared" si="100"/>
        <v/>
      </c>
      <c r="D1308" t="str">
        <f t="shared" si="101"/>
        <v/>
      </c>
      <c r="E1308" t="str">
        <f t="shared" si="102"/>
        <v/>
      </c>
      <c r="F1308" t="str">
        <f>IF(D1308="","",INDEX(Knutepunkter!$B:$B,D1308+1))</f>
        <v/>
      </c>
      <c r="G1308" t="str">
        <f>IF(D1308="","",INDEX(Knutepunkter!$C:$C,D1308+1))</f>
        <v/>
      </c>
      <c r="H1308" t="str">
        <f>IF(D1308="","",INDEX(Knutepunkter!$D:$D,D1308+1))</f>
        <v/>
      </c>
      <c r="I1308" t="str">
        <f>IF(E1308="","",INDEX(Knutepunkter!$B:$B,E1308+1))</f>
        <v/>
      </c>
      <c r="J1308" t="str">
        <f>IF(E1308="","",INDEX(Knutepunkter!$C:$C,E1308+1))</f>
        <v/>
      </c>
      <c r="K1308" t="str">
        <f>IF(E1308="","",INDEX(Knutepunkter!$D:$D,E1308+1))</f>
        <v/>
      </c>
      <c r="L1308" t="str">
        <f t="shared" si="103"/>
        <v/>
      </c>
      <c r="M1308" t="str">
        <f t="shared" si="104"/>
        <v/>
      </c>
    </row>
    <row r="1309" spans="1:13" x14ac:dyDescent="0.3">
      <c r="A1309" t="str">
        <f>Segmenter!A1309</f>
        <v/>
      </c>
      <c r="B1309" t="str">
        <f>Segmenter!B1309</f>
        <v/>
      </c>
      <c r="C1309" t="str">
        <f t="shared" si="100"/>
        <v/>
      </c>
      <c r="D1309" t="str">
        <f t="shared" si="101"/>
        <v/>
      </c>
      <c r="E1309" t="str">
        <f t="shared" si="102"/>
        <v/>
      </c>
      <c r="F1309" t="str">
        <f>IF(D1309="","",INDEX(Knutepunkter!$B:$B,D1309+1))</f>
        <v/>
      </c>
      <c r="G1309" t="str">
        <f>IF(D1309="","",INDEX(Knutepunkter!$C:$C,D1309+1))</f>
        <v/>
      </c>
      <c r="H1309" t="str">
        <f>IF(D1309="","",INDEX(Knutepunkter!$D:$D,D1309+1))</f>
        <v/>
      </c>
      <c r="I1309" t="str">
        <f>IF(E1309="","",INDEX(Knutepunkter!$B:$B,E1309+1))</f>
        <v/>
      </c>
      <c r="J1309" t="str">
        <f>IF(E1309="","",INDEX(Knutepunkter!$C:$C,E1309+1))</f>
        <v/>
      </c>
      <c r="K1309" t="str">
        <f>IF(E1309="","",INDEX(Knutepunkter!$D:$D,E1309+1))</f>
        <v/>
      </c>
      <c r="L1309" t="str">
        <f t="shared" si="103"/>
        <v/>
      </c>
      <c r="M1309" t="str">
        <f t="shared" si="104"/>
        <v/>
      </c>
    </row>
    <row r="1310" spans="1:13" x14ac:dyDescent="0.3">
      <c r="A1310" t="str">
        <f>Segmenter!A1310</f>
        <v/>
      </c>
      <c r="B1310" t="str">
        <f>Segmenter!B1310</f>
        <v/>
      </c>
      <c r="C1310" t="str">
        <f t="shared" si="100"/>
        <v/>
      </c>
      <c r="D1310" t="str">
        <f t="shared" si="101"/>
        <v/>
      </c>
      <c r="E1310" t="str">
        <f t="shared" si="102"/>
        <v/>
      </c>
      <c r="F1310" t="str">
        <f>IF(D1310="","",INDEX(Knutepunkter!$B:$B,D1310+1))</f>
        <v/>
      </c>
      <c r="G1310" t="str">
        <f>IF(D1310="","",INDEX(Knutepunkter!$C:$C,D1310+1))</f>
        <v/>
      </c>
      <c r="H1310" t="str">
        <f>IF(D1310="","",INDEX(Knutepunkter!$D:$D,D1310+1))</f>
        <v/>
      </c>
      <c r="I1310" t="str">
        <f>IF(E1310="","",INDEX(Knutepunkter!$B:$B,E1310+1))</f>
        <v/>
      </c>
      <c r="J1310" t="str">
        <f>IF(E1310="","",INDEX(Knutepunkter!$C:$C,E1310+1))</f>
        <v/>
      </c>
      <c r="K1310" t="str">
        <f>IF(E1310="","",INDEX(Knutepunkter!$D:$D,E1310+1))</f>
        <v/>
      </c>
      <c r="L1310" t="str">
        <f t="shared" si="103"/>
        <v/>
      </c>
      <c r="M1310" t="str">
        <f t="shared" si="104"/>
        <v/>
      </c>
    </row>
    <row r="1311" spans="1:13" x14ac:dyDescent="0.3">
      <c r="A1311" t="str">
        <f>Segmenter!A1311</f>
        <v/>
      </c>
      <c r="B1311" t="str">
        <f>Segmenter!B1311</f>
        <v/>
      </c>
      <c r="C1311" t="str">
        <f t="shared" si="100"/>
        <v/>
      </c>
      <c r="D1311" t="str">
        <f t="shared" si="101"/>
        <v/>
      </c>
      <c r="E1311" t="str">
        <f t="shared" si="102"/>
        <v/>
      </c>
      <c r="F1311" t="str">
        <f>IF(D1311="","",INDEX(Knutepunkter!$B:$B,D1311+1))</f>
        <v/>
      </c>
      <c r="G1311" t="str">
        <f>IF(D1311="","",INDEX(Knutepunkter!$C:$C,D1311+1))</f>
        <v/>
      </c>
      <c r="H1311" t="str">
        <f>IF(D1311="","",INDEX(Knutepunkter!$D:$D,D1311+1))</f>
        <v/>
      </c>
      <c r="I1311" t="str">
        <f>IF(E1311="","",INDEX(Knutepunkter!$B:$B,E1311+1))</f>
        <v/>
      </c>
      <c r="J1311" t="str">
        <f>IF(E1311="","",INDEX(Knutepunkter!$C:$C,E1311+1))</f>
        <v/>
      </c>
      <c r="K1311" t="str">
        <f>IF(E1311="","",INDEX(Knutepunkter!$D:$D,E1311+1))</f>
        <v/>
      </c>
      <c r="L1311" t="str">
        <f t="shared" si="103"/>
        <v/>
      </c>
      <c r="M1311" t="str">
        <f t="shared" si="104"/>
        <v/>
      </c>
    </row>
    <row r="1312" spans="1:13" x14ac:dyDescent="0.3">
      <c r="A1312" t="str">
        <f>Segmenter!A1312</f>
        <v/>
      </c>
      <c r="B1312" t="str">
        <f>Segmenter!B1312</f>
        <v/>
      </c>
      <c r="C1312" t="str">
        <f t="shared" si="100"/>
        <v/>
      </c>
      <c r="D1312" t="str">
        <f t="shared" si="101"/>
        <v/>
      </c>
      <c r="E1312" t="str">
        <f t="shared" si="102"/>
        <v/>
      </c>
      <c r="F1312" t="str">
        <f>IF(D1312="","",INDEX(Knutepunkter!$B:$B,D1312+1))</f>
        <v/>
      </c>
      <c r="G1312" t="str">
        <f>IF(D1312="","",INDEX(Knutepunkter!$C:$C,D1312+1))</f>
        <v/>
      </c>
      <c r="H1312" t="str">
        <f>IF(D1312="","",INDEX(Knutepunkter!$D:$D,D1312+1))</f>
        <v/>
      </c>
      <c r="I1312" t="str">
        <f>IF(E1312="","",INDEX(Knutepunkter!$B:$B,E1312+1))</f>
        <v/>
      </c>
      <c r="J1312" t="str">
        <f>IF(E1312="","",INDEX(Knutepunkter!$C:$C,E1312+1))</f>
        <v/>
      </c>
      <c r="K1312" t="str">
        <f>IF(E1312="","",INDEX(Knutepunkter!$D:$D,E1312+1))</f>
        <v/>
      </c>
      <c r="L1312" t="str">
        <f t="shared" si="103"/>
        <v/>
      </c>
      <c r="M1312" t="str">
        <f t="shared" si="104"/>
        <v/>
      </c>
    </row>
    <row r="1313" spans="1:13" x14ac:dyDescent="0.3">
      <c r="A1313" t="str">
        <f>Segmenter!A1313</f>
        <v/>
      </c>
      <c r="B1313" t="str">
        <f>Segmenter!B1313</f>
        <v/>
      </c>
      <c r="C1313" t="str">
        <f t="shared" si="100"/>
        <v/>
      </c>
      <c r="D1313" t="str">
        <f t="shared" si="101"/>
        <v/>
      </c>
      <c r="E1313" t="str">
        <f t="shared" si="102"/>
        <v/>
      </c>
      <c r="F1313" t="str">
        <f>IF(D1313="","",INDEX(Knutepunkter!$B:$B,D1313+1))</f>
        <v/>
      </c>
      <c r="G1313" t="str">
        <f>IF(D1313="","",INDEX(Knutepunkter!$C:$C,D1313+1))</f>
        <v/>
      </c>
      <c r="H1313" t="str">
        <f>IF(D1313="","",INDEX(Knutepunkter!$D:$D,D1313+1))</f>
        <v/>
      </c>
      <c r="I1313" t="str">
        <f>IF(E1313="","",INDEX(Knutepunkter!$B:$B,E1313+1))</f>
        <v/>
      </c>
      <c r="J1313" t="str">
        <f>IF(E1313="","",INDEX(Knutepunkter!$C:$C,E1313+1))</f>
        <v/>
      </c>
      <c r="K1313" t="str">
        <f>IF(E1313="","",INDEX(Knutepunkter!$D:$D,E1313+1))</f>
        <v/>
      </c>
      <c r="L1313" t="str">
        <f t="shared" si="103"/>
        <v/>
      </c>
      <c r="M1313" t="str">
        <f t="shared" si="104"/>
        <v/>
      </c>
    </row>
    <row r="1314" spans="1:13" x14ac:dyDescent="0.3">
      <c r="A1314" t="str">
        <f>Segmenter!A1314</f>
        <v/>
      </c>
      <c r="B1314" t="str">
        <f>Segmenter!B1314</f>
        <v/>
      </c>
      <c r="C1314" t="str">
        <f t="shared" si="100"/>
        <v/>
      </c>
      <c r="D1314" t="str">
        <f t="shared" si="101"/>
        <v/>
      </c>
      <c r="E1314" t="str">
        <f t="shared" si="102"/>
        <v/>
      </c>
      <c r="F1314" t="str">
        <f>IF(D1314="","",INDEX(Knutepunkter!$B:$B,D1314+1))</f>
        <v/>
      </c>
      <c r="G1314" t="str">
        <f>IF(D1314="","",INDEX(Knutepunkter!$C:$C,D1314+1))</f>
        <v/>
      </c>
      <c r="H1314" t="str">
        <f>IF(D1314="","",INDEX(Knutepunkter!$D:$D,D1314+1))</f>
        <v/>
      </c>
      <c r="I1314" t="str">
        <f>IF(E1314="","",INDEX(Knutepunkter!$B:$B,E1314+1))</f>
        <v/>
      </c>
      <c r="J1314" t="str">
        <f>IF(E1314="","",INDEX(Knutepunkter!$C:$C,E1314+1))</f>
        <v/>
      </c>
      <c r="K1314" t="str">
        <f>IF(E1314="","",INDEX(Knutepunkter!$D:$D,E1314+1))</f>
        <v/>
      </c>
      <c r="L1314" t="str">
        <f t="shared" si="103"/>
        <v/>
      </c>
      <c r="M1314" t="str">
        <f t="shared" si="104"/>
        <v/>
      </c>
    </row>
    <row r="1315" spans="1:13" x14ac:dyDescent="0.3">
      <c r="A1315" t="str">
        <f>Segmenter!A1315</f>
        <v/>
      </c>
      <c r="B1315" t="str">
        <f>Segmenter!B1315</f>
        <v/>
      </c>
      <c r="C1315" t="str">
        <f t="shared" si="100"/>
        <v/>
      </c>
      <c r="D1315" t="str">
        <f t="shared" si="101"/>
        <v/>
      </c>
      <c r="E1315" t="str">
        <f t="shared" si="102"/>
        <v/>
      </c>
      <c r="F1315" t="str">
        <f>IF(D1315="","",INDEX(Knutepunkter!$B:$B,D1315+1))</f>
        <v/>
      </c>
      <c r="G1315" t="str">
        <f>IF(D1315="","",INDEX(Knutepunkter!$C:$C,D1315+1))</f>
        <v/>
      </c>
      <c r="H1315" t="str">
        <f>IF(D1315="","",INDEX(Knutepunkter!$D:$D,D1315+1))</f>
        <v/>
      </c>
      <c r="I1315" t="str">
        <f>IF(E1315="","",INDEX(Knutepunkter!$B:$B,E1315+1))</f>
        <v/>
      </c>
      <c r="J1315" t="str">
        <f>IF(E1315="","",INDEX(Knutepunkter!$C:$C,E1315+1))</f>
        <v/>
      </c>
      <c r="K1315" t="str">
        <f>IF(E1315="","",INDEX(Knutepunkter!$D:$D,E1315+1))</f>
        <v/>
      </c>
      <c r="L1315" t="str">
        <f t="shared" si="103"/>
        <v/>
      </c>
      <c r="M1315" t="str">
        <f t="shared" si="104"/>
        <v/>
      </c>
    </row>
    <row r="1316" spans="1:13" x14ac:dyDescent="0.3">
      <c r="A1316" t="str">
        <f>Segmenter!A1316</f>
        <v/>
      </c>
      <c r="B1316" t="str">
        <f>Segmenter!B1316</f>
        <v/>
      </c>
      <c r="C1316" t="str">
        <f t="shared" si="100"/>
        <v/>
      </c>
      <c r="D1316" t="str">
        <f t="shared" si="101"/>
        <v/>
      </c>
      <c r="E1316" t="str">
        <f t="shared" si="102"/>
        <v/>
      </c>
      <c r="F1316" t="str">
        <f>IF(D1316="","",INDEX(Knutepunkter!$B:$B,D1316+1))</f>
        <v/>
      </c>
      <c r="G1316" t="str">
        <f>IF(D1316="","",INDEX(Knutepunkter!$C:$C,D1316+1))</f>
        <v/>
      </c>
      <c r="H1316" t="str">
        <f>IF(D1316="","",INDEX(Knutepunkter!$D:$D,D1316+1))</f>
        <v/>
      </c>
      <c r="I1316" t="str">
        <f>IF(E1316="","",INDEX(Knutepunkter!$B:$B,E1316+1))</f>
        <v/>
      </c>
      <c r="J1316" t="str">
        <f>IF(E1316="","",INDEX(Knutepunkter!$C:$C,E1316+1))</f>
        <v/>
      </c>
      <c r="K1316" t="str">
        <f>IF(E1316="","",INDEX(Knutepunkter!$D:$D,E1316+1))</f>
        <v/>
      </c>
      <c r="L1316" t="str">
        <f t="shared" si="103"/>
        <v/>
      </c>
      <c r="M1316" t="str">
        <f t="shared" si="104"/>
        <v/>
      </c>
    </row>
    <row r="1317" spans="1:13" x14ac:dyDescent="0.3">
      <c r="A1317" t="str">
        <f>Segmenter!A1317</f>
        <v/>
      </c>
      <c r="B1317" t="str">
        <f>Segmenter!B1317</f>
        <v/>
      </c>
      <c r="C1317" t="str">
        <f t="shared" si="100"/>
        <v/>
      </c>
      <c r="D1317" t="str">
        <f t="shared" si="101"/>
        <v/>
      </c>
      <c r="E1317" t="str">
        <f t="shared" si="102"/>
        <v/>
      </c>
      <c r="F1317" t="str">
        <f>IF(D1317="","",INDEX(Knutepunkter!$B:$B,D1317+1))</f>
        <v/>
      </c>
      <c r="G1317" t="str">
        <f>IF(D1317="","",INDEX(Knutepunkter!$C:$C,D1317+1))</f>
        <v/>
      </c>
      <c r="H1317" t="str">
        <f>IF(D1317="","",INDEX(Knutepunkter!$D:$D,D1317+1))</f>
        <v/>
      </c>
      <c r="I1317" t="str">
        <f>IF(E1317="","",INDEX(Knutepunkter!$B:$B,E1317+1))</f>
        <v/>
      </c>
      <c r="J1317" t="str">
        <f>IF(E1317="","",INDEX(Knutepunkter!$C:$C,E1317+1))</f>
        <v/>
      </c>
      <c r="K1317" t="str">
        <f>IF(E1317="","",INDEX(Knutepunkter!$D:$D,E1317+1))</f>
        <v/>
      </c>
      <c r="L1317" t="str">
        <f t="shared" si="103"/>
        <v/>
      </c>
      <c r="M1317" t="str">
        <f t="shared" si="104"/>
        <v/>
      </c>
    </row>
    <row r="1318" spans="1:13" x14ac:dyDescent="0.3">
      <c r="A1318" t="str">
        <f>Segmenter!A1318</f>
        <v/>
      </c>
      <c r="B1318" t="str">
        <f>Segmenter!B1318</f>
        <v/>
      </c>
      <c r="C1318" t="str">
        <f t="shared" si="100"/>
        <v/>
      </c>
      <c r="D1318" t="str">
        <f t="shared" si="101"/>
        <v/>
      </c>
      <c r="E1318" t="str">
        <f t="shared" si="102"/>
        <v/>
      </c>
      <c r="F1318" t="str">
        <f>IF(D1318="","",INDEX(Knutepunkter!$B:$B,D1318+1))</f>
        <v/>
      </c>
      <c r="G1318" t="str">
        <f>IF(D1318="","",INDEX(Knutepunkter!$C:$C,D1318+1))</f>
        <v/>
      </c>
      <c r="H1318" t="str">
        <f>IF(D1318="","",INDEX(Knutepunkter!$D:$D,D1318+1))</f>
        <v/>
      </c>
      <c r="I1318" t="str">
        <f>IF(E1318="","",INDEX(Knutepunkter!$B:$B,E1318+1))</f>
        <v/>
      </c>
      <c r="J1318" t="str">
        <f>IF(E1318="","",INDEX(Knutepunkter!$C:$C,E1318+1))</f>
        <v/>
      </c>
      <c r="K1318" t="str">
        <f>IF(E1318="","",INDEX(Knutepunkter!$D:$D,E1318+1))</f>
        <v/>
      </c>
      <c r="L1318" t="str">
        <f t="shared" si="103"/>
        <v/>
      </c>
      <c r="M1318" t="str">
        <f t="shared" si="104"/>
        <v/>
      </c>
    </row>
    <row r="1319" spans="1:13" x14ac:dyDescent="0.3">
      <c r="A1319" t="str">
        <f>Segmenter!A1319</f>
        <v/>
      </c>
      <c r="B1319" t="str">
        <f>Segmenter!B1319</f>
        <v/>
      </c>
      <c r="C1319" t="str">
        <f t="shared" si="100"/>
        <v/>
      </c>
      <c r="D1319" t="str">
        <f t="shared" si="101"/>
        <v/>
      </c>
      <c r="E1319" t="str">
        <f t="shared" si="102"/>
        <v/>
      </c>
      <c r="F1319" t="str">
        <f>IF(D1319="","",INDEX(Knutepunkter!$B:$B,D1319+1))</f>
        <v/>
      </c>
      <c r="G1319" t="str">
        <f>IF(D1319="","",INDEX(Knutepunkter!$C:$C,D1319+1))</f>
        <v/>
      </c>
      <c r="H1319" t="str">
        <f>IF(D1319="","",INDEX(Knutepunkter!$D:$D,D1319+1))</f>
        <v/>
      </c>
      <c r="I1319" t="str">
        <f>IF(E1319="","",INDEX(Knutepunkter!$B:$B,E1319+1))</f>
        <v/>
      </c>
      <c r="J1319" t="str">
        <f>IF(E1319="","",INDEX(Knutepunkter!$C:$C,E1319+1))</f>
        <v/>
      </c>
      <c r="K1319" t="str">
        <f>IF(E1319="","",INDEX(Knutepunkter!$D:$D,E1319+1))</f>
        <v/>
      </c>
      <c r="L1319" t="str">
        <f t="shared" si="103"/>
        <v/>
      </c>
      <c r="M1319" t="str">
        <f t="shared" si="104"/>
        <v/>
      </c>
    </row>
    <row r="1320" spans="1:13" x14ac:dyDescent="0.3">
      <c r="A1320" t="str">
        <f>Segmenter!A1320</f>
        <v/>
      </c>
      <c r="B1320" t="str">
        <f>Segmenter!B1320</f>
        <v/>
      </c>
      <c r="C1320" t="str">
        <f t="shared" si="100"/>
        <v/>
      </c>
      <c r="D1320" t="str">
        <f t="shared" si="101"/>
        <v/>
      </c>
      <c r="E1320" t="str">
        <f t="shared" si="102"/>
        <v/>
      </c>
      <c r="F1320" t="str">
        <f>IF(D1320="","",INDEX(Knutepunkter!$B:$B,D1320+1))</f>
        <v/>
      </c>
      <c r="G1320" t="str">
        <f>IF(D1320="","",INDEX(Knutepunkter!$C:$C,D1320+1))</f>
        <v/>
      </c>
      <c r="H1320" t="str">
        <f>IF(D1320="","",INDEX(Knutepunkter!$D:$D,D1320+1))</f>
        <v/>
      </c>
      <c r="I1320" t="str">
        <f>IF(E1320="","",INDEX(Knutepunkter!$B:$B,E1320+1))</f>
        <v/>
      </c>
      <c r="J1320" t="str">
        <f>IF(E1320="","",INDEX(Knutepunkter!$C:$C,E1320+1))</f>
        <v/>
      </c>
      <c r="K1320" t="str">
        <f>IF(E1320="","",INDEX(Knutepunkter!$D:$D,E1320+1))</f>
        <v/>
      </c>
      <c r="L1320" t="str">
        <f t="shared" si="103"/>
        <v/>
      </c>
      <c r="M1320" t="str">
        <f t="shared" si="104"/>
        <v/>
      </c>
    </row>
    <row r="1321" spans="1:13" x14ac:dyDescent="0.3">
      <c r="A1321" t="str">
        <f>Segmenter!A1321</f>
        <v/>
      </c>
      <c r="B1321" t="str">
        <f>Segmenter!B1321</f>
        <v/>
      </c>
      <c r="C1321" t="str">
        <f t="shared" si="100"/>
        <v/>
      </c>
      <c r="D1321" t="str">
        <f t="shared" si="101"/>
        <v/>
      </c>
      <c r="E1321" t="str">
        <f t="shared" si="102"/>
        <v/>
      </c>
      <c r="F1321" t="str">
        <f>IF(D1321="","",INDEX(Knutepunkter!$B:$B,D1321+1))</f>
        <v/>
      </c>
      <c r="G1321" t="str">
        <f>IF(D1321="","",INDEX(Knutepunkter!$C:$C,D1321+1))</f>
        <v/>
      </c>
      <c r="H1321" t="str">
        <f>IF(D1321="","",INDEX(Knutepunkter!$D:$D,D1321+1))</f>
        <v/>
      </c>
      <c r="I1321" t="str">
        <f>IF(E1321="","",INDEX(Knutepunkter!$B:$B,E1321+1))</f>
        <v/>
      </c>
      <c r="J1321" t="str">
        <f>IF(E1321="","",INDEX(Knutepunkter!$C:$C,E1321+1))</f>
        <v/>
      </c>
      <c r="K1321" t="str">
        <f>IF(E1321="","",INDEX(Knutepunkter!$D:$D,E1321+1))</f>
        <v/>
      </c>
      <c r="L1321" t="str">
        <f t="shared" si="103"/>
        <v/>
      </c>
      <c r="M1321" t="str">
        <f t="shared" si="104"/>
        <v/>
      </c>
    </row>
    <row r="1322" spans="1:13" x14ac:dyDescent="0.3">
      <c r="A1322" t="str">
        <f>Segmenter!A1322</f>
        <v/>
      </c>
      <c r="B1322" t="str">
        <f>Segmenter!B1322</f>
        <v/>
      </c>
      <c r="C1322" t="str">
        <f t="shared" si="100"/>
        <v/>
      </c>
      <c r="D1322" t="str">
        <f t="shared" si="101"/>
        <v/>
      </c>
      <c r="E1322" t="str">
        <f t="shared" si="102"/>
        <v/>
      </c>
      <c r="F1322" t="str">
        <f>IF(D1322="","",INDEX(Knutepunkter!$B:$B,D1322+1))</f>
        <v/>
      </c>
      <c r="G1322" t="str">
        <f>IF(D1322="","",INDEX(Knutepunkter!$C:$C,D1322+1))</f>
        <v/>
      </c>
      <c r="H1322" t="str">
        <f>IF(D1322="","",INDEX(Knutepunkter!$D:$D,D1322+1))</f>
        <v/>
      </c>
      <c r="I1322" t="str">
        <f>IF(E1322="","",INDEX(Knutepunkter!$B:$B,E1322+1))</f>
        <v/>
      </c>
      <c r="J1322" t="str">
        <f>IF(E1322="","",INDEX(Knutepunkter!$C:$C,E1322+1))</f>
        <v/>
      </c>
      <c r="K1322" t="str">
        <f>IF(E1322="","",INDEX(Knutepunkter!$D:$D,E1322+1))</f>
        <v/>
      </c>
      <c r="L1322" t="str">
        <f t="shared" si="103"/>
        <v/>
      </c>
      <c r="M1322" t="str">
        <f t="shared" si="104"/>
        <v/>
      </c>
    </row>
    <row r="1323" spans="1:13" x14ac:dyDescent="0.3">
      <c r="A1323" t="str">
        <f>Segmenter!A1323</f>
        <v/>
      </c>
      <c r="B1323" t="str">
        <f>Segmenter!B1323</f>
        <v/>
      </c>
      <c r="C1323" t="str">
        <f t="shared" si="100"/>
        <v/>
      </c>
      <c r="D1323" t="str">
        <f t="shared" si="101"/>
        <v/>
      </c>
      <c r="E1323" t="str">
        <f t="shared" si="102"/>
        <v/>
      </c>
      <c r="F1323" t="str">
        <f>IF(D1323="","",INDEX(Knutepunkter!$B:$B,D1323+1))</f>
        <v/>
      </c>
      <c r="G1323" t="str">
        <f>IF(D1323="","",INDEX(Knutepunkter!$C:$C,D1323+1))</f>
        <v/>
      </c>
      <c r="H1323" t="str">
        <f>IF(D1323="","",INDEX(Knutepunkter!$D:$D,D1323+1))</f>
        <v/>
      </c>
      <c r="I1323" t="str">
        <f>IF(E1323="","",INDEX(Knutepunkter!$B:$B,E1323+1))</f>
        <v/>
      </c>
      <c r="J1323" t="str">
        <f>IF(E1323="","",INDEX(Knutepunkter!$C:$C,E1323+1))</f>
        <v/>
      </c>
      <c r="K1323" t="str">
        <f>IF(E1323="","",INDEX(Knutepunkter!$D:$D,E1323+1))</f>
        <v/>
      </c>
      <c r="L1323" t="str">
        <f t="shared" si="103"/>
        <v/>
      </c>
      <c r="M1323" t="str">
        <f t="shared" si="104"/>
        <v/>
      </c>
    </row>
    <row r="1324" spans="1:13" x14ac:dyDescent="0.3">
      <c r="A1324" t="str">
        <f>Segmenter!A1324</f>
        <v/>
      </c>
      <c r="B1324" t="str">
        <f>Segmenter!B1324</f>
        <v/>
      </c>
      <c r="C1324" t="str">
        <f t="shared" si="100"/>
        <v/>
      </c>
      <c r="D1324" t="str">
        <f t="shared" si="101"/>
        <v/>
      </c>
      <c r="E1324" t="str">
        <f t="shared" si="102"/>
        <v/>
      </c>
      <c r="F1324" t="str">
        <f>IF(D1324="","",INDEX(Knutepunkter!$B:$B,D1324+1))</f>
        <v/>
      </c>
      <c r="G1324" t="str">
        <f>IF(D1324="","",INDEX(Knutepunkter!$C:$C,D1324+1))</f>
        <v/>
      </c>
      <c r="H1324" t="str">
        <f>IF(D1324="","",INDEX(Knutepunkter!$D:$D,D1324+1))</f>
        <v/>
      </c>
      <c r="I1324" t="str">
        <f>IF(E1324="","",INDEX(Knutepunkter!$B:$B,E1324+1))</f>
        <v/>
      </c>
      <c r="J1324" t="str">
        <f>IF(E1324="","",INDEX(Knutepunkter!$C:$C,E1324+1))</f>
        <v/>
      </c>
      <c r="K1324" t="str">
        <f>IF(E1324="","",INDEX(Knutepunkter!$D:$D,E1324+1))</f>
        <v/>
      </c>
      <c r="L1324" t="str">
        <f t="shared" si="103"/>
        <v/>
      </c>
      <c r="M1324" t="str">
        <f t="shared" si="104"/>
        <v/>
      </c>
    </row>
    <row r="1325" spans="1:13" x14ac:dyDescent="0.3">
      <c r="A1325" t="str">
        <f>Segmenter!A1325</f>
        <v/>
      </c>
      <c r="B1325" t="str">
        <f>Segmenter!B1325</f>
        <v/>
      </c>
      <c r="C1325" t="str">
        <f t="shared" si="100"/>
        <v/>
      </c>
      <c r="D1325" t="str">
        <f t="shared" si="101"/>
        <v/>
      </c>
      <c r="E1325" t="str">
        <f t="shared" si="102"/>
        <v/>
      </c>
      <c r="F1325" t="str">
        <f>IF(D1325="","",INDEX(Knutepunkter!$B:$B,D1325+1))</f>
        <v/>
      </c>
      <c r="G1325" t="str">
        <f>IF(D1325="","",INDEX(Knutepunkter!$C:$C,D1325+1))</f>
        <v/>
      </c>
      <c r="H1325" t="str">
        <f>IF(D1325="","",INDEX(Knutepunkter!$D:$D,D1325+1))</f>
        <v/>
      </c>
      <c r="I1325" t="str">
        <f>IF(E1325="","",INDEX(Knutepunkter!$B:$B,E1325+1))</f>
        <v/>
      </c>
      <c r="J1325" t="str">
        <f>IF(E1325="","",INDEX(Knutepunkter!$C:$C,E1325+1))</f>
        <v/>
      </c>
      <c r="K1325" t="str">
        <f>IF(E1325="","",INDEX(Knutepunkter!$D:$D,E1325+1))</f>
        <v/>
      </c>
      <c r="L1325" t="str">
        <f t="shared" si="103"/>
        <v/>
      </c>
      <c r="M1325" t="str">
        <f t="shared" si="104"/>
        <v/>
      </c>
    </row>
    <row r="1326" spans="1:13" x14ac:dyDescent="0.3">
      <c r="A1326" t="str">
        <f>Segmenter!A1326</f>
        <v/>
      </c>
      <c r="B1326" t="str">
        <f>Segmenter!B1326</f>
        <v/>
      </c>
      <c r="C1326" t="str">
        <f t="shared" si="100"/>
        <v/>
      </c>
      <c r="D1326" t="str">
        <f t="shared" si="101"/>
        <v/>
      </c>
      <c r="E1326" t="str">
        <f t="shared" si="102"/>
        <v/>
      </c>
      <c r="F1326" t="str">
        <f>IF(D1326="","",INDEX(Knutepunkter!$B:$B,D1326+1))</f>
        <v/>
      </c>
      <c r="G1326" t="str">
        <f>IF(D1326="","",INDEX(Knutepunkter!$C:$C,D1326+1))</f>
        <v/>
      </c>
      <c r="H1326" t="str">
        <f>IF(D1326="","",INDEX(Knutepunkter!$D:$D,D1326+1))</f>
        <v/>
      </c>
      <c r="I1326" t="str">
        <f>IF(E1326="","",INDEX(Knutepunkter!$B:$B,E1326+1))</f>
        <v/>
      </c>
      <c r="J1326" t="str">
        <f>IF(E1326="","",INDEX(Knutepunkter!$C:$C,E1326+1))</f>
        <v/>
      </c>
      <c r="K1326" t="str">
        <f>IF(E1326="","",INDEX(Knutepunkter!$D:$D,E1326+1))</f>
        <v/>
      </c>
      <c r="L1326" t="str">
        <f t="shared" si="103"/>
        <v/>
      </c>
      <c r="M1326" t="str">
        <f t="shared" si="104"/>
        <v/>
      </c>
    </row>
    <row r="1327" spans="1:13" x14ac:dyDescent="0.3">
      <c r="A1327" t="str">
        <f>Segmenter!A1327</f>
        <v/>
      </c>
      <c r="B1327" t="str">
        <f>Segmenter!B1327</f>
        <v/>
      </c>
      <c r="C1327" t="str">
        <f t="shared" si="100"/>
        <v/>
      </c>
      <c r="D1327" t="str">
        <f t="shared" si="101"/>
        <v/>
      </c>
      <c r="E1327" t="str">
        <f t="shared" si="102"/>
        <v/>
      </c>
      <c r="F1327" t="str">
        <f>IF(D1327="","",INDEX(Knutepunkter!$B:$B,D1327+1))</f>
        <v/>
      </c>
      <c r="G1327" t="str">
        <f>IF(D1327="","",INDEX(Knutepunkter!$C:$C,D1327+1))</f>
        <v/>
      </c>
      <c r="H1327" t="str">
        <f>IF(D1327="","",INDEX(Knutepunkter!$D:$D,D1327+1))</f>
        <v/>
      </c>
      <c r="I1327" t="str">
        <f>IF(E1327="","",INDEX(Knutepunkter!$B:$B,E1327+1))</f>
        <v/>
      </c>
      <c r="J1327" t="str">
        <f>IF(E1327="","",INDEX(Knutepunkter!$C:$C,E1327+1))</f>
        <v/>
      </c>
      <c r="K1327" t="str">
        <f>IF(E1327="","",INDEX(Knutepunkter!$D:$D,E1327+1))</f>
        <v/>
      </c>
      <c r="L1327" t="str">
        <f t="shared" si="103"/>
        <v/>
      </c>
      <c r="M1327" t="str">
        <f t="shared" si="104"/>
        <v/>
      </c>
    </row>
    <row r="1328" spans="1:13" x14ac:dyDescent="0.3">
      <c r="A1328" t="str">
        <f>Segmenter!A1328</f>
        <v/>
      </c>
      <c r="B1328" t="str">
        <f>Segmenter!B1328</f>
        <v/>
      </c>
      <c r="C1328" t="str">
        <f t="shared" si="100"/>
        <v/>
      </c>
      <c r="D1328" t="str">
        <f t="shared" si="101"/>
        <v/>
      </c>
      <c r="E1328" t="str">
        <f t="shared" si="102"/>
        <v/>
      </c>
      <c r="F1328" t="str">
        <f>IF(D1328="","",INDEX(Knutepunkter!$B:$B,D1328+1))</f>
        <v/>
      </c>
      <c r="G1328" t="str">
        <f>IF(D1328="","",INDEX(Knutepunkter!$C:$C,D1328+1))</f>
        <v/>
      </c>
      <c r="H1328" t="str">
        <f>IF(D1328="","",INDEX(Knutepunkter!$D:$D,D1328+1))</f>
        <v/>
      </c>
      <c r="I1328" t="str">
        <f>IF(E1328="","",INDEX(Knutepunkter!$B:$B,E1328+1))</f>
        <v/>
      </c>
      <c r="J1328" t="str">
        <f>IF(E1328="","",INDEX(Knutepunkter!$C:$C,E1328+1))</f>
        <v/>
      </c>
      <c r="K1328" t="str">
        <f>IF(E1328="","",INDEX(Knutepunkter!$D:$D,E1328+1))</f>
        <v/>
      </c>
      <c r="L1328" t="str">
        <f t="shared" si="103"/>
        <v/>
      </c>
      <c r="M1328" t="str">
        <f t="shared" si="104"/>
        <v/>
      </c>
    </row>
    <row r="1329" spans="1:13" x14ac:dyDescent="0.3">
      <c r="A1329" t="str">
        <f>Segmenter!A1329</f>
        <v/>
      </c>
      <c r="B1329" t="str">
        <f>Segmenter!B1329</f>
        <v/>
      </c>
      <c r="C1329" t="str">
        <f t="shared" si="100"/>
        <v/>
      </c>
      <c r="D1329" t="str">
        <f t="shared" si="101"/>
        <v/>
      </c>
      <c r="E1329" t="str">
        <f t="shared" si="102"/>
        <v/>
      </c>
      <c r="F1329" t="str">
        <f>IF(D1329="","",INDEX(Knutepunkter!$B:$B,D1329+1))</f>
        <v/>
      </c>
      <c r="G1329" t="str">
        <f>IF(D1329="","",INDEX(Knutepunkter!$C:$C,D1329+1))</f>
        <v/>
      </c>
      <c r="H1329" t="str">
        <f>IF(D1329="","",INDEX(Knutepunkter!$D:$D,D1329+1))</f>
        <v/>
      </c>
      <c r="I1329" t="str">
        <f>IF(E1329="","",INDEX(Knutepunkter!$B:$B,E1329+1))</f>
        <v/>
      </c>
      <c r="J1329" t="str">
        <f>IF(E1329="","",INDEX(Knutepunkter!$C:$C,E1329+1))</f>
        <v/>
      </c>
      <c r="K1329" t="str">
        <f>IF(E1329="","",INDEX(Knutepunkter!$D:$D,E1329+1))</f>
        <v/>
      </c>
      <c r="L1329" t="str">
        <f t="shared" si="103"/>
        <v/>
      </c>
      <c r="M1329" t="str">
        <f t="shared" si="104"/>
        <v/>
      </c>
    </row>
    <row r="1330" spans="1:13" x14ac:dyDescent="0.3">
      <c r="A1330" t="str">
        <f>Segmenter!A1330</f>
        <v/>
      </c>
      <c r="B1330" t="str">
        <f>Segmenter!B1330</f>
        <v/>
      </c>
      <c r="C1330" t="str">
        <f t="shared" si="100"/>
        <v/>
      </c>
      <c r="D1330" t="str">
        <f t="shared" si="101"/>
        <v/>
      </c>
      <c r="E1330" t="str">
        <f t="shared" si="102"/>
        <v/>
      </c>
      <c r="F1330" t="str">
        <f>IF(D1330="","",INDEX(Knutepunkter!$B:$B,D1330+1))</f>
        <v/>
      </c>
      <c r="G1330" t="str">
        <f>IF(D1330="","",INDEX(Knutepunkter!$C:$C,D1330+1))</f>
        <v/>
      </c>
      <c r="H1330" t="str">
        <f>IF(D1330="","",INDEX(Knutepunkter!$D:$D,D1330+1))</f>
        <v/>
      </c>
      <c r="I1330" t="str">
        <f>IF(E1330="","",INDEX(Knutepunkter!$B:$B,E1330+1))</f>
        <v/>
      </c>
      <c r="J1330" t="str">
        <f>IF(E1330="","",INDEX(Knutepunkter!$C:$C,E1330+1))</f>
        <v/>
      </c>
      <c r="K1330" t="str">
        <f>IF(E1330="","",INDEX(Knutepunkter!$D:$D,E1330+1))</f>
        <v/>
      </c>
      <c r="L1330" t="str">
        <f t="shared" si="103"/>
        <v/>
      </c>
      <c r="M1330" t="str">
        <f t="shared" si="104"/>
        <v/>
      </c>
    </row>
    <row r="1331" spans="1:13" x14ac:dyDescent="0.3">
      <c r="A1331" t="str">
        <f>Segmenter!A1331</f>
        <v/>
      </c>
      <c r="B1331" t="str">
        <f>Segmenter!B1331</f>
        <v/>
      </c>
      <c r="C1331" t="str">
        <f t="shared" si="100"/>
        <v/>
      </c>
      <c r="D1331" t="str">
        <f t="shared" si="101"/>
        <v/>
      </c>
      <c r="E1331" t="str">
        <f t="shared" si="102"/>
        <v/>
      </c>
      <c r="F1331" t="str">
        <f>IF(D1331="","",INDEX(Knutepunkter!$B:$B,D1331+1))</f>
        <v/>
      </c>
      <c r="G1331" t="str">
        <f>IF(D1331="","",INDEX(Knutepunkter!$C:$C,D1331+1))</f>
        <v/>
      </c>
      <c r="H1331" t="str">
        <f>IF(D1331="","",INDEX(Knutepunkter!$D:$D,D1331+1))</f>
        <v/>
      </c>
      <c r="I1331" t="str">
        <f>IF(E1331="","",INDEX(Knutepunkter!$B:$B,E1331+1))</f>
        <v/>
      </c>
      <c r="J1331" t="str">
        <f>IF(E1331="","",INDEX(Knutepunkter!$C:$C,E1331+1))</f>
        <v/>
      </c>
      <c r="K1331" t="str">
        <f>IF(E1331="","",INDEX(Knutepunkter!$D:$D,E1331+1))</f>
        <v/>
      </c>
      <c r="L1331" t="str">
        <f t="shared" si="103"/>
        <v/>
      </c>
      <c r="M1331" t="str">
        <f t="shared" si="104"/>
        <v/>
      </c>
    </row>
    <row r="1332" spans="1:13" x14ac:dyDescent="0.3">
      <c r="A1332" t="str">
        <f>Segmenter!A1332</f>
        <v/>
      </c>
      <c r="B1332" t="str">
        <f>Segmenter!B1332</f>
        <v/>
      </c>
      <c r="C1332" t="str">
        <f t="shared" si="100"/>
        <v/>
      </c>
      <c r="D1332" t="str">
        <f t="shared" si="101"/>
        <v/>
      </c>
      <c r="E1332" t="str">
        <f t="shared" si="102"/>
        <v/>
      </c>
      <c r="F1332" t="str">
        <f>IF(D1332="","",INDEX(Knutepunkter!$B:$B,D1332+1))</f>
        <v/>
      </c>
      <c r="G1332" t="str">
        <f>IF(D1332="","",INDEX(Knutepunkter!$C:$C,D1332+1))</f>
        <v/>
      </c>
      <c r="H1332" t="str">
        <f>IF(D1332="","",INDEX(Knutepunkter!$D:$D,D1332+1))</f>
        <v/>
      </c>
      <c r="I1332" t="str">
        <f>IF(E1332="","",INDEX(Knutepunkter!$B:$B,E1332+1))</f>
        <v/>
      </c>
      <c r="J1332" t="str">
        <f>IF(E1332="","",INDEX(Knutepunkter!$C:$C,E1332+1))</f>
        <v/>
      </c>
      <c r="K1332" t="str">
        <f>IF(E1332="","",INDEX(Knutepunkter!$D:$D,E1332+1))</f>
        <v/>
      </c>
      <c r="L1332" t="str">
        <f t="shared" si="103"/>
        <v/>
      </c>
      <c r="M1332" t="str">
        <f t="shared" si="104"/>
        <v/>
      </c>
    </row>
    <row r="1333" spans="1:13" x14ac:dyDescent="0.3">
      <c r="A1333" t="str">
        <f>Segmenter!A1333</f>
        <v/>
      </c>
      <c r="B1333" t="str">
        <f>Segmenter!B1333</f>
        <v/>
      </c>
      <c r="C1333" t="str">
        <f t="shared" si="100"/>
        <v/>
      </c>
      <c r="D1333" t="str">
        <f t="shared" si="101"/>
        <v/>
      </c>
      <c r="E1333" t="str">
        <f t="shared" si="102"/>
        <v/>
      </c>
      <c r="F1333" t="str">
        <f>IF(D1333="","",INDEX(Knutepunkter!$B:$B,D1333+1))</f>
        <v/>
      </c>
      <c r="G1333" t="str">
        <f>IF(D1333="","",INDEX(Knutepunkter!$C:$C,D1333+1))</f>
        <v/>
      </c>
      <c r="H1333" t="str">
        <f>IF(D1333="","",INDEX(Knutepunkter!$D:$D,D1333+1))</f>
        <v/>
      </c>
      <c r="I1333" t="str">
        <f>IF(E1333="","",INDEX(Knutepunkter!$B:$B,E1333+1))</f>
        <v/>
      </c>
      <c r="J1333" t="str">
        <f>IF(E1333="","",INDEX(Knutepunkter!$C:$C,E1333+1))</f>
        <v/>
      </c>
      <c r="K1333" t="str">
        <f>IF(E1333="","",INDEX(Knutepunkter!$D:$D,E1333+1))</f>
        <v/>
      </c>
      <c r="L1333" t="str">
        <f t="shared" si="103"/>
        <v/>
      </c>
      <c r="M1333" t="str">
        <f t="shared" si="104"/>
        <v/>
      </c>
    </row>
    <row r="1334" spans="1:13" x14ac:dyDescent="0.3">
      <c r="A1334" t="str">
        <f>Segmenter!A1334</f>
        <v/>
      </c>
      <c r="B1334" t="str">
        <f>Segmenter!B1334</f>
        <v/>
      </c>
      <c r="C1334" t="str">
        <f t="shared" si="100"/>
        <v/>
      </c>
      <c r="D1334" t="str">
        <f t="shared" si="101"/>
        <v/>
      </c>
      <c r="E1334" t="str">
        <f t="shared" si="102"/>
        <v/>
      </c>
      <c r="F1334" t="str">
        <f>IF(D1334="","",INDEX(Knutepunkter!$B:$B,D1334+1))</f>
        <v/>
      </c>
      <c r="G1334" t="str">
        <f>IF(D1334="","",INDEX(Knutepunkter!$C:$C,D1334+1))</f>
        <v/>
      </c>
      <c r="H1334" t="str">
        <f>IF(D1334="","",INDEX(Knutepunkter!$D:$D,D1334+1))</f>
        <v/>
      </c>
      <c r="I1334" t="str">
        <f>IF(E1334="","",INDEX(Knutepunkter!$B:$B,E1334+1))</f>
        <v/>
      </c>
      <c r="J1334" t="str">
        <f>IF(E1334="","",INDEX(Knutepunkter!$C:$C,E1334+1))</f>
        <v/>
      </c>
      <c r="K1334" t="str">
        <f>IF(E1334="","",INDEX(Knutepunkter!$D:$D,E1334+1))</f>
        <v/>
      </c>
      <c r="L1334" t="str">
        <f t="shared" si="103"/>
        <v/>
      </c>
      <c r="M1334" t="str">
        <f t="shared" si="104"/>
        <v/>
      </c>
    </row>
    <row r="1335" spans="1:13" x14ac:dyDescent="0.3">
      <c r="A1335" t="str">
        <f>Segmenter!A1335</f>
        <v/>
      </c>
      <c r="B1335" t="str">
        <f>Segmenter!B1335</f>
        <v/>
      </c>
      <c r="C1335" t="str">
        <f t="shared" si="100"/>
        <v/>
      </c>
      <c r="D1335" t="str">
        <f t="shared" si="101"/>
        <v/>
      </c>
      <c r="E1335" t="str">
        <f t="shared" si="102"/>
        <v/>
      </c>
      <c r="F1335" t="str">
        <f>IF(D1335="","",INDEX(Knutepunkter!$B:$B,D1335+1))</f>
        <v/>
      </c>
      <c r="G1335" t="str">
        <f>IF(D1335="","",INDEX(Knutepunkter!$C:$C,D1335+1))</f>
        <v/>
      </c>
      <c r="H1335" t="str">
        <f>IF(D1335="","",INDEX(Knutepunkter!$D:$D,D1335+1))</f>
        <v/>
      </c>
      <c r="I1335" t="str">
        <f>IF(E1335="","",INDEX(Knutepunkter!$B:$B,E1335+1))</f>
        <v/>
      </c>
      <c r="J1335" t="str">
        <f>IF(E1335="","",INDEX(Knutepunkter!$C:$C,E1335+1))</f>
        <v/>
      </c>
      <c r="K1335" t="str">
        <f>IF(E1335="","",INDEX(Knutepunkter!$D:$D,E1335+1))</f>
        <v/>
      </c>
      <c r="L1335" t="str">
        <f t="shared" si="103"/>
        <v/>
      </c>
      <c r="M1335" t="str">
        <f t="shared" si="104"/>
        <v/>
      </c>
    </row>
    <row r="1336" spans="1:13" x14ac:dyDescent="0.3">
      <c r="A1336" t="str">
        <f>Segmenter!A1336</f>
        <v/>
      </c>
      <c r="B1336" t="str">
        <f>Segmenter!B1336</f>
        <v/>
      </c>
      <c r="C1336" t="str">
        <f t="shared" si="100"/>
        <v/>
      </c>
      <c r="D1336" t="str">
        <f t="shared" si="101"/>
        <v/>
      </c>
      <c r="E1336" t="str">
        <f t="shared" si="102"/>
        <v/>
      </c>
      <c r="F1336" t="str">
        <f>IF(D1336="","",INDEX(Knutepunkter!$B:$B,D1336+1))</f>
        <v/>
      </c>
      <c r="G1336" t="str">
        <f>IF(D1336="","",INDEX(Knutepunkter!$C:$C,D1336+1))</f>
        <v/>
      </c>
      <c r="H1336" t="str">
        <f>IF(D1336="","",INDEX(Knutepunkter!$D:$D,D1336+1))</f>
        <v/>
      </c>
      <c r="I1336" t="str">
        <f>IF(E1336="","",INDEX(Knutepunkter!$B:$B,E1336+1))</f>
        <v/>
      </c>
      <c r="J1336" t="str">
        <f>IF(E1336="","",INDEX(Knutepunkter!$C:$C,E1336+1))</f>
        <v/>
      </c>
      <c r="K1336" t="str">
        <f>IF(E1336="","",INDEX(Knutepunkter!$D:$D,E1336+1))</f>
        <v/>
      </c>
      <c r="L1336" t="str">
        <f t="shared" si="103"/>
        <v/>
      </c>
      <c r="M1336" t="str">
        <f t="shared" si="104"/>
        <v/>
      </c>
    </row>
    <row r="1337" spans="1:13" x14ac:dyDescent="0.3">
      <c r="A1337" t="str">
        <f>Segmenter!A1337</f>
        <v/>
      </c>
      <c r="B1337" t="str">
        <f>Segmenter!B1337</f>
        <v/>
      </c>
      <c r="C1337" t="str">
        <f t="shared" si="100"/>
        <v/>
      </c>
      <c r="D1337" t="str">
        <f t="shared" si="101"/>
        <v/>
      </c>
      <c r="E1337" t="str">
        <f t="shared" si="102"/>
        <v/>
      </c>
      <c r="F1337" t="str">
        <f>IF(D1337="","",INDEX(Knutepunkter!$B:$B,D1337+1))</f>
        <v/>
      </c>
      <c r="G1337" t="str">
        <f>IF(D1337="","",INDEX(Knutepunkter!$C:$C,D1337+1))</f>
        <v/>
      </c>
      <c r="H1337" t="str">
        <f>IF(D1337="","",INDEX(Knutepunkter!$D:$D,D1337+1))</f>
        <v/>
      </c>
      <c r="I1337" t="str">
        <f>IF(E1337="","",INDEX(Knutepunkter!$B:$B,E1337+1))</f>
        <v/>
      </c>
      <c r="J1337" t="str">
        <f>IF(E1337="","",INDEX(Knutepunkter!$C:$C,E1337+1))</f>
        <v/>
      </c>
      <c r="K1337" t="str">
        <f>IF(E1337="","",INDEX(Knutepunkter!$D:$D,E1337+1))</f>
        <v/>
      </c>
      <c r="L1337" t="str">
        <f t="shared" si="103"/>
        <v/>
      </c>
      <c r="M1337" t="str">
        <f t="shared" si="104"/>
        <v/>
      </c>
    </row>
    <row r="1338" spans="1:13" x14ac:dyDescent="0.3">
      <c r="A1338" t="str">
        <f>Segmenter!A1338</f>
        <v/>
      </c>
      <c r="B1338" t="str">
        <f>Segmenter!B1338</f>
        <v/>
      </c>
      <c r="C1338" t="str">
        <f t="shared" si="100"/>
        <v/>
      </c>
      <c r="D1338" t="str">
        <f t="shared" si="101"/>
        <v/>
      </c>
      <c r="E1338" t="str">
        <f t="shared" si="102"/>
        <v/>
      </c>
      <c r="F1338" t="str">
        <f>IF(D1338="","",INDEX(Knutepunkter!$B:$B,D1338+1))</f>
        <v/>
      </c>
      <c r="G1338" t="str">
        <f>IF(D1338="","",INDEX(Knutepunkter!$C:$C,D1338+1))</f>
        <v/>
      </c>
      <c r="H1338" t="str">
        <f>IF(D1338="","",INDEX(Knutepunkter!$D:$D,D1338+1))</f>
        <v/>
      </c>
      <c r="I1338" t="str">
        <f>IF(E1338="","",INDEX(Knutepunkter!$B:$B,E1338+1))</f>
        <v/>
      </c>
      <c r="J1338" t="str">
        <f>IF(E1338="","",INDEX(Knutepunkter!$C:$C,E1338+1))</f>
        <v/>
      </c>
      <c r="K1338" t="str">
        <f>IF(E1338="","",INDEX(Knutepunkter!$D:$D,E1338+1))</f>
        <v/>
      </c>
      <c r="L1338" t="str">
        <f t="shared" si="103"/>
        <v/>
      </c>
      <c r="M1338" t="str">
        <f t="shared" si="104"/>
        <v/>
      </c>
    </row>
    <row r="1339" spans="1:13" x14ac:dyDescent="0.3">
      <c r="A1339" t="str">
        <f>Segmenter!A1339</f>
        <v/>
      </c>
      <c r="B1339" t="str">
        <f>Segmenter!B1339</f>
        <v/>
      </c>
      <c r="C1339" t="str">
        <f t="shared" si="100"/>
        <v/>
      </c>
      <c r="D1339" t="str">
        <f t="shared" si="101"/>
        <v/>
      </c>
      <c r="E1339" t="str">
        <f t="shared" si="102"/>
        <v/>
      </c>
      <c r="F1339" t="str">
        <f>IF(D1339="","",INDEX(Knutepunkter!$B:$B,D1339+1))</f>
        <v/>
      </c>
      <c r="G1339" t="str">
        <f>IF(D1339="","",INDEX(Knutepunkter!$C:$C,D1339+1))</f>
        <v/>
      </c>
      <c r="H1339" t="str">
        <f>IF(D1339="","",INDEX(Knutepunkter!$D:$D,D1339+1))</f>
        <v/>
      </c>
      <c r="I1339" t="str">
        <f>IF(E1339="","",INDEX(Knutepunkter!$B:$B,E1339+1))</f>
        <v/>
      </c>
      <c r="J1339" t="str">
        <f>IF(E1339="","",INDEX(Knutepunkter!$C:$C,E1339+1))</f>
        <v/>
      </c>
      <c r="K1339" t="str">
        <f>IF(E1339="","",INDEX(Knutepunkter!$D:$D,E1339+1))</f>
        <v/>
      </c>
      <c r="L1339" t="str">
        <f t="shared" si="103"/>
        <v/>
      </c>
      <c r="M1339" t="str">
        <f t="shared" si="104"/>
        <v/>
      </c>
    </row>
    <row r="1340" spans="1:13" x14ac:dyDescent="0.3">
      <c r="A1340" t="str">
        <f>Segmenter!A1340</f>
        <v/>
      </c>
      <c r="B1340" t="str">
        <f>Segmenter!B1340</f>
        <v/>
      </c>
      <c r="C1340" t="str">
        <f t="shared" si="100"/>
        <v/>
      </c>
      <c r="D1340" t="str">
        <f t="shared" si="101"/>
        <v/>
      </c>
      <c r="E1340" t="str">
        <f t="shared" si="102"/>
        <v/>
      </c>
      <c r="F1340" t="str">
        <f>IF(D1340="","",INDEX(Knutepunkter!$B:$B,D1340+1))</f>
        <v/>
      </c>
      <c r="G1340" t="str">
        <f>IF(D1340="","",INDEX(Knutepunkter!$C:$C,D1340+1))</f>
        <v/>
      </c>
      <c r="H1340" t="str">
        <f>IF(D1340="","",INDEX(Knutepunkter!$D:$D,D1340+1))</f>
        <v/>
      </c>
      <c r="I1340" t="str">
        <f>IF(E1340="","",INDEX(Knutepunkter!$B:$B,E1340+1))</f>
        <v/>
      </c>
      <c r="J1340" t="str">
        <f>IF(E1340="","",INDEX(Knutepunkter!$C:$C,E1340+1))</f>
        <v/>
      </c>
      <c r="K1340" t="str">
        <f>IF(E1340="","",INDEX(Knutepunkter!$D:$D,E1340+1))</f>
        <v/>
      </c>
      <c r="L1340" t="str">
        <f t="shared" si="103"/>
        <v/>
      </c>
      <c r="M1340" t="str">
        <f t="shared" si="104"/>
        <v/>
      </c>
    </row>
    <row r="1341" spans="1:13" x14ac:dyDescent="0.3">
      <c r="A1341" t="str">
        <f>Segmenter!A1341</f>
        <v/>
      </c>
      <c r="B1341" t="str">
        <f>Segmenter!B1341</f>
        <v/>
      </c>
      <c r="C1341" t="str">
        <f t="shared" si="100"/>
        <v/>
      </c>
      <c r="D1341" t="str">
        <f t="shared" si="101"/>
        <v/>
      </c>
      <c r="E1341" t="str">
        <f t="shared" si="102"/>
        <v/>
      </c>
      <c r="F1341" t="str">
        <f>IF(D1341="","",INDEX(Knutepunkter!$B:$B,D1341+1))</f>
        <v/>
      </c>
      <c r="G1341" t="str">
        <f>IF(D1341="","",INDEX(Knutepunkter!$C:$C,D1341+1))</f>
        <v/>
      </c>
      <c r="H1341" t="str">
        <f>IF(D1341="","",INDEX(Knutepunkter!$D:$D,D1341+1))</f>
        <v/>
      </c>
      <c r="I1341" t="str">
        <f>IF(E1341="","",INDEX(Knutepunkter!$B:$B,E1341+1))</f>
        <v/>
      </c>
      <c r="J1341" t="str">
        <f>IF(E1341="","",INDEX(Knutepunkter!$C:$C,E1341+1))</f>
        <v/>
      </c>
      <c r="K1341" t="str">
        <f>IF(E1341="","",INDEX(Knutepunkter!$D:$D,E1341+1))</f>
        <v/>
      </c>
      <c r="L1341" t="str">
        <f t="shared" si="103"/>
        <v/>
      </c>
      <c r="M1341" t="str">
        <f t="shared" si="104"/>
        <v/>
      </c>
    </row>
    <row r="1342" spans="1:13" x14ac:dyDescent="0.3">
      <c r="A1342" t="str">
        <f>Segmenter!A1342</f>
        <v/>
      </c>
      <c r="B1342" t="str">
        <f>Segmenter!B1342</f>
        <v/>
      </c>
      <c r="C1342" t="str">
        <f t="shared" si="100"/>
        <v/>
      </c>
      <c r="D1342" t="str">
        <f t="shared" si="101"/>
        <v/>
      </c>
      <c r="E1342" t="str">
        <f t="shared" si="102"/>
        <v/>
      </c>
      <c r="F1342" t="str">
        <f>IF(D1342="","",INDEX(Knutepunkter!$B:$B,D1342+1))</f>
        <v/>
      </c>
      <c r="G1342" t="str">
        <f>IF(D1342="","",INDEX(Knutepunkter!$C:$C,D1342+1))</f>
        <v/>
      </c>
      <c r="H1342" t="str">
        <f>IF(D1342="","",INDEX(Knutepunkter!$D:$D,D1342+1))</f>
        <v/>
      </c>
      <c r="I1342" t="str">
        <f>IF(E1342="","",INDEX(Knutepunkter!$B:$B,E1342+1))</f>
        <v/>
      </c>
      <c r="J1342" t="str">
        <f>IF(E1342="","",INDEX(Knutepunkter!$C:$C,E1342+1))</f>
        <v/>
      </c>
      <c r="K1342" t="str">
        <f>IF(E1342="","",INDEX(Knutepunkter!$D:$D,E1342+1))</f>
        <v/>
      </c>
      <c r="L1342" t="str">
        <f t="shared" si="103"/>
        <v/>
      </c>
      <c r="M1342" t="str">
        <f t="shared" si="104"/>
        <v/>
      </c>
    </row>
    <row r="1343" spans="1:13" x14ac:dyDescent="0.3">
      <c r="A1343" t="str">
        <f>Segmenter!A1343</f>
        <v/>
      </c>
      <c r="B1343" t="str">
        <f>Segmenter!B1343</f>
        <v/>
      </c>
      <c r="C1343" t="str">
        <f t="shared" si="100"/>
        <v/>
      </c>
      <c r="D1343" t="str">
        <f t="shared" si="101"/>
        <v/>
      </c>
      <c r="E1343" t="str">
        <f t="shared" si="102"/>
        <v/>
      </c>
      <c r="F1343" t="str">
        <f>IF(D1343="","",INDEX(Knutepunkter!$B:$B,D1343+1))</f>
        <v/>
      </c>
      <c r="G1343" t="str">
        <f>IF(D1343="","",INDEX(Knutepunkter!$C:$C,D1343+1))</f>
        <v/>
      </c>
      <c r="H1343" t="str">
        <f>IF(D1343="","",INDEX(Knutepunkter!$D:$D,D1343+1))</f>
        <v/>
      </c>
      <c r="I1343" t="str">
        <f>IF(E1343="","",INDEX(Knutepunkter!$B:$B,E1343+1))</f>
        <v/>
      </c>
      <c r="J1343" t="str">
        <f>IF(E1343="","",INDEX(Knutepunkter!$C:$C,E1343+1))</f>
        <v/>
      </c>
      <c r="K1343" t="str">
        <f>IF(E1343="","",INDEX(Knutepunkter!$D:$D,E1343+1))</f>
        <v/>
      </c>
      <c r="L1343" t="str">
        <f t="shared" si="103"/>
        <v/>
      </c>
      <c r="M1343" t="str">
        <f t="shared" si="104"/>
        <v/>
      </c>
    </row>
    <row r="1344" spans="1:13" x14ac:dyDescent="0.3">
      <c r="A1344" t="str">
        <f>Segmenter!A1344</f>
        <v/>
      </c>
      <c r="B1344" t="str">
        <f>Segmenter!B1344</f>
        <v/>
      </c>
      <c r="C1344" t="str">
        <f t="shared" si="100"/>
        <v/>
      </c>
      <c r="D1344" t="str">
        <f t="shared" si="101"/>
        <v/>
      </c>
      <c r="E1344" t="str">
        <f t="shared" si="102"/>
        <v/>
      </c>
      <c r="F1344" t="str">
        <f>IF(D1344="","",INDEX(Knutepunkter!$B:$B,D1344+1))</f>
        <v/>
      </c>
      <c r="G1344" t="str">
        <f>IF(D1344="","",INDEX(Knutepunkter!$C:$C,D1344+1))</f>
        <v/>
      </c>
      <c r="H1344" t="str">
        <f>IF(D1344="","",INDEX(Knutepunkter!$D:$D,D1344+1))</f>
        <v/>
      </c>
      <c r="I1344" t="str">
        <f>IF(E1344="","",INDEX(Knutepunkter!$B:$B,E1344+1))</f>
        <v/>
      </c>
      <c r="J1344" t="str">
        <f>IF(E1344="","",INDEX(Knutepunkter!$C:$C,E1344+1))</f>
        <v/>
      </c>
      <c r="K1344" t="str">
        <f>IF(E1344="","",INDEX(Knutepunkter!$D:$D,E1344+1))</f>
        <v/>
      </c>
      <c r="L1344" t="str">
        <f t="shared" si="103"/>
        <v/>
      </c>
      <c r="M1344" t="str">
        <f t="shared" si="104"/>
        <v/>
      </c>
    </row>
    <row r="1345" spans="1:13" x14ac:dyDescent="0.3">
      <c r="A1345" t="str">
        <f>Segmenter!A1345</f>
        <v/>
      </c>
      <c r="B1345" t="str">
        <f>Segmenter!B1345</f>
        <v/>
      </c>
      <c r="C1345" t="str">
        <f t="shared" si="100"/>
        <v/>
      </c>
      <c r="D1345" t="str">
        <f t="shared" si="101"/>
        <v/>
      </c>
      <c r="E1345" t="str">
        <f t="shared" si="102"/>
        <v/>
      </c>
      <c r="F1345" t="str">
        <f>IF(D1345="","",INDEX(Knutepunkter!$B:$B,D1345+1))</f>
        <v/>
      </c>
      <c r="G1345" t="str">
        <f>IF(D1345="","",INDEX(Knutepunkter!$C:$C,D1345+1))</f>
        <v/>
      </c>
      <c r="H1345" t="str">
        <f>IF(D1345="","",INDEX(Knutepunkter!$D:$D,D1345+1))</f>
        <v/>
      </c>
      <c r="I1345" t="str">
        <f>IF(E1345="","",INDEX(Knutepunkter!$B:$B,E1345+1))</f>
        <v/>
      </c>
      <c r="J1345" t="str">
        <f>IF(E1345="","",INDEX(Knutepunkter!$C:$C,E1345+1))</f>
        <v/>
      </c>
      <c r="K1345" t="str">
        <f>IF(E1345="","",INDEX(Knutepunkter!$D:$D,E1345+1))</f>
        <v/>
      </c>
      <c r="L1345" t="str">
        <f t="shared" si="103"/>
        <v/>
      </c>
      <c r="M1345" t="str">
        <f t="shared" si="104"/>
        <v/>
      </c>
    </row>
    <row r="1346" spans="1:13" x14ac:dyDescent="0.3">
      <c r="A1346" t="str">
        <f>Segmenter!A1346</f>
        <v/>
      </c>
      <c r="B1346" t="str">
        <f>Segmenter!B1346</f>
        <v/>
      </c>
      <c r="C1346" t="str">
        <f t="shared" ref="C1346:C1409" si="105">IF(B1346="","",IF(AND(F1346=I1346,G1346=J1346,H1346&lt;&gt;K1346),"Søyle","Bjelke"))</f>
        <v/>
      </c>
      <c r="D1346" t="str">
        <f t="shared" ref="D1346:D1409" si="106">IF(B1346="","",VALUE(LEFT(B1346,FIND(" -&gt; ",B1346)-1)))</f>
        <v/>
      </c>
      <c r="E1346" t="str">
        <f t="shared" ref="E1346:E1409" si="107">IF(B1346="","",VALUE(MID(B1346,FIND(" -&gt; ",B1346)+4,99)))</f>
        <v/>
      </c>
      <c r="F1346" t="str">
        <f>IF(D1346="","",INDEX(Knutepunkter!$B:$B,D1346+1))</f>
        <v/>
      </c>
      <c r="G1346" t="str">
        <f>IF(D1346="","",INDEX(Knutepunkter!$C:$C,D1346+1))</f>
        <v/>
      </c>
      <c r="H1346" t="str">
        <f>IF(D1346="","",INDEX(Knutepunkter!$D:$D,D1346+1))</f>
        <v/>
      </c>
      <c r="I1346" t="str">
        <f>IF(E1346="","",INDEX(Knutepunkter!$B:$B,E1346+1))</f>
        <v/>
      </c>
      <c r="J1346" t="str">
        <f>IF(E1346="","",INDEX(Knutepunkter!$C:$C,E1346+1))</f>
        <v/>
      </c>
      <c r="K1346" t="str">
        <f>IF(E1346="","",INDEX(Knutepunkter!$D:$D,E1346+1))</f>
        <v/>
      </c>
      <c r="L1346" t="str">
        <f t="shared" ref="L1346:L1409" si="108">IF(B1346="","",SQRT((I1346-F1346)^2+(J1346-G1346)^2+(K1346-H1346)^2))</f>
        <v/>
      </c>
      <c r="M1346" t="str">
        <f t="shared" ref="M1346:M1409" si="109">IF(L1346="","",L1346/1000)</f>
        <v/>
      </c>
    </row>
    <row r="1347" spans="1:13" x14ac:dyDescent="0.3">
      <c r="A1347" t="str">
        <f>Segmenter!A1347</f>
        <v/>
      </c>
      <c r="B1347" t="str">
        <f>Segmenter!B1347</f>
        <v/>
      </c>
      <c r="C1347" t="str">
        <f t="shared" si="105"/>
        <v/>
      </c>
      <c r="D1347" t="str">
        <f t="shared" si="106"/>
        <v/>
      </c>
      <c r="E1347" t="str">
        <f t="shared" si="107"/>
        <v/>
      </c>
      <c r="F1347" t="str">
        <f>IF(D1347="","",INDEX(Knutepunkter!$B:$B,D1347+1))</f>
        <v/>
      </c>
      <c r="G1347" t="str">
        <f>IF(D1347="","",INDEX(Knutepunkter!$C:$C,D1347+1))</f>
        <v/>
      </c>
      <c r="H1347" t="str">
        <f>IF(D1347="","",INDEX(Knutepunkter!$D:$D,D1347+1))</f>
        <v/>
      </c>
      <c r="I1347" t="str">
        <f>IF(E1347="","",INDEX(Knutepunkter!$B:$B,E1347+1))</f>
        <v/>
      </c>
      <c r="J1347" t="str">
        <f>IF(E1347="","",INDEX(Knutepunkter!$C:$C,E1347+1))</f>
        <v/>
      </c>
      <c r="K1347" t="str">
        <f>IF(E1347="","",INDEX(Knutepunkter!$D:$D,E1347+1))</f>
        <v/>
      </c>
      <c r="L1347" t="str">
        <f t="shared" si="108"/>
        <v/>
      </c>
      <c r="M1347" t="str">
        <f t="shared" si="109"/>
        <v/>
      </c>
    </row>
    <row r="1348" spans="1:13" x14ac:dyDescent="0.3">
      <c r="A1348" t="str">
        <f>Segmenter!A1348</f>
        <v/>
      </c>
      <c r="B1348" t="str">
        <f>Segmenter!B1348</f>
        <v/>
      </c>
      <c r="C1348" t="str">
        <f t="shared" si="105"/>
        <v/>
      </c>
      <c r="D1348" t="str">
        <f t="shared" si="106"/>
        <v/>
      </c>
      <c r="E1348" t="str">
        <f t="shared" si="107"/>
        <v/>
      </c>
      <c r="F1348" t="str">
        <f>IF(D1348="","",INDEX(Knutepunkter!$B:$B,D1348+1))</f>
        <v/>
      </c>
      <c r="G1348" t="str">
        <f>IF(D1348="","",INDEX(Knutepunkter!$C:$C,D1348+1))</f>
        <v/>
      </c>
      <c r="H1348" t="str">
        <f>IF(D1348="","",INDEX(Knutepunkter!$D:$D,D1348+1))</f>
        <v/>
      </c>
      <c r="I1348" t="str">
        <f>IF(E1348="","",INDEX(Knutepunkter!$B:$B,E1348+1))</f>
        <v/>
      </c>
      <c r="J1348" t="str">
        <f>IF(E1348="","",INDEX(Knutepunkter!$C:$C,E1348+1))</f>
        <v/>
      </c>
      <c r="K1348" t="str">
        <f>IF(E1348="","",INDEX(Knutepunkter!$D:$D,E1348+1))</f>
        <v/>
      </c>
      <c r="L1348" t="str">
        <f t="shared" si="108"/>
        <v/>
      </c>
      <c r="M1348" t="str">
        <f t="shared" si="109"/>
        <v/>
      </c>
    </row>
    <row r="1349" spans="1:13" x14ac:dyDescent="0.3">
      <c r="A1349" t="str">
        <f>Segmenter!A1349</f>
        <v/>
      </c>
      <c r="B1349" t="str">
        <f>Segmenter!B1349</f>
        <v/>
      </c>
      <c r="C1349" t="str">
        <f t="shared" si="105"/>
        <v/>
      </c>
      <c r="D1349" t="str">
        <f t="shared" si="106"/>
        <v/>
      </c>
      <c r="E1349" t="str">
        <f t="shared" si="107"/>
        <v/>
      </c>
      <c r="F1349" t="str">
        <f>IF(D1349="","",INDEX(Knutepunkter!$B:$B,D1349+1))</f>
        <v/>
      </c>
      <c r="G1349" t="str">
        <f>IF(D1349="","",INDEX(Knutepunkter!$C:$C,D1349+1))</f>
        <v/>
      </c>
      <c r="H1349" t="str">
        <f>IF(D1349="","",INDEX(Knutepunkter!$D:$D,D1349+1))</f>
        <v/>
      </c>
      <c r="I1349" t="str">
        <f>IF(E1349="","",INDEX(Knutepunkter!$B:$B,E1349+1))</f>
        <v/>
      </c>
      <c r="J1349" t="str">
        <f>IF(E1349="","",INDEX(Knutepunkter!$C:$C,E1349+1))</f>
        <v/>
      </c>
      <c r="K1349" t="str">
        <f>IF(E1349="","",INDEX(Knutepunkter!$D:$D,E1349+1))</f>
        <v/>
      </c>
      <c r="L1349" t="str">
        <f t="shared" si="108"/>
        <v/>
      </c>
      <c r="M1349" t="str">
        <f t="shared" si="109"/>
        <v/>
      </c>
    </row>
    <row r="1350" spans="1:13" x14ac:dyDescent="0.3">
      <c r="A1350" t="str">
        <f>Segmenter!A1350</f>
        <v/>
      </c>
      <c r="B1350" t="str">
        <f>Segmenter!B1350</f>
        <v/>
      </c>
      <c r="C1350" t="str">
        <f t="shared" si="105"/>
        <v/>
      </c>
      <c r="D1350" t="str">
        <f t="shared" si="106"/>
        <v/>
      </c>
      <c r="E1350" t="str">
        <f t="shared" si="107"/>
        <v/>
      </c>
      <c r="F1350" t="str">
        <f>IF(D1350="","",INDEX(Knutepunkter!$B:$B,D1350+1))</f>
        <v/>
      </c>
      <c r="G1350" t="str">
        <f>IF(D1350="","",INDEX(Knutepunkter!$C:$C,D1350+1))</f>
        <v/>
      </c>
      <c r="H1350" t="str">
        <f>IF(D1350="","",INDEX(Knutepunkter!$D:$D,D1350+1))</f>
        <v/>
      </c>
      <c r="I1350" t="str">
        <f>IF(E1350="","",INDEX(Knutepunkter!$B:$B,E1350+1))</f>
        <v/>
      </c>
      <c r="J1350" t="str">
        <f>IF(E1350="","",INDEX(Knutepunkter!$C:$C,E1350+1))</f>
        <v/>
      </c>
      <c r="K1350" t="str">
        <f>IF(E1350="","",INDEX(Knutepunkter!$D:$D,E1350+1))</f>
        <v/>
      </c>
      <c r="L1350" t="str">
        <f t="shared" si="108"/>
        <v/>
      </c>
      <c r="M1350" t="str">
        <f t="shared" si="109"/>
        <v/>
      </c>
    </row>
    <row r="1351" spans="1:13" x14ac:dyDescent="0.3">
      <c r="A1351" t="str">
        <f>Segmenter!A1351</f>
        <v/>
      </c>
      <c r="B1351" t="str">
        <f>Segmenter!B1351</f>
        <v/>
      </c>
      <c r="C1351" t="str">
        <f t="shared" si="105"/>
        <v/>
      </c>
      <c r="D1351" t="str">
        <f t="shared" si="106"/>
        <v/>
      </c>
      <c r="E1351" t="str">
        <f t="shared" si="107"/>
        <v/>
      </c>
      <c r="F1351" t="str">
        <f>IF(D1351="","",INDEX(Knutepunkter!$B:$B,D1351+1))</f>
        <v/>
      </c>
      <c r="G1351" t="str">
        <f>IF(D1351="","",INDEX(Knutepunkter!$C:$C,D1351+1))</f>
        <v/>
      </c>
      <c r="H1351" t="str">
        <f>IF(D1351="","",INDEX(Knutepunkter!$D:$D,D1351+1))</f>
        <v/>
      </c>
      <c r="I1351" t="str">
        <f>IF(E1351="","",INDEX(Knutepunkter!$B:$B,E1351+1))</f>
        <v/>
      </c>
      <c r="J1351" t="str">
        <f>IF(E1351="","",INDEX(Knutepunkter!$C:$C,E1351+1))</f>
        <v/>
      </c>
      <c r="K1351" t="str">
        <f>IF(E1351="","",INDEX(Knutepunkter!$D:$D,E1351+1))</f>
        <v/>
      </c>
      <c r="L1351" t="str">
        <f t="shared" si="108"/>
        <v/>
      </c>
      <c r="M1351" t="str">
        <f t="shared" si="109"/>
        <v/>
      </c>
    </row>
    <row r="1352" spans="1:13" x14ac:dyDescent="0.3">
      <c r="A1352" t="str">
        <f>Segmenter!A1352</f>
        <v/>
      </c>
      <c r="B1352" t="str">
        <f>Segmenter!B1352</f>
        <v/>
      </c>
      <c r="C1352" t="str">
        <f t="shared" si="105"/>
        <v/>
      </c>
      <c r="D1352" t="str">
        <f t="shared" si="106"/>
        <v/>
      </c>
      <c r="E1352" t="str">
        <f t="shared" si="107"/>
        <v/>
      </c>
      <c r="F1352" t="str">
        <f>IF(D1352="","",INDEX(Knutepunkter!$B:$B,D1352+1))</f>
        <v/>
      </c>
      <c r="G1352" t="str">
        <f>IF(D1352="","",INDEX(Knutepunkter!$C:$C,D1352+1))</f>
        <v/>
      </c>
      <c r="H1352" t="str">
        <f>IF(D1352="","",INDEX(Knutepunkter!$D:$D,D1352+1))</f>
        <v/>
      </c>
      <c r="I1352" t="str">
        <f>IF(E1352="","",INDEX(Knutepunkter!$B:$B,E1352+1))</f>
        <v/>
      </c>
      <c r="J1352" t="str">
        <f>IF(E1352="","",INDEX(Knutepunkter!$C:$C,E1352+1))</f>
        <v/>
      </c>
      <c r="K1352" t="str">
        <f>IF(E1352="","",INDEX(Knutepunkter!$D:$D,E1352+1))</f>
        <v/>
      </c>
      <c r="L1352" t="str">
        <f t="shared" si="108"/>
        <v/>
      </c>
      <c r="M1352" t="str">
        <f t="shared" si="109"/>
        <v/>
      </c>
    </row>
    <row r="1353" spans="1:13" x14ac:dyDescent="0.3">
      <c r="A1353" t="str">
        <f>Segmenter!A1353</f>
        <v/>
      </c>
      <c r="B1353" t="str">
        <f>Segmenter!B1353</f>
        <v/>
      </c>
      <c r="C1353" t="str">
        <f t="shared" si="105"/>
        <v/>
      </c>
      <c r="D1353" t="str">
        <f t="shared" si="106"/>
        <v/>
      </c>
      <c r="E1353" t="str">
        <f t="shared" si="107"/>
        <v/>
      </c>
      <c r="F1353" t="str">
        <f>IF(D1353="","",INDEX(Knutepunkter!$B:$B,D1353+1))</f>
        <v/>
      </c>
      <c r="G1353" t="str">
        <f>IF(D1353="","",INDEX(Knutepunkter!$C:$C,D1353+1))</f>
        <v/>
      </c>
      <c r="H1353" t="str">
        <f>IF(D1353="","",INDEX(Knutepunkter!$D:$D,D1353+1))</f>
        <v/>
      </c>
      <c r="I1353" t="str">
        <f>IF(E1353="","",INDEX(Knutepunkter!$B:$B,E1353+1))</f>
        <v/>
      </c>
      <c r="J1353" t="str">
        <f>IF(E1353="","",INDEX(Knutepunkter!$C:$C,E1353+1))</f>
        <v/>
      </c>
      <c r="K1353" t="str">
        <f>IF(E1353="","",INDEX(Knutepunkter!$D:$D,E1353+1))</f>
        <v/>
      </c>
      <c r="L1353" t="str">
        <f t="shared" si="108"/>
        <v/>
      </c>
      <c r="M1353" t="str">
        <f t="shared" si="109"/>
        <v/>
      </c>
    </row>
    <row r="1354" spans="1:13" x14ac:dyDescent="0.3">
      <c r="A1354" t="str">
        <f>Segmenter!A1354</f>
        <v/>
      </c>
      <c r="B1354" t="str">
        <f>Segmenter!B1354</f>
        <v/>
      </c>
      <c r="C1354" t="str">
        <f t="shared" si="105"/>
        <v/>
      </c>
      <c r="D1354" t="str">
        <f t="shared" si="106"/>
        <v/>
      </c>
      <c r="E1354" t="str">
        <f t="shared" si="107"/>
        <v/>
      </c>
      <c r="F1354" t="str">
        <f>IF(D1354="","",INDEX(Knutepunkter!$B:$B,D1354+1))</f>
        <v/>
      </c>
      <c r="G1354" t="str">
        <f>IF(D1354="","",INDEX(Knutepunkter!$C:$C,D1354+1))</f>
        <v/>
      </c>
      <c r="H1354" t="str">
        <f>IF(D1354="","",INDEX(Knutepunkter!$D:$D,D1354+1))</f>
        <v/>
      </c>
      <c r="I1354" t="str">
        <f>IF(E1354="","",INDEX(Knutepunkter!$B:$B,E1354+1))</f>
        <v/>
      </c>
      <c r="J1354" t="str">
        <f>IF(E1354="","",INDEX(Knutepunkter!$C:$C,E1354+1))</f>
        <v/>
      </c>
      <c r="K1354" t="str">
        <f>IF(E1354="","",INDEX(Knutepunkter!$D:$D,E1354+1))</f>
        <v/>
      </c>
      <c r="L1354" t="str">
        <f t="shared" si="108"/>
        <v/>
      </c>
      <c r="M1354" t="str">
        <f t="shared" si="109"/>
        <v/>
      </c>
    </row>
    <row r="1355" spans="1:13" x14ac:dyDescent="0.3">
      <c r="A1355" t="str">
        <f>Segmenter!A1355</f>
        <v/>
      </c>
      <c r="B1355" t="str">
        <f>Segmenter!B1355</f>
        <v/>
      </c>
      <c r="C1355" t="str">
        <f t="shared" si="105"/>
        <v/>
      </c>
      <c r="D1355" t="str">
        <f t="shared" si="106"/>
        <v/>
      </c>
      <c r="E1355" t="str">
        <f t="shared" si="107"/>
        <v/>
      </c>
      <c r="F1355" t="str">
        <f>IF(D1355="","",INDEX(Knutepunkter!$B:$B,D1355+1))</f>
        <v/>
      </c>
      <c r="G1355" t="str">
        <f>IF(D1355="","",INDEX(Knutepunkter!$C:$C,D1355+1))</f>
        <v/>
      </c>
      <c r="H1355" t="str">
        <f>IF(D1355="","",INDEX(Knutepunkter!$D:$D,D1355+1))</f>
        <v/>
      </c>
      <c r="I1355" t="str">
        <f>IF(E1355="","",INDEX(Knutepunkter!$B:$B,E1355+1))</f>
        <v/>
      </c>
      <c r="J1355" t="str">
        <f>IF(E1355="","",INDEX(Knutepunkter!$C:$C,E1355+1))</f>
        <v/>
      </c>
      <c r="K1355" t="str">
        <f>IF(E1355="","",INDEX(Knutepunkter!$D:$D,E1355+1))</f>
        <v/>
      </c>
      <c r="L1355" t="str">
        <f t="shared" si="108"/>
        <v/>
      </c>
      <c r="M1355" t="str">
        <f t="shared" si="109"/>
        <v/>
      </c>
    </row>
    <row r="1356" spans="1:13" x14ac:dyDescent="0.3">
      <c r="A1356" t="str">
        <f>Segmenter!A1356</f>
        <v/>
      </c>
      <c r="B1356" t="str">
        <f>Segmenter!B1356</f>
        <v/>
      </c>
      <c r="C1356" t="str">
        <f t="shared" si="105"/>
        <v/>
      </c>
      <c r="D1356" t="str">
        <f t="shared" si="106"/>
        <v/>
      </c>
      <c r="E1356" t="str">
        <f t="shared" si="107"/>
        <v/>
      </c>
      <c r="F1356" t="str">
        <f>IF(D1356="","",INDEX(Knutepunkter!$B:$B,D1356+1))</f>
        <v/>
      </c>
      <c r="G1356" t="str">
        <f>IF(D1356="","",INDEX(Knutepunkter!$C:$C,D1356+1))</f>
        <v/>
      </c>
      <c r="H1356" t="str">
        <f>IF(D1356="","",INDEX(Knutepunkter!$D:$D,D1356+1))</f>
        <v/>
      </c>
      <c r="I1356" t="str">
        <f>IF(E1356="","",INDEX(Knutepunkter!$B:$B,E1356+1))</f>
        <v/>
      </c>
      <c r="J1356" t="str">
        <f>IF(E1356="","",INDEX(Knutepunkter!$C:$C,E1356+1))</f>
        <v/>
      </c>
      <c r="K1356" t="str">
        <f>IF(E1356="","",INDEX(Knutepunkter!$D:$D,E1356+1))</f>
        <v/>
      </c>
      <c r="L1356" t="str">
        <f t="shared" si="108"/>
        <v/>
      </c>
      <c r="M1356" t="str">
        <f t="shared" si="109"/>
        <v/>
      </c>
    </row>
    <row r="1357" spans="1:13" x14ac:dyDescent="0.3">
      <c r="A1357" t="str">
        <f>Segmenter!A1357</f>
        <v/>
      </c>
      <c r="B1357" t="str">
        <f>Segmenter!B1357</f>
        <v/>
      </c>
      <c r="C1357" t="str">
        <f t="shared" si="105"/>
        <v/>
      </c>
      <c r="D1357" t="str">
        <f t="shared" si="106"/>
        <v/>
      </c>
      <c r="E1357" t="str">
        <f t="shared" si="107"/>
        <v/>
      </c>
      <c r="F1357" t="str">
        <f>IF(D1357="","",INDEX(Knutepunkter!$B:$B,D1357+1))</f>
        <v/>
      </c>
      <c r="G1357" t="str">
        <f>IF(D1357="","",INDEX(Knutepunkter!$C:$C,D1357+1))</f>
        <v/>
      </c>
      <c r="H1357" t="str">
        <f>IF(D1357="","",INDEX(Knutepunkter!$D:$D,D1357+1))</f>
        <v/>
      </c>
      <c r="I1357" t="str">
        <f>IF(E1357="","",INDEX(Knutepunkter!$B:$B,E1357+1))</f>
        <v/>
      </c>
      <c r="J1357" t="str">
        <f>IF(E1357="","",INDEX(Knutepunkter!$C:$C,E1357+1))</f>
        <v/>
      </c>
      <c r="K1357" t="str">
        <f>IF(E1357="","",INDEX(Knutepunkter!$D:$D,E1357+1))</f>
        <v/>
      </c>
      <c r="L1357" t="str">
        <f t="shared" si="108"/>
        <v/>
      </c>
      <c r="M1357" t="str">
        <f t="shared" si="109"/>
        <v/>
      </c>
    </row>
    <row r="1358" spans="1:13" x14ac:dyDescent="0.3">
      <c r="A1358" t="str">
        <f>Segmenter!A1358</f>
        <v/>
      </c>
      <c r="B1358" t="str">
        <f>Segmenter!B1358</f>
        <v/>
      </c>
      <c r="C1358" t="str">
        <f t="shared" si="105"/>
        <v/>
      </c>
      <c r="D1358" t="str">
        <f t="shared" si="106"/>
        <v/>
      </c>
      <c r="E1358" t="str">
        <f t="shared" si="107"/>
        <v/>
      </c>
      <c r="F1358" t="str">
        <f>IF(D1358="","",INDEX(Knutepunkter!$B:$B,D1358+1))</f>
        <v/>
      </c>
      <c r="G1358" t="str">
        <f>IF(D1358="","",INDEX(Knutepunkter!$C:$C,D1358+1))</f>
        <v/>
      </c>
      <c r="H1358" t="str">
        <f>IF(D1358="","",INDEX(Knutepunkter!$D:$D,D1358+1))</f>
        <v/>
      </c>
      <c r="I1358" t="str">
        <f>IF(E1358="","",INDEX(Knutepunkter!$B:$B,E1358+1))</f>
        <v/>
      </c>
      <c r="J1358" t="str">
        <f>IF(E1358="","",INDEX(Knutepunkter!$C:$C,E1358+1))</f>
        <v/>
      </c>
      <c r="K1358" t="str">
        <f>IF(E1358="","",INDEX(Knutepunkter!$D:$D,E1358+1))</f>
        <v/>
      </c>
      <c r="L1358" t="str">
        <f t="shared" si="108"/>
        <v/>
      </c>
      <c r="M1358" t="str">
        <f t="shared" si="109"/>
        <v/>
      </c>
    </row>
    <row r="1359" spans="1:13" x14ac:dyDescent="0.3">
      <c r="A1359" t="str">
        <f>Segmenter!A1359</f>
        <v/>
      </c>
      <c r="B1359" t="str">
        <f>Segmenter!B1359</f>
        <v/>
      </c>
      <c r="C1359" t="str">
        <f t="shared" si="105"/>
        <v/>
      </c>
      <c r="D1359" t="str">
        <f t="shared" si="106"/>
        <v/>
      </c>
      <c r="E1359" t="str">
        <f t="shared" si="107"/>
        <v/>
      </c>
      <c r="F1359" t="str">
        <f>IF(D1359="","",INDEX(Knutepunkter!$B:$B,D1359+1))</f>
        <v/>
      </c>
      <c r="G1359" t="str">
        <f>IF(D1359="","",INDEX(Knutepunkter!$C:$C,D1359+1))</f>
        <v/>
      </c>
      <c r="H1359" t="str">
        <f>IF(D1359="","",INDEX(Knutepunkter!$D:$D,D1359+1))</f>
        <v/>
      </c>
      <c r="I1359" t="str">
        <f>IF(E1359="","",INDEX(Knutepunkter!$B:$B,E1359+1))</f>
        <v/>
      </c>
      <c r="J1359" t="str">
        <f>IF(E1359="","",INDEX(Knutepunkter!$C:$C,E1359+1))</f>
        <v/>
      </c>
      <c r="K1359" t="str">
        <f>IF(E1359="","",INDEX(Knutepunkter!$D:$D,E1359+1))</f>
        <v/>
      </c>
      <c r="L1359" t="str">
        <f t="shared" si="108"/>
        <v/>
      </c>
      <c r="M1359" t="str">
        <f t="shared" si="109"/>
        <v/>
      </c>
    </row>
    <row r="1360" spans="1:13" x14ac:dyDescent="0.3">
      <c r="A1360" t="str">
        <f>Segmenter!A1360</f>
        <v/>
      </c>
      <c r="B1360" t="str">
        <f>Segmenter!B1360</f>
        <v/>
      </c>
      <c r="C1360" t="str">
        <f t="shared" si="105"/>
        <v/>
      </c>
      <c r="D1360" t="str">
        <f t="shared" si="106"/>
        <v/>
      </c>
      <c r="E1360" t="str">
        <f t="shared" si="107"/>
        <v/>
      </c>
      <c r="F1360" t="str">
        <f>IF(D1360="","",INDEX(Knutepunkter!$B:$B,D1360+1))</f>
        <v/>
      </c>
      <c r="G1360" t="str">
        <f>IF(D1360="","",INDEX(Knutepunkter!$C:$C,D1360+1))</f>
        <v/>
      </c>
      <c r="H1360" t="str">
        <f>IF(D1360="","",INDEX(Knutepunkter!$D:$D,D1360+1))</f>
        <v/>
      </c>
      <c r="I1360" t="str">
        <f>IF(E1360="","",INDEX(Knutepunkter!$B:$B,E1360+1))</f>
        <v/>
      </c>
      <c r="J1360" t="str">
        <f>IF(E1360="","",INDEX(Knutepunkter!$C:$C,E1360+1))</f>
        <v/>
      </c>
      <c r="K1360" t="str">
        <f>IF(E1360="","",INDEX(Knutepunkter!$D:$D,E1360+1))</f>
        <v/>
      </c>
      <c r="L1360" t="str">
        <f t="shared" si="108"/>
        <v/>
      </c>
      <c r="M1360" t="str">
        <f t="shared" si="109"/>
        <v/>
      </c>
    </row>
    <row r="1361" spans="1:13" x14ac:dyDescent="0.3">
      <c r="A1361" t="str">
        <f>Segmenter!A1361</f>
        <v/>
      </c>
      <c r="B1361" t="str">
        <f>Segmenter!B1361</f>
        <v/>
      </c>
      <c r="C1361" t="str">
        <f t="shared" si="105"/>
        <v/>
      </c>
      <c r="D1361" t="str">
        <f t="shared" si="106"/>
        <v/>
      </c>
      <c r="E1361" t="str">
        <f t="shared" si="107"/>
        <v/>
      </c>
      <c r="F1361" t="str">
        <f>IF(D1361="","",INDEX(Knutepunkter!$B:$B,D1361+1))</f>
        <v/>
      </c>
      <c r="G1361" t="str">
        <f>IF(D1361="","",INDEX(Knutepunkter!$C:$C,D1361+1))</f>
        <v/>
      </c>
      <c r="H1361" t="str">
        <f>IF(D1361="","",INDEX(Knutepunkter!$D:$D,D1361+1))</f>
        <v/>
      </c>
      <c r="I1361" t="str">
        <f>IF(E1361="","",INDEX(Knutepunkter!$B:$B,E1361+1))</f>
        <v/>
      </c>
      <c r="J1361" t="str">
        <f>IF(E1361="","",INDEX(Knutepunkter!$C:$C,E1361+1))</f>
        <v/>
      </c>
      <c r="K1361" t="str">
        <f>IF(E1361="","",INDEX(Knutepunkter!$D:$D,E1361+1))</f>
        <v/>
      </c>
      <c r="L1361" t="str">
        <f t="shared" si="108"/>
        <v/>
      </c>
      <c r="M1361" t="str">
        <f t="shared" si="109"/>
        <v/>
      </c>
    </row>
    <row r="1362" spans="1:13" x14ac:dyDescent="0.3">
      <c r="A1362" t="str">
        <f>Segmenter!A1362</f>
        <v/>
      </c>
      <c r="B1362" t="str">
        <f>Segmenter!B1362</f>
        <v/>
      </c>
      <c r="C1362" t="str">
        <f t="shared" si="105"/>
        <v/>
      </c>
      <c r="D1362" t="str">
        <f t="shared" si="106"/>
        <v/>
      </c>
      <c r="E1362" t="str">
        <f t="shared" si="107"/>
        <v/>
      </c>
      <c r="F1362" t="str">
        <f>IF(D1362="","",INDEX(Knutepunkter!$B:$B,D1362+1))</f>
        <v/>
      </c>
      <c r="G1362" t="str">
        <f>IF(D1362="","",INDEX(Knutepunkter!$C:$C,D1362+1))</f>
        <v/>
      </c>
      <c r="H1362" t="str">
        <f>IF(D1362="","",INDEX(Knutepunkter!$D:$D,D1362+1))</f>
        <v/>
      </c>
      <c r="I1362" t="str">
        <f>IF(E1362="","",INDEX(Knutepunkter!$B:$B,E1362+1))</f>
        <v/>
      </c>
      <c r="J1362" t="str">
        <f>IF(E1362="","",INDEX(Knutepunkter!$C:$C,E1362+1))</f>
        <v/>
      </c>
      <c r="K1362" t="str">
        <f>IF(E1362="","",INDEX(Knutepunkter!$D:$D,E1362+1))</f>
        <v/>
      </c>
      <c r="L1362" t="str">
        <f t="shared" si="108"/>
        <v/>
      </c>
      <c r="M1362" t="str">
        <f t="shared" si="109"/>
        <v/>
      </c>
    </row>
    <row r="1363" spans="1:13" x14ac:dyDescent="0.3">
      <c r="A1363" t="str">
        <f>Segmenter!A1363</f>
        <v/>
      </c>
      <c r="B1363" t="str">
        <f>Segmenter!B1363</f>
        <v/>
      </c>
      <c r="C1363" t="str">
        <f t="shared" si="105"/>
        <v/>
      </c>
      <c r="D1363" t="str">
        <f t="shared" si="106"/>
        <v/>
      </c>
      <c r="E1363" t="str">
        <f t="shared" si="107"/>
        <v/>
      </c>
      <c r="F1363" t="str">
        <f>IF(D1363="","",INDEX(Knutepunkter!$B:$B,D1363+1))</f>
        <v/>
      </c>
      <c r="G1363" t="str">
        <f>IF(D1363="","",INDEX(Knutepunkter!$C:$C,D1363+1))</f>
        <v/>
      </c>
      <c r="H1363" t="str">
        <f>IF(D1363="","",INDEX(Knutepunkter!$D:$D,D1363+1))</f>
        <v/>
      </c>
      <c r="I1363" t="str">
        <f>IF(E1363="","",INDEX(Knutepunkter!$B:$B,E1363+1))</f>
        <v/>
      </c>
      <c r="J1363" t="str">
        <f>IF(E1363="","",INDEX(Knutepunkter!$C:$C,E1363+1))</f>
        <v/>
      </c>
      <c r="K1363" t="str">
        <f>IF(E1363="","",INDEX(Knutepunkter!$D:$D,E1363+1))</f>
        <v/>
      </c>
      <c r="L1363" t="str">
        <f t="shared" si="108"/>
        <v/>
      </c>
      <c r="M1363" t="str">
        <f t="shared" si="109"/>
        <v/>
      </c>
    </row>
    <row r="1364" spans="1:13" x14ac:dyDescent="0.3">
      <c r="A1364" t="str">
        <f>Segmenter!A1364</f>
        <v/>
      </c>
      <c r="B1364" t="str">
        <f>Segmenter!B1364</f>
        <v/>
      </c>
      <c r="C1364" t="str">
        <f t="shared" si="105"/>
        <v/>
      </c>
      <c r="D1364" t="str">
        <f t="shared" si="106"/>
        <v/>
      </c>
      <c r="E1364" t="str">
        <f t="shared" si="107"/>
        <v/>
      </c>
      <c r="F1364" t="str">
        <f>IF(D1364="","",INDEX(Knutepunkter!$B:$B,D1364+1))</f>
        <v/>
      </c>
      <c r="G1364" t="str">
        <f>IF(D1364="","",INDEX(Knutepunkter!$C:$C,D1364+1))</f>
        <v/>
      </c>
      <c r="H1364" t="str">
        <f>IF(D1364="","",INDEX(Knutepunkter!$D:$D,D1364+1))</f>
        <v/>
      </c>
      <c r="I1364" t="str">
        <f>IF(E1364="","",INDEX(Knutepunkter!$B:$B,E1364+1))</f>
        <v/>
      </c>
      <c r="J1364" t="str">
        <f>IF(E1364="","",INDEX(Knutepunkter!$C:$C,E1364+1))</f>
        <v/>
      </c>
      <c r="K1364" t="str">
        <f>IF(E1364="","",INDEX(Knutepunkter!$D:$D,E1364+1))</f>
        <v/>
      </c>
      <c r="L1364" t="str">
        <f t="shared" si="108"/>
        <v/>
      </c>
      <c r="M1364" t="str">
        <f t="shared" si="109"/>
        <v/>
      </c>
    </row>
    <row r="1365" spans="1:13" x14ac:dyDescent="0.3">
      <c r="A1365" t="str">
        <f>Segmenter!A1365</f>
        <v/>
      </c>
      <c r="B1365" t="str">
        <f>Segmenter!B1365</f>
        <v/>
      </c>
      <c r="C1365" t="str">
        <f t="shared" si="105"/>
        <v/>
      </c>
      <c r="D1365" t="str">
        <f t="shared" si="106"/>
        <v/>
      </c>
      <c r="E1365" t="str">
        <f t="shared" si="107"/>
        <v/>
      </c>
      <c r="F1365" t="str">
        <f>IF(D1365="","",INDEX(Knutepunkter!$B:$B,D1365+1))</f>
        <v/>
      </c>
      <c r="G1365" t="str">
        <f>IF(D1365="","",INDEX(Knutepunkter!$C:$C,D1365+1))</f>
        <v/>
      </c>
      <c r="H1365" t="str">
        <f>IF(D1365="","",INDEX(Knutepunkter!$D:$D,D1365+1))</f>
        <v/>
      </c>
      <c r="I1365" t="str">
        <f>IF(E1365="","",INDEX(Knutepunkter!$B:$B,E1365+1))</f>
        <v/>
      </c>
      <c r="J1365" t="str">
        <f>IF(E1365="","",INDEX(Knutepunkter!$C:$C,E1365+1))</f>
        <v/>
      </c>
      <c r="K1365" t="str">
        <f>IF(E1365="","",INDEX(Knutepunkter!$D:$D,E1365+1))</f>
        <v/>
      </c>
      <c r="L1365" t="str">
        <f t="shared" si="108"/>
        <v/>
      </c>
      <c r="M1365" t="str">
        <f t="shared" si="109"/>
        <v/>
      </c>
    </row>
    <row r="1366" spans="1:13" x14ac:dyDescent="0.3">
      <c r="A1366" t="str">
        <f>Segmenter!A1366</f>
        <v/>
      </c>
      <c r="B1366" t="str">
        <f>Segmenter!B1366</f>
        <v/>
      </c>
      <c r="C1366" t="str">
        <f t="shared" si="105"/>
        <v/>
      </c>
      <c r="D1366" t="str">
        <f t="shared" si="106"/>
        <v/>
      </c>
      <c r="E1366" t="str">
        <f t="shared" si="107"/>
        <v/>
      </c>
      <c r="F1366" t="str">
        <f>IF(D1366="","",INDEX(Knutepunkter!$B:$B,D1366+1))</f>
        <v/>
      </c>
      <c r="G1366" t="str">
        <f>IF(D1366="","",INDEX(Knutepunkter!$C:$C,D1366+1))</f>
        <v/>
      </c>
      <c r="H1366" t="str">
        <f>IF(D1366="","",INDEX(Knutepunkter!$D:$D,D1366+1))</f>
        <v/>
      </c>
      <c r="I1366" t="str">
        <f>IF(E1366="","",INDEX(Knutepunkter!$B:$B,E1366+1))</f>
        <v/>
      </c>
      <c r="J1366" t="str">
        <f>IF(E1366="","",INDEX(Knutepunkter!$C:$C,E1366+1))</f>
        <v/>
      </c>
      <c r="K1366" t="str">
        <f>IF(E1366="","",INDEX(Knutepunkter!$D:$D,E1366+1))</f>
        <v/>
      </c>
      <c r="L1366" t="str">
        <f t="shared" si="108"/>
        <v/>
      </c>
      <c r="M1366" t="str">
        <f t="shared" si="109"/>
        <v/>
      </c>
    </row>
    <row r="1367" spans="1:13" x14ac:dyDescent="0.3">
      <c r="A1367" t="str">
        <f>Segmenter!A1367</f>
        <v/>
      </c>
      <c r="B1367" t="str">
        <f>Segmenter!B1367</f>
        <v/>
      </c>
      <c r="C1367" t="str">
        <f t="shared" si="105"/>
        <v/>
      </c>
      <c r="D1367" t="str">
        <f t="shared" si="106"/>
        <v/>
      </c>
      <c r="E1367" t="str">
        <f t="shared" si="107"/>
        <v/>
      </c>
      <c r="F1367" t="str">
        <f>IF(D1367="","",INDEX(Knutepunkter!$B:$B,D1367+1))</f>
        <v/>
      </c>
      <c r="G1367" t="str">
        <f>IF(D1367="","",INDEX(Knutepunkter!$C:$C,D1367+1))</f>
        <v/>
      </c>
      <c r="H1367" t="str">
        <f>IF(D1367="","",INDEX(Knutepunkter!$D:$D,D1367+1))</f>
        <v/>
      </c>
      <c r="I1367" t="str">
        <f>IF(E1367="","",INDEX(Knutepunkter!$B:$B,E1367+1))</f>
        <v/>
      </c>
      <c r="J1367" t="str">
        <f>IF(E1367="","",INDEX(Knutepunkter!$C:$C,E1367+1))</f>
        <v/>
      </c>
      <c r="K1367" t="str">
        <f>IF(E1367="","",INDEX(Knutepunkter!$D:$D,E1367+1))</f>
        <v/>
      </c>
      <c r="L1367" t="str">
        <f t="shared" si="108"/>
        <v/>
      </c>
      <c r="M1367" t="str">
        <f t="shared" si="109"/>
        <v/>
      </c>
    </row>
    <row r="1368" spans="1:13" x14ac:dyDescent="0.3">
      <c r="A1368" t="str">
        <f>Segmenter!A1368</f>
        <v/>
      </c>
      <c r="B1368" t="str">
        <f>Segmenter!B1368</f>
        <v/>
      </c>
      <c r="C1368" t="str">
        <f t="shared" si="105"/>
        <v/>
      </c>
      <c r="D1368" t="str">
        <f t="shared" si="106"/>
        <v/>
      </c>
      <c r="E1368" t="str">
        <f t="shared" si="107"/>
        <v/>
      </c>
      <c r="F1368" t="str">
        <f>IF(D1368="","",INDEX(Knutepunkter!$B:$B,D1368+1))</f>
        <v/>
      </c>
      <c r="G1368" t="str">
        <f>IF(D1368="","",INDEX(Knutepunkter!$C:$C,D1368+1))</f>
        <v/>
      </c>
      <c r="H1368" t="str">
        <f>IF(D1368="","",INDEX(Knutepunkter!$D:$D,D1368+1))</f>
        <v/>
      </c>
      <c r="I1368" t="str">
        <f>IF(E1368="","",INDEX(Knutepunkter!$B:$B,E1368+1))</f>
        <v/>
      </c>
      <c r="J1368" t="str">
        <f>IF(E1368="","",INDEX(Knutepunkter!$C:$C,E1368+1))</f>
        <v/>
      </c>
      <c r="K1368" t="str">
        <f>IF(E1368="","",INDEX(Knutepunkter!$D:$D,E1368+1))</f>
        <v/>
      </c>
      <c r="L1368" t="str">
        <f t="shared" si="108"/>
        <v/>
      </c>
      <c r="M1368" t="str">
        <f t="shared" si="109"/>
        <v/>
      </c>
    </row>
    <row r="1369" spans="1:13" x14ac:dyDescent="0.3">
      <c r="A1369" t="str">
        <f>Segmenter!A1369</f>
        <v/>
      </c>
      <c r="B1369" t="str">
        <f>Segmenter!B1369</f>
        <v/>
      </c>
      <c r="C1369" t="str">
        <f t="shared" si="105"/>
        <v/>
      </c>
      <c r="D1369" t="str">
        <f t="shared" si="106"/>
        <v/>
      </c>
      <c r="E1369" t="str">
        <f t="shared" si="107"/>
        <v/>
      </c>
      <c r="F1369" t="str">
        <f>IF(D1369="","",INDEX(Knutepunkter!$B:$B,D1369+1))</f>
        <v/>
      </c>
      <c r="G1369" t="str">
        <f>IF(D1369="","",INDEX(Knutepunkter!$C:$C,D1369+1))</f>
        <v/>
      </c>
      <c r="H1369" t="str">
        <f>IF(D1369="","",INDEX(Knutepunkter!$D:$D,D1369+1))</f>
        <v/>
      </c>
      <c r="I1369" t="str">
        <f>IF(E1369="","",INDEX(Knutepunkter!$B:$B,E1369+1))</f>
        <v/>
      </c>
      <c r="J1369" t="str">
        <f>IF(E1369="","",INDEX(Knutepunkter!$C:$C,E1369+1))</f>
        <v/>
      </c>
      <c r="K1369" t="str">
        <f>IF(E1369="","",INDEX(Knutepunkter!$D:$D,E1369+1))</f>
        <v/>
      </c>
      <c r="L1369" t="str">
        <f t="shared" si="108"/>
        <v/>
      </c>
      <c r="M1369" t="str">
        <f t="shared" si="109"/>
        <v/>
      </c>
    </row>
    <row r="1370" spans="1:13" x14ac:dyDescent="0.3">
      <c r="A1370" t="str">
        <f>Segmenter!A1370</f>
        <v/>
      </c>
      <c r="B1370" t="str">
        <f>Segmenter!B1370</f>
        <v/>
      </c>
      <c r="C1370" t="str">
        <f t="shared" si="105"/>
        <v/>
      </c>
      <c r="D1370" t="str">
        <f t="shared" si="106"/>
        <v/>
      </c>
      <c r="E1370" t="str">
        <f t="shared" si="107"/>
        <v/>
      </c>
      <c r="F1370" t="str">
        <f>IF(D1370="","",INDEX(Knutepunkter!$B:$B,D1370+1))</f>
        <v/>
      </c>
      <c r="G1370" t="str">
        <f>IF(D1370="","",INDEX(Knutepunkter!$C:$C,D1370+1))</f>
        <v/>
      </c>
      <c r="H1370" t="str">
        <f>IF(D1370="","",INDEX(Knutepunkter!$D:$D,D1370+1))</f>
        <v/>
      </c>
      <c r="I1370" t="str">
        <f>IF(E1370="","",INDEX(Knutepunkter!$B:$B,E1370+1))</f>
        <v/>
      </c>
      <c r="J1370" t="str">
        <f>IF(E1370="","",INDEX(Knutepunkter!$C:$C,E1370+1))</f>
        <v/>
      </c>
      <c r="K1370" t="str">
        <f>IF(E1370="","",INDEX(Knutepunkter!$D:$D,E1370+1))</f>
        <v/>
      </c>
      <c r="L1370" t="str">
        <f t="shared" si="108"/>
        <v/>
      </c>
      <c r="M1370" t="str">
        <f t="shared" si="109"/>
        <v/>
      </c>
    </row>
    <row r="1371" spans="1:13" x14ac:dyDescent="0.3">
      <c r="A1371" t="str">
        <f>Segmenter!A1371</f>
        <v/>
      </c>
      <c r="B1371" t="str">
        <f>Segmenter!B1371</f>
        <v/>
      </c>
      <c r="C1371" t="str">
        <f t="shared" si="105"/>
        <v/>
      </c>
      <c r="D1371" t="str">
        <f t="shared" si="106"/>
        <v/>
      </c>
      <c r="E1371" t="str">
        <f t="shared" si="107"/>
        <v/>
      </c>
      <c r="F1371" t="str">
        <f>IF(D1371="","",INDEX(Knutepunkter!$B:$B,D1371+1))</f>
        <v/>
      </c>
      <c r="G1371" t="str">
        <f>IF(D1371="","",INDEX(Knutepunkter!$C:$C,D1371+1))</f>
        <v/>
      </c>
      <c r="H1371" t="str">
        <f>IF(D1371="","",INDEX(Knutepunkter!$D:$D,D1371+1))</f>
        <v/>
      </c>
      <c r="I1371" t="str">
        <f>IF(E1371="","",INDEX(Knutepunkter!$B:$B,E1371+1))</f>
        <v/>
      </c>
      <c r="J1371" t="str">
        <f>IF(E1371="","",INDEX(Knutepunkter!$C:$C,E1371+1))</f>
        <v/>
      </c>
      <c r="K1371" t="str">
        <f>IF(E1371="","",INDEX(Knutepunkter!$D:$D,E1371+1))</f>
        <v/>
      </c>
      <c r="L1371" t="str">
        <f t="shared" si="108"/>
        <v/>
      </c>
      <c r="M1371" t="str">
        <f t="shared" si="109"/>
        <v/>
      </c>
    </row>
    <row r="1372" spans="1:13" x14ac:dyDescent="0.3">
      <c r="A1372" t="str">
        <f>Segmenter!A1372</f>
        <v/>
      </c>
      <c r="B1372" t="str">
        <f>Segmenter!B1372</f>
        <v/>
      </c>
      <c r="C1372" t="str">
        <f t="shared" si="105"/>
        <v/>
      </c>
      <c r="D1372" t="str">
        <f t="shared" si="106"/>
        <v/>
      </c>
      <c r="E1372" t="str">
        <f t="shared" si="107"/>
        <v/>
      </c>
      <c r="F1372" t="str">
        <f>IF(D1372="","",INDEX(Knutepunkter!$B:$B,D1372+1))</f>
        <v/>
      </c>
      <c r="G1372" t="str">
        <f>IF(D1372="","",INDEX(Knutepunkter!$C:$C,D1372+1))</f>
        <v/>
      </c>
      <c r="H1372" t="str">
        <f>IF(D1372="","",INDEX(Knutepunkter!$D:$D,D1372+1))</f>
        <v/>
      </c>
      <c r="I1372" t="str">
        <f>IF(E1372="","",INDEX(Knutepunkter!$B:$B,E1372+1))</f>
        <v/>
      </c>
      <c r="J1372" t="str">
        <f>IF(E1372="","",INDEX(Knutepunkter!$C:$C,E1372+1))</f>
        <v/>
      </c>
      <c r="K1372" t="str">
        <f>IF(E1372="","",INDEX(Knutepunkter!$D:$D,E1372+1))</f>
        <v/>
      </c>
      <c r="L1372" t="str">
        <f t="shared" si="108"/>
        <v/>
      </c>
      <c r="M1372" t="str">
        <f t="shared" si="109"/>
        <v/>
      </c>
    </row>
    <row r="1373" spans="1:13" x14ac:dyDescent="0.3">
      <c r="A1373" t="str">
        <f>Segmenter!A1373</f>
        <v/>
      </c>
      <c r="B1373" t="str">
        <f>Segmenter!B1373</f>
        <v/>
      </c>
      <c r="C1373" t="str">
        <f t="shared" si="105"/>
        <v/>
      </c>
      <c r="D1373" t="str">
        <f t="shared" si="106"/>
        <v/>
      </c>
      <c r="E1373" t="str">
        <f t="shared" si="107"/>
        <v/>
      </c>
      <c r="F1373" t="str">
        <f>IF(D1373="","",INDEX(Knutepunkter!$B:$B,D1373+1))</f>
        <v/>
      </c>
      <c r="G1373" t="str">
        <f>IF(D1373="","",INDEX(Knutepunkter!$C:$C,D1373+1))</f>
        <v/>
      </c>
      <c r="H1373" t="str">
        <f>IF(D1373="","",INDEX(Knutepunkter!$D:$D,D1373+1))</f>
        <v/>
      </c>
      <c r="I1373" t="str">
        <f>IF(E1373="","",INDEX(Knutepunkter!$B:$B,E1373+1))</f>
        <v/>
      </c>
      <c r="J1373" t="str">
        <f>IF(E1373="","",INDEX(Knutepunkter!$C:$C,E1373+1))</f>
        <v/>
      </c>
      <c r="K1373" t="str">
        <f>IF(E1373="","",INDEX(Knutepunkter!$D:$D,E1373+1))</f>
        <v/>
      </c>
      <c r="L1373" t="str">
        <f t="shared" si="108"/>
        <v/>
      </c>
      <c r="M1373" t="str">
        <f t="shared" si="109"/>
        <v/>
      </c>
    </row>
    <row r="1374" spans="1:13" x14ac:dyDescent="0.3">
      <c r="A1374" t="str">
        <f>Segmenter!A1374</f>
        <v/>
      </c>
      <c r="B1374" t="str">
        <f>Segmenter!B1374</f>
        <v/>
      </c>
      <c r="C1374" t="str">
        <f t="shared" si="105"/>
        <v/>
      </c>
      <c r="D1374" t="str">
        <f t="shared" si="106"/>
        <v/>
      </c>
      <c r="E1374" t="str">
        <f t="shared" si="107"/>
        <v/>
      </c>
      <c r="F1374" t="str">
        <f>IF(D1374="","",INDEX(Knutepunkter!$B:$B,D1374+1))</f>
        <v/>
      </c>
      <c r="G1374" t="str">
        <f>IF(D1374="","",INDEX(Knutepunkter!$C:$C,D1374+1))</f>
        <v/>
      </c>
      <c r="H1374" t="str">
        <f>IF(D1374="","",INDEX(Knutepunkter!$D:$D,D1374+1))</f>
        <v/>
      </c>
      <c r="I1374" t="str">
        <f>IF(E1374="","",INDEX(Knutepunkter!$B:$B,E1374+1))</f>
        <v/>
      </c>
      <c r="J1374" t="str">
        <f>IF(E1374="","",INDEX(Knutepunkter!$C:$C,E1374+1))</f>
        <v/>
      </c>
      <c r="K1374" t="str">
        <f>IF(E1374="","",INDEX(Knutepunkter!$D:$D,E1374+1))</f>
        <v/>
      </c>
      <c r="L1374" t="str">
        <f t="shared" si="108"/>
        <v/>
      </c>
      <c r="M1374" t="str">
        <f t="shared" si="109"/>
        <v/>
      </c>
    </row>
    <row r="1375" spans="1:13" x14ac:dyDescent="0.3">
      <c r="A1375" t="str">
        <f>Segmenter!A1375</f>
        <v/>
      </c>
      <c r="B1375" t="str">
        <f>Segmenter!B1375</f>
        <v/>
      </c>
      <c r="C1375" t="str">
        <f t="shared" si="105"/>
        <v/>
      </c>
      <c r="D1375" t="str">
        <f t="shared" si="106"/>
        <v/>
      </c>
      <c r="E1375" t="str">
        <f t="shared" si="107"/>
        <v/>
      </c>
      <c r="F1375" t="str">
        <f>IF(D1375="","",INDEX(Knutepunkter!$B:$B,D1375+1))</f>
        <v/>
      </c>
      <c r="G1375" t="str">
        <f>IF(D1375="","",INDEX(Knutepunkter!$C:$C,D1375+1))</f>
        <v/>
      </c>
      <c r="H1375" t="str">
        <f>IF(D1375="","",INDEX(Knutepunkter!$D:$D,D1375+1))</f>
        <v/>
      </c>
      <c r="I1375" t="str">
        <f>IF(E1375="","",INDEX(Knutepunkter!$B:$B,E1375+1))</f>
        <v/>
      </c>
      <c r="J1375" t="str">
        <f>IF(E1375="","",INDEX(Knutepunkter!$C:$C,E1375+1))</f>
        <v/>
      </c>
      <c r="K1375" t="str">
        <f>IF(E1375="","",INDEX(Knutepunkter!$D:$D,E1375+1))</f>
        <v/>
      </c>
      <c r="L1375" t="str">
        <f t="shared" si="108"/>
        <v/>
      </c>
      <c r="M1375" t="str">
        <f t="shared" si="109"/>
        <v/>
      </c>
    </row>
    <row r="1376" spans="1:13" x14ac:dyDescent="0.3">
      <c r="A1376" t="str">
        <f>Segmenter!A1376</f>
        <v/>
      </c>
      <c r="B1376" t="str">
        <f>Segmenter!B1376</f>
        <v/>
      </c>
      <c r="C1376" t="str">
        <f t="shared" si="105"/>
        <v/>
      </c>
      <c r="D1376" t="str">
        <f t="shared" si="106"/>
        <v/>
      </c>
      <c r="E1376" t="str">
        <f t="shared" si="107"/>
        <v/>
      </c>
      <c r="F1376" t="str">
        <f>IF(D1376="","",INDEX(Knutepunkter!$B:$B,D1376+1))</f>
        <v/>
      </c>
      <c r="G1376" t="str">
        <f>IF(D1376="","",INDEX(Knutepunkter!$C:$C,D1376+1))</f>
        <v/>
      </c>
      <c r="H1376" t="str">
        <f>IF(D1376="","",INDEX(Knutepunkter!$D:$D,D1376+1))</f>
        <v/>
      </c>
      <c r="I1376" t="str">
        <f>IF(E1376="","",INDEX(Knutepunkter!$B:$B,E1376+1))</f>
        <v/>
      </c>
      <c r="J1376" t="str">
        <f>IF(E1376="","",INDEX(Knutepunkter!$C:$C,E1376+1))</f>
        <v/>
      </c>
      <c r="K1376" t="str">
        <f>IF(E1376="","",INDEX(Knutepunkter!$D:$D,E1376+1))</f>
        <v/>
      </c>
      <c r="L1376" t="str">
        <f t="shared" si="108"/>
        <v/>
      </c>
      <c r="M1376" t="str">
        <f t="shared" si="109"/>
        <v/>
      </c>
    </row>
    <row r="1377" spans="1:13" x14ac:dyDescent="0.3">
      <c r="A1377" t="str">
        <f>Segmenter!A1377</f>
        <v/>
      </c>
      <c r="B1377" t="str">
        <f>Segmenter!B1377</f>
        <v/>
      </c>
      <c r="C1377" t="str">
        <f t="shared" si="105"/>
        <v/>
      </c>
      <c r="D1377" t="str">
        <f t="shared" si="106"/>
        <v/>
      </c>
      <c r="E1377" t="str">
        <f t="shared" si="107"/>
        <v/>
      </c>
      <c r="F1377" t="str">
        <f>IF(D1377="","",INDEX(Knutepunkter!$B:$B,D1377+1))</f>
        <v/>
      </c>
      <c r="G1377" t="str">
        <f>IF(D1377="","",INDEX(Knutepunkter!$C:$C,D1377+1))</f>
        <v/>
      </c>
      <c r="H1377" t="str">
        <f>IF(D1377="","",INDEX(Knutepunkter!$D:$D,D1377+1))</f>
        <v/>
      </c>
      <c r="I1377" t="str">
        <f>IF(E1377="","",INDEX(Knutepunkter!$B:$B,E1377+1))</f>
        <v/>
      </c>
      <c r="J1377" t="str">
        <f>IF(E1377="","",INDEX(Knutepunkter!$C:$C,E1377+1))</f>
        <v/>
      </c>
      <c r="K1377" t="str">
        <f>IF(E1377="","",INDEX(Knutepunkter!$D:$D,E1377+1))</f>
        <v/>
      </c>
      <c r="L1377" t="str">
        <f t="shared" si="108"/>
        <v/>
      </c>
      <c r="M1377" t="str">
        <f t="shared" si="109"/>
        <v/>
      </c>
    </row>
    <row r="1378" spans="1:13" x14ac:dyDescent="0.3">
      <c r="A1378" t="str">
        <f>Segmenter!A1378</f>
        <v/>
      </c>
      <c r="B1378" t="str">
        <f>Segmenter!B1378</f>
        <v/>
      </c>
      <c r="C1378" t="str">
        <f t="shared" si="105"/>
        <v/>
      </c>
      <c r="D1378" t="str">
        <f t="shared" si="106"/>
        <v/>
      </c>
      <c r="E1378" t="str">
        <f t="shared" si="107"/>
        <v/>
      </c>
      <c r="F1378" t="str">
        <f>IF(D1378="","",INDEX(Knutepunkter!$B:$B,D1378+1))</f>
        <v/>
      </c>
      <c r="G1378" t="str">
        <f>IF(D1378="","",INDEX(Knutepunkter!$C:$C,D1378+1))</f>
        <v/>
      </c>
      <c r="H1378" t="str">
        <f>IF(D1378="","",INDEX(Knutepunkter!$D:$D,D1378+1))</f>
        <v/>
      </c>
      <c r="I1378" t="str">
        <f>IF(E1378="","",INDEX(Knutepunkter!$B:$B,E1378+1))</f>
        <v/>
      </c>
      <c r="J1378" t="str">
        <f>IF(E1378="","",INDEX(Knutepunkter!$C:$C,E1378+1))</f>
        <v/>
      </c>
      <c r="K1378" t="str">
        <f>IF(E1378="","",INDEX(Knutepunkter!$D:$D,E1378+1))</f>
        <v/>
      </c>
      <c r="L1378" t="str">
        <f t="shared" si="108"/>
        <v/>
      </c>
      <c r="M1378" t="str">
        <f t="shared" si="109"/>
        <v/>
      </c>
    </row>
    <row r="1379" spans="1:13" x14ac:dyDescent="0.3">
      <c r="A1379" t="str">
        <f>Segmenter!A1379</f>
        <v/>
      </c>
      <c r="B1379" t="str">
        <f>Segmenter!B1379</f>
        <v/>
      </c>
      <c r="C1379" t="str">
        <f t="shared" si="105"/>
        <v/>
      </c>
      <c r="D1379" t="str">
        <f t="shared" si="106"/>
        <v/>
      </c>
      <c r="E1379" t="str">
        <f t="shared" si="107"/>
        <v/>
      </c>
      <c r="F1379" t="str">
        <f>IF(D1379="","",INDEX(Knutepunkter!$B:$B,D1379+1))</f>
        <v/>
      </c>
      <c r="G1379" t="str">
        <f>IF(D1379="","",INDEX(Knutepunkter!$C:$C,D1379+1))</f>
        <v/>
      </c>
      <c r="H1379" t="str">
        <f>IF(D1379="","",INDEX(Knutepunkter!$D:$D,D1379+1))</f>
        <v/>
      </c>
      <c r="I1379" t="str">
        <f>IF(E1379="","",INDEX(Knutepunkter!$B:$B,E1379+1))</f>
        <v/>
      </c>
      <c r="J1379" t="str">
        <f>IF(E1379="","",INDEX(Knutepunkter!$C:$C,E1379+1))</f>
        <v/>
      </c>
      <c r="K1379" t="str">
        <f>IF(E1379="","",INDEX(Knutepunkter!$D:$D,E1379+1))</f>
        <v/>
      </c>
      <c r="L1379" t="str">
        <f t="shared" si="108"/>
        <v/>
      </c>
      <c r="M1379" t="str">
        <f t="shared" si="109"/>
        <v/>
      </c>
    </row>
    <row r="1380" spans="1:13" x14ac:dyDescent="0.3">
      <c r="A1380" t="str">
        <f>Segmenter!A1380</f>
        <v/>
      </c>
      <c r="B1380" t="str">
        <f>Segmenter!B1380</f>
        <v/>
      </c>
      <c r="C1380" t="str">
        <f t="shared" si="105"/>
        <v/>
      </c>
      <c r="D1380" t="str">
        <f t="shared" si="106"/>
        <v/>
      </c>
      <c r="E1380" t="str">
        <f t="shared" si="107"/>
        <v/>
      </c>
      <c r="F1380" t="str">
        <f>IF(D1380="","",INDEX(Knutepunkter!$B:$B,D1380+1))</f>
        <v/>
      </c>
      <c r="G1380" t="str">
        <f>IF(D1380="","",INDEX(Knutepunkter!$C:$C,D1380+1))</f>
        <v/>
      </c>
      <c r="H1380" t="str">
        <f>IF(D1380="","",INDEX(Knutepunkter!$D:$D,D1380+1))</f>
        <v/>
      </c>
      <c r="I1380" t="str">
        <f>IF(E1380="","",INDEX(Knutepunkter!$B:$B,E1380+1))</f>
        <v/>
      </c>
      <c r="J1380" t="str">
        <f>IF(E1380="","",INDEX(Knutepunkter!$C:$C,E1380+1))</f>
        <v/>
      </c>
      <c r="K1380" t="str">
        <f>IF(E1380="","",INDEX(Knutepunkter!$D:$D,E1380+1))</f>
        <v/>
      </c>
      <c r="L1380" t="str">
        <f t="shared" si="108"/>
        <v/>
      </c>
      <c r="M1380" t="str">
        <f t="shared" si="109"/>
        <v/>
      </c>
    </row>
    <row r="1381" spans="1:13" x14ac:dyDescent="0.3">
      <c r="A1381" t="str">
        <f>Segmenter!A1381</f>
        <v/>
      </c>
      <c r="B1381" t="str">
        <f>Segmenter!B1381</f>
        <v/>
      </c>
      <c r="C1381" t="str">
        <f t="shared" si="105"/>
        <v/>
      </c>
      <c r="D1381" t="str">
        <f t="shared" si="106"/>
        <v/>
      </c>
      <c r="E1381" t="str">
        <f t="shared" si="107"/>
        <v/>
      </c>
      <c r="F1381" t="str">
        <f>IF(D1381="","",INDEX(Knutepunkter!$B:$B,D1381+1))</f>
        <v/>
      </c>
      <c r="G1381" t="str">
        <f>IF(D1381="","",INDEX(Knutepunkter!$C:$C,D1381+1))</f>
        <v/>
      </c>
      <c r="H1381" t="str">
        <f>IF(D1381="","",INDEX(Knutepunkter!$D:$D,D1381+1))</f>
        <v/>
      </c>
      <c r="I1381" t="str">
        <f>IF(E1381="","",INDEX(Knutepunkter!$B:$B,E1381+1))</f>
        <v/>
      </c>
      <c r="J1381" t="str">
        <f>IF(E1381="","",INDEX(Knutepunkter!$C:$C,E1381+1))</f>
        <v/>
      </c>
      <c r="K1381" t="str">
        <f>IF(E1381="","",INDEX(Knutepunkter!$D:$D,E1381+1))</f>
        <v/>
      </c>
      <c r="L1381" t="str">
        <f t="shared" si="108"/>
        <v/>
      </c>
      <c r="M1381" t="str">
        <f t="shared" si="109"/>
        <v/>
      </c>
    </row>
    <row r="1382" spans="1:13" x14ac:dyDescent="0.3">
      <c r="A1382" t="str">
        <f>Segmenter!A1382</f>
        <v/>
      </c>
      <c r="B1382" t="str">
        <f>Segmenter!B1382</f>
        <v/>
      </c>
      <c r="C1382" t="str">
        <f t="shared" si="105"/>
        <v/>
      </c>
      <c r="D1382" t="str">
        <f t="shared" si="106"/>
        <v/>
      </c>
      <c r="E1382" t="str">
        <f t="shared" si="107"/>
        <v/>
      </c>
      <c r="F1382" t="str">
        <f>IF(D1382="","",INDEX(Knutepunkter!$B:$B,D1382+1))</f>
        <v/>
      </c>
      <c r="G1382" t="str">
        <f>IF(D1382="","",INDEX(Knutepunkter!$C:$C,D1382+1))</f>
        <v/>
      </c>
      <c r="H1382" t="str">
        <f>IF(D1382="","",INDEX(Knutepunkter!$D:$D,D1382+1))</f>
        <v/>
      </c>
      <c r="I1382" t="str">
        <f>IF(E1382="","",INDEX(Knutepunkter!$B:$B,E1382+1))</f>
        <v/>
      </c>
      <c r="J1382" t="str">
        <f>IF(E1382="","",INDEX(Knutepunkter!$C:$C,E1382+1))</f>
        <v/>
      </c>
      <c r="K1382" t="str">
        <f>IF(E1382="","",INDEX(Knutepunkter!$D:$D,E1382+1))</f>
        <v/>
      </c>
      <c r="L1382" t="str">
        <f t="shared" si="108"/>
        <v/>
      </c>
      <c r="M1382" t="str">
        <f t="shared" si="109"/>
        <v/>
      </c>
    </row>
    <row r="1383" spans="1:13" x14ac:dyDescent="0.3">
      <c r="A1383" t="str">
        <f>Segmenter!A1383</f>
        <v/>
      </c>
      <c r="B1383" t="str">
        <f>Segmenter!B1383</f>
        <v/>
      </c>
      <c r="C1383" t="str">
        <f t="shared" si="105"/>
        <v/>
      </c>
      <c r="D1383" t="str">
        <f t="shared" si="106"/>
        <v/>
      </c>
      <c r="E1383" t="str">
        <f t="shared" si="107"/>
        <v/>
      </c>
      <c r="F1383" t="str">
        <f>IF(D1383="","",INDEX(Knutepunkter!$B:$B,D1383+1))</f>
        <v/>
      </c>
      <c r="G1383" t="str">
        <f>IF(D1383="","",INDEX(Knutepunkter!$C:$C,D1383+1))</f>
        <v/>
      </c>
      <c r="H1383" t="str">
        <f>IF(D1383="","",INDEX(Knutepunkter!$D:$D,D1383+1))</f>
        <v/>
      </c>
      <c r="I1383" t="str">
        <f>IF(E1383="","",INDEX(Knutepunkter!$B:$B,E1383+1))</f>
        <v/>
      </c>
      <c r="J1383" t="str">
        <f>IF(E1383="","",INDEX(Knutepunkter!$C:$C,E1383+1))</f>
        <v/>
      </c>
      <c r="K1383" t="str">
        <f>IF(E1383="","",INDEX(Knutepunkter!$D:$D,E1383+1))</f>
        <v/>
      </c>
      <c r="L1383" t="str">
        <f t="shared" si="108"/>
        <v/>
      </c>
      <c r="M1383" t="str">
        <f t="shared" si="109"/>
        <v/>
      </c>
    </row>
    <row r="1384" spans="1:13" x14ac:dyDescent="0.3">
      <c r="A1384" t="str">
        <f>Segmenter!A1384</f>
        <v/>
      </c>
      <c r="B1384" t="str">
        <f>Segmenter!B1384</f>
        <v/>
      </c>
      <c r="C1384" t="str">
        <f t="shared" si="105"/>
        <v/>
      </c>
      <c r="D1384" t="str">
        <f t="shared" si="106"/>
        <v/>
      </c>
      <c r="E1384" t="str">
        <f t="shared" si="107"/>
        <v/>
      </c>
      <c r="F1384" t="str">
        <f>IF(D1384="","",INDEX(Knutepunkter!$B:$B,D1384+1))</f>
        <v/>
      </c>
      <c r="G1384" t="str">
        <f>IF(D1384="","",INDEX(Knutepunkter!$C:$C,D1384+1))</f>
        <v/>
      </c>
      <c r="H1384" t="str">
        <f>IF(D1384="","",INDEX(Knutepunkter!$D:$D,D1384+1))</f>
        <v/>
      </c>
      <c r="I1384" t="str">
        <f>IF(E1384="","",INDEX(Knutepunkter!$B:$B,E1384+1))</f>
        <v/>
      </c>
      <c r="J1384" t="str">
        <f>IF(E1384="","",INDEX(Knutepunkter!$C:$C,E1384+1))</f>
        <v/>
      </c>
      <c r="K1384" t="str">
        <f>IF(E1384="","",INDEX(Knutepunkter!$D:$D,E1384+1))</f>
        <v/>
      </c>
      <c r="L1384" t="str">
        <f t="shared" si="108"/>
        <v/>
      </c>
      <c r="M1384" t="str">
        <f t="shared" si="109"/>
        <v/>
      </c>
    </row>
    <row r="1385" spans="1:13" x14ac:dyDescent="0.3">
      <c r="A1385" t="str">
        <f>Segmenter!A1385</f>
        <v/>
      </c>
      <c r="B1385" t="str">
        <f>Segmenter!B1385</f>
        <v/>
      </c>
      <c r="C1385" t="str">
        <f t="shared" si="105"/>
        <v/>
      </c>
      <c r="D1385" t="str">
        <f t="shared" si="106"/>
        <v/>
      </c>
      <c r="E1385" t="str">
        <f t="shared" si="107"/>
        <v/>
      </c>
      <c r="F1385" t="str">
        <f>IF(D1385="","",INDEX(Knutepunkter!$B:$B,D1385+1))</f>
        <v/>
      </c>
      <c r="G1385" t="str">
        <f>IF(D1385="","",INDEX(Knutepunkter!$C:$C,D1385+1))</f>
        <v/>
      </c>
      <c r="H1385" t="str">
        <f>IF(D1385="","",INDEX(Knutepunkter!$D:$D,D1385+1))</f>
        <v/>
      </c>
      <c r="I1385" t="str">
        <f>IF(E1385="","",INDEX(Knutepunkter!$B:$B,E1385+1))</f>
        <v/>
      </c>
      <c r="J1385" t="str">
        <f>IF(E1385="","",INDEX(Knutepunkter!$C:$C,E1385+1))</f>
        <v/>
      </c>
      <c r="K1385" t="str">
        <f>IF(E1385="","",INDEX(Knutepunkter!$D:$D,E1385+1))</f>
        <v/>
      </c>
      <c r="L1385" t="str">
        <f t="shared" si="108"/>
        <v/>
      </c>
      <c r="M1385" t="str">
        <f t="shared" si="109"/>
        <v/>
      </c>
    </row>
    <row r="1386" spans="1:13" x14ac:dyDescent="0.3">
      <c r="A1386" t="str">
        <f>Segmenter!A1386</f>
        <v/>
      </c>
      <c r="B1386" t="str">
        <f>Segmenter!B1386</f>
        <v/>
      </c>
      <c r="C1386" t="str">
        <f t="shared" si="105"/>
        <v/>
      </c>
      <c r="D1386" t="str">
        <f t="shared" si="106"/>
        <v/>
      </c>
      <c r="E1386" t="str">
        <f t="shared" si="107"/>
        <v/>
      </c>
      <c r="F1386" t="str">
        <f>IF(D1386="","",INDEX(Knutepunkter!$B:$B,D1386+1))</f>
        <v/>
      </c>
      <c r="G1386" t="str">
        <f>IF(D1386="","",INDEX(Knutepunkter!$C:$C,D1386+1))</f>
        <v/>
      </c>
      <c r="H1386" t="str">
        <f>IF(D1386="","",INDEX(Knutepunkter!$D:$D,D1386+1))</f>
        <v/>
      </c>
      <c r="I1386" t="str">
        <f>IF(E1386="","",INDEX(Knutepunkter!$B:$B,E1386+1))</f>
        <v/>
      </c>
      <c r="J1386" t="str">
        <f>IF(E1386="","",INDEX(Knutepunkter!$C:$C,E1386+1))</f>
        <v/>
      </c>
      <c r="K1386" t="str">
        <f>IF(E1386="","",INDEX(Knutepunkter!$D:$D,E1386+1))</f>
        <v/>
      </c>
      <c r="L1386" t="str">
        <f t="shared" si="108"/>
        <v/>
      </c>
      <c r="M1386" t="str">
        <f t="shared" si="109"/>
        <v/>
      </c>
    </row>
    <row r="1387" spans="1:13" x14ac:dyDescent="0.3">
      <c r="A1387" t="str">
        <f>Segmenter!A1387</f>
        <v/>
      </c>
      <c r="B1387" t="str">
        <f>Segmenter!B1387</f>
        <v/>
      </c>
      <c r="C1387" t="str">
        <f t="shared" si="105"/>
        <v/>
      </c>
      <c r="D1387" t="str">
        <f t="shared" si="106"/>
        <v/>
      </c>
      <c r="E1387" t="str">
        <f t="shared" si="107"/>
        <v/>
      </c>
      <c r="F1387" t="str">
        <f>IF(D1387="","",INDEX(Knutepunkter!$B:$B,D1387+1))</f>
        <v/>
      </c>
      <c r="G1387" t="str">
        <f>IF(D1387="","",INDEX(Knutepunkter!$C:$C,D1387+1))</f>
        <v/>
      </c>
      <c r="H1387" t="str">
        <f>IF(D1387="","",INDEX(Knutepunkter!$D:$D,D1387+1))</f>
        <v/>
      </c>
      <c r="I1387" t="str">
        <f>IF(E1387="","",INDEX(Knutepunkter!$B:$B,E1387+1))</f>
        <v/>
      </c>
      <c r="J1387" t="str">
        <f>IF(E1387="","",INDEX(Knutepunkter!$C:$C,E1387+1))</f>
        <v/>
      </c>
      <c r="K1387" t="str">
        <f>IF(E1387="","",INDEX(Knutepunkter!$D:$D,E1387+1))</f>
        <v/>
      </c>
      <c r="L1387" t="str">
        <f t="shared" si="108"/>
        <v/>
      </c>
      <c r="M1387" t="str">
        <f t="shared" si="109"/>
        <v/>
      </c>
    </row>
    <row r="1388" spans="1:13" x14ac:dyDescent="0.3">
      <c r="A1388" t="str">
        <f>Segmenter!A1388</f>
        <v/>
      </c>
      <c r="B1388" t="str">
        <f>Segmenter!B1388</f>
        <v/>
      </c>
      <c r="C1388" t="str">
        <f t="shared" si="105"/>
        <v/>
      </c>
      <c r="D1388" t="str">
        <f t="shared" si="106"/>
        <v/>
      </c>
      <c r="E1388" t="str">
        <f t="shared" si="107"/>
        <v/>
      </c>
      <c r="F1388" t="str">
        <f>IF(D1388="","",INDEX(Knutepunkter!$B:$B,D1388+1))</f>
        <v/>
      </c>
      <c r="G1388" t="str">
        <f>IF(D1388="","",INDEX(Knutepunkter!$C:$C,D1388+1))</f>
        <v/>
      </c>
      <c r="H1388" t="str">
        <f>IF(D1388="","",INDEX(Knutepunkter!$D:$D,D1388+1))</f>
        <v/>
      </c>
      <c r="I1388" t="str">
        <f>IF(E1388="","",INDEX(Knutepunkter!$B:$B,E1388+1))</f>
        <v/>
      </c>
      <c r="J1388" t="str">
        <f>IF(E1388="","",INDEX(Knutepunkter!$C:$C,E1388+1))</f>
        <v/>
      </c>
      <c r="K1388" t="str">
        <f>IF(E1388="","",INDEX(Knutepunkter!$D:$D,E1388+1))</f>
        <v/>
      </c>
      <c r="L1388" t="str">
        <f t="shared" si="108"/>
        <v/>
      </c>
      <c r="M1388" t="str">
        <f t="shared" si="109"/>
        <v/>
      </c>
    </row>
    <row r="1389" spans="1:13" x14ac:dyDescent="0.3">
      <c r="A1389" t="str">
        <f>Segmenter!A1389</f>
        <v/>
      </c>
      <c r="B1389" t="str">
        <f>Segmenter!B1389</f>
        <v/>
      </c>
      <c r="C1389" t="str">
        <f t="shared" si="105"/>
        <v/>
      </c>
      <c r="D1389" t="str">
        <f t="shared" si="106"/>
        <v/>
      </c>
      <c r="E1389" t="str">
        <f t="shared" si="107"/>
        <v/>
      </c>
      <c r="F1389" t="str">
        <f>IF(D1389="","",INDEX(Knutepunkter!$B:$B,D1389+1))</f>
        <v/>
      </c>
      <c r="G1389" t="str">
        <f>IF(D1389="","",INDEX(Knutepunkter!$C:$C,D1389+1))</f>
        <v/>
      </c>
      <c r="H1389" t="str">
        <f>IF(D1389="","",INDEX(Knutepunkter!$D:$D,D1389+1))</f>
        <v/>
      </c>
      <c r="I1389" t="str">
        <f>IF(E1389="","",INDEX(Knutepunkter!$B:$B,E1389+1))</f>
        <v/>
      </c>
      <c r="J1389" t="str">
        <f>IF(E1389="","",INDEX(Knutepunkter!$C:$C,E1389+1))</f>
        <v/>
      </c>
      <c r="K1389" t="str">
        <f>IF(E1389="","",INDEX(Knutepunkter!$D:$D,E1389+1))</f>
        <v/>
      </c>
      <c r="L1389" t="str">
        <f t="shared" si="108"/>
        <v/>
      </c>
      <c r="M1389" t="str">
        <f t="shared" si="109"/>
        <v/>
      </c>
    </row>
    <row r="1390" spans="1:13" x14ac:dyDescent="0.3">
      <c r="A1390" t="str">
        <f>Segmenter!A1390</f>
        <v/>
      </c>
      <c r="B1390" t="str">
        <f>Segmenter!B1390</f>
        <v/>
      </c>
      <c r="C1390" t="str">
        <f t="shared" si="105"/>
        <v/>
      </c>
      <c r="D1390" t="str">
        <f t="shared" si="106"/>
        <v/>
      </c>
      <c r="E1390" t="str">
        <f t="shared" si="107"/>
        <v/>
      </c>
      <c r="F1390" t="str">
        <f>IF(D1390="","",INDEX(Knutepunkter!$B:$B,D1390+1))</f>
        <v/>
      </c>
      <c r="G1390" t="str">
        <f>IF(D1390="","",INDEX(Knutepunkter!$C:$C,D1390+1))</f>
        <v/>
      </c>
      <c r="H1390" t="str">
        <f>IF(D1390="","",INDEX(Knutepunkter!$D:$D,D1390+1))</f>
        <v/>
      </c>
      <c r="I1390" t="str">
        <f>IF(E1390="","",INDEX(Knutepunkter!$B:$B,E1390+1))</f>
        <v/>
      </c>
      <c r="J1390" t="str">
        <f>IF(E1390="","",INDEX(Knutepunkter!$C:$C,E1390+1))</f>
        <v/>
      </c>
      <c r="K1390" t="str">
        <f>IF(E1390="","",INDEX(Knutepunkter!$D:$D,E1390+1))</f>
        <v/>
      </c>
      <c r="L1390" t="str">
        <f t="shared" si="108"/>
        <v/>
      </c>
      <c r="M1390" t="str">
        <f t="shared" si="109"/>
        <v/>
      </c>
    </row>
    <row r="1391" spans="1:13" x14ac:dyDescent="0.3">
      <c r="A1391" t="str">
        <f>Segmenter!A1391</f>
        <v/>
      </c>
      <c r="B1391" t="str">
        <f>Segmenter!B1391</f>
        <v/>
      </c>
      <c r="C1391" t="str">
        <f t="shared" si="105"/>
        <v/>
      </c>
      <c r="D1391" t="str">
        <f t="shared" si="106"/>
        <v/>
      </c>
      <c r="E1391" t="str">
        <f t="shared" si="107"/>
        <v/>
      </c>
      <c r="F1391" t="str">
        <f>IF(D1391="","",INDEX(Knutepunkter!$B:$B,D1391+1))</f>
        <v/>
      </c>
      <c r="G1391" t="str">
        <f>IF(D1391="","",INDEX(Knutepunkter!$C:$C,D1391+1))</f>
        <v/>
      </c>
      <c r="H1391" t="str">
        <f>IF(D1391="","",INDEX(Knutepunkter!$D:$D,D1391+1))</f>
        <v/>
      </c>
      <c r="I1391" t="str">
        <f>IF(E1391="","",INDEX(Knutepunkter!$B:$B,E1391+1))</f>
        <v/>
      </c>
      <c r="J1391" t="str">
        <f>IF(E1391="","",INDEX(Knutepunkter!$C:$C,E1391+1))</f>
        <v/>
      </c>
      <c r="K1391" t="str">
        <f>IF(E1391="","",INDEX(Knutepunkter!$D:$D,E1391+1))</f>
        <v/>
      </c>
      <c r="L1391" t="str">
        <f t="shared" si="108"/>
        <v/>
      </c>
      <c r="M1391" t="str">
        <f t="shared" si="109"/>
        <v/>
      </c>
    </row>
    <row r="1392" spans="1:13" x14ac:dyDescent="0.3">
      <c r="A1392" t="str">
        <f>Segmenter!A1392</f>
        <v/>
      </c>
      <c r="B1392" t="str">
        <f>Segmenter!B1392</f>
        <v/>
      </c>
      <c r="C1392" t="str">
        <f t="shared" si="105"/>
        <v/>
      </c>
      <c r="D1392" t="str">
        <f t="shared" si="106"/>
        <v/>
      </c>
      <c r="E1392" t="str">
        <f t="shared" si="107"/>
        <v/>
      </c>
      <c r="F1392" t="str">
        <f>IF(D1392="","",INDEX(Knutepunkter!$B:$B,D1392+1))</f>
        <v/>
      </c>
      <c r="G1392" t="str">
        <f>IF(D1392="","",INDEX(Knutepunkter!$C:$C,D1392+1))</f>
        <v/>
      </c>
      <c r="H1392" t="str">
        <f>IF(D1392="","",INDEX(Knutepunkter!$D:$D,D1392+1))</f>
        <v/>
      </c>
      <c r="I1392" t="str">
        <f>IF(E1392="","",INDEX(Knutepunkter!$B:$B,E1392+1))</f>
        <v/>
      </c>
      <c r="J1392" t="str">
        <f>IF(E1392="","",INDEX(Knutepunkter!$C:$C,E1392+1))</f>
        <v/>
      </c>
      <c r="K1392" t="str">
        <f>IF(E1392="","",INDEX(Knutepunkter!$D:$D,E1392+1))</f>
        <v/>
      </c>
      <c r="L1392" t="str">
        <f t="shared" si="108"/>
        <v/>
      </c>
      <c r="M1392" t="str">
        <f t="shared" si="109"/>
        <v/>
      </c>
    </row>
    <row r="1393" spans="1:13" x14ac:dyDescent="0.3">
      <c r="A1393" t="str">
        <f>Segmenter!A1393</f>
        <v/>
      </c>
      <c r="B1393" t="str">
        <f>Segmenter!B1393</f>
        <v/>
      </c>
      <c r="C1393" t="str">
        <f t="shared" si="105"/>
        <v/>
      </c>
      <c r="D1393" t="str">
        <f t="shared" si="106"/>
        <v/>
      </c>
      <c r="E1393" t="str">
        <f t="shared" si="107"/>
        <v/>
      </c>
      <c r="F1393" t="str">
        <f>IF(D1393="","",INDEX(Knutepunkter!$B:$B,D1393+1))</f>
        <v/>
      </c>
      <c r="G1393" t="str">
        <f>IF(D1393="","",INDEX(Knutepunkter!$C:$C,D1393+1))</f>
        <v/>
      </c>
      <c r="H1393" t="str">
        <f>IF(D1393="","",INDEX(Knutepunkter!$D:$D,D1393+1))</f>
        <v/>
      </c>
      <c r="I1393" t="str">
        <f>IF(E1393="","",INDEX(Knutepunkter!$B:$B,E1393+1))</f>
        <v/>
      </c>
      <c r="J1393" t="str">
        <f>IF(E1393="","",INDEX(Knutepunkter!$C:$C,E1393+1))</f>
        <v/>
      </c>
      <c r="K1393" t="str">
        <f>IF(E1393="","",INDEX(Knutepunkter!$D:$D,E1393+1))</f>
        <v/>
      </c>
      <c r="L1393" t="str">
        <f t="shared" si="108"/>
        <v/>
      </c>
      <c r="M1393" t="str">
        <f t="shared" si="109"/>
        <v/>
      </c>
    </row>
    <row r="1394" spans="1:13" x14ac:dyDescent="0.3">
      <c r="A1394" t="str">
        <f>Segmenter!A1394</f>
        <v/>
      </c>
      <c r="B1394" t="str">
        <f>Segmenter!B1394</f>
        <v/>
      </c>
      <c r="C1394" t="str">
        <f t="shared" si="105"/>
        <v/>
      </c>
      <c r="D1394" t="str">
        <f t="shared" si="106"/>
        <v/>
      </c>
      <c r="E1394" t="str">
        <f t="shared" si="107"/>
        <v/>
      </c>
      <c r="F1394" t="str">
        <f>IF(D1394="","",INDEX(Knutepunkter!$B:$B,D1394+1))</f>
        <v/>
      </c>
      <c r="G1394" t="str">
        <f>IF(D1394="","",INDEX(Knutepunkter!$C:$C,D1394+1))</f>
        <v/>
      </c>
      <c r="H1394" t="str">
        <f>IF(D1394="","",INDEX(Knutepunkter!$D:$D,D1394+1))</f>
        <v/>
      </c>
      <c r="I1394" t="str">
        <f>IF(E1394="","",INDEX(Knutepunkter!$B:$B,E1394+1))</f>
        <v/>
      </c>
      <c r="J1394" t="str">
        <f>IF(E1394="","",INDEX(Knutepunkter!$C:$C,E1394+1))</f>
        <v/>
      </c>
      <c r="K1394" t="str">
        <f>IF(E1394="","",INDEX(Knutepunkter!$D:$D,E1394+1))</f>
        <v/>
      </c>
      <c r="L1394" t="str">
        <f t="shared" si="108"/>
        <v/>
      </c>
      <c r="M1394" t="str">
        <f t="shared" si="109"/>
        <v/>
      </c>
    </row>
    <row r="1395" spans="1:13" x14ac:dyDescent="0.3">
      <c r="A1395" t="str">
        <f>Segmenter!A1395</f>
        <v/>
      </c>
      <c r="B1395" t="str">
        <f>Segmenter!B1395</f>
        <v/>
      </c>
      <c r="C1395" t="str">
        <f t="shared" si="105"/>
        <v/>
      </c>
      <c r="D1395" t="str">
        <f t="shared" si="106"/>
        <v/>
      </c>
      <c r="E1395" t="str">
        <f t="shared" si="107"/>
        <v/>
      </c>
      <c r="F1395" t="str">
        <f>IF(D1395="","",INDEX(Knutepunkter!$B:$B,D1395+1))</f>
        <v/>
      </c>
      <c r="G1395" t="str">
        <f>IF(D1395="","",INDEX(Knutepunkter!$C:$C,D1395+1))</f>
        <v/>
      </c>
      <c r="H1395" t="str">
        <f>IF(D1395="","",INDEX(Knutepunkter!$D:$D,D1395+1))</f>
        <v/>
      </c>
      <c r="I1395" t="str">
        <f>IF(E1395="","",INDEX(Knutepunkter!$B:$B,E1395+1))</f>
        <v/>
      </c>
      <c r="J1395" t="str">
        <f>IF(E1395="","",INDEX(Knutepunkter!$C:$C,E1395+1))</f>
        <v/>
      </c>
      <c r="K1395" t="str">
        <f>IF(E1395="","",INDEX(Knutepunkter!$D:$D,E1395+1))</f>
        <v/>
      </c>
      <c r="L1395" t="str">
        <f t="shared" si="108"/>
        <v/>
      </c>
      <c r="M1395" t="str">
        <f t="shared" si="109"/>
        <v/>
      </c>
    </row>
    <row r="1396" spans="1:13" x14ac:dyDescent="0.3">
      <c r="A1396" t="str">
        <f>Segmenter!A1396</f>
        <v/>
      </c>
      <c r="B1396" t="str">
        <f>Segmenter!B1396</f>
        <v/>
      </c>
      <c r="C1396" t="str">
        <f t="shared" si="105"/>
        <v/>
      </c>
      <c r="D1396" t="str">
        <f t="shared" si="106"/>
        <v/>
      </c>
      <c r="E1396" t="str">
        <f t="shared" si="107"/>
        <v/>
      </c>
      <c r="F1396" t="str">
        <f>IF(D1396="","",INDEX(Knutepunkter!$B:$B,D1396+1))</f>
        <v/>
      </c>
      <c r="G1396" t="str">
        <f>IF(D1396="","",INDEX(Knutepunkter!$C:$C,D1396+1))</f>
        <v/>
      </c>
      <c r="H1396" t="str">
        <f>IF(D1396="","",INDEX(Knutepunkter!$D:$D,D1396+1))</f>
        <v/>
      </c>
      <c r="I1396" t="str">
        <f>IF(E1396="","",INDEX(Knutepunkter!$B:$B,E1396+1))</f>
        <v/>
      </c>
      <c r="J1396" t="str">
        <f>IF(E1396="","",INDEX(Knutepunkter!$C:$C,E1396+1))</f>
        <v/>
      </c>
      <c r="K1396" t="str">
        <f>IF(E1396="","",INDEX(Knutepunkter!$D:$D,E1396+1))</f>
        <v/>
      </c>
      <c r="L1396" t="str">
        <f t="shared" si="108"/>
        <v/>
      </c>
      <c r="M1396" t="str">
        <f t="shared" si="109"/>
        <v/>
      </c>
    </row>
    <row r="1397" spans="1:13" x14ac:dyDescent="0.3">
      <c r="A1397" t="str">
        <f>Segmenter!A1397</f>
        <v/>
      </c>
      <c r="B1397" t="str">
        <f>Segmenter!B1397</f>
        <v/>
      </c>
      <c r="C1397" t="str">
        <f t="shared" si="105"/>
        <v/>
      </c>
      <c r="D1397" t="str">
        <f t="shared" si="106"/>
        <v/>
      </c>
      <c r="E1397" t="str">
        <f t="shared" si="107"/>
        <v/>
      </c>
      <c r="F1397" t="str">
        <f>IF(D1397="","",INDEX(Knutepunkter!$B:$B,D1397+1))</f>
        <v/>
      </c>
      <c r="G1397" t="str">
        <f>IF(D1397="","",INDEX(Knutepunkter!$C:$C,D1397+1))</f>
        <v/>
      </c>
      <c r="H1397" t="str">
        <f>IF(D1397="","",INDEX(Knutepunkter!$D:$D,D1397+1))</f>
        <v/>
      </c>
      <c r="I1397" t="str">
        <f>IF(E1397="","",INDEX(Knutepunkter!$B:$B,E1397+1))</f>
        <v/>
      </c>
      <c r="J1397" t="str">
        <f>IF(E1397="","",INDEX(Knutepunkter!$C:$C,E1397+1))</f>
        <v/>
      </c>
      <c r="K1397" t="str">
        <f>IF(E1397="","",INDEX(Knutepunkter!$D:$D,E1397+1))</f>
        <v/>
      </c>
      <c r="L1397" t="str">
        <f t="shared" si="108"/>
        <v/>
      </c>
      <c r="M1397" t="str">
        <f t="shared" si="109"/>
        <v/>
      </c>
    </row>
    <row r="1398" spans="1:13" x14ac:dyDescent="0.3">
      <c r="A1398" t="str">
        <f>Segmenter!A1398</f>
        <v/>
      </c>
      <c r="B1398" t="str">
        <f>Segmenter!B1398</f>
        <v/>
      </c>
      <c r="C1398" t="str">
        <f t="shared" si="105"/>
        <v/>
      </c>
      <c r="D1398" t="str">
        <f t="shared" si="106"/>
        <v/>
      </c>
      <c r="E1398" t="str">
        <f t="shared" si="107"/>
        <v/>
      </c>
      <c r="F1398" t="str">
        <f>IF(D1398="","",INDEX(Knutepunkter!$B:$B,D1398+1))</f>
        <v/>
      </c>
      <c r="G1398" t="str">
        <f>IF(D1398="","",INDEX(Knutepunkter!$C:$C,D1398+1))</f>
        <v/>
      </c>
      <c r="H1398" t="str">
        <f>IF(D1398="","",INDEX(Knutepunkter!$D:$D,D1398+1))</f>
        <v/>
      </c>
      <c r="I1398" t="str">
        <f>IF(E1398="","",INDEX(Knutepunkter!$B:$B,E1398+1))</f>
        <v/>
      </c>
      <c r="J1398" t="str">
        <f>IF(E1398="","",INDEX(Knutepunkter!$C:$C,E1398+1))</f>
        <v/>
      </c>
      <c r="K1398" t="str">
        <f>IF(E1398="","",INDEX(Knutepunkter!$D:$D,E1398+1))</f>
        <v/>
      </c>
      <c r="L1398" t="str">
        <f t="shared" si="108"/>
        <v/>
      </c>
      <c r="M1398" t="str">
        <f t="shared" si="109"/>
        <v/>
      </c>
    </row>
    <row r="1399" spans="1:13" x14ac:dyDescent="0.3">
      <c r="A1399" t="str">
        <f>Segmenter!A1399</f>
        <v/>
      </c>
      <c r="B1399" t="str">
        <f>Segmenter!B1399</f>
        <v/>
      </c>
      <c r="C1399" t="str">
        <f t="shared" si="105"/>
        <v/>
      </c>
      <c r="D1399" t="str">
        <f t="shared" si="106"/>
        <v/>
      </c>
      <c r="E1399" t="str">
        <f t="shared" si="107"/>
        <v/>
      </c>
      <c r="F1399" t="str">
        <f>IF(D1399="","",INDEX(Knutepunkter!$B:$B,D1399+1))</f>
        <v/>
      </c>
      <c r="G1399" t="str">
        <f>IF(D1399="","",INDEX(Knutepunkter!$C:$C,D1399+1))</f>
        <v/>
      </c>
      <c r="H1399" t="str">
        <f>IF(D1399="","",INDEX(Knutepunkter!$D:$D,D1399+1))</f>
        <v/>
      </c>
      <c r="I1399" t="str">
        <f>IF(E1399="","",INDEX(Knutepunkter!$B:$B,E1399+1))</f>
        <v/>
      </c>
      <c r="J1399" t="str">
        <f>IF(E1399="","",INDEX(Knutepunkter!$C:$C,E1399+1))</f>
        <v/>
      </c>
      <c r="K1399" t="str">
        <f>IF(E1399="","",INDEX(Knutepunkter!$D:$D,E1399+1))</f>
        <v/>
      </c>
      <c r="L1399" t="str">
        <f t="shared" si="108"/>
        <v/>
      </c>
      <c r="M1399" t="str">
        <f t="shared" si="109"/>
        <v/>
      </c>
    </row>
    <row r="1400" spans="1:13" x14ac:dyDescent="0.3">
      <c r="A1400" t="str">
        <f>Segmenter!A1400</f>
        <v/>
      </c>
      <c r="B1400" t="str">
        <f>Segmenter!B1400</f>
        <v/>
      </c>
      <c r="C1400" t="str">
        <f t="shared" si="105"/>
        <v/>
      </c>
      <c r="D1400" t="str">
        <f t="shared" si="106"/>
        <v/>
      </c>
      <c r="E1400" t="str">
        <f t="shared" si="107"/>
        <v/>
      </c>
      <c r="F1400" t="str">
        <f>IF(D1400="","",INDEX(Knutepunkter!$B:$B,D1400+1))</f>
        <v/>
      </c>
      <c r="G1400" t="str">
        <f>IF(D1400="","",INDEX(Knutepunkter!$C:$C,D1400+1))</f>
        <v/>
      </c>
      <c r="H1400" t="str">
        <f>IF(D1400="","",INDEX(Knutepunkter!$D:$D,D1400+1))</f>
        <v/>
      </c>
      <c r="I1400" t="str">
        <f>IF(E1400="","",INDEX(Knutepunkter!$B:$B,E1400+1))</f>
        <v/>
      </c>
      <c r="J1400" t="str">
        <f>IF(E1400="","",INDEX(Knutepunkter!$C:$C,E1400+1))</f>
        <v/>
      </c>
      <c r="K1400" t="str">
        <f>IF(E1400="","",INDEX(Knutepunkter!$D:$D,E1400+1))</f>
        <v/>
      </c>
      <c r="L1400" t="str">
        <f t="shared" si="108"/>
        <v/>
      </c>
      <c r="M1400" t="str">
        <f t="shared" si="109"/>
        <v/>
      </c>
    </row>
    <row r="1401" spans="1:13" x14ac:dyDescent="0.3">
      <c r="A1401" t="str">
        <f>Segmenter!A1401</f>
        <v/>
      </c>
      <c r="B1401" t="str">
        <f>Segmenter!B1401</f>
        <v/>
      </c>
      <c r="C1401" t="str">
        <f t="shared" si="105"/>
        <v/>
      </c>
      <c r="D1401" t="str">
        <f t="shared" si="106"/>
        <v/>
      </c>
      <c r="E1401" t="str">
        <f t="shared" si="107"/>
        <v/>
      </c>
      <c r="F1401" t="str">
        <f>IF(D1401="","",INDEX(Knutepunkter!$B:$B,D1401+1))</f>
        <v/>
      </c>
      <c r="G1401" t="str">
        <f>IF(D1401="","",INDEX(Knutepunkter!$C:$C,D1401+1))</f>
        <v/>
      </c>
      <c r="H1401" t="str">
        <f>IF(D1401="","",INDEX(Knutepunkter!$D:$D,D1401+1))</f>
        <v/>
      </c>
      <c r="I1401" t="str">
        <f>IF(E1401="","",INDEX(Knutepunkter!$B:$B,E1401+1))</f>
        <v/>
      </c>
      <c r="J1401" t="str">
        <f>IF(E1401="","",INDEX(Knutepunkter!$C:$C,E1401+1))</f>
        <v/>
      </c>
      <c r="K1401" t="str">
        <f>IF(E1401="","",INDEX(Knutepunkter!$D:$D,E1401+1))</f>
        <v/>
      </c>
      <c r="L1401" t="str">
        <f t="shared" si="108"/>
        <v/>
      </c>
      <c r="M1401" t="str">
        <f t="shared" si="109"/>
        <v/>
      </c>
    </row>
    <row r="1402" spans="1:13" x14ac:dyDescent="0.3">
      <c r="A1402" t="str">
        <f>Segmenter!A1402</f>
        <v/>
      </c>
      <c r="B1402" t="str">
        <f>Segmenter!B1402</f>
        <v/>
      </c>
      <c r="C1402" t="str">
        <f t="shared" si="105"/>
        <v/>
      </c>
      <c r="D1402" t="str">
        <f t="shared" si="106"/>
        <v/>
      </c>
      <c r="E1402" t="str">
        <f t="shared" si="107"/>
        <v/>
      </c>
      <c r="F1402" t="str">
        <f>IF(D1402="","",INDEX(Knutepunkter!$B:$B,D1402+1))</f>
        <v/>
      </c>
      <c r="G1402" t="str">
        <f>IF(D1402="","",INDEX(Knutepunkter!$C:$C,D1402+1))</f>
        <v/>
      </c>
      <c r="H1402" t="str">
        <f>IF(D1402="","",INDEX(Knutepunkter!$D:$D,D1402+1))</f>
        <v/>
      </c>
      <c r="I1402" t="str">
        <f>IF(E1402="","",INDEX(Knutepunkter!$B:$B,E1402+1))</f>
        <v/>
      </c>
      <c r="J1402" t="str">
        <f>IF(E1402="","",INDEX(Knutepunkter!$C:$C,E1402+1))</f>
        <v/>
      </c>
      <c r="K1402" t="str">
        <f>IF(E1402="","",INDEX(Knutepunkter!$D:$D,E1402+1))</f>
        <v/>
      </c>
      <c r="L1402" t="str">
        <f t="shared" si="108"/>
        <v/>
      </c>
      <c r="M1402" t="str">
        <f t="shared" si="109"/>
        <v/>
      </c>
    </row>
    <row r="1403" spans="1:13" x14ac:dyDescent="0.3">
      <c r="A1403" t="str">
        <f>Segmenter!A1403</f>
        <v/>
      </c>
      <c r="B1403" t="str">
        <f>Segmenter!B1403</f>
        <v/>
      </c>
      <c r="C1403" t="str">
        <f t="shared" si="105"/>
        <v/>
      </c>
      <c r="D1403" t="str">
        <f t="shared" si="106"/>
        <v/>
      </c>
      <c r="E1403" t="str">
        <f t="shared" si="107"/>
        <v/>
      </c>
      <c r="F1403" t="str">
        <f>IF(D1403="","",INDEX(Knutepunkter!$B:$B,D1403+1))</f>
        <v/>
      </c>
      <c r="G1403" t="str">
        <f>IF(D1403="","",INDEX(Knutepunkter!$C:$C,D1403+1))</f>
        <v/>
      </c>
      <c r="H1403" t="str">
        <f>IF(D1403="","",INDEX(Knutepunkter!$D:$D,D1403+1))</f>
        <v/>
      </c>
      <c r="I1403" t="str">
        <f>IF(E1403="","",INDEX(Knutepunkter!$B:$B,E1403+1))</f>
        <v/>
      </c>
      <c r="J1403" t="str">
        <f>IF(E1403="","",INDEX(Knutepunkter!$C:$C,E1403+1))</f>
        <v/>
      </c>
      <c r="K1403" t="str">
        <f>IF(E1403="","",INDEX(Knutepunkter!$D:$D,E1403+1))</f>
        <v/>
      </c>
      <c r="L1403" t="str">
        <f t="shared" si="108"/>
        <v/>
      </c>
      <c r="M1403" t="str">
        <f t="shared" si="109"/>
        <v/>
      </c>
    </row>
    <row r="1404" spans="1:13" x14ac:dyDescent="0.3">
      <c r="A1404" t="str">
        <f>Segmenter!A1404</f>
        <v/>
      </c>
      <c r="B1404" t="str">
        <f>Segmenter!B1404</f>
        <v/>
      </c>
      <c r="C1404" t="str">
        <f t="shared" si="105"/>
        <v/>
      </c>
      <c r="D1404" t="str">
        <f t="shared" si="106"/>
        <v/>
      </c>
      <c r="E1404" t="str">
        <f t="shared" si="107"/>
        <v/>
      </c>
      <c r="F1404" t="str">
        <f>IF(D1404="","",INDEX(Knutepunkter!$B:$B,D1404+1))</f>
        <v/>
      </c>
      <c r="G1404" t="str">
        <f>IF(D1404="","",INDEX(Knutepunkter!$C:$C,D1404+1))</f>
        <v/>
      </c>
      <c r="H1404" t="str">
        <f>IF(D1404="","",INDEX(Knutepunkter!$D:$D,D1404+1))</f>
        <v/>
      </c>
      <c r="I1404" t="str">
        <f>IF(E1404="","",INDEX(Knutepunkter!$B:$B,E1404+1))</f>
        <v/>
      </c>
      <c r="J1404" t="str">
        <f>IF(E1404="","",INDEX(Knutepunkter!$C:$C,E1404+1))</f>
        <v/>
      </c>
      <c r="K1404" t="str">
        <f>IF(E1404="","",INDEX(Knutepunkter!$D:$D,E1404+1))</f>
        <v/>
      </c>
      <c r="L1404" t="str">
        <f t="shared" si="108"/>
        <v/>
      </c>
      <c r="M1404" t="str">
        <f t="shared" si="109"/>
        <v/>
      </c>
    </row>
    <row r="1405" spans="1:13" x14ac:dyDescent="0.3">
      <c r="A1405" t="str">
        <f>Segmenter!A1405</f>
        <v/>
      </c>
      <c r="B1405" t="str">
        <f>Segmenter!B1405</f>
        <v/>
      </c>
      <c r="C1405" t="str">
        <f t="shared" si="105"/>
        <v/>
      </c>
      <c r="D1405" t="str">
        <f t="shared" si="106"/>
        <v/>
      </c>
      <c r="E1405" t="str">
        <f t="shared" si="107"/>
        <v/>
      </c>
      <c r="F1405" t="str">
        <f>IF(D1405="","",INDEX(Knutepunkter!$B:$B,D1405+1))</f>
        <v/>
      </c>
      <c r="G1405" t="str">
        <f>IF(D1405="","",INDEX(Knutepunkter!$C:$C,D1405+1))</f>
        <v/>
      </c>
      <c r="H1405" t="str">
        <f>IF(D1405="","",INDEX(Knutepunkter!$D:$D,D1405+1))</f>
        <v/>
      </c>
      <c r="I1405" t="str">
        <f>IF(E1405="","",INDEX(Knutepunkter!$B:$B,E1405+1))</f>
        <v/>
      </c>
      <c r="J1405" t="str">
        <f>IF(E1405="","",INDEX(Knutepunkter!$C:$C,E1405+1))</f>
        <v/>
      </c>
      <c r="K1405" t="str">
        <f>IF(E1405="","",INDEX(Knutepunkter!$D:$D,E1405+1))</f>
        <v/>
      </c>
      <c r="L1405" t="str">
        <f t="shared" si="108"/>
        <v/>
      </c>
      <c r="M1405" t="str">
        <f t="shared" si="109"/>
        <v/>
      </c>
    </row>
    <row r="1406" spans="1:13" x14ac:dyDescent="0.3">
      <c r="A1406" t="str">
        <f>Segmenter!A1406</f>
        <v/>
      </c>
      <c r="B1406" t="str">
        <f>Segmenter!B1406</f>
        <v/>
      </c>
      <c r="C1406" t="str">
        <f t="shared" si="105"/>
        <v/>
      </c>
      <c r="D1406" t="str">
        <f t="shared" si="106"/>
        <v/>
      </c>
      <c r="E1406" t="str">
        <f t="shared" si="107"/>
        <v/>
      </c>
      <c r="F1406" t="str">
        <f>IF(D1406="","",INDEX(Knutepunkter!$B:$B,D1406+1))</f>
        <v/>
      </c>
      <c r="G1406" t="str">
        <f>IF(D1406="","",INDEX(Knutepunkter!$C:$C,D1406+1))</f>
        <v/>
      </c>
      <c r="H1406" t="str">
        <f>IF(D1406="","",INDEX(Knutepunkter!$D:$D,D1406+1))</f>
        <v/>
      </c>
      <c r="I1406" t="str">
        <f>IF(E1406="","",INDEX(Knutepunkter!$B:$B,E1406+1))</f>
        <v/>
      </c>
      <c r="J1406" t="str">
        <f>IF(E1406="","",INDEX(Knutepunkter!$C:$C,E1406+1))</f>
        <v/>
      </c>
      <c r="K1406" t="str">
        <f>IF(E1406="","",INDEX(Knutepunkter!$D:$D,E1406+1))</f>
        <v/>
      </c>
      <c r="L1406" t="str">
        <f t="shared" si="108"/>
        <v/>
      </c>
      <c r="M1406" t="str">
        <f t="shared" si="109"/>
        <v/>
      </c>
    </row>
    <row r="1407" spans="1:13" x14ac:dyDescent="0.3">
      <c r="A1407" t="str">
        <f>Segmenter!A1407</f>
        <v/>
      </c>
      <c r="B1407" t="str">
        <f>Segmenter!B1407</f>
        <v/>
      </c>
      <c r="C1407" t="str">
        <f t="shared" si="105"/>
        <v/>
      </c>
      <c r="D1407" t="str">
        <f t="shared" si="106"/>
        <v/>
      </c>
      <c r="E1407" t="str">
        <f t="shared" si="107"/>
        <v/>
      </c>
      <c r="F1407" t="str">
        <f>IF(D1407="","",INDEX(Knutepunkter!$B:$B,D1407+1))</f>
        <v/>
      </c>
      <c r="G1407" t="str">
        <f>IF(D1407="","",INDEX(Knutepunkter!$C:$C,D1407+1))</f>
        <v/>
      </c>
      <c r="H1407" t="str">
        <f>IF(D1407="","",INDEX(Knutepunkter!$D:$D,D1407+1))</f>
        <v/>
      </c>
      <c r="I1407" t="str">
        <f>IF(E1407="","",INDEX(Knutepunkter!$B:$B,E1407+1))</f>
        <v/>
      </c>
      <c r="J1407" t="str">
        <f>IF(E1407="","",INDEX(Knutepunkter!$C:$C,E1407+1))</f>
        <v/>
      </c>
      <c r="K1407" t="str">
        <f>IF(E1407="","",INDEX(Knutepunkter!$D:$D,E1407+1))</f>
        <v/>
      </c>
      <c r="L1407" t="str">
        <f t="shared" si="108"/>
        <v/>
      </c>
      <c r="M1407" t="str">
        <f t="shared" si="109"/>
        <v/>
      </c>
    </row>
    <row r="1408" spans="1:13" x14ac:dyDescent="0.3">
      <c r="A1408" t="str">
        <f>Segmenter!A1408</f>
        <v/>
      </c>
      <c r="B1408" t="str">
        <f>Segmenter!B1408</f>
        <v/>
      </c>
      <c r="C1408" t="str">
        <f t="shared" si="105"/>
        <v/>
      </c>
      <c r="D1408" t="str">
        <f t="shared" si="106"/>
        <v/>
      </c>
      <c r="E1408" t="str">
        <f t="shared" si="107"/>
        <v/>
      </c>
      <c r="F1408" t="str">
        <f>IF(D1408="","",INDEX(Knutepunkter!$B:$B,D1408+1))</f>
        <v/>
      </c>
      <c r="G1408" t="str">
        <f>IF(D1408="","",INDEX(Knutepunkter!$C:$C,D1408+1))</f>
        <v/>
      </c>
      <c r="H1408" t="str">
        <f>IF(D1408="","",INDEX(Knutepunkter!$D:$D,D1408+1))</f>
        <v/>
      </c>
      <c r="I1408" t="str">
        <f>IF(E1408="","",INDEX(Knutepunkter!$B:$B,E1408+1))</f>
        <v/>
      </c>
      <c r="J1408" t="str">
        <f>IF(E1408="","",INDEX(Knutepunkter!$C:$C,E1408+1))</f>
        <v/>
      </c>
      <c r="K1408" t="str">
        <f>IF(E1408="","",INDEX(Knutepunkter!$D:$D,E1408+1))</f>
        <v/>
      </c>
      <c r="L1408" t="str">
        <f t="shared" si="108"/>
        <v/>
      </c>
      <c r="M1408" t="str">
        <f t="shared" si="109"/>
        <v/>
      </c>
    </row>
    <row r="1409" spans="1:13" x14ac:dyDescent="0.3">
      <c r="A1409" t="str">
        <f>Segmenter!A1409</f>
        <v/>
      </c>
      <c r="B1409" t="str">
        <f>Segmenter!B1409</f>
        <v/>
      </c>
      <c r="C1409" t="str">
        <f t="shared" si="105"/>
        <v/>
      </c>
      <c r="D1409" t="str">
        <f t="shared" si="106"/>
        <v/>
      </c>
      <c r="E1409" t="str">
        <f t="shared" si="107"/>
        <v/>
      </c>
      <c r="F1409" t="str">
        <f>IF(D1409="","",INDEX(Knutepunkter!$B:$B,D1409+1))</f>
        <v/>
      </c>
      <c r="G1409" t="str">
        <f>IF(D1409="","",INDEX(Knutepunkter!$C:$C,D1409+1))</f>
        <v/>
      </c>
      <c r="H1409" t="str">
        <f>IF(D1409="","",INDEX(Knutepunkter!$D:$D,D1409+1))</f>
        <v/>
      </c>
      <c r="I1409" t="str">
        <f>IF(E1409="","",INDEX(Knutepunkter!$B:$B,E1409+1))</f>
        <v/>
      </c>
      <c r="J1409" t="str">
        <f>IF(E1409="","",INDEX(Knutepunkter!$C:$C,E1409+1))</f>
        <v/>
      </c>
      <c r="K1409" t="str">
        <f>IF(E1409="","",INDEX(Knutepunkter!$D:$D,E1409+1))</f>
        <v/>
      </c>
      <c r="L1409" t="str">
        <f t="shared" si="108"/>
        <v/>
      </c>
      <c r="M1409" t="str">
        <f t="shared" si="109"/>
        <v/>
      </c>
    </row>
    <row r="1410" spans="1:13" x14ac:dyDescent="0.3">
      <c r="A1410" t="str">
        <f>Segmenter!A1410</f>
        <v/>
      </c>
      <c r="B1410" t="str">
        <f>Segmenter!B1410</f>
        <v/>
      </c>
      <c r="C1410" t="str">
        <f t="shared" ref="C1410:C1473" si="110">IF(B1410="","",IF(AND(F1410=I1410,G1410=J1410,H1410&lt;&gt;K1410),"Søyle","Bjelke"))</f>
        <v/>
      </c>
      <c r="D1410" t="str">
        <f t="shared" ref="D1410:D1473" si="111">IF(B1410="","",VALUE(LEFT(B1410,FIND(" -&gt; ",B1410)-1)))</f>
        <v/>
      </c>
      <c r="E1410" t="str">
        <f t="shared" ref="E1410:E1473" si="112">IF(B1410="","",VALUE(MID(B1410,FIND(" -&gt; ",B1410)+4,99)))</f>
        <v/>
      </c>
      <c r="F1410" t="str">
        <f>IF(D1410="","",INDEX(Knutepunkter!$B:$B,D1410+1))</f>
        <v/>
      </c>
      <c r="G1410" t="str">
        <f>IF(D1410="","",INDEX(Knutepunkter!$C:$C,D1410+1))</f>
        <v/>
      </c>
      <c r="H1410" t="str">
        <f>IF(D1410="","",INDEX(Knutepunkter!$D:$D,D1410+1))</f>
        <v/>
      </c>
      <c r="I1410" t="str">
        <f>IF(E1410="","",INDEX(Knutepunkter!$B:$B,E1410+1))</f>
        <v/>
      </c>
      <c r="J1410" t="str">
        <f>IF(E1410="","",INDEX(Knutepunkter!$C:$C,E1410+1))</f>
        <v/>
      </c>
      <c r="K1410" t="str">
        <f>IF(E1410="","",INDEX(Knutepunkter!$D:$D,E1410+1))</f>
        <v/>
      </c>
      <c r="L1410" t="str">
        <f t="shared" ref="L1410:L1473" si="113">IF(B1410="","",SQRT((I1410-F1410)^2+(J1410-G1410)^2+(K1410-H1410)^2))</f>
        <v/>
      </c>
      <c r="M1410" t="str">
        <f t="shared" ref="M1410:M1473" si="114">IF(L1410="","",L1410/1000)</f>
        <v/>
      </c>
    </row>
    <row r="1411" spans="1:13" x14ac:dyDescent="0.3">
      <c r="A1411" t="str">
        <f>Segmenter!A1411</f>
        <v/>
      </c>
      <c r="B1411" t="str">
        <f>Segmenter!B1411</f>
        <v/>
      </c>
      <c r="C1411" t="str">
        <f t="shared" si="110"/>
        <v/>
      </c>
      <c r="D1411" t="str">
        <f t="shared" si="111"/>
        <v/>
      </c>
      <c r="E1411" t="str">
        <f t="shared" si="112"/>
        <v/>
      </c>
      <c r="F1411" t="str">
        <f>IF(D1411="","",INDEX(Knutepunkter!$B:$B,D1411+1))</f>
        <v/>
      </c>
      <c r="G1411" t="str">
        <f>IF(D1411="","",INDEX(Knutepunkter!$C:$C,D1411+1))</f>
        <v/>
      </c>
      <c r="H1411" t="str">
        <f>IF(D1411="","",INDEX(Knutepunkter!$D:$D,D1411+1))</f>
        <v/>
      </c>
      <c r="I1411" t="str">
        <f>IF(E1411="","",INDEX(Knutepunkter!$B:$B,E1411+1))</f>
        <v/>
      </c>
      <c r="J1411" t="str">
        <f>IF(E1411="","",INDEX(Knutepunkter!$C:$C,E1411+1))</f>
        <v/>
      </c>
      <c r="K1411" t="str">
        <f>IF(E1411="","",INDEX(Knutepunkter!$D:$D,E1411+1))</f>
        <v/>
      </c>
      <c r="L1411" t="str">
        <f t="shared" si="113"/>
        <v/>
      </c>
      <c r="M1411" t="str">
        <f t="shared" si="114"/>
        <v/>
      </c>
    </row>
    <row r="1412" spans="1:13" x14ac:dyDescent="0.3">
      <c r="A1412" t="str">
        <f>Segmenter!A1412</f>
        <v/>
      </c>
      <c r="B1412" t="str">
        <f>Segmenter!B1412</f>
        <v/>
      </c>
      <c r="C1412" t="str">
        <f t="shared" si="110"/>
        <v/>
      </c>
      <c r="D1412" t="str">
        <f t="shared" si="111"/>
        <v/>
      </c>
      <c r="E1412" t="str">
        <f t="shared" si="112"/>
        <v/>
      </c>
      <c r="F1412" t="str">
        <f>IF(D1412="","",INDEX(Knutepunkter!$B:$B,D1412+1))</f>
        <v/>
      </c>
      <c r="G1412" t="str">
        <f>IF(D1412="","",INDEX(Knutepunkter!$C:$C,D1412+1))</f>
        <v/>
      </c>
      <c r="H1412" t="str">
        <f>IF(D1412="","",INDEX(Knutepunkter!$D:$D,D1412+1))</f>
        <v/>
      </c>
      <c r="I1412" t="str">
        <f>IF(E1412="","",INDEX(Knutepunkter!$B:$B,E1412+1))</f>
        <v/>
      </c>
      <c r="J1412" t="str">
        <f>IF(E1412="","",INDEX(Knutepunkter!$C:$C,E1412+1))</f>
        <v/>
      </c>
      <c r="K1412" t="str">
        <f>IF(E1412="","",INDEX(Knutepunkter!$D:$D,E1412+1))</f>
        <v/>
      </c>
      <c r="L1412" t="str">
        <f t="shared" si="113"/>
        <v/>
      </c>
      <c r="M1412" t="str">
        <f t="shared" si="114"/>
        <v/>
      </c>
    </row>
    <row r="1413" spans="1:13" x14ac:dyDescent="0.3">
      <c r="A1413" t="str">
        <f>Segmenter!A1413</f>
        <v/>
      </c>
      <c r="B1413" t="str">
        <f>Segmenter!B1413</f>
        <v/>
      </c>
      <c r="C1413" t="str">
        <f t="shared" si="110"/>
        <v/>
      </c>
      <c r="D1413" t="str">
        <f t="shared" si="111"/>
        <v/>
      </c>
      <c r="E1413" t="str">
        <f t="shared" si="112"/>
        <v/>
      </c>
      <c r="F1413" t="str">
        <f>IF(D1413="","",INDEX(Knutepunkter!$B:$B,D1413+1))</f>
        <v/>
      </c>
      <c r="G1413" t="str">
        <f>IF(D1413="","",INDEX(Knutepunkter!$C:$C,D1413+1))</f>
        <v/>
      </c>
      <c r="H1413" t="str">
        <f>IF(D1413="","",INDEX(Knutepunkter!$D:$D,D1413+1))</f>
        <v/>
      </c>
      <c r="I1413" t="str">
        <f>IF(E1413="","",INDEX(Knutepunkter!$B:$B,E1413+1))</f>
        <v/>
      </c>
      <c r="J1413" t="str">
        <f>IF(E1413="","",INDEX(Knutepunkter!$C:$C,E1413+1))</f>
        <v/>
      </c>
      <c r="K1413" t="str">
        <f>IF(E1413="","",INDEX(Knutepunkter!$D:$D,E1413+1))</f>
        <v/>
      </c>
      <c r="L1413" t="str">
        <f t="shared" si="113"/>
        <v/>
      </c>
      <c r="M1413" t="str">
        <f t="shared" si="114"/>
        <v/>
      </c>
    </row>
    <row r="1414" spans="1:13" x14ac:dyDescent="0.3">
      <c r="A1414" t="str">
        <f>Segmenter!A1414</f>
        <v/>
      </c>
      <c r="B1414" t="str">
        <f>Segmenter!B1414</f>
        <v/>
      </c>
      <c r="C1414" t="str">
        <f t="shared" si="110"/>
        <v/>
      </c>
      <c r="D1414" t="str">
        <f t="shared" si="111"/>
        <v/>
      </c>
      <c r="E1414" t="str">
        <f t="shared" si="112"/>
        <v/>
      </c>
      <c r="F1414" t="str">
        <f>IF(D1414="","",INDEX(Knutepunkter!$B:$B,D1414+1))</f>
        <v/>
      </c>
      <c r="G1414" t="str">
        <f>IF(D1414="","",INDEX(Knutepunkter!$C:$C,D1414+1))</f>
        <v/>
      </c>
      <c r="H1414" t="str">
        <f>IF(D1414="","",INDEX(Knutepunkter!$D:$D,D1414+1))</f>
        <v/>
      </c>
      <c r="I1414" t="str">
        <f>IF(E1414="","",INDEX(Knutepunkter!$B:$B,E1414+1))</f>
        <v/>
      </c>
      <c r="J1414" t="str">
        <f>IF(E1414="","",INDEX(Knutepunkter!$C:$C,E1414+1))</f>
        <v/>
      </c>
      <c r="K1414" t="str">
        <f>IF(E1414="","",INDEX(Knutepunkter!$D:$D,E1414+1))</f>
        <v/>
      </c>
      <c r="L1414" t="str">
        <f t="shared" si="113"/>
        <v/>
      </c>
      <c r="M1414" t="str">
        <f t="shared" si="114"/>
        <v/>
      </c>
    </row>
    <row r="1415" spans="1:13" x14ac:dyDescent="0.3">
      <c r="A1415" t="str">
        <f>Segmenter!A1415</f>
        <v/>
      </c>
      <c r="B1415" t="str">
        <f>Segmenter!B1415</f>
        <v/>
      </c>
      <c r="C1415" t="str">
        <f t="shared" si="110"/>
        <v/>
      </c>
      <c r="D1415" t="str">
        <f t="shared" si="111"/>
        <v/>
      </c>
      <c r="E1415" t="str">
        <f t="shared" si="112"/>
        <v/>
      </c>
      <c r="F1415" t="str">
        <f>IF(D1415="","",INDEX(Knutepunkter!$B:$B,D1415+1))</f>
        <v/>
      </c>
      <c r="G1415" t="str">
        <f>IF(D1415="","",INDEX(Knutepunkter!$C:$C,D1415+1))</f>
        <v/>
      </c>
      <c r="H1415" t="str">
        <f>IF(D1415="","",INDEX(Knutepunkter!$D:$D,D1415+1))</f>
        <v/>
      </c>
      <c r="I1415" t="str">
        <f>IF(E1415="","",INDEX(Knutepunkter!$B:$B,E1415+1))</f>
        <v/>
      </c>
      <c r="J1415" t="str">
        <f>IF(E1415="","",INDEX(Knutepunkter!$C:$C,E1415+1))</f>
        <v/>
      </c>
      <c r="K1415" t="str">
        <f>IF(E1415="","",INDEX(Knutepunkter!$D:$D,E1415+1))</f>
        <v/>
      </c>
      <c r="L1415" t="str">
        <f t="shared" si="113"/>
        <v/>
      </c>
      <c r="M1415" t="str">
        <f t="shared" si="114"/>
        <v/>
      </c>
    </row>
    <row r="1416" spans="1:13" x14ac:dyDescent="0.3">
      <c r="A1416" t="str">
        <f>Segmenter!A1416</f>
        <v/>
      </c>
      <c r="B1416" t="str">
        <f>Segmenter!B1416</f>
        <v/>
      </c>
      <c r="C1416" t="str">
        <f t="shared" si="110"/>
        <v/>
      </c>
      <c r="D1416" t="str">
        <f t="shared" si="111"/>
        <v/>
      </c>
      <c r="E1416" t="str">
        <f t="shared" si="112"/>
        <v/>
      </c>
      <c r="F1416" t="str">
        <f>IF(D1416="","",INDEX(Knutepunkter!$B:$B,D1416+1))</f>
        <v/>
      </c>
      <c r="G1416" t="str">
        <f>IF(D1416="","",INDEX(Knutepunkter!$C:$C,D1416+1))</f>
        <v/>
      </c>
      <c r="H1416" t="str">
        <f>IF(D1416="","",INDEX(Knutepunkter!$D:$D,D1416+1))</f>
        <v/>
      </c>
      <c r="I1416" t="str">
        <f>IF(E1416="","",INDEX(Knutepunkter!$B:$B,E1416+1))</f>
        <v/>
      </c>
      <c r="J1416" t="str">
        <f>IF(E1416="","",INDEX(Knutepunkter!$C:$C,E1416+1))</f>
        <v/>
      </c>
      <c r="K1416" t="str">
        <f>IF(E1416="","",INDEX(Knutepunkter!$D:$D,E1416+1))</f>
        <v/>
      </c>
      <c r="L1416" t="str">
        <f t="shared" si="113"/>
        <v/>
      </c>
      <c r="M1416" t="str">
        <f t="shared" si="114"/>
        <v/>
      </c>
    </row>
    <row r="1417" spans="1:13" x14ac:dyDescent="0.3">
      <c r="A1417" t="str">
        <f>Segmenter!A1417</f>
        <v/>
      </c>
      <c r="B1417" t="str">
        <f>Segmenter!B1417</f>
        <v/>
      </c>
      <c r="C1417" t="str">
        <f t="shared" si="110"/>
        <v/>
      </c>
      <c r="D1417" t="str">
        <f t="shared" si="111"/>
        <v/>
      </c>
      <c r="E1417" t="str">
        <f t="shared" si="112"/>
        <v/>
      </c>
      <c r="F1417" t="str">
        <f>IF(D1417="","",INDEX(Knutepunkter!$B:$B,D1417+1))</f>
        <v/>
      </c>
      <c r="G1417" t="str">
        <f>IF(D1417="","",INDEX(Knutepunkter!$C:$C,D1417+1))</f>
        <v/>
      </c>
      <c r="H1417" t="str">
        <f>IF(D1417="","",INDEX(Knutepunkter!$D:$D,D1417+1))</f>
        <v/>
      </c>
      <c r="I1417" t="str">
        <f>IF(E1417="","",INDEX(Knutepunkter!$B:$B,E1417+1))</f>
        <v/>
      </c>
      <c r="J1417" t="str">
        <f>IF(E1417="","",INDEX(Knutepunkter!$C:$C,E1417+1))</f>
        <v/>
      </c>
      <c r="K1417" t="str">
        <f>IF(E1417="","",INDEX(Knutepunkter!$D:$D,E1417+1))</f>
        <v/>
      </c>
      <c r="L1417" t="str">
        <f t="shared" si="113"/>
        <v/>
      </c>
      <c r="M1417" t="str">
        <f t="shared" si="114"/>
        <v/>
      </c>
    </row>
    <row r="1418" spans="1:13" x14ac:dyDescent="0.3">
      <c r="A1418" t="str">
        <f>Segmenter!A1418</f>
        <v/>
      </c>
      <c r="B1418" t="str">
        <f>Segmenter!B1418</f>
        <v/>
      </c>
      <c r="C1418" t="str">
        <f t="shared" si="110"/>
        <v/>
      </c>
      <c r="D1418" t="str">
        <f t="shared" si="111"/>
        <v/>
      </c>
      <c r="E1418" t="str">
        <f t="shared" si="112"/>
        <v/>
      </c>
      <c r="F1418" t="str">
        <f>IF(D1418="","",INDEX(Knutepunkter!$B:$B,D1418+1))</f>
        <v/>
      </c>
      <c r="G1418" t="str">
        <f>IF(D1418="","",INDEX(Knutepunkter!$C:$C,D1418+1))</f>
        <v/>
      </c>
      <c r="H1418" t="str">
        <f>IF(D1418="","",INDEX(Knutepunkter!$D:$D,D1418+1))</f>
        <v/>
      </c>
      <c r="I1418" t="str">
        <f>IF(E1418="","",INDEX(Knutepunkter!$B:$B,E1418+1))</f>
        <v/>
      </c>
      <c r="J1418" t="str">
        <f>IF(E1418="","",INDEX(Knutepunkter!$C:$C,E1418+1))</f>
        <v/>
      </c>
      <c r="K1418" t="str">
        <f>IF(E1418="","",INDEX(Knutepunkter!$D:$D,E1418+1))</f>
        <v/>
      </c>
      <c r="L1418" t="str">
        <f t="shared" si="113"/>
        <v/>
      </c>
      <c r="M1418" t="str">
        <f t="shared" si="114"/>
        <v/>
      </c>
    </row>
    <row r="1419" spans="1:13" x14ac:dyDescent="0.3">
      <c r="A1419" t="str">
        <f>Segmenter!A1419</f>
        <v/>
      </c>
      <c r="B1419" t="str">
        <f>Segmenter!B1419</f>
        <v/>
      </c>
      <c r="C1419" t="str">
        <f t="shared" si="110"/>
        <v/>
      </c>
      <c r="D1419" t="str">
        <f t="shared" si="111"/>
        <v/>
      </c>
      <c r="E1419" t="str">
        <f t="shared" si="112"/>
        <v/>
      </c>
      <c r="F1419" t="str">
        <f>IF(D1419="","",INDEX(Knutepunkter!$B:$B,D1419+1))</f>
        <v/>
      </c>
      <c r="G1419" t="str">
        <f>IF(D1419="","",INDEX(Knutepunkter!$C:$C,D1419+1))</f>
        <v/>
      </c>
      <c r="H1419" t="str">
        <f>IF(D1419="","",INDEX(Knutepunkter!$D:$D,D1419+1))</f>
        <v/>
      </c>
      <c r="I1419" t="str">
        <f>IF(E1419="","",INDEX(Knutepunkter!$B:$B,E1419+1))</f>
        <v/>
      </c>
      <c r="J1419" t="str">
        <f>IF(E1419="","",INDEX(Knutepunkter!$C:$C,E1419+1))</f>
        <v/>
      </c>
      <c r="K1419" t="str">
        <f>IF(E1419="","",INDEX(Knutepunkter!$D:$D,E1419+1))</f>
        <v/>
      </c>
      <c r="L1419" t="str">
        <f t="shared" si="113"/>
        <v/>
      </c>
      <c r="M1419" t="str">
        <f t="shared" si="114"/>
        <v/>
      </c>
    </row>
    <row r="1420" spans="1:13" x14ac:dyDescent="0.3">
      <c r="A1420" t="str">
        <f>Segmenter!A1420</f>
        <v/>
      </c>
      <c r="B1420" t="str">
        <f>Segmenter!B1420</f>
        <v/>
      </c>
      <c r="C1420" t="str">
        <f t="shared" si="110"/>
        <v/>
      </c>
      <c r="D1420" t="str">
        <f t="shared" si="111"/>
        <v/>
      </c>
      <c r="E1420" t="str">
        <f t="shared" si="112"/>
        <v/>
      </c>
      <c r="F1420" t="str">
        <f>IF(D1420="","",INDEX(Knutepunkter!$B:$B,D1420+1))</f>
        <v/>
      </c>
      <c r="G1420" t="str">
        <f>IF(D1420="","",INDEX(Knutepunkter!$C:$C,D1420+1))</f>
        <v/>
      </c>
      <c r="H1420" t="str">
        <f>IF(D1420="","",INDEX(Knutepunkter!$D:$D,D1420+1))</f>
        <v/>
      </c>
      <c r="I1420" t="str">
        <f>IF(E1420="","",INDEX(Knutepunkter!$B:$B,E1420+1))</f>
        <v/>
      </c>
      <c r="J1420" t="str">
        <f>IF(E1420="","",INDEX(Knutepunkter!$C:$C,E1420+1))</f>
        <v/>
      </c>
      <c r="K1420" t="str">
        <f>IF(E1420="","",INDEX(Knutepunkter!$D:$D,E1420+1))</f>
        <v/>
      </c>
      <c r="L1420" t="str">
        <f t="shared" si="113"/>
        <v/>
      </c>
      <c r="M1420" t="str">
        <f t="shared" si="114"/>
        <v/>
      </c>
    </row>
    <row r="1421" spans="1:13" x14ac:dyDescent="0.3">
      <c r="A1421" t="str">
        <f>Segmenter!A1421</f>
        <v/>
      </c>
      <c r="B1421" t="str">
        <f>Segmenter!B1421</f>
        <v/>
      </c>
      <c r="C1421" t="str">
        <f t="shared" si="110"/>
        <v/>
      </c>
      <c r="D1421" t="str">
        <f t="shared" si="111"/>
        <v/>
      </c>
      <c r="E1421" t="str">
        <f t="shared" si="112"/>
        <v/>
      </c>
      <c r="F1421" t="str">
        <f>IF(D1421="","",INDEX(Knutepunkter!$B:$B,D1421+1))</f>
        <v/>
      </c>
      <c r="G1421" t="str">
        <f>IF(D1421="","",INDEX(Knutepunkter!$C:$C,D1421+1))</f>
        <v/>
      </c>
      <c r="H1421" t="str">
        <f>IF(D1421="","",INDEX(Knutepunkter!$D:$D,D1421+1))</f>
        <v/>
      </c>
      <c r="I1421" t="str">
        <f>IF(E1421="","",INDEX(Knutepunkter!$B:$B,E1421+1))</f>
        <v/>
      </c>
      <c r="J1421" t="str">
        <f>IF(E1421="","",INDEX(Knutepunkter!$C:$C,E1421+1))</f>
        <v/>
      </c>
      <c r="K1421" t="str">
        <f>IF(E1421="","",INDEX(Knutepunkter!$D:$D,E1421+1))</f>
        <v/>
      </c>
      <c r="L1421" t="str">
        <f t="shared" si="113"/>
        <v/>
      </c>
      <c r="M1421" t="str">
        <f t="shared" si="114"/>
        <v/>
      </c>
    </row>
    <row r="1422" spans="1:13" x14ac:dyDescent="0.3">
      <c r="A1422" t="str">
        <f>Segmenter!A1422</f>
        <v/>
      </c>
      <c r="B1422" t="str">
        <f>Segmenter!B1422</f>
        <v/>
      </c>
      <c r="C1422" t="str">
        <f t="shared" si="110"/>
        <v/>
      </c>
      <c r="D1422" t="str">
        <f t="shared" si="111"/>
        <v/>
      </c>
      <c r="E1422" t="str">
        <f t="shared" si="112"/>
        <v/>
      </c>
      <c r="F1422" t="str">
        <f>IF(D1422="","",INDEX(Knutepunkter!$B:$B,D1422+1))</f>
        <v/>
      </c>
      <c r="G1422" t="str">
        <f>IF(D1422="","",INDEX(Knutepunkter!$C:$C,D1422+1))</f>
        <v/>
      </c>
      <c r="H1422" t="str">
        <f>IF(D1422="","",INDEX(Knutepunkter!$D:$D,D1422+1))</f>
        <v/>
      </c>
      <c r="I1422" t="str">
        <f>IF(E1422="","",INDEX(Knutepunkter!$B:$B,E1422+1))</f>
        <v/>
      </c>
      <c r="J1422" t="str">
        <f>IF(E1422="","",INDEX(Knutepunkter!$C:$C,E1422+1))</f>
        <v/>
      </c>
      <c r="K1422" t="str">
        <f>IF(E1422="","",INDEX(Knutepunkter!$D:$D,E1422+1))</f>
        <v/>
      </c>
      <c r="L1422" t="str">
        <f t="shared" si="113"/>
        <v/>
      </c>
      <c r="M1422" t="str">
        <f t="shared" si="114"/>
        <v/>
      </c>
    </row>
    <row r="1423" spans="1:13" x14ac:dyDescent="0.3">
      <c r="A1423" t="str">
        <f>Segmenter!A1423</f>
        <v/>
      </c>
      <c r="B1423" t="str">
        <f>Segmenter!B1423</f>
        <v/>
      </c>
      <c r="C1423" t="str">
        <f t="shared" si="110"/>
        <v/>
      </c>
      <c r="D1423" t="str">
        <f t="shared" si="111"/>
        <v/>
      </c>
      <c r="E1423" t="str">
        <f t="shared" si="112"/>
        <v/>
      </c>
      <c r="F1423" t="str">
        <f>IF(D1423="","",INDEX(Knutepunkter!$B:$B,D1423+1))</f>
        <v/>
      </c>
      <c r="G1423" t="str">
        <f>IF(D1423="","",INDEX(Knutepunkter!$C:$C,D1423+1))</f>
        <v/>
      </c>
      <c r="H1423" t="str">
        <f>IF(D1423="","",INDEX(Knutepunkter!$D:$D,D1423+1))</f>
        <v/>
      </c>
      <c r="I1423" t="str">
        <f>IF(E1423="","",INDEX(Knutepunkter!$B:$B,E1423+1))</f>
        <v/>
      </c>
      <c r="J1423" t="str">
        <f>IF(E1423="","",INDEX(Knutepunkter!$C:$C,E1423+1))</f>
        <v/>
      </c>
      <c r="K1423" t="str">
        <f>IF(E1423="","",INDEX(Knutepunkter!$D:$D,E1423+1))</f>
        <v/>
      </c>
      <c r="L1423" t="str">
        <f t="shared" si="113"/>
        <v/>
      </c>
      <c r="M1423" t="str">
        <f t="shared" si="114"/>
        <v/>
      </c>
    </row>
    <row r="1424" spans="1:13" x14ac:dyDescent="0.3">
      <c r="A1424" t="str">
        <f>Segmenter!A1424</f>
        <v/>
      </c>
      <c r="B1424" t="str">
        <f>Segmenter!B1424</f>
        <v/>
      </c>
      <c r="C1424" t="str">
        <f t="shared" si="110"/>
        <v/>
      </c>
      <c r="D1424" t="str">
        <f t="shared" si="111"/>
        <v/>
      </c>
      <c r="E1424" t="str">
        <f t="shared" si="112"/>
        <v/>
      </c>
      <c r="F1424" t="str">
        <f>IF(D1424="","",INDEX(Knutepunkter!$B:$B,D1424+1))</f>
        <v/>
      </c>
      <c r="G1424" t="str">
        <f>IF(D1424="","",INDEX(Knutepunkter!$C:$C,D1424+1))</f>
        <v/>
      </c>
      <c r="H1424" t="str">
        <f>IF(D1424="","",INDEX(Knutepunkter!$D:$D,D1424+1))</f>
        <v/>
      </c>
      <c r="I1424" t="str">
        <f>IF(E1424="","",INDEX(Knutepunkter!$B:$B,E1424+1))</f>
        <v/>
      </c>
      <c r="J1424" t="str">
        <f>IF(E1424="","",INDEX(Knutepunkter!$C:$C,E1424+1))</f>
        <v/>
      </c>
      <c r="K1424" t="str">
        <f>IF(E1424="","",INDEX(Knutepunkter!$D:$D,E1424+1))</f>
        <v/>
      </c>
      <c r="L1424" t="str">
        <f t="shared" si="113"/>
        <v/>
      </c>
      <c r="M1424" t="str">
        <f t="shared" si="114"/>
        <v/>
      </c>
    </row>
    <row r="1425" spans="1:13" x14ac:dyDescent="0.3">
      <c r="A1425" t="str">
        <f>Segmenter!A1425</f>
        <v/>
      </c>
      <c r="B1425" t="str">
        <f>Segmenter!B1425</f>
        <v/>
      </c>
      <c r="C1425" t="str">
        <f t="shared" si="110"/>
        <v/>
      </c>
      <c r="D1425" t="str">
        <f t="shared" si="111"/>
        <v/>
      </c>
      <c r="E1425" t="str">
        <f t="shared" si="112"/>
        <v/>
      </c>
      <c r="F1425" t="str">
        <f>IF(D1425="","",INDEX(Knutepunkter!$B:$B,D1425+1))</f>
        <v/>
      </c>
      <c r="G1425" t="str">
        <f>IF(D1425="","",INDEX(Knutepunkter!$C:$C,D1425+1))</f>
        <v/>
      </c>
      <c r="H1425" t="str">
        <f>IF(D1425="","",INDEX(Knutepunkter!$D:$D,D1425+1))</f>
        <v/>
      </c>
      <c r="I1425" t="str">
        <f>IF(E1425="","",INDEX(Knutepunkter!$B:$B,E1425+1))</f>
        <v/>
      </c>
      <c r="J1425" t="str">
        <f>IF(E1425="","",INDEX(Knutepunkter!$C:$C,E1425+1))</f>
        <v/>
      </c>
      <c r="K1425" t="str">
        <f>IF(E1425="","",INDEX(Knutepunkter!$D:$D,E1425+1))</f>
        <v/>
      </c>
      <c r="L1425" t="str">
        <f t="shared" si="113"/>
        <v/>
      </c>
      <c r="M1425" t="str">
        <f t="shared" si="114"/>
        <v/>
      </c>
    </row>
    <row r="1426" spans="1:13" x14ac:dyDescent="0.3">
      <c r="A1426" t="str">
        <f>Segmenter!A1426</f>
        <v/>
      </c>
      <c r="B1426" t="str">
        <f>Segmenter!B1426</f>
        <v/>
      </c>
      <c r="C1426" t="str">
        <f t="shared" si="110"/>
        <v/>
      </c>
      <c r="D1426" t="str">
        <f t="shared" si="111"/>
        <v/>
      </c>
      <c r="E1426" t="str">
        <f t="shared" si="112"/>
        <v/>
      </c>
      <c r="F1426" t="str">
        <f>IF(D1426="","",INDEX(Knutepunkter!$B:$B,D1426+1))</f>
        <v/>
      </c>
      <c r="G1426" t="str">
        <f>IF(D1426="","",INDEX(Knutepunkter!$C:$C,D1426+1))</f>
        <v/>
      </c>
      <c r="H1426" t="str">
        <f>IF(D1426="","",INDEX(Knutepunkter!$D:$D,D1426+1))</f>
        <v/>
      </c>
      <c r="I1426" t="str">
        <f>IF(E1426="","",INDEX(Knutepunkter!$B:$B,E1426+1))</f>
        <v/>
      </c>
      <c r="J1426" t="str">
        <f>IF(E1426="","",INDEX(Knutepunkter!$C:$C,E1426+1))</f>
        <v/>
      </c>
      <c r="K1426" t="str">
        <f>IF(E1426="","",INDEX(Knutepunkter!$D:$D,E1426+1))</f>
        <v/>
      </c>
      <c r="L1426" t="str">
        <f t="shared" si="113"/>
        <v/>
      </c>
      <c r="M1426" t="str">
        <f t="shared" si="114"/>
        <v/>
      </c>
    </row>
    <row r="1427" spans="1:13" x14ac:dyDescent="0.3">
      <c r="A1427" t="str">
        <f>Segmenter!A1427</f>
        <v/>
      </c>
      <c r="B1427" t="str">
        <f>Segmenter!B1427</f>
        <v/>
      </c>
      <c r="C1427" t="str">
        <f t="shared" si="110"/>
        <v/>
      </c>
      <c r="D1427" t="str">
        <f t="shared" si="111"/>
        <v/>
      </c>
      <c r="E1427" t="str">
        <f t="shared" si="112"/>
        <v/>
      </c>
      <c r="F1427" t="str">
        <f>IF(D1427="","",INDEX(Knutepunkter!$B:$B,D1427+1))</f>
        <v/>
      </c>
      <c r="G1427" t="str">
        <f>IF(D1427="","",INDEX(Knutepunkter!$C:$C,D1427+1))</f>
        <v/>
      </c>
      <c r="H1427" t="str">
        <f>IF(D1427="","",INDEX(Knutepunkter!$D:$D,D1427+1))</f>
        <v/>
      </c>
      <c r="I1427" t="str">
        <f>IF(E1427="","",INDEX(Knutepunkter!$B:$B,E1427+1))</f>
        <v/>
      </c>
      <c r="J1427" t="str">
        <f>IF(E1427="","",INDEX(Knutepunkter!$C:$C,E1427+1))</f>
        <v/>
      </c>
      <c r="K1427" t="str">
        <f>IF(E1427="","",INDEX(Knutepunkter!$D:$D,E1427+1))</f>
        <v/>
      </c>
      <c r="L1427" t="str">
        <f t="shared" si="113"/>
        <v/>
      </c>
      <c r="M1427" t="str">
        <f t="shared" si="114"/>
        <v/>
      </c>
    </row>
    <row r="1428" spans="1:13" x14ac:dyDescent="0.3">
      <c r="A1428" t="str">
        <f>Segmenter!A1428</f>
        <v/>
      </c>
      <c r="B1428" t="str">
        <f>Segmenter!B1428</f>
        <v/>
      </c>
      <c r="C1428" t="str">
        <f t="shared" si="110"/>
        <v/>
      </c>
      <c r="D1428" t="str">
        <f t="shared" si="111"/>
        <v/>
      </c>
      <c r="E1428" t="str">
        <f t="shared" si="112"/>
        <v/>
      </c>
      <c r="F1428" t="str">
        <f>IF(D1428="","",INDEX(Knutepunkter!$B:$B,D1428+1))</f>
        <v/>
      </c>
      <c r="G1428" t="str">
        <f>IF(D1428="","",INDEX(Knutepunkter!$C:$C,D1428+1))</f>
        <v/>
      </c>
      <c r="H1428" t="str">
        <f>IF(D1428="","",INDEX(Knutepunkter!$D:$D,D1428+1))</f>
        <v/>
      </c>
      <c r="I1428" t="str">
        <f>IF(E1428="","",INDEX(Knutepunkter!$B:$B,E1428+1))</f>
        <v/>
      </c>
      <c r="J1428" t="str">
        <f>IF(E1428="","",INDEX(Knutepunkter!$C:$C,E1428+1))</f>
        <v/>
      </c>
      <c r="K1428" t="str">
        <f>IF(E1428="","",INDEX(Knutepunkter!$D:$D,E1428+1))</f>
        <v/>
      </c>
      <c r="L1428" t="str">
        <f t="shared" si="113"/>
        <v/>
      </c>
      <c r="M1428" t="str">
        <f t="shared" si="114"/>
        <v/>
      </c>
    </row>
    <row r="1429" spans="1:13" x14ac:dyDescent="0.3">
      <c r="A1429" t="str">
        <f>Segmenter!A1429</f>
        <v/>
      </c>
      <c r="B1429" t="str">
        <f>Segmenter!B1429</f>
        <v/>
      </c>
      <c r="C1429" t="str">
        <f t="shared" si="110"/>
        <v/>
      </c>
      <c r="D1429" t="str">
        <f t="shared" si="111"/>
        <v/>
      </c>
      <c r="E1429" t="str">
        <f t="shared" si="112"/>
        <v/>
      </c>
      <c r="F1429" t="str">
        <f>IF(D1429="","",INDEX(Knutepunkter!$B:$B,D1429+1))</f>
        <v/>
      </c>
      <c r="G1429" t="str">
        <f>IF(D1429="","",INDEX(Knutepunkter!$C:$C,D1429+1))</f>
        <v/>
      </c>
      <c r="H1429" t="str">
        <f>IF(D1429="","",INDEX(Knutepunkter!$D:$D,D1429+1))</f>
        <v/>
      </c>
      <c r="I1429" t="str">
        <f>IF(E1429="","",INDEX(Knutepunkter!$B:$B,E1429+1))</f>
        <v/>
      </c>
      <c r="J1429" t="str">
        <f>IF(E1429="","",INDEX(Knutepunkter!$C:$C,E1429+1))</f>
        <v/>
      </c>
      <c r="K1429" t="str">
        <f>IF(E1429="","",INDEX(Knutepunkter!$D:$D,E1429+1))</f>
        <v/>
      </c>
      <c r="L1429" t="str">
        <f t="shared" si="113"/>
        <v/>
      </c>
      <c r="M1429" t="str">
        <f t="shared" si="114"/>
        <v/>
      </c>
    </row>
    <row r="1430" spans="1:13" x14ac:dyDescent="0.3">
      <c r="A1430" t="str">
        <f>Segmenter!A1430</f>
        <v/>
      </c>
      <c r="B1430" t="str">
        <f>Segmenter!B1430</f>
        <v/>
      </c>
      <c r="C1430" t="str">
        <f t="shared" si="110"/>
        <v/>
      </c>
      <c r="D1430" t="str">
        <f t="shared" si="111"/>
        <v/>
      </c>
      <c r="E1430" t="str">
        <f t="shared" si="112"/>
        <v/>
      </c>
      <c r="F1430" t="str">
        <f>IF(D1430="","",INDEX(Knutepunkter!$B:$B,D1430+1))</f>
        <v/>
      </c>
      <c r="G1430" t="str">
        <f>IF(D1430="","",INDEX(Knutepunkter!$C:$C,D1430+1))</f>
        <v/>
      </c>
      <c r="H1430" t="str">
        <f>IF(D1430="","",INDEX(Knutepunkter!$D:$D,D1430+1))</f>
        <v/>
      </c>
      <c r="I1430" t="str">
        <f>IF(E1430="","",INDEX(Knutepunkter!$B:$B,E1430+1))</f>
        <v/>
      </c>
      <c r="J1430" t="str">
        <f>IF(E1430="","",INDEX(Knutepunkter!$C:$C,E1430+1))</f>
        <v/>
      </c>
      <c r="K1430" t="str">
        <f>IF(E1430="","",INDEX(Knutepunkter!$D:$D,E1430+1))</f>
        <v/>
      </c>
      <c r="L1430" t="str">
        <f t="shared" si="113"/>
        <v/>
      </c>
      <c r="M1430" t="str">
        <f t="shared" si="114"/>
        <v/>
      </c>
    </row>
    <row r="1431" spans="1:13" x14ac:dyDescent="0.3">
      <c r="A1431" t="str">
        <f>Segmenter!A1431</f>
        <v/>
      </c>
      <c r="B1431" t="str">
        <f>Segmenter!B1431</f>
        <v/>
      </c>
      <c r="C1431" t="str">
        <f t="shared" si="110"/>
        <v/>
      </c>
      <c r="D1431" t="str">
        <f t="shared" si="111"/>
        <v/>
      </c>
      <c r="E1431" t="str">
        <f t="shared" si="112"/>
        <v/>
      </c>
      <c r="F1431" t="str">
        <f>IF(D1431="","",INDEX(Knutepunkter!$B:$B,D1431+1))</f>
        <v/>
      </c>
      <c r="G1431" t="str">
        <f>IF(D1431="","",INDEX(Knutepunkter!$C:$C,D1431+1))</f>
        <v/>
      </c>
      <c r="H1431" t="str">
        <f>IF(D1431="","",INDEX(Knutepunkter!$D:$D,D1431+1))</f>
        <v/>
      </c>
      <c r="I1431" t="str">
        <f>IF(E1431="","",INDEX(Knutepunkter!$B:$B,E1431+1))</f>
        <v/>
      </c>
      <c r="J1431" t="str">
        <f>IF(E1431="","",INDEX(Knutepunkter!$C:$C,E1431+1))</f>
        <v/>
      </c>
      <c r="K1431" t="str">
        <f>IF(E1431="","",INDEX(Knutepunkter!$D:$D,E1431+1))</f>
        <v/>
      </c>
      <c r="L1431" t="str">
        <f t="shared" si="113"/>
        <v/>
      </c>
      <c r="M1431" t="str">
        <f t="shared" si="114"/>
        <v/>
      </c>
    </row>
    <row r="1432" spans="1:13" x14ac:dyDescent="0.3">
      <c r="A1432" t="str">
        <f>Segmenter!A1432</f>
        <v/>
      </c>
      <c r="B1432" t="str">
        <f>Segmenter!B1432</f>
        <v/>
      </c>
      <c r="C1432" t="str">
        <f t="shared" si="110"/>
        <v/>
      </c>
      <c r="D1432" t="str">
        <f t="shared" si="111"/>
        <v/>
      </c>
      <c r="E1432" t="str">
        <f t="shared" si="112"/>
        <v/>
      </c>
      <c r="F1432" t="str">
        <f>IF(D1432="","",INDEX(Knutepunkter!$B:$B,D1432+1))</f>
        <v/>
      </c>
      <c r="G1432" t="str">
        <f>IF(D1432="","",INDEX(Knutepunkter!$C:$C,D1432+1))</f>
        <v/>
      </c>
      <c r="H1432" t="str">
        <f>IF(D1432="","",INDEX(Knutepunkter!$D:$D,D1432+1))</f>
        <v/>
      </c>
      <c r="I1432" t="str">
        <f>IF(E1432="","",INDEX(Knutepunkter!$B:$B,E1432+1))</f>
        <v/>
      </c>
      <c r="J1432" t="str">
        <f>IF(E1432="","",INDEX(Knutepunkter!$C:$C,E1432+1))</f>
        <v/>
      </c>
      <c r="K1432" t="str">
        <f>IF(E1432="","",INDEX(Knutepunkter!$D:$D,E1432+1))</f>
        <v/>
      </c>
      <c r="L1432" t="str">
        <f t="shared" si="113"/>
        <v/>
      </c>
      <c r="M1432" t="str">
        <f t="shared" si="114"/>
        <v/>
      </c>
    </row>
    <row r="1433" spans="1:13" x14ac:dyDescent="0.3">
      <c r="A1433" t="str">
        <f>Segmenter!A1433</f>
        <v/>
      </c>
      <c r="B1433" t="str">
        <f>Segmenter!B1433</f>
        <v/>
      </c>
      <c r="C1433" t="str">
        <f t="shared" si="110"/>
        <v/>
      </c>
      <c r="D1433" t="str">
        <f t="shared" si="111"/>
        <v/>
      </c>
      <c r="E1433" t="str">
        <f t="shared" si="112"/>
        <v/>
      </c>
      <c r="F1433" t="str">
        <f>IF(D1433="","",INDEX(Knutepunkter!$B:$B,D1433+1))</f>
        <v/>
      </c>
      <c r="G1433" t="str">
        <f>IF(D1433="","",INDEX(Knutepunkter!$C:$C,D1433+1))</f>
        <v/>
      </c>
      <c r="H1433" t="str">
        <f>IF(D1433="","",INDEX(Knutepunkter!$D:$D,D1433+1))</f>
        <v/>
      </c>
      <c r="I1433" t="str">
        <f>IF(E1433="","",INDEX(Knutepunkter!$B:$B,E1433+1))</f>
        <v/>
      </c>
      <c r="J1433" t="str">
        <f>IF(E1433="","",INDEX(Knutepunkter!$C:$C,E1433+1))</f>
        <v/>
      </c>
      <c r="K1433" t="str">
        <f>IF(E1433="","",INDEX(Knutepunkter!$D:$D,E1433+1))</f>
        <v/>
      </c>
      <c r="L1433" t="str">
        <f t="shared" si="113"/>
        <v/>
      </c>
      <c r="M1433" t="str">
        <f t="shared" si="114"/>
        <v/>
      </c>
    </row>
    <row r="1434" spans="1:13" x14ac:dyDescent="0.3">
      <c r="A1434" t="str">
        <f>Segmenter!A1434</f>
        <v/>
      </c>
      <c r="B1434" t="str">
        <f>Segmenter!B1434</f>
        <v/>
      </c>
      <c r="C1434" t="str">
        <f t="shared" si="110"/>
        <v/>
      </c>
      <c r="D1434" t="str">
        <f t="shared" si="111"/>
        <v/>
      </c>
      <c r="E1434" t="str">
        <f t="shared" si="112"/>
        <v/>
      </c>
      <c r="F1434" t="str">
        <f>IF(D1434="","",INDEX(Knutepunkter!$B:$B,D1434+1))</f>
        <v/>
      </c>
      <c r="G1434" t="str">
        <f>IF(D1434="","",INDEX(Knutepunkter!$C:$C,D1434+1))</f>
        <v/>
      </c>
      <c r="H1434" t="str">
        <f>IF(D1434="","",INDEX(Knutepunkter!$D:$D,D1434+1))</f>
        <v/>
      </c>
      <c r="I1434" t="str">
        <f>IF(E1434="","",INDEX(Knutepunkter!$B:$B,E1434+1))</f>
        <v/>
      </c>
      <c r="J1434" t="str">
        <f>IF(E1434="","",INDEX(Knutepunkter!$C:$C,E1434+1))</f>
        <v/>
      </c>
      <c r="K1434" t="str">
        <f>IF(E1434="","",INDEX(Knutepunkter!$D:$D,E1434+1))</f>
        <v/>
      </c>
      <c r="L1434" t="str">
        <f t="shared" si="113"/>
        <v/>
      </c>
      <c r="M1434" t="str">
        <f t="shared" si="114"/>
        <v/>
      </c>
    </row>
    <row r="1435" spans="1:13" x14ac:dyDescent="0.3">
      <c r="A1435" t="str">
        <f>Segmenter!A1435</f>
        <v/>
      </c>
      <c r="B1435" t="str">
        <f>Segmenter!B1435</f>
        <v/>
      </c>
      <c r="C1435" t="str">
        <f t="shared" si="110"/>
        <v/>
      </c>
      <c r="D1435" t="str">
        <f t="shared" si="111"/>
        <v/>
      </c>
      <c r="E1435" t="str">
        <f t="shared" si="112"/>
        <v/>
      </c>
      <c r="F1435" t="str">
        <f>IF(D1435="","",INDEX(Knutepunkter!$B:$B,D1435+1))</f>
        <v/>
      </c>
      <c r="G1435" t="str">
        <f>IF(D1435="","",INDEX(Knutepunkter!$C:$C,D1435+1))</f>
        <v/>
      </c>
      <c r="H1435" t="str">
        <f>IF(D1435="","",INDEX(Knutepunkter!$D:$D,D1435+1))</f>
        <v/>
      </c>
      <c r="I1435" t="str">
        <f>IF(E1435="","",INDEX(Knutepunkter!$B:$B,E1435+1))</f>
        <v/>
      </c>
      <c r="J1435" t="str">
        <f>IF(E1435="","",INDEX(Knutepunkter!$C:$C,E1435+1))</f>
        <v/>
      </c>
      <c r="K1435" t="str">
        <f>IF(E1435="","",INDEX(Knutepunkter!$D:$D,E1435+1))</f>
        <v/>
      </c>
      <c r="L1435" t="str">
        <f t="shared" si="113"/>
        <v/>
      </c>
      <c r="M1435" t="str">
        <f t="shared" si="114"/>
        <v/>
      </c>
    </row>
    <row r="1436" spans="1:13" x14ac:dyDescent="0.3">
      <c r="A1436" t="str">
        <f>Segmenter!A1436</f>
        <v/>
      </c>
      <c r="B1436" t="str">
        <f>Segmenter!B1436</f>
        <v/>
      </c>
      <c r="C1436" t="str">
        <f t="shared" si="110"/>
        <v/>
      </c>
      <c r="D1436" t="str">
        <f t="shared" si="111"/>
        <v/>
      </c>
      <c r="E1436" t="str">
        <f t="shared" si="112"/>
        <v/>
      </c>
      <c r="F1436" t="str">
        <f>IF(D1436="","",INDEX(Knutepunkter!$B:$B,D1436+1))</f>
        <v/>
      </c>
      <c r="G1436" t="str">
        <f>IF(D1436="","",INDEX(Knutepunkter!$C:$C,D1436+1))</f>
        <v/>
      </c>
      <c r="H1436" t="str">
        <f>IF(D1436="","",INDEX(Knutepunkter!$D:$D,D1436+1))</f>
        <v/>
      </c>
      <c r="I1436" t="str">
        <f>IF(E1436="","",INDEX(Knutepunkter!$B:$B,E1436+1))</f>
        <v/>
      </c>
      <c r="J1436" t="str">
        <f>IF(E1436="","",INDEX(Knutepunkter!$C:$C,E1436+1))</f>
        <v/>
      </c>
      <c r="K1436" t="str">
        <f>IF(E1436="","",INDEX(Knutepunkter!$D:$D,E1436+1))</f>
        <v/>
      </c>
      <c r="L1436" t="str">
        <f t="shared" si="113"/>
        <v/>
      </c>
      <c r="M1436" t="str">
        <f t="shared" si="114"/>
        <v/>
      </c>
    </row>
    <row r="1437" spans="1:13" x14ac:dyDescent="0.3">
      <c r="A1437" t="str">
        <f>Segmenter!A1437</f>
        <v/>
      </c>
      <c r="B1437" t="str">
        <f>Segmenter!B1437</f>
        <v/>
      </c>
      <c r="C1437" t="str">
        <f t="shared" si="110"/>
        <v/>
      </c>
      <c r="D1437" t="str">
        <f t="shared" si="111"/>
        <v/>
      </c>
      <c r="E1437" t="str">
        <f t="shared" si="112"/>
        <v/>
      </c>
      <c r="F1437" t="str">
        <f>IF(D1437="","",INDEX(Knutepunkter!$B:$B,D1437+1))</f>
        <v/>
      </c>
      <c r="G1437" t="str">
        <f>IF(D1437="","",INDEX(Knutepunkter!$C:$C,D1437+1))</f>
        <v/>
      </c>
      <c r="H1437" t="str">
        <f>IF(D1437="","",INDEX(Knutepunkter!$D:$D,D1437+1))</f>
        <v/>
      </c>
      <c r="I1437" t="str">
        <f>IF(E1437="","",INDEX(Knutepunkter!$B:$B,E1437+1))</f>
        <v/>
      </c>
      <c r="J1437" t="str">
        <f>IF(E1437="","",INDEX(Knutepunkter!$C:$C,E1437+1))</f>
        <v/>
      </c>
      <c r="K1437" t="str">
        <f>IF(E1437="","",INDEX(Knutepunkter!$D:$D,E1437+1))</f>
        <v/>
      </c>
      <c r="L1437" t="str">
        <f t="shared" si="113"/>
        <v/>
      </c>
      <c r="M1437" t="str">
        <f t="shared" si="114"/>
        <v/>
      </c>
    </row>
    <row r="1438" spans="1:13" x14ac:dyDescent="0.3">
      <c r="A1438" t="str">
        <f>Segmenter!A1438</f>
        <v/>
      </c>
      <c r="B1438" t="str">
        <f>Segmenter!B1438</f>
        <v/>
      </c>
      <c r="C1438" t="str">
        <f t="shared" si="110"/>
        <v/>
      </c>
      <c r="D1438" t="str">
        <f t="shared" si="111"/>
        <v/>
      </c>
      <c r="E1438" t="str">
        <f t="shared" si="112"/>
        <v/>
      </c>
      <c r="F1438" t="str">
        <f>IF(D1438="","",INDEX(Knutepunkter!$B:$B,D1438+1))</f>
        <v/>
      </c>
      <c r="G1438" t="str">
        <f>IF(D1438="","",INDEX(Knutepunkter!$C:$C,D1438+1))</f>
        <v/>
      </c>
      <c r="H1438" t="str">
        <f>IF(D1438="","",INDEX(Knutepunkter!$D:$D,D1438+1))</f>
        <v/>
      </c>
      <c r="I1438" t="str">
        <f>IF(E1438="","",INDEX(Knutepunkter!$B:$B,E1438+1))</f>
        <v/>
      </c>
      <c r="J1438" t="str">
        <f>IF(E1438="","",INDEX(Knutepunkter!$C:$C,E1438+1))</f>
        <v/>
      </c>
      <c r="K1438" t="str">
        <f>IF(E1438="","",INDEX(Knutepunkter!$D:$D,E1438+1))</f>
        <v/>
      </c>
      <c r="L1438" t="str">
        <f t="shared" si="113"/>
        <v/>
      </c>
      <c r="M1438" t="str">
        <f t="shared" si="114"/>
        <v/>
      </c>
    </row>
    <row r="1439" spans="1:13" x14ac:dyDescent="0.3">
      <c r="A1439" t="str">
        <f>Segmenter!A1439</f>
        <v/>
      </c>
      <c r="B1439" t="str">
        <f>Segmenter!B1439</f>
        <v/>
      </c>
      <c r="C1439" t="str">
        <f t="shared" si="110"/>
        <v/>
      </c>
      <c r="D1439" t="str">
        <f t="shared" si="111"/>
        <v/>
      </c>
      <c r="E1439" t="str">
        <f t="shared" si="112"/>
        <v/>
      </c>
      <c r="F1439" t="str">
        <f>IF(D1439="","",INDEX(Knutepunkter!$B:$B,D1439+1))</f>
        <v/>
      </c>
      <c r="G1439" t="str">
        <f>IF(D1439="","",INDEX(Knutepunkter!$C:$C,D1439+1))</f>
        <v/>
      </c>
      <c r="H1439" t="str">
        <f>IF(D1439="","",INDEX(Knutepunkter!$D:$D,D1439+1))</f>
        <v/>
      </c>
      <c r="I1439" t="str">
        <f>IF(E1439="","",INDEX(Knutepunkter!$B:$B,E1439+1))</f>
        <v/>
      </c>
      <c r="J1439" t="str">
        <f>IF(E1439="","",INDEX(Knutepunkter!$C:$C,E1439+1))</f>
        <v/>
      </c>
      <c r="K1439" t="str">
        <f>IF(E1439="","",INDEX(Knutepunkter!$D:$D,E1439+1))</f>
        <v/>
      </c>
      <c r="L1439" t="str">
        <f t="shared" si="113"/>
        <v/>
      </c>
      <c r="M1439" t="str">
        <f t="shared" si="114"/>
        <v/>
      </c>
    </row>
    <row r="1440" spans="1:13" x14ac:dyDescent="0.3">
      <c r="A1440" t="str">
        <f>Segmenter!A1440</f>
        <v/>
      </c>
      <c r="B1440" t="str">
        <f>Segmenter!B1440</f>
        <v/>
      </c>
      <c r="C1440" t="str">
        <f t="shared" si="110"/>
        <v/>
      </c>
      <c r="D1440" t="str">
        <f t="shared" si="111"/>
        <v/>
      </c>
      <c r="E1440" t="str">
        <f t="shared" si="112"/>
        <v/>
      </c>
      <c r="F1440" t="str">
        <f>IF(D1440="","",INDEX(Knutepunkter!$B:$B,D1440+1))</f>
        <v/>
      </c>
      <c r="G1440" t="str">
        <f>IF(D1440="","",INDEX(Knutepunkter!$C:$C,D1440+1))</f>
        <v/>
      </c>
      <c r="H1440" t="str">
        <f>IF(D1440="","",INDEX(Knutepunkter!$D:$D,D1440+1))</f>
        <v/>
      </c>
      <c r="I1440" t="str">
        <f>IF(E1440="","",INDEX(Knutepunkter!$B:$B,E1440+1))</f>
        <v/>
      </c>
      <c r="J1440" t="str">
        <f>IF(E1440="","",INDEX(Knutepunkter!$C:$C,E1440+1))</f>
        <v/>
      </c>
      <c r="K1440" t="str">
        <f>IF(E1440="","",INDEX(Knutepunkter!$D:$D,E1440+1))</f>
        <v/>
      </c>
      <c r="L1440" t="str">
        <f t="shared" si="113"/>
        <v/>
      </c>
      <c r="M1440" t="str">
        <f t="shared" si="114"/>
        <v/>
      </c>
    </row>
    <row r="1441" spans="1:13" x14ac:dyDescent="0.3">
      <c r="A1441" t="str">
        <f>Segmenter!A1441</f>
        <v/>
      </c>
      <c r="B1441" t="str">
        <f>Segmenter!B1441</f>
        <v/>
      </c>
      <c r="C1441" t="str">
        <f t="shared" si="110"/>
        <v/>
      </c>
      <c r="D1441" t="str">
        <f t="shared" si="111"/>
        <v/>
      </c>
      <c r="E1441" t="str">
        <f t="shared" si="112"/>
        <v/>
      </c>
      <c r="F1441" t="str">
        <f>IF(D1441="","",INDEX(Knutepunkter!$B:$B,D1441+1))</f>
        <v/>
      </c>
      <c r="G1441" t="str">
        <f>IF(D1441="","",INDEX(Knutepunkter!$C:$C,D1441+1))</f>
        <v/>
      </c>
      <c r="H1441" t="str">
        <f>IF(D1441="","",INDEX(Knutepunkter!$D:$D,D1441+1))</f>
        <v/>
      </c>
      <c r="I1441" t="str">
        <f>IF(E1441="","",INDEX(Knutepunkter!$B:$B,E1441+1))</f>
        <v/>
      </c>
      <c r="J1441" t="str">
        <f>IF(E1441="","",INDEX(Knutepunkter!$C:$C,E1441+1))</f>
        <v/>
      </c>
      <c r="K1441" t="str">
        <f>IF(E1441="","",INDEX(Knutepunkter!$D:$D,E1441+1))</f>
        <v/>
      </c>
      <c r="L1441" t="str">
        <f t="shared" si="113"/>
        <v/>
      </c>
      <c r="M1441" t="str">
        <f t="shared" si="114"/>
        <v/>
      </c>
    </row>
    <row r="1442" spans="1:13" x14ac:dyDescent="0.3">
      <c r="A1442" t="str">
        <f>Segmenter!A1442</f>
        <v/>
      </c>
      <c r="B1442" t="str">
        <f>Segmenter!B1442</f>
        <v/>
      </c>
      <c r="C1442" t="str">
        <f t="shared" si="110"/>
        <v/>
      </c>
      <c r="D1442" t="str">
        <f t="shared" si="111"/>
        <v/>
      </c>
      <c r="E1442" t="str">
        <f t="shared" si="112"/>
        <v/>
      </c>
      <c r="F1442" t="str">
        <f>IF(D1442="","",INDEX(Knutepunkter!$B:$B,D1442+1))</f>
        <v/>
      </c>
      <c r="G1442" t="str">
        <f>IF(D1442="","",INDEX(Knutepunkter!$C:$C,D1442+1))</f>
        <v/>
      </c>
      <c r="H1442" t="str">
        <f>IF(D1442="","",INDEX(Knutepunkter!$D:$D,D1442+1))</f>
        <v/>
      </c>
      <c r="I1442" t="str">
        <f>IF(E1442="","",INDEX(Knutepunkter!$B:$B,E1442+1))</f>
        <v/>
      </c>
      <c r="J1442" t="str">
        <f>IF(E1442="","",INDEX(Knutepunkter!$C:$C,E1442+1))</f>
        <v/>
      </c>
      <c r="K1442" t="str">
        <f>IF(E1442="","",INDEX(Knutepunkter!$D:$D,E1442+1))</f>
        <v/>
      </c>
      <c r="L1442" t="str">
        <f t="shared" si="113"/>
        <v/>
      </c>
      <c r="M1442" t="str">
        <f t="shared" si="114"/>
        <v/>
      </c>
    </row>
    <row r="1443" spans="1:13" x14ac:dyDescent="0.3">
      <c r="A1443" t="str">
        <f>Segmenter!A1443</f>
        <v/>
      </c>
      <c r="B1443" t="str">
        <f>Segmenter!B1443</f>
        <v/>
      </c>
      <c r="C1443" t="str">
        <f t="shared" si="110"/>
        <v/>
      </c>
      <c r="D1443" t="str">
        <f t="shared" si="111"/>
        <v/>
      </c>
      <c r="E1443" t="str">
        <f t="shared" si="112"/>
        <v/>
      </c>
      <c r="F1443" t="str">
        <f>IF(D1443="","",INDEX(Knutepunkter!$B:$B,D1443+1))</f>
        <v/>
      </c>
      <c r="G1443" t="str">
        <f>IF(D1443="","",INDEX(Knutepunkter!$C:$C,D1443+1))</f>
        <v/>
      </c>
      <c r="H1443" t="str">
        <f>IF(D1443="","",INDEX(Knutepunkter!$D:$D,D1443+1))</f>
        <v/>
      </c>
      <c r="I1443" t="str">
        <f>IF(E1443="","",INDEX(Knutepunkter!$B:$B,E1443+1))</f>
        <v/>
      </c>
      <c r="J1443" t="str">
        <f>IF(E1443="","",INDEX(Knutepunkter!$C:$C,E1443+1))</f>
        <v/>
      </c>
      <c r="K1443" t="str">
        <f>IF(E1443="","",INDEX(Knutepunkter!$D:$D,E1443+1))</f>
        <v/>
      </c>
      <c r="L1443" t="str">
        <f t="shared" si="113"/>
        <v/>
      </c>
      <c r="M1443" t="str">
        <f t="shared" si="114"/>
        <v/>
      </c>
    </row>
    <row r="1444" spans="1:13" x14ac:dyDescent="0.3">
      <c r="A1444" t="str">
        <f>Segmenter!A1444</f>
        <v/>
      </c>
      <c r="B1444" t="str">
        <f>Segmenter!B1444</f>
        <v/>
      </c>
      <c r="C1444" t="str">
        <f t="shared" si="110"/>
        <v/>
      </c>
      <c r="D1444" t="str">
        <f t="shared" si="111"/>
        <v/>
      </c>
      <c r="E1444" t="str">
        <f t="shared" si="112"/>
        <v/>
      </c>
      <c r="F1444" t="str">
        <f>IF(D1444="","",INDEX(Knutepunkter!$B:$B,D1444+1))</f>
        <v/>
      </c>
      <c r="G1444" t="str">
        <f>IF(D1444="","",INDEX(Knutepunkter!$C:$C,D1444+1))</f>
        <v/>
      </c>
      <c r="H1444" t="str">
        <f>IF(D1444="","",INDEX(Knutepunkter!$D:$D,D1444+1))</f>
        <v/>
      </c>
      <c r="I1444" t="str">
        <f>IF(E1444="","",INDEX(Knutepunkter!$B:$B,E1444+1))</f>
        <v/>
      </c>
      <c r="J1444" t="str">
        <f>IF(E1444="","",INDEX(Knutepunkter!$C:$C,E1444+1))</f>
        <v/>
      </c>
      <c r="K1444" t="str">
        <f>IF(E1444="","",INDEX(Knutepunkter!$D:$D,E1444+1))</f>
        <v/>
      </c>
      <c r="L1444" t="str">
        <f t="shared" si="113"/>
        <v/>
      </c>
      <c r="M1444" t="str">
        <f t="shared" si="114"/>
        <v/>
      </c>
    </row>
    <row r="1445" spans="1:13" x14ac:dyDescent="0.3">
      <c r="A1445" t="str">
        <f>Segmenter!A1445</f>
        <v/>
      </c>
      <c r="B1445" t="str">
        <f>Segmenter!B1445</f>
        <v/>
      </c>
      <c r="C1445" t="str">
        <f t="shared" si="110"/>
        <v/>
      </c>
      <c r="D1445" t="str">
        <f t="shared" si="111"/>
        <v/>
      </c>
      <c r="E1445" t="str">
        <f t="shared" si="112"/>
        <v/>
      </c>
      <c r="F1445" t="str">
        <f>IF(D1445="","",INDEX(Knutepunkter!$B:$B,D1445+1))</f>
        <v/>
      </c>
      <c r="G1445" t="str">
        <f>IF(D1445="","",INDEX(Knutepunkter!$C:$C,D1445+1))</f>
        <v/>
      </c>
      <c r="H1445" t="str">
        <f>IF(D1445="","",INDEX(Knutepunkter!$D:$D,D1445+1))</f>
        <v/>
      </c>
      <c r="I1445" t="str">
        <f>IF(E1445="","",INDEX(Knutepunkter!$B:$B,E1445+1))</f>
        <v/>
      </c>
      <c r="J1445" t="str">
        <f>IF(E1445="","",INDEX(Knutepunkter!$C:$C,E1445+1))</f>
        <v/>
      </c>
      <c r="K1445" t="str">
        <f>IF(E1445="","",INDEX(Knutepunkter!$D:$D,E1445+1))</f>
        <v/>
      </c>
      <c r="L1445" t="str">
        <f t="shared" si="113"/>
        <v/>
      </c>
      <c r="M1445" t="str">
        <f t="shared" si="114"/>
        <v/>
      </c>
    </row>
    <row r="1446" spans="1:13" x14ac:dyDescent="0.3">
      <c r="A1446" t="str">
        <f>Segmenter!A1446</f>
        <v/>
      </c>
      <c r="B1446" t="str">
        <f>Segmenter!B1446</f>
        <v/>
      </c>
      <c r="C1446" t="str">
        <f t="shared" si="110"/>
        <v/>
      </c>
      <c r="D1446" t="str">
        <f t="shared" si="111"/>
        <v/>
      </c>
      <c r="E1446" t="str">
        <f t="shared" si="112"/>
        <v/>
      </c>
      <c r="F1446" t="str">
        <f>IF(D1446="","",INDEX(Knutepunkter!$B:$B,D1446+1))</f>
        <v/>
      </c>
      <c r="G1446" t="str">
        <f>IF(D1446="","",INDEX(Knutepunkter!$C:$C,D1446+1))</f>
        <v/>
      </c>
      <c r="H1446" t="str">
        <f>IF(D1446="","",INDEX(Knutepunkter!$D:$D,D1446+1))</f>
        <v/>
      </c>
      <c r="I1446" t="str">
        <f>IF(E1446="","",INDEX(Knutepunkter!$B:$B,E1446+1))</f>
        <v/>
      </c>
      <c r="J1446" t="str">
        <f>IF(E1446="","",INDEX(Knutepunkter!$C:$C,E1446+1))</f>
        <v/>
      </c>
      <c r="K1446" t="str">
        <f>IF(E1446="","",INDEX(Knutepunkter!$D:$D,E1446+1))</f>
        <v/>
      </c>
      <c r="L1446" t="str">
        <f t="shared" si="113"/>
        <v/>
      </c>
      <c r="M1446" t="str">
        <f t="shared" si="114"/>
        <v/>
      </c>
    </row>
    <row r="1447" spans="1:13" x14ac:dyDescent="0.3">
      <c r="A1447" t="str">
        <f>Segmenter!A1447</f>
        <v/>
      </c>
      <c r="B1447" t="str">
        <f>Segmenter!B1447</f>
        <v/>
      </c>
      <c r="C1447" t="str">
        <f t="shared" si="110"/>
        <v/>
      </c>
      <c r="D1447" t="str">
        <f t="shared" si="111"/>
        <v/>
      </c>
      <c r="E1447" t="str">
        <f t="shared" si="112"/>
        <v/>
      </c>
      <c r="F1447" t="str">
        <f>IF(D1447="","",INDEX(Knutepunkter!$B:$B,D1447+1))</f>
        <v/>
      </c>
      <c r="G1447" t="str">
        <f>IF(D1447="","",INDEX(Knutepunkter!$C:$C,D1447+1))</f>
        <v/>
      </c>
      <c r="H1447" t="str">
        <f>IF(D1447="","",INDEX(Knutepunkter!$D:$D,D1447+1))</f>
        <v/>
      </c>
      <c r="I1447" t="str">
        <f>IF(E1447="","",INDEX(Knutepunkter!$B:$B,E1447+1))</f>
        <v/>
      </c>
      <c r="J1447" t="str">
        <f>IF(E1447="","",INDEX(Knutepunkter!$C:$C,E1447+1))</f>
        <v/>
      </c>
      <c r="K1447" t="str">
        <f>IF(E1447="","",INDEX(Knutepunkter!$D:$D,E1447+1))</f>
        <v/>
      </c>
      <c r="L1447" t="str">
        <f t="shared" si="113"/>
        <v/>
      </c>
      <c r="M1447" t="str">
        <f t="shared" si="114"/>
        <v/>
      </c>
    </row>
    <row r="1448" spans="1:13" x14ac:dyDescent="0.3">
      <c r="A1448" t="str">
        <f>Segmenter!A1448</f>
        <v/>
      </c>
      <c r="B1448" t="str">
        <f>Segmenter!B1448</f>
        <v/>
      </c>
      <c r="C1448" t="str">
        <f t="shared" si="110"/>
        <v/>
      </c>
      <c r="D1448" t="str">
        <f t="shared" si="111"/>
        <v/>
      </c>
      <c r="E1448" t="str">
        <f t="shared" si="112"/>
        <v/>
      </c>
      <c r="F1448" t="str">
        <f>IF(D1448="","",INDEX(Knutepunkter!$B:$B,D1448+1))</f>
        <v/>
      </c>
      <c r="G1448" t="str">
        <f>IF(D1448="","",INDEX(Knutepunkter!$C:$C,D1448+1))</f>
        <v/>
      </c>
      <c r="H1448" t="str">
        <f>IF(D1448="","",INDEX(Knutepunkter!$D:$D,D1448+1))</f>
        <v/>
      </c>
      <c r="I1448" t="str">
        <f>IF(E1448="","",INDEX(Knutepunkter!$B:$B,E1448+1))</f>
        <v/>
      </c>
      <c r="J1448" t="str">
        <f>IF(E1448="","",INDEX(Knutepunkter!$C:$C,E1448+1))</f>
        <v/>
      </c>
      <c r="K1448" t="str">
        <f>IF(E1448="","",INDEX(Knutepunkter!$D:$D,E1448+1))</f>
        <v/>
      </c>
      <c r="L1448" t="str">
        <f t="shared" si="113"/>
        <v/>
      </c>
      <c r="M1448" t="str">
        <f t="shared" si="114"/>
        <v/>
      </c>
    </row>
    <row r="1449" spans="1:13" x14ac:dyDescent="0.3">
      <c r="A1449" t="str">
        <f>Segmenter!A1449</f>
        <v/>
      </c>
      <c r="B1449" t="str">
        <f>Segmenter!B1449</f>
        <v/>
      </c>
      <c r="C1449" t="str">
        <f t="shared" si="110"/>
        <v/>
      </c>
      <c r="D1449" t="str">
        <f t="shared" si="111"/>
        <v/>
      </c>
      <c r="E1449" t="str">
        <f t="shared" si="112"/>
        <v/>
      </c>
      <c r="F1449" t="str">
        <f>IF(D1449="","",INDEX(Knutepunkter!$B:$B,D1449+1))</f>
        <v/>
      </c>
      <c r="G1449" t="str">
        <f>IF(D1449="","",INDEX(Knutepunkter!$C:$C,D1449+1))</f>
        <v/>
      </c>
      <c r="H1449" t="str">
        <f>IF(D1449="","",INDEX(Knutepunkter!$D:$D,D1449+1))</f>
        <v/>
      </c>
      <c r="I1449" t="str">
        <f>IF(E1449="","",INDEX(Knutepunkter!$B:$B,E1449+1))</f>
        <v/>
      </c>
      <c r="J1449" t="str">
        <f>IF(E1449="","",INDEX(Knutepunkter!$C:$C,E1449+1))</f>
        <v/>
      </c>
      <c r="K1449" t="str">
        <f>IF(E1449="","",INDEX(Knutepunkter!$D:$D,E1449+1))</f>
        <v/>
      </c>
      <c r="L1449" t="str">
        <f t="shared" si="113"/>
        <v/>
      </c>
      <c r="M1449" t="str">
        <f t="shared" si="114"/>
        <v/>
      </c>
    </row>
    <row r="1450" spans="1:13" x14ac:dyDescent="0.3">
      <c r="A1450" t="str">
        <f>Segmenter!A1450</f>
        <v/>
      </c>
      <c r="B1450" t="str">
        <f>Segmenter!B1450</f>
        <v/>
      </c>
      <c r="C1450" t="str">
        <f t="shared" si="110"/>
        <v/>
      </c>
      <c r="D1450" t="str">
        <f t="shared" si="111"/>
        <v/>
      </c>
      <c r="E1450" t="str">
        <f t="shared" si="112"/>
        <v/>
      </c>
      <c r="F1450" t="str">
        <f>IF(D1450="","",INDEX(Knutepunkter!$B:$B,D1450+1))</f>
        <v/>
      </c>
      <c r="G1450" t="str">
        <f>IF(D1450="","",INDEX(Knutepunkter!$C:$C,D1450+1))</f>
        <v/>
      </c>
      <c r="H1450" t="str">
        <f>IF(D1450="","",INDEX(Knutepunkter!$D:$D,D1450+1))</f>
        <v/>
      </c>
      <c r="I1450" t="str">
        <f>IF(E1450="","",INDEX(Knutepunkter!$B:$B,E1450+1))</f>
        <v/>
      </c>
      <c r="J1450" t="str">
        <f>IF(E1450="","",INDEX(Knutepunkter!$C:$C,E1450+1))</f>
        <v/>
      </c>
      <c r="K1450" t="str">
        <f>IF(E1450="","",INDEX(Knutepunkter!$D:$D,E1450+1))</f>
        <v/>
      </c>
      <c r="L1450" t="str">
        <f t="shared" si="113"/>
        <v/>
      </c>
      <c r="M1450" t="str">
        <f t="shared" si="114"/>
        <v/>
      </c>
    </row>
    <row r="1451" spans="1:13" x14ac:dyDescent="0.3">
      <c r="A1451" t="str">
        <f>Segmenter!A1451</f>
        <v/>
      </c>
      <c r="B1451" t="str">
        <f>Segmenter!B1451</f>
        <v/>
      </c>
      <c r="C1451" t="str">
        <f t="shared" si="110"/>
        <v/>
      </c>
      <c r="D1451" t="str">
        <f t="shared" si="111"/>
        <v/>
      </c>
      <c r="E1451" t="str">
        <f t="shared" si="112"/>
        <v/>
      </c>
      <c r="F1451" t="str">
        <f>IF(D1451="","",INDEX(Knutepunkter!$B:$B,D1451+1))</f>
        <v/>
      </c>
      <c r="G1451" t="str">
        <f>IF(D1451="","",INDEX(Knutepunkter!$C:$C,D1451+1))</f>
        <v/>
      </c>
      <c r="H1451" t="str">
        <f>IF(D1451="","",INDEX(Knutepunkter!$D:$D,D1451+1))</f>
        <v/>
      </c>
      <c r="I1451" t="str">
        <f>IF(E1451="","",INDEX(Knutepunkter!$B:$B,E1451+1))</f>
        <v/>
      </c>
      <c r="J1451" t="str">
        <f>IF(E1451="","",INDEX(Knutepunkter!$C:$C,E1451+1))</f>
        <v/>
      </c>
      <c r="K1451" t="str">
        <f>IF(E1451="","",INDEX(Knutepunkter!$D:$D,E1451+1))</f>
        <v/>
      </c>
      <c r="L1451" t="str">
        <f t="shared" si="113"/>
        <v/>
      </c>
      <c r="M1451" t="str">
        <f t="shared" si="114"/>
        <v/>
      </c>
    </row>
    <row r="1452" spans="1:13" x14ac:dyDescent="0.3">
      <c r="A1452" t="str">
        <f>Segmenter!A1452</f>
        <v/>
      </c>
      <c r="B1452" t="str">
        <f>Segmenter!B1452</f>
        <v/>
      </c>
      <c r="C1452" t="str">
        <f t="shared" si="110"/>
        <v/>
      </c>
      <c r="D1452" t="str">
        <f t="shared" si="111"/>
        <v/>
      </c>
      <c r="E1452" t="str">
        <f t="shared" si="112"/>
        <v/>
      </c>
      <c r="F1452" t="str">
        <f>IF(D1452="","",INDEX(Knutepunkter!$B:$B,D1452+1))</f>
        <v/>
      </c>
      <c r="G1452" t="str">
        <f>IF(D1452="","",INDEX(Knutepunkter!$C:$C,D1452+1))</f>
        <v/>
      </c>
      <c r="H1452" t="str">
        <f>IF(D1452="","",INDEX(Knutepunkter!$D:$D,D1452+1))</f>
        <v/>
      </c>
      <c r="I1452" t="str">
        <f>IF(E1452="","",INDEX(Knutepunkter!$B:$B,E1452+1))</f>
        <v/>
      </c>
      <c r="J1452" t="str">
        <f>IF(E1452="","",INDEX(Knutepunkter!$C:$C,E1452+1))</f>
        <v/>
      </c>
      <c r="K1452" t="str">
        <f>IF(E1452="","",INDEX(Knutepunkter!$D:$D,E1452+1))</f>
        <v/>
      </c>
      <c r="L1452" t="str">
        <f t="shared" si="113"/>
        <v/>
      </c>
      <c r="M1452" t="str">
        <f t="shared" si="114"/>
        <v/>
      </c>
    </row>
    <row r="1453" spans="1:13" x14ac:dyDescent="0.3">
      <c r="A1453" t="str">
        <f>Segmenter!A1453</f>
        <v/>
      </c>
      <c r="B1453" t="str">
        <f>Segmenter!B1453</f>
        <v/>
      </c>
      <c r="C1453" t="str">
        <f t="shared" si="110"/>
        <v/>
      </c>
      <c r="D1453" t="str">
        <f t="shared" si="111"/>
        <v/>
      </c>
      <c r="E1453" t="str">
        <f t="shared" si="112"/>
        <v/>
      </c>
      <c r="F1453" t="str">
        <f>IF(D1453="","",INDEX(Knutepunkter!$B:$B,D1453+1))</f>
        <v/>
      </c>
      <c r="G1453" t="str">
        <f>IF(D1453="","",INDEX(Knutepunkter!$C:$C,D1453+1))</f>
        <v/>
      </c>
      <c r="H1453" t="str">
        <f>IF(D1453="","",INDEX(Knutepunkter!$D:$D,D1453+1))</f>
        <v/>
      </c>
      <c r="I1453" t="str">
        <f>IF(E1453="","",INDEX(Knutepunkter!$B:$B,E1453+1))</f>
        <v/>
      </c>
      <c r="J1453" t="str">
        <f>IF(E1453="","",INDEX(Knutepunkter!$C:$C,E1453+1))</f>
        <v/>
      </c>
      <c r="K1453" t="str">
        <f>IF(E1453="","",INDEX(Knutepunkter!$D:$D,E1453+1))</f>
        <v/>
      </c>
      <c r="L1453" t="str">
        <f t="shared" si="113"/>
        <v/>
      </c>
      <c r="M1453" t="str">
        <f t="shared" si="114"/>
        <v/>
      </c>
    </row>
    <row r="1454" spans="1:13" x14ac:dyDescent="0.3">
      <c r="A1454" t="str">
        <f>Segmenter!A1454</f>
        <v/>
      </c>
      <c r="B1454" t="str">
        <f>Segmenter!B1454</f>
        <v/>
      </c>
      <c r="C1454" t="str">
        <f t="shared" si="110"/>
        <v/>
      </c>
      <c r="D1454" t="str">
        <f t="shared" si="111"/>
        <v/>
      </c>
      <c r="E1454" t="str">
        <f t="shared" si="112"/>
        <v/>
      </c>
      <c r="F1454" t="str">
        <f>IF(D1454="","",INDEX(Knutepunkter!$B:$B,D1454+1))</f>
        <v/>
      </c>
      <c r="G1454" t="str">
        <f>IF(D1454="","",INDEX(Knutepunkter!$C:$C,D1454+1))</f>
        <v/>
      </c>
      <c r="H1454" t="str">
        <f>IF(D1454="","",INDEX(Knutepunkter!$D:$D,D1454+1))</f>
        <v/>
      </c>
      <c r="I1454" t="str">
        <f>IF(E1454="","",INDEX(Knutepunkter!$B:$B,E1454+1))</f>
        <v/>
      </c>
      <c r="J1454" t="str">
        <f>IF(E1454="","",INDEX(Knutepunkter!$C:$C,E1454+1))</f>
        <v/>
      </c>
      <c r="K1454" t="str">
        <f>IF(E1454="","",INDEX(Knutepunkter!$D:$D,E1454+1))</f>
        <v/>
      </c>
      <c r="L1454" t="str">
        <f t="shared" si="113"/>
        <v/>
      </c>
      <c r="M1454" t="str">
        <f t="shared" si="114"/>
        <v/>
      </c>
    </row>
    <row r="1455" spans="1:13" x14ac:dyDescent="0.3">
      <c r="A1455" t="str">
        <f>Segmenter!A1455</f>
        <v/>
      </c>
      <c r="B1455" t="str">
        <f>Segmenter!B1455</f>
        <v/>
      </c>
      <c r="C1455" t="str">
        <f t="shared" si="110"/>
        <v/>
      </c>
      <c r="D1455" t="str">
        <f t="shared" si="111"/>
        <v/>
      </c>
      <c r="E1455" t="str">
        <f t="shared" si="112"/>
        <v/>
      </c>
      <c r="F1455" t="str">
        <f>IF(D1455="","",INDEX(Knutepunkter!$B:$B,D1455+1))</f>
        <v/>
      </c>
      <c r="G1455" t="str">
        <f>IF(D1455="","",INDEX(Knutepunkter!$C:$C,D1455+1))</f>
        <v/>
      </c>
      <c r="H1455" t="str">
        <f>IF(D1455="","",INDEX(Knutepunkter!$D:$D,D1455+1))</f>
        <v/>
      </c>
      <c r="I1455" t="str">
        <f>IF(E1455="","",INDEX(Knutepunkter!$B:$B,E1455+1))</f>
        <v/>
      </c>
      <c r="J1455" t="str">
        <f>IF(E1455="","",INDEX(Knutepunkter!$C:$C,E1455+1))</f>
        <v/>
      </c>
      <c r="K1455" t="str">
        <f>IF(E1455="","",INDEX(Knutepunkter!$D:$D,E1455+1))</f>
        <v/>
      </c>
      <c r="L1455" t="str">
        <f t="shared" si="113"/>
        <v/>
      </c>
      <c r="M1455" t="str">
        <f t="shared" si="114"/>
        <v/>
      </c>
    </row>
    <row r="1456" spans="1:13" x14ac:dyDescent="0.3">
      <c r="A1456" t="str">
        <f>Segmenter!A1456</f>
        <v/>
      </c>
      <c r="B1456" t="str">
        <f>Segmenter!B1456</f>
        <v/>
      </c>
      <c r="C1456" t="str">
        <f t="shared" si="110"/>
        <v/>
      </c>
      <c r="D1456" t="str">
        <f t="shared" si="111"/>
        <v/>
      </c>
      <c r="E1456" t="str">
        <f t="shared" si="112"/>
        <v/>
      </c>
      <c r="F1456" t="str">
        <f>IF(D1456="","",INDEX(Knutepunkter!$B:$B,D1456+1))</f>
        <v/>
      </c>
      <c r="G1456" t="str">
        <f>IF(D1456="","",INDEX(Knutepunkter!$C:$C,D1456+1))</f>
        <v/>
      </c>
      <c r="H1456" t="str">
        <f>IF(D1456="","",INDEX(Knutepunkter!$D:$D,D1456+1))</f>
        <v/>
      </c>
      <c r="I1456" t="str">
        <f>IF(E1456="","",INDEX(Knutepunkter!$B:$B,E1456+1))</f>
        <v/>
      </c>
      <c r="J1456" t="str">
        <f>IF(E1456="","",INDEX(Knutepunkter!$C:$C,E1456+1))</f>
        <v/>
      </c>
      <c r="K1456" t="str">
        <f>IF(E1456="","",INDEX(Knutepunkter!$D:$D,E1456+1))</f>
        <v/>
      </c>
      <c r="L1456" t="str">
        <f t="shared" si="113"/>
        <v/>
      </c>
      <c r="M1456" t="str">
        <f t="shared" si="114"/>
        <v/>
      </c>
    </row>
    <row r="1457" spans="1:13" x14ac:dyDescent="0.3">
      <c r="A1457" t="str">
        <f>Segmenter!A1457</f>
        <v/>
      </c>
      <c r="B1457" t="str">
        <f>Segmenter!B1457</f>
        <v/>
      </c>
      <c r="C1457" t="str">
        <f t="shared" si="110"/>
        <v/>
      </c>
      <c r="D1457" t="str">
        <f t="shared" si="111"/>
        <v/>
      </c>
      <c r="E1457" t="str">
        <f t="shared" si="112"/>
        <v/>
      </c>
      <c r="F1457" t="str">
        <f>IF(D1457="","",INDEX(Knutepunkter!$B:$B,D1457+1))</f>
        <v/>
      </c>
      <c r="G1457" t="str">
        <f>IF(D1457="","",INDEX(Knutepunkter!$C:$C,D1457+1))</f>
        <v/>
      </c>
      <c r="H1457" t="str">
        <f>IF(D1457="","",INDEX(Knutepunkter!$D:$D,D1457+1))</f>
        <v/>
      </c>
      <c r="I1457" t="str">
        <f>IF(E1457="","",INDEX(Knutepunkter!$B:$B,E1457+1))</f>
        <v/>
      </c>
      <c r="J1457" t="str">
        <f>IF(E1457="","",INDEX(Knutepunkter!$C:$C,E1457+1))</f>
        <v/>
      </c>
      <c r="K1457" t="str">
        <f>IF(E1457="","",INDEX(Knutepunkter!$D:$D,E1457+1))</f>
        <v/>
      </c>
      <c r="L1457" t="str">
        <f t="shared" si="113"/>
        <v/>
      </c>
      <c r="M1457" t="str">
        <f t="shared" si="114"/>
        <v/>
      </c>
    </row>
    <row r="1458" spans="1:13" x14ac:dyDescent="0.3">
      <c r="A1458" t="str">
        <f>Segmenter!A1458</f>
        <v/>
      </c>
      <c r="B1458" t="str">
        <f>Segmenter!B1458</f>
        <v/>
      </c>
      <c r="C1458" t="str">
        <f t="shared" si="110"/>
        <v/>
      </c>
      <c r="D1458" t="str">
        <f t="shared" si="111"/>
        <v/>
      </c>
      <c r="E1458" t="str">
        <f t="shared" si="112"/>
        <v/>
      </c>
      <c r="F1458" t="str">
        <f>IF(D1458="","",INDEX(Knutepunkter!$B:$B,D1458+1))</f>
        <v/>
      </c>
      <c r="G1458" t="str">
        <f>IF(D1458="","",INDEX(Knutepunkter!$C:$C,D1458+1))</f>
        <v/>
      </c>
      <c r="H1458" t="str">
        <f>IF(D1458="","",INDEX(Knutepunkter!$D:$D,D1458+1))</f>
        <v/>
      </c>
      <c r="I1458" t="str">
        <f>IF(E1458="","",INDEX(Knutepunkter!$B:$B,E1458+1))</f>
        <v/>
      </c>
      <c r="J1458" t="str">
        <f>IF(E1458="","",INDEX(Knutepunkter!$C:$C,E1458+1))</f>
        <v/>
      </c>
      <c r="K1458" t="str">
        <f>IF(E1458="","",INDEX(Knutepunkter!$D:$D,E1458+1))</f>
        <v/>
      </c>
      <c r="L1458" t="str">
        <f t="shared" si="113"/>
        <v/>
      </c>
      <c r="M1458" t="str">
        <f t="shared" si="114"/>
        <v/>
      </c>
    </row>
    <row r="1459" spans="1:13" x14ac:dyDescent="0.3">
      <c r="A1459" t="str">
        <f>Segmenter!A1459</f>
        <v/>
      </c>
      <c r="B1459" t="str">
        <f>Segmenter!B1459</f>
        <v/>
      </c>
      <c r="C1459" t="str">
        <f t="shared" si="110"/>
        <v/>
      </c>
      <c r="D1459" t="str">
        <f t="shared" si="111"/>
        <v/>
      </c>
      <c r="E1459" t="str">
        <f t="shared" si="112"/>
        <v/>
      </c>
      <c r="F1459" t="str">
        <f>IF(D1459="","",INDEX(Knutepunkter!$B:$B,D1459+1))</f>
        <v/>
      </c>
      <c r="G1459" t="str">
        <f>IF(D1459="","",INDEX(Knutepunkter!$C:$C,D1459+1))</f>
        <v/>
      </c>
      <c r="H1459" t="str">
        <f>IF(D1459="","",INDEX(Knutepunkter!$D:$D,D1459+1))</f>
        <v/>
      </c>
      <c r="I1459" t="str">
        <f>IF(E1459="","",INDEX(Knutepunkter!$B:$B,E1459+1))</f>
        <v/>
      </c>
      <c r="J1459" t="str">
        <f>IF(E1459="","",INDEX(Knutepunkter!$C:$C,E1459+1))</f>
        <v/>
      </c>
      <c r="K1459" t="str">
        <f>IF(E1459="","",INDEX(Knutepunkter!$D:$D,E1459+1))</f>
        <v/>
      </c>
      <c r="L1459" t="str">
        <f t="shared" si="113"/>
        <v/>
      </c>
      <c r="M1459" t="str">
        <f t="shared" si="114"/>
        <v/>
      </c>
    </row>
    <row r="1460" spans="1:13" x14ac:dyDescent="0.3">
      <c r="A1460" t="str">
        <f>Segmenter!A1460</f>
        <v/>
      </c>
      <c r="B1460" t="str">
        <f>Segmenter!B1460</f>
        <v/>
      </c>
      <c r="C1460" t="str">
        <f t="shared" si="110"/>
        <v/>
      </c>
      <c r="D1460" t="str">
        <f t="shared" si="111"/>
        <v/>
      </c>
      <c r="E1460" t="str">
        <f t="shared" si="112"/>
        <v/>
      </c>
      <c r="F1460" t="str">
        <f>IF(D1460="","",INDEX(Knutepunkter!$B:$B,D1460+1))</f>
        <v/>
      </c>
      <c r="G1460" t="str">
        <f>IF(D1460="","",INDEX(Knutepunkter!$C:$C,D1460+1))</f>
        <v/>
      </c>
      <c r="H1460" t="str">
        <f>IF(D1460="","",INDEX(Knutepunkter!$D:$D,D1460+1))</f>
        <v/>
      </c>
      <c r="I1460" t="str">
        <f>IF(E1460="","",INDEX(Knutepunkter!$B:$B,E1460+1))</f>
        <v/>
      </c>
      <c r="J1460" t="str">
        <f>IF(E1460="","",INDEX(Knutepunkter!$C:$C,E1460+1))</f>
        <v/>
      </c>
      <c r="K1460" t="str">
        <f>IF(E1460="","",INDEX(Knutepunkter!$D:$D,E1460+1))</f>
        <v/>
      </c>
      <c r="L1460" t="str">
        <f t="shared" si="113"/>
        <v/>
      </c>
      <c r="M1460" t="str">
        <f t="shared" si="114"/>
        <v/>
      </c>
    </row>
    <row r="1461" spans="1:13" x14ac:dyDescent="0.3">
      <c r="A1461" t="str">
        <f>Segmenter!A1461</f>
        <v/>
      </c>
      <c r="B1461" t="str">
        <f>Segmenter!B1461</f>
        <v/>
      </c>
      <c r="C1461" t="str">
        <f t="shared" si="110"/>
        <v/>
      </c>
      <c r="D1461" t="str">
        <f t="shared" si="111"/>
        <v/>
      </c>
      <c r="E1461" t="str">
        <f t="shared" si="112"/>
        <v/>
      </c>
      <c r="F1461" t="str">
        <f>IF(D1461="","",INDEX(Knutepunkter!$B:$B,D1461+1))</f>
        <v/>
      </c>
      <c r="G1461" t="str">
        <f>IF(D1461="","",INDEX(Knutepunkter!$C:$C,D1461+1))</f>
        <v/>
      </c>
      <c r="H1461" t="str">
        <f>IF(D1461="","",INDEX(Knutepunkter!$D:$D,D1461+1))</f>
        <v/>
      </c>
      <c r="I1461" t="str">
        <f>IF(E1461="","",INDEX(Knutepunkter!$B:$B,E1461+1))</f>
        <v/>
      </c>
      <c r="J1461" t="str">
        <f>IF(E1461="","",INDEX(Knutepunkter!$C:$C,E1461+1))</f>
        <v/>
      </c>
      <c r="K1461" t="str">
        <f>IF(E1461="","",INDEX(Knutepunkter!$D:$D,E1461+1))</f>
        <v/>
      </c>
      <c r="L1461" t="str">
        <f t="shared" si="113"/>
        <v/>
      </c>
      <c r="M1461" t="str">
        <f t="shared" si="114"/>
        <v/>
      </c>
    </row>
    <row r="1462" spans="1:13" x14ac:dyDescent="0.3">
      <c r="A1462" t="str">
        <f>Segmenter!A1462</f>
        <v/>
      </c>
      <c r="B1462" t="str">
        <f>Segmenter!B1462</f>
        <v/>
      </c>
      <c r="C1462" t="str">
        <f t="shared" si="110"/>
        <v/>
      </c>
      <c r="D1462" t="str">
        <f t="shared" si="111"/>
        <v/>
      </c>
      <c r="E1462" t="str">
        <f t="shared" si="112"/>
        <v/>
      </c>
      <c r="F1462" t="str">
        <f>IF(D1462="","",INDEX(Knutepunkter!$B:$B,D1462+1))</f>
        <v/>
      </c>
      <c r="G1462" t="str">
        <f>IF(D1462="","",INDEX(Knutepunkter!$C:$C,D1462+1))</f>
        <v/>
      </c>
      <c r="H1462" t="str">
        <f>IF(D1462="","",INDEX(Knutepunkter!$D:$D,D1462+1))</f>
        <v/>
      </c>
      <c r="I1462" t="str">
        <f>IF(E1462="","",INDEX(Knutepunkter!$B:$B,E1462+1))</f>
        <v/>
      </c>
      <c r="J1462" t="str">
        <f>IF(E1462="","",INDEX(Knutepunkter!$C:$C,E1462+1))</f>
        <v/>
      </c>
      <c r="K1462" t="str">
        <f>IF(E1462="","",INDEX(Knutepunkter!$D:$D,E1462+1))</f>
        <v/>
      </c>
      <c r="L1462" t="str">
        <f t="shared" si="113"/>
        <v/>
      </c>
      <c r="M1462" t="str">
        <f t="shared" si="114"/>
        <v/>
      </c>
    </row>
    <row r="1463" spans="1:13" x14ac:dyDescent="0.3">
      <c r="A1463" t="str">
        <f>Segmenter!A1463</f>
        <v/>
      </c>
      <c r="B1463" t="str">
        <f>Segmenter!B1463</f>
        <v/>
      </c>
      <c r="C1463" t="str">
        <f t="shared" si="110"/>
        <v/>
      </c>
      <c r="D1463" t="str">
        <f t="shared" si="111"/>
        <v/>
      </c>
      <c r="E1463" t="str">
        <f t="shared" si="112"/>
        <v/>
      </c>
      <c r="F1463" t="str">
        <f>IF(D1463="","",INDEX(Knutepunkter!$B:$B,D1463+1))</f>
        <v/>
      </c>
      <c r="G1463" t="str">
        <f>IF(D1463="","",INDEX(Knutepunkter!$C:$C,D1463+1))</f>
        <v/>
      </c>
      <c r="H1463" t="str">
        <f>IF(D1463="","",INDEX(Knutepunkter!$D:$D,D1463+1))</f>
        <v/>
      </c>
      <c r="I1463" t="str">
        <f>IF(E1463="","",INDEX(Knutepunkter!$B:$B,E1463+1))</f>
        <v/>
      </c>
      <c r="J1463" t="str">
        <f>IF(E1463="","",INDEX(Knutepunkter!$C:$C,E1463+1))</f>
        <v/>
      </c>
      <c r="K1463" t="str">
        <f>IF(E1463="","",INDEX(Knutepunkter!$D:$D,E1463+1))</f>
        <v/>
      </c>
      <c r="L1463" t="str">
        <f t="shared" si="113"/>
        <v/>
      </c>
      <c r="M1463" t="str">
        <f t="shared" si="114"/>
        <v/>
      </c>
    </row>
    <row r="1464" spans="1:13" x14ac:dyDescent="0.3">
      <c r="A1464" t="str">
        <f>Segmenter!A1464</f>
        <v/>
      </c>
      <c r="B1464" t="str">
        <f>Segmenter!B1464</f>
        <v/>
      </c>
      <c r="C1464" t="str">
        <f t="shared" si="110"/>
        <v/>
      </c>
      <c r="D1464" t="str">
        <f t="shared" si="111"/>
        <v/>
      </c>
      <c r="E1464" t="str">
        <f t="shared" si="112"/>
        <v/>
      </c>
      <c r="F1464" t="str">
        <f>IF(D1464="","",INDEX(Knutepunkter!$B:$B,D1464+1))</f>
        <v/>
      </c>
      <c r="G1464" t="str">
        <f>IF(D1464="","",INDEX(Knutepunkter!$C:$C,D1464+1))</f>
        <v/>
      </c>
      <c r="H1464" t="str">
        <f>IF(D1464="","",INDEX(Knutepunkter!$D:$D,D1464+1))</f>
        <v/>
      </c>
      <c r="I1464" t="str">
        <f>IF(E1464="","",INDEX(Knutepunkter!$B:$B,E1464+1))</f>
        <v/>
      </c>
      <c r="J1464" t="str">
        <f>IF(E1464="","",INDEX(Knutepunkter!$C:$C,E1464+1))</f>
        <v/>
      </c>
      <c r="K1464" t="str">
        <f>IF(E1464="","",INDEX(Knutepunkter!$D:$D,E1464+1))</f>
        <v/>
      </c>
      <c r="L1464" t="str">
        <f t="shared" si="113"/>
        <v/>
      </c>
      <c r="M1464" t="str">
        <f t="shared" si="114"/>
        <v/>
      </c>
    </row>
    <row r="1465" spans="1:13" x14ac:dyDescent="0.3">
      <c r="A1465" t="str">
        <f>Segmenter!A1465</f>
        <v/>
      </c>
      <c r="B1465" t="str">
        <f>Segmenter!B1465</f>
        <v/>
      </c>
      <c r="C1465" t="str">
        <f t="shared" si="110"/>
        <v/>
      </c>
      <c r="D1465" t="str">
        <f t="shared" si="111"/>
        <v/>
      </c>
      <c r="E1465" t="str">
        <f t="shared" si="112"/>
        <v/>
      </c>
      <c r="F1465" t="str">
        <f>IF(D1465="","",INDEX(Knutepunkter!$B:$B,D1465+1))</f>
        <v/>
      </c>
      <c r="G1465" t="str">
        <f>IF(D1465="","",INDEX(Knutepunkter!$C:$C,D1465+1))</f>
        <v/>
      </c>
      <c r="H1465" t="str">
        <f>IF(D1465="","",INDEX(Knutepunkter!$D:$D,D1465+1))</f>
        <v/>
      </c>
      <c r="I1465" t="str">
        <f>IF(E1465="","",INDEX(Knutepunkter!$B:$B,E1465+1))</f>
        <v/>
      </c>
      <c r="J1465" t="str">
        <f>IF(E1465="","",INDEX(Knutepunkter!$C:$C,E1465+1))</f>
        <v/>
      </c>
      <c r="K1465" t="str">
        <f>IF(E1465="","",INDEX(Knutepunkter!$D:$D,E1465+1))</f>
        <v/>
      </c>
      <c r="L1465" t="str">
        <f t="shared" si="113"/>
        <v/>
      </c>
      <c r="M1465" t="str">
        <f t="shared" si="114"/>
        <v/>
      </c>
    </row>
    <row r="1466" spans="1:13" x14ac:dyDescent="0.3">
      <c r="A1466" t="str">
        <f>Segmenter!A1466</f>
        <v/>
      </c>
      <c r="B1466" t="str">
        <f>Segmenter!B1466</f>
        <v/>
      </c>
      <c r="C1466" t="str">
        <f t="shared" si="110"/>
        <v/>
      </c>
      <c r="D1466" t="str">
        <f t="shared" si="111"/>
        <v/>
      </c>
      <c r="E1466" t="str">
        <f t="shared" si="112"/>
        <v/>
      </c>
      <c r="F1466" t="str">
        <f>IF(D1466="","",INDEX(Knutepunkter!$B:$B,D1466+1))</f>
        <v/>
      </c>
      <c r="G1466" t="str">
        <f>IF(D1466="","",INDEX(Knutepunkter!$C:$C,D1466+1))</f>
        <v/>
      </c>
      <c r="H1466" t="str">
        <f>IF(D1466="","",INDEX(Knutepunkter!$D:$D,D1466+1))</f>
        <v/>
      </c>
      <c r="I1466" t="str">
        <f>IF(E1466="","",INDEX(Knutepunkter!$B:$B,E1466+1))</f>
        <v/>
      </c>
      <c r="J1466" t="str">
        <f>IF(E1466="","",INDEX(Knutepunkter!$C:$C,E1466+1))</f>
        <v/>
      </c>
      <c r="K1466" t="str">
        <f>IF(E1466="","",INDEX(Knutepunkter!$D:$D,E1466+1))</f>
        <v/>
      </c>
      <c r="L1466" t="str">
        <f t="shared" si="113"/>
        <v/>
      </c>
      <c r="M1466" t="str">
        <f t="shared" si="114"/>
        <v/>
      </c>
    </row>
    <row r="1467" spans="1:13" x14ac:dyDescent="0.3">
      <c r="A1467" t="str">
        <f>Segmenter!A1467</f>
        <v/>
      </c>
      <c r="B1467" t="str">
        <f>Segmenter!B1467</f>
        <v/>
      </c>
      <c r="C1467" t="str">
        <f t="shared" si="110"/>
        <v/>
      </c>
      <c r="D1467" t="str">
        <f t="shared" si="111"/>
        <v/>
      </c>
      <c r="E1467" t="str">
        <f t="shared" si="112"/>
        <v/>
      </c>
      <c r="F1467" t="str">
        <f>IF(D1467="","",INDEX(Knutepunkter!$B:$B,D1467+1))</f>
        <v/>
      </c>
      <c r="G1467" t="str">
        <f>IF(D1467="","",INDEX(Knutepunkter!$C:$C,D1467+1))</f>
        <v/>
      </c>
      <c r="H1467" t="str">
        <f>IF(D1467="","",INDEX(Knutepunkter!$D:$D,D1467+1))</f>
        <v/>
      </c>
      <c r="I1467" t="str">
        <f>IF(E1467="","",INDEX(Knutepunkter!$B:$B,E1467+1))</f>
        <v/>
      </c>
      <c r="J1467" t="str">
        <f>IF(E1467="","",INDEX(Knutepunkter!$C:$C,E1467+1))</f>
        <v/>
      </c>
      <c r="K1467" t="str">
        <f>IF(E1467="","",INDEX(Knutepunkter!$D:$D,E1467+1))</f>
        <v/>
      </c>
      <c r="L1467" t="str">
        <f t="shared" si="113"/>
        <v/>
      </c>
      <c r="M1467" t="str">
        <f t="shared" si="114"/>
        <v/>
      </c>
    </row>
    <row r="1468" spans="1:13" x14ac:dyDescent="0.3">
      <c r="A1468" t="str">
        <f>Segmenter!A1468</f>
        <v/>
      </c>
      <c r="B1468" t="str">
        <f>Segmenter!B1468</f>
        <v/>
      </c>
      <c r="C1468" t="str">
        <f t="shared" si="110"/>
        <v/>
      </c>
      <c r="D1468" t="str">
        <f t="shared" si="111"/>
        <v/>
      </c>
      <c r="E1468" t="str">
        <f t="shared" si="112"/>
        <v/>
      </c>
      <c r="F1468" t="str">
        <f>IF(D1468="","",INDEX(Knutepunkter!$B:$B,D1468+1))</f>
        <v/>
      </c>
      <c r="G1468" t="str">
        <f>IF(D1468="","",INDEX(Knutepunkter!$C:$C,D1468+1))</f>
        <v/>
      </c>
      <c r="H1468" t="str">
        <f>IF(D1468="","",INDEX(Knutepunkter!$D:$D,D1468+1))</f>
        <v/>
      </c>
      <c r="I1468" t="str">
        <f>IF(E1468="","",INDEX(Knutepunkter!$B:$B,E1468+1))</f>
        <v/>
      </c>
      <c r="J1468" t="str">
        <f>IF(E1468="","",INDEX(Knutepunkter!$C:$C,E1468+1))</f>
        <v/>
      </c>
      <c r="K1468" t="str">
        <f>IF(E1468="","",INDEX(Knutepunkter!$D:$D,E1468+1))</f>
        <v/>
      </c>
      <c r="L1468" t="str">
        <f t="shared" si="113"/>
        <v/>
      </c>
      <c r="M1468" t="str">
        <f t="shared" si="114"/>
        <v/>
      </c>
    </row>
    <row r="1469" spans="1:13" x14ac:dyDescent="0.3">
      <c r="A1469" t="str">
        <f>Segmenter!A1469</f>
        <v/>
      </c>
      <c r="B1469" t="str">
        <f>Segmenter!B1469</f>
        <v/>
      </c>
      <c r="C1469" t="str">
        <f t="shared" si="110"/>
        <v/>
      </c>
      <c r="D1469" t="str">
        <f t="shared" si="111"/>
        <v/>
      </c>
      <c r="E1469" t="str">
        <f t="shared" si="112"/>
        <v/>
      </c>
      <c r="F1469" t="str">
        <f>IF(D1469="","",INDEX(Knutepunkter!$B:$B,D1469+1))</f>
        <v/>
      </c>
      <c r="G1469" t="str">
        <f>IF(D1469="","",INDEX(Knutepunkter!$C:$C,D1469+1))</f>
        <v/>
      </c>
      <c r="H1469" t="str">
        <f>IF(D1469="","",INDEX(Knutepunkter!$D:$D,D1469+1))</f>
        <v/>
      </c>
      <c r="I1469" t="str">
        <f>IF(E1469="","",INDEX(Knutepunkter!$B:$B,E1469+1))</f>
        <v/>
      </c>
      <c r="J1469" t="str">
        <f>IF(E1469="","",INDEX(Knutepunkter!$C:$C,E1469+1))</f>
        <v/>
      </c>
      <c r="K1469" t="str">
        <f>IF(E1469="","",INDEX(Knutepunkter!$D:$D,E1469+1))</f>
        <v/>
      </c>
      <c r="L1469" t="str">
        <f t="shared" si="113"/>
        <v/>
      </c>
      <c r="M1469" t="str">
        <f t="shared" si="114"/>
        <v/>
      </c>
    </row>
    <row r="1470" spans="1:13" x14ac:dyDescent="0.3">
      <c r="A1470" t="str">
        <f>Segmenter!A1470</f>
        <v/>
      </c>
      <c r="B1470" t="str">
        <f>Segmenter!B1470</f>
        <v/>
      </c>
      <c r="C1470" t="str">
        <f t="shared" si="110"/>
        <v/>
      </c>
      <c r="D1470" t="str">
        <f t="shared" si="111"/>
        <v/>
      </c>
      <c r="E1470" t="str">
        <f t="shared" si="112"/>
        <v/>
      </c>
      <c r="F1470" t="str">
        <f>IF(D1470="","",INDEX(Knutepunkter!$B:$B,D1470+1))</f>
        <v/>
      </c>
      <c r="G1470" t="str">
        <f>IF(D1470="","",INDEX(Knutepunkter!$C:$C,D1470+1))</f>
        <v/>
      </c>
      <c r="H1470" t="str">
        <f>IF(D1470="","",INDEX(Knutepunkter!$D:$D,D1470+1))</f>
        <v/>
      </c>
      <c r="I1470" t="str">
        <f>IF(E1470="","",INDEX(Knutepunkter!$B:$B,E1470+1))</f>
        <v/>
      </c>
      <c r="J1470" t="str">
        <f>IF(E1470="","",INDEX(Knutepunkter!$C:$C,E1470+1))</f>
        <v/>
      </c>
      <c r="K1470" t="str">
        <f>IF(E1470="","",INDEX(Knutepunkter!$D:$D,E1470+1))</f>
        <v/>
      </c>
      <c r="L1470" t="str">
        <f t="shared" si="113"/>
        <v/>
      </c>
      <c r="M1470" t="str">
        <f t="shared" si="114"/>
        <v/>
      </c>
    </row>
    <row r="1471" spans="1:13" x14ac:dyDescent="0.3">
      <c r="A1471" t="str">
        <f>Segmenter!A1471</f>
        <v/>
      </c>
      <c r="B1471" t="str">
        <f>Segmenter!B1471</f>
        <v/>
      </c>
      <c r="C1471" t="str">
        <f t="shared" si="110"/>
        <v/>
      </c>
      <c r="D1471" t="str">
        <f t="shared" si="111"/>
        <v/>
      </c>
      <c r="E1471" t="str">
        <f t="shared" si="112"/>
        <v/>
      </c>
      <c r="F1471" t="str">
        <f>IF(D1471="","",INDEX(Knutepunkter!$B:$B,D1471+1))</f>
        <v/>
      </c>
      <c r="G1471" t="str">
        <f>IF(D1471="","",INDEX(Knutepunkter!$C:$C,D1471+1))</f>
        <v/>
      </c>
      <c r="H1471" t="str">
        <f>IF(D1471="","",INDEX(Knutepunkter!$D:$D,D1471+1))</f>
        <v/>
      </c>
      <c r="I1471" t="str">
        <f>IF(E1471="","",INDEX(Knutepunkter!$B:$B,E1471+1))</f>
        <v/>
      </c>
      <c r="J1471" t="str">
        <f>IF(E1471="","",INDEX(Knutepunkter!$C:$C,E1471+1))</f>
        <v/>
      </c>
      <c r="K1471" t="str">
        <f>IF(E1471="","",INDEX(Knutepunkter!$D:$D,E1471+1))</f>
        <v/>
      </c>
      <c r="L1471" t="str">
        <f t="shared" si="113"/>
        <v/>
      </c>
      <c r="M1471" t="str">
        <f t="shared" si="114"/>
        <v/>
      </c>
    </row>
    <row r="1472" spans="1:13" x14ac:dyDescent="0.3">
      <c r="A1472" t="str">
        <f>Segmenter!A1472</f>
        <v/>
      </c>
      <c r="B1472" t="str">
        <f>Segmenter!B1472</f>
        <v/>
      </c>
      <c r="C1472" t="str">
        <f t="shared" si="110"/>
        <v/>
      </c>
      <c r="D1472" t="str">
        <f t="shared" si="111"/>
        <v/>
      </c>
      <c r="E1472" t="str">
        <f t="shared" si="112"/>
        <v/>
      </c>
      <c r="F1472" t="str">
        <f>IF(D1472="","",INDEX(Knutepunkter!$B:$B,D1472+1))</f>
        <v/>
      </c>
      <c r="G1472" t="str">
        <f>IF(D1472="","",INDEX(Knutepunkter!$C:$C,D1472+1))</f>
        <v/>
      </c>
      <c r="H1472" t="str">
        <f>IF(D1472="","",INDEX(Knutepunkter!$D:$D,D1472+1))</f>
        <v/>
      </c>
      <c r="I1472" t="str">
        <f>IF(E1472="","",INDEX(Knutepunkter!$B:$B,E1472+1))</f>
        <v/>
      </c>
      <c r="J1472" t="str">
        <f>IF(E1472="","",INDEX(Knutepunkter!$C:$C,E1472+1))</f>
        <v/>
      </c>
      <c r="K1472" t="str">
        <f>IF(E1472="","",INDEX(Knutepunkter!$D:$D,E1472+1))</f>
        <v/>
      </c>
      <c r="L1472" t="str">
        <f t="shared" si="113"/>
        <v/>
      </c>
      <c r="M1472" t="str">
        <f t="shared" si="114"/>
        <v/>
      </c>
    </row>
    <row r="1473" spans="1:13" x14ac:dyDescent="0.3">
      <c r="A1473" t="str">
        <f>Segmenter!A1473</f>
        <v/>
      </c>
      <c r="B1473" t="str">
        <f>Segmenter!B1473</f>
        <v/>
      </c>
      <c r="C1473" t="str">
        <f t="shared" si="110"/>
        <v/>
      </c>
      <c r="D1473" t="str">
        <f t="shared" si="111"/>
        <v/>
      </c>
      <c r="E1473" t="str">
        <f t="shared" si="112"/>
        <v/>
      </c>
      <c r="F1473" t="str">
        <f>IF(D1473="","",INDEX(Knutepunkter!$B:$B,D1473+1))</f>
        <v/>
      </c>
      <c r="G1473" t="str">
        <f>IF(D1473="","",INDEX(Knutepunkter!$C:$C,D1473+1))</f>
        <v/>
      </c>
      <c r="H1473" t="str">
        <f>IF(D1473="","",INDEX(Knutepunkter!$D:$D,D1473+1))</f>
        <v/>
      </c>
      <c r="I1473" t="str">
        <f>IF(E1473="","",INDEX(Knutepunkter!$B:$B,E1473+1))</f>
        <v/>
      </c>
      <c r="J1473" t="str">
        <f>IF(E1473="","",INDEX(Knutepunkter!$C:$C,E1473+1))</f>
        <v/>
      </c>
      <c r="K1473" t="str">
        <f>IF(E1473="","",INDEX(Knutepunkter!$D:$D,E1473+1))</f>
        <v/>
      </c>
      <c r="L1473" t="str">
        <f t="shared" si="113"/>
        <v/>
      </c>
      <c r="M1473" t="str">
        <f t="shared" si="114"/>
        <v/>
      </c>
    </row>
    <row r="1474" spans="1:13" x14ac:dyDescent="0.3">
      <c r="A1474" t="str">
        <f>Segmenter!A1474</f>
        <v/>
      </c>
      <c r="B1474" t="str">
        <f>Segmenter!B1474</f>
        <v/>
      </c>
      <c r="C1474" t="str">
        <f t="shared" ref="C1474:C1537" si="115">IF(B1474="","",IF(AND(F1474=I1474,G1474=J1474,H1474&lt;&gt;K1474),"Søyle","Bjelke"))</f>
        <v/>
      </c>
      <c r="D1474" t="str">
        <f t="shared" ref="D1474:D1537" si="116">IF(B1474="","",VALUE(LEFT(B1474,FIND(" -&gt; ",B1474)-1)))</f>
        <v/>
      </c>
      <c r="E1474" t="str">
        <f t="shared" ref="E1474:E1537" si="117">IF(B1474="","",VALUE(MID(B1474,FIND(" -&gt; ",B1474)+4,99)))</f>
        <v/>
      </c>
      <c r="F1474" t="str">
        <f>IF(D1474="","",INDEX(Knutepunkter!$B:$B,D1474+1))</f>
        <v/>
      </c>
      <c r="G1474" t="str">
        <f>IF(D1474="","",INDEX(Knutepunkter!$C:$C,D1474+1))</f>
        <v/>
      </c>
      <c r="H1474" t="str">
        <f>IF(D1474="","",INDEX(Knutepunkter!$D:$D,D1474+1))</f>
        <v/>
      </c>
      <c r="I1474" t="str">
        <f>IF(E1474="","",INDEX(Knutepunkter!$B:$B,E1474+1))</f>
        <v/>
      </c>
      <c r="J1474" t="str">
        <f>IF(E1474="","",INDEX(Knutepunkter!$C:$C,E1474+1))</f>
        <v/>
      </c>
      <c r="K1474" t="str">
        <f>IF(E1474="","",INDEX(Knutepunkter!$D:$D,E1474+1))</f>
        <v/>
      </c>
      <c r="L1474" t="str">
        <f t="shared" ref="L1474:L1537" si="118">IF(B1474="","",SQRT((I1474-F1474)^2+(J1474-G1474)^2+(K1474-H1474)^2))</f>
        <v/>
      </c>
      <c r="M1474" t="str">
        <f t="shared" ref="M1474:M1537" si="119">IF(L1474="","",L1474/1000)</f>
        <v/>
      </c>
    </row>
    <row r="1475" spans="1:13" x14ac:dyDescent="0.3">
      <c r="A1475" t="str">
        <f>Segmenter!A1475</f>
        <v/>
      </c>
      <c r="B1475" t="str">
        <f>Segmenter!B1475</f>
        <v/>
      </c>
      <c r="C1475" t="str">
        <f t="shared" si="115"/>
        <v/>
      </c>
      <c r="D1475" t="str">
        <f t="shared" si="116"/>
        <v/>
      </c>
      <c r="E1475" t="str">
        <f t="shared" si="117"/>
        <v/>
      </c>
      <c r="F1475" t="str">
        <f>IF(D1475="","",INDEX(Knutepunkter!$B:$B,D1475+1))</f>
        <v/>
      </c>
      <c r="G1475" t="str">
        <f>IF(D1475="","",INDEX(Knutepunkter!$C:$C,D1475+1))</f>
        <v/>
      </c>
      <c r="H1475" t="str">
        <f>IF(D1475="","",INDEX(Knutepunkter!$D:$D,D1475+1))</f>
        <v/>
      </c>
      <c r="I1475" t="str">
        <f>IF(E1475="","",INDEX(Knutepunkter!$B:$B,E1475+1))</f>
        <v/>
      </c>
      <c r="J1475" t="str">
        <f>IF(E1475="","",INDEX(Knutepunkter!$C:$C,E1475+1))</f>
        <v/>
      </c>
      <c r="K1475" t="str">
        <f>IF(E1475="","",INDEX(Knutepunkter!$D:$D,E1475+1))</f>
        <v/>
      </c>
      <c r="L1475" t="str">
        <f t="shared" si="118"/>
        <v/>
      </c>
      <c r="M1475" t="str">
        <f t="shared" si="119"/>
        <v/>
      </c>
    </row>
    <row r="1476" spans="1:13" x14ac:dyDescent="0.3">
      <c r="A1476" t="str">
        <f>Segmenter!A1476</f>
        <v/>
      </c>
      <c r="B1476" t="str">
        <f>Segmenter!B1476</f>
        <v/>
      </c>
      <c r="C1476" t="str">
        <f t="shared" si="115"/>
        <v/>
      </c>
      <c r="D1476" t="str">
        <f t="shared" si="116"/>
        <v/>
      </c>
      <c r="E1476" t="str">
        <f t="shared" si="117"/>
        <v/>
      </c>
      <c r="F1476" t="str">
        <f>IF(D1476="","",INDEX(Knutepunkter!$B:$B,D1476+1))</f>
        <v/>
      </c>
      <c r="G1476" t="str">
        <f>IF(D1476="","",INDEX(Knutepunkter!$C:$C,D1476+1))</f>
        <v/>
      </c>
      <c r="H1476" t="str">
        <f>IF(D1476="","",INDEX(Knutepunkter!$D:$D,D1476+1))</f>
        <v/>
      </c>
      <c r="I1476" t="str">
        <f>IF(E1476="","",INDEX(Knutepunkter!$B:$B,E1476+1))</f>
        <v/>
      </c>
      <c r="J1476" t="str">
        <f>IF(E1476="","",INDEX(Knutepunkter!$C:$C,E1476+1))</f>
        <v/>
      </c>
      <c r="K1476" t="str">
        <f>IF(E1476="","",INDEX(Knutepunkter!$D:$D,E1476+1))</f>
        <v/>
      </c>
      <c r="L1476" t="str">
        <f t="shared" si="118"/>
        <v/>
      </c>
      <c r="M1476" t="str">
        <f t="shared" si="119"/>
        <v/>
      </c>
    </row>
    <row r="1477" spans="1:13" x14ac:dyDescent="0.3">
      <c r="A1477" t="str">
        <f>Segmenter!A1477</f>
        <v/>
      </c>
      <c r="B1477" t="str">
        <f>Segmenter!B1477</f>
        <v/>
      </c>
      <c r="C1477" t="str">
        <f t="shared" si="115"/>
        <v/>
      </c>
      <c r="D1477" t="str">
        <f t="shared" si="116"/>
        <v/>
      </c>
      <c r="E1477" t="str">
        <f t="shared" si="117"/>
        <v/>
      </c>
      <c r="F1477" t="str">
        <f>IF(D1477="","",INDEX(Knutepunkter!$B:$B,D1477+1))</f>
        <v/>
      </c>
      <c r="G1477" t="str">
        <f>IF(D1477="","",INDEX(Knutepunkter!$C:$C,D1477+1))</f>
        <v/>
      </c>
      <c r="H1477" t="str">
        <f>IF(D1477="","",INDEX(Knutepunkter!$D:$D,D1477+1))</f>
        <v/>
      </c>
      <c r="I1477" t="str">
        <f>IF(E1477="","",INDEX(Knutepunkter!$B:$B,E1477+1))</f>
        <v/>
      </c>
      <c r="J1477" t="str">
        <f>IF(E1477="","",INDEX(Knutepunkter!$C:$C,E1477+1))</f>
        <v/>
      </c>
      <c r="K1477" t="str">
        <f>IF(E1477="","",INDEX(Knutepunkter!$D:$D,E1477+1))</f>
        <v/>
      </c>
      <c r="L1477" t="str">
        <f t="shared" si="118"/>
        <v/>
      </c>
      <c r="M1477" t="str">
        <f t="shared" si="119"/>
        <v/>
      </c>
    </row>
    <row r="1478" spans="1:13" x14ac:dyDescent="0.3">
      <c r="A1478" t="str">
        <f>Segmenter!A1478</f>
        <v/>
      </c>
      <c r="B1478" t="str">
        <f>Segmenter!B1478</f>
        <v/>
      </c>
      <c r="C1478" t="str">
        <f t="shared" si="115"/>
        <v/>
      </c>
      <c r="D1478" t="str">
        <f t="shared" si="116"/>
        <v/>
      </c>
      <c r="E1478" t="str">
        <f t="shared" si="117"/>
        <v/>
      </c>
      <c r="F1478" t="str">
        <f>IF(D1478="","",INDEX(Knutepunkter!$B:$B,D1478+1))</f>
        <v/>
      </c>
      <c r="G1478" t="str">
        <f>IF(D1478="","",INDEX(Knutepunkter!$C:$C,D1478+1))</f>
        <v/>
      </c>
      <c r="H1478" t="str">
        <f>IF(D1478="","",INDEX(Knutepunkter!$D:$D,D1478+1))</f>
        <v/>
      </c>
      <c r="I1478" t="str">
        <f>IF(E1478="","",INDEX(Knutepunkter!$B:$B,E1478+1))</f>
        <v/>
      </c>
      <c r="J1478" t="str">
        <f>IF(E1478="","",INDEX(Knutepunkter!$C:$C,E1478+1))</f>
        <v/>
      </c>
      <c r="K1478" t="str">
        <f>IF(E1478="","",INDEX(Knutepunkter!$D:$D,E1478+1))</f>
        <v/>
      </c>
      <c r="L1478" t="str">
        <f t="shared" si="118"/>
        <v/>
      </c>
      <c r="M1478" t="str">
        <f t="shared" si="119"/>
        <v/>
      </c>
    </row>
    <row r="1479" spans="1:13" x14ac:dyDescent="0.3">
      <c r="A1479" t="str">
        <f>Segmenter!A1479</f>
        <v/>
      </c>
      <c r="B1479" t="str">
        <f>Segmenter!B1479</f>
        <v/>
      </c>
      <c r="C1479" t="str">
        <f t="shared" si="115"/>
        <v/>
      </c>
      <c r="D1479" t="str">
        <f t="shared" si="116"/>
        <v/>
      </c>
      <c r="E1479" t="str">
        <f t="shared" si="117"/>
        <v/>
      </c>
      <c r="F1479" t="str">
        <f>IF(D1479="","",INDEX(Knutepunkter!$B:$B,D1479+1))</f>
        <v/>
      </c>
      <c r="G1479" t="str">
        <f>IF(D1479="","",INDEX(Knutepunkter!$C:$C,D1479+1))</f>
        <v/>
      </c>
      <c r="H1479" t="str">
        <f>IF(D1479="","",INDEX(Knutepunkter!$D:$D,D1479+1))</f>
        <v/>
      </c>
      <c r="I1479" t="str">
        <f>IF(E1479="","",INDEX(Knutepunkter!$B:$B,E1479+1))</f>
        <v/>
      </c>
      <c r="J1479" t="str">
        <f>IF(E1479="","",INDEX(Knutepunkter!$C:$C,E1479+1))</f>
        <v/>
      </c>
      <c r="K1479" t="str">
        <f>IF(E1479="","",INDEX(Knutepunkter!$D:$D,E1479+1))</f>
        <v/>
      </c>
      <c r="L1479" t="str">
        <f t="shared" si="118"/>
        <v/>
      </c>
      <c r="M1479" t="str">
        <f t="shared" si="119"/>
        <v/>
      </c>
    </row>
    <row r="1480" spans="1:13" x14ac:dyDescent="0.3">
      <c r="A1480" t="str">
        <f>Segmenter!A1480</f>
        <v/>
      </c>
      <c r="B1480" t="str">
        <f>Segmenter!B1480</f>
        <v/>
      </c>
      <c r="C1480" t="str">
        <f t="shared" si="115"/>
        <v/>
      </c>
      <c r="D1480" t="str">
        <f t="shared" si="116"/>
        <v/>
      </c>
      <c r="E1480" t="str">
        <f t="shared" si="117"/>
        <v/>
      </c>
      <c r="F1480" t="str">
        <f>IF(D1480="","",INDEX(Knutepunkter!$B:$B,D1480+1))</f>
        <v/>
      </c>
      <c r="G1480" t="str">
        <f>IF(D1480="","",INDEX(Knutepunkter!$C:$C,D1480+1))</f>
        <v/>
      </c>
      <c r="H1480" t="str">
        <f>IF(D1480="","",INDEX(Knutepunkter!$D:$D,D1480+1))</f>
        <v/>
      </c>
      <c r="I1480" t="str">
        <f>IF(E1480="","",INDEX(Knutepunkter!$B:$B,E1480+1))</f>
        <v/>
      </c>
      <c r="J1480" t="str">
        <f>IF(E1480="","",INDEX(Knutepunkter!$C:$C,E1480+1))</f>
        <v/>
      </c>
      <c r="K1480" t="str">
        <f>IF(E1480="","",INDEX(Knutepunkter!$D:$D,E1480+1))</f>
        <v/>
      </c>
      <c r="L1480" t="str">
        <f t="shared" si="118"/>
        <v/>
      </c>
      <c r="M1480" t="str">
        <f t="shared" si="119"/>
        <v/>
      </c>
    </row>
    <row r="1481" spans="1:13" x14ac:dyDescent="0.3">
      <c r="A1481" t="str">
        <f>Segmenter!A1481</f>
        <v/>
      </c>
      <c r="B1481" t="str">
        <f>Segmenter!B1481</f>
        <v/>
      </c>
      <c r="C1481" t="str">
        <f t="shared" si="115"/>
        <v/>
      </c>
      <c r="D1481" t="str">
        <f t="shared" si="116"/>
        <v/>
      </c>
      <c r="E1481" t="str">
        <f t="shared" si="117"/>
        <v/>
      </c>
      <c r="F1481" t="str">
        <f>IF(D1481="","",INDEX(Knutepunkter!$B:$B,D1481+1))</f>
        <v/>
      </c>
      <c r="G1481" t="str">
        <f>IF(D1481="","",INDEX(Knutepunkter!$C:$C,D1481+1))</f>
        <v/>
      </c>
      <c r="H1481" t="str">
        <f>IF(D1481="","",INDEX(Knutepunkter!$D:$D,D1481+1))</f>
        <v/>
      </c>
      <c r="I1481" t="str">
        <f>IF(E1481="","",INDEX(Knutepunkter!$B:$B,E1481+1))</f>
        <v/>
      </c>
      <c r="J1481" t="str">
        <f>IF(E1481="","",INDEX(Knutepunkter!$C:$C,E1481+1))</f>
        <v/>
      </c>
      <c r="K1481" t="str">
        <f>IF(E1481="","",INDEX(Knutepunkter!$D:$D,E1481+1))</f>
        <v/>
      </c>
      <c r="L1481" t="str">
        <f t="shared" si="118"/>
        <v/>
      </c>
      <c r="M1481" t="str">
        <f t="shared" si="119"/>
        <v/>
      </c>
    </row>
    <row r="1482" spans="1:13" x14ac:dyDescent="0.3">
      <c r="A1482" t="str">
        <f>Segmenter!A1482</f>
        <v/>
      </c>
      <c r="B1482" t="str">
        <f>Segmenter!B1482</f>
        <v/>
      </c>
      <c r="C1482" t="str">
        <f t="shared" si="115"/>
        <v/>
      </c>
      <c r="D1482" t="str">
        <f t="shared" si="116"/>
        <v/>
      </c>
      <c r="E1482" t="str">
        <f t="shared" si="117"/>
        <v/>
      </c>
      <c r="F1482" t="str">
        <f>IF(D1482="","",INDEX(Knutepunkter!$B:$B,D1482+1))</f>
        <v/>
      </c>
      <c r="G1482" t="str">
        <f>IF(D1482="","",INDEX(Knutepunkter!$C:$C,D1482+1))</f>
        <v/>
      </c>
      <c r="H1482" t="str">
        <f>IF(D1482="","",INDEX(Knutepunkter!$D:$D,D1482+1))</f>
        <v/>
      </c>
      <c r="I1482" t="str">
        <f>IF(E1482="","",INDEX(Knutepunkter!$B:$B,E1482+1))</f>
        <v/>
      </c>
      <c r="J1482" t="str">
        <f>IF(E1482="","",INDEX(Knutepunkter!$C:$C,E1482+1))</f>
        <v/>
      </c>
      <c r="K1482" t="str">
        <f>IF(E1482="","",INDEX(Knutepunkter!$D:$D,E1482+1))</f>
        <v/>
      </c>
      <c r="L1482" t="str">
        <f t="shared" si="118"/>
        <v/>
      </c>
      <c r="M1482" t="str">
        <f t="shared" si="119"/>
        <v/>
      </c>
    </row>
    <row r="1483" spans="1:13" x14ac:dyDescent="0.3">
      <c r="A1483" t="str">
        <f>Segmenter!A1483</f>
        <v/>
      </c>
      <c r="B1483" t="str">
        <f>Segmenter!B1483</f>
        <v/>
      </c>
      <c r="C1483" t="str">
        <f t="shared" si="115"/>
        <v/>
      </c>
      <c r="D1483" t="str">
        <f t="shared" si="116"/>
        <v/>
      </c>
      <c r="E1483" t="str">
        <f t="shared" si="117"/>
        <v/>
      </c>
      <c r="F1483" t="str">
        <f>IF(D1483="","",INDEX(Knutepunkter!$B:$B,D1483+1))</f>
        <v/>
      </c>
      <c r="G1483" t="str">
        <f>IF(D1483="","",INDEX(Knutepunkter!$C:$C,D1483+1))</f>
        <v/>
      </c>
      <c r="H1483" t="str">
        <f>IF(D1483="","",INDEX(Knutepunkter!$D:$D,D1483+1))</f>
        <v/>
      </c>
      <c r="I1483" t="str">
        <f>IF(E1483="","",INDEX(Knutepunkter!$B:$B,E1483+1))</f>
        <v/>
      </c>
      <c r="J1483" t="str">
        <f>IF(E1483="","",INDEX(Knutepunkter!$C:$C,E1483+1))</f>
        <v/>
      </c>
      <c r="K1483" t="str">
        <f>IF(E1483="","",INDEX(Knutepunkter!$D:$D,E1483+1))</f>
        <v/>
      </c>
      <c r="L1483" t="str">
        <f t="shared" si="118"/>
        <v/>
      </c>
      <c r="M1483" t="str">
        <f t="shared" si="119"/>
        <v/>
      </c>
    </row>
    <row r="1484" spans="1:13" x14ac:dyDescent="0.3">
      <c r="A1484" t="str">
        <f>Segmenter!A1484</f>
        <v/>
      </c>
      <c r="B1484" t="str">
        <f>Segmenter!B1484</f>
        <v/>
      </c>
      <c r="C1484" t="str">
        <f t="shared" si="115"/>
        <v/>
      </c>
      <c r="D1484" t="str">
        <f t="shared" si="116"/>
        <v/>
      </c>
      <c r="E1484" t="str">
        <f t="shared" si="117"/>
        <v/>
      </c>
      <c r="F1484" t="str">
        <f>IF(D1484="","",INDEX(Knutepunkter!$B:$B,D1484+1))</f>
        <v/>
      </c>
      <c r="G1484" t="str">
        <f>IF(D1484="","",INDEX(Knutepunkter!$C:$C,D1484+1))</f>
        <v/>
      </c>
      <c r="H1484" t="str">
        <f>IF(D1484="","",INDEX(Knutepunkter!$D:$D,D1484+1))</f>
        <v/>
      </c>
      <c r="I1484" t="str">
        <f>IF(E1484="","",INDEX(Knutepunkter!$B:$B,E1484+1))</f>
        <v/>
      </c>
      <c r="J1484" t="str">
        <f>IF(E1484="","",INDEX(Knutepunkter!$C:$C,E1484+1))</f>
        <v/>
      </c>
      <c r="K1484" t="str">
        <f>IF(E1484="","",INDEX(Knutepunkter!$D:$D,E1484+1))</f>
        <v/>
      </c>
      <c r="L1484" t="str">
        <f t="shared" si="118"/>
        <v/>
      </c>
      <c r="M1484" t="str">
        <f t="shared" si="119"/>
        <v/>
      </c>
    </row>
    <row r="1485" spans="1:13" x14ac:dyDescent="0.3">
      <c r="A1485" t="str">
        <f>Segmenter!A1485</f>
        <v/>
      </c>
      <c r="B1485" t="str">
        <f>Segmenter!B1485</f>
        <v/>
      </c>
      <c r="C1485" t="str">
        <f t="shared" si="115"/>
        <v/>
      </c>
      <c r="D1485" t="str">
        <f t="shared" si="116"/>
        <v/>
      </c>
      <c r="E1485" t="str">
        <f t="shared" si="117"/>
        <v/>
      </c>
      <c r="F1485" t="str">
        <f>IF(D1485="","",INDEX(Knutepunkter!$B:$B,D1485+1))</f>
        <v/>
      </c>
      <c r="G1485" t="str">
        <f>IF(D1485="","",INDEX(Knutepunkter!$C:$C,D1485+1))</f>
        <v/>
      </c>
      <c r="H1485" t="str">
        <f>IF(D1485="","",INDEX(Knutepunkter!$D:$D,D1485+1))</f>
        <v/>
      </c>
      <c r="I1485" t="str">
        <f>IF(E1485="","",INDEX(Knutepunkter!$B:$B,E1485+1))</f>
        <v/>
      </c>
      <c r="J1485" t="str">
        <f>IF(E1485="","",INDEX(Knutepunkter!$C:$C,E1485+1))</f>
        <v/>
      </c>
      <c r="K1485" t="str">
        <f>IF(E1485="","",INDEX(Knutepunkter!$D:$D,E1485+1))</f>
        <v/>
      </c>
      <c r="L1485" t="str">
        <f t="shared" si="118"/>
        <v/>
      </c>
      <c r="M1485" t="str">
        <f t="shared" si="119"/>
        <v/>
      </c>
    </row>
    <row r="1486" spans="1:13" x14ac:dyDescent="0.3">
      <c r="A1486" t="str">
        <f>Segmenter!A1486</f>
        <v/>
      </c>
      <c r="B1486" t="str">
        <f>Segmenter!B1486</f>
        <v/>
      </c>
      <c r="C1486" t="str">
        <f t="shared" si="115"/>
        <v/>
      </c>
      <c r="D1486" t="str">
        <f t="shared" si="116"/>
        <v/>
      </c>
      <c r="E1486" t="str">
        <f t="shared" si="117"/>
        <v/>
      </c>
      <c r="F1486" t="str">
        <f>IF(D1486="","",INDEX(Knutepunkter!$B:$B,D1486+1))</f>
        <v/>
      </c>
      <c r="G1486" t="str">
        <f>IF(D1486="","",INDEX(Knutepunkter!$C:$C,D1486+1))</f>
        <v/>
      </c>
      <c r="H1486" t="str">
        <f>IF(D1486="","",INDEX(Knutepunkter!$D:$D,D1486+1))</f>
        <v/>
      </c>
      <c r="I1486" t="str">
        <f>IF(E1486="","",INDEX(Knutepunkter!$B:$B,E1486+1))</f>
        <v/>
      </c>
      <c r="J1486" t="str">
        <f>IF(E1486="","",INDEX(Knutepunkter!$C:$C,E1486+1))</f>
        <v/>
      </c>
      <c r="K1486" t="str">
        <f>IF(E1486="","",INDEX(Knutepunkter!$D:$D,E1486+1))</f>
        <v/>
      </c>
      <c r="L1486" t="str">
        <f t="shared" si="118"/>
        <v/>
      </c>
      <c r="M1486" t="str">
        <f t="shared" si="119"/>
        <v/>
      </c>
    </row>
    <row r="1487" spans="1:13" x14ac:dyDescent="0.3">
      <c r="A1487" t="str">
        <f>Segmenter!A1487</f>
        <v/>
      </c>
      <c r="B1487" t="str">
        <f>Segmenter!B1487</f>
        <v/>
      </c>
      <c r="C1487" t="str">
        <f t="shared" si="115"/>
        <v/>
      </c>
      <c r="D1487" t="str">
        <f t="shared" si="116"/>
        <v/>
      </c>
      <c r="E1487" t="str">
        <f t="shared" si="117"/>
        <v/>
      </c>
      <c r="F1487" t="str">
        <f>IF(D1487="","",INDEX(Knutepunkter!$B:$B,D1487+1))</f>
        <v/>
      </c>
      <c r="G1487" t="str">
        <f>IF(D1487="","",INDEX(Knutepunkter!$C:$C,D1487+1))</f>
        <v/>
      </c>
      <c r="H1487" t="str">
        <f>IF(D1487="","",INDEX(Knutepunkter!$D:$D,D1487+1))</f>
        <v/>
      </c>
      <c r="I1487" t="str">
        <f>IF(E1487="","",INDEX(Knutepunkter!$B:$B,E1487+1))</f>
        <v/>
      </c>
      <c r="J1487" t="str">
        <f>IF(E1487="","",INDEX(Knutepunkter!$C:$C,E1487+1))</f>
        <v/>
      </c>
      <c r="K1487" t="str">
        <f>IF(E1487="","",INDEX(Knutepunkter!$D:$D,E1487+1))</f>
        <v/>
      </c>
      <c r="L1487" t="str">
        <f t="shared" si="118"/>
        <v/>
      </c>
      <c r="M1487" t="str">
        <f t="shared" si="119"/>
        <v/>
      </c>
    </row>
    <row r="1488" spans="1:13" x14ac:dyDescent="0.3">
      <c r="A1488" t="str">
        <f>Segmenter!A1488</f>
        <v/>
      </c>
      <c r="B1488" t="str">
        <f>Segmenter!B1488</f>
        <v/>
      </c>
      <c r="C1488" t="str">
        <f t="shared" si="115"/>
        <v/>
      </c>
      <c r="D1488" t="str">
        <f t="shared" si="116"/>
        <v/>
      </c>
      <c r="E1488" t="str">
        <f t="shared" si="117"/>
        <v/>
      </c>
      <c r="F1488" t="str">
        <f>IF(D1488="","",INDEX(Knutepunkter!$B:$B,D1488+1))</f>
        <v/>
      </c>
      <c r="G1488" t="str">
        <f>IF(D1488="","",INDEX(Knutepunkter!$C:$C,D1488+1))</f>
        <v/>
      </c>
      <c r="H1488" t="str">
        <f>IF(D1488="","",INDEX(Knutepunkter!$D:$D,D1488+1))</f>
        <v/>
      </c>
      <c r="I1488" t="str">
        <f>IF(E1488="","",INDEX(Knutepunkter!$B:$B,E1488+1))</f>
        <v/>
      </c>
      <c r="J1488" t="str">
        <f>IF(E1488="","",INDEX(Knutepunkter!$C:$C,E1488+1))</f>
        <v/>
      </c>
      <c r="K1488" t="str">
        <f>IF(E1488="","",INDEX(Knutepunkter!$D:$D,E1488+1))</f>
        <v/>
      </c>
      <c r="L1488" t="str">
        <f t="shared" si="118"/>
        <v/>
      </c>
      <c r="M1488" t="str">
        <f t="shared" si="119"/>
        <v/>
      </c>
    </row>
    <row r="1489" spans="1:13" x14ac:dyDescent="0.3">
      <c r="A1489" t="str">
        <f>Segmenter!A1489</f>
        <v/>
      </c>
      <c r="B1489" t="str">
        <f>Segmenter!B1489</f>
        <v/>
      </c>
      <c r="C1489" t="str">
        <f t="shared" si="115"/>
        <v/>
      </c>
      <c r="D1489" t="str">
        <f t="shared" si="116"/>
        <v/>
      </c>
      <c r="E1489" t="str">
        <f t="shared" si="117"/>
        <v/>
      </c>
      <c r="F1489" t="str">
        <f>IF(D1489="","",INDEX(Knutepunkter!$B:$B,D1489+1))</f>
        <v/>
      </c>
      <c r="G1489" t="str">
        <f>IF(D1489="","",INDEX(Knutepunkter!$C:$C,D1489+1))</f>
        <v/>
      </c>
      <c r="H1489" t="str">
        <f>IF(D1489="","",INDEX(Knutepunkter!$D:$D,D1489+1))</f>
        <v/>
      </c>
      <c r="I1489" t="str">
        <f>IF(E1489="","",INDEX(Knutepunkter!$B:$B,E1489+1))</f>
        <v/>
      </c>
      <c r="J1489" t="str">
        <f>IF(E1489="","",INDEX(Knutepunkter!$C:$C,E1489+1))</f>
        <v/>
      </c>
      <c r="K1489" t="str">
        <f>IF(E1489="","",INDEX(Knutepunkter!$D:$D,E1489+1))</f>
        <v/>
      </c>
      <c r="L1489" t="str">
        <f t="shared" si="118"/>
        <v/>
      </c>
      <c r="M1489" t="str">
        <f t="shared" si="119"/>
        <v/>
      </c>
    </row>
    <row r="1490" spans="1:13" x14ac:dyDescent="0.3">
      <c r="A1490" t="str">
        <f>Segmenter!A1490</f>
        <v/>
      </c>
      <c r="B1490" t="str">
        <f>Segmenter!B1490</f>
        <v/>
      </c>
      <c r="C1490" t="str">
        <f t="shared" si="115"/>
        <v/>
      </c>
      <c r="D1490" t="str">
        <f t="shared" si="116"/>
        <v/>
      </c>
      <c r="E1490" t="str">
        <f t="shared" si="117"/>
        <v/>
      </c>
      <c r="F1490" t="str">
        <f>IF(D1490="","",INDEX(Knutepunkter!$B:$B,D1490+1))</f>
        <v/>
      </c>
      <c r="G1490" t="str">
        <f>IF(D1490="","",INDEX(Knutepunkter!$C:$C,D1490+1))</f>
        <v/>
      </c>
      <c r="H1490" t="str">
        <f>IF(D1490="","",INDEX(Knutepunkter!$D:$D,D1490+1))</f>
        <v/>
      </c>
      <c r="I1490" t="str">
        <f>IF(E1490="","",INDEX(Knutepunkter!$B:$B,E1490+1))</f>
        <v/>
      </c>
      <c r="J1490" t="str">
        <f>IF(E1490="","",INDEX(Knutepunkter!$C:$C,E1490+1))</f>
        <v/>
      </c>
      <c r="K1490" t="str">
        <f>IF(E1490="","",INDEX(Knutepunkter!$D:$D,E1490+1))</f>
        <v/>
      </c>
      <c r="L1490" t="str">
        <f t="shared" si="118"/>
        <v/>
      </c>
      <c r="M1490" t="str">
        <f t="shared" si="119"/>
        <v/>
      </c>
    </row>
    <row r="1491" spans="1:13" x14ac:dyDescent="0.3">
      <c r="A1491" t="str">
        <f>Segmenter!A1491</f>
        <v/>
      </c>
      <c r="B1491" t="str">
        <f>Segmenter!B1491</f>
        <v/>
      </c>
      <c r="C1491" t="str">
        <f t="shared" si="115"/>
        <v/>
      </c>
      <c r="D1491" t="str">
        <f t="shared" si="116"/>
        <v/>
      </c>
      <c r="E1491" t="str">
        <f t="shared" si="117"/>
        <v/>
      </c>
      <c r="F1491" t="str">
        <f>IF(D1491="","",INDEX(Knutepunkter!$B:$B,D1491+1))</f>
        <v/>
      </c>
      <c r="G1491" t="str">
        <f>IF(D1491="","",INDEX(Knutepunkter!$C:$C,D1491+1))</f>
        <v/>
      </c>
      <c r="H1491" t="str">
        <f>IF(D1491="","",INDEX(Knutepunkter!$D:$D,D1491+1))</f>
        <v/>
      </c>
      <c r="I1491" t="str">
        <f>IF(E1491="","",INDEX(Knutepunkter!$B:$B,E1491+1))</f>
        <v/>
      </c>
      <c r="J1491" t="str">
        <f>IF(E1491="","",INDEX(Knutepunkter!$C:$C,E1491+1))</f>
        <v/>
      </c>
      <c r="K1491" t="str">
        <f>IF(E1491="","",INDEX(Knutepunkter!$D:$D,E1491+1))</f>
        <v/>
      </c>
      <c r="L1491" t="str">
        <f t="shared" si="118"/>
        <v/>
      </c>
      <c r="M1491" t="str">
        <f t="shared" si="119"/>
        <v/>
      </c>
    </row>
    <row r="1492" spans="1:13" x14ac:dyDescent="0.3">
      <c r="A1492" t="str">
        <f>Segmenter!A1492</f>
        <v/>
      </c>
      <c r="B1492" t="str">
        <f>Segmenter!B1492</f>
        <v/>
      </c>
      <c r="C1492" t="str">
        <f t="shared" si="115"/>
        <v/>
      </c>
      <c r="D1492" t="str">
        <f t="shared" si="116"/>
        <v/>
      </c>
      <c r="E1492" t="str">
        <f t="shared" si="117"/>
        <v/>
      </c>
      <c r="F1492" t="str">
        <f>IF(D1492="","",INDEX(Knutepunkter!$B:$B,D1492+1))</f>
        <v/>
      </c>
      <c r="G1492" t="str">
        <f>IF(D1492="","",INDEX(Knutepunkter!$C:$C,D1492+1))</f>
        <v/>
      </c>
      <c r="H1492" t="str">
        <f>IF(D1492="","",INDEX(Knutepunkter!$D:$D,D1492+1))</f>
        <v/>
      </c>
      <c r="I1492" t="str">
        <f>IF(E1492="","",INDEX(Knutepunkter!$B:$B,E1492+1))</f>
        <v/>
      </c>
      <c r="J1492" t="str">
        <f>IF(E1492="","",INDEX(Knutepunkter!$C:$C,E1492+1))</f>
        <v/>
      </c>
      <c r="K1492" t="str">
        <f>IF(E1492="","",INDEX(Knutepunkter!$D:$D,E1492+1))</f>
        <v/>
      </c>
      <c r="L1492" t="str">
        <f t="shared" si="118"/>
        <v/>
      </c>
      <c r="M1492" t="str">
        <f t="shared" si="119"/>
        <v/>
      </c>
    </row>
    <row r="1493" spans="1:13" x14ac:dyDescent="0.3">
      <c r="A1493" t="str">
        <f>Segmenter!A1493</f>
        <v/>
      </c>
      <c r="B1493" t="str">
        <f>Segmenter!B1493</f>
        <v/>
      </c>
      <c r="C1493" t="str">
        <f t="shared" si="115"/>
        <v/>
      </c>
      <c r="D1493" t="str">
        <f t="shared" si="116"/>
        <v/>
      </c>
      <c r="E1493" t="str">
        <f t="shared" si="117"/>
        <v/>
      </c>
      <c r="F1493" t="str">
        <f>IF(D1493="","",INDEX(Knutepunkter!$B:$B,D1493+1))</f>
        <v/>
      </c>
      <c r="G1493" t="str">
        <f>IF(D1493="","",INDEX(Knutepunkter!$C:$C,D1493+1))</f>
        <v/>
      </c>
      <c r="H1493" t="str">
        <f>IF(D1493="","",INDEX(Knutepunkter!$D:$D,D1493+1))</f>
        <v/>
      </c>
      <c r="I1493" t="str">
        <f>IF(E1493="","",INDEX(Knutepunkter!$B:$B,E1493+1))</f>
        <v/>
      </c>
      <c r="J1493" t="str">
        <f>IF(E1493="","",INDEX(Knutepunkter!$C:$C,E1493+1))</f>
        <v/>
      </c>
      <c r="K1493" t="str">
        <f>IF(E1493="","",INDEX(Knutepunkter!$D:$D,E1493+1))</f>
        <v/>
      </c>
      <c r="L1493" t="str">
        <f t="shared" si="118"/>
        <v/>
      </c>
      <c r="M1493" t="str">
        <f t="shared" si="119"/>
        <v/>
      </c>
    </row>
    <row r="1494" spans="1:13" x14ac:dyDescent="0.3">
      <c r="A1494" t="str">
        <f>Segmenter!A1494</f>
        <v/>
      </c>
      <c r="B1494" t="str">
        <f>Segmenter!B1494</f>
        <v/>
      </c>
      <c r="C1494" t="str">
        <f t="shared" si="115"/>
        <v/>
      </c>
      <c r="D1494" t="str">
        <f t="shared" si="116"/>
        <v/>
      </c>
      <c r="E1494" t="str">
        <f t="shared" si="117"/>
        <v/>
      </c>
      <c r="F1494" t="str">
        <f>IF(D1494="","",INDEX(Knutepunkter!$B:$B,D1494+1))</f>
        <v/>
      </c>
      <c r="G1494" t="str">
        <f>IF(D1494="","",INDEX(Knutepunkter!$C:$C,D1494+1))</f>
        <v/>
      </c>
      <c r="H1494" t="str">
        <f>IF(D1494="","",INDEX(Knutepunkter!$D:$D,D1494+1))</f>
        <v/>
      </c>
      <c r="I1494" t="str">
        <f>IF(E1494="","",INDEX(Knutepunkter!$B:$B,E1494+1))</f>
        <v/>
      </c>
      <c r="J1494" t="str">
        <f>IF(E1494="","",INDEX(Knutepunkter!$C:$C,E1494+1))</f>
        <v/>
      </c>
      <c r="K1494" t="str">
        <f>IF(E1494="","",INDEX(Knutepunkter!$D:$D,E1494+1))</f>
        <v/>
      </c>
      <c r="L1494" t="str">
        <f t="shared" si="118"/>
        <v/>
      </c>
      <c r="M1494" t="str">
        <f t="shared" si="119"/>
        <v/>
      </c>
    </row>
    <row r="1495" spans="1:13" x14ac:dyDescent="0.3">
      <c r="A1495" t="str">
        <f>Segmenter!A1495</f>
        <v/>
      </c>
      <c r="B1495" t="str">
        <f>Segmenter!B1495</f>
        <v/>
      </c>
      <c r="C1495" t="str">
        <f t="shared" si="115"/>
        <v/>
      </c>
      <c r="D1495" t="str">
        <f t="shared" si="116"/>
        <v/>
      </c>
      <c r="E1495" t="str">
        <f t="shared" si="117"/>
        <v/>
      </c>
      <c r="F1495" t="str">
        <f>IF(D1495="","",INDEX(Knutepunkter!$B:$B,D1495+1))</f>
        <v/>
      </c>
      <c r="G1495" t="str">
        <f>IF(D1495="","",INDEX(Knutepunkter!$C:$C,D1495+1))</f>
        <v/>
      </c>
      <c r="H1495" t="str">
        <f>IF(D1495="","",INDEX(Knutepunkter!$D:$D,D1495+1))</f>
        <v/>
      </c>
      <c r="I1495" t="str">
        <f>IF(E1495="","",INDEX(Knutepunkter!$B:$B,E1495+1))</f>
        <v/>
      </c>
      <c r="J1495" t="str">
        <f>IF(E1495="","",INDEX(Knutepunkter!$C:$C,E1495+1))</f>
        <v/>
      </c>
      <c r="K1495" t="str">
        <f>IF(E1495="","",INDEX(Knutepunkter!$D:$D,E1495+1))</f>
        <v/>
      </c>
      <c r="L1495" t="str">
        <f t="shared" si="118"/>
        <v/>
      </c>
      <c r="M1495" t="str">
        <f t="shared" si="119"/>
        <v/>
      </c>
    </row>
    <row r="1496" spans="1:13" x14ac:dyDescent="0.3">
      <c r="A1496" t="str">
        <f>Segmenter!A1496</f>
        <v/>
      </c>
      <c r="B1496" t="str">
        <f>Segmenter!B1496</f>
        <v/>
      </c>
      <c r="C1496" t="str">
        <f t="shared" si="115"/>
        <v/>
      </c>
      <c r="D1496" t="str">
        <f t="shared" si="116"/>
        <v/>
      </c>
      <c r="E1496" t="str">
        <f t="shared" si="117"/>
        <v/>
      </c>
      <c r="F1496" t="str">
        <f>IF(D1496="","",INDEX(Knutepunkter!$B:$B,D1496+1))</f>
        <v/>
      </c>
      <c r="G1496" t="str">
        <f>IF(D1496="","",INDEX(Knutepunkter!$C:$C,D1496+1))</f>
        <v/>
      </c>
      <c r="H1496" t="str">
        <f>IF(D1496="","",INDEX(Knutepunkter!$D:$D,D1496+1))</f>
        <v/>
      </c>
      <c r="I1496" t="str">
        <f>IF(E1496="","",INDEX(Knutepunkter!$B:$B,E1496+1))</f>
        <v/>
      </c>
      <c r="J1496" t="str">
        <f>IF(E1496="","",INDEX(Knutepunkter!$C:$C,E1496+1))</f>
        <v/>
      </c>
      <c r="K1496" t="str">
        <f>IF(E1496="","",INDEX(Knutepunkter!$D:$D,E1496+1))</f>
        <v/>
      </c>
      <c r="L1496" t="str">
        <f t="shared" si="118"/>
        <v/>
      </c>
      <c r="M1496" t="str">
        <f t="shared" si="119"/>
        <v/>
      </c>
    </row>
    <row r="1497" spans="1:13" x14ac:dyDescent="0.3">
      <c r="A1497" t="str">
        <f>Segmenter!A1497</f>
        <v/>
      </c>
      <c r="B1497" t="str">
        <f>Segmenter!B1497</f>
        <v/>
      </c>
      <c r="C1497" t="str">
        <f t="shared" si="115"/>
        <v/>
      </c>
      <c r="D1497" t="str">
        <f t="shared" si="116"/>
        <v/>
      </c>
      <c r="E1497" t="str">
        <f t="shared" si="117"/>
        <v/>
      </c>
      <c r="F1497" t="str">
        <f>IF(D1497="","",INDEX(Knutepunkter!$B:$B,D1497+1))</f>
        <v/>
      </c>
      <c r="G1497" t="str">
        <f>IF(D1497="","",INDEX(Knutepunkter!$C:$C,D1497+1))</f>
        <v/>
      </c>
      <c r="H1497" t="str">
        <f>IF(D1497="","",INDEX(Knutepunkter!$D:$D,D1497+1))</f>
        <v/>
      </c>
      <c r="I1497" t="str">
        <f>IF(E1497="","",INDEX(Knutepunkter!$B:$B,E1497+1))</f>
        <v/>
      </c>
      <c r="J1497" t="str">
        <f>IF(E1497="","",INDEX(Knutepunkter!$C:$C,E1497+1))</f>
        <v/>
      </c>
      <c r="K1497" t="str">
        <f>IF(E1497="","",INDEX(Knutepunkter!$D:$D,E1497+1))</f>
        <v/>
      </c>
      <c r="L1497" t="str">
        <f t="shared" si="118"/>
        <v/>
      </c>
      <c r="M1497" t="str">
        <f t="shared" si="119"/>
        <v/>
      </c>
    </row>
    <row r="1498" spans="1:13" x14ac:dyDescent="0.3">
      <c r="A1498" t="str">
        <f>Segmenter!A1498</f>
        <v/>
      </c>
      <c r="B1498" t="str">
        <f>Segmenter!B1498</f>
        <v/>
      </c>
      <c r="C1498" t="str">
        <f t="shared" si="115"/>
        <v/>
      </c>
      <c r="D1498" t="str">
        <f t="shared" si="116"/>
        <v/>
      </c>
      <c r="E1498" t="str">
        <f t="shared" si="117"/>
        <v/>
      </c>
      <c r="F1498" t="str">
        <f>IF(D1498="","",INDEX(Knutepunkter!$B:$B,D1498+1))</f>
        <v/>
      </c>
      <c r="G1498" t="str">
        <f>IF(D1498="","",INDEX(Knutepunkter!$C:$C,D1498+1))</f>
        <v/>
      </c>
      <c r="H1498" t="str">
        <f>IF(D1498="","",INDEX(Knutepunkter!$D:$D,D1498+1))</f>
        <v/>
      </c>
      <c r="I1498" t="str">
        <f>IF(E1498="","",INDEX(Knutepunkter!$B:$B,E1498+1))</f>
        <v/>
      </c>
      <c r="J1498" t="str">
        <f>IF(E1498="","",INDEX(Knutepunkter!$C:$C,E1498+1))</f>
        <v/>
      </c>
      <c r="K1498" t="str">
        <f>IF(E1498="","",INDEX(Knutepunkter!$D:$D,E1498+1))</f>
        <v/>
      </c>
      <c r="L1498" t="str">
        <f t="shared" si="118"/>
        <v/>
      </c>
      <c r="M1498" t="str">
        <f t="shared" si="119"/>
        <v/>
      </c>
    </row>
    <row r="1499" spans="1:13" x14ac:dyDescent="0.3">
      <c r="A1499" t="str">
        <f>Segmenter!A1499</f>
        <v/>
      </c>
      <c r="B1499" t="str">
        <f>Segmenter!B1499</f>
        <v/>
      </c>
      <c r="C1499" t="str">
        <f t="shared" si="115"/>
        <v/>
      </c>
      <c r="D1499" t="str">
        <f t="shared" si="116"/>
        <v/>
      </c>
      <c r="E1499" t="str">
        <f t="shared" si="117"/>
        <v/>
      </c>
      <c r="F1499" t="str">
        <f>IF(D1499="","",INDEX(Knutepunkter!$B:$B,D1499+1))</f>
        <v/>
      </c>
      <c r="G1499" t="str">
        <f>IF(D1499="","",INDEX(Knutepunkter!$C:$C,D1499+1))</f>
        <v/>
      </c>
      <c r="H1499" t="str">
        <f>IF(D1499="","",INDEX(Knutepunkter!$D:$D,D1499+1))</f>
        <v/>
      </c>
      <c r="I1499" t="str">
        <f>IF(E1499="","",INDEX(Knutepunkter!$B:$B,E1499+1))</f>
        <v/>
      </c>
      <c r="J1499" t="str">
        <f>IF(E1499="","",INDEX(Knutepunkter!$C:$C,E1499+1))</f>
        <v/>
      </c>
      <c r="K1499" t="str">
        <f>IF(E1499="","",INDEX(Knutepunkter!$D:$D,E1499+1))</f>
        <v/>
      </c>
      <c r="L1499" t="str">
        <f t="shared" si="118"/>
        <v/>
      </c>
      <c r="M1499" t="str">
        <f t="shared" si="119"/>
        <v/>
      </c>
    </row>
    <row r="1500" spans="1:13" x14ac:dyDescent="0.3">
      <c r="A1500" t="str">
        <f>Segmenter!A1500</f>
        <v/>
      </c>
      <c r="B1500" t="str">
        <f>Segmenter!B1500</f>
        <v/>
      </c>
      <c r="C1500" t="str">
        <f t="shared" si="115"/>
        <v/>
      </c>
      <c r="D1500" t="str">
        <f t="shared" si="116"/>
        <v/>
      </c>
      <c r="E1500" t="str">
        <f t="shared" si="117"/>
        <v/>
      </c>
      <c r="F1500" t="str">
        <f>IF(D1500="","",INDEX(Knutepunkter!$B:$B,D1500+1))</f>
        <v/>
      </c>
      <c r="G1500" t="str">
        <f>IF(D1500="","",INDEX(Knutepunkter!$C:$C,D1500+1))</f>
        <v/>
      </c>
      <c r="H1500" t="str">
        <f>IF(D1500="","",INDEX(Knutepunkter!$D:$D,D1500+1))</f>
        <v/>
      </c>
      <c r="I1500" t="str">
        <f>IF(E1500="","",INDEX(Knutepunkter!$B:$B,E1500+1))</f>
        <v/>
      </c>
      <c r="J1500" t="str">
        <f>IF(E1500="","",INDEX(Knutepunkter!$C:$C,E1500+1))</f>
        <v/>
      </c>
      <c r="K1500" t="str">
        <f>IF(E1500="","",INDEX(Knutepunkter!$D:$D,E1500+1))</f>
        <v/>
      </c>
      <c r="L1500" t="str">
        <f t="shared" si="118"/>
        <v/>
      </c>
      <c r="M1500" t="str">
        <f t="shared" si="119"/>
        <v/>
      </c>
    </row>
    <row r="1501" spans="1:13" x14ac:dyDescent="0.3">
      <c r="A1501" t="str">
        <f>Segmenter!A1501</f>
        <v/>
      </c>
      <c r="B1501" t="str">
        <f>Segmenter!B1501</f>
        <v/>
      </c>
      <c r="C1501" t="str">
        <f t="shared" si="115"/>
        <v/>
      </c>
      <c r="D1501" t="str">
        <f t="shared" si="116"/>
        <v/>
      </c>
      <c r="E1501" t="str">
        <f t="shared" si="117"/>
        <v/>
      </c>
      <c r="F1501" t="str">
        <f>IF(D1501="","",INDEX(Knutepunkter!$B:$B,D1501+1))</f>
        <v/>
      </c>
      <c r="G1501" t="str">
        <f>IF(D1501="","",INDEX(Knutepunkter!$C:$C,D1501+1))</f>
        <v/>
      </c>
      <c r="H1501" t="str">
        <f>IF(D1501="","",INDEX(Knutepunkter!$D:$D,D1501+1))</f>
        <v/>
      </c>
      <c r="I1501" t="str">
        <f>IF(E1501="","",INDEX(Knutepunkter!$B:$B,E1501+1))</f>
        <v/>
      </c>
      <c r="J1501" t="str">
        <f>IF(E1501="","",INDEX(Knutepunkter!$C:$C,E1501+1))</f>
        <v/>
      </c>
      <c r="K1501" t="str">
        <f>IF(E1501="","",INDEX(Knutepunkter!$D:$D,E1501+1))</f>
        <v/>
      </c>
      <c r="L1501" t="str">
        <f t="shared" si="118"/>
        <v/>
      </c>
      <c r="M1501" t="str">
        <f t="shared" si="119"/>
        <v/>
      </c>
    </row>
    <row r="1502" spans="1:13" x14ac:dyDescent="0.3">
      <c r="A1502" t="str">
        <f>Segmenter!A1502</f>
        <v/>
      </c>
      <c r="B1502" t="str">
        <f>Segmenter!B1502</f>
        <v/>
      </c>
      <c r="C1502" t="str">
        <f t="shared" si="115"/>
        <v/>
      </c>
      <c r="D1502" t="str">
        <f t="shared" si="116"/>
        <v/>
      </c>
      <c r="E1502" t="str">
        <f t="shared" si="117"/>
        <v/>
      </c>
      <c r="F1502" t="str">
        <f>IF(D1502="","",INDEX(Knutepunkter!$B:$B,D1502+1))</f>
        <v/>
      </c>
      <c r="G1502" t="str">
        <f>IF(D1502="","",INDEX(Knutepunkter!$C:$C,D1502+1))</f>
        <v/>
      </c>
      <c r="H1502" t="str">
        <f>IF(D1502="","",INDEX(Knutepunkter!$D:$D,D1502+1))</f>
        <v/>
      </c>
      <c r="I1502" t="str">
        <f>IF(E1502="","",INDEX(Knutepunkter!$B:$B,E1502+1))</f>
        <v/>
      </c>
      <c r="J1502" t="str">
        <f>IF(E1502="","",INDEX(Knutepunkter!$C:$C,E1502+1))</f>
        <v/>
      </c>
      <c r="K1502" t="str">
        <f>IF(E1502="","",INDEX(Knutepunkter!$D:$D,E1502+1))</f>
        <v/>
      </c>
      <c r="L1502" t="str">
        <f t="shared" si="118"/>
        <v/>
      </c>
      <c r="M1502" t="str">
        <f t="shared" si="119"/>
        <v/>
      </c>
    </row>
    <row r="1503" spans="1:13" x14ac:dyDescent="0.3">
      <c r="A1503" t="str">
        <f>Segmenter!A1503</f>
        <v/>
      </c>
      <c r="B1503" t="str">
        <f>Segmenter!B1503</f>
        <v/>
      </c>
      <c r="C1503" t="str">
        <f t="shared" si="115"/>
        <v/>
      </c>
      <c r="D1503" t="str">
        <f t="shared" si="116"/>
        <v/>
      </c>
      <c r="E1503" t="str">
        <f t="shared" si="117"/>
        <v/>
      </c>
      <c r="F1503" t="str">
        <f>IF(D1503="","",INDEX(Knutepunkter!$B:$B,D1503+1))</f>
        <v/>
      </c>
      <c r="G1503" t="str">
        <f>IF(D1503="","",INDEX(Knutepunkter!$C:$C,D1503+1))</f>
        <v/>
      </c>
      <c r="H1503" t="str">
        <f>IF(D1503="","",INDEX(Knutepunkter!$D:$D,D1503+1))</f>
        <v/>
      </c>
      <c r="I1503" t="str">
        <f>IF(E1503="","",INDEX(Knutepunkter!$B:$B,E1503+1))</f>
        <v/>
      </c>
      <c r="J1503" t="str">
        <f>IF(E1503="","",INDEX(Knutepunkter!$C:$C,E1503+1))</f>
        <v/>
      </c>
      <c r="K1503" t="str">
        <f>IF(E1503="","",INDEX(Knutepunkter!$D:$D,E1503+1))</f>
        <v/>
      </c>
      <c r="L1503" t="str">
        <f t="shared" si="118"/>
        <v/>
      </c>
      <c r="M1503" t="str">
        <f t="shared" si="119"/>
        <v/>
      </c>
    </row>
    <row r="1504" spans="1:13" x14ac:dyDescent="0.3">
      <c r="A1504" t="str">
        <f>Segmenter!A1504</f>
        <v/>
      </c>
      <c r="B1504" t="str">
        <f>Segmenter!B1504</f>
        <v/>
      </c>
      <c r="C1504" t="str">
        <f t="shared" si="115"/>
        <v/>
      </c>
      <c r="D1504" t="str">
        <f t="shared" si="116"/>
        <v/>
      </c>
      <c r="E1504" t="str">
        <f t="shared" si="117"/>
        <v/>
      </c>
      <c r="F1504" t="str">
        <f>IF(D1504="","",INDEX(Knutepunkter!$B:$B,D1504+1))</f>
        <v/>
      </c>
      <c r="G1504" t="str">
        <f>IF(D1504="","",INDEX(Knutepunkter!$C:$C,D1504+1))</f>
        <v/>
      </c>
      <c r="H1504" t="str">
        <f>IF(D1504="","",INDEX(Knutepunkter!$D:$D,D1504+1))</f>
        <v/>
      </c>
      <c r="I1504" t="str">
        <f>IF(E1504="","",INDEX(Knutepunkter!$B:$B,E1504+1))</f>
        <v/>
      </c>
      <c r="J1504" t="str">
        <f>IF(E1504="","",INDEX(Knutepunkter!$C:$C,E1504+1))</f>
        <v/>
      </c>
      <c r="K1504" t="str">
        <f>IF(E1504="","",INDEX(Knutepunkter!$D:$D,E1504+1))</f>
        <v/>
      </c>
      <c r="L1504" t="str">
        <f t="shared" si="118"/>
        <v/>
      </c>
      <c r="M1504" t="str">
        <f t="shared" si="119"/>
        <v/>
      </c>
    </row>
    <row r="1505" spans="1:13" x14ac:dyDescent="0.3">
      <c r="A1505" t="str">
        <f>Segmenter!A1505</f>
        <v/>
      </c>
      <c r="B1505" t="str">
        <f>Segmenter!B1505</f>
        <v/>
      </c>
      <c r="C1505" t="str">
        <f t="shared" si="115"/>
        <v/>
      </c>
      <c r="D1505" t="str">
        <f t="shared" si="116"/>
        <v/>
      </c>
      <c r="E1505" t="str">
        <f t="shared" si="117"/>
        <v/>
      </c>
      <c r="F1505" t="str">
        <f>IF(D1505="","",INDEX(Knutepunkter!$B:$B,D1505+1))</f>
        <v/>
      </c>
      <c r="G1505" t="str">
        <f>IF(D1505="","",INDEX(Knutepunkter!$C:$C,D1505+1))</f>
        <v/>
      </c>
      <c r="H1505" t="str">
        <f>IF(D1505="","",INDEX(Knutepunkter!$D:$D,D1505+1))</f>
        <v/>
      </c>
      <c r="I1505" t="str">
        <f>IF(E1505="","",INDEX(Knutepunkter!$B:$B,E1505+1))</f>
        <v/>
      </c>
      <c r="J1505" t="str">
        <f>IF(E1505="","",INDEX(Knutepunkter!$C:$C,E1505+1))</f>
        <v/>
      </c>
      <c r="K1505" t="str">
        <f>IF(E1505="","",INDEX(Knutepunkter!$D:$D,E1505+1))</f>
        <v/>
      </c>
      <c r="L1505" t="str">
        <f t="shared" si="118"/>
        <v/>
      </c>
      <c r="M1505" t="str">
        <f t="shared" si="119"/>
        <v/>
      </c>
    </row>
    <row r="1506" spans="1:13" x14ac:dyDescent="0.3">
      <c r="A1506" t="str">
        <f>Segmenter!A1506</f>
        <v/>
      </c>
      <c r="B1506" t="str">
        <f>Segmenter!B1506</f>
        <v/>
      </c>
      <c r="C1506" t="str">
        <f t="shared" si="115"/>
        <v/>
      </c>
      <c r="D1506" t="str">
        <f t="shared" si="116"/>
        <v/>
      </c>
      <c r="E1506" t="str">
        <f t="shared" si="117"/>
        <v/>
      </c>
      <c r="F1506" t="str">
        <f>IF(D1506="","",INDEX(Knutepunkter!$B:$B,D1506+1))</f>
        <v/>
      </c>
      <c r="G1506" t="str">
        <f>IF(D1506="","",INDEX(Knutepunkter!$C:$C,D1506+1))</f>
        <v/>
      </c>
      <c r="H1506" t="str">
        <f>IF(D1506="","",INDEX(Knutepunkter!$D:$D,D1506+1))</f>
        <v/>
      </c>
      <c r="I1506" t="str">
        <f>IF(E1506="","",INDEX(Knutepunkter!$B:$B,E1506+1))</f>
        <v/>
      </c>
      <c r="J1506" t="str">
        <f>IF(E1506="","",INDEX(Knutepunkter!$C:$C,E1506+1))</f>
        <v/>
      </c>
      <c r="K1506" t="str">
        <f>IF(E1506="","",INDEX(Knutepunkter!$D:$D,E1506+1))</f>
        <v/>
      </c>
      <c r="L1506" t="str">
        <f t="shared" si="118"/>
        <v/>
      </c>
      <c r="M1506" t="str">
        <f t="shared" si="119"/>
        <v/>
      </c>
    </row>
    <row r="1507" spans="1:13" x14ac:dyDescent="0.3">
      <c r="A1507" t="str">
        <f>Segmenter!A1507</f>
        <v/>
      </c>
      <c r="B1507" t="str">
        <f>Segmenter!B1507</f>
        <v/>
      </c>
      <c r="C1507" t="str">
        <f t="shared" si="115"/>
        <v/>
      </c>
      <c r="D1507" t="str">
        <f t="shared" si="116"/>
        <v/>
      </c>
      <c r="E1507" t="str">
        <f t="shared" si="117"/>
        <v/>
      </c>
      <c r="F1507" t="str">
        <f>IF(D1507="","",INDEX(Knutepunkter!$B:$B,D1507+1))</f>
        <v/>
      </c>
      <c r="G1507" t="str">
        <f>IF(D1507="","",INDEX(Knutepunkter!$C:$C,D1507+1))</f>
        <v/>
      </c>
      <c r="H1507" t="str">
        <f>IF(D1507="","",INDEX(Knutepunkter!$D:$D,D1507+1))</f>
        <v/>
      </c>
      <c r="I1507" t="str">
        <f>IF(E1507="","",INDEX(Knutepunkter!$B:$B,E1507+1))</f>
        <v/>
      </c>
      <c r="J1507" t="str">
        <f>IF(E1507="","",INDEX(Knutepunkter!$C:$C,E1507+1))</f>
        <v/>
      </c>
      <c r="K1507" t="str">
        <f>IF(E1507="","",INDEX(Knutepunkter!$D:$D,E1507+1))</f>
        <v/>
      </c>
      <c r="L1507" t="str">
        <f t="shared" si="118"/>
        <v/>
      </c>
      <c r="M1507" t="str">
        <f t="shared" si="119"/>
        <v/>
      </c>
    </row>
    <row r="1508" spans="1:13" x14ac:dyDescent="0.3">
      <c r="A1508" t="str">
        <f>Segmenter!A1508</f>
        <v/>
      </c>
      <c r="B1508" t="str">
        <f>Segmenter!B1508</f>
        <v/>
      </c>
      <c r="C1508" t="str">
        <f t="shared" si="115"/>
        <v/>
      </c>
      <c r="D1508" t="str">
        <f t="shared" si="116"/>
        <v/>
      </c>
      <c r="E1508" t="str">
        <f t="shared" si="117"/>
        <v/>
      </c>
      <c r="F1508" t="str">
        <f>IF(D1508="","",INDEX(Knutepunkter!$B:$B,D1508+1))</f>
        <v/>
      </c>
      <c r="G1508" t="str">
        <f>IF(D1508="","",INDEX(Knutepunkter!$C:$C,D1508+1))</f>
        <v/>
      </c>
      <c r="H1508" t="str">
        <f>IF(D1508="","",INDEX(Knutepunkter!$D:$D,D1508+1))</f>
        <v/>
      </c>
      <c r="I1508" t="str">
        <f>IF(E1508="","",INDEX(Knutepunkter!$B:$B,E1508+1))</f>
        <v/>
      </c>
      <c r="J1508" t="str">
        <f>IF(E1508="","",INDEX(Knutepunkter!$C:$C,E1508+1))</f>
        <v/>
      </c>
      <c r="K1508" t="str">
        <f>IF(E1508="","",INDEX(Knutepunkter!$D:$D,E1508+1))</f>
        <v/>
      </c>
      <c r="L1508" t="str">
        <f t="shared" si="118"/>
        <v/>
      </c>
      <c r="M1508" t="str">
        <f t="shared" si="119"/>
        <v/>
      </c>
    </row>
    <row r="1509" spans="1:13" x14ac:dyDescent="0.3">
      <c r="A1509" t="str">
        <f>Segmenter!A1509</f>
        <v/>
      </c>
      <c r="B1509" t="str">
        <f>Segmenter!B1509</f>
        <v/>
      </c>
      <c r="C1509" t="str">
        <f t="shared" si="115"/>
        <v/>
      </c>
      <c r="D1509" t="str">
        <f t="shared" si="116"/>
        <v/>
      </c>
      <c r="E1509" t="str">
        <f t="shared" si="117"/>
        <v/>
      </c>
      <c r="F1509" t="str">
        <f>IF(D1509="","",INDEX(Knutepunkter!$B:$B,D1509+1))</f>
        <v/>
      </c>
      <c r="G1509" t="str">
        <f>IF(D1509="","",INDEX(Knutepunkter!$C:$C,D1509+1))</f>
        <v/>
      </c>
      <c r="H1509" t="str">
        <f>IF(D1509="","",INDEX(Knutepunkter!$D:$D,D1509+1))</f>
        <v/>
      </c>
      <c r="I1509" t="str">
        <f>IF(E1509="","",INDEX(Knutepunkter!$B:$B,E1509+1))</f>
        <v/>
      </c>
      <c r="J1509" t="str">
        <f>IF(E1509="","",INDEX(Knutepunkter!$C:$C,E1509+1))</f>
        <v/>
      </c>
      <c r="K1509" t="str">
        <f>IF(E1509="","",INDEX(Knutepunkter!$D:$D,E1509+1))</f>
        <v/>
      </c>
      <c r="L1509" t="str">
        <f t="shared" si="118"/>
        <v/>
      </c>
      <c r="M1509" t="str">
        <f t="shared" si="119"/>
        <v/>
      </c>
    </row>
    <row r="1510" spans="1:13" x14ac:dyDescent="0.3">
      <c r="A1510" t="str">
        <f>Segmenter!A1510</f>
        <v/>
      </c>
      <c r="B1510" t="str">
        <f>Segmenter!B1510</f>
        <v/>
      </c>
      <c r="C1510" t="str">
        <f t="shared" si="115"/>
        <v/>
      </c>
      <c r="D1510" t="str">
        <f t="shared" si="116"/>
        <v/>
      </c>
      <c r="E1510" t="str">
        <f t="shared" si="117"/>
        <v/>
      </c>
      <c r="F1510" t="str">
        <f>IF(D1510="","",INDEX(Knutepunkter!$B:$B,D1510+1))</f>
        <v/>
      </c>
      <c r="G1510" t="str">
        <f>IF(D1510="","",INDEX(Knutepunkter!$C:$C,D1510+1))</f>
        <v/>
      </c>
      <c r="H1510" t="str">
        <f>IF(D1510="","",INDEX(Knutepunkter!$D:$D,D1510+1))</f>
        <v/>
      </c>
      <c r="I1510" t="str">
        <f>IF(E1510="","",INDEX(Knutepunkter!$B:$B,E1510+1))</f>
        <v/>
      </c>
      <c r="J1510" t="str">
        <f>IF(E1510="","",INDEX(Knutepunkter!$C:$C,E1510+1))</f>
        <v/>
      </c>
      <c r="K1510" t="str">
        <f>IF(E1510="","",INDEX(Knutepunkter!$D:$D,E1510+1))</f>
        <v/>
      </c>
      <c r="L1510" t="str">
        <f t="shared" si="118"/>
        <v/>
      </c>
      <c r="M1510" t="str">
        <f t="shared" si="119"/>
        <v/>
      </c>
    </row>
    <row r="1511" spans="1:13" x14ac:dyDescent="0.3">
      <c r="A1511" t="str">
        <f>Segmenter!A1511</f>
        <v/>
      </c>
      <c r="B1511" t="str">
        <f>Segmenter!B1511</f>
        <v/>
      </c>
      <c r="C1511" t="str">
        <f t="shared" si="115"/>
        <v/>
      </c>
      <c r="D1511" t="str">
        <f t="shared" si="116"/>
        <v/>
      </c>
      <c r="E1511" t="str">
        <f t="shared" si="117"/>
        <v/>
      </c>
      <c r="F1511" t="str">
        <f>IF(D1511="","",INDEX(Knutepunkter!$B:$B,D1511+1))</f>
        <v/>
      </c>
      <c r="G1511" t="str">
        <f>IF(D1511="","",INDEX(Knutepunkter!$C:$C,D1511+1))</f>
        <v/>
      </c>
      <c r="H1511" t="str">
        <f>IF(D1511="","",INDEX(Knutepunkter!$D:$D,D1511+1))</f>
        <v/>
      </c>
      <c r="I1511" t="str">
        <f>IF(E1511="","",INDEX(Knutepunkter!$B:$B,E1511+1))</f>
        <v/>
      </c>
      <c r="J1511" t="str">
        <f>IF(E1511="","",INDEX(Knutepunkter!$C:$C,E1511+1))</f>
        <v/>
      </c>
      <c r="K1511" t="str">
        <f>IF(E1511="","",INDEX(Knutepunkter!$D:$D,E1511+1))</f>
        <v/>
      </c>
      <c r="L1511" t="str">
        <f t="shared" si="118"/>
        <v/>
      </c>
      <c r="M1511" t="str">
        <f t="shared" si="119"/>
        <v/>
      </c>
    </row>
    <row r="1512" spans="1:13" x14ac:dyDescent="0.3">
      <c r="A1512" t="str">
        <f>Segmenter!A1512</f>
        <v/>
      </c>
      <c r="B1512" t="str">
        <f>Segmenter!B1512</f>
        <v/>
      </c>
      <c r="C1512" t="str">
        <f t="shared" si="115"/>
        <v/>
      </c>
      <c r="D1512" t="str">
        <f t="shared" si="116"/>
        <v/>
      </c>
      <c r="E1512" t="str">
        <f t="shared" si="117"/>
        <v/>
      </c>
      <c r="F1512" t="str">
        <f>IF(D1512="","",INDEX(Knutepunkter!$B:$B,D1512+1))</f>
        <v/>
      </c>
      <c r="G1512" t="str">
        <f>IF(D1512="","",INDEX(Knutepunkter!$C:$C,D1512+1))</f>
        <v/>
      </c>
      <c r="H1512" t="str">
        <f>IF(D1512="","",INDEX(Knutepunkter!$D:$D,D1512+1))</f>
        <v/>
      </c>
      <c r="I1512" t="str">
        <f>IF(E1512="","",INDEX(Knutepunkter!$B:$B,E1512+1))</f>
        <v/>
      </c>
      <c r="J1512" t="str">
        <f>IF(E1512="","",INDEX(Knutepunkter!$C:$C,E1512+1))</f>
        <v/>
      </c>
      <c r="K1512" t="str">
        <f>IF(E1512="","",INDEX(Knutepunkter!$D:$D,E1512+1))</f>
        <v/>
      </c>
      <c r="L1512" t="str">
        <f t="shared" si="118"/>
        <v/>
      </c>
      <c r="M1512" t="str">
        <f t="shared" si="119"/>
        <v/>
      </c>
    </row>
    <row r="1513" spans="1:13" x14ac:dyDescent="0.3">
      <c r="A1513" t="str">
        <f>Segmenter!A1513</f>
        <v/>
      </c>
      <c r="B1513" t="str">
        <f>Segmenter!B1513</f>
        <v/>
      </c>
      <c r="C1513" t="str">
        <f t="shared" si="115"/>
        <v/>
      </c>
      <c r="D1513" t="str">
        <f t="shared" si="116"/>
        <v/>
      </c>
      <c r="E1513" t="str">
        <f t="shared" si="117"/>
        <v/>
      </c>
      <c r="F1513" t="str">
        <f>IF(D1513="","",INDEX(Knutepunkter!$B:$B,D1513+1))</f>
        <v/>
      </c>
      <c r="G1513" t="str">
        <f>IF(D1513="","",INDEX(Knutepunkter!$C:$C,D1513+1))</f>
        <v/>
      </c>
      <c r="H1513" t="str">
        <f>IF(D1513="","",INDEX(Knutepunkter!$D:$D,D1513+1))</f>
        <v/>
      </c>
      <c r="I1513" t="str">
        <f>IF(E1513="","",INDEX(Knutepunkter!$B:$B,E1513+1))</f>
        <v/>
      </c>
      <c r="J1513" t="str">
        <f>IF(E1513="","",INDEX(Knutepunkter!$C:$C,E1513+1))</f>
        <v/>
      </c>
      <c r="K1513" t="str">
        <f>IF(E1513="","",INDEX(Knutepunkter!$D:$D,E1513+1))</f>
        <v/>
      </c>
      <c r="L1513" t="str">
        <f t="shared" si="118"/>
        <v/>
      </c>
      <c r="M1513" t="str">
        <f t="shared" si="119"/>
        <v/>
      </c>
    </row>
    <row r="1514" spans="1:13" x14ac:dyDescent="0.3">
      <c r="A1514" t="str">
        <f>Segmenter!A1514</f>
        <v/>
      </c>
      <c r="B1514" t="str">
        <f>Segmenter!B1514</f>
        <v/>
      </c>
      <c r="C1514" t="str">
        <f t="shared" si="115"/>
        <v/>
      </c>
      <c r="D1514" t="str">
        <f t="shared" si="116"/>
        <v/>
      </c>
      <c r="E1514" t="str">
        <f t="shared" si="117"/>
        <v/>
      </c>
      <c r="F1514" t="str">
        <f>IF(D1514="","",INDEX(Knutepunkter!$B:$B,D1514+1))</f>
        <v/>
      </c>
      <c r="G1514" t="str">
        <f>IF(D1514="","",INDEX(Knutepunkter!$C:$C,D1514+1))</f>
        <v/>
      </c>
      <c r="H1514" t="str">
        <f>IF(D1514="","",INDEX(Knutepunkter!$D:$D,D1514+1))</f>
        <v/>
      </c>
      <c r="I1514" t="str">
        <f>IF(E1514="","",INDEX(Knutepunkter!$B:$B,E1514+1))</f>
        <v/>
      </c>
      <c r="J1514" t="str">
        <f>IF(E1514="","",INDEX(Knutepunkter!$C:$C,E1514+1))</f>
        <v/>
      </c>
      <c r="K1514" t="str">
        <f>IF(E1514="","",INDEX(Knutepunkter!$D:$D,E1514+1))</f>
        <v/>
      </c>
      <c r="L1514" t="str">
        <f t="shared" si="118"/>
        <v/>
      </c>
      <c r="M1514" t="str">
        <f t="shared" si="119"/>
        <v/>
      </c>
    </row>
    <row r="1515" spans="1:13" x14ac:dyDescent="0.3">
      <c r="A1515" t="str">
        <f>Segmenter!A1515</f>
        <v/>
      </c>
      <c r="B1515" t="str">
        <f>Segmenter!B1515</f>
        <v/>
      </c>
      <c r="C1515" t="str">
        <f t="shared" si="115"/>
        <v/>
      </c>
      <c r="D1515" t="str">
        <f t="shared" si="116"/>
        <v/>
      </c>
      <c r="E1515" t="str">
        <f t="shared" si="117"/>
        <v/>
      </c>
      <c r="F1515" t="str">
        <f>IF(D1515="","",INDEX(Knutepunkter!$B:$B,D1515+1))</f>
        <v/>
      </c>
      <c r="G1515" t="str">
        <f>IF(D1515="","",INDEX(Knutepunkter!$C:$C,D1515+1))</f>
        <v/>
      </c>
      <c r="H1515" t="str">
        <f>IF(D1515="","",INDEX(Knutepunkter!$D:$D,D1515+1))</f>
        <v/>
      </c>
      <c r="I1515" t="str">
        <f>IF(E1515="","",INDEX(Knutepunkter!$B:$B,E1515+1))</f>
        <v/>
      </c>
      <c r="J1515" t="str">
        <f>IF(E1515="","",INDEX(Knutepunkter!$C:$C,E1515+1))</f>
        <v/>
      </c>
      <c r="K1515" t="str">
        <f>IF(E1515="","",INDEX(Knutepunkter!$D:$D,E1515+1))</f>
        <v/>
      </c>
      <c r="L1515" t="str">
        <f t="shared" si="118"/>
        <v/>
      </c>
      <c r="M1515" t="str">
        <f t="shared" si="119"/>
        <v/>
      </c>
    </row>
    <row r="1516" spans="1:13" x14ac:dyDescent="0.3">
      <c r="A1516" t="str">
        <f>Segmenter!A1516</f>
        <v/>
      </c>
      <c r="B1516" t="str">
        <f>Segmenter!B1516</f>
        <v/>
      </c>
      <c r="C1516" t="str">
        <f t="shared" si="115"/>
        <v/>
      </c>
      <c r="D1516" t="str">
        <f t="shared" si="116"/>
        <v/>
      </c>
      <c r="E1516" t="str">
        <f t="shared" si="117"/>
        <v/>
      </c>
      <c r="F1516" t="str">
        <f>IF(D1516="","",INDEX(Knutepunkter!$B:$B,D1516+1))</f>
        <v/>
      </c>
      <c r="G1516" t="str">
        <f>IF(D1516="","",INDEX(Knutepunkter!$C:$C,D1516+1))</f>
        <v/>
      </c>
      <c r="H1516" t="str">
        <f>IF(D1516="","",INDEX(Knutepunkter!$D:$D,D1516+1))</f>
        <v/>
      </c>
      <c r="I1516" t="str">
        <f>IF(E1516="","",INDEX(Knutepunkter!$B:$B,E1516+1))</f>
        <v/>
      </c>
      <c r="J1516" t="str">
        <f>IF(E1516="","",INDEX(Knutepunkter!$C:$C,E1516+1))</f>
        <v/>
      </c>
      <c r="K1516" t="str">
        <f>IF(E1516="","",INDEX(Knutepunkter!$D:$D,E1516+1))</f>
        <v/>
      </c>
      <c r="L1516" t="str">
        <f t="shared" si="118"/>
        <v/>
      </c>
      <c r="M1516" t="str">
        <f t="shared" si="119"/>
        <v/>
      </c>
    </row>
    <row r="1517" spans="1:13" x14ac:dyDescent="0.3">
      <c r="A1517" t="str">
        <f>Segmenter!A1517</f>
        <v/>
      </c>
      <c r="B1517" t="str">
        <f>Segmenter!B1517</f>
        <v/>
      </c>
      <c r="C1517" t="str">
        <f t="shared" si="115"/>
        <v/>
      </c>
      <c r="D1517" t="str">
        <f t="shared" si="116"/>
        <v/>
      </c>
      <c r="E1517" t="str">
        <f t="shared" si="117"/>
        <v/>
      </c>
      <c r="F1517" t="str">
        <f>IF(D1517="","",INDEX(Knutepunkter!$B:$B,D1517+1))</f>
        <v/>
      </c>
      <c r="G1517" t="str">
        <f>IF(D1517="","",INDEX(Knutepunkter!$C:$C,D1517+1))</f>
        <v/>
      </c>
      <c r="H1517" t="str">
        <f>IF(D1517="","",INDEX(Knutepunkter!$D:$D,D1517+1))</f>
        <v/>
      </c>
      <c r="I1517" t="str">
        <f>IF(E1517="","",INDEX(Knutepunkter!$B:$B,E1517+1))</f>
        <v/>
      </c>
      <c r="J1517" t="str">
        <f>IF(E1517="","",INDEX(Knutepunkter!$C:$C,E1517+1))</f>
        <v/>
      </c>
      <c r="K1517" t="str">
        <f>IF(E1517="","",INDEX(Knutepunkter!$D:$D,E1517+1))</f>
        <v/>
      </c>
      <c r="L1517" t="str">
        <f t="shared" si="118"/>
        <v/>
      </c>
      <c r="M1517" t="str">
        <f t="shared" si="119"/>
        <v/>
      </c>
    </row>
    <row r="1518" spans="1:13" x14ac:dyDescent="0.3">
      <c r="A1518" t="str">
        <f>Segmenter!A1518</f>
        <v/>
      </c>
      <c r="B1518" t="str">
        <f>Segmenter!B1518</f>
        <v/>
      </c>
      <c r="C1518" t="str">
        <f t="shared" si="115"/>
        <v/>
      </c>
      <c r="D1518" t="str">
        <f t="shared" si="116"/>
        <v/>
      </c>
      <c r="E1518" t="str">
        <f t="shared" si="117"/>
        <v/>
      </c>
      <c r="F1518" t="str">
        <f>IF(D1518="","",INDEX(Knutepunkter!$B:$B,D1518+1))</f>
        <v/>
      </c>
      <c r="G1518" t="str">
        <f>IF(D1518="","",INDEX(Knutepunkter!$C:$C,D1518+1))</f>
        <v/>
      </c>
      <c r="H1518" t="str">
        <f>IF(D1518="","",INDEX(Knutepunkter!$D:$D,D1518+1))</f>
        <v/>
      </c>
      <c r="I1518" t="str">
        <f>IF(E1518="","",INDEX(Knutepunkter!$B:$B,E1518+1))</f>
        <v/>
      </c>
      <c r="J1518" t="str">
        <f>IF(E1518="","",INDEX(Knutepunkter!$C:$C,E1518+1))</f>
        <v/>
      </c>
      <c r="K1518" t="str">
        <f>IF(E1518="","",INDEX(Knutepunkter!$D:$D,E1518+1))</f>
        <v/>
      </c>
      <c r="L1518" t="str">
        <f t="shared" si="118"/>
        <v/>
      </c>
      <c r="M1518" t="str">
        <f t="shared" si="119"/>
        <v/>
      </c>
    </row>
    <row r="1519" spans="1:13" x14ac:dyDescent="0.3">
      <c r="A1519" t="str">
        <f>Segmenter!A1519</f>
        <v/>
      </c>
      <c r="B1519" t="str">
        <f>Segmenter!B1519</f>
        <v/>
      </c>
      <c r="C1519" t="str">
        <f t="shared" si="115"/>
        <v/>
      </c>
      <c r="D1519" t="str">
        <f t="shared" si="116"/>
        <v/>
      </c>
      <c r="E1519" t="str">
        <f t="shared" si="117"/>
        <v/>
      </c>
      <c r="F1519" t="str">
        <f>IF(D1519="","",INDEX(Knutepunkter!$B:$B,D1519+1))</f>
        <v/>
      </c>
      <c r="G1519" t="str">
        <f>IF(D1519="","",INDEX(Knutepunkter!$C:$C,D1519+1))</f>
        <v/>
      </c>
      <c r="H1519" t="str">
        <f>IF(D1519="","",INDEX(Knutepunkter!$D:$D,D1519+1))</f>
        <v/>
      </c>
      <c r="I1519" t="str">
        <f>IF(E1519="","",INDEX(Knutepunkter!$B:$B,E1519+1))</f>
        <v/>
      </c>
      <c r="J1519" t="str">
        <f>IF(E1519="","",INDEX(Knutepunkter!$C:$C,E1519+1))</f>
        <v/>
      </c>
      <c r="K1519" t="str">
        <f>IF(E1519="","",INDEX(Knutepunkter!$D:$D,E1519+1))</f>
        <v/>
      </c>
      <c r="L1519" t="str">
        <f t="shared" si="118"/>
        <v/>
      </c>
      <c r="M1519" t="str">
        <f t="shared" si="119"/>
        <v/>
      </c>
    </row>
    <row r="1520" spans="1:13" x14ac:dyDescent="0.3">
      <c r="A1520" t="str">
        <f>Segmenter!A1520</f>
        <v/>
      </c>
      <c r="B1520" t="str">
        <f>Segmenter!B1520</f>
        <v/>
      </c>
      <c r="C1520" t="str">
        <f t="shared" si="115"/>
        <v/>
      </c>
      <c r="D1520" t="str">
        <f t="shared" si="116"/>
        <v/>
      </c>
      <c r="E1520" t="str">
        <f t="shared" si="117"/>
        <v/>
      </c>
      <c r="F1520" t="str">
        <f>IF(D1520="","",INDEX(Knutepunkter!$B:$B,D1520+1))</f>
        <v/>
      </c>
      <c r="G1520" t="str">
        <f>IF(D1520="","",INDEX(Knutepunkter!$C:$C,D1520+1))</f>
        <v/>
      </c>
      <c r="H1520" t="str">
        <f>IF(D1520="","",INDEX(Knutepunkter!$D:$D,D1520+1))</f>
        <v/>
      </c>
      <c r="I1520" t="str">
        <f>IF(E1520="","",INDEX(Knutepunkter!$B:$B,E1520+1))</f>
        <v/>
      </c>
      <c r="J1520" t="str">
        <f>IF(E1520="","",INDEX(Knutepunkter!$C:$C,E1520+1))</f>
        <v/>
      </c>
      <c r="K1520" t="str">
        <f>IF(E1520="","",INDEX(Knutepunkter!$D:$D,E1520+1))</f>
        <v/>
      </c>
      <c r="L1520" t="str">
        <f t="shared" si="118"/>
        <v/>
      </c>
      <c r="M1520" t="str">
        <f t="shared" si="119"/>
        <v/>
      </c>
    </row>
    <row r="1521" spans="1:13" x14ac:dyDescent="0.3">
      <c r="A1521" t="str">
        <f>Segmenter!A1521</f>
        <v/>
      </c>
      <c r="B1521" t="str">
        <f>Segmenter!B1521</f>
        <v/>
      </c>
      <c r="C1521" t="str">
        <f t="shared" si="115"/>
        <v/>
      </c>
      <c r="D1521" t="str">
        <f t="shared" si="116"/>
        <v/>
      </c>
      <c r="E1521" t="str">
        <f t="shared" si="117"/>
        <v/>
      </c>
      <c r="F1521" t="str">
        <f>IF(D1521="","",INDEX(Knutepunkter!$B:$B,D1521+1))</f>
        <v/>
      </c>
      <c r="G1521" t="str">
        <f>IF(D1521="","",INDEX(Knutepunkter!$C:$C,D1521+1))</f>
        <v/>
      </c>
      <c r="H1521" t="str">
        <f>IF(D1521="","",INDEX(Knutepunkter!$D:$D,D1521+1))</f>
        <v/>
      </c>
      <c r="I1521" t="str">
        <f>IF(E1521="","",INDEX(Knutepunkter!$B:$B,E1521+1))</f>
        <v/>
      </c>
      <c r="J1521" t="str">
        <f>IF(E1521="","",INDEX(Knutepunkter!$C:$C,E1521+1))</f>
        <v/>
      </c>
      <c r="K1521" t="str">
        <f>IF(E1521="","",INDEX(Knutepunkter!$D:$D,E1521+1))</f>
        <v/>
      </c>
      <c r="L1521" t="str">
        <f t="shared" si="118"/>
        <v/>
      </c>
      <c r="M1521" t="str">
        <f t="shared" si="119"/>
        <v/>
      </c>
    </row>
    <row r="1522" spans="1:13" x14ac:dyDescent="0.3">
      <c r="A1522" t="str">
        <f>Segmenter!A1522</f>
        <v/>
      </c>
      <c r="B1522" t="str">
        <f>Segmenter!B1522</f>
        <v/>
      </c>
      <c r="C1522" t="str">
        <f t="shared" si="115"/>
        <v/>
      </c>
      <c r="D1522" t="str">
        <f t="shared" si="116"/>
        <v/>
      </c>
      <c r="E1522" t="str">
        <f t="shared" si="117"/>
        <v/>
      </c>
      <c r="F1522" t="str">
        <f>IF(D1522="","",INDEX(Knutepunkter!$B:$B,D1522+1))</f>
        <v/>
      </c>
      <c r="G1522" t="str">
        <f>IF(D1522="","",INDEX(Knutepunkter!$C:$C,D1522+1))</f>
        <v/>
      </c>
      <c r="H1522" t="str">
        <f>IF(D1522="","",INDEX(Knutepunkter!$D:$D,D1522+1))</f>
        <v/>
      </c>
      <c r="I1522" t="str">
        <f>IF(E1522="","",INDEX(Knutepunkter!$B:$B,E1522+1))</f>
        <v/>
      </c>
      <c r="J1522" t="str">
        <f>IF(E1522="","",INDEX(Knutepunkter!$C:$C,E1522+1))</f>
        <v/>
      </c>
      <c r="K1522" t="str">
        <f>IF(E1522="","",INDEX(Knutepunkter!$D:$D,E1522+1))</f>
        <v/>
      </c>
      <c r="L1522" t="str">
        <f t="shared" si="118"/>
        <v/>
      </c>
      <c r="M1522" t="str">
        <f t="shared" si="119"/>
        <v/>
      </c>
    </row>
    <row r="1523" spans="1:13" x14ac:dyDescent="0.3">
      <c r="A1523" t="str">
        <f>Segmenter!A1523</f>
        <v/>
      </c>
      <c r="B1523" t="str">
        <f>Segmenter!B1523</f>
        <v/>
      </c>
      <c r="C1523" t="str">
        <f t="shared" si="115"/>
        <v/>
      </c>
      <c r="D1523" t="str">
        <f t="shared" si="116"/>
        <v/>
      </c>
      <c r="E1523" t="str">
        <f t="shared" si="117"/>
        <v/>
      </c>
      <c r="F1523" t="str">
        <f>IF(D1523="","",INDEX(Knutepunkter!$B:$B,D1523+1))</f>
        <v/>
      </c>
      <c r="G1523" t="str">
        <f>IF(D1523="","",INDEX(Knutepunkter!$C:$C,D1523+1))</f>
        <v/>
      </c>
      <c r="H1523" t="str">
        <f>IF(D1523="","",INDEX(Knutepunkter!$D:$D,D1523+1))</f>
        <v/>
      </c>
      <c r="I1523" t="str">
        <f>IF(E1523="","",INDEX(Knutepunkter!$B:$B,E1523+1))</f>
        <v/>
      </c>
      <c r="J1523" t="str">
        <f>IF(E1523="","",INDEX(Knutepunkter!$C:$C,E1523+1))</f>
        <v/>
      </c>
      <c r="K1523" t="str">
        <f>IF(E1523="","",INDEX(Knutepunkter!$D:$D,E1523+1))</f>
        <v/>
      </c>
      <c r="L1523" t="str">
        <f t="shared" si="118"/>
        <v/>
      </c>
      <c r="M1523" t="str">
        <f t="shared" si="119"/>
        <v/>
      </c>
    </row>
    <row r="1524" spans="1:13" x14ac:dyDescent="0.3">
      <c r="A1524" t="str">
        <f>Segmenter!A1524</f>
        <v/>
      </c>
      <c r="B1524" t="str">
        <f>Segmenter!B1524</f>
        <v/>
      </c>
      <c r="C1524" t="str">
        <f t="shared" si="115"/>
        <v/>
      </c>
      <c r="D1524" t="str">
        <f t="shared" si="116"/>
        <v/>
      </c>
      <c r="E1524" t="str">
        <f t="shared" si="117"/>
        <v/>
      </c>
      <c r="F1524" t="str">
        <f>IF(D1524="","",INDEX(Knutepunkter!$B:$B,D1524+1))</f>
        <v/>
      </c>
      <c r="G1524" t="str">
        <f>IF(D1524="","",INDEX(Knutepunkter!$C:$C,D1524+1))</f>
        <v/>
      </c>
      <c r="H1524" t="str">
        <f>IF(D1524="","",INDEX(Knutepunkter!$D:$D,D1524+1))</f>
        <v/>
      </c>
      <c r="I1524" t="str">
        <f>IF(E1524="","",INDEX(Knutepunkter!$B:$B,E1524+1))</f>
        <v/>
      </c>
      <c r="J1524" t="str">
        <f>IF(E1524="","",INDEX(Knutepunkter!$C:$C,E1524+1))</f>
        <v/>
      </c>
      <c r="K1524" t="str">
        <f>IF(E1524="","",INDEX(Knutepunkter!$D:$D,E1524+1))</f>
        <v/>
      </c>
      <c r="L1524" t="str">
        <f t="shared" si="118"/>
        <v/>
      </c>
      <c r="M1524" t="str">
        <f t="shared" si="119"/>
        <v/>
      </c>
    </row>
    <row r="1525" spans="1:13" x14ac:dyDescent="0.3">
      <c r="A1525" t="str">
        <f>Segmenter!A1525</f>
        <v/>
      </c>
      <c r="B1525" t="str">
        <f>Segmenter!B1525</f>
        <v/>
      </c>
      <c r="C1525" t="str">
        <f t="shared" si="115"/>
        <v/>
      </c>
      <c r="D1525" t="str">
        <f t="shared" si="116"/>
        <v/>
      </c>
      <c r="E1525" t="str">
        <f t="shared" si="117"/>
        <v/>
      </c>
      <c r="F1525" t="str">
        <f>IF(D1525="","",INDEX(Knutepunkter!$B:$B,D1525+1))</f>
        <v/>
      </c>
      <c r="G1525" t="str">
        <f>IF(D1525="","",INDEX(Knutepunkter!$C:$C,D1525+1))</f>
        <v/>
      </c>
      <c r="H1525" t="str">
        <f>IF(D1525="","",INDEX(Knutepunkter!$D:$D,D1525+1))</f>
        <v/>
      </c>
      <c r="I1525" t="str">
        <f>IF(E1525="","",INDEX(Knutepunkter!$B:$B,E1525+1))</f>
        <v/>
      </c>
      <c r="J1525" t="str">
        <f>IF(E1525="","",INDEX(Knutepunkter!$C:$C,E1525+1))</f>
        <v/>
      </c>
      <c r="K1525" t="str">
        <f>IF(E1525="","",INDEX(Knutepunkter!$D:$D,E1525+1))</f>
        <v/>
      </c>
      <c r="L1525" t="str">
        <f t="shared" si="118"/>
        <v/>
      </c>
      <c r="M1525" t="str">
        <f t="shared" si="119"/>
        <v/>
      </c>
    </row>
    <row r="1526" spans="1:13" x14ac:dyDescent="0.3">
      <c r="A1526" t="str">
        <f>Segmenter!A1526</f>
        <v/>
      </c>
      <c r="B1526" t="str">
        <f>Segmenter!B1526</f>
        <v/>
      </c>
      <c r="C1526" t="str">
        <f t="shared" si="115"/>
        <v/>
      </c>
      <c r="D1526" t="str">
        <f t="shared" si="116"/>
        <v/>
      </c>
      <c r="E1526" t="str">
        <f t="shared" si="117"/>
        <v/>
      </c>
      <c r="F1526" t="str">
        <f>IF(D1526="","",INDEX(Knutepunkter!$B:$B,D1526+1))</f>
        <v/>
      </c>
      <c r="G1526" t="str">
        <f>IF(D1526="","",INDEX(Knutepunkter!$C:$C,D1526+1))</f>
        <v/>
      </c>
      <c r="H1526" t="str">
        <f>IF(D1526="","",INDEX(Knutepunkter!$D:$D,D1526+1))</f>
        <v/>
      </c>
      <c r="I1526" t="str">
        <f>IF(E1526="","",INDEX(Knutepunkter!$B:$B,E1526+1))</f>
        <v/>
      </c>
      <c r="J1526" t="str">
        <f>IF(E1526="","",INDEX(Knutepunkter!$C:$C,E1526+1))</f>
        <v/>
      </c>
      <c r="K1526" t="str">
        <f>IF(E1526="","",INDEX(Knutepunkter!$D:$D,E1526+1))</f>
        <v/>
      </c>
      <c r="L1526" t="str">
        <f t="shared" si="118"/>
        <v/>
      </c>
      <c r="M1526" t="str">
        <f t="shared" si="119"/>
        <v/>
      </c>
    </row>
    <row r="1527" spans="1:13" x14ac:dyDescent="0.3">
      <c r="A1527" t="str">
        <f>Segmenter!A1527</f>
        <v/>
      </c>
      <c r="B1527" t="str">
        <f>Segmenter!B1527</f>
        <v/>
      </c>
      <c r="C1527" t="str">
        <f t="shared" si="115"/>
        <v/>
      </c>
      <c r="D1527" t="str">
        <f t="shared" si="116"/>
        <v/>
      </c>
      <c r="E1527" t="str">
        <f t="shared" si="117"/>
        <v/>
      </c>
      <c r="F1527" t="str">
        <f>IF(D1527="","",INDEX(Knutepunkter!$B:$B,D1527+1))</f>
        <v/>
      </c>
      <c r="G1527" t="str">
        <f>IF(D1527="","",INDEX(Knutepunkter!$C:$C,D1527+1))</f>
        <v/>
      </c>
      <c r="H1527" t="str">
        <f>IF(D1527="","",INDEX(Knutepunkter!$D:$D,D1527+1))</f>
        <v/>
      </c>
      <c r="I1527" t="str">
        <f>IF(E1527="","",INDEX(Knutepunkter!$B:$B,E1527+1))</f>
        <v/>
      </c>
      <c r="J1527" t="str">
        <f>IF(E1527="","",INDEX(Knutepunkter!$C:$C,E1527+1))</f>
        <v/>
      </c>
      <c r="K1527" t="str">
        <f>IF(E1527="","",INDEX(Knutepunkter!$D:$D,E1527+1))</f>
        <v/>
      </c>
      <c r="L1527" t="str">
        <f t="shared" si="118"/>
        <v/>
      </c>
      <c r="M1527" t="str">
        <f t="shared" si="119"/>
        <v/>
      </c>
    </row>
    <row r="1528" spans="1:13" x14ac:dyDescent="0.3">
      <c r="A1528" t="str">
        <f>Segmenter!A1528</f>
        <v/>
      </c>
      <c r="B1528" t="str">
        <f>Segmenter!B1528</f>
        <v/>
      </c>
      <c r="C1528" t="str">
        <f t="shared" si="115"/>
        <v/>
      </c>
      <c r="D1528" t="str">
        <f t="shared" si="116"/>
        <v/>
      </c>
      <c r="E1528" t="str">
        <f t="shared" si="117"/>
        <v/>
      </c>
      <c r="F1528" t="str">
        <f>IF(D1528="","",INDEX(Knutepunkter!$B:$B,D1528+1))</f>
        <v/>
      </c>
      <c r="G1528" t="str">
        <f>IF(D1528="","",INDEX(Knutepunkter!$C:$C,D1528+1))</f>
        <v/>
      </c>
      <c r="H1528" t="str">
        <f>IF(D1528="","",INDEX(Knutepunkter!$D:$D,D1528+1))</f>
        <v/>
      </c>
      <c r="I1528" t="str">
        <f>IF(E1528="","",INDEX(Knutepunkter!$B:$B,E1528+1))</f>
        <v/>
      </c>
      <c r="J1528" t="str">
        <f>IF(E1528="","",INDEX(Knutepunkter!$C:$C,E1528+1))</f>
        <v/>
      </c>
      <c r="K1528" t="str">
        <f>IF(E1528="","",INDEX(Knutepunkter!$D:$D,E1528+1))</f>
        <v/>
      </c>
      <c r="L1528" t="str">
        <f t="shared" si="118"/>
        <v/>
      </c>
      <c r="M1528" t="str">
        <f t="shared" si="119"/>
        <v/>
      </c>
    </row>
    <row r="1529" spans="1:13" x14ac:dyDescent="0.3">
      <c r="A1529" t="str">
        <f>Segmenter!A1529</f>
        <v/>
      </c>
      <c r="B1529" t="str">
        <f>Segmenter!B1529</f>
        <v/>
      </c>
      <c r="C1529" t="str">
        <f t="shared" si="115"/>
        <v/>
      </c>
      <c r="D1529" t="str">
        <f t="shared" si="116"/>
        <v/>
      </c>
      <c r="E1529" t="str">
        <f t="shared" si="117"/>
        <v/>
      </c>
      <c r="F1529" t="str">
        <f>IF(D1529="","",INDEX(Knutepunkter!$B:$B,D1529+1))</f>
        <v/>
      </c>
      <c r="G1529" t="str">
        <f>IF(D1529="","",INDEX(Knutepunkter!$C:$C,D1529+1))</f>
        <v/>
      </c>
      <c r="H1529" t="str">
        <f>IF(D1529="","",INDEX(Knutepunkter!$D:$D,D1529+1))</f>
        <v/>
      </c>
      <c r="I1529" t="str">
        <f>IF(E1529="","",INDEX(Knutepunkter!$B:$B,E1529+1))</f>
        <v/>
      </c>
      <c r="J1529" t="str">
        <f>IF(E1529="","",INDEX(Knutepunkter!$C:$C,E1529+1))</f>
        <v/>
      </c>
      <c r="K1529" t="str">
        <f>IF(E1529="","",INDEX(Knutepunkter!$D:$D,E1529+1))</f>
        <v/>
      </c>
      <c r="L1529" t="str">
        <f t="shared" si="118"/>
        <v/>
      </c>
      <c r="M1529" t="str">
        <f t="shared" si="119"/>
        <v/>
      </c>
    </row>
    <row r="1530" spans="1:13" x14ac:dyDescent="0.3">
      <c r="A1530" t="str">
        <f>Segmenter!A1530</f>
        <v/>
      </c>
      <c r="B1530" t="str">
        <f>Segmenter!B1530</f>
        <v/>
      </c>
      <c r="C1530" t="str">
        <f t="shared" si="115"/>
        <v/>
      </c>
      <c r="D1530" t="str">
        <f t="shared" si="116"/>
        <v/>
      </c>
      <c r="E1530" t="str">
        <f t="shared" si="117"/>
        <v/>
      </c>
      <c r="F1530" t="str">
        <f>IF(D1530="","",INDEX(Knutepunkter!$B:$B,D1530+1))</f>
        <v/>
      </c>
      <c r="G1530" t="str">
        <f>IF(D1530="","",INDEX(Knutepunkter!$C:$C,D1530+1))</f>
        <v/>
      </c>
      <c r="H1530" t="str">
        <f>IF(D1530="","",INDEX(Knutepunkter!$D:$D,D1530+1))</f>
        <v/>
      </c>
      <c r="I1530" t="str">
        <f>IF(E1530="","",INDEX(Knutepunkter!$B:$B,E1530+1))</f>
        <v/>
      </c>
      <c r="J1530" t="str">
        <f>IF(E1530="","",INDEX(Knutepunkter!$C:$C,E1530+1))</f>
        <v/>
      </c>
      <c r="K1530" t="str">
        <f>IF(E1530="","",INDEX(Knutepunkter!$D:$D,E1530+1))</f>
        <v/>
      </c>
      <c r="L1530" t="str">
        <f t="shared" si="118"/>
        <v/>
      </c>
      <c r="M1530" t="str">
        <f t="shared" si="119"/>
        <v/>
      </c>
    </row>
    <row r="1531" spans="1:13" x14ac:dyDescent="0.3">
      <c r="A1531" t="str">
        <f>Segmenter!A1531</f>
        <v/>
      </c>
      <c r="B1531" t="str">
        <f>Segmenter!B1531</f>
        <v/>
      </c>
      <c r="C1531" t="str">
        <f t="shared" si="115"/>
        <v/>
      </c>
      <c r="D1531" t="str">
        <f t="shared" si="116"/>
        <v/>
      </c>
      <c r="E1531" t="str">
        <f t="shared" si="117"/>
        <v/>
      </c>
      <c r="F1531" t="str">
        <f>IF(D1531="","",INDEX(Knutepunkter!$B:$B,D1531+1))</f>
        <v/>
      </c>
      <c r="G1531" t="str">
        <f>IF(D1531="","",INDEX(Knutepunkter!$C:$C,D1531+1))</f>
        <v/>
      </c>
      <c r="H1531" t="str">
        <f>IF(D1531="","",INDEX(Knutepunkter!$D:$D,D1531+1))</f>
        <v/>
      </c>
      <c r="I1531" t="str">
        <f>IF(E1531="","",INDEX(Knutepunkter!$B:$B,E1531+1))</f>
        <v/>
      </c>
      <c r="J1531" t="str">
        <f>IF(E1531="","",INDEX(Knutepunkter!$C:$C,E1531+1))</f>
        <v/>
      </c>
      <c r="K1531" t="str">
        <f>IF(E1531="","",INDEX(Knutepunkter!$D:$D,E1531+1))</f>
        <v/>
      </c>
      <c r="L1531" t="str">
        <f t="shared" si="118"/>
        <v/>
      </c>
      <c r="M1531" t="str">
        <f t="shared" si="119"/>
        <v/>
      </c>
    </row>
    <row r="1532" spans="1:13" x14ac:dyDescent="0.3">
      <c r="A1532" t="str">
        <f>Segmenter!A1532</f>
        <v/>
      </c>
      <c r="B1532" t="str">
        <f>Segmenter!B1532</f>
        <v/>
      </c>
      <c r="C1532" t="str">
        <f t="shared" si="115"/>
        <v/>
      </c>
      <c r="D1532" t="str">
        <f t="shared" si="116"/>
        <v/>
      </c>
      <c r="E1532" t="str">
        <f t="shared" si="117"/>
        <v/>
      </c>
      <c r="F1532" t="str">
        <f>IF(D1532="","",INDEX(Knutepunkter!$B:$B,D1532+1))</f>
        <v/>
      </c>
      <c r="G1532" t="str">
        <f>IF(D1532="","",INDEX(Knutepunkter!$C:$C,D1532+1))</f>
        <v/>
      </c>
      <c r="H1532" t="str">
        <f>IF(D1532="","",INDEX(Knutepunkter!$D:$D,D1532+1))</f>
        <v/>
      </c>
      <c r="I1532" t="str">
        <f>IF(E1532="","",INDEX(Knutepunkter!$B:$B,E1532+1))</f>
        <v/>
      </c>
      <c r="J1532" t="str">
        <f>IF(E1532="","",INDEX(Knutepunkter!$C:$C,E1532+1))</f>
        <v/>
      </c>
      <c r="K1532" t="str">
        <f>IF(E1532="","",INDEX(Knutepunkter!$D:$D,E1532+1))</f>
        <v/>
      </c>
      <c r="L1532" t="str">
        <f t="shared" si="118"/>
        <v/>
      </c>
      <c r="M1532" t="str">
        <f t="shared" si="119"/>
        <v/>
      </c>
    </row>
    <row r="1533" spans="1:13" x14ac:dyDescent="0.3">
      <c r="A1533" t="str">
        <f>Segmenter!A1533</f>
        <v/>
      </c>
      <c r="B1533" t="str">
        <f>Segmenter!B1533</f>
        <v/>
      </c>
      <c r="C1533" t="str">
        <f t="shared" si="115"/>
        <v/>
      </c>
      <c r="D1533" t="str">
        <f t="shared" si="116"/>
        <v/>
      </c>
      <c r="E1533" t="str">
        <f t="shared" si="117"/>
        <v/>
      </c>
      <c r="F1533" t="str">
        <f>IF(D1533="","",INDEX(Knutepunkter!$B:$B,D1533+1))</f>
        <v/>
      </c>
      <c r="G1533" t="str">
        <f>IF(D1533="","",INDEX(Knutepunkter!$C:$C,D1533+1))</f>
        <v/>
      </c>
      <c r="H1533" t="str">
        <f>IF(D1533="","",INDEX(Knutepunkter!$D:$D,D1533+1))</f>
        <v/>
      </c>
      <c r="I1533" t="str">
        <f>IF(E1533="","",INDEX(Knutepunkter!$B:$B,E1533+1))</f>
        <v/>
      </c>
      <c r="J1533" t="str">
        <f>IF(E1533="","",INDEX(Knutepunkter!$C:$C,E1533+1))</f>
        <v/>
      </c>
      <c r="K1533" t="str">
        <f>IF(E1533="","",INDEX(Knutepunkter!$D:$D,E1533+1))</f>
        <v/>
      </c>
      <c r="L1533" t="str">
        <f t="shared" si="118"/>
        <v/>
      </c>
      <c r="M1533" t="str">
        <f t="shared" si="119"/>
        <v/>
      </c>
    </row>
    <row r="1534" spans="1:13" x14ac:dyDescent="0.3">
      <c r="A1534" t="str">
        <f>Segmenter!A1534</f>
        <v/>
      </c>
      <c r="B1534" t="str">
        <f>Segmenter!B1534</f>
        <v/>
      </c>
      <c r="C1534" t="str">
        <f t="shared" si="115"/>
        <v/>
      </c>
      <c r="D1534" t="str">
        <f t="shared" si="116"/>
        <v/>
      </c>
      <c r="E1534" t="str">
        <f t="shared" si="117"/>
        <v/>
      </c>
      <c r="F1534" t="str">
        <f>IF(D1534="","",INDEX(Knutepunkter!$B:$B,D1534+1))</f>
        <v/>
      </c>
      <c r="G1534" t="str">
        <f>IF(D1534="","",INDEX(Knutepunkter!$C:$C,D1534+1))</f>
        <v/>
      </c>
      <c r="H1534" t="str">
        <f>IF(D1534="","",INDEX(Knutepunkter!$D:$D,D1534+1))</f>
        <v/>
      </c>
      <c r="I1534" t="str">
        <f>IF(E1534="","",INDEX(Knutepunkter!$B:$B,E1534+1))</f>
        <v/>
      </c>
      <c r="J1534" t="str">
        <f>IF(E1534="","",INDEX(Knutepunkter!$C:$C,E1534+1))</f>
        <v/>
      </c>
      <c r="K1534" t="str">
        <f>IF(E1534="","",INDEX(Knutepunkter!$D:$D,E1534+1))</f>
        <v/>
      </c>
      <c r="L1534" t="str">
        <f t="shared" si="118"/>
        <v/>
      </c>
      <c r="M1534" t="str">
        <f t="shared" si="119"/>
        <v/>
      </c>
    </row>
    <row r="1535" spans="1:13" x14ac:dyDescent="0.3">
      <c r="A1535" t="str">
        <f>Segmenter!A1535</f>
        <v/>
      </c>
      <c r="B1535" t="str">
        <f>Segmenter!B1535</f>
        <v/>
      </c>
      <c r="C1535" t="str">
        <f t="shared" si="115"/>
        <v/>
      </c>
      <c r="D1535" t="str">
        <f t="shared" si="116"/>
        <v/>
      </c>
      <c r="E1535" t="str">
        <f t="shared" si="117"/>
        <v/>
      </c>
      <c r="F1535" t="str">
        <f>IF(D1535="","",INDEX(Knutepunkter!$B:$B,D1535+1))</f>
        <v/>
      </c>
      <c r="G1535" t="str">
        <f>IF(D1535="","",INDEX(Knutepunkter!$C:$C,D1535+1))</f>
        <v/>
      </c>
      <c r="H1535" t="str">
        <f>IF(D1535="","",INDEX(Knutepunkter!$D:$D,D1535+1))</f>
        <v/>
      </c>
      <c r="I1535" t="str">
        <f>IF(E1535="","",INDEX(Knutepunkter!$B:$B,E1535+1))</f>
        <v/>
      </c>
      <c r="J1535" t="str">
        <f>IF(E1535="","",INDEX(Knutepunkter!$C:$C,E1535+1))</f>
        <v/>
      </c>
      <c r="K1535" t="str">
        <f>IF(E1535="","",INDEX(Knutepunkter!$D:$D,E1535+1))</f>
        <v/>
      </c>
      <c r="L1535" t="str">
        <f t="shared" si="118"/>
        <v/>
      </c>
      <c r="M1535" t="str">
        <f t="shared" si="119"/>
        <v/>
      </c>
    </row>
    <row r="1536" spans="1:13" x14ac:dyDescent="0.3">
      <c r="A1536" t="str">
        <f>Segmenter!A1536</f>
        <v/>
      </c>
      <c r="B1536" t="str">
        <f>Segmenter!B1536</f>
        <v/>
      </c>
      <c r="C1536" t="str">
        <f t="shared" si="115"/>
        <v/>
      </c>
      <c r="D1536" t="str">
        <f t="shared" si="116"/>
        <v/>
      </c>
      <c r="E1536" t="str">
        <f t="shared" si="117"/>
        <v/>
      </c>
      <c r="F1536" t="str">
        <f>IF(D1536="","",INDEX(Knutepunkter!$B:$B,D1536+1))</f>
        <v/>
      </c>
      <c r="G1536" t="str">
        <f>IF(D1536="","",INDEX(Knutepunkter!$C:$C,D1536+1))</f>
        <v/>
      </c>
      <c r="H1536" t="str">
        <f>IF(D1536="","",INDEX(Knutepunkter!$D:$D,D1536+1))</f>
        <v/>
      </c>
      <c r="I1536" t="str">
        <f>IF(E1536="","",INDEX(Knutepunkter!$B:$B,E1536+1))</f>
        <v/>
      </c>
      <c r="J1536" t="str">
        <f>IF(E1536="","",INDEX(Knutepunkter!$C:$C,E1536+1))</f>
        <v/>
      </c>
      <c r="K1536" t="str">
        <f>IF(E1536="","",INDEX(Knutepunkter!$D:$D,E1536+1))</f>
        <v/>
      </c>
      <c r="L1536" t="str">
        <f t="shared" si="118"/>
        <v/>
      </c>
      <c r="M1536" t="str">
        <f t="shared" si="119"/>
        <v/>
      </c>
    </row>
    <row r="1537" spans="1:13" x14ac:dyDescent="0.3">
      <c r="A1537" t="str">
        <f>Segmenter!A1537</f>
        <v/>
      </c>
      <c r="B1537" t="str">
        <f>Segmenter!B1537</f>
        <v/>
      </c>
      <c r="C1537" t="str">
        <f t="shared" si="115"/>
        <v/>
      </c>
      <c r="D1537" t="str">
        <f t="shared" si="116"/>
        <v/>
      </c>
      <c r="E1537" t="str">
        <f t="shared" si="117"/>
        <v/>
      </c>
      <c r="F1537" t="str">
        <f>IF(D1537="","",INDEX(Knutepunkter!$B:$B,D1537+1))</f>
        <v/>
      </c>
      <c r="G1537" t="str">
        <f>IF(D1537="","",INDEX(Knutepunkter!$C:$C,D1537+1))</f>
        <v/>
      </c>
      <c r="H1537" t="str">
        <f>IF(D1537="","",INDEX(Knutepunkter!$D:$D,D1537+1))</f>
        <v/>
      </c>
      <c r="I1537" t="str">
        <f>IF(E1537="","",INDEX(Knutepunkter!$B:$B,E1537+1))</f>
        <v/>
      </c>
      <c r="J1537" t="str">
        <f>IF(E1537="","",INDEX(Knutepunkter!$C:$C,E1537+1))</f>
        <v/>
      </c>
      <c r="K1537" t="str">
        <f>IF(E1537="","",INDEX(Knutepunkter!$D:$D,E1537+1))</f>
        <v/>
      </c>
      <c r="L1537" t="str">
        <f t="shared" si="118"/>
        <v/>
      </c>
      <c r="M1537" t="str">
        <f t="shared" si="119"/>
        <v/>
      </c>
    </row>
    <row r="1538" spans="1:13" x14ac:dyDescent="0.3">
      <c r="A1538" t="str">
        <f>Segmenter!A1538</f>
        <v/>
      </c>
      <c r="B1538" t="str">
        <f>Segmenter!B1538</f>
        <v/>
      </c>
      <c r="C1538" t="str">
        <f t="shared" ref="C1538:C1601" si="120">IF(B1538="","",IF(AND(F1538=I1538,G1538=J1538,H1538&lt;&gt;K1538),"Søyle","Bjelke"))</f>
        <v/>
      </c>
      <c r="D1538" t="str">
        <f t="shared" ref="D1538:D1601" si="121">IF(B1538="","",VALUE(LEFT(B1538,FIND(" -&gt; ",B1538)-1)))</f>
        <v/>
      </c>
      <c r="E1538" t="str">
        <f t="shared" ref="E1538:E1601" si="122">IF(B1538="","",VALUE(MID(B1538,FIND(" -&gt; ",B1538)+4,99)))</f>
        <v/>
      </c>
      <c r="F1538" t="str">
        <f>IF(D1538="","",INDEX(Knutepunkter!$B:$B,D1538+1))</f>
        <v/>
      </c>
      <c r="G1538" t="str">
        <f>IF(D1538="","",INDEX(Knutepunkter!$C:$C,D1538+1))</f>
        <v/>
      </c>
      <c r="H1538" t="str">
        <f>IF(D1538="","",INDEX(Knutepunkter!$D:$D,D1538+1))</f>
        <v/>
      </c>
      <c r="I1538" t="str">
        <f>IF(E1538="","",INDEX(Knutepunkter!$B:$B,E1538+1))</f>
        <v/>
      </c>
      <c r="J1538" t="str">
        <f>IF(E1538="","",INDEX(Knutepunkter!$C:$C,E1538+1))</f>
        <v/>
      </c>
      <c r="K1538" t="str">
        <f>IF(E1538="","",INDEX(Knutepunkter!$D:$D,E1538+1))</f>
        <v/>
      </c>
      <c r="L1538" t="str">
        <f t="shared" ref="L1538:L1601" si="123">IF(B1538="","",SQRT((I1538-F1538)^2+(J1538-G1538)^2+(K1538-H1538)^2))</f>
        <v/>
      </c>
      <c r="M1538" t="str">
        <f t="shared" ref="M1538:M1601" si="124">IF(L1538="","",L1538/1000)</f>
        <v/>
      </c>
    </row>
    <row r="1539" spans="1:13" x14ac:dyDescent="0.3">
      <c r="A1539" t="str">
        <f>Segmenter!A1539</f>
        <v/>
      </c>
      <c r="B1539" t="str">
        <f>Segmenter!B1539</f>
        <v/>
      </c>
      <c r="C1539" t="str">
        <f t="shared" si="120"/>
        <v/>
      </c>
      <c r="D1539" t="str">
        <f t="shared" si="121"/>
        <v/>
      </c>
      <c r="E1539" t="str">
        <f t="shared" si="122"/>
        <v/>
      </c>
      <c r="F1539" t="str">
        <f>IF(D1539="","",INDEX(Knutepunkter!$B:$B,D1539+1))</f>
        <v/>
      </c>
      <c r="G1539" t="str">
        <f>IF(D1539="","",INDEX(Knutepunkter!$C:$C,D1539+1))</f>
        <v/>
      </c>
      <c r="H1539" t="str">
        <f>IF(D1539="","",INDEX(Knutepunkter!$D:$D,D1539+1))</f>
        <v/>
      </c>
      <c r="I1539" t="str">
        <f>IF(E1539="","",INDEX(Knutepunkter!$B:$B,E1539+1))</f>
        <v/>
      </c>
      <c r="J1539" t="str">
        <f>IF(E1539="","",INDEX(Knutepunkter!$C:$C,E1539+1))</f>
        <v/>
      </c>
      <c r="K1539" t="str">
        <f>IF(E1539="","",INDEX(Knutepunkter!$D:$D,E1539+1))</f>
        <v/>
      </c>
      <c r="L1539" t="str">
        <f t="shared" si="123"/>
        <v/>
      </c>
      <c r="M1539" t="str">
        <f t="shared" si="124"/>
        <v/>
      </c>
    </row>
    <row r="1540" spans="1:13" x14ac:dyDescent="0.3">
      <c r="A1540" t="str">
        <f>Segmenter!A1540</f>
        <v/>
      </c>
      <c r="B1540" t="str">
        <f>Segmenter!B1540</f>
        <v/>
      </c>
      <c r="C1540" t="str">
        <f t="shared" si="120"/>
        <v/>
      </c>
      <c r="D1540" t="str">
        <f t="shared" si="121"/>
        <v/>
      </c>
      <c r="E1540" t="str">
        <f t="shared" si="122"/>
        <v/>
      </c>
      <c r="F1540" t="str">
        <f>IF(D1540="","",INDEX(Knutepunkter!$B:$B,D1540+1))</f>
        <v/>
      </c>
      <c r="G1540" t="str">
        <f>IF(D1540="","",INDEX(Knutepunkter!$C:$C,D1540+1))</f>
        <v/>
      </c>
      <c r="H1540" t="str">
        <f>IF(D1540="","",INDEX(Knutepunkter!$D:$D,D1540+1))</f>
        <v/>
      </c>
      <c r="I1540" t="str">
        <f>IF(E1540="","",INDEX(Knutepunkter!$B:$B,E1540+1))</f>
        <v/>
      </c>
      <c r="J1540" t="str">
        <f>IF(E1540="","",INDEX(Knutepunkter!$C:$C,E1540+1))</f>
        <v/>
      </c>
      <c r="K1540" t="str">
        <f>IF(E1540="","",INDEX(Knutepunkter!$D:$D,E1540+1))</f>
        <v/>
      </c>
      <c r="L1540" t="str">
        <f t="shared" si="123"/>
        <v/>
      </c>
      <c r="M1540" t="str">
        <f t="shared" si="124"/>
        <v/>
      </c>
    </row>
    <row r="1541" spans="1:13" x14ac:dyDescent="0.3">
      <c r="A1541" t="str">
        <f>Segmenter!A1541</f>
        <v/>
      </c>
      <c r="B1541" t="str">
        <f>Segmenter!B1541</f>
        <v/>
      </c>
      <c r="C1541" t="str">
        <f t="shared" si="120"/>
        <v/>
      </c>
      <c r="D1541" t="str">
        <f t="shared" si="121"/>
        <v/>
      </c>
      <c r="E1541" t="str">
        <f t="shared" si="122"/>
        <v/>
      </c>
      <c r="F1541" t="str">
        <f>IF(D1541="","",INDEX(Knutepunkter!$B:$B,D1541+1))</f>
        <v/>
      </c>
      <c r="G1541" t="str">
        <f>IF(D1541="","",INDEX(Knutepunkter!$C:$C,D1541+1))</f>
        <v/>
      </c>
      <c r="H1541" t="str">
        <f>IF(D1541="","",INDEX(Knutepunkter!$D:$D,D1541+1))</f>
        <v/>
      </c>
      <c r="I1541" t="str">
        <f>IF(E1541="","",INDEX(Knutepunkter!$B:$B,E1541+1))</f>
        <v/>
      </c>
      <c r="J1541" t="str">
        <f>IF(E1541="","",INDEX(Knutepunkter!$C:$C,E1541+1))</f>
        <v/>
      </c>
      <c r="K1541" t="str">
        <f>IF(E1541="","",INDEX(Knutepunkter!$D:$D,E1541+1))</f>
        <v/>
      </c>
      <c r="L1541" t="str">
        <f t="shared" si="123"/>
        <v/>
      </c>
      <c r="M1541" t="str">
        <f t="shared" si="124"/>
        <v/>
      </c>
    </row>
    <row r="1542" spans="1:13" x14ac:dyDescent="0.3">
      <c r="A1542" t="str">
        <f>Segmenter!A1542</f>
        <v/>
      </c>
      <c r="B1542" t="str">
        <f>Segmenter!B1542</f>
        <v/>
      </c>
      <c r="C1542" t="str">
        <f t="shared" si="120"/>
        <v/>
      </c>
      <c r="D1542" t="str">
        <f t="shared" si="121"/>
        <v/>
      </c>
      <c r="E1542" t="str">
        <f t="shared" si="122"/>
        <v/>
      </c>
      <c r="F1542" t="str">
        <f>IF(D1542="","",INDEX(Knutepunkter!$B:$B,D1542+1))</f>
        <v/>
      </c>
      <c r="G1542" t="str">
        <f>IF(D1542="","",INDEX(Knutepunkter!$C:$C,D1542+1))</f>
        <v/>
      </c>
      <c r="H1542" t="str">
        <f>IF(D1542="","",INDEX(Knutepunkter!$D:$D,D1542+1))</f>
        <v/>
      </c>
      <c r="I1542" t="str">
        <f>IF(E1542="","",INDEX(Knutepunkter!$B:$B,E1542+1))</f>
        <v/>
      </c>
      <c r="J1542" t="str">
        <f>IF(E1542="","",INDEX(Knutepunkter!$C:$C,E1542+1))</f>
        <v/>
      </c>
      <c r="K1542" t="str">
        <f>IF(E1542="","",INDEX(Knutepunkter!$D:$D,E1542+1))</f>
        <v/>
      </c>
      <c r="L1542" t="str">
        <f t="shared" si="123"/>
        <v/>
      </c>
      <c r="M1542" t="str">
        <f t="shared" si="124"/>
        <v/>
      </c>
    </row>
    <row r="1543" spans="1:13" x14ac:dyDescent="0.3">
      <c r="A1543" t="str">
        <f>Segmenter!A1543</f>
        <v/>
      </c>
      <c r="B1543" t="str">
        <f>Segmenter!B1543</f>
        <v/>
      </c>
      <c r="C1543" t="str">
        <f t="shared" si="120"/>
        <v/>
      </c>
      <c r="D1543" t="str">
        <f t="shared" si="121"/>
        <v/>
      </c>
      <c r="E1543" t="str">
        <f t="shared" si="122"/>
        <v/>
      </c>
      <c r="F1543" t="str">
        <f>IF(D1543="","",INDEX(Knutepunkter!$B:$B,D1543+1))</f>
        <v/>
      </c>
      <c r="G1543" t="str">
        <f>IF(D1543="","",INDEX(Knutepunkter!$C:$C,D1543+1))</f>
        <v/>
      </c>
      <c r="H1543" t="str">
        <f>IF(D1543="","",INDEX(Knutepunkter!$D:$D,D1543+1))</f>
        <v/>
      </c>
      <c r="I1543" t="str">
        <f>IF(E1543="","",INDEX(Knutepunkter!$B:$B,E1543+1))</f>
        <v/>
      </c>
      <c r="J1543" t="str">
        <f>IF(E1543="","",INDEX(Knutepunkter!$C:$C,E1543+1))</f>
        <v/>
      </c>
      <c r="K1543" t="str">
        <f>IF(E1543="","",INDEX(Knutepunkter!$D:$D,E1543+1))</f>
        <v/>
      </c>
      <c r="L1543" t="str">
        <f t="shared" si="123"/>
        <v/>
      </c>
      <c r="M1543" t="str">
        <f t="shared" si="124"/>
        <v/>
      </c>
    </row>
    <row r="1544" spans="1:13" x14ac:dyDescent="0.3">
      <c r="A1544" t="str">
        <f>Segmenter!A1544</f>
        <v/>
      </c>
      <c r="B1544" t="str">
        <f>Segmenter!B1544</f>
        <v/>
      </c>
      <c r="C1544" t="str">
        <f t="shared" si="120"/>
        <v/>
      </c>
      <c r="D1544" t="str">
        <f t="shared" si="121"/>
        <v/>
      </c>
      <c r="E1544" t="str">
        <f t="shared" si="122"/>
        <v/>
      </c>
      <c r="F1544" t="str">
        <f>IF(D1544="","",INDEX(Knutepunkter!$B:$B,D1544+1))</f>
        <v/>
      </c>
      <c r="G1544" t="str">
        <f>IF(D1544="","",INDEX(Knutepunkter!$C:$C,D1544+1))</f>
        <v/>
      </c>
      <c r="H1544" t="str">
        <f>IF(D1544="","",INDEX(Knutepunkter!$D:$D,D1544+1))</f>
        <v/>
      </c>
      <c r="I1544" t="str">
        <f>IF(E1544="","",INDEX(Knutepunkter!$B:$B,E1544+1))</f>
        <v/>
      </c>
      <c r="J1544" t="str">
        <f>IF(E1544="","",INDEX(Knutepunkter!$C:$C,E1544+1))</f>
        <v/>
      </c>
      <c r="K1544" t="str">
        <f>IF(E1544="","",INDEX(Knutepunkter!$D:$D,E1544+1))</f>
        <v/>
      </c>
      <c r="L1544" t="str">
        <f t="shared" si="123"/>
        <v/>
      </c>
      <c r="M1544" t="str">
        <f t="shared" si="124"/>
        <v/>
      </c>
    </row>
    <row r="1545" spans="1:13" x14ac:dyDescent="0.3">
      <c r="A1545" t="str">
        <f>Segmenter!A1545</f>
        <v/>
      </c>
      <c r="B1545" t="str">
        <f>Segmenter!B1545</f>
        <v/>
      </c>
      <c r="C1545" t="str">
        <f t="shared" si="120"/>
        <v/>
      </c>
      <c r="D1545" t="str">
        <f t="shared" si="121"/>
        <v/>
      </c>
      <c r="E1545" t="str">
        <f t="shared" si="122"/>
        <v/>
      </c>
      <c r="F1545" t="str">
        <f>IF(D1545="","",INDEX(Knutepunkter!$B:$B,D1545+1))</f>
        <v/>
      </c>
      <c r="G1545" t="str">
        <f>IF(D1545="","",INDEX(Knutepunkter!$C:$C,D1545+1))</f>
        <v/>
      </c>
      <c r="H1545" t="str">
        <f>IF(D1545="","",INDEX(Knutepunkter!$D:$D,D1545+1))</f>
        <v/>
      </c>
      <c r="I1545" t="str">
        <f>IF(E1545="","",INDEX(Knutepunkter!$B:$B,E1545+1))</f>
        <v/>
      </c>
      <c r="J1545" t="str">
        <f>IF(E1545="","",INDEX(Knutepunkter!$C:$C,E1545+1))</f>
        <v/>
      </c>
      <c r="K1545" t="str">
        <f>IF(E1545="","",INDEX(Knutepunkter!$D:$D,E1545+1))</f>
        <v/>
      </c>
      <c r="L1545" t="str">
        <f t="shared" si="123"/>
        <v/>
      </c>
      <c r="M1545" t="str">
        <f t="shared" si="124"/>
        <v/>
      </c>
    </row>
    <row r="1546" spans="1:13" x14ac:dyDescent="0.3">
      <c r="A1546" t="str">
        <f>Segmenter!A1546</f>
        <v/>
      </c>
      <c r="B1546" t="str">
        <f>Segmenter!B1546</f>
        <v/>
      </c>
      <c r="C1546" t="str">
        <f t="shared" si="120"/>
        <v/>
      </c>
      <c r="D1546" t="str">
        <f t="shared" si="121"/>
        <v/>
      </c>
      <c r="E1546" t="str">
        <f t="shared" si="122"/>
        <v/>
      </c>
      <c r="F1546" t="str">
        <f>IF(D1546="","",INDEX(Knutepunkter!$B:$B,D1546+1))</f>
        <v/>
      </c>
      <c r="G1546" t="str">
        <f>IF(D1546="","",INDEX(Knutepunkter!$C:$C,D1546+1))</f>
        <v/>
      </c>
      <c r="H1546" t="str">
        <f>IF(D1546="","",INDEX(Knutepunkter!$D:$D,D1546+1))</f>
        <v/>
      </c>
      <c r="I1546" t="str">
        <f>IF(E1546="","",INDEX(Knutepunkter!$B:$B,E1546+1))</f>
        <v/>
      </c>
      <c r="J1546" t="str">
        <f>IF(E1546="","",INDEX(Knutepunkter!$C:$C,E1546+1))</f>
        <v/>
      </c>
      <c r="K1546" t="str">
        <f>IF(E1546="","",INDEX(Knutepunkter!$D:$D,E1546+1))</f>
        <v/>
      </c>
      <c r="L1546" t="str">
        <f t="shared" si="123"/>
        <v/>
      </c>
      <c r="M1546" t="str">
        <f t="shared" si="124"/>
        <v/>
      </c>
    </row>
    <row r="1547" spans="1:13" x14ac:dyDescent="0.3">
      <c r="A1547" t="str">
        <f>Segmenter!A1547</f>
        <v/>
      </c>
      <c r="B1547" t="str">
        <f>Segmenter!B1547</f>
        <v/>
      </c>
      <c r="C1547" t="str">
        <f t="shared" si="120"/>
        <v/>
      </c>
      <c r="D1547" t="str">
        <f t="shared" si="121"/>
        <v/>
      </c>
      <c r="E1547" t="str">
        <f t="shared" si="122"/>
        <v/>
      </c>
      <c r="F1547" t="str">
        <f>IF(D1547="","",INDEX(Knutepunkter!$B:$B,D1547+1))</f>
        <v/>
      </c>
      <c r="G1547" t="str">
        <f>IF(D1547="","",INDEX(Knutepunkter!$C:$C,D1547+1))</f>
        <v/>
      </c>
      <c r="H1547" t="str">
        <f>IF(D1547="","",INDEX(Knutepunkter!$D:$D,D1547+1))</f>
        <v/>
      </c>
      <c r="I1547" t="str">
        <f>IF(E1547="","",INDEX(Knutepunkter!$B:$B,E1547+1))</f>
        <v/>
      </c>
      <c r="J1547" t="str">
        <f>IF(E1547="","",INDEX(Knutepunkter!$C:$C,E1547+1))</f>
        <v/>
      </c>
      <c r="K1547" t="str">
        <f>IF(E1547="","",INDEX(Knutepunkter!$D:$D,E1547+1))</f>
        <v/>
      </c>
      <c r="L1547" t="str">
        <f t="shared" si="123"/>
        <v/>
      </c>
      <c r="M1547" t="str">
        <f t="shared" si="124"/>
        <v/>
      </c>
    </row>
    <row r="1548" spans="1:13" x14ac:dyDescent="0.3">
      <c r="A1548" t="str">
        <f>Segmenter!A1548</f>
        <v/>
      </c>
      <c r="B1548" t="str">
        <f>Segmenter!B1548</f>
        <v/>
      </c>
      <c r="C1548" t="str">
        <f t="shared" si="120"/>
        <v/>
      </c>
      <c r="D1548" t="str">
        <f t="shared" si="121"/>
        <v/>
      </c>
      <c r="E1548" t="str">
        <f t="shared" si="122"/>
        <v/>
      </c>
      <c r="F1548" t="str">
        <f>IF(D1548="","",INDEX(Knutepunkter!$B:$B,D1548+1))</f>
        <v/>
      </c>
      <c r="G1548" t="str">
        <f>IF(D1548="","",INDEX(Knutepunkter!$C:$C,D1548+1))</f>
        <v/>
      </c>
      <c r="H1548" t="str">
        <f>IF(D1548="","",INDEX(Knutepunkter!$D:$D,D1548+1))</f>
        <v/>
      </c>
      <c r="I1548" t="str">
        <f>IF(E1548="","",INDEX(Knutepunkter!$B:$B,E1548+1))</f>
        <v/>
      </c>
      <c r="J1548" t="str">
        <f>IF(E1548="","",INDEX(Knutepunkter!$C:$C,E1548+1))</f>
        <v/>
      </c>
      <c r="K1548" t="str">
        <f>IF(E1548="","",INDEX(Knutepunkter!$D:$D,E1548+1))</f>
        <v/>
      </c>
      <c r="L1548" t="str">
        <f t="shared" si="123"/>
        <v/>
      </c>
      <c r="M1548" t="str">
        <f t="shared" si="124"/>
        <v/>
      </c>
    </row>
    <row r="1549" spans="1:13" x14ac:dyDescent="0.3">
      <c r="A1549" t="str">
        <f>Segmenter!A1549</f>
        <v/>
      </c>
      <c r="B1549" t="str">
        <f>Segmenter!B1549</f>
        <v/>
      </c>
      <c r="C1549" t="str">
        <f t="shared" si="120"/>
        <v/>
      </c>
      <c r="D1549" t="str">
        <f t="shared" si="121"/>
        <v/>
      </c>
      <c r="E1549" t="str">
        <f t="shared" si="122"/>
        <v/>
      </c>
      <c r="F1549" t="str">
        <f>IF(D1549="","",INDEX(Knutepunkter!$B:$B,D1549+1))</f>
        <v/>
      </c>
      <c r="G1549" t="str">
        <f>IF(D1549="","",INDEX(Knutepunkter!$C:$C,D1549+1))</f>
        <v/>
      </c>
      <c r="H1549" t="str">
        <f>IF(D1549="","",INDEX(Knutepunkter!$D:$D,D1549+1))</f>
        <v/>
      </c>
      <c r="I1549" t="str">
        <f>IF(E1549="","",INDEX(Knutepunkter!$B:$B,E1549+1))</f>
        <v/>
      </c>
      <c r="J1549" t="str">
        <f>IF(E1549="","",INDEX(Knutepunkter!$C:$C,E1549+1))</f>
        <v/>
      </c>
      <c r="K1549" t="str">
        <f>IF(E1549="","",INDEX(Knutepunkter!$D:$D,E1549+1))</f>
        <v/>
      </c>
      <c r="L1549" t="str">
        <f t="shared" si="123"/>
        <v/>
      </c>
      <c r="M1549" t="str">
        <f t="shared" si="124"/>
        <v/>
      </c>
    </row>
    <row r="1550" spans="1:13" x14ac:dyDescent="0.3">
      <c r="A1550" t="str">
        <f>Segmenter!A1550</f>
        <v/>
      </c>
      <c r="B1550" t="str">
        <f>Segmenter!B1550</f>
        <v/>
      </c>
      <c r="C1550" t="str">
        <f t="shared" si="120"/>
        <v/>
      </c>
      <c r="D1550" t="str">
        <f t="shared" si="121"/>
        <v/>
      </c>
      <c r="E1550" t="str">
        <f t="shared" si="122"/>
        <v/>
      </c>
      <c r="F1550" t="str">
        <f>IF(D1550="","",INDEX(Knutepunkter!$B:$B,D1550+1))</f>
        <v/>
      </c>
      <c r="G1550" t="str">
        <f>IF(D1550="","",INDEX(Knutepunkter!$C:$C,D1550+1))</f>
        <v/>
      </c>
      <c r="H1550" t="str">
        <f>IF(D1550="","",INDEX(Knutepunkter!$D:$D,D1550+1))</f>
        <v/>
      </c>
      <c r="I1550" t="str">
        <f>IF(E1550="","",INDEX(Knutepunkter!$B:$B,E1550+1))</f>
        <v/>
      </c>
      <c r="J1550" t="str">
        <f>IF(E1550="","",INDEX(Knutepunkter!$C:$C,E1550+1))</f>
        <v/>
      </c>
      <c r="K1550" t="str">
        <f>IF(E1550="","",INDEX(Knutepunkter!$D:$D,E1550+1))</f>
        <v/>
      </c>
      <c r="L1550" t="str">
        <f t="shared" si="123"/>
        <v/>
      </c>
      <c r="M1550" t="str">
        <f t="shared" si="124"/>
        <v/>
      </c>
    </row>
    <row r="1551" spans="1:13" x14ac:dyDescent="0.3">
      <c r="A1551" t="str">
        <f>Segmenter!A1551</f>
        <v/>
      </c>
      <c r="B1551" t="str">
        <f>Segmenter!B1551</f>
        <v/>
      </c>
      <c r="C1551" t="str">
        <f t="shared" si="120"/>
        <v/>
      </c>
      <c r="D1551" t="str">
        <f t="shared" si="121"/>
        <v/>
      </c>
      <c r="E1551" t="str">
        <f t="shared" si="122"/>
        <v/>
      </c>
      <c r="F1551" t="str">
        <f>IF(D1551="","",INDEX(Knutepunkter!$B:$B,D1551+1))</f>
        <v/>
      </c>
      <c r="G1551" t="str">
        <f>IF(D1551="","",INDEX(Knutepunkter!$C:$C,D1551+1))</f>
        <v/>
      </c>
      <c r="H1551" t="str">
        <f>IF(D1551="","",INDEX(Knutepunkter!$D:$D,D1551+1))</f>
        <v/>
      </c>
      <c r="I1551" t="str">
        <f>IF(E1551="","",INDEX(Knutepunkter!$B:$B,E1551+1))</f>
        <v/>
      </c>
      <c r="J1551" t="str">
        <f>IF(E1551="","",INDEX(Knutepunkter!$C:$C,E1551+1))</f>
        <v/>
      </c>
      <c r="K1551" t="str">
        <f>IF(E1551="","",INDEX(Knutepunkter!$D:$D,E1551+1))</f>
        <v/>
      </c>
      <c r="L1551" t="str">
        <f t="shared" si="123"/>
        <v/>
      </c>
      <c r="M1551" t="str">
        <f t="shared" si="124"/>
        <v/>
      </c>
    </row>
    <row r="1552" spans="1:13" x14ac:dyDescent="0.3">
      <c r="A1552" t="str">
        <f>Segmenter!A1552</f>
        <v/>
      </c>
      <c r="B1552" t="str">
        <f>Segmenter!B1552</f>
        <v/>
      </c>
      <c r="C1552" t="str">
        <f t="shared" si="120"/>
        <v/>
      </c>
      <c r="D1552" t="str">
        <f t="shared" si="121"/>
        <v/>
      </c>
      <c r="E1552" t="str">
        <f t="shared" si="122"/>
        <v/>
      </c>
      <c r="F1552" t="str">
        <f>IF(D1552="","",INDEX(Knutepunkter!$B:$B,D1552+1))</f>
        <v/>
      </c>
      <c r="G1552" t="str">
        <f>IF(D1552="","",INDEX(Knutepunkter!$C:$C,D1552+1))</f>
        <v/>
      </c>
      <c r="H1552" t="str">
        <f>IF(D1552="","",INDEX(Knutepunkter!$D:$D,D1552+1))</f>
        <v/>
      </c>
      <c r="I1552" t="str">
        <f>IF(E1552="","",INDEX(Knutepunkter!$B:$B,E1552+1))</f>
        <v/>
      </c>
      <c r="J1552" t="str">
        <f>IF(E1552="","",INDEX(Knutepunkter!$C:$C,E1552+1))</f>
        <v/>
      </c>
      <c r="K1552" t="str">
        <f>IF(E1552="","",INDEX(Knutepunkter!$D:$D,E1552+1))</f>
        <v/>
      </c>
      <c r="L1552" t="str">
        <f t="shared" si="123"/>
        <v/>
      </c>
      <c r="M1552" t="str">
        <f t="shared" si="124"/>
        <v/>
      </c>
    </row>
    <row r="1553" spans="1:13" x14ac:dyDescent="0.3">
      <c r="A1553" t="str">
        <f>Segmenter!A1553</f>
        <v/>
      </c>
      <c r="B1553" t="str">
        <f>Segmenter!B1553</f>
        <v/>
      </c>
      <c r="C1553" t="str">
        <f t="shared" si="120"/>
        <v/>
      </c>
      <c r="D1553" t="str">
        <f t="shared" si="121"/>
        <v/>
      </c>
      <c r="E1553" t="str">
        <f t="shared" si="122"/>
        <v/>
      </c>
      <c r="F1553" t="str">
        <f>IF(D1553="","",INDEX(Knutepunkter!$B:$B,D1553+1))</f>
        <v/>
      </c>
      <c r="G1553" t="str">
        <f>IF(D1553="","",INDEX(Knutepunkter!$C:$C,D1553+1))</f>
        <v/>
      </c>
      <c r="H1553" t="str">
        <f>IF(D1553="","",INDEX(Knutepunkter!$D:$D,D1553+1))</f>
        <v/>
      </c>
      <c r="I1553" t="str">
        <f>IF(E1553="","",INDEX(Knutepunkter!$B:$B,E1553+1))</f>
        <v/>
      </c>
      <c r="J1553" t="str">
        <f>IF(E1553="","",INDEX(Knutepunkter!$C:$C,E1553+1))</f>
        <v/>
      </c>
      <c r="K1553" t="str">
        <f>IF(E1553="","",INDEX(Knutepunkter!$D:$D,E1553+1))</f>
        <v/>
      </c>
      <c r="L1553" t="str">
        <f t="shared" si="123"/>
        <v/>
      </c>
      <c r="M1553" t="str">
        <f t="shared" si="124"/>
        <v/>
      </c>
    </row>
    <row r="1554" spans="1:13" x14ac:dyDescent="0.3">
      <c r="A1554" t="str">
        <f>Segmenter!A1554</f>
        <v/>
      </c>
      <c r="B1554" t="str">
        <f>Segmenter!B1554</f>
        <v/>
      </c>
      <c r="C1554" t="str">
        <f t="shared" si="120"/>
        <v/>
      </c>
      <c r="D1554" t="str">
        <f t="shared" si="121"/>
        <v/>
      </c>
      <c r="E1554" t="str">
        <f t="shared" si="122"/>
        <v/>
      </c>
      <c r="F1554" t="str">
        <f>IF(D1554="","",INDEX(Knutepunkter!$B:$B,D1554+1))</f>
        <v/>
      </c>
      <c r="G1554" t="str">
        <f>IF(D1554="","",INDEX(Knutepunkter!$C:$C,D1554+1))</f>
        <v/>
      </c>
      <c r="H1554" t="str">
        <f>IF(D1554="","",INDEX(Knutepunkter!$D:$D,D1554+1))</f>
        <v/>
      </c>
      <c r="I1554" t="str">
        <f>IF(E1554="","",INDEX(Knutepunkter!$B:$B,E1554+1))</f>
        <v/>
      </c>
      <c r="J1554" t="str">
        <f>IF(E1554="","",INDEX(Knutepunkter!$C:$C,E1554+1))</f>
        <v/>
      </c>
      <c r="K1554" t="str">
        <f>IF(E1554="","",INDEX(Knutepunkter!$D:$D,E1554+1))</f>
        <v/>
      </c>
      <c r="L1554" t="str">
        <f t="shared" si="123"/>
        <v/>
      </c>
      <c r="M1554" t="str">
        <f t="shared" si="124"/>
        <v/>
      </c>
    </row>
    <row r="1555" spans="1:13" x14ac:dyDescent="0.3">
      <c r="A1555" t="str">
        <f>Segmenter!A1555</f>
        <v/>
      </c>
      <c r="B1555" t="str">
        <f>Segmenter!B1555</f>
        <v/>
      </c>
      <c r="C1555" t="str">
        <f t="shared" si="120"/>
        <v/>
      </c>
      <c r="D1555" t="str">
        <f t="shared" si="121"/>
        <v/>
      </c>
      <c r="E1555" t="str">
        <f t="shared" si="122"/>
        <v/>
      </c>
      <c r="F1555" t="str">
        <f>IF(D1555="","",INDEX(Knutepunkter!$B:$B,D1555+1))</f>
        <v/>
      </c>
      <c r="G1555" t="str">
        <f>IF(D1555="","",INDEX(Knutepunkter!$C:$C,D1555+1))</f>
        <v/>
      </c>
      <c r="H1555" t="str">
        <f>IF(D1555="","",INDEX(Knutepunkter!$D:$D,D1555+1))</f>
        <v/>
      </c>
      <c r="I1555" t="str">
        <f>IF(E1555="","",INDEX(Knutepunkter!$B:$B,E1555+1))</f>
        <v/>
      </c>
      <c r="J1555" t="str">
        <f>IF(E1555="","",INDEX(Knutepunkter!$C:$C,E1555+1))</f>
        <v/>
      </c>
      <c r="K1555" t="str">
        <f>IF(E1555="","",INDEX(Knutepunkter!$D:$D,E1555+1))</f>
        <v/>
      </c>
      <c r="L1555" t="str">
        <f t="shared" si="123"/>
        <v/>
      </c>
      <c r="M1555" t="str">
        <f t="shared" si="124"/>
        <v/>
      </c>
    </row>
    <row r="1556" spans="1:13" x14ac:dyDescent="0.3">
      <c r="A1556" t="str">
        <f>Segmenter!A1556</f>
        <v/>
      </c>
      <c r="B1556" t="str">
        <f>Segmenter!B1556</f>
        <v/>
      </c>
      <c r="C1556" t="str">
        <f t="shared" si="120"/>
        <v/>
      </c>
      <c r="D1556" t="str">
        <f t="shared" si="121"/>
        <v/>
      </c>
      <c r="E1556" t="str">
        <f t="shared" si="122"/>
        <v/>
      </c>
      <c r="F1556" t="str">
        <f>IF(D1556="","",INDEX(Knutepunkter!$B:$B,D1556+1))</f>
        <v/>
      </c>
      <c r="G1556" t="str">
        <f>IF(D1556="","",INDEX(Knutepunkter!$C:$C,D1556+1))</f>
        <v/>
      </c>
      <c r="H1556" t="str">
        <f>IF(D1556="","",INDEX(Knutepunkter!$D:$D,D1556+1))</f>
        <v/>
      </c>
      <c r="I1556" t="str">
        <f>IF(E1556="","",INDEX(Knutepunkter!$B:$B,E1556+1))</f>
        <v/>
      </c>
      <c r="J1556" t="str">
        <f>IF(E1556="","",INDEX(Knutepunkter!$C:$C,E1556+1))</f>
        <v/>
      </c>
      <c r="K1556" t="str">
        <f>IF(E1556="","",INDEX(Knutepunkter!$D:$D,E1556+1))</f>
        <v/>
      </c>
      <c r="L1556" t="str">
        <f t="shared" si="123"/>
        <v/>
      </c>
      <c r="M1556" t="str">
        <f t="shared" si="124"/>
        <v/>
      </c>
    </row>
    <row r="1557" spans="1:13" x14ac:dyDescent="0.3">
      <c r="A1557" t="str">
        <f>Segmenter!A1557</f>
        <v/>
      </c>
      <c r="B1557" t="str">
        <f>Segmenter!B1557</f>
        <v/>
      </c>
      <c r="C1557" t="str">
        <f t="shared" si="120"/>
        <v/>
      </c>
      <c r="D1557" t="str">
        <f t="shared" si="121"/>
        <v/>
      </c>
      <c r="E1557" t="str">
        <f t="shared" si="122"/>
        <v/>
      </c>
      <c r="F1557" t="str">
        <f>IF(D1557="","",INDEX(Knutepunkter!$B:$B,D1557+1))</f>
        <v/>
      </c>
      <c r="G1557" t="str">
        <f>IF(D1557="","",INDEX(Knutepunkter!$C:$C,D1557+1))</f>
        <v/>
      </c>
      <c r="H1557" t="str">
        <f>IF(D1557="","",INDEX(Knutepunkter!$D:$D,D1557+1))</f>
        <v/>
      </c>
      <c r="I1557" t="str">
        <f>IF(E1557="","",INDEX(Knutepunkter!$B:$B,E1557+1))</f>
        <v/>
      </c>
      <c r="J1557" t="str">
        <f>IF(E1557="","",INDEX(Knutepunkter!$C:$C,E1557+1))</f>
        <v/>
      </c>
      <c r="K1557" t="str">
        <f>IF(E1557="","",INDEX(Knutepunkter!$D:$D,E1557+1))</f>
        <v/>
      </c>
      <c r="L1557" t="str">
        <f t="shared" si="123"/>
        <v/>
      </c>
      <c r="M1557" t="str">
        <f t="shared" si="124"/>
        <v/>
      </c>
    </row>
    <row r="1558" spans="1:13" x14ac:dyDescent="0.3">
      <c r="A1558" t="str">
        <f>Segmenter!A1558</f>
        <v/>
      </c>
      <c r="B1558" t="str">
        <f>Segmenter!B1558</f>
        <v/>
      </c>
      <c r="C1558" t="str">
        <f t="shared" si="120"/>
        <v/>
      </c>
      <c r="D1558" t="str">
        <f t="shared" si="121"/>
        <v/>
      </c>
      <c r="E1558" t="str">
        <f t="shared" si="122"/>
        <v/>
      </c>
      <c r="F1558" t="str">
        <f>IF(D1558="","",INDEX(Knutepunkter!$B:$B,D1558+1))</f>
        <v/>
      </c>
      <c r="G1558" t="str">
        <f>IF(D1558="","",INDEX(Knutepunkter!$C:$C,D1558+1))</f>
        <v/>
      </c>
      <c r="H1558" t="str">
        <f>IF(D1558="","",INDEX(Knutepunkter!$D:$D,D1558+1))</f>
        <v/>
      </c>
      <c r="I1558" t="str">
        <f>IF(E1558="","",INDEX(Knutepunkter!$B:$B,E1558+1))</f>
        <v/>
      </c>
      <c r="J1558" t="str">
        <f>IF(E1558="","",INDEX(Knutepunkter!$C:$C,E1558+1))</f>
        <v/>
      </c>
      <c r="K1558" t="str">
        <f>IF(E1558="","",INDEX(Knutepunkter!$D:$D,E1558+1))</f>
        <v/>
      </c>
      <c r="L1558" t="str">
        <f t="shared" si="123"/>
        <v/>
      </c>
      <c r="M1558" t="str">
        <f t="shared" si="124"/>
        <v/>
      </c>
    </row>
    <row r="1559" spans="1:13" x14ac:dyDescent="0.3">
      <c r="A1559" t="str">
        <f>Segmenter!A1559</f>
        <v/>
      </c>
      <c r="B1559" t="str">
        <f>Segmenter!B1559</f>
        <v/>
      </c>
      <c r="C1559" t="str">
        <f t="shared" si="120"/>
        <v/>
      </c>
      <c r="D1559" t="str">
        <f t="shared" si="121"/>
        <v/>
      </c>
      <c r="E1559" t="str">
        <f t="shared" si="122"/>
        <v/>
      </c>
      <c r="F1559" t="str">
        <f>IF(D1559="","",INDEX(Knutepunkter!$B:$B,D1559+1))</f>
        <v/>
      </c>
      <c r="G1559" t="str">
        <f>IF(D1559="","",INDEX(Knutepunkter!$C:$C,D1559+1))</f>
        <v/>
      </c>
      <c r="H1559" t="str">
        <f>IF(D1559="","",INDEX(Knutepunkter!$D:$D,D1559+1))</f>
        <v/>
      </c>
      <c r="I1559" t="str">
        <f>IF(E1559="","",INDEX(Knutepunkter!$B:$B,E1559+1))</f>
        <v/>
      </c>
      <c r="J1559" t="str">
        <f>IF(E1559="","",INDEX(Knutepunkter!$C:$C,E1559+1))</f>
        <v/>
      </c>
      <c r="K1559" t="str">
        <f>IF(E1559="","",INDEX(Knutepunkter!$D:$D,E1559+1))</f>
        <v/>
      </c>
      <c r="L1559" t="str">
        <f t="shared" si="123"/>
        <v/>
      </c>
      <c r="M1559" t="str">
        <f t="shared" si="124"/>
        <v/>
      </c>
    </row>
    <row r="1560" spans="1:13" x14ac:dyDescent="0.3">
      <c r="A1560" t="str">
        <f>Segmenter!A1560</f>
        <v/>
      </c>
      <c r="B1560" t="str">
        <f>Segmenter!B1560</f>
        <v/>
      </c>
      <c r="C1560" t="str">
        <f t="shared" si="120"/>
        <v/>
      </c>
      <c r="D1560" t="str">
        <f t="shared" si="121"/>
        <v/>
      </c>
      <c r="E1560" t="str">
        <f t="shared" si="122"/>
        <v/>
      </c>
      <c r="F1560" t="str">
        <f>IF(D1560="","",INDEX(Knutepunkter!$B:$B,D1560+1))</f>
        <v/>
      </c>
      <c r="G1560" t="str">
        <f>IF(D1560="","",INDEX(Knutepunkter!$C:$C,D1560+1))</f>
        <v/>
      </c>
      <c r="H1560" t="str">
        <f>IF(D1560="","",INDEX(Knutepunkter!$D:$D,D1560+1))</f>
        <v/>
      </c>
      <c r="I1560" t="str">
        <f>IF(E1560="","",INDEX(Knutepunkter!$B:$B,E1560+1))</f>
        <v/>
      </c>
      <c r="J1560" t="str">
        <f>IF(E1560="","",INDEX(Knutepunkter!$C:$C,E1560+1))</f>
        <v/>
      </c>
      <c r="K1560" t="str">
        <f>IF(E1560="","",INDEX(Knutepunkter!$D:$D,E1560+1))</f>
        <v/>
      </c>
      <c r="L1560" t="str">
        <f t="shared" si="123"/>
        <v/>
      </c>
      <c r="M1560" t="str">
        <f t="shared" si="124"/>
        <v/>
      </c>
    </row>
    <row r="1561" spans="1:13" x14ac:dyDescent="0.3">
      <c r="A1561" t="str">
        <f>Segmenter!A1561</f>
        <v/>
      </c>
      <c r="B1561" t="str">
        <f>Segmenter!B1561</f>
        <v/>
      </c>
      <c r="C1561" t="str">
        <f t="shared" si="120"/>
        <v/>
      </c>
      <c r="D1561" t="str">
        <f t="shared" si="121"/>
        <v/>
      </c>
      <c r="E1561" t="str">
        <f t="shared" si="122"/>
        <v/>
      </c>
      <c r="F1561" t="str">
        <f>IF(D1561="","",INDEX(Knutepunkter!$B:$B,D1561+1))</f>
        <v/>
      </c>
      <c r="G1561" t="str">
        <f>IF(D1561="","",INDEX(Knutepunkter!$C:$C,D1561+1))</f>
        <v/>
      </c>
      <c r="H1561" t="str">
        <f>IF(D1561="","",INDEX(Knutepunkter!$D:$D,D1561+1))</f>
        <v/>
      </c>
      <c r="I1561" t="str">
        <f>IF(E1561="","",INDEX(Knutepunkter!$B:$B,E1561+1))</f>
        <v/>
      </c>
      <c r="J1561" t="str">
        <f>IF(E1561="","",INDEX(Knutepunkter!$C:$C,E1561+1))</f>
        <v/>
      </c>
      <c r="K1561" t="str">
        <f>IF(E1561="","",INDEX(Knutepunkter!$D:$D,E1561+1))</f>
        <v/>
      </c>
      <c r="L1561" t="str">
        <f t="shared" si="123"/>
        <v/>
      </c>
      <c r="M1561" t="str">
        <f t="shared" si="124"/>
        <v/>
      </c>
    </row>
    <row r="1562" spans="1:13" x14ac:dyDescent="0.3">
      <c r="A1562" t="str">
        <f>Segmenter!A1562</f>
        <v/>
      </c>
      <c r="B1562" t="str">
        <f>Segmenter!B1562</f>
        <v/>
      </c>
      <c r="C1562" t="str">
        <f t="shared" si="120"/>
        <v/>
      </c>
      <c r="D1562" t="str">
        <f t="shared" si="121"/>
        <v/>
      </c>
      <c r="E1562" t="str">
        <f t="shared" si="122"/>
        <v/>
      </c>
      <c r="F1562" t="str">
        <f>IF(D1562="","",INDEX(Knutepunkter!$B:$B,D1562+1))</f>
        <v/>
      </c>
      <c r="G1562" t="str">
        <f>IF(D1562="","",INDEX(Knutepunkter!$C:$C,D1562+1))</f>
        <v/>
      </c>
      <c r="H1562" t="str">
        <f>IF(D1562="","",INDEX(Knutepunkter!$D:$D,D1562+1))</f>
        <v/>
      </c>
      <c r="I1562" t="str">
        <f>IF(E1562="","",INDEX(Knutepunkter!$B:$B,E1562+1))</f>
        <v/>
      </c>
      <c r="J1562" t="str">
        <f>IF(E1562="","",INDEX(Knutepunkter!$C:$C,E1562+1))</f>
        <v/>
      </c>
      <c r="K1562" t="str">
        <f>IF(E1562="","",INDEX(Knutepunkter!$D:$D,E1562+1))</f>
        <v/>
      </c>
      <c r="L1562" t="str">
        <f t="shared" si="123"/>
        <v/>
      </c>
      <c r="M1562" t="str">
        <f t="shared" si="124"/>
        <v/>
      </c>
    </row>
    <row r="1563" spans="1:13" x14ac:dyDescent="0.3">
      <c r="A1563" t="str">
        <f>Segmenter!A1563</f>
        <v/>
      </c>
      <c r="B1563" t="str">
        <f>Segmenter!B1563</f>
        <v/>
      </c>
      <c r="C1563" t="str">
        <f t="shared" si="120"/>
        <v/>
      </c>
      <c r="D1563" t="str">
        <f t="shared" si="121"/>
        <v/>
      </c>
      <c r="E1563" t="str">
        <f t="shared" si="122"/>
        <v/>
      </c>
      <c r="F1563" t="str">
        <f>IF(D1563="","",INDEX(Knutepunkter!$B:$B,D1563+1))</f>
        <v/>
      </c>
      <c r="G1563" t="str">
        <f>IF(D1563="","",INDEX(Knutepunkter!$C:$C,D1563+1))</f>
        <v/>
      </c>
      <c r="H1563" t="str">
        <f>IF(D1563="","",INDEX(Knutepunkter!$D:$D,D1563+1))</f>
        <v/>
      </c>
      <c r="I1563" t="str">
        <f>IF(E1563="","",INDEX(Knutepunkter!$B:$B,E1563+1))</f>
        <v/>
      </c>
      <c r="J1563" t="str">
        <f>IF(E1563="","",INDEX(Knutepunkter!$C:$C,E1563+1))</f>
        <v/>
      </c>
      <c r="K1563" t="str">
        <f>IF(E1563="","",INDEX(Knutepunkter!$D:$D,E1563+1))</f>
        <v/>
      </c>
      <c r="L1563" t="str">
        <f t="shared" si="123"/>
        <v/>
      </c>
      <c r="M1563" t="str">
        <f t="shared" si="124"/>
        <v/>
      </c>
    </row>
    <row r="1564" spans="1:13" x14ac:dyDescent="0.3">
      <c r="A1564" t="str">
        <f>Segmenter!A1564</f>
        <v/>
      </c>
      <c r="B1564" t="str">
        <f>Segmenter!B1564</f>
        <v/>
      </c>
      <c r="C1564" t="str">
        <f t="shared" si="120"/>
        <v/>
      </c>
      <c r="D1564" t="str">
        <f t="shared" si="121"/>
        <v/>
      </c>
      <c r="E1564" t="str">
        <f t="shared" si="122"/>
        <v/>
      </c>
      <c r="F1564" t="str">
        <f>IF(D1564="","",INDEX(Knutepunkter!$B:$B,D1564+1))</f>
        <v/>
      </c>
      <c r="G1564" t="str">
        <f>IF(D1564="","",INDEX(Knutepunkter!$C:$C,D1564+1))</f>
        <v/>
      </c>
      <c r="H1564" t="str">
        <f>IF(D1564="","",INDEX(Knutepunkter!$D:$D,D1564+1))</f>
        <v/>
      </c>
      <c r="I1564" t="str">
        <f>IF(E1564="","",INDEX(Knutepunkter!$B:$B,E1564+1))</f>
        <v/>
      </c>
      <c r="J1564" t="str">
        <f>IF(E1564="","",INDEX(Knutepunkter!$C:$C,E1564+1))</f>
        <v/>
      </c>
      <c r="K1564" t="str">
        <f>IF(E1564="","",INDEX(Knutepunkter!$D:$D,E1564+1))</f>
        <v/>
      </c>
      <c r="L1564" t="str">
        <f t="shared" si="123"/>
        <v/>
      </c>
      <c r="M1564" t="str">
        <f t="shared" si="124"/>
        <v/>
      </c>
    </row>
    <row r="1565" spans="1:13" x14ac:dyDescent="0.3">
      <c r="A1565" t="str">
        <f>Segmenter!A1565</f>
        <v/>
      </c>
      <c r="B1565" t="str">
        <f>Segmenter!B1565</f>
        <v/>
      </c>
      <c r="C1565" t="str">
        <f t="shared" si="120"/>
        <v/>
      </c>
      <c r="D1565" t="str">
        <f t="shared" si="121"/>
        <v/>
      </c>
      <c r="E1565" t="str">
        <f t="shared" si="122"/>
        <v/>
      </c>
      <c r="F1565" t="str">
        <f>IF(D1565="","",INDEX(Knutepunkter!$B:$B,D1565+1))</f>
        <v/>
      </c>
      <c r="G1565" t="str">
        <f>IF(D1565="","",INDEX(Knutepunkter!$C:$C,D1565+1))</f>
        <v/>
      </c>
      <c r="H1565" t="str">
        <f>IF(D1565="","",INDEX(Knutepunkter!$D:$D,D1565+1))</f>
        <v/>
      </c>
      <c r="I1565" t="str">
        <f>IF(E1565="","",INDEX(Knutepunkter!$B:$B,E1565+1))</f>
        <v/>
      </c>
      <c r="J1565" t="str">
        <f>IF(E1565="","",INDEX(Knutepunkter!$C:$C,E1565+1))</f>
        <v/>
      </c>
      <c r="K1565" t="str">
        <f>IF(E1565="","",INDEX(Knutepunkter!$D:$D,E1565+1))</f>
        <v/>
      </c>
      <c r="L1565" t="str">
        <f t="shared" si="123"/>
        <v/>
      </c>
      <c r="M1565" t="str">
        <f t="shared" si="124"/>
        <v/>
      </c>
    </row>
    <row r="1566" spans="1:13" x14ac:dyDescent="0.3">
      <c r="A1566" t="str">
        <f>Segmenter!A1566</f>
        <v/>
      </c>
      <c r="B1566" t="str">
        <f>Segmenter!B1566</f>
        <v/>
      </c>
      <c r="C1566" t="str">
        <f t="shared" si="120"/>
        <v/>
      </c>
      <c r="D1566" t="str">
        <f t="shared" si="121"/>
        <v/>
      </c>
      <c r="E1566" t="str">
        <f t="shared" si="122"/>
        <v/>
      </c>
      <c r="F1566" t="str">
        <f>IF(D1566="","",INDEX(Knutepunkter!$B:$B,D1566+1))</f>
        <v/>
      </c>
      <c r="G1566" t="str">
        <f>IF(D1566="","",INDEX(Knutepunkter!$C:$C,D1566+1))</f>
        <v/>
      </c>
      <c r="H1566" t="str">
        <f>IF(D1566="","",INDEX(Knutepunkter!$D:$D,D1566+1))</f>
        <v/>
      </c>
      <c r="I1566" t="str">
        <f>IF(E1566="","",INDEX(Knutepunkter!$B:$B,E1566+1))</f>
        <v/>
      </c>
      <c r="J1566" t="str">
        <f>IF(E1566="","",INDEX(Knutepunkter!$C:$C,E1566+1))</f>
        <v/>
      </c>
      <c r="K1566" t="str">
        <f>IF(E1566="","",INDEX(Knutepunkter!$D:$D,E1566+1))</f>
        <v/>
      </c>
      <c r="L1566" t="str">
        <f t="shared" si="123"/>
        <v/>
      </c>
      <c r="M1566" t="str">
        <f t="shared" si="124"/>
        <v/>
      </c>
    </row>
    <row r="1567" spans="1:13" x14ac:dyDescent="0.3">
      <c r="A1567" t="str">
        <f>Segmenter!A1567</f>
        <v/>
      </c>
      <c r="B1567" t="str">
        <f>Segmenter!B1567</f>
        <v/>
      </c>
      <c r="C1567" t="str">
        <f t="shared" si="120"/>
        <v/>
      </c>
      <c r="D1567" t="str">
        <f t="shared" si="121"/>
        <v/>
      </c>
      <c r="E1567" t="str">
        <f t="shared" si="122"/>
        <v/>
      </c>
      <c r="F1567" t="str">
        <f>IF(D1567="","",INDEX(Knutepunkter!$B:$B,D1567+1))</f>
        <v/>
      </c>
      <c r="G1567" t="str">
        <f>IF(D1567="","",INDEX(Knutepunkter!$C:$C,D1567+1))</f>
        <v/>
      </c>
      <c r="H1567" t="str">
        <f>IF(D1567="","",INDEX(Knutepunkter!$D:$D,D1567+1))</f>
        <v/>
      </c>
      <c r="I1567" t="str">
        <f>IF(E1567="","",INDEX(Knutepunkter!$B:$B,E1567+1))</f>
        <v/>
      </c>
      <c r="J1567" t="str">
        <f>IF(E1567="","",INDEX(Knutepunkter!$C:$C,E1567+1))</f>
        <v/>
      </c>
      <c r="K1567" t="str">
        <f>IF(E1567="","",INDEX(Knutepunkter!$D:$D,E1567+1))</f>
        <v/>
      </c>
      <c r="L1567" t="str">
        <f t="shared" si="123"/>
        <v/>
      </c>
      <c r="M1567" t="str">
        <f t="shared" si="124"/>
        <v/>
      </c>
    </row>
    <row r="1568" spans="1:13" x14ac:dyDescent="0.3">
      <c r="A1568" t="str">
        <f>Segmenter!A1568</f>
        <v/>
      </c>
      <c r="B1568" t="str">
        <f>Segmenter!B1568</f>
        <v/>
      </c>
      <c r="C1568" t="str">
        <f t="shared" si="120"/>
        <v/>
      </c>
      <c r="D1568" t="str">
        <f t="shared" si="121"/>
        <v/>
      </c>
      <c r="E1568" t="str">
        <f t="shared" si="122"/>
        <v/>
      </c>
      <c r="F1568" t="str">
        <f>IF(D1568="","",INDEX(Knutepunkter!$B:$B,D1568+1))</f>
        <v/>
      </c>
      <c r="G1568" t="str">
        <f>IF(D1568="","",INDEX(Knutepunkter!$C:$C,D1568+1))</f>
        <v/>
      </c>
      <c r="H1568" t="str">
        <f>IF(D1568="","",INDEX(Knutepunkter!$D:$D,D1568+1))</f>
        <v/>
      </c>
      <c r="I1568" t="str">
        <f>IF(E1568="","",INDEX(Knutepunkter!$B:$B,E1568+1))</f>
        <v/>
      </c>
      <c r="J1568" t="str">
        <f>IF(E1568="","",INDEX(Knutepunkter!$C:$C,E1568+1))</f>
        <v/>
      </c>
      <c r="K1568" t="str">
        <f>IF(E1568="","",INDEX(Knutepunkter!$D:$D,E1568+1))</f>
        <v/>
      </c>
      <c r="L1568" t="str">
        <f t="shared" si="123"/>
        <v/>
      </c>
      <c r="M1568" t="str">
        <f t="shared" si="124"/>
        <v/>
      </c>
    </row>
    <row r="1569" spans="1:13" x14ac:dyDescent="0.3">
      <c r="A1569" t="str">
        <f>Segmenter!A1569</f>
        <v/>
      </c>
      <c r="B1569" t="str">
        <f>Segmenter!B1569</f>
        <v/>
      </c>
      <c r="C1569" t="str">
        <f t="shared" si="120"/>
        <v/>
      </c>
      <c r="D1569" t="str">
        <f t="shared" si="121"/>
        <v/>
      </c>
      <c r="E1569" t="str">
        <f t="shared" si="122"/>
        <v/>
      </c>
      <c r="F1569" t="str">
        <f>IF(D1569="","",INDEX(Knutepunkter!$B:$B,D1569+1))</f>
        <v/>
      </c>
      <c r="G1569" t="str">
        <f>IF(D1569="","",INDEX(Knutepunkter!$C:$C,D1569+1))</f>
        <v/>
      </c>
      <c r="H1569" t="str">
        <f>IF(D1569="","",INDEX(Knutepunkter!$D:$D,D1569+1))</f>
        <v/>
      </c>
      <c r="I1569" t="str">
        <f>IF(E1569="","",INDEX(Knutepunkter!$B:$B,E1569+1))</f>
        <v/>
      </c>
      <c r="J1569" t="str">
        <f>IF(E1569="","",INDEX(Knutepunkter!$C:$C,E1569+1))</f>
        <v/>
      </c>
      <c r="K1569" t="str">
        <f>IF(E1569="","",INDEX(Knutepunkter!$D:$D,E1569+1))</f>
        <v/>
      </c>
      <c r="L1569" t="str">
        <f t="shared" si="123"/>
        <v/>
      </c>
      <c r="M1569" t="str">
        <f t="shared" si="124"/>
        <v/>
      </c>
    </row>
    <row r="1570" spans="1:13" x14ac:dyDescent="0.3">
      <c r="A1570" t="str">
        <f>Segmenter!A1570</f>
        <v/>
      </c>
      <c r="B1570" t="str">
        <f>Segmenter!B1570</f>
        <v/>
      </c>
      <c r="C1570" t="str">
        <f t="shared" si="120"/>
        <v/>
      </c>
      <c r="D1570" t="str">
        <f t="shared" si="121"/>
        <v/>
      </c>
      <c r="E1570" t="str">
        <f t="shared" si="122"/>
        <v/>
      </c>
      <c r="F1570" t="str">
        <f>IF(D1570="","",INDEX(Knutepunkter!$B:$B,D1570+1))</f>
        <v/>
      </c>
      <c r="G1570" t="str">
        <f>IF(D1570="","",INDEX(Knutepunkter!$C:$C,D1570+1))</f>
        <v/>
      </c>
      <c r="H1570" t="str">
        <f>IF(D1570="","",INDEX(Knutepunkter!$D:$D,D1570+1))</f>
        <v/>
      </c>
      <c r="I1570" t="str">
        <f>IF(E1570="","",INDEX(Knutepunkter!$B:$B,E1570+1))</f>
        <v/>
      </c>
      <c r="J1570" t="str">
        <f>IF(E1570="","",INDEX(Knutepunkter!$C:$C,E1570+1))</f>
        <v/>
      </c>
      <c r="K1570" t="str">
        <f>IF(E1570="","",INDEX(Knutepunkter!$D:$D,E1570+1))</f>
        <v/>
      </c>
      <c r="L1570" t="str">
        <f t="shared" si="123"/>
        <v/>
      </c>
      <c r="M1570" t="str">
        <f t="shared" si="124"/>
        <v/>
      </c>
    </row>
    <row r="1571" spans="1:13" x14ac:dyDescent="0.3">
      <c r="A1571" t="str">
        <f>Segmenter!A1571</f>
        <v/>
      </c>
      <c r="B1571" t="str">
        <f>Segmenter!B1571</f>
        <v/>
      </c>
      <c r="C1571" t="str">
        <f t="shared" si="120"/>
        <v/>
      </c>
      <c r="D1571" t="str">
        <f t="shared" si="121"/>
        <v/>
      </c>
      <c r="E1571" t="str">
        <f t="shared" si="122"/>
        <v/>
      </c>
      <c r="F1571" t="str">
        <f>IF(D1571="","",INDEX(Knutepunkter!$B:$B,D1571+1))</f>
        <v/>
      </c>
      <c r="G1571" t="str">
        <f>IF(D1571="","",INDEX(Knutepunkter!$C:$C,D1571+1))</f>
        <v/>
      </c>
      <c r="H1571" t="str">
        <f>IF(D1571="","",INDEX(Knutepunkter!$D:$D,D1571+1))</f>
        <v/>
      </c>
      <c r="I1571" t="str">
        <f>IF(E1571="","",INDEX(Knutepunkter!$B:$B,E1571+1))</f>
        <v/>
      </c>
      <c r="J1571" t="str">
        <f>IF(E1571="","",INDEX(Knutepunkter!$C:$C,E1571+1))</f>
        <v/>
      </c>
      <c r="K1571" t="str">
        <f>IF(E1571="","",INDEX(Knutepunkter!$D:$D,E1571+1))</f>
        <v/>
      </c>
      <c r="L1571" t="str">
        <f t="shared" si="123"/>
        <v/>
      </c>
      <c r="M1571" t="str">
        <f t="shared" si="124"/>
        <v/>
      </c>
    </row>
    <row r="1572" spans="1:13" x14ac:dyDescent="0.3">
      <c r="A1572" t="str">
        <f>Segmenter!A1572</f>
        <v/>
      </c>
      <c r="B1572" t="str">
        <f>Segmenter!B1572</f>
        <v/>
      </c>
      <c r="C1572" t="str">
        <f t="shared" si="120"/>
        <v/>
      </c>
      <c r="D1572" t="str">
        <f t="shared" si="121"/>
        <v/>
      </c>
      <c r="E1572" t="str">
        <f t="shared" si="122"/>
        <v/>
      </c>
      <c r="F1572" t="str">
        <f>IF(D1572="","",INDEX(Knutepunkter!$B:$B,D1572+1))</f>
        <v/>
      </c>
      <c r="G1572" t="str">
        <f>IF(D1572="","",INDEX(Knutepunkter!$C:$C,D1572+1))</f>
        <v/>
      </c>
      <c r="H1572" t="str">
        <f>IF(D1572="","",INDEX(Knutepunkter!$D:$D,D1572+1))</f>
        <v/>
      </c>
      <c r="I1572" t="str">
        <f>IF(E1572="","",INDEX(Knutepunkter!$B:$B,E1572+1))</f>
        <v/>
      </c>
      <c r="J1572" t="str">
        <f>IF(E1572="","",INDEX(Knutepunkter!$C:$C,E1572+1))</f>
        <v/>
      </c>
      <c r="K1572" t="str">
        <f>IF(E1572="","",INDEX(Knutepunkter!$D:$D,E1572+1))</f>
        <v/>
      </c>
      <c r="L1572" t="str">
        <f t="shared" si="123"/>
        <v/>
      </c>
      <c r="M1572" t="str">
        <f t="shared" si="124"/>
        <v/>
      </c>
    </row>
    <row r="1573" spans="1:13" x14ac:dyDescent="0.3">
      <c r="A1573" t="str">
        <f>Segmenter!A1573</f>
        <v/>
      </c>
      <c r="B1573" t="str">
        <f>Segmenter!B1573</f>
        <v/>
      </c>
      <c r="C1573" t="str">
        <f t="shared" si="120"/>
        <v/>
      </c>
      <c r="D1573" t="str">
        <f t="shared" si="121"/>
        <v/>
      </c>
      <c r="E1573" t="str">
        <f t="shared" si="122"/>
        <v/>
      </c>
      <c r="F1573" t="str">
        <f>IF(D1573="","",INDEX(Knutepunkter!$B:$B,D1573+1))</f>
        <v/>
      </c>
      <c r="G1573" t="str">
        <f>IF(D1573="","",INDEX(Knutepunkter!$C:$C,D1573+1))</f>
        <v/>
      </c>
      <c r="H1573" t="str">
        <f>IF(D1573="","",INDEX(Knutepunkter!$D:$D,D1573+1))</f>
        <v/>
      </c>
      <c r="I1573" t="str">
        <f>IF(E1573="","",INDEX(Knutepunkter!$B:$B,E1573+1))</f>
        <v/>
      </c>
      <c r="J1573" t="str">
        <f>IF(E1573="","",INDEX(Knutepunkter!$C:$C,E1573+1))</f>
        <v/>
      </c>
      <c r="K1573" t="str">
        <f>IF(E1573="","",INDEX(Knutepunkter!$D:$D,E1573+1))</f>
        <v/>
      </c>
      <c r="L1573" t="str">
        <f t="shared" si="123"/>
        <v/>
      </c>
      <c r="M1573" t="str">
        <f t="shared" si="124"/>
        <v/>
      </c>
    </row>
    <row r="1574" spans="1:13" x14ac:dyDescent="0.3">
      <c r="A1574" t="str">
        <f>Segmenter!A1574</f>
        <v/>
      </c>
      <c r="B1574" t="str">
        <f>Segmenter!B1574</f>
        <v/>
      </c>
      <c r="C1574" t="str">
        <f t="shared" si="120"/>
        <v/>
      </c>
      <c r="D1574" t="str">
        <f t="shared" si="121"/>
        <v/>
      </c>
      <c r="E1574" t="str">
        <f t="shared" si="122"/>
        <v/>
      </c>
      <c r="F1574" t="str">
        <f>IF(D1574="","",INDEX(Knutepunkter!$B:$B,D1574+1))</f>
        <v/>
      </c>
      <c r="G1574" t="str">
        <f>IF(D1574="","",INDEX(Knutepunkter!$C:$C,D1574+1))</f>
        <v/>
      </c>
      <c r="H1574" t="str">
        <f>IF(D1574="","",INDEX(Knutepunkter!$D:$D,D1574+1))</f>
        <v/>
      </c>
      <c r="I1574" t="str">
        <f>IF(E1574="","",INDEX(Knutepunkter!$B:$B,E1574+1))</f>
        <v/>
      </c>
      <c r="J1574" t="str">
        <f>IF(E1574="","",INDEX(Knutepunkter!$C:$C,E1574+1))</f>
        <v/>
      </c>
      <c r="K1574" t="str">
        <f>IF(E1574="","",INDEX(Knutepunkter!$D:$D,E1574+1))</f>
        <v/>
      </c>
      <c r="L1574" t="str">
        <f t="shared" si="123"/>
        <v/>
      </c>
      <c r="M1574" t="str">
        <f t="shared" si="124"/>
        <v/>
      </c>
    </row>
    <row r="1575" spans="1:13" x14ac:dyDescent="0.3">
      <c r="A1575" t="str">
        <f>Segmenter!A1575</f>
        <v/>
      </c>
      <c r="B1575" t="str">
        <f>Segmenter!B1575</f>
        <v/>
      </c>
      <c r="C1575" t="str">
        <f t="shared" si="120"/>
        <v/>
      </c>
      <c r="D1575" t="str">
        <f t="shared" si="121"/>
        <v/>
      </c>
      <c r="E1575" t="str">
        <f t="shared" si="122"/>
        <v/>
      </c>
      <c r="F1575" t="str">
        <f>IF(D1575="","",INDEX(Knutepunkter!$B:$B,D1575+1))</f>
        <v/>
      </c>
      <c r="G1575" t="str">
        <f>IF(D1575="","",INDEX(Knutepunkter!$C:$C,D1575+1))</f>
        <v/>
      </c>
      <c r="H1575" t="str">
        <f>IF(D1575="","",INDEX(Knutepunkter!$D:$D,D1575+1))</f>
        <v/>
      </c>
      <c r="I1575" t="str">
        <f>IF(E1575="","",INDEX(Knutepunkter!$B:$B,E1575+1))</f>
        <v/>
      </c>
      <c r="J1575" t="str">
        <f>IF(E1575="","",INDEX(Knutepunkter!$C:$C,E1575+1))</f>
        <v/>
      </c>
      <c r="K1575" t="str">
        <f>IF(E1575="","",INDEX(Knutepunkter!$D:$D,E1575+1))</f>
        <v/>
      </c>
      <c r="L1575" t="str">
        <f t="shared" si="123"/>
        <v/>
      </c>
      <c r="M1575" t="str">
        <f t="shared" si="124"/>
        <v/>
      </c>
    </row>
    <row r="1576" spans="1:13" x14ac:dyDescent="0.3">
      <c r="A1576" t="str">
        <f>Segmenter!A1576</f>
        <v/>
      </c>
      <c r="B1576" t="str">
        <f>Segmenter!B1576</f>
        <v/>
      </c>
      <c r="C1576" t="str">
        <f t="shared" si="120"/>
        <v/>
      </c>
      <c r="D1576" t="str">
        <f t="shared" si="121"/>
        <v/>
      </c>
      <c r="E1576" t="str">
        <f t="shared" si="122"/>
        <v/>
      </c>
      <c r="F1576" t="str">
        <f>IF(D1576="","",INDEX(Knutepunkter!$B:$B,D1576+1))</f>
        <v/>
      </c>
      <c r="G1576" t="str">
        <f>IF(D1576="","",INDEX(Knutepunkter!$C:$C,D1576+1))</f>
        <v/>
      </c>
      <c r="H1576" t="str">
        <f>IF(D1576="","",INDEX(Knutepunkter!$D:$D,D1576+1))</f>
        <v/>
      </c>
      <c r="I1576" t="str">
        <f>IF(E1576="","",INDEX(Knutepunkter!$B:$B,E1576+1))</f>
        <v/>
      </c>
      <c r="J1576" t="str">
        <f>IF(E1576="","",INDEX(Knutepunkter!$C:$C,E1576+1))</f>
        <v/>
      </c>
      <c r="K1576" t="str">
        <f>IF(E1576="","",INDEX(Knutepunkter!$D:$D,E1576+1))</f>
        <v/>
      </c>
      <c r="L1576" t="str">
        <f t="shared" si="123"/>
        <v/>
      </c>
      <c r="M1576" t="str">
        <f t="shared" si="124"/>
        <v/>
      </c>
    </row>
    <row r="1577" spans="1:13" x14ac:dyDescent="0.3">
      <c r="A1577" t="str">
        <f>Segmenter!A1577</f>
        <v/>
      </c>
      <c r="B1577" t="str">
        <f>Segmenter!B1577</f>
        <v/>
      </c>
      <c r="C1577" t="str">
        <f t="shared" si="120"/>
        <v/>
      </c>
      <c r="D1577" t="str">
        <f t="shared" si="121"/>
        <v/>
      </c>
      <c r="E1577" t="str">
        <f t="shared" si="122"/>
        <v/>
      </c>
      <c r="F1577" t="str">
        <f>IF(D1577="","",INDEX(Knutepunkter!$B:$B,D1577+1))</f>
        <v/>
      </c>
      <c r="G1577" t="str">
        <f>IF(D1577="","",INDEX(Knutepunkter!$C:$C,D1577+1))</f>
        <v/>
      </c>
      <c r="H1577" t="str">
        <f>IF(D1577="","",INDEX(Knutepunkter!$D:$D,D1577+1))</f>
        <v/>
      </c>
      <c r="I1577" t="str">
        <f>IF(E1577="","",INDEX(Knutepunkter!$B:$B,E1577+1))</f>
        <v/>
      </c>
      <c r="J1577" t="str">
        <f>IF(E1577="","",INDEX(Knutepunkter!$C:$C,E1577+1))</f>
        <v/>
      </c>
      <c r="K1577" t="str">
        <f>IF(E1577="","",INDEX(Knutepunkter!$D:$D,E1577+1))</f>
        <v/>
      </c>
      <c r="L1577" t="str">
        <f t="shared" si="123"/>
        <v/>
      </c>
      <c r="M1577" t="str">
        <f t="shared" si="124"/>
        <v/>
      </c>
    </row>
    <row r="1578" spans="1:13" x14ac:dyDescent="0.3">
      <c r="A1578" t="str">
        <f>Segmenter!A1578</f>
        <v/>
      </c>
      <c r="B1578" t="str">
        <f>Segmenter!B1578</f>
        <v/>
      </c>
      <c r="C1578" t="str">
        <f t="shared" si="120"/>
        <v/>
      </c>
      <c r="D1578" t="str">
        <f t="shared" si="121"/>
        <v/>
      </c>
      <c r="E1578" t="str">
        <f t="shared" si="122"/>
        <v/>
      </c>
      <c r="F1578" t="str">
        <f>IF(D1578="","",INDEX(Knutepunkter!$B:$B,D1578+1))</f>
        <v/>
      </c>
      <c r="G1578" t="str">
        <f>IF(D1578="","",INDEX(Knutepunkter!$C:$C,D1578+1))</f>
        <v/>
      </c>
      <c r="H1578" t="str">
        <f>IF(D1578="","",INDEX(Knutepunkter!$D:$D,D1578+1))</f>
        <v/>
      </c>
      <c r="I1578" t="str">
        <f>IF(E1578="","",INDEX(Knutepunkter!$B:$B,E1578+1))</f>
        <v/>
      </c>
      <c r="J1578" t="str">
        <f>IF(E1578="","",INDEX(Knutepunkter!$C:$C,E1578+1))</f>
        <v/>
      </c>
      <c r="K1578" t="str">
        <f>IF(E1578="","",INDEX(Knutepunkter!$D:$D,E1578+1))</f>
        <v/>
      </c>
      <c r="L1578" t="str">
        <f t="shared" si="123"/>
        <v/>
      </c>
      <c r="M1578" t="str">
        <f t="shared" si="124"/>
        <v/>
      </c>
    </row>
    <row r="1579" spans="1:13" x14ac:dyDescent="0.3">
      <c r="A1579" t="str">
        <f>Segmenter!A1579</f>
        <v/>
      </c>
      <c r="B1579" t="str">
        <f>Segmenter!B1579</f>
        <v/>
      </c>
      <c r="C1579" t="str">
        <f t="shared" si="120"/>
        <v/>
      </c>
      <c r="D1579" t="str">
        <f t="shared" si="121"/>
        <v/>
      </c>
      <c r="E1579" t="str">
        <f t="shared" si="122"/>
        <v/>
      </c>
      <c r="F1579" t="str">
        <f>IF(D1579="","",INDEX(Knutepunkter!$B:$B,D1579+1))</f>
        <v/>
      </c>
      <c r="G1579" t="str">
        <f>IF(D1579="","",INDEX(Knutepunkter!$C:$C,D1579+1))</f>
        <v/>
      </c>
      <c r="H1579" t="str">
        <f>IF(D1579="","",INDEX(Knutepunkter!$D:$D,D1579+1))</f>
        <v/>
      </c>
      <c r="I1579" t="str">
        <f>IF(E1579="","",INDEX(Knutepunkter!$B:$B,E1579+1))</f>
        <v/>
      </c>
      <c r="J1579" t="str">
        <f>IF(E1579="","",INDEX(Knutepunkter!$C:$C,E1579+1))</f>
        <v/>
      </c>
      <c r="K1579" t="str">
        <f>IF(E1579="","",INDEX(Knutepunkter!$D:$D,E1579+1))</f>
        <v/>
      </c>
      <c r="L1579" t="str">
        <f t="shared" si="123"/>
        <v/>
      </c>
      <c r="M1579" t="str">
        <f t="shared" si="124"/>
        <v/>
      </c>
    </row>
    <row r="1580" spans="1:13" x14ac:dyDescent="0.3">
      <c r="A1580" t="str">
        <f>Segmenter!A1580</f>
        <v/>
      </c>
      <c r="B1580" t="str">
        <f>Segmenter!B1580</f>
        <v/>
      </c>
      <c r="C1580" t="str">
        <f t="shared" si="120"/>
        <v/>
      </c>
      <c r="D1580" t="str">
        <f t="shared" si="121"/>
        <v/>
      </c>
      <c r="E1580" t="str">
        <f t="shared" si="122"/>
        <v/>
      </c>
      <c r="F1580" t="str">
        <f>IF(D1580="","",INDEX(Knutepunkter!$B:$B,D1580+1))</f>
        <v/>
      </c>
      <c r="G1580" t="str">
        <f>IF(D1580="","",INDEX(Knutepunkter!$C:$C,D1580+1))</f>
        <v/>
      </c>
      <c r="H1580" t="str">
        <f>IF(D1580="","",INDEX(Knutepunkter!$D:$D,D1580+1))</f>
        <v/>
      </c>
      <c r="I1580" t="str">
        <f>IF(E1580="","",INDEX(Knutepunkter!$B:$B,E1580+1))</f>
        <v/>
      </c>
      <c r="J1580" t="str">
        <f>IF(E1580="","",INDEX(Knutepunkter!$C:$C,E1580+1))</f>
        <v/>
      </c>
      <c r="K1580" t="str">
        <f>IF(E1580="","",INDEX(Knutepunkter!$D:$D,E1580+1))</f>
        <v/>
      </c>
      <c r="L1580" t="str">
        <f t="shared" si="123"/>
        <v/>
      </c>
      <c r="M1580" t="str">
        <f t="shared" si="124"/>
        <v/>
      </c>
    </row>
    <row r="1581" spans="1:13" x14ac:dyDescent="0.3">
      <c r="A1581" t="str">
        <f>Segmenter!A1581</f>
        <v/>
      </c>
      <c r="B1581" t="str">
        <f>Segmenter!B1581</f>
        <v/>
      </c>
      <c r="C1581" t="str">
        <f t="shared" si="120"/>
        <v/>
      </c>
      <c r="D1581" t="str">
        <f t="shared" si="121"/>
        <v/>
      </c>
      <c r="E1581" t="str">
        <f t="shared" si="122"/>
        <v/>
      </c>
      <c r="F1581" t="str">
        <f>IF(D1581="","",INDEX(Knutepunkter!$B:$B,D1581+1))</f>
        <v/>
      </c>
      <c r="G1581" t="str">
        <f>IF(D1581="","",INDEX(Knutepunkter!$C:$C,D1581+1))</f>
        <v/>
      </c>
      <c r="H1581" t="str">
        <f>IF(D1581="","",INDEX(Knutepunkter!$D:$D,D1581+1))</f>
        <v/>
      </c>
      <c r="I1581" t="str">
        <f>IF(E1581="","",INDEX(Knutepunkter!$B:$B,E1581+1))</f>
        <v/>
      </c>
      <c r="J1581" t="str">
        <f>IF(E1581="","",INDEX(Knutepunkter!$C:$C,E1581+1))</f>
        <v/>
      </c>
      <c r="K1581" t="str">
        <f>IF(E1581="","",INDEX(Knutepunkter!$D:$D,E1581+1))</f>
        <v/>
      </c>
      <c r="L1581" t="str">
        <f t="shared" si="123"/>
        <v/>
      </c>
      <c r="M1581" t="str">
        <f t="shared" si="124"/>
        <v/>
      </c>
    </row>
    <row r="1582" spans="1:13" x14ac:dyDescent="0.3">
      <c r="A1582" t="str">
        <f>Segmenter!A1582</f>
        <v/>
      </c>
      <c r="B1582" t="str">
        <f>Segmenter!B1582</f>
        <v/>
      </c>
      <c r="C1582" t="str">
        <f t="shared" si="120"/>
        <v/>
      </c>
      <c r="D1582" t="str">
        <f t="shared" si="121"/>
        <v/>
      </c>
      <c r="E1582" t="str">
        <f t="shared" si="122"/>
        <v/>
      </c>
      <c r="F1582" t="str">
        <f>IF(D1582="","",INDEX(Knutepunkter!$B:$B,D1582+1))</f>
        <v/>
      </c>
      <c r="G1582" t="str">
        <f>IF(D1582="","",INDEX(Knutepunkter!$C:$C,D1582+1))</f>
        <v/>
      </c>
      <c r="H1582" t="str">
        <f>IF(D1582="","",INDEX(Knutepunkter!$D:$D,D1582+1))</f>
        <v/>
      </c>
      <c r="I1582" t="str">
        <f>IF(E1582="","",INDEX(Knutepunkter!$B:$B,E1582+1))</f>
        <v/>
      </c>
      <c r="J1582" t="str">
        <f>IF(E1582="","",INDEX(Knutepunkter!$C:$C,E1582+1))</f>
        <v/>
      </c>
      <c r="K1582" t="str">
        <f>IF(E1582="","",INDEX(Knutepunkter!$D:$D,E1582+1))</f>
        <v/>
      </c>
      <c r="L1582" t="str">
        <f t="shared" si="123"/>
        <v/>
      </c>
      <c r="M1582" t="str">
        <f t="shared" si="124"/>
        <v/>
      </c>
    </row>
    <row r="1583" spans="1:13" x14ac:dyDescent="0.3">
      <c r="A1583" t="str">
        <f>Segmenter!A1583</f>
        <v/>
      </c>
      <c r="B1583" t="str">
        <f>Segmenter!B1583</f>
        <v/>
      </c>
      <c r="C1583" t="str">
        <f t="shared" si="120"/>
        <v/>
      </c>
      <c r="D1583" t="str">
        <f t="shared" si="121"/>
        <v/>
      </c>
      <c r="E1583" t="str">
        <f t="shared" si="122"/>
        <v/>
      </c>
      <c r="F1583" t="str">
        <f>IF(D1583="","",INDEX(Knutepunkter!$B:$B,D1583+1))</f>
        <v/>
      </c>
      <c r="G1583" t="str">
        <f>IF(D1583="","",INDEX(Knutepunkter!$C:$C,D1583+1))</f>
        <v/>
      </c>
      <c r="H1583" t="str">
        <f>IF(D1583="","",INDEX(Knutepunkter!$D:$D,D1583+1))</f>
        <v/>
      </c>
      <c r="I1583" t="str">
        <f>IF(E1583="","",INDEX(Knutepunkter!$B:$B,E1583+1))</f>
        <v/>
      </c>
      <c r="J1583" t="str">
        <f>IF(E1583="","",INDEX(Knutepunkter!$C:$C,E1583+1))</f>
        <v/>
      </c>
      <c r="K1583" t="str">
        <f>IF(E1583="","",INDEX(Knutepunkter!$D:$D,E1583+1))</f>
        <v/>
      </c>
      <c r="L1583" t="str">
        <f t="shared" si="123"/>
        <v/>
      </c>
      <c r="M1583" t="str">
        <f t="shared" si="124"/>
        <v/>
      </c>
    </row>
    <row r="1584" spans="1:13" x14ac:dyDescent="0.3">
      <c r="A1584" t="str">
        <f>Segmenter!A1584</f>
        <v/>
      </c>
      <c r="B1584" t="str">
        <f>Segmenter!B1584</f>
        <v/>
      </c>
      <c r="C1584" t="str">
        <f t="shared" si="120"/>
        <v/>
      </c>
      <c r="D1584" t="str">
        <f t="shared" si="121"/>
        <v/>
      </c>
      <c r="E1584" t="str">
        <f t="shared" si="122"/>
        <v/>
      </c>
      <c r="F1584" t="str">
        <f>IF(D1584="","",INDEX(Knutepunkter!$B:$B,D1584+1))</f>
        <v/>
      </c>
      <c r="G1584" t="str">
        <f>IF(D1584="","",INDEX(Knutepunkter!$C:$C,D1584+1))</f>
        <v/>
      </c>
      <c r="H1584" t="str">
        <f>IF(D1584="","",INDEX(Knutepunkter!$D:$D,D1584+1))</f>
        <v/>
      </c>
      <c r="I1584" t="str">
        <f>IF(E1584="","",INDEX(Knutepunkter!$B:$B,E1584+1))</f>
        <v/>
      </c>
      <c r="J1584" t="str">
        <f>IF(E1584="","",INDEX(Knutepunkter!$C:$C,E1584+1))</f>
        <v/>
      </c>
      <c r="K1584" t="str">
        <f>IF(E1584="","",INDEX(Knutepunkter!$D:$D,E1584+1))</f>
        <v/>
      </c>
      <c r="L1584" t="str">
        <f t="shared" si="123"/>
        <v/>
      </c>
      <c r="M1584" t="str">
        <f t="shared" si="124"/>
        <v/>
      </c>
    </row>
    <row r="1585" spans="1:13" x14ac:dyDescent="0.3">
      <c r="A1585" t="str">
        <f>Segmenter!A1585</f>
        <v/>
      </c>
      <c r="B1585" t="str">
        <f>Segmenter!B1585</f>
        <v/>
      </c>
      <c r="C1585" t="str">
        <f t="shared" si="120"/>
        <v/>
      </c>
      <c r="D1585" t="str">
        <f t="shared" si="121"/>
        <v/>
      </c>
      <c r="E1585" t="str">
        <f t="shared" si="122"/>
        <v/>
      </c>
      <c r="F1585" t="str">
        <f>IF(D1585="","",INDEX(Knutepunkter!$B:$B,D1585+1))</f>
        <v/>
      </c>
      <c r="G1585" t="str">
        <f>IF(D1585="","",INDEX(Knutepunkter!$C:$C,D1585+1))</f>
        <v/>
      </c>
      <c r="H1585" t="str">
        <f>IF(D1585="","",INDEX(Knutepunkter!$D:$D,D1585+1))</f>
        <v/>
      </c>
      <c r="I1585" t="str">
        <f>IF(E1585="","",INDEX(Knutepunkter!$B:$B,E1585+1))</f>
        <v/>
      </c>
      <c r="J1585" t="str">
        <f>IF(E1585="","",INDEX(Knutepunkter!$C:$C,E1585+1))</f>
        <v/>
      </c>
      <c r="K1585" t="str">
        <f>IF(E1585="","",INDEX(Knutepunkter!$D:$D,E1585+1))</f>
        <v/>
      </c>
      <c r="L1585" t="str">
        <f t="shared" si="123"/>
        <v/>
      </c>
      <c r="M1585" t="str">
        <f t="shared" si="124"/>
        <v/>
      </c>
    </row>
    <row r="1586" spans="1:13" x14ac:dyDescent="0.3">
      <c r="A1586" t="str">
        <f>Segmenter!A1586</f>
        <v/>
      </c>
      <c r="B1586" t="str">
        <f>Segmenter!B1586</f>
        <v/>
      </c>
      <c r="C1586" t="str">
        <f t="shared" si="120"/>
        <v/>
      </c>
      <c r="D1586" t="str">
        <f t="shared" si="121"/>
        <v/>
      </c>
      <c r="E1586" t="str">
        <f t="shared" si="122"/>
        <v/>
      </c>
      <c r="F1586" t="str">
        <f>IF(D1586="","",INDEX(Knutepunkter!$B:$B,D1586+1))</f>
        <v/>
      </c>
      <c r="G1586" t="str">
        <f>IF(D1586="","",INDEX(Knutepunkter!$C:$C,D1586+1))</f>
        <v/>
      </c>
      <c r="H1586" t="str">
        <f>IF(D1586="","",INDEX(Knutepunkter!$D:$D,D1586+1))</f>
        <v/>
      </c>
      <c r="I1586" t="str">
        <f>IF(E1586="","",INDEX(Knutepunkter!$B:$B,E1586+1))</f>
        <v/>
      </c>
      <c r="J1586" t="str">
        <f>IF(E1586="","",INDEX(Knutepunkter!$C:$C,E1586+1))</f>
        <v/>
      </c>
      <c r="K1586" t="str">
        <f>IF(E1586="","",INDEX(Knutepunkter!$D:$D,E1586+1))</f>
        <v/>
      </c>
      <c r="L1586" t="str">
        <f t="shared" si="123"/>
        <v/>
      </c>
      <c r="M1586" t="str">
        <f t="shared" si="124"/>
        <v/>
      </c>
    </row>
    <row r="1587" spans="1:13" x14ac:dyDescent="0.3">
      <c r="A1587" t="str">
        <f>Segmenter!A1587</f>
        <v/>
      </c>
      <c r="B1587" t="str">
        <f>Segmenter!B1587</f>
        <v/>
      </c>
      <c r="C1587" t="str">
        <f t="shared" si="120"/>
        <v/>
      </c>
      <c r="D1587" t="str">
        <f t="shared" si="121"/>
        <v/>
      </c>
      <c r="E1587" t="str">
        <f t="shared" si="122"/>
        <v/>
      </c>
      <c r="F1587" t="str">
        <f>IF(D1587="","",INDEX(Knutepunkter!$B:$B,D1587+1))</f>
        <v/>
      </c>
      <c r="G1587" t="str">
        <f>IF(D1587="","",INDEX(Knutepunkter!$C:$C,D1587+1))</f>
        <v/>
      </c>
      <c r="H1587" t="str">
        <f>IF(D1587="","",INDEX(Knutepunkter!$D:$D,D1587+1))</f>
        <v/>
      </c>
      <c r="I1587" t="str">
        <f>IF(E1587="","",INDEX(Knutepunkter!$B:$B,E1587+1))</f>
        <v/>
      </c>
      <c r="J1587" t="str">
        <f>IF(E1587="","",INDEX(Knutepunkter!$C:$C,E1587+1))</f>
        <v/>
      </c>
      <c r="K1587" t="str">
        <f>IF(E1587="","",INDEX(Knutepunkter!$D:$D,E1587+1))</f>
        <v/>
      </c>
      <c r="L1587" t="str">
        <f t="shared" si="123"/>
        <v/>
      </c>
      <c r="M1587" t="str">
        <f t="shared" si="124"/>
        <v/>
      </c>
    </row>
    <row r="1588" spans="1:13" x14ac:dyDescent="0.3">
      <c r="A1588" t="str">
        <f>Segmenter!A1588</f>
        <v/>
      </c>
      <c r="B1588" t="str">
        <f>Segmenter!B1588</f>
        <v/>
      </c>
      <c r="C1588" t="str">
        <f t="shared" si="120"/>
        <v/>
      </c>
      <c r="D1588" t="str">
        <f t="shared" si="121"/>
        <v/>
      </c>
      <c r="E1588" t="str">
        <f t="shared" si="122"/>
        <v/>
      </c>
      <c r="F1588" t="str">
        <f>IF(D1588="","",INDEX(Knutepunkter!$B:$B,D1588+1))</f>
        <v/>
      </c>
      <c r="G1588" t="str">
        <f>IF(D1588="","",INDEX(Knutepunkter!$C:$C,D1588+1))</f>
        <v/>
      </c>
      <c r="H1588" t="str">
        <f>IF(D1588="","",INDEX(Knutepunkter!$D:$D,D1588+1))</f>
        <v/>
      </c>
      <c r="I1588" t="str">
        <f>IF(E1588="","",INDEX(Knutepunkter!$B:$B,E1588+1))</f>
        <v/>
      </c>
      <c r="J1588" t="str">
        <f>IF(E1588="","",INDEX(Knutepunkter!$C:$C,E1588+1))</f>
        <v/>
      </c>
      <c r="K1588" t="str">
        <f>IF(E1588="","",INDEX(Knutepunkter!$D:$D,E1588+1))</f>
        <v/>
      </c>
      <c r="L1588" t="str">
        <f t="shared" si="123"/>
        <v/>
      </c>
      <c r="M1588" t="str">
        <f t="shared" si="124"/>
        <v/>
      </c>
    </row>
    <row r="1589" spans="1:13" x14ac:dyDescent="0.3">
      <c r="A1589" t="str">
        <f>Segmenter!A1589</f>
        <v/>
      </c>
      <c r="B1589" t="str">
        <f>Segmenter!B1589</f>
        <v/>
      </c>
      <c r="C1589" t="str">
        <f t="shared" si="120"/>
        <v/>
      </c>
      <c r="D1589" t="str">
        <f t="shared" si="121"/>
        <v/>
      </c>
      <c r="E1589" t="str">
        <f t="shared" si="122"/>
        <v/>
      </c>
      <c r="F1589" t="str">
        <f>IF(D1589="","",INDEX(Knutepunkter!$B:$B,D1589+1))</f>
        <v/>
      </c>
      <c r="G1589" t="str">
        <f>IF(D1589="","",INDEX(Knutepunkter!$C:$C,D1589+1))</f>
        <v/>
      </c>
      <c r="H1589" t="str">
        <f>IF(D1589="","",INDEX(Knutepunkter!$D:$D,D1589+1))</f>
        <v/>
      </c>
      <c r="I1589" t="str">
        <f>IF(E1589="","",INDEX(Knutepunkter!$B:$B,E1589+1))</f>
        <v/>
      </c>
      <c r="J1589" t="str">
        <f>IF(E1589="","",INDEX(Knutepunkter!$C:$C,E1589+1))</f>
        <v/>
      </c>
      <c r="K1589" t="str">
        <f>IF(E1589="","",INDEX(Knutepunkter!$D:$D,E1589+1))</f>
        <v/>
      </c>
      <c r="L1589" t="str">
        <f t="shared" si="123"/>
        <v/>
      </c>
      <c r="M1589" t="str">
        <f t="shared" si="124"/>
        <v/>
      </c>
    </row>
    <row r="1590" spans="1:13" x14ac:dyDescent="0.3">
      <c r="A1590" t="str">
        <f>Segmenter!A1590</f>
        <v/>
      </c>
      <c r="B1590" t="str">
        <f>Segmenter!B1590</f>
        <v/>
      </c>
      <c r="C1590" t="str">
        <f t="shared" si="120"/>
        <v/>
      </c>
      <c r="D1590" t="str">
        <f t="shared" si="121"/>
        <v/>
      </c>
      <c r="E1590" t="str">
        <f t="shared" si="122"/>
        <v/>
      </c>
      <c r="F1590" t="str">
        <f>IF(D1590="","",INDEX(Knutepunkter!$B:$B,D1590+1))</f>
        <v/>
      </c>
      <c r="G1590" t="str">
        <f>IF(D1590="","",INDEX(Knutepunkter!$C:$C,D1590+1))</f>
        <v/>
      </c>
      <c r="H1590" t="str">
        <f>IF(D1590="","",INDEX(Knutepunkter!$D:$D,D1590+1))</f>
        <v/>
      </c>
      <c r="I1590" t="str">
        <f>IF(E1590="","",INDEX(Knutepunkter!$B:$B,E1590+1))</f>
        <v/>
      </c>
      <c r="J1590" t="str">
        <f>IF(E1590="","",INDEX(Knutepunkter!$C:$C,E1590+1))</f>
        <v/>
      </c>
      <c r="K1590" t="str">
        <f>IF(E1590="","",INDEX(Knutepunkter!$D:$D,E1590+1))</f>
        <v/>
      </c>
      <c r="L1590" t="str">
        <f t="shared" si="123"/>
        <v/>
      </c>
      <c r="M1590" t="str">
        <f t="shared" si="124"/>
        <v/>
      </c>
    </row>
    <row r="1591" spans="1:13" x14ac:dyDescent="0.3">
      <c r="A1591" t="str">
        <f>Segmenter!A1591</f>
        <v/>
      </c>
      <c r="B1591" t="str">
        <f>Segmenter!B1591</f>
        <v/>
      </c>
      <c r="C1591" t="str">
        <f t="shared" si="120"/>
        <v/>
      </c>
      <c r="D1591" t="str">
        <f t="shared" si="121"/>
        <v/>
      </c>
      <c r="E1591" t="str">
        <f t="shared" si="122"/>
        <v/>
      </c>
      <c r="F1591" t="str">
        <f>IF(D1591="","",INDEX(Knutepunkter!$B:$B,D1591+1))</f>
        <v/>
      </c>
      <c r="G1591" t="str">
        <f>IF(D1591="","",INDEX(Knutepunkter!$C:$C,D1591+1))</f>
        <v/>
      </c>
      <c r="H1591" t="str">
        <f>IF(D1591="","",INDEX(Knutepunkter!$D:$D,D1591+1))</f>
        <v/>
      </c>
      <c r="I1591" t="str">
        <f>IF(E1591="","",INDEX(Knutepunkter!$B:$B,E1591+1))</f>
        <v/>
      </c>
      <c r="J1591" t="str">
        <f>IF(E1591="","",INDEX(Knutepunkter!$C:$C,E1591+1))</f>
        <v/>
      </c>
      <c r="K1591" t="str">
        <f>IF(E1591="","",INDEX(Knutepunkter!$D:$D,E1591+1))</f>
        <v/>
      </c>
      <c r="L1591" t="str">
        <f t="shared" si="123"/>
        <v/>
      </c>
      <c r="M1591" t="str">
        <f t="shared" si="124"/>
        <v/>
      </c>
    </row>
    <row r="1592" spans="1:13" x14ac:dyDescent="0.3">
      <c r="A1592" t="str">
        <f>Segmenter!A1592</f>
        <v/>
      </c>
      <c r="B1592" t="str">
        <f>Segmenter!B1592</f>
        <v/>
      </c>
      <c r="C1592" t="str">
        <f t="shared" si="120"/>
        <v/>
      </c>
      <c r="D1592" t="str">
        <f t="shared" si="121"/>
        <v/>
      </c>
      <c r="E1592" t="str">
        <f t="shared" si="122"/>
        <v/>
      </c>
      <c r="F1592" t="str">
        <f>IF(D1592="","",INDEX(Knutepunkter!$B:$B,D1592+1))</f>
        <v/>
      </c>
      <c r="G1592" t="str">
        <f>IF(D1592="","",INDEX(Knutepunkter!$C:$C,D1592+1))</f>
        <v/>
      </c>
      <c r="H1592" t="str">
        <f>IF(D1592="","",INDEX(Knutepunkter!$D:$D,D1592+1))</f>
        <v/>
      </c>
      <c r="I1592" t="str">
        <f>IF(E1592="","",INDEX(Knutepunkter!$B:$B,E1592+1))</f>
        <v/>
      </c>
      <c r="J1592" t="str">
        <f>IF(E1592="","",INDEX(Knutepunkter!$C:$C,E1592+1))</f>
        <v/>
      </c>
      <c r="K1592" t="str">
        <f>IF(E1592="","",INDEX(Knutepunkter!$D:$D,E1592+1))</f>
        <v/>
      </c>
      <c r="L1592" t="str">
        <f t="shared" si="123"/>
        <v/>
      </c>
      <c r="M1592" t="str">
        <f t="shared" si="124"/>
        <v/>
      </c>
    </row>
    <row r="1593" spans="1:13" x14ac:dyDescent="0.3">
      <c r="A1593" t="str">
        <f>Segmenter!A1593</f>
        <v/>
      </c>
      <c r="B1593" t="str">
        <f>Segmenter!B1593</f>
        <v/>
      </c>
      <c r="C1593" t="str">
        <f t="shared" si="120"/>
        <v/>
      </c>
      <c r="D1593" t="str">
        <f t="shared" si="121"/>
        <v/>
      </c>
      <c r="E1593" t="str">
        <f t="shared" si="122"/>
        <v/>
      </c>
      <c r="F1593" t="str">
        <f>IF(D1593="","",INDEX(Knutepunkter!$B:$B,D1593+1))</f>
        <v/>
      </c>
      <c r="G1593" t="str">
        <f>IF(D1593="","",INDEX(Knutepunkter!$C:$C,D1593+1))</f>
        <v/>
      </c>
      <c r="H1593" t="str">
        <f>IF(D1593="","",INDEX(Knutepunkter!$D:$D,D1593+1))</f>
        <v/>
      </c>
      <c r="I1593" t="str">
        <f>IF(E1593="","",INDEX(Knutepunkter!$B:$B,E1593+1))</f>
        <v/>
      </c>
      <c r="J1593" t="str">
        <f>IF(E1593="","",INDEX(Knutepunkter!$C:$C,E1593+1))</f>
        <v/>
      </c>
      <c r="K1593" t="str">
        <f>IF(E1593="","",INDEX(Knutepunkter!$D:$D,E1593+1))</f>
        <v/>
      </c>
      <c r="L1593" t="str">
        <f t="shared" si="123"/>
        <v/>
      </c>
      <c r="M1593" t="str">
        <f t="shared" si="124"/>
        <v/>
      </c>
    </row>
    <row r="1594" spans="1:13" x14ac:dyDescent="0.3">
      <c r="A1594" t="str">
        <f>Segmenter!A1594</f>
        <v/>
      </c>
      <c r="B1594" t="str">
        <f>Segmenter!B1594</f>
        <v/>
      </c>
      <c r="C1594" t="str">
        <f t="shared" si="120"/>
        <v/>
      </c>
      <c r="D1594" t="str">
        <f t="shared" si="121"/>
        <v/>
      </c>
      <c r="E1594" t="str">
        <f t="shared" si="122"/>
        <v/>
      </c>
      <c r="F1594" t="str">
        <f>IF(D1594="","",INDEX(Knutepunkter!$B:$B,D1594+1))</f>
        <v/>
      </c>
      <c r="G1594" t="str">
        <f>IF(D1594="","",INDEX(Knutepunkter!$C:$C,D1594+1))</f>
        <v/>
      </c>
      <c r="H1594" t="str">
        <f>IF(D1594="","",INDEX(Knutepunkter!$D:$D,D1594+1))</f>
        <v/>
      </c>
      <c r="I1594" t="str">
        <f>IF(E1594="","",INDEX(Knutepunkter!$B:$B,E1594+1))</f>
        <v/>
      </c>
      <c r="J1594" t="str">
        <f>IF(E1594="","",INDEX(Knutepunkter!$C:$C,E1594+1))</f>
        <v/>
      </c>
      <c r="K1594" t="str">
        <f>IF(E1594="","",INDEX(Knutepunkter!$D:$D,E1594+1))</f>
        <v/>
      </c>
      <c r="L1594" t="str">
        <f t="shared" si="123"/>
        <v/>
      </c>
      <c r="M1594" t="str">
        <f t="shared" si="124"/>
        <v/>
      </c>
    </row>
    <row r="1595" spans="1:13" x14ac:dyDescent="0.3">
      <c r="A1595" t="str">
        <f>Segmenter!A1595</f>
        <v/>
      </c>
      <c r="B1595" t="str">
        <f>Segmenter!B1595</f>
        <v/>
      </c>
      <c r="C1595" t="str">
        <f t="shared" si="120"/>
        <v/>
      </c>
      <c r="D1595" t="str">
        <f t="shared" si="121"/>
        <v/>
      </c>
      <c r="E1595" t="str">
        <f t="shared" si="122"/>
        <v/>
      </c>
      <c r="F1595" t="str">
        <f>IF(D1595="","",INDEX(Knutepunkter!$B:$B,D1595+1))</f>
        <v/>
      </c>
      <c r="G1595" t="str">
        <f>IF(D1595="","",INDEX(Knutepunkter!$C:$C,D1595+1))</f>
        <v/>
      </c>
      <c r="H1595" t="str">
        <f>IF(D1595="","",INDEX(Knutepunkter!$D:$D,D1595+1))</f>
        <v/>
      </c>
      <c r="I1595" t="str">
        <f>IF(E1595="","",INDEX(Knutepunkter!$B:$B,E1595+1))</f>
        <v/>
      </c>
      <c r="J1595" t="str">
        <f>IF(E1595="","",INDEX(Knutepunkter!$C:$C,E1595+1))</f>
        <v/>
      </c>
      <c r="K1595" t="str">
        <f>IF(E1595="","",INDEX(Knutepunkter!$D:$D,E1595+1))</f>
        <v/>
      </c>
      <c r="L1595" t="str">
        <f t="shared" si="123"/>
        <v/>
      </c>
      <c r="M1595" t="str">
        <f t="shared" si="124"/>
        <v/>
      </c>
    </row>
    <row r="1596" spans="1:13" x14ac:dyDescent="0.3">
      <c r="A1596" t="str">
        <f>Segmenter!A1596</f>
        <v/>
      </c>
      <c r="B1596" t="str">
        <f>Segmenter!B1596</f>
        <v/>
      </c>
      <c r="C1596" t="str">
        <f t="shared" si="120"/>
        <v/>
      </c>
      <c r="D1596" t="str">
        <f t="shared" si="121"/>
        <v/>
      </c>
      <c r="E1596" t="str">
        <f t="shared" si="122"/>
        <v/>
      </c>
      <c r="F1596" t="str">
        <f>IF(D1596="","",INDEX(Knutepunkter!$B:$B,D1596+1))</f>
        <v/>
      </c>
      <c r="G1596" t="str">
        <f>IF(D1596="","",INDEX(Knutepunkter!$C:$C,D1596+1))</f>
        <v/>
      </c>
      <c r="H1596" t="str">
        <f>IF(D1596="","",INDEX(Knutepunkter!$D:$D,D1596+1))</f>
        <v/>
      </c>
      <c r="I1596" t="str">
        <f>IF(E1596="","",INDEX(Knutepunkter!$B:$B,E1596+1))</f>
        <v/>
      </c>
      <c r="J1596" t="str">
        <f>IF(E1596="","",INDEX(Knutepunkter!$C:$C,E1596+1))</f>
        <v/>
      </c>
      <c r="K1596" t="str">
        <f>IF(E1596="","",INDEX(Knutepunkter!$D:$D,E1596+1))</f>
        <v/>
      </c>
      <c r="L1596" t="str">
        <f t="shared" si="123"/>
        <v/>
      </c>
      <c r="M1596" t="str">
        <f t="shared" si="124"/>
        <v/>
      </c>
    </row>
    <row r="1597" spans="1:13" x14ac:dyDescent="0.3">
      <c r="A1597" t="str">
        <f>Segmenter!A1597</f>
        <v/>
      </c>
      <c r="B1597" t="str">
        <f>Segmenter!B1597</f>
        <v/>
      </c>
      <c r="C1597" t="str">
        <f t="shared" si="120"/>
        <v/>
      </c>
      <c r="D1597" t="str">
        <f t="shared" si="121"/>
        <v/>
      </c>
      <c r="E1597" t="str">
        <f t="shared" si="122"/>
        <v/>
      </c>
      <c r="F1597" t="str">
        <f>IF(D1597="","",INDEX(Knutepunkter!$B:$B,D1597+1))</f>
        <v/>
      </c>
      <c r="G1597" t="str">
        <f>IF(D1597="","",INDEX(Knutepunkter!$C:$C,D1597+1))</f>
        <v/>
      </c>
      <c r="H1597" t="str">
        <f>IF(D1597="","",INDEX(Knutepunkter!$D:$D,D1597+1))</f>
        <v/>
      </c>
      <c r="I1597" t="str">
        <f>IF(E1597="","",INDEX(Knutepunkter!$B:$B,E1597+1))</f>
        <v/>
      </c>
      <c r="J1597" t="str">
        <f>IF(E1597="","",INDEX(Knutepunkter!$C:$C,E1597+1))</f>
        <v/>
      </c>
      <c r="K1597" t="str">
        <f>IF(E1597="","",INDEX(Knutepunkter!$D:$D,E1597+1))</f>
        <v/>
      </c>
      <c r="L1597" t="str">
        <f t="shared" si="123"/>
        <v/>
      </c>
      <c r="M1597" t="str">
        <f t="shared" si="124"/>
        <v/>
      </c>
    </row>
    <row r="1598" spans="1:13" x14ac:dyDescent="0.3">
      <c r="A1598" t="str">
        <f>Segmenter!A1598</f>
        <v/>
      </c>
      <c r="B1598" t="str">
        <f>Segmenter!B1598</f>
        <v/>
      </c>
      <c r="C1598" t="str">
        <f t="shared" si="120"/>
        <v/>
      </c>
      <c r="D1598" t="str">
        <f t="shared" si="121"/>
        <v/>
      </c>
      <c r="E1598" t="str">
        <f t="shared" si="122"/>
        <v/>
      </c>
      <c r="F1598" t="str">
        <f>IF(D1598="","",INDEX(Knutepunkter!$B:$B,D1598+1))</f>
        <v/>
      </c>
      <c r="G1598" t="str">
        <f>IF(D1598="","",INDEX(Knutepunkter!$C:$C,D1598+1))</f>
        <v/>
      </c>
      <c r="H1598" t="str">
        <f>IF(D1598="","",INDEX(Knutepunkter!$D:$D,D1598+1))</f>
        <v/>
      </c>
      <c r="I1598" t="str">
        <f>IF(E1598="","",INDEX(Knutepunkter!$B:$B,E1598+1))</f>
        <v/>
      </c>
      <c r="J1598" t="str">
        <f>IF(E1598="","",INDEX(Knutepunkter!$C:$C,E1598+1))</f>
        <v/>
      </c>
      <c r="K1598" t="str">
        <f>IF(E1598="","",INDEX(Knutepunkter!$D:$D,E1598+1))</f>
        <v/>
      </c>
      <c r="L1598" t="str">
        <f t="shared" si="123"/>
        <v/>
      </c>
      <c r="M1598" t="str">
        <f t="shared" si="124"/>
        <v/>
      </c>
    </row>
    <row r="1599" spans="1:13" x14ac:dyDescent="0.3">
      <c r="A1599" t="str">
        <f>Segmenter!A1599</f>
        <v/>
      </c>
      <c r="B1599" t="str">
        <f>Segmenter!B1599</f>
        <v/>
      </c>
      <c r="C1599" t="str">
        <f t="shared" si="120"/>
        <v/>
      </c>
      <c r="D1599" t="str">
        <f t="shared" si="121"/>
        <v/>
      </c>
      <c r="E1599" t="str">
        <f t="shared" si="122"/>
        <v/>
      </c>
      <c r="F1599" t="str">
        <f>IF(D1599="","",INDEX(Knutepunkter!$B:$B,D1599+1))</f>
        <v/>
      </c>
      <c r="G1599" t="str">
        <f>IF(D1599="","",INDEX(Knutepunkter!$C:$C,D1599+1))</f>
        <v/>
      </c>
      <c r="H1599" t="str">
        <f>IF(D1599="","",INDEX(Knutepunkter!$D:$D,D1599+1))</f>
        <v/>
      </c>
      <c r="I1599" t="str">
        <f>IF(E1599="","",INDEX(Knutepunkter!$B:$B,E1599+1))</f>
        <v/>
      </c>
      <c r="J1599" t="str">
        <f>IF(E1599="","",INDEX(Knutepunkter!$C:$C,E1599+1))</f>
        <v/>
      </c>
      <c r="K1599" t="str">
        <f>IF(E1599="","",INDEX(Knutepunkter!$D:$D,E1599+1))</f>
        <v/>
      </c>
      <c r="L1599" t="str">
        <f t="shared" si="123"/>
        <v/>
      </c>
      <c r="M1599" t="str">
        <f t="shared" si="124"/>
        <v/>
      </c>
    </row>
    <row r="1600" spans="1:13" x14ac:dyDescent="0.3">
      <c r="A1600" t="str">
        <f>Segmenter!A1600</f>
        <v/>
      </c>
      <c r="B1600" t="str">
        <f>Segmenter!B1600</f>
        <v/>
      </c>
      <c r="C1600" t="str">
        <f t="shared" si="120"/>
        <v/>
      </c>
      <c r="D1600" t="str">
        <f t="shared" si="121"/>
        <v/>
      </c>
      <c r="E1600" t="str">
        <f t="shared" si="122"/>
        <v/>
      </c>
      <c r="F1600" t="str">
        <f>IF(D1600="","",INDEX(Knutepunkter!$B:$B,D1600+1))</f>
        <v/>
      </c>
      <c r="G1600" t="str">
        <f>IF(D1600="","",INDEX(Knutepunkter!$C:$C,D1600+1))</f>
        <v/>
      </c>
      <c r="H1600" t="str">
        <f>IF(D1600="","",INDEX(Knutepunkter!$D:$D,D1600+1))</f>
        <v/>
      </c>
      <c r="I1600" t="str">
        <f>IF(E1600="","",INDEX(Knutepunkter!$B:$B,E1600+1))</f>
        <v/>
      </c>
      <c r="J1600" t="str">
        <f>IF(E1600="","",INDEX(Knutepunkter!$C:$C,E1600+1))</f>
        <v/>
      </c>
      <c r="K1600" t="str">
        <f>IF(E1600="","",INDEX(Knutepunkter!$D:$D,E1600+1))</f>
        <v/>
      </c>
      <c r="L1600" t="str">
        <f t="shared" si="123"/>
        <v/>
      </c>
      <c r="M1600" t="str">
        <f t="shared" si="124"/>
        <v/>
      </c>
    </row>
    <row r="1601" spans="1:13" x14ac:dyDescent="0.3">
      <c r="A1601" t="str">
        <f>Segmenter!A1601</f>
        <v/>
      </c>
      <c r="B1601" t="str">
        <f>Segmenter!B1601</f>
        <v/>
      </c>
      <c r="C1601" t="str">
        <f t="shared" si="120"/>
        <v/>
      </c>
      <c r="D1601" t="str">
        <f t="shared" si="121"/>
        <v/>
      </c>
      <c r="E1601" t="str">
        <f t="shared" si="122"/>
        <v/>
      </c>
      <c r="F1601" t="str">
        <f>IF(D1601="","",INDEX(Knutepunkter!$B:$B,D1601+1))</f>
        <v/>
      </c>
      <c r="G1601" t="str">
        <f>IF(D1601="","",INDEX(Knutepunkter!$C:$C,D1601+1))</f>
        <v/>
      </c>
      <c r="H1601" t="str">
        <f>IF(D1601="","",INDEX(Knutepunkter!$D:$D,D1601+1))</f>
        <v/>
      </c>
      <c r="I1601" t="str">
        <f>IF(E1601="","",INDEX(Knutepunkter!$B:$B,E1601+1))</f>
        <v/>
      </c>
      <c r="J1601" t="str">
        <f>IF(E1601="","",INDEX(Knutepunkter!$C:$C,E1601+1))</f>
        <v/>
      </c>
      <c r="K1601" t="str">
        <f>IF(E1601="","",INDEX(Knutepunkter!$D:$D,E1601+1))</f>
        <v/>
      </c>
      <c r="L1601" t="str">
        <f t="shared" si="123"/>
        <v/>
      </c>
      <c r="M1601" t="str">
        <f t="shared" si="124"/>
        <v/>
      </c>
    </row>
    <row r="1602" spans="1:13" x14ac:dyDescent="0.3">
      <c r="A1602" t="str">
        <f>Segmenter!A1602</f>
        <v/>
      </c>
      <c r="B1602" t="str">
        <f>Segmenter!B1602</f>
        <v/>
      </c>
      <c r="C1602" t="str">
        <f t="shared" ref="C1602:C1665" si="125">IF(B1602="","",IF(AND(F1602=I1602,G1602=J1602,H1602&lt;&gt;K1602),"Søyle","Bjelke"))</f>
        <v/>
      </c>
      <c r="D1602" t="str">
        <f t="shared" ref="D1602:D1665" si="126">IF(B1602="","",VALUE(LEFT(B1602,FIND(" -&gt; ",B1602)-1)))</f>
        <v/>
      </c>
      <c r="E1602" t="str">
        <f t="shared" ref="E1602:E1665" si="127">IF(B1602="","",VALUE(MID(B1602,FIND(" -&gt; ",B1602)+4,99)))</f>
        <v/>
      </c>
      <c r="F1602" t="str">
        <f>IF(D1602="","",INDEX(Knutepunkter!$B:$B,D1602+1))</f>
        <v/>
      </c>
      <c r="G1602" t="str">
        <f>IF(D1602="","",INDEX(Knutepunkter!$C:$C,D1602+1))</f>
        <v/>
      </c>
      <c r="H1602" t="str">
        <f>IF(D1602="","",INDEX(Knutepunkter!$D:$D,D1602+1))</f>
        <v/>
      </c>
      <c r="I1602" t="str">
        <f>IF(E1602="","",INDEX(Knutepunkter!$B:$B,E1602+1))</f>
        <v/>
      </c>
      <c r="J1602" t="str">
        <f>IF(E1602="","",INDEX(Knutepunkter!$C:$C,E1602+1))</f>
        <v/>
      </c>
      <c r="K1602" t="str">
        <f>IF(E1602="","",INDEX(Knutepunkter!$D:$D,E1602+1))</f>
        <v/>
      </c>
      <c r="L1602" t="str">
        <f t="shared" ref="L1602:L1665" si="128">IF(B1602="","",SQRT((I1602-F1602)^2+(J1602-G1602)^2+(K1602-H1602)^2))</f>
        <v/>
      </c>
      <c r="M1602" t="str">
        <f t="shared" ref="M1602:M1665" si="129">IF(L1602="","",L1602/1000)</f>
        <v/>
      </c>
    </row>
    <row r="1603" spans="1:13" x14ac:dyDescent="0.3">
      <c r="A1603" t="str">
        <f>Segmenter!A1603</f>
        <v/>
      </c>
      <c r="B1603" t="str">
        <f>Segmenter!B1603</f>
        <v/>
      </c>
      <c r="C1603" t="str">
        <f t="shared" si="125"/>
        <v/>
      </c>
      <c r="D1603" t="str">
        <f t="shared" si="126"/>
        <v/>
      </c>
      <c r="E1603" t="str">
        <f t="shared" si="127"/>
        <v/>
      </c>
      <c r="F1603" t="str">
        <f>IF(D1603="","",INDEX(Knutepunkter!$B:$B,D1603+1))</f>
        <v/>
      </c>
      <c r="G1603" t="str">
        <f>IF(D1603="","",INDEX(Knutepunkter!$C:$C,D1603+1))</f>
        <v/>
      </c>
      <c r="H1603" t="str">
        <f>IF(D1603="","",INDEX(Knutepunkter!$D:$D,D1603+1))</f>
        <v/>
      </c>
      <c r="I1603" t="str">
        <f>IF(E1603="","",INDEX(Knutepunkter!$B:$B,E1603+1))</f>
        <v/>
      </c>
      <c r="J1603" t="str">
        <f>IF(E1603="","",INDEX(Knutepunkter!$C:$C,E1603+1))</f>
        <v/>
      </c>
      <c r="K1603" t="str">
        <f>IF(E1603="","",INDEX(Knutepunkter!$D:$D,E1603+1))</f>
        <v/>
      </c>
      <c r="L1603" t="str">
        <f t="shared" si="128"/>
        <v/>
      </c>
      <c r="M1603" t="str">
        <f t="shared" si="129"/>
        <v/>
      </c>
    </row>
    <row r="1604" spans="1:13" x14ac:dyDescent="0.3">
      <c r="A1604" t="str">
        <f>Segmenter!A1604</f>
        <v/>
      </c>
      <c r="B1604" t="str">
        <f>Segmenter!B1604</f>
        <v/>
      </c>
      <c r="C1604" t="str">
        <f t="shared" si="125"/>
        <v/>
      </c>
      <c r="D1604" t="str">
        <f t="shared" si="126"/>
        <v/>
      </c>
      <c r="E1604" t="str">
        <f t="shared" si="127"/>
        <v/>
      </c>
      <c r="F1604" t="str">
        <f>IF(D1604="","",INDEX(Knutepunkter!$B:$B,D1604+1))</f>
        <v/>
      </c>
      <c r="G1604" t="str">
        <f>IF(D1604="","",INDEX(Knutepunkter!$C:$C,D1604+1))</f>
        <v/>
      </c>
      <c r="H1604" t="str">
        <f>IF(D1604="","",INDEX(Knutepunkter!$D:$D,D1604+1))</f>
        <v/>
      </c>
      <c r="I1604" t="str">
        <f>IF(E1604="","",INDEX(Knutepunkter!$B:$B,E1604+1))</f>
        <v/>
      </c>
      <c r="J1604" t="str">
        <f>IF(E1604="","",INDEX(Knutepunkter!$C:$C,E1604+1))</f>
        <v/>
      </c>
      <c r="K1604" t="str">
        <f>IF(E1604="","",INDEX(Knutepunkter!$D:$D,E1604+1))</f>
        <v/>
      </c>
      <c r="L1604" t="str">
        <f t="shared" si="128"/>
        <v/>
      </c>
      <c r="M1604" t="str">
        <f t="shared" si="129"/>
        <v/>
      </c>
    </row>
    <row r="1605" spans="1:13" x14ac:dyDescent="0.3">
      <c r="A1605" t="str">
        <f>Segmenter!A1605</f>
        <v/>
      </c>
      <c r="B1605" t="str">
        <f>Segmenter!B1605</f>
        <v/>
      </c>
      <c r="C1605" t="str">
        <f t="shared" si="125"/>
        <v/>
      </c>
      <c r="D1605" t="str">
        <f t="shared" si="126"/>
        <v/>
      </c>
      <c r="E1605" t="str">
        <f t="shared" si="127"/>
        <v/>
      </c>
      <c r="F1605" t="str">
        <f>IF(D1605="","",INDEX(Knutepunkter!$B:$B,D1605+1))</f>
        <v/>
      </c>
      <c r="G1605" t="str">
        <f>IF(D1605="","",INDEX(Knutepunkter!$C:$C,D1605+1))</f>
        <v/>
      </c>
      <c r="H1605" t="str">
        <f>IF(D1605="","",INDEX(Knutepunkter!$D:$D,D1605+1))</f>
        <v/>
      </c>
      <c r="I1605" t="str">
        <f>IF(E1605="","",INDEX(Knutepunkter!$B:$B,E1605+1))</f>
        <v/>
      </c>
      <c r="J1605" t="str">
        <f>IF(E1605="","",INDEX(Knutepunkter!$C:$C,E1605+1))</f>
        <v/>
      </c>
      <c r="K1605" t="str">
        <f>IF(E1605="","",INDEX(Knutepunkter!$D:$D,E1605+1))</f>
        <v/>
      </c>
      <c r="L1605" t="str">
        <f t="shared" si="128"/>
        <v/>
      </c>
      <c r="M1605" t="str">
        <f t="shared" si="129"/>
        <v/>
      </c>
    </row>
    <row r="1606" spans="1:13" x14ac:dyDescent="0.3">
      <c r="A1606" t="str">
        <f>Segmenter!A1606</f>
        <v/>
      </c>
      <c r="B1606" t="str">
        <f>Segmenter!B1606</f>
        <v/>
      </c>
      <c r="C1606" t="str">
        <f t="shared" si="125"/>
        <v/>
      </c>
      <c r="D1606" t="str">
        <f t="shared" si="126"/>
        <v/>
      </c>
      <c r="E1606" t="str">
        <f t="shared" si="127"/>
        <v/>
      </c>
      <c r="F1606" t="str">
        <f>IF(D1606="","",INDEX(Knutepunkter!$B:$B,D1606+1))</f>
        <v/>
      </c>
      <c r="G1606" t="str">
        <f>IF(D1606="","",INDEX(Knutepunkter!$C:$C,D1606+1))</f>
        <v/>
      </c>
      <c r="H1606" t="str">
        <f>IF(D1606="","",INDEX(Knutepunkter!$D:$D,D1606+1))</f>
        <v/>
      </c>
      <c r="I1606" t="str">
        <f>IF(E1606="","",INDEX(Knutepunkter!$B:$B,E1606+1))</f>
        <v/>
      </c>
      <c r="J1606" t="str">
        <f>IF(E1606="","",INDEX(Knutepunkter!$C:$C,E1606+1))</f>
        <v/>
      </c>
      <c r="K1606" t="str">
        <f>IF(E1606="","",INDEX(Knutepunkter!$D:$D,E1606+1))</f>
        <v/>
      </c>
      <c r="L1606" t="str">
        <f t="shared" si="128"/>
        <v/>
      </c>
      <c r="M1606" t="str">
        <f t="shared" si="129"/>
        <v/>
      </c>
    </row>
    <row r="1607" spans="1:13" x14ac:dyDescent="0.3">
      <c r="A1607" t="str">
        <f>Segmenter!A1607</f>
        <v/>
      </c>
      <c r="B1607" t="str">
        <f>Segmenter!B1607</f>
        <v/>
      </c>
      <c r="C1607" t="str">
        <f t="shared" si="125"/>
        <v/>
      </c>
      <c r="D1607" t="str">
        <f t="shared" si="126"/>
        <v/>
      </c>
      <c r="E1607" t="str">
        <f t="shared" si="127"/>
        <v/>
      </c>
      <c r="F1607" t="str">
        <f>IF(D1607="","",INDEX(Knutepunkter!$B:$B,D1607+1))</f>
        <v/>
      </c>
      <c r="G1607" t="str">
        <f>IF(D1607="","",INDEX(Knutepunkter!$C:$C,D1607+1))</f>
        <v/>
      </c>
      <c r="H1607" t="str">
        <f>IF(D1607="","",INDEX(Knutepunkter!$D:$D,D1607+1))</f>
        <v/>
      </c>
      <c r="I1607" t="str">
        <f>IF(E1607="","",INDEX(Knutepunkter!$B:$B,E1607+1))</f>
        <v/>
      </c>
      <c r="J1607" t="str">
        <f>IF(E1607="","",INDEX(Knutepunkter!$C:$C,E1607+1))</f>
        <v/>
      </c>
      <c r="K1607" t="str">
        <f>IF(E1607="","",INDEX(Knutepunkter!$D:$D,E1607+1))</f>
        <v/>
      </c>
      <c r="L1607" t="str">
        <f t="shared" si="128"/>
        <v/>
      </c>
      <c r="M1607" t="str">
        <f t="shared" si="129"/>
        <v/>
      </c>
    </row>
    <row r="1608" spans="1:13" x14ac:dyDescent="0.3">
      <c r="A1608" t="str">
        <f>Segmenter!A1608</f>
        <v/>
      </c>
      <c r="B1608" t="str">
        <f>Segmenter!B1608</f>
        <v/>
      </c>
      <c r="C1608" t="str">
        <f t="shared" si="125"/>
        <v/>
      </c>
      <c r="D1608" t="str">
        <f t="shared" si="126"/>
        <v/>
      </c>
      <c r="E1608" t="str">
        <f t="shared" si="127"/>
        <v/>
      </c>
      <c r="F1608" t="str">
        <f>IF(D1608="","",INDEX(Knutepunkter!$B:$B,D1608+1))</f>
        <v/>
      </c>
      <c r="G1608" t="str">
        <f>IF(D1608="","",INDEX(Knutepunkter!$C:$C,D1608+1))</f>
        <v/>
      </c>
      <c r="H1608" t="str">
        <f>IF(D1608="","",INDEX(Knutepunkter!$D:$D,D1608+1))</f>
        <v/>
      </c>
      <c r="I1608" t="str">
        <f>IF(E1608="","",INDEX(Knutepunkter!$B:$B,E1608+1))</f>
        <v/>
      </c>
      <c r="J1608" t="str">
        <f>IF(E1608="","",INDEX(Knutepunkter!$C:$C,E1608+1))</f>
        <v/>
      </c>
      <c r="K1608" t="str">
        <f>IF(E1608="","",INDEX(Knutepunkter!$D:$D,E1608+1))</f>
        <v/>
      </c>
      <c r="L1608" t="str">
        <f t="shared" si="128"/>
        <v/>
      </c>
      <c r="M1608" t="str">
        <f t="shared" si="129"/>
        <v/>
      </c>
    </row>
    <row r="1609" spans="1:13" x14ac:dyDescent="0.3">
      <c r="A1609" t="str">
        <f>Segmenter!A1609</f>
        <v/>
      </c>
      <c r="B1609" t="str">
        <f>Segmenter!B1609</f>
        <v/>
      </c>
      <c r="C1609" t="str">
        <f t="shared" si="125"/>
        <v/>
      </c>
      <c r="D1609" t="str">
        <f t="shared" si="126"/>
        <v/>
      </c>
      <c r="E1609" t="str">
        <f t="shared" si="127"/>
        <v/>
      </c>
      <c r="F1609" t="str">
        <f>IF(D1609="","",INDEX(Knutepunkter!$B:$B,D1609+1))</f>
        <v/>
      </c>
      <c r="G1609" t="str">
        <f>IF(D1609="","",INDEX(Knutepunkter!$C:$C,D1609+1))</f>
        <v/>
      </c>
      <c r="H1609" t="str">
        <f>IF(D1609="","",INDEX(Knutepunkter!$D:$D,D1609+1))</f>
        <v/>
      </c>
      <c r="I1609" t="str">
        <f>IF(E1609="","",INDEX(Knutepunkter!$B:$B,E1609+1))</f>
        <v/>
      </c>
      <c r="J1609" t="str">
        <f>IF(E1609="","",INDEX(Knutepunkter!$C:$C,E1609+1))</f>
        <v/>
      </c>
      <c r="K1609" t="str">
        <f>IF(E1609="","",INDEX(Knutepunkter!$D:$D,E1609+1))</f>
        <v/>
      </c>
      <c r="L1609" t="str">
        <f t="shared" si="128"/>
        <v/>
      </c>
      <c r="M1609" t="str">
        <f t="shared" si="129"/>
        <v/>
      </c>
    </row>
    <row r="1610" spans="1:13" x14ac:dyDescent="0.3">
      <c r="A1610" t="str">
        <f>Segmenter!A1610</f>
        <v/>
      </c>
      <c r="B1610" t="str">
        <f>Segmenter!B1610</f>
        <v/>
      </c>
      <c r="C1610" t="str">
        <f t="shared" si="125"/>
        <v/>
      </c>
      <c r="D1610" t="str">
        <f t="shared" si="126"/>
        <v/>
      </c>
      <c r="E1610" t="str">
        <f t="shared" si="127"/>
        <v/>
      </c>
      <c r="F1610" t="str">
        <f>IF(D1610="","",INDEX(Knutepunkter!$B:$B,D1610+1))</f>
        <v/>
      </c>
      <c r="G1610" t="str">
        <f>IF(D1610="","",INDEX(Knutepunkter!$C:$C,D1610+1))</f>
        <v/>
      </c>
      <c r="H1610" t="str">
        <f>IF(D1610="","",INDEX(Knutepunkter!$D:$D,D1610+1))</f>
        <v/>
      </c>
      <c r="I1610" t="str">
        <f>IF(E1610="","",INDEX(Knutepunkter!$B:$B,E1610+1))</f>
        <v/>
      </c>
      <c r="J1610" t="str">
        <f>IF(E1610="","",INDEX(Knutepunkter!$C:$C,E1610+1))</f>
        <v/>
      </c>
      <c r="K1610" t="str">
        <f>IF(E1610="","",INDEX(Knutepunkter!$D:$D,E1610+1))</f>
        <v/>
      </c>
      <c r="L1610" t="str">
        <f t="shared" si="128"/>
        <v/>
      </c>
      <c r="M1610" t="str">
        <f t="shared" si="129"/>
        <v/>
      </c>
    </row>
    <row r="1611" spans="1:13" x14ac:dyDescent="0.3">
      <c r="A1611" t="str">
        <f>Segmenter!A1611</f>
        <v/>
      </c>
      <c r="B1611" t="str">
        <f>Segmenter!B1611</f>
        <v/>
      </c>
      <c r="C1611" t="str">
        <f t="shared" si="125"/>
        <v/>
      </c>
      <c r="D1611" t="str">
        <f t="shared" si="126"/>
        <v/>
      </c>
      <c r="E1611" t="str">
        <f t="shared" si="127"/>
        <v/>
      </c>
      <c r="F1611" t="str">
        <f>IF(D1611="","",INDEX(Knutepunkter!$B:$B,D1611+1))</f>
        <v/>
      </c>
      <c r="G1611" t="str">
        <f>IF(D1611="","",INDEX(Knutepunkter!$C:$C,D1611+1))</f>
        <v/>
      </c>
      <c r="H1611" t="str">
        <f>IF(D1611="","",INDEX(Knutepunkter!$D:$D,D1611+1))</f>
        <v/>
      </c>
      <c r="I1611" t="str">
        <f>IF(E1611="","",INDEX(Knutepunkter!$B:$B,E1611+1))</f>
        <v/>
      </c>
      <c r="J1611" t="str">
        <f>IF(E1611="","",INDEX(Knutepunkter!$C:$C,E1611+1))</f>
        <v/>
      </c>
      <c r="K1611" t="str">
        <f>IF(E1611="","",INDEX(Knutepunkter!$D:$D,E1611+1))</f>
        <v/>
      </c>
      <c r="L1611" t="str">
        <f t="shared" si="128"/>
        <v/>
      </c>
      <c r="M1611" t="str">
        <f t="shared" si="129"/>
        <v/>
      </c>
    </row>
    <row r="1612" spans="1:13" x14ac:dyDescent="0.3">
      <c r="A1612" t="str">
        <f>Segmenter!A1612</f>
        <v/>
      </c>
      <c r="B1612" t="str">
        <f>Segmenter!B1612</f>
        <v/>
      </c>
      <c r="C1612" t="str">
        <f t="shared" si="125"/>
        <v/>
      </c>
      <c r="D1612" t="str">
        <f t="shared" si="126"/>
        <v/>
      </c>
      <c r="E1612" t="str">
        <f t="shared" si="127"/>
        <v/>
      </c>
      <c r="F1612" t="str">
        <f>IF(D1612="","",INDEX(Knutepunkter!$B:$B,D1612+1))</f>
        <v/>
      </c>
      <c r="G1612" t="str">
        <f>IF(D1612="","",INDEX(Knutepunkter!$C:$C,D1612+1))</f>
        <v/>
      </c>
      <c r="H1612" t="str">
        <f>IF(D1612="","",INDEX(Knutepunkter!$D:$D,D1612+1))</f>
        <v/>
      </c>
      <c r="I1612" t="str">
        <f>IF(E1612="","",INDEX(Knutepunkter!$B:$B,E1612+1))</f>
        <v/>
      </c>
      <c r="J1612" t="str">
        <f>IF(E1612="","",INDEX(Knutepunkter!$C:$C,E1612+1))</f>
        <v/>
      </c>
      <c r="K1612" t="str">
        <f>IF(E1612="","",INDEX(Knutepunkter!$D:$D,E1612+1))</f>
        <v/>
      </c>
      <c r="L1612" t="str">
        <f t="shared" si="128"/>
        <v/>
      </c>
      <c r="M1612" t="str">
        <f t="shared" si="129"/>
        <v/>
      </c>
    </row>
    <row r="1613" spans="1:13" x14ac:dyDescent="0.3">
      <c r="A1613" t="str">
        <f>Segmenter!A1613</f>
        <v/>
      </c>
      <c r="B1613" t="str">
        <f>Segmenter!B1613</f>
        <v/>
      </c>
      <c r="C1613" t="str">
        <f t="shared" si="125"/>
        <v/>
      </c>
      <c r="D1613" t="str">
        <f t="shared" si="126"/>
        <v/>
      </c>
      <c r="E1613" t="str">
        <f t="shared" si="127"/>
        <v/>
      </c>
      <c r="F1613" t="str">
        <f>IF(D1613="","",INDEX(Knutepunkter!$B:$B,D1613+1))</f>
        <v/>
      </c>
      <c r="G1613" t="str">
        <f>IF(D1613="","",INDEX(Knutepunkter!$C:$C,D1613+1))</f>
        <v/>
      </c>
      <c r="H1613" t="str">
        <f>IF(D1613="","",INDEX(Knutepunkter!$D:$D,D1613+1))</f>
        <v/>
      </c>
      <c r="I1613" t="str">
        <f>IF(E1613="","",INDEX(Knutepunkter!$B:$B,E1613+1))</f>
        <v/>
      </c>
      <c r="J1613" t="str">
        <f>IF(E1613="","",INDEX(Knutepunkter!$C:$C,E1613+1))</f>
        <v/>
      </c>
      <c r="K1613" t="str">
        <f>IF(E1613="","",INDEX(Knutepunkter!$D:$D,E1613+1))</f>
        <v/>
      </c>
      <c r="L1613" t="str">
        <f t="shared" si="128"/>
        <v/>
      </c>
      <c r="M1613" t="str">
        <f t="shared" si="129"/>
        <v/>
      </c>
    </row>
    <row r="1614" spans="1:13" x14ac:dyDescent="0.3">
      <c r="A1614" t="str">
        <f>Segmenter!A1614</f>
        <v/>
      </c>
      <c r="B1614" t="str">
        <f>Segmenter!B1614</f>
        <v/>
      </c>
      <c r="C1614" t="str">
        <f t="shared" si="125"/>
        <v/>
      </c>
      <c r="D1614" t="str">
        <f t="shared" si="126"/>
        <v/>
      </c>
      <c r="E1614" t="str">
        <f t="shared" si="127"/>
        <v/>
      </c>
      <c r="F1614" t="str">
        <f>IF(D1614="","",INDEX(Knutepunkter!$B:$B,D1614+1))</f>
        <v/>
      </c>
      <c r="G1614" t="str">
        <f>IF(D1614="","",INDEX(Knutepunkter!$C:$C,D1614+1))</f>
        <v/>
      </c>
      <c r="H1614" t="str">
        <f>IF(D1614="","",INDEX(Knutepunkter!$D:$D,D1614+1))</f>
        <v/>
      </c>
      <c r="I1614" t="str">
        <f>IF(E1614="","",INDEX(Knutepunkter!$B:$B,E1614+1))</f>
        <v/>
      </c>
      <c r="J1614" t="str">
        <f>IF(E1614="","",INDEX(Knutepunkter!$C:$C,E1614+1))</f>
        <v/>
      </c>
      <c r="K1614" t="str">
        <f>IF(E1614="","",INDEX(Knutepunkter!$D:$D,E1614+1))</f>
        <v/>
      </c>
      <c r="L1614" t="str">
        <f t="shared" si="128"/>
        <v/>
      </c>
      <c r="M1614" t="str">
        <f t="shared" si="129"/>
        <v/>
      </c>
    </row>
    <row r="1615" spans="1:13" x14ac:dyDescent="0.3">
      <c r="A1615" t="str">
        <f>Segmenter!A1615</f>
        <v/>
      </c>
      <c r="B1615" t="str">
        <f>Segmenter!B1615</f>
        <v/>
      </c>
      <c r="C1615" t="str">
        <f t="shared" si="125"/>
        <v/>
      </c>
      <c r="D1615" t="str">
        <f t="shared" si="126"/>
        <v/>
      </c>
      <c r="E1615" t="str">
        <f t="shared" si="127"/>
        <v/>
      </c>
      <c r="F1615" t="str">
        <f>IF(D1615="","",INDEX(Knutepunkter!$B:$B,D1615+1))</f>
        <v/>
      </c>
      <c r="G1615" t="str">
        <f>IF(D1615="","",INDEX(Knutepunkter!$C:$C,D1615+1))</f>
        <v/>
      </c>
      <c r="H1615" t="str">
        <f>IF(D1615="","",INDEX(Knutepunkter!$D:$D,D1615+1))</f>
        <v/>
      </c>
      <c r="I1615" t="str">
        <f>IF(E1615="","",INDEX(Knutepunkter!$B:$B,E1615+1))</f>
        <v/>
      </c>
      <c r="J1615" t="str">
        <f>IF(E1615="","",INDEX(Knutepunkter!$C:$C,E1615+1))</f>
        <v/>
      </c>
      <c r="K1615" t="str">
        <f>IF(E1615="","",INDEX(Knutepunkter!$D:$D,E1615+1))</f>
        <v/>
      </c>
      <c r="L1615" t="str">
        <f t="shared" si="128"/>
        <v/>
      </c>
      <c r="M1615" t="str">
        <f t="shared" si="129"/>
        <v/>
      </c>
    </row>
    <row r="1616" spans="1:13" x14ac:dyDescent="0.3">
      <c r="A1616" t="str">
        <f>Segmenter!A1616</f>
        <v/>
      </c>
      <c r="B1616" t="str">
        <f>Segmenter!B1616</f>
        <v/>
      </c>
      <c r="C1616" t="str">
        <f t="shared" si="125"/>
        <v/>
      </c>
      <c r="D1616" t="str">
        <f t="shared" si="126"/>
        <v/>
      </c>
      <c r="E1616" t="str">
        <f t="shared" si="127"/>
        <v/>
      </c>
      <c r="F1616" t="str">
        <f>IF(D1616="","",INDEX(Knutepunkter!$B:$B,D1616+1))</f>
        <v/>
      </c>
      <c r="G1616" t="str">
        <f>IF(D1616="","",INDEX(Knutepunkter!$C:$C,D1616+1))</f>
        <v/>
      </c>
      <c r="H1616" t="str">
        <f>IF(D1616="","",INDEX(Knutepunkter!$D:$D,D1616+1))</f>
        <v/>
      </c>
      <c r="I1616" t="str">
        <f>IF(E1616="","",INDEX(Knutepunkter!$B:$B,E1616+1))</f>
        <v/>
      </c>
      <c r="J1616" t="str">
        <f>IF(E1616="","",INDEX(Knutepunkter!$C:$C,E1616+1))</f>
        <v/>
      </c>
      <c r="K1616" t="str">
        <f>IF(E1616="","",INDEX(Knutepunkter!$D:$D,E1616+1))</f>
        <v/>
      </c>
      <c r="L1616" t="str">
        <f t="shared" si="128"/>
        <v/>
      </c>
      <c r="M1616" t="str">
        <f t="shared" si="129"/>
        <v/>
      </c>
    </row>
    <row r="1617" spans="1:13" x14ac:dyDescent="0.3">
      <c r="A1617" t="str">
        <f>Segmenter!A1617</f>
        <v/>
      </c>
      <c r="B1617" t="str">
        <f>Segmenter!B1617</f>
        <v/>
      </c>
      <c r="C1617" t="str">
        <f t="shared" si="125"/>
        <v/>
      </c>
      <c r="D1617" t="str">
        <f t="shared" si="126"/>
        <v/>
      </c>
      <c r="E1617" t="str">
        <f t="shared" si="127"/>
        <v/>
      </c>
      <c r="F1617" t="str">
        <f>IF(D1617="","",INDEX(Knutepunkter!$B:$B,D1617+1))</f>
        <v/>
      </c>
      <c r="G1617" t="str">
        <f>IF(D1617="","",INDEX(Knutepunkter!$C:$C,D1617+1))</f>
        <v/>
      </c>
      <c r="H1617" t="str">
        <f>IF(D1617="","",INDEX(Knutepunkter!$D:$D,D1617+1))</f>
        <v/>
      </c>
      <c r="I1617" t="str">
        <f>IF(E1617="","",INDEX(Knutepunkter!$B:$B,E1617+1))</f>
        <v/>
      </c>
      <c r="J1617" t="str">
        <f>IF(E1617="","",INDEX(Knutepunkter!$C:$C,E1617+1))</f>
        <v/>
      </c>
      <c r="K1617" t="str">
        <f>IF(E1617="","",INDEX(Knutepunkter!$D:$D,E1617+1))</f>
        <v/>
      </c>
      <c r="L1617" t="str">
        <f t="shared" si="128"/>
        <v/>
      </c>
      <c r="M1617" t="str">
        <f t="shared" si="129"/>
        <v/>
      </c>
    </row>
    <row r="1618" spans="1:13" x14ac:dyDescent="0.3">
      <c r="A1618" t="str">
        <f>Segmenter!A1618</f>
        <v/>
      </c>
      <c r="B1618" t="str">
        <f>Segmenter!B1618</f>
        <v/>
      </c>
      <c r="C1618" t="str">
        <f t="shared" si="125"/>
        <v/>
      </c>
      <c r="D1618" t="str">
        <f t="shared" si="126"/>
        <v/>
      </c>
      <c r="E1618" t="str">
        <f t="shared" si="127"/>
        <v/>
      </c>
      <c r="F1618" t="str">
        <f>IF(D1618="","",INDEX(Knutepunkter!$B:$B,D1618+1))</f>
        <v/>
      </c>
      <c r="G1618" t="str">
        <f>IF(D1618="","",INDEX(Knutepunkter!$C:$C,D1618+1))</f>
        <v/>
      </c>
      <c r="H1618" t="str">
        <f>IF(D1618="","",INDEX(Knutepunkter!$D:$D,D1618+1))</f>
        <v/>
      </c>
      <c r="I1618" t="str">
        <f>IF(E1618="","",INDEX(Knutepunkter!$B:$B,E1618+1))</f>
        <v/>
      </c>
      <c r="J1618" t="str">
        <f>IF(E1618="","",INDEX(Knutepunkter!$C:$C,E1618+1))</f>
        <v/>
      </c>
      <c r="K1618" t="str">
        <f>IF(E1618="","",INDEX(Knutepunkter!$D:$D,E1618+1))</f>
        <v/>
      </c>
      <c r="L1618" t="str">
        <f t="shared" si="128"/>
        <v/>
      </c>
      <c r="M1618" t="str">
        <f t="shared" si="129"/>
        <v/>
      </c>
    </row>
    <row r="1619" spans="1:13" x14ac:dyDescent="0.3">
      <c r="A1619" t="str">
        <f>Segmenter!A1619</f>
        <v/>
      </c>
      <c r="B1619" t="str">
        <f>Segmenter!B1619</f>
        <v/>
      </c>
      <c r="C1619" t="str">
        <f t="shared" si="125"/>
        <v/>
      </c>
      <c r="D1619" t="str">
        <f t="shared" si="126"/>
        <v/>
      </c>
      <c r="E1619" t="str">
        <f t="shared" si="127"/>
        <v/>
      </c>
      <c r="F1619" t="str">
        <f>IF(D1619="","",INDEX(Knutepunkter!$B:$B,D1619+1))</f>
        <v/>
      </c>
      <c r="G1619" t="str">
        <f>IF(D1619="","",INDEX(Knutepunkter!$C:$C,D1619+1))</f>
        <v/>
      </c>
      <c r="H1619" t="str">
        <f>IF(D1619="","",INDEX(Knutepunkter!$D:$D,D1619+1))</f>
        <v/>
      </c>
      <c r="I1619" t="str">
        <f>IF(E1619="","",INDEX(Knutepunkter!$B:$B,E1619+1))</f>
        <v/>
      </c>
      <c r="J1619" t="str">
        <f>IF(E1619="","",INDEX(Knutepunkter!$C:$C,E1619+1))</f>
        <v/>
      </c>
      <c r="K1619" t="str">
        <f>IF(E1619="","",INDEX(Knutepunkter!$D:$D,E1619+1))</f>
        <v/>
      </c>
      <c r="L1619" t="str">
        <f t="shared" si="128"/>
        <v/>
      </c>
      <c r="M1619" t="str">
        <f t="shared" si="129"/>
        <v/>
      </c>
    </row>
    <row r="1620" spans="1:13" x14ac:dyDescent="0.3">
      <c r="A1620" t="str">
        <f>Segmenter!A1620</f>
        <v/>
      </c>
      <c r="B1620" t="str">
        <f>Segmenter!B1620</f>
        <v/>
      </c>
      <c r="C1620" t="str">
        <f t="shared" si="125"/>
        <v/>
      </c>
      <c r="D1620" t="str">
        <f t="shared" si="126"/>
        <v/>
      </c>
      <c r="E1620" t="str">
        <f t="shared" si="127"/>
        <v/>
      </c>
      <c r="F1620" t="str">
        <f>IF(D1620="","",INDEX(Knutepunkter!$B:$B,D1620+1))</f>
        <v/>
      </c>
      <c r="G1620" t="str">
        <f>IF(D1620="","",INDEX(Knutepunkter!$C:$C,D1620+1))</f>
        <v/>
      </c>
      <c r="H1620" t="str">
        <f>IF(D1620="","",INDEX(Knutepunkter!$D:$D,D1620+1))</f>
        <v/>
      </c>
      <c r="I1620" t="str">
        <f>IF(E1620="","",INDEX(Knutepunkter!$B:$B,E1620+1))</f>
        <v/>
      </c>
      <c r="J1620" t="str">
        <f>IF(E1620="","",INDEX(Knutepunkter!$C:$C,E1620+1))</f>
        <v/>
      </c>
      <c r="K1620" t="str">
        <f>IF(E1620="","",INDEX(Knutepunkter!$D:$D,E1620+1))</f>
        <v/>
      </c>
      <c r="L1620" t="str">
        <f t="shared" si="128"/>
        <v/>
      </c>
      <c r="M1620" t="str">
        <f t="shared" si="129"/>
        <v/>
      </c>
    </row>
    <row r="1621" spans="1:13" x14ac:dyDescent="0.3">
      <c r="A1621" t="str">
        <f>Segmenter!A1621</f>
        <v/>
      </c>
      <c r="B1621" t="str">
        <f>Segmenter!B1621</f>
        <v/>
      </c>
      <c r="C1621" t="str">
        <f t="shared" si="125"/>
        <v/>
      </c>
      <c r="D1621" t="str">
        <f t="shared" si="126"/>
        <v/>
      </c>
      <c r="E1621" t="str">
        <f t="shared" si="127"/>
        <v/>
      </c>
      <c r="F1621" t="str">
        <f>IF(D1621="","",INDEX(Knutepunkter!$B:$B,D1621+1))</f>
        <v/>
      </c>
      <c r="G1621" t="str">
        <f>IF(D1621="","",INDEX(Knutepunkter!$C:$C,D1621+1))</f>
        <v/>
      </c>
      <c r="H1621" t="str">
        <f>IF(D1621="","",INDEX(Knutepunkter!$D:$D,D1621+1))</f>
        <v/>
      </c>
      <c r="I1621" t="str">
        <f>IF(E1621="","",INDEX(Knutepunkter!$B:$B,E1621+1))</f>
        <v/>
      </c>
      <c r="J1621" t="str">
        <f>IF(E1621="","",INDEX(Knutepunkter!$C:$C,E1621+1))</f>
        <v/>
      </c>
      <c r="K1621" t="str">
        <f>IF(E1621="","",INDEX(Knutepunkter!$D:$D,E1621+1))</f>
        <v/>
      </c>
      <c r="L1621" t="str">
        <f t="shared" si="128"/>
        <v/>
      </c>
      <c r="M1621" t="str">
        <f t="shared" si="129"/>
        <v/>
      </c>
    </row>
    <row r="1622" spans="1:13" x14ac:dyDescent="0.3">
      <c r="A1622" t="str">
        <f>Segmenter!A1622</f>
        <v/>
      </c>
      <c r="B1622" t="str">
        <f>Segmenter!B1622</f>
        <v/>
      </c>
      <c r="C1622" t="str">
        <f t="shared" si="125"/>
        <v/>
      </c>
      <c r="D1622" t="str">
        <f t="shared" si="126"/>
        <v/>
      </c>
      <c r="E1622" t="str">
        <f t="shared" si="127"/>
        <v/>
      </c>
      <c r="F1622" t="str">
        <f>IF(D1622="","",INDEX(Knutepunkter!$B:$B,D1622+1))</f>
        <v/>
      </c>
      <c r="G1622" t="str">
        <f>IF(D1622="","",INDEX(Knutepunkter!$C:$C,D1622+1))</f>
        <v/>
      </c>
      <c r="H1622" t="str">
        <f>IF(D1622="","",INDEX(Knutepunkter!$D:$D,D1622+1))</f>
        <v/>
      </c>
      <c r="I1622" t="str">
        <f>IF(E1622="","",INDEX(Knutepunkter!$B:$B,E1622+1))</f>
        <v/>
      </c>
      <c r="J1622" t="str">
        <f>IF(E1622="","",INDEX(Knutepunkter!$C:$C,E1622+1))</f>
        <v/>
      </c>
      <c r="K1622" t="str">
        <f>IF(E1622="","",INDEX(Knutepunkter!$D:$D,E1622+1))</f>
        <v/>
      </c>
      <c r="L1622" t="str">
        <f t="shared" si="128"/>
        <v/>
      </c>
      <c r="M1622" t="str">
        <f t="shared" si="129"/>
        <v/>
      </c>
    </row>
    <row r="1623" spans="1:13" x14ac:dyDescent="0.3">
      <c r="A1623" t="str">
        <f>Segmenter!A1623</f>
        <v/>
      </c>
      <c r="B1623" t="str">
        <f>Segmenter!B1623</f>
        <v/>
      </c>
      <c r="C1623" t="str">
        <f t="shared" si="125"/>
        <v/>
      </c>
      <c r="D1623" t="str">
        <f t="shared" si="126"/>
        <v/>
      </c>
      <c r="E1623" t="str">
        <f t="shared" si="127"/>
        <v/>
      </c>
      <c r="F1623" t="str">
        <f>IF(D1623="","",INDEX(Knutepunkter!$B:$B,D1623+1))</f>
        <v/>
      </c>
      <c r="G1623" t="str">
        <f>IF(D1623="","",INDEX(Knutepunkter!$C:$C,D1623+1))</f>
        <v/>
      </c>
      <c r="H1623" t="str">
        <f>IF(D1623="","",INDEX(Knutepunkter!$D:$D,D1623+1))</f>
        <v/>
      </c>
      <c r="I1623" t="str">
        <f>IF(E1623="","",INDEX(Knutepunkter!$B:$B,E1623+1))</f>
        <v/>
      </c>
      <c r="J1623" t="str">
        <f>IF(E1623="","",INDEX(Knutepunkter!$C:$C,E1623+1))</f>
        <v/>
      </c>
      <c r="K1623" t="str">
        <f>IF(E1623="","",INDEX(Knutepunkter!$D:$D,E1623+1))</f>
        <v/>
      </c>
      <c r="L1623" t="str">
        <f t="shared" si="128"/>
        <v/>
      </c>
      <c r="M1623" t="str">
        <f t="shared" si="129"/>
        <v/>
      </c>
    </row>
    <row r="1624" spans="1:13" x14ac:dyDescent="0.3">
      <c r="A1624" t="str">
        <f>Segmenter!A1624</f>
        <v/>
      </c>
      <c r="B1624" t="str">
        <f>Segmenter!B1624</f>
        <v/>
      </c>
      <c r="C1624" t="str">
        <f t="shared" si="125"/>
        <v/>
      </c>
      <c r="D1624" t="str">
        <f t="shared" si="126"/>
        <v/>
      </c>
      <c r="E1624" t="str">
        <f t="shared" si="127"/>
        <v/>
      </c>
      <c r="F1624" t="str">
        <f>IF(D1624="","",INDEX(Knutepunkter!$B:$B,D1624+1))</f>
        <v/>
      </c>
      <c r="G1624" t="str">
        <f>IF(D1624="","",INDEX(Knutepunkter!$C:$C,D1624+1))</f>
        <v/>
      </c>
      <c r="H1624" t="str">
        <f>IF(D1624="","",INDEX(Knutepunkter!$D:$D,D1624+1))</f>
        <v/>
      </c>
      <c r="I1624" t="str">
        <f>IF(E1624="","",INDEX(Knutepunkter!$B:$B,E1624+1))</f>
        <v/>
      </c>
      <c r="J1624" t="str">
        <f>IF(E1624="","",INDEX(Knutepunkter!$C:$C,E1624+1))</f>
        <v/>
      </c>
      <c r="K1624" t="str">
        <f>IF(E1624="","",INDEX(Knutepunkter!$D:$D,E1624+1))</f>
        <v/>
      </c>
      <c r="L1624" t="str">
        <f t="shared" si="128"/>
        <v/>
      </c>
      <c r="M1624" t="str">
        <f t="shared" si="129"/>
        <v/>
      </c>
    </row>
    <row r="1625" spans="1:13" x14ac:dyDescent="0.3">
      <c r="A1625" t="str">
        <f>Segmenter!A1625</f>
        <v/>
      </c>
      <c r="B1625" t="str">
        <f>Segmenter!B1625</f>
        <v/>
      </c>
      <c r="C1625" t="str">
        <f t="shared" si="125"/>
        <v/>
      </c>
      <c r="D1625" t="str">
        <f t="shared" si="126"/>
        <v/>
      </c>
      <c r="E1625" t="str">
        <f t="shared" si="127"/>
        <v/>
      </c>
      <c r="F1625" t="str">
        <f>IF(D1625="","",INDEX(Knutepunkter!$B:$B,D1625+1))</f>
        <v/>
      </c>
      <c r="G1625" t="str">
        <f>IF(D1625="","",INDEX(Knutepunkter!$C:$C,D1625+1))</f>
        <v/>
      </c>
      <c r="H1625" t="str">
        <f>IF(D1625="","",INDEX(Knutepunkter!$D:$D,D1625+1))</f>
        <v/>
      </c>
      <c r="I1625" t="str">
        <f>IF(E1625="","",INDEX(Knutepunkter!$B:$B,E1625+1))</f>
        <v/>
      </c>
      <c r="J1625" t="str">
        <f>IF(E1625="","",INDEX(Knutepunkter!$C:$C,E1625+1))</f>
        <v/>
      </c>
      <c r="K1625" t="str">
        <f>IF(E1625="","",INDEX(Knutepunkter!$D:$D,E1625+1))</f>
        <v/>
      </c>
      <c r="L1625" t="str">
        <f t="shared" si="128"/>
        <v/>
      </c>
      <c r="M1625" t="str">
        <f t="shared" si="129"/>
        <v/>
      </c>
    </row>
    <row r="1626" spans="1:13" x14ac:dyDescent="0.3">
      <c r="A1626" t="str">
        <f>Segmenter!A1626</f>
        <v/>
      </c>
      <c r="B1626" t="str">
        <f>Segmenter!B1626</f>
        <v/>
      </c>
      <c r="C1626" t="str">
        <f t="shared" si="125"/>
        <v/>
      </c>
      <c r="D1626" t="str">
        <f t="shared" si="126"/>
        <v/>
      </c>
      <c r="E1626" t="str">
        <f t="shared" si="127"/>
        <v/>
      </c>
      <c r="F1626" t="str">
        <f>IF(D1626="","",INDEX(Knutepunkter!$B:$B,D1626+1))</f>
        <v/>
      </c>
      <c r="G1626" t="str">
        <f>IF(D1626="","",INDEX(Knutepunkter!$C:$C,D1626+1))</f>
        <v/>
      </c>
      <c r="H1626" t="str">
        <f>IF(D1626="","",INDEX(Knutepunkter!$D:$D,D1626+1))</f>
        <v/>
      </c>
      <c r="I1626" t="str">
        <f>IF(E1626="","",INDEX(Knutepunkter!$B:$B,E1626+1))</f>
        <v/>
      </c>
      <c r="J1626" t="str">
        <f>IF(E1626="","",INDEX(Knutepunkter!$C:$C,E1626+1))</f>
        <v/>
      </c>
      <c r="K1626" t="str">
        <f>IF(E1626="","",INDEX(Knutepunkter!$D:$D,E1626+1))</f>
        <v/>
      </c>
      <c r="L1626" t="str">
        <f t="shared" si="128"/>
        <v/>
      </c>
      <c r="M1626" t="str">
        <f t="shared" si="129"/>
        <v/>
      </c>
    </row>
    <row r="1627" spans="1:13" x14ac:dyDescent="0.3">
      <c r="A1627" t="str">
        <f>Segmenter!A1627</f>
        <v/>
      </c>
      <c r="B1627" t="str">
        <f>Segmenter!B1627</f>
        <v/>
      </c>
      <c r="C1627" t="str">
        <f t="shared" si="125"/>
        <v/>
      </c>
      <c r="D1627" t="str">
        <f t="shared" si="126"/>
        <v/>
      </c>
      <c r="E1627" t="str">
        <f t="shared" si="127"/>
        <v/>
      </c>
      <c r="F1627" t="str">
        <f>IF(D1627="","",INDEX(Knutepunkter!$B:$B,D1627+1))</f>
        <v/>
      </c>
      <c r="G1627" t="str">
        <f>IF(D1627="","",INDEX(Knutepunkter!$C:$C,D1627+1))</f>
        <v/>
      </c>
      <c r="H1627" t="str">
        <f>IF(D1627="","",INDEX(Knutepunkter!$D:$D,D1627+1))</f>
        <v/>
      </c>
      <c r="I1627" t="str">
        <f>IF(E1627="","",INDEX(Knutepunkter!$B:$B,E1627+1))</f>
        <v/>
      </c>
      <c r="J1627" t="str">
        <f>IF(E1627="","",INDEX(Knutepunkter!$C:$C,E1627+1))</f>
        <v/>
      </c>
      <c r="K1627" t="str">
        <f>IF(E1627="","",INDEX(Knutepunkter!$D:$D,E1627+1))</f>
        <v/>
      </c>
      <c r="L1627" t="str">
        <f t="shared" si="128"/>
        <v/>
      </c>
      <c r="M1627" t="str">
        <f t="shared" si="129"/>
        <v/>
      </c>
    </row>
    <row r="1628" spans="1:13" x14ac:dyDescent="0.3">
      <c r="A1628" t="str">
        <f>Segmenter!A1628</f>
        <v/>
      </c>
      <c r="B1628" t="str">
        <f>Segmenter!B1628</f>
        <v/>
      </c>
      <c r="C1628" t="str">
        <f t="shared" si="125"/>
        <v/>
      </c>
      <c r="D1628" t="str">
        <f t="shared" si="126"/>
        <v/>
      </c>
      <c r="E1628" t="str">
        <f t="shared" si="127"/>
        <v/>
      </c>
      <c r="F1628" t="str">
        <f>IF(D1628="","",INDEX(Knutepunkter!$B:$B,D1628+1))</f>
        <v/>
      </c>
      <c r="G1628" t="str">
        <f>IF(D1628="","",INDEX(Knutepunkter!$C:$C,D1628+1))</f>
        <v/>
      </c>
      <c r="H1628" t="str">
        <f>IF(D1628="","",INDEX(Knutepunkter!$D:$D,D1628+1))</f>
        <v/>
      </c>
      <c r="I1628" t="str">
        <f>IF(E1628="","",INDEX(Knutepunkter!$B:$B,E1628+1))</f>
        <v/>
      </c>
      <c r="J1628" t="str">
        <f>IF(E1628="","",INDEX(Knutepunkter!$C:$C,E1628+1))</f>
        <v/>
      </c>
      <c r="K1628" t="str">
        <f>IF(E1628="","",INDEX(Knutepunkter!$D:$D,E1628+1))</f>
        <v/>
      </c>
      <c r="L1628" t="str">
        <f t="shared" si="128"/>
        <v/>
      </c>
      <c r="M1628" t="str">
        <f t="shared" si="129"/>
        <v/>
      </c>
    </row>
    <row r="1629" spans="1:13" x14ac:dyDescent="0.3">
      <c r="A1629" t="str">
        <f>Segmenter!A1629</f>
        <v/>
      </c>
      <c r="B1629" t="str">
        <f>Segmenter!B1629</f>
        <v/>
      </c>
      <c r="C1629" t="str">
        <f t="shared" si="125"/>
        <v/>
      </c>
      <c r="D1629" t="str">
        <f t="shared" si="126"/>
        <v/>
      </c>
      <c r="E1629" t="str">
        <f t="shared" si="127"/>
        <v/>
      </c>
      <c r="F1629" t="str">
        <f>IF(D1629="","",INDEX(Knutepunkter!$B:$B,D1629+1))</f>
        <v/>
      </c>
      <c r="G1629" t="str">
        <f>IF(D1629="","",INDEX(Knutepunkter!$C:$C,D1629+1))</f>
        <v/>
      </c>
      <c r="H1629" t="str">
        <f>IF(D1629="","",INDEX(Knutepunkter!$D:$D,D1629+1))</f>
        <v/>
      </c>
      <c r="I1629" t="str">
        <f>IF(E1629="","",INDEX(Knutepunkter!$B:$B,E1629+1))</f>
        <v/>
      </c>
      <c r="J1629" t="str">
        <f>IF(E1629="","",INDEX(Knutepunkter!$C:$C,E1629+1))</f>
        <v/>
      </c>
      <c r="K1629" t="str">
        <f>IF(E1629="","",INDEX(Knutepunkter!$D:$D,E1629+1))</f>
        <v/>
      </c>
      <c r="L1629" t="str">
        <f t="shared" si="128"/>
        <v/>
      </c>
      <c r="M1629" t="str">
        <f t="shared" si="129"/>
        <v/>
      </c>
    </row>
    <row r="1630" spans="1:13" x14ac:dyDescent="0.3">
      <c r="A1630" t="str">
        <f>Segmenter!A1630</f>
        <v/>
      </c>
      <c r="B1630" t="str">
        <f>Segmenter!B1630</f>
        <v/>
      </c>
      <c r="C1630" t="str">
        <f t="shared" si="125"/>
        <v/>
      </c>
      <c r="D1630" t="str">
        <f t="shared" si="126"/>
        <v/>
      </c>
      <c r="E1630" t="str">
        <f t="shared" si="127"/>
        <v/>
      </c>
      <c r="F1630" t="str">
        <f>IF(D1630="","",INDEX(Knutepunkter!$B:$B,D1630+1))</f>
        <v/>
      </c>
      <c r="G1630" t="str">
        <f>IF(D1630="","",INDEX(Knutepunkter!$C:$C,D1630+1))</f>
        <v/>
      </c>
      <c r="H1630" t="str">
        <f>IF(D1630="","",INDEX(Knutepunkter!$D:$D,D1630+1))</f>
        <v/>
      </c>
      <c r="I1630" t="str">
        <f>IF(E1630="","",INDEX(Knutepunkter!$B:$B,E1630+1))</f>
        <v/>
      </c>
      <c r="J1630" t="str">
        <f>IF(E1630="","",INDEX(Knutepunkter!$C:$C,E1630+1))</f>
        <v/>
      </c>
      <c r="K1630" t="str">
        <f>IF(E1630="","",INDEX(Knutepunkter!$D:$D,E1630+1))</f>
        <v/>
      </c>
      <c r="L1630" t="str">
        <f t="shared" si="128"/>
        <v/>
      </c>
      <c r="M1630" t="str">
        <f t="shared" si="129"/>
        <v/>
      </c>
    </row>
    <row r="1631" spans="1:13" x14ac:dyDescent="0.3">
      <c r="A1631" t="str">
        <f>Segmenter!A1631</f>
        <v/>
      </c>
      <c r="B1631" t="str">
        <f>Segmenter!B1631</f>
        <v/>
      </c>
      <c r="C1631" t="str">
        <f t="shared" si="125"/>
        <v/>
      </c>
      <c r="D1631" t="str">
        <f t="shared" si="126"/>
        <v/>
      </c>
      <c r="E1631" t="str">
        <f t="shared" si="127"/>
        <v/>
      </c>
      <c r="F1631" t="str">
        <f>IF(D1631="","",INDEX(Knutepunkter!$B:$B,D1631+1))</f>
        <v/>
      </c>
      <c r="G1631" t="str">
        <f>IF(D1631="","",INDEX(Knutepunkter!$C:$C,D1631+1))</f>
        <v/>
      </c>
      <c r="H1631" t="str">
        <f>IF(D1631="","",INDEX(Knutepunkter!$D:$D,D1631+1))</f>
        <v/>
      </c>
      <c r="I1631" t="str">
        <f>IF(E1631="","",INDEX(Knutepunkter!$B:$B,E1631+1))</f>
        <v/>
      </c>
      <c r="J1631" t="str">
        <f>IF(E1631="","",INDEX(Knutepunkter!$C:$C,E1631+1))</f>
        <v/>
      </c>
      <c r="K1631" t="str">
        <f>IF(E1631="","",INDEX(Knutepunkter!$D:$D,E1631+1))</f>
        <v/>
      </c>
      <c r="L1631" t="str">
        <f t="shared" si="128"/>
        <v/>
      </c>
      <c r="M1631" t="str">
        <f t="shared" si="129"/>
        <v/>
      </c>
    </row>
    <row r="1632" spans="1:13" x14ac:dyDescent="0.3">
      <c r="A1632" t="str">
        <f>Segmenter!A1632</f>
        <v/>
      </c>
      <c r="B1632" t="str">
        <f>Segmenter!B1632</f>
        <v/>
      </c>
      <c r="C1632" t="str">
        <f t="shared" si="125"/>
        <v/>
      </c>
      <c r="D1632" t="str">
        <f t="shared" si="126"/>
        <v/>
      </c>
      <c r="E1632" t="str">
        <f t="shared" si="127"/>
        <v/>
      </c>
      <c r="F1632" t="str">
        <f>IF(D1632="","",INDEX(Knutepunkter!$B:$B,D1632+1))</f>
        <v/>
      </c>
      <c r="G1632" t="str">
        <f>IF(D1632="","",INDEX(Knutepunkter!$C:$C,D1632+1))</f>
        <v/>
      </c>
      <c r="H1632" t="str">
        <f>IF(D1632="","",INDEX(Knutepunkter!$D:$D,D1632+1))</f>
        <v/>
      </c>
      <c r="I1632" t="str">
        <f>IF(E1632="","",INDEX(Knutepunkter!$B:$B,E1632+1))</f>
        <v/>
      </c>
      <c r="J1632" t="str">
        <f>IF(E1632="","",INDEX(Knutepunkter!$C:$C,E1632+1))</f>
        <v/>
      </c>
      <c r="K1632" t="str">
        <f>IF(E1632="","",INDEX(Knutepunkter!$D:$D,E1632+1))</f>
        <v/>
      </c>
      <c r="L1632" t="str">
        <f t="shared" si="128"/>
        <v/>
      </c>
      <c r="M1632" t="str">
        <f t="shared" si="129"/>
        <v/>
      </c>
    </row>
    <row r="1633" spans="1:13" x14ac:dyDescent="0.3">
      <c r="A1633" t="str">
        <f>Segmenter!A1633</f>
        <v/>
      </c>
      <c r="B1633" t="str">
        <f>Segmenter!B1633</f>
        <v/>
      </c>
      <c r="C1633" t="str">
        <f t="shared" si="125"/>
        <v/>
      </c>
      <c r="D1633" t="str">
        <f t="shared" si="126"/>
        <v/>
      </c>
      <c r="E1633" t="str">
        <f t="shared" si="127"/>
        <v/>
      </c>
      <c r="F1633" t="str">
        <f>IF(D1633="","",INDEX(Knutepunkter!$B:$B,D1633+1))</f>
        <v/>
      </c>
      <c r="G1633" t="str">
        <f>IF(D1633="","",INDEX(Knutepunkter!$C:$C,D1633+1))</f>
        <v/>
      </c>
      <c r="H1633" t="str">
        <f>IF(D1633="","",INDEX(Knutepunkter!$D:$D,D1633+1))</f>
        <v/>
      </c>
      <c r="I1633" t="str">
        <f>IF(E1633="","",INDEX(Knutepunkter!$B:$B,E1633+1))</f>
        <v/>
      </c>
      <c r="J1633" t="str">
        <f>IF(E1633="","",INDEX(Knutepunkter!$C:$C,E1633+1))</f>
        <v/>
      </c>
      <c r="K1633" t="str">
        <f>IF(E1633="","",INDEX(Knutepunkter!$D:$D,E1633+1))</f>
        <v/>
      </c>
      <c r="L1633" t="str">
        <f t="shared" si="128"/>
        <v/>
      </c>
      <c r="M1633" t="str">
        <f t="shared" si="129"/>
        <v/>
      </c>
    </row>
    <row r="1634" spans="1:13" x14ac:dyDescent="0.3">
      <c r="A1634" t="str">
        <f>Segmenter!A1634</f>
        <v/>
      </c>
      <c r="B1634" t="str">
        <f>Segmenter!B1634</f>
        <v/>
      </c>
      <c r="C1634" t="str">
        <f t="shared" si="125"/>
        <v/>
      </c>
      <c r="D1634" t="str">
        <f t="shared" si="126"/>
        <v/>
      </c>
      <c r="E1634" t="str">
        <f t="shared" si="127"/>
        <v/>
      </c>
      <c r="F1634" t="str">
        <f>IF(D1634="","",INDEX(Knutepunkter!$B:$B,D1634+1))</f>
        <v/>
      </c>
      <c r="G1634" t="str">
        <f>IF(D1634="","",INDEX(Knutepunkter!$C:$C,D1634+1))</f>
        <v/>
      </c>
      <c r="H1634" t="str">
        <f>IF(D1634="","",INDEX(Knutepunkter!$D:$D,D1634+1))</f>
        <v/>
      </c>
      <c r="I1634" t="str">
        <f>IF(E1634="","",INDEX(Knutepunkter!$B:$B,E1634+1))</f>
        <v/>
      </c>
      <c r="J1634" t="str">
        <f>IF(E1634="","",INDEX(Knutepunkter!$C:$C,E1634+1))</f>
        <v/>
      </c>
      <c r="K1634" t="str">
        <f>IF(E1634="","",INDEX(Knutepunkter!$D:$D,E1634+1))</f>
        <v/>
      </c>
      <c r="L1634" t="str">
        <f t="shared" si="128"/>
        <v/>
      </c>
      <c r="M1634" t="str">
        <f t="shared" si="129"/>
        <v/>
      </c>
    </row>
    <row r="1635" spans="1:13" x14ac:dyDescent="0.3">
      <c r="A1635" t="str">
        <f>Segmenter!A1635</f>
        <v/>
      </c>
      <c r="B1635" t="str">
        <f>Segmenter!B1635</f>
        <v/>
      </c>
      <c r="C1635" t="str">
        <f t="shared" si="125"/>
        <v/>
      </c>
      <c r="D1635" t="str">
        <f t="shared" si="126"/>
        <v/>
      </c>
      <c r="E1635" t="str">
        <f t="shared" si="127"/>
        <v/>
      </c>
      <c r="F1635" t="str">
        <f>IF(D1635="","",INDEX(Knutepunkter!$B:$B,D1635+1))</f>
        <v/>
      </c>
      <c r="G1635" t="str">
        <f>IF(D1635="","",INDEX(Knutepunkter!$C:$C,D1635+1))</f>
        <v/>
      </c>
      <c r="H1635" t="str">
        <f>IF(D1635="","",INDEX(Knutepunkter!$D:$D,D1635+1))</f>
        <v/>
      </c>
      <c r="I1635" t="str">
        <f>IF(E1635="","",INDEX(Knutepunkter!$B:$B,E1635+1))</f>
        <v/>
      </c>
      <c r="J1635" t="str">
        <f>IF(E1635="","",INDEX(Knutepunkter!$C:$C,E1635+1))</f>
        <v/>
      </c>
      <c r="K1635" t="str">
        <f>IF(E1635="","",INDEX(Knutepunkter!$D:$D,E1635+1))</f>
        <v/>
      </c>
      <c r="L1635" t="str">
        <f t="shared" si="128"/>
        <v/>
      </c>
      <c r="M1635" t="str">
        <f t="shared" si="129"/>
        <v/>
      </c>
    </row>
    <row r="1636" spans="1:13" x14ac:dyDescent="0.3">
      <c r="A1636" t="str">
        <f>Segmenter!A1636</f>
        <v/>
      </c>
      <c r="B1636" t="str">
        <f>Segmenter!B1636</f>
        <v/>
      </c>
      <c r="C1636" t="str">
        <f t="shared" si="125"/>
        <v/>
      </c>
      <c r="D1636" t="str">
        <f t="shared" si="126"/>
        <v/>
      </c>
      <c r="E1636" t="str">
        <f t="shared" si="127"/>
        <v/>
      </c>
      <c r="F1636" t="str">
        <f>IF(D1636="","",INDEX(Knutepunkter!$B:$B,D1636+1))</f>
        <v/>
      </c>
      <c r="G1636" t="str">
        <f>IF(D1636="","",INDEX(Knutepunkter!$C:$C,D1636+1))</f>
        <v/>
      </c>
      <c r="H1636" t="str">
        <f>IF(D1636="","",INDEX(Knutepunkter!$D:$D,D1636+1))</f>
        <v/>
      </c>
      <c r="I1636" t="str">
        <f>IF(E1636="","",INDEX(Knutepunkter!$B:$B,E1636+1))</f>
        <v/>
      </c>
      <c r="J1636" t="str">
        <f>IF(E1636="","",INDEX(Knutepunkter!$C:$C,E1636+1))</f>
        <v/>
      </c>
      <c r="K1636" t="str">
        <f>IF(E1636="","",INDEX(Knutepunkter!$D:$D,E1636+1))</f>
        <v/>
      </c>
      <c r="L1636" t="str">
        <f t="shared" si="128"/>
        <v/>
      </c>
      <c r="M1636" t="str">
        <f t="shared" si="129"/>
        <v/>
      </c>
    </row>
    <row r="1637" spans="1:13" x14ac:dyDescent="0.3">
      <c r="A1637" t="str">
        <f>Segmenter!A1637</f>
        <v/>
      </c>
      <c r="B1637" t="str">
        <f>Segmenter!B1637</f>
        <v/>
      </c>
      <c r="C1637" t="str">
        <f t="shared" si="125"/>
        <v/>
      </c>
      <c r="D1637" t="str">
        <f t="shared" si="126"/>
        <v/>
      </c>
      <c r="E1637" t="str">
        <f t="shared" si="127"/>
        <v/>
      </c>
      <c r="F1637" t="str">
        <f>IF(D1637="","",INDEX(Knutepunkter!$B:$B,D1637+1))</f>
        <v/>
      </c>
      <c r="G1637" t="str">
        <f>IF(D1637="","",INDEX(Knutepunkter!$C:$C,D1637+1))</f>
        <v/>
      </c>
      <c r="H1637" t="str">
        <f>IF(D1637="","",INDEX(Knutepunkter!$D:$D,D1637+1))</f>
        <v/>
      </c>
      <c r="I1637" t="str">
        <f>IF(E1637="","",INDEX(Knutepunkter!$B:$B,E1637+1))</f>
        <v/>
      </c>
      <c r="J1637" t="str">
        <f>IF(E1637="","",INDEX(Knutepunkter!$C:$C,E1637+1))</f>
        <v/>
      </c>
      <c r="K1637" t="str">
        <f>IF(E1637="","",INDEX(Knutepunkter!$D:$D,E1637+1))</f>
        <v/>
      </c>
      <c r="L1637" t="str">
        <f t="shared" si="128"/>
        <v/>
      </c>
      <c r="M1637" t="str">
        <f t="shared" si="129"/>
        <v/>
      </c>
    </row>
    <row r="1638" spans="1:13" x14ac:dyDescent="0.3">
      <c r="A1638" t="str">
        <f>Segmenter!A1638</f>
        <v/>
      </c>
      <c r="B1638" t="str">
        <f>Segmenter!B1638</f>
        <v/>
      </c>
      <c r="C1638" t="str">
        <f t="shared" si="125"/>
        <v/>
      </c>
      <c r="D1638" t="str">
        <f t="shared" si="126"/>
        <v/>
      </c>
      <c r="E1638" t="str">
        <f t="shared" si="127"/>
        <v/>
      </c>
      <c r="F1638" t="str">
        <f>IF(D1638="","",INDEX(Knutepunkter!$B:$B,D1638+1))</f>
        <v/>
      </c>
      <c r="G1638" t="str">
        <f>IF(D1638="","",INDEX(Knutepunkter!$C:$C,D1638+1))</f>
        <v/>
      </c>
      <c r="H1638" t="str">
        <f>IF(D1638="","",INDEX(Knutepunkter!$D:$D,D1638+1))</f>
        <v/>
      </c>
      <c r="I1638" t="str">
        <f>IF(E1638="","",INDEX(Knutepunkter!$B:$B,E1638+1))</f>
        <v/>
      </c>
      <c r="J1638" t="str">
        <f>IF(E1638="","",INDEX(Knutepunkter!$C:$C,E1638+1))</f>
        <v/>
      </c>
      <c r="K1638" t="str">
        <f>IF(E1638="","",INDEX(Knutepunkter!$D:$D,E1638+1))</f>
        <v/>
      </c>
      <c r="L1638" t="str">
        <f t="shared" si="128"/>
        <v/>
      </c>
      <c r="M1638" t="str">
        <f t="shared" si="129"/>
        <v/>
      </c>
    </row>
    <row r="1639" spans="1:13" x14ac:dyDescent="0.3">
      <c r="A1639" t="str">
        <f>Segmenter!A1639</f>
        <v/>
      </c>
      <c r="B1639" t="str">
        <f>Segmenter!B1639</f>
        <v/>
      </c>
      <c r="C1639" t="str">
        <f t="shared" si="125"/>
        <v/>
      </c>
      <c r="D1639" t="str">
        <f t="shared" si="126"/>
        <v/>
      </c>
      <c r="E1639" t="str">
        <f t="shared" si="127"/>
        <v/>
      </c>
      <c r="F1639" t="str">
        <f>IF(D1639="","",INDEX(Knutepunkter!$B:$B,D1639+1))</f>
        <v/>
      </c>
      <c r="G1639" t="str">
        <f>IF(D1639="","",INDEX(Knutepunkter!$C:$C,D1639+1))</f>
        <v/>
      </c>
      <c r="H1639" t="str">
        <f>IF(D1639="","",INDEX(Knutepunkter!$D:$D,D1639+1))</f>
        <v/>
      </c>
      <c r="I1639" t="str">
        <f>IF(E1639="","",INDEX(Knutepunkter!$B:$B,E1639+1))</f>
        <v/>
      </c>
      <c r="J1639" t="str">
        <f>IF(E1639="","",INDEX(Knutepunkter!$C:$C,E1639+1))</f>
        <v/>
      </c>
      <c r="K1639" t="str">
        <f>IF(E1639="","",INDEX(Knutepunkter!$D:$D,E1639+1))</f>
        <v/>
      </c>
      <c r="L1639" t="str">
        <f t="shared" si="128"/>
        <v/>
      </c>
      <c r="M1639" t="str">
        <f t="shared" si="129"/>
        <v/>
      </c>
    </row>
    <row r="1640" spans="1:13" x14ac:dyDescent="0.3">
      <c r="A1640" t="str">
        <f>Segmenter!A1640</f>
        <v/>
      </c>
      <c r="B1640" t="str">
        <f>Segmenter!B1640</f>
        <v/>
      </c>
      <c r="C1640" t="str">
        <f t="shared" si="125"/>
        <v/>
      </c>
      <c r="D1640" t="str">
        <f t="shared" si="126"/>
        <v/>
      </c>
      <c r="E1640" t="str">
        <f t="shared" si="127"/>
        <v/>
      </c>
      <c r="F1640" t="str">
        <f>IF(D1640="","",INDEX(Knutepunkter!$B:$B,D1640+1))</f>
        <v/>
      </c>
      <c r="G1640" t="str">
        <f>IF(D1640="","",INDEX(Knutepunkter!$C:$C,D1640+1))</f>
        <v/>
      </c>
      <c r="H1640" t="str">
        <f>IF(D1640="","",INDEX(Knutepunkter!$D:$D,D1640+1))</f>
        <v/>
      </c>
      <c r="I1640" t="str">
        <f>IF(E1640="","",INDEX(Knutepunkter!$B:$B,E1640+1))</f>
        <v/>
      </c>
      <c r="J1640" t="str">
        <f>IF(E1640="","",INDEX(Knutepunkter!$C:$C,E1640+1))</f>
        <v/>
      </c>
      <c r="K1640" t="str">
        <f>IF(E1640="","",INDEX(Knutepunkter!$D:$D,E1640+1))</f>
        <v/>
      </c>
      <c r="L1640" t="str">
        <f t="shared" si="128"/>
        <v/>
      </c>
      <c r="M1640" t="str">
        <f t="shared" si="129"/>
        <v/>
      </c>
    </row>
    <row r="1641" spans="1:13" x14ac:dyDescent="0.3">
      <c r="A1641" t="str">
        <f>Segmenter!A1641</f>
        <v/>
      </c>
      <c r="B1641" t="str">
        <f>Segmenter!B1641</f>
        <v/>
      </c>
      <c r="C1641" t="str">
        <f t="shared" si="125"/>
        <v/>
      </c>
      <c r="D1641" t="str">
        <f t="shared" si="126"/>
        <v/>
      </c>
      <c r="E1641" t="str">
        <f t="shared" si="127"/>
        <v/>
      </c>
      <c r="F1641" t="str">
        <f>IF(D1641="","",INDEX(Knutepunkter!$B:$B,D1641+1))</f>
        <v/>
      </c>
      <c r="G1641" t="str">
        <f>IF(D1641="","",INDEX(Knutepunkter!$C:$C,D1641+1))</f>
        <v/>
      </c>
      <c r="H1641" t="str">
        <f>IF(D1641="","",INDEX(Knutepunkter!$D:$D,D1641+1))</f>
        <v/>
      </c>
      <c r="I1641" t="str">
        <f>IF(E1641="","",INDEX(Knutepunkter!$B:$B,E1641+1))</f>
        <v/>
      </c>
      <c r="J1641" t="str">
        <f>IF(E1641="","",INDEX(Knutepunkter!$C:$C,E1641+1))</f>
        <v/>
      </c>
      <c r="K1641" t="str">
        <f>IF(E1641="","",INDEX(Knutepunkter!$D:$D,E1641+1))</f>
        <v/>
      </c>
      <c r="L1641" t="str">
        <f t="shared" si="128"/>
        <v/>
      </c>
      <c r="M1641" t="str">
        <f t="shared" si="129"/>
        <v/>
      </c>
    </row>
    <row r="1642" spans="1:13" x14ac:dyDescent="0.3">
      <c r="A1642" t="str">
        <f>Segmenter!A1642</f>
        <v/>
      </c>
      <c r="B1642" t="str">
        <f>Segmenter!B1642</f>
        <v/>
      </c>
      <c r="C1642" t="str">
        <f t="shared" si="125"/>
        <v/>
      </c>
      <c r="D1642" t="str">
        <f t="shared" si="126"/>
        <v/>
      </c>
      <c r="E1642" t="str">
        <f t="shared" si="127"/>
        <v/>
      </c>
      <c r="F1642" t="str">
        <f>IF(D1642="","",INDEX(Knutepunkter!$B:$B,D1642+1))</f>
        <v/>
      </c>
      <c r="G1642" t="str">
        <f>IF(D1642="","",INDEX(Knutepunkter!$C:$C,D1642+1))</f>
        <v/>
      </c>
      <c r="H1642" t="str">
        <f>IF(D1642="","",INDEX(Knutepunkter!$D:$D,D1642+1))</f>
        <v/>
      </c>
      <c r="I1642" t="str">
        <f>IF(E1642="","",INDEX(Knutepunkter!$B:$B,E1642+1))</f>
        <v/>
      </c>
      <c r="J1642" t="str">
        <f>IF(E1642="","",INDEX(Knutepunkter!$C:$C,E1642+1))</f>
        <v/>
      </c>
      <c r="K1642" t="str">
        <f>IF(E1642="","",INDEX(Knutepunkter!$D:$D,E1642+1))</f>
        <v/>
      </c>
      <c r="L1642" t="str">
        <f t="shared" si="128"/>
        <v/>
      </c>
      <c r="M1642" t="str">
        <f t="shared" si="129"/>
        <v/>
      </c>
    </row>
    <row r="1643" spans="1:13" x14ac:dyDescent="0.3">
      <c r="A1643" t="str">
        <f>Segmenter!A1643</f>
        <v/>
      </c>
      <c r="B1643" t="str">
        <f>Segmenter!B1643</f>
        <v/>
      </c>
      <c r="C1643" t="str">
        <f t="shared" si="125"/>
        <v/>
      </c>
      <c r="D1643" t="str">
        <f t="shared" si="126"/>
        <v/>
      </c>
      <c r="E1643" t="str">
        <f t="shared" si="127"/>
        <v/>
      </c>
      <c r="F1643" t="str">
        <f>IF(D1643="","",INDEX(Knutepunkter!$B:$B,D1643+1))</f>
        <v/>
      </c>
      <c r="G1643" t="str">
        <f>IF(D1643="","",INDEX(Knutepunkter!$C:$C,D1643+1))</f>
        <v/>
      </c>
      <c r="H1643" t="str">
        <f>IF(D1643="","",INDEX(Knutepunkter!$D:$D,D1643+1))</f>
        <v/>
      </c>
      <c r="I1643" t="str">
        <f>IF(E1643="","",INDEX(Knutepunkter!$B:$B,E1643+1))</f>
        <v/>
      </c>
      <c r="J1643" t="str">
        <f>IF(E1643="","",INDEX(Knutepunkter!$C:$C,E1643+1))</f>
        <v/>
      </c>
      <c r="K1643" t="str">
        <f>IF(E1643="","",INDEX(Knutepunkter!$D:$D,E1643+1))</f>
        <v/>
      </c>
      <c r="L1643" t="str">
        <f t="shared" si="128"/>
        <v/>
      </c>
      <c r="M1643" t="str">
        <f t="shared" si="129"/>
        <v/>
      </c>
    </row>
    <row r="1644" spans="1:13" x14ac:dyDescent="0.3">
      <c r="A1644" t="str">
        <f>Segmenter!A1644</f>
        <v/>
      </c>
      <c r="B1644" t="str">
        <f>Segmenter!B1644</f>
        <v/>
      </c>
      <c r="C1644" t="str">
        <f t="shared" si="125"/>
        <v/>
      </c>
      <c r="D1644" t="str">
        <f t="shared" si="126"/>
        <v/>
      </c>
      <c r="E1644" t="str">
        <f t="shared" si="127"/>
        <v/>
      </c>
      <c r="F1644" t="str">
        <f>IF(D1644="","",INDEX(Knutepunkter!$B:$B,D1644+1))</f>
        <v/>
      </c>
      <c r="G1644" t="str">
        <f>IF(D1644="","",INDEX(Knutepunkter!$C:$C,D1644+1))</f>
        <v/>
      </c>
      <c r="H1644" t="str">
        <f>IF(D1644="","",INDEX(Knutepunkter!$D:$D,D1644+1))</f>
        <v/>
      </c>
      <c r="I1644" t="str">
        <f>IF(E1644="","",INDEX(Knutepunkter!$B:$B,E1644+1))</f>
        <v/>
      </c>
      <c r="J1644" t="str">
        <f>IF(E1644="","",INDEX(Knutepunkter!$C:$C,E1644+1))</f>
        <v/>
      </c>
      <c r="K1644" t="str">
        <f>IF(E1644="","",INDEX(Knutepunkter!$D:$D,E1644+1))</f>
        <v/>
      </c>
      <c r="L1644" t="str">
        <f t="shared" si="128"/>
        <v/>
      </c>
      <c r="M1644" t="str">
        <f t="shared" si="129"/>
        <v/>
      </c>
    </row>
    <row r="1645" spans="1:13" x14ac:dyDescent="0.3">
      <c r="A1645" t="str">
        <f>Segmenter!A1645</f>
        <v/>
      </c>
      <c r="B1645" t="str">
        <f>Segmenter!B1645</f>
        <v/>
      </c>
      <c r="C1645" t="str">
        <f t="shared" si="125"/>
        <v/>
      </c>
      <c r="D1645" t="str">
        <f t="shared" si="126"/>
        <v/>
      </c>
      <c r="E1645" t="str">
        <f t="shared" si="127"/>
        <v/>
      </c>
      <c r="F1645" t="str">
        <f>IF(D1645="","",INDEX(Knutepunkter!$B:$B,D1645+1))</f>
        <v/>
      </c>
      <c r="G1645" t="str">
        <f>IF(D1645="","",INDEX(Knutepunkter!$C:$C,D1645+1))</f>
        <v/>
      </c>
      <c r="H1645" t="str">
        <f>IF(D1645="","",INDEX(Knutepunkter!$D:$D,D1645+1))</f>
        <v/>
      </c>
      <c r="I1645" t="str">
        <f>IF(E1645="","",INDEX(Knutepunkter!$B:$B,E1645+1))</f>
        <v/>
      </c>
      <c r="J1645" t="str">
        <f>IF(E1645="","",INDEX(Knutepunkter!$C:$C,E1645+1))</f>
        <v/>
      </c>
      <c r="K1645" t="str">
        <f>IF(E1645="","",INDEX(Knutepunkter!$D:$D,E1645+1))</f>
        <v/>
      </c>
      <c r="L1645" t="str">
        <f t="shared" si="128"/>
        <v/>
      </c>
      <c r="M1645" t="str">
        <f t="shared" si="129"/>
        <v/>
      </c>
    </row>
    <row r="1646" spans="1:13" x14ac:dyDescent="0.3">
      <c r="A1646" t="str">
        <f>Segmenter!A1646</f>
        <v/>
      </c>
      <c r="B1646" t="str">
        <f>Segmenter!B1646</f>
        <v/>
      </c>
      <c r="C1646" t="str">
        <f t="shared" si="125"/>
        <v/>
      </c>
      <c r="D1646" t="str">
        <f t="shared" si="126"/>
        <v/>
      </c>
      <c r="E1646" t="str">
        <f t="shared" si="127"/>
        <v/>
      </c>
      <c r="F1646" t="str">
        <f>IF(D1646="","",INDEX(Knutepunkter!$B:$B,D1646+1))</f>
        <v/>
      </c>
      <c r="G1646" t="str">
        <f>IF(D1646="","",INDEX(Knutepunkter!$C:$C,D1646+1))</f>
        <v/>
      </c>
      <c r="H1646" t="str">
        <f>IF(D1646="","",INDEX(Knutepunkter!$D:$D,D1646+1))</f>
        <v/>
      </c>
      <c r="I1646" t="str">
        <f>IF(E1646="","",INDEX(Knutepunkter!$B:$B,E1646+1))</f>
        <v/>
      </c>
      <c r="J1646" t="str">
        <f>IF(E1646="","",INDEX(Knutepunkter!$C:$C,E1646+1))</f>
        <v/>
      </c>
      <c r="K1646" t="str">
        <f>IF(E1646="","",INDEX(Knutepunkter!$D:$D,E1646+1))</f>
        <v/>
      </c>
      <c r="L1646" t="str">
        <f t="shared" si="128"/>
        <v/>
      </c>
      <c r="M1646" t="str">
        <f t="shared" si="129"/>
        <v/>
      </c>
    </row>
    <row r="1647" spans="1:13" x14ac:dyDescent="0.3">
      <c r="A1647" t="str">
        <f>Segmenter!A1647</f>
        <v/>
      </c>
      <c r="B1647" t="str">
        <f>Segmenter!B1647</f>
        <v/>
      </c>
      <c r="C1647" t="str">
        <f t="shared" si="125"/>
        <v/>
      </c>
      <c r="D1647" t="str">
        <f t="shared" si="126"/>
        <v/>
      </c>
      <c r="E1647" t="str">
        <f t="shared" si="127"/>
        <v/>
      </c>
      <c r="F1647" t="str">
        <f>IF(D1647="","",INDEX(Knutepunkter!$B:$B,D1647+1))</f>
        <v/>
      </c>
      <c r="G1647" t="str">
        <f>IF(D1647="","",INDEX(Knutepunkter!$C:$C,D1647+1))</f>
        <v/>
      </c>
      <c r="H1647" t="str">
        <f>IF(D1647="","",INDEX(Knutepunkter!$D:$D,D1647+1))</f>
        <v/>
      </c>
      <c r="I1647" t="str">
        <f>IF(E1647="","",INDEX(Knutepunkter!$B:$B,E1647+1))</f>
        <v/>
      </c>
      <c r="J1647" t="str">
        <f>IF(E1647="","",INDEX(Knutepunkter!$C:$C,E1647+1))</f>
        <v/>
      </c>
      <c r="K1647" t="str">
        <f>IF(E1647="","",INDEX(Knutepunkter!$D:$D,E1647+1))</f>
        <v/>
      </c>
      <c r="L1647" t="str">
        <f t="shared" si="128"/>
        <v/>
      </c>
      <c r="M1647" t="str">
        <f t="shared" si="129"/>
        <v/>
      </c>
    </row>
    <row r="1648" spans="1:13" x14ac:dyDescent="0.3">
      <c r="A1648" t="str">
        <f>Segmenter!A1648</f>
        <v/>
      </c>
      <c r="B1648" t="str">
        <f>Segmenter!B1648</f>
        <v/>
      </c>
      <c r="C1648" t="str">
        <f t="shared" si="125"/>
        <v/>
      </c>
      <c r="D1648" t="str">
        <f t="shared" si="126"/>
        <v/>
      </c>
      <c r="E1648" t="str">
        <f t="shared" si="127"/>
        <v/>
      </c>
      <c r="F1648" t="str">
        <f>IF(D1648="","",INDEX(Knutepunkter!$B:$B,D1648+1))</f>
        <v/>
      </c>
      <c r="G1648" t="str">
        <f>IF(D1648="","",INDEX(Knutepunkter!$C:$C,D1648+1))</f>
        <v/>
      </c>
      <c r="H1648" t="str">
        <f>IF(D1648="","",INDEX(Knutepunkter!$D:$D,D1648+1))</f>
        <v/>
      </c>
      <c r="I1648" t="str">
        <f>IF(E1648="","",INDEX(Knutepunkter!$B:$B,E1648+1))</f>
        <v/>
      </c>
      <c r="J1648" t="str">
        <f>IF(E1648="","",INDEX(Knutepunkter!$C:$C,E1648+1))</f>
        <v/>
      </c>
      <c r="K1648" t="str">
        <f>IF(E1648="","",INDEX(Knutepunkter!$D:$D,E1648+1))</f>
        <v/>
      </c>
      <c r="L1648" t="str">
        <f t="shared" si="128"/>
        <v/>
      </c>
      <c r="M1648" t="str">
        <f t="shared" si="129"/>
        <v/>
      </c>
    </row>
    <row r="1649" spans="1:13" x14ac:dyDescent="0.3">
      <c r="A1649" t="str">
        <f>Segmenter!A1649</f>
        <v/>
      </c>
      <c r="B1649" t="str">
        <f>Segmenter!B1649</f>
        <v/>
      </c>
      <c r="C1649" t="str">
        <f t="shared" si="125"/>
        <v/>
      </c>
      <c r="D1649" t="str">
        <f t="shared" si="126"/>
        <v/>
      </c>
      <c r="E1649" t="str">
        <f t="shared" si="127"/>
        <v/>
      </c>
      <c r="F1649" t="str">
        <f>IF(D1649="","",INDEX(Knutepunkter!$B:$B,D1649+1))</f>
        <v/>
      </c>
      <c r="G1649" t="str">
        <f>IF(D1649="","",INDEX(Knutepunkter!$C:$C,D1649+1))</f>
        <v/>
      </c>
      <c r="H1649" t="str">
        <f>IF(D1649="","",INDEX(Knutepunkter!$D:$D,D1649+1))</f>
        <v/>
      </c>
      <c r="I1649" t="str">
        <f>IF(E1649="","",INDEX(Knutepunkter!$B:$B,E1649+1))</f>
        <v/>
      </c>
      <c r="J1649" t="str">
        <f>IF(E1649="","",INDEX(Knutepunkter!$C:$C,E1649+1))</f>
        <v/>
      </c>
      <c r="K1649" t="str">
        <f>IF(E1649="","",INDEX(Knutepunkter!$D:$D,E1649+1))</f>
        <v/>
      </c>
      <c r="L1649" t="str">
        <f t="shared" si="128"/>
        <v/>
      </c>
      <c r="M1649" t="str">
        <f t="shared" si="129"/>
        <v/>
      </c>
    </row>
    <row r="1650" spans="1:13" x14ac:dyDescent="0.3">
      <c r="A1650" t="str">
        <f>Segmenter!A1650</f>
        <v/>
      </c>
      <c r="B1650" t="str">
        <f>Segmenter!B1650</f>
        <v/>
      </c>
      <c r="C1650" t="str">
        <f t="shared" si="125"/>
        <v/>
      </c>
      <c r="D1650" t="str">
        <f t="shared" si="126"/>
        <v/>
      </c>
      <c r="E1650" t="str">
        <f t="shared" si="127"/>
        <v/>
      </c>
      <c r="F1650" t="str">
        <f>IF(D1650="","",INDEX(Knutepunkter!$B:$B,D1650+1))</f>
        <v/>
      </c>
      <c r="G1650" t="str">
        <f>IF(D1650="","",INDEX(Knutepunkter!$C:$C,D1650+1))</f>
        <v/>
      </c>
      <c r="H1650" t="str">
        <f>IF(D1650="","",INDEX(Knutepunkter!$D:$D,D1650+1))</f>
        <v/>
      </c>
      <c r="I1650" t="str">
        <f>IF(E1650="","",INDEX(Knutepunkter!$B:$B,E1650+1))</f>
        <v/>
      </c>
      <c r="J1650" t="str">
        <f>IF(E1650="","",INDEX(Knutepunkter!$C:$C,E1650+1))</f>
        <v/>
      </c>
      <c r="K1650" t="str">
        <f>IF(E1650="","",INDEX(Knutepunkter!$D:$D,E1650+1))</f>
        <v/>
      </c>
      <c r="L1650" t="str">
        <f t="shared" si="128"/>
        <v/>
      </c>
      <c r="M1650" t="str">
        <f t="shared" si="129"/>
        <v/>
      </c>
    </row>
    <row r="1651" spans="1:13" x14ac:dyDescent="0.3">
      <c r="A1651" t="str">
        <f>Segmenter!A1651</f>
        <v/>
      </c>
      <c r="B1651" t="str">
        <f>Segmenter!B1651</f>
        <v/>
      </c>
      <c r="C1651" t="str">
        <f t="shared" si="125"/>
        <v/>
      </c>
      <c r="D1651" t="str">
        <f t="shared" si="126"/>
        <v/>
      </c>
      <c r="E1651" t="str">
        <f t="shared" si="127"/>
        <v/>
      </c>
      <c r="F1651" t="str">
        <f>IF(D1651="","",INDEX(Knutepunkter!$B:$B,D1651+1))</f>
        <v/>
      </c>
      <c r="G1651" t="str">
        <f>IF(D1651="","",INDEX(Knutepunkter!$C:$C,D1651+1))</f>
        <v/>
      </c>
      <c r="H1651" t="str">
        <f>IF(D1651="","",INDEX(Knutepunkter!$D:$D,D1651+1))</f>
        <v/>
      </c>
      <c r="I1651" t="str">
        <f>IF(E1651="","",INDEX(Knutepunkter!$B:$B,E1651+1))</f>
        <v/>
      </c>
      <c r="J1651" t="str">
        <f>IF(E1651="","",INDEX(Knutepunkter!$C:$C,E1651+1))</f>
        <v/>
      </c>
      <c r="K1651" t="str">
        <f>IF(E1651="","",INDEX(Knutepunkter!$D:$D,E1651+1))</f>
        <v/>
      </c>
      <c r="L1651" t="str">
        <f t="shared" si="128"/>
        <v/>
      </c>
      <c r="M1651" t="str">
        <f t="shared" si="129"/>
        <v/>
      </c>
    </row>
    <row r="1652" spans="1:13" x14ac:dyDescent="0.3">
      <c r="A1652" t="str">
        <f>Segmenter!A1652</f>
        <v/>
      </c>
      <c r="B1652" t="str">
        <f>Segmenter!B1652</f>
        <v/>
      </c>
      <c r="C1652" t="str">
        <f t="shared" si="125"/>
        <v/>
      </c>
      <c r="D1652" t="str">
        <f t="shared" si="126"/>
        <v/>
      </c>
      <c r="E1652" t="str">
        <f t="shared" si="127"/>
        <v/>
      </c>
      <c r="F1652" t="str">
        <f>IF(D1652="","",INDEX(Knutepunkter!$B:$B,D1652+1))</f>
        <v/>
      </c>
      <c r="G1652" t="str">
        <f>IF(D1652="","",INDEX(Knutepunkter!$C:$C,D1652+1))</f>
        <v/>
      </c>
      <c r="H1652" t="str">
        <f>IF(D1652="","",INDEX(Knutepunkter!$D:$D,D1652+1))</f>
        <v/>
      </c>
      <c r="I1652" t="str">
        <f>IF(E1652="","",INDEX(Knutepunkter!$B:$B,E1652+1))</f>
        <v/>
      </c>
      <c r="J1652" t="str">
        <f>IF(E1652="","",INDEX(Knutepunkter!$C:$C,E1652+1))</f>
        <v/>
      </c>
      <c r="K1652" t="str">
        <f>IF(E1652="","",INDEX(Knutepunkter!$D:$D,E1652+1))</f>
        <v/>
      </c>
      <c r="L1652" t="str">
        <f t="shared" si="128"/>
        <v/>
      </c>
      <c r="M1652" t="str">
        <f t="shared" si="129"/>
        <v/>
      </c>
    </row>
    <row r="1653" spans="1:13" x14ac:dyDescent="0.3">
      <c r="A1653" t="str">
        <f>Segmenter!A1653</f>
        <v/>
      </c>
      <c r="B1653" t="str">
        <f>Segmenter!B1653</f>
        <v/>
      </c>
      <c r="C1653" t="str">
        <f t="shared" si="125"/>
        <v/>
      </c>
      <c r="D1653" t="str">
        <f t="shared" si="126"/>
        <v/>
      </c>
      <c r="E1653" t="str">
        <f t="shared" si="127"/>
        <v/>
      </c>
      <c r="F1653" t="str">
        <f>IF(D1653="","",INDEX(Knutepunkter!$B:$B,D1653+1))</f>
        <v/>
      </c>
      <c r="G1653" t="str">
        <f>IF(D1653="","",INDEX(Knutepunkter!$C:$C,D1653+1))</f>
        <v/>
      </c>
      <c r="H1653" t="str">
        <f>IF(D1653="","",INDEX(Knutepunkter!$D:$D,D1653+1))</f>
        <v/>
      </c>
      <c r="I1653" t="str">
        <f>IF(E1653="","",INDEX(Knutepunkter!$B:$B,E1653+1))</f>
        <v/>
      </c>
      <c r="J1653" t="str">
        <f>IF(E1653="","",INDEX(Knutepunkter!$C:$C,E1653+1))</f>
        <v/>
      </c>
      <c r="K1653" t="str">
        <f>IF(E1653="","",INDEX(Knutepunkter!$D:$D,E1653+1))</f>
        <v/>
      </c>
      <c r="L1653" t="str">
        <f t="shared" si="128"/>
        <v/>
      </c>
      <c r="M1653" t="str">
        <f t="shared" si="129"/>
        <v/>
      </c>
    </row>
    <row r="1654" spans="1:13" x14ac:dyDescent="0.3">
      <c r="A1654" t="str">
        <f>Segmenter!A1654</f>
        <v/>
      </c>
      <c r="B1654" t="str">
        <f>Segmenter!B1654</f>
        <v/>
      </c>
      <c r="C1654" t="str">
        <f t="shared" si="125"/>
        <v/>
      </c>
      <c r="D1654" t="str">
        <f t="shared" si="126"/>
        <v/>
      </c>
      <c r="E1654" t="str">
        <f t="shared" si="127"/>
        <v/>
      </c>
      <c r="F1654" t="str">
        <f>IF(D1654="","",INDEX(Knutepunkter!$B:$B,D1654+1))</f>
        <v/>
      </c>
      <c r="G1654" t="str">
        <f>IF(D1654="","",INDEX(Knutepunkter!$C:$C,D1654+1))</f>
        <v/>
      </c>
      <c r="H1654" t="str">
        <f>IF(D1654="","",INDEX(Knutepunkter!$D:$D,D1654+1))</f>
        <v/>
      </c>
      <c r="I1654" t="str">
        <f>IF(E1654="","",INDEX(Knutepunkter!$B:$B,E1654+1))</f>
        <v/>
      </c>
      <c r="J1654" t="str">
        <f>IF(E1654="","",INDEX(Knutepunkter!$C:$C,E1654+1))</f>
        <v/>
      </c>
      <c r="K1654" t="str">
        <f>IF(E1654="","",INDEX(Knutepunkter!$D:$D,E1654+1))</f>
        <v/>
      </c>
      <c r="L1654" t="str">
        <f t="shared" si="128"/>
        <v/>
      </c>
      <c r="M1654" t="str">
        <f t="shared" si="129"/>
        <v/>
      </c>
    </row>
    <row r="1655" spans="1:13" x14ac:dyDescent="0.3">
      <c r="A1655" t="str">
        <f>Segmenter!A1655</f>
        <v/>
      </c>
      <c r="B1655" t="str">
        <f>Segmenter!B1655</f>
        <v/>
      </c>
      <c r="C1655" t="str">
        <f t="shared" si="125"/>
        <v/>
      </c>
      <c r="D1655" t="str">
        <f t="shared" si="126"/>
        <v/>
      </c>
      <c r="E1655" t="str">
        <f t="shared" si="127"/>
        <v/>
      </c>
      <c r="F1655" t="str">
        <f>IF(D1655="","",INDEX(Knutepunkter!$B:$B,D1655+1))</f>
        <v/>
      </c>
      <c r="G1655" t="str">
        <f>IF(D1655="","",INDEX(Knutepunkter!$C:$C,D1655+1))</f>
        <v/>
      </c>
      <c r="H1655" t="str">
        <f>IF(D1655="","",INDEX(Knutepunkter!$D:$D,D1655+1))</f>
        <v/>
      </c>
      <c r="I1655" t="str">
        <f>IF(E1655="","",INDEX(Knutepunkter!$B:$B,E1655+1))</f>
        <v/>
      </c>
      <c r="J1655" t="str">
        <f>IF(E1655="","",INDEX(Knutepunkter!$C:$C,E1655+1))</f>
        <v/>
      </c>
      <c r="K1655" t="str">
        <f>IF(E1655="","",INDEX(Knutepunkter!$D:$D,E1655+1))</f>
        <v/>
      </c>
      <c r="L1655" t="str">
        <f t="shared" si="128"/>
        <v/>
      </c>
      <c r="M1655" t="str">
        <f t="shared" si="129"/>
        <v/>
      </c>
    </row>
    <row r="1656" spans="1:13" x14ac:dyDescent="0.3">
      <c r="A1656" t="str">
        <f>Segmenter!A1656</f>
        <v/>
      </c>
      <c r="B1656" t="str">
        <f>Segmenter!B1656</f>
        <v/>
      </c>
      <c r="C1656" t="str">
        <f t="shared" si="125"/>
        <v/>
      </c>
      <c r="D1656" t="str">
        <f t="shared" si="126"/>
        <v/>
      </c>
      <c r="E1656" t="str">
        <f t="shared" si="127"/>
        <v/>
      </c>
      <c r="F1656" t="str">
        <f>IF(D1656="","",INDEX(Knutepunkter!$B:$B,D1656+1))</f>
        <v/>
      </c>
      <c r="G1656" t="str">
        <f>IF(D1656="","",INDEX(Knutepunkter!$C:$C,D1656+1))</f>
        <v/>
      </c>
      <c r="H1656" t="str">
        <f>IF(D1656="","",INDEX(Knutepunkter!$D:$D,D1656+1))</f>
        <v/>
      </c>
      <c r="I1656" t="str">
        <f>IF(E1656="","",INDEX(Knutepunkter!$B:$B,E1656+1))</f>
        <v/>
      </c>
      <c r="J1656" t="str">
        <f>IF(E1656="","",INDEX(Knutepunkter!$C:$C,E1656+1))</f>
        <v/>
      </c>
      <c r="K1656" t="str">
        <f>IF(E1656="","",INDEX(Knutepunkter!$D:$D,E1656+1))</f>
        <v/>
      </c>
      <c r="L1656" t="str">
        <f t="shared" si="128"/>
        <v/>
      </c>
      <c r="M1656" t="str">
        <f t="shared" si="129"/>
        <v/>
      </c>
    </row>
    <row r="1657" spans="1:13" x14ac:dyDescent="0.3">
      <c r="A1657" t="str">
        <f>Segmenter!A1657</f>
        <v/>
      </c>
      <c r="B1657" t="str">
        <f>Segmenter!B1657</f>
        <v/>
      </c>
      <c r="C1657" t="str">
        <f t="shared" si="125"/>
        <v/>
      </c>
      <c r="D1657" t="str">
        <f t="shared" si="126"/>
        <v/>
      </c>
      <c r="E1657" t="str">
        <f t="shared" si="127"/>
        <v/>
      </c>
      <c r="F1657" t="str">
        <f>IF(D1657="","",INDEX(Knutepunkter!$B:$B,D1657+1))</f>
        <v/>
      </c>
      <c r="G1657" t="str">
        <f>IF(D1657="","",INDEX(Knutepunkter!$C:$C,D1657+1))</f>
        <v/>
      </c>
      <c r="H1657" t="str">
        <f>IF(D1657="","",INDEX(Knutepunkter!$D:$D,D1657+1))</f>
        <v/>
      </c>
      <c r="I1657" t="str">
        <f>IF(E1657="","",INDEX(Knutepunkter!$B:$B,E1657+1))</f>
        <v/>
      </c>
      <c r="J1657" t="str">
        <f>IF(E1657="","",INDEX(Knutepunkter!$C:$C,E1657+1))</f>
        <v/>
      </c>
      <c r="K1657" t="str">
        <f>IF(E1657="","",INDEX(Knutepunkter!$D:$D,E1657+1))</f>
        <v/>
      </c>
      <c r="L1657" t="str">
        <f t="shared" si="128"/>
        <v/>
      </c>
      <c r="M1657" t="str">
        <f t="shared" si="129"/>
        <v/>
      </c>
    </row>
    <row r="1658" spans="1:13" x14ac:dyDescent="0.3">
      <c r="A1658" t="str">
        <f>Segmenter!A1658</f>
        <v/>
      </c>
      <c r="B1658" t="str">
        <f>Segmenter!B1658</f>
        <v/>
      </c>
      <c r="C1658" t="str">
        <f t="shared" si="125"/>
        <v/>
      </c>
      <c r="D1658" t="str">
        <f t="shared" si="126"/>
        <v/>
      </c>
      <c r="E1658" t="str">
        <f t="shared" si="127"/>
        <v/>
      </c>
      <c r="F1658" t="str">
        <f>IF(D1658="","",INDEX(Knutepunkter!$B:$B,D1658+1))</f>
        <v/>
      </c>
      <c r="G1658" t="str">
        <f>IF(D1658="","",INDEX(Knutepunkter!$C:$C,D1658+1))</f>
        <v/>
      </c>
      <c r="H1658" t="str">
        <f>IF(D1658="","",INDEX(Knutepunkter!$D:$D,D1658+1))</f>
        <v/>
      </c>
      <c r="I1658" t="str">
        <f>IF(E1658="","",INDEX(Knutepunkter!$B:$B,E1658+1))</f>
        <v/>
      </c>
      <c r="J1658" t="str">
        <f>IF(E1658="","",INDEX(Knutepunkter!$C:$C,E1658+1))</f>
        <v/>
      </c>
      <c r="K1658" t="str">
        <f>IF(E1658="","",INDEX(Knutepunkter!$D:$D,E1658+1))</f>
        <v/>
      </c>
      <c r="L1658" t="str">
        <f t="shared" si="128"/>
        <v/>
      </c>
      <c r="M1658" t="str">
        <f t="shared" si="129"/>
        <v/>
      </c>
    </row>
    <row r="1659" spans="1:13" x14ac:dyDescent="0.3">
      <c r="A1659" t="str">
        <f>Segmenter!A1659</f>
        <v/>
      </c>
      <c r="B1659" t="str">
        <f>Segmenter!B1659</f>
        <v/>
      </c>
      <c r="C1659" t="str">
        <f t="shared" si="125"/>
        <v/>
      </c>
      <c r="D1659" t="str">
        <f t="shared" si="126"/>
        <v/>
      </c>
      <c r="E1659" t="str">
        <f t="shared" si="127"/>
        <v/>
      </c>
      <c r="F1659" t="str">
        <f>IF(D1659="","",INDEX(Knutepunkter!$B:$B,D1659+1))</f>
        <v/>
      </c>
      <c r="G1659" t="str">
        <f>IF(D1659="","",INDEX(Knutepunkter!$C:$C,D1659+1))</f>
        <v/>
      </c>
      <c r="H1659" t="str">
        <f>IF(D1659="","",INDEX(Knutepunkter!$D:$D,D1659+1))</f>
        <v/>
      </c>
      <c r="I1659" t="str">
        <f>IF(E1659="","",INDEX(Knutepunkter!$B:$B,E1659+1))</f>
        <v/>
      </c>
      <c r="J1659" t="str">
        <f>IF(E1659="","",INDEX(Knutepunkter!$C:$C,E1659+1))</f>
        <v/>
      </c>
      <c r="K1659" t="str">
        <f>IF(E1659="","",INDEX(Knutepunkter!$D:$D,E1659+1))</f>
        <v/>
      </c>
      <c r="L1659" t="str">
        <f t="shared" si="128"/>
        <v/>
      </c>
      <c r="M1659" t="str">
        <f t="shared" si="129"/>
        <v/>
      </c>
    </row>
    <row r="1660" spans="1:13" x14ac:dyDescent="0.3">
      <c r="A1660" t="str">
        <f>Segmenter!A1660</f>
        <v/>
      </c>
      <c r="B1660" t="str">
        <f>Segmenter!B1660</f>
        <v/>
      </c>
      <c r="C1660" t="str">
        <f t="shared" si="125"/>
        <v/>
      </c>
      <c r="D1660" t="str">
        <f t="shared" si="126"/>
        <v/>
      </c>
      <c r="E1660" t="str">
        <f t="shared" si="127"/>
        <v/>
      </c>
      <c r="F1660" t="str">
        <f>IF(D1660="","",INDEX(Knutepunkter!$B:$B,D1660+1))</f>
        <v/>
      </c>
      <c r="G1660" t="str">
        <f>IF(D1660="","",INDEX(Knutepunkter!$C:$C,D1660+1))</f>
        <v/>
      </c>
      <c r="H1660" t="str">
        <f>IF(D1660="","",INDEX(Knutepunkter!$D:$D,D1660+1))</f>
        <v/>
      </c>
      <c r="I1660" t="str">
        <f>IF(E1660="","",INDEX(Knutepunkter!$B:$B,E1660+1))</f>
        <v/>
      </c>
      <c r="J1660" t="str">
        <f>IF(E1660="","",INDEX(Knutepunkter!$C:$C,E1660+1))</f>
        <v/>
      </c>
      <c r="K1660" t="str">
        <f>IF(E1660="","",INDEX(Knutepunkter!$D:$D,E1660+1))</f>
        <v/>
      </c>
      <c r="L1660" t="str">
        <f t="shared" si="128"/>
        <v/>
      </c>
      <c r="M1660" t="str">
        <f t="shared" si="129"/>
        <v/>
      </c>
    </row>
    <row r="1661" spans="1:13" x14ac:dyDescent="0.3">
      <c r="A1661" t="str">
        <f>Segmenter!A1661</f>
        <v/>
      </c>
      <c r="B1661" t="str">
        <f>Segmenter!B1661</f>
        <v/>
      </c>
      <c r="C1661" t="str">
        <f t="shared" si="125"/>
        <v/>
      </c>
      <c r="D1661" t="str">
        <f t="shared" si="126"/>
        <v/>
      </c>
      <c r="E1661" t="str">
        <f t="shared" si="127"/>
        <v/>
      </c>
      <c r="F1661" t="str">
        <f>IF(D1661="","",INDEX(Knutepunkter!$B:$B,D1661+1))</f>
        <v/>
      </c>
      <c r="G1661" t="str">
        <f>IF(D1661="","",INDEX(Knutepunkter!$C:$C,D1661+1))</f>
        <v/>
      </c>
      <c r="H1661" t="str">
        <f>IF(D1661="","",INDEX(Knutepunkter!$D:$D,D1661+1))</f>
        <v/>
      </c>
      <c r="I1661" t="str">
        <f>IF(E1661="","",INDEX(Knutepunkter!$B:$B,E1661+1))</f>
        <v/>
      </c>
      <c r="J1661" t="str">
        <f>IF(E1661="","",INDEX(Knutepunkter!$C:$C,E1661+1))</f>
        <v/>
      </c>
      <c r="K1661" t="str">
        <f>IF(E1661="","",INDEX(Knutepunkter!$D:$D,E1661+1))</f>
        <v/>
      </c>
      <c r="L1661" t="str">
        <f t="shared" si="128"/>
        <v/>
      </c>
      <c r="M1661" t="str">
        <f t="shared" si="129"/>
        <v/>
      </c>
    </row>
    <row r="1662" spans="1:13" x14ac:dyDescent="0.3">
      <c r="A1662" t="str">
        <f>Segmenter!A1662</f>
        <v/>
      </c>
      <c r="B1662" t="str">
        <f>Segmenter!B1662</f>
        <v/>
      </c>
      <c r="C1662" t="str">
        <f t="shared" si="125"/>
        <v/>
      </c>
      <c r="D1662" t="str">
        <f t="shared" si="126"/>
        <v/>
      </c>
      <c r="E1662" t="str">
        <f t="shared" si="127"/>
        <v/>
      </c>
      <c r="F1662" t="str">
        <f>IF(D1662="","",INDEX(Knutepunkter!$B:$B,D1662+1))</f>
        <v/>
      </c>
      <c r="G1662" t="str">
        <f>IF(D1662="","",INDEX(Knutepunkter!$C:$C,D1662+1))</f>
        <v/>
      </c>
      <c r="H1662" t="str">
        <f>IF(D1662="","",INDEX(Knutepunkter!$D:$D,D1662+1))</f>
        <v/>
      </c>
      <c r="I1662" t="str">
        <f>IF(E1662="","",INDEX(Knutepunkter!$B:$B,E1662+1))</f>
        <v/>
      </c>
      <c r="J1662" t="str">
        <f>IF(E1662="","",INDEX(Knutepunkter!$C:$C,E1662+1))</f>
        <v/>
      </c>
      <c r="K1662" t="str">
        <f>IF(E1662="","",INDEX(Knutepunkter!$D:$D,E1662+1))</f>
        <v/>
      </c>
      <c r="L1662" t="str">
        <f t="shared" si="128"/>
        <v/>
      </c>
      <c r="M1662" t="str">
        <f t="shared" si="129"/>
        <v/>
      </c>
    </row>
    <row r="1663" spans="1:13" x14ac:dyDescent="0.3">
      <c r="A1663" t="str">
        <f>Segmenter!A1663</f>
        <v/>
      </c>
      <c r="B1663" t="str">
        <f>Segmenter!B1663</f>
        <v/>
      </c>
      <c r="C1663" t="str">
        <f t="shared" si="125"/>
        <v/>
      </c>
      <c r="D1663" t="str">
        <f t="shared" si="126"/>
        <v/>
      </c>
      <c r="E1663" t="str">
        <f t="shared" si="127"/>
        <v/>
      </c>
      <c r="F1663" t="str">
        <f>IF(D1663="","",INDEX(Knutepunkter!$B:$B,D1663+1))</f>
        <v/>
      </c>
      <c r="G1663" t="str">
        <f>IF(D1663="","",INDEX(Knutepunkter!$C:$C,D1663+1))</f>
        <v/>
      </c>
      <c r="H1663" t="str">
        <f>IF(D1663="","",INDEX(Knutepunkter!$D:$D,D1663+1))</f>
        <v/>
      </c>
      <c r="I1663" t="str">
        <f>IF(E1663="","",INDEX(Knutepunkter!$B:$B,E1663+1))</f>
        <v/>
      </c>
      <c r="J1663" t="str">
        <f>IF(E1663="","",INDEX(Knutepunkter!$C:$C,E1663+1))</f>
        <v/>
      </c>
      <c r="K1663" t="str">
        <f>IF(E1663="","",INDEX(Knutepunkter!$D:$D,E1663+1))</f>
        <v/>
      </c>
      <c r="L1663" t="str">
        <f t="shared" si="128"/>
        <v/>
      </c>
      <c r="M1663" t="str">
        <f t="shared" si="129"/>
        <v/>
      </c>
    </row>
    <row r="1664" spans="1:13" x14ac:dyDescent="0.3">
      <c r="A1664" t="str">
        <f>Segmenter!A1664</f>
        <v/>
      </c>
      <c r="B1664" t="str">
        <f>Segmenter!B1664</f>
        <v/>
      </c>
      <c r="C1664" t="str">
        <f t="shared" si="125"/>
        <v/>
      </c>
      <c r="D1664" t="str">
        <f t="shared" si="126"/>
        <v/>
      </c>
      <c r="E1664" t="str">
        <f t="shared" si="127"/>
        <v/>
      </c>
      <c r="F1664" t="str">
        <f>IF(D1664="","",INDEX(Knutepunkter!$B:$B,D1664+1))</f>
        <v/>
      </c>
      <c r="G1664" t="str">
        <f>IF(D1664="","",INDEX(Knutepunkter!$C:$C,D1664+1))</f>
        <v/>
      </c>
      <c r="H1664" t="str">
        <f>IF(D1664="","",INDEX(Knutepunkter!$D:$D,D1664+1))</f>
        <v/>
      </c>
      <c r="I1664" t="str">
        <f>IF(E1664="","",INDEX(Knutepunkter!$B:$B,E1664+1))</f>
        <v/>
      </c>
      <c r="J1664" t="str">
        <f>IF(E1664="","",INDEX(Knutepunkter!$C:$C,E1664+1))</f>
        <v/>
      </c>
      <c r="K1664" t="str">
        <f>IF(E1664="","",INDEX(Knutepunkter!$D:$D,E1664+1))</f>
        <v/>
      </c>
      <c r="L1664" t="str">
        <f t="shared" si="128"/>
        <v/>
      </c>
      <c r="M1664" t="str">
        <f t="shared" si="129"/>
        <v/>
      </c>
    </row>
    <row r="1665" spans="1:13" x14ac:dyDescent="0.3">
      <c r="A1665" t="str">
        <f>Segmenter!A1665</f>
        <v/>
      </c>
      <c r="B1665" t="str">
        <f>Segmenter!B1665</f>
        <v/>
      </c>
      <c r="C1665" t="str">
        <f t="shared" si="125"/>
        <v/>
      </c>
      <c r="D1665" t="str">
        <f t="shared" si="126"/>
        <v/>
      </c>
      <c r="E1665" t="str">
        <f t="shared" si="127"/>
        <v/>
      </c>
      <c r="F1665" t="str">
        <f>IF(D1665="","",INDEX(Knutepunkter!$B:$B,D1665+1))</f>
        <v/>
      </c>
      <c r="G1665" t="str">
        <f>IF(D1665="","",INDEX(Knutepunkter!$C:$C,D1665+1))</f>
        <v/>
      </c>
      <c r="H1665" t="str">
        <f>IF(D1665="","",INDEX(Knutepunkter!$D:$D,D1665+1))</f>
        <v/>
      </c>
      <c r="I1665" t="str">
        <f>IF(E1665="","",INDEX(Knutepunkter!$B:$B,E1665+1))</f>
        <v/>
      </c>
      <c r="J1665" t="str">
        <f>IF(E1665="","",INDEX(Knutepunkter!$C:$C,E1665+1))</f>
        <v/>
      </c>
      <c r="K1665" t="str">
        <f>IF(E1665="","",INDEX(Knutepunkter!$D:$D,E1665+1))</f>
        <v/>
      </c>
      <c r="L1665" t="str">
        <f t="shared" si="128"/>
        <v/>
      </c>
      <c r="M1665" t="str">
        <f t="shared" si="129"/>
        <v/>
      </c>
    </row>
    <row r="1666" spans="1:13" x14ac:dyDescent="0.3">
      <c r="A1666" t="str">
        <f>Segmenter!A1666</f>
        <v/>
      </c>
      <c r="B1666" t="str">
        <f>Segmenter!B1666</f>
        <v/>
      </c>
      <c r="C1666" t="str">
        <f t="shared" ref="C1666:C1729" si="130">IF(B1666="","",IF(AND(F1666=I1666,G1666=J1666,H1666&lt;&gt;K1666),"Søyle","Bjelke"))</f>
        <v/>
      </c>
      <c r="D1666" t="str">
        <f t="shared" ref="D1666:D1729" si="131">IF(B1666="","",VALUE(LEFT(B1666,FIND(" -&gt; ",B1666)-1)))</f>
        <v/>
      </c>
      <c r="E1666" t="str">
        <f t="shared" ref="E1666:E1729" si="132">IF(B1666="","",VALUE(MID(B1666,FIND(" -&gt; ",B1666)+4,99)))</f>
        <v/>
      </c>
      <c r="F1666" t="str">
        <f>IF(D1666="","",INDEX(Knutepunkter!$B:$B,D1666+1))</f>
        <v/>
      </c>
      <c r="G1666" t="str">
        <f>IF(D1666="","",INDEX(Knutepunkter!$C:$C,D1666+1))</f>
        <v/>
      </c>
      <c r="H1666" t="str">
        <f>IF(D1666="","",INDEX(Knutepunkter!$D:$D,D1666+1))</f>
        <v/>
      </c>
      <c r="I1666" t="str">
        <f>IF(E1666="","",INDEX(Knutepunkter!$B:$B,E1666+1))</f>
        <v/>
      </c>
      <c r="J1666" t="str">
        <f>IF(E1666="","",INDEX(Knutepunkter!$C:$C,E1666+1))</f>
        <v/>
      </c>
      <c r="K1666" t="str">
        <f>IF(E1666="","",INDEX(Knutepunkter!$D:$D,E1666+1))</f>
        <v/>
      </c>
      <c r="L1666" t="str">
        <f t="shared" ref="L1666:L1729" si="133">IF(B1666="","",SQRT((I1666-F1666)^2+(J1666-G1666)^2+(K1666-H1666)^2))</f>
        <v/>
      </c>
      <c r="M1666" t="str">
        <f t="shared" ref="M1666:M1729" si="134">IF(L1666="","",L1666/1000)</f>
        <v/>
      </c>
    </row>
    <row r="1667" spans="1:13" x14ac:dyDescent="0.3">
      <c r="A1667" t="str">
        <f>Segmenter!A1667</f>
        <v/>
      </c>
      <c r="B1667" t="str">
        <f>Segmenter!B1667</f>
        <v/>
      </c>
      <c r="C1667" t="str">
        <f t="shared" si="130"/>
        <v/>
      </c>
      <c r="D1667" t="str">
        <f t="shared" si="131"/>
        <v/>
      </c>
      <c r="E1667" t="str">
        <f t="shared" si="132"/>
        <v/>
      </c>
      <c r="F1667" t="str">
        <f>IF(D1667="","",INDEX(Knutepunkter!$B:$B,D1667+1))</f>
        <v/>
      </c>
      <c r="G1667" t="str">
        <f>IF(D1667="","",INDEX(Knutepunkter!$C:$C,D1667+1))</f>
        <v/>
      </c>
      <c r="H1667" t="str">
        <f>IF(D1667="","",INDEX(Knutepunkter!$D:$D,D1667+1))</f>
        <v/>
      </c>
      <c r="I1667" t="str">
        <f>IF(E1667="","",INDEX(Knutepunkter!$B:$B,E1667+1))</f>
        <v/>
      </c>
      <c r="J1667" t="str">
        <f>IF(E1667="","",INDEX(Knutepunkter!$C:$C,E1667+1))</f>
        <v/>
      </c>
      <c r="K1667" t="str">
        <f>IF(E1667="","",INDEX(Knutepunkter!$D:$D,E1667+1))</f>
        <v/>
      </c>
      <c r="L1667" t="str">
        <f t="shared" si="133"/>
        <v/>
      </c>
      <c r="M1667" t="str">
        <f t="shared" si="134"/>
        <v/>
      </c>
    </row>
    <row r="1668" spans="1:13" x14ac:dyDescent="0.3">
      <c r="A1668" t="str">
        <f>Segmenter!A1668</f>
        <v/>
      </c>
      <c r="B1668" t="str">
        <f>Segmenter!B1668</f>
        <v/>
      </c>
      <c r="C1668" t="str">
        <f t="shared" si="130"/>
        <v/>
      </c>
      <c r="D1668" t="str">
        <f t="shared" si="131"/>
        <v/>
      </c>
      <c r="E1668" t="str">
        <f t="shared" si="132"/>
        <v/>
      </c>
      <c r="F1668" t="str">
        <f>IF(D1668="","",INDEX(Knutepunkter!$B:$B,D1668+1))</f>
        <v/>
      </c>
      <c r="G1668" t="str">
        <f>IF(D1668="","",INDEX(Knutepunkter!$C:$C,D1668+1))</f>
        <v/>
      </c>
      <c r="H1668" t="str">
        <f>IF(D1668="","",INDEX(Knutepunkter!$D:$D,D1668+1))</f>
        <v/>
      </c>
      <c r="I1668" t="str">
        <f>IF(E1668="","",INDEX(Knutepunkter!$B:$B,E1668+1))</f>
        <v/>
      </c>
      <c r="J1668" t="str">
        <f>IF(E1668="","",INDEX(Knutepunkter!$C:$C,E1668+1))</f>
        <v/>
      </c>
      <c r="K1668" t="str">
        <f>IF(E1668="","",INDEX(Knutepunkter!$D:$D,E1668+1))</f>
        <v/>
      </c>
      <c r="L1668" t="str">
        <f t="shared" si="133"/>
        <v/>
      </c>
      <c r="M1668" t="str">
        <f t="shared" si="134"/>
        <v/>
      </c>
    </row>
    <row r="1669" spans="1:13" x14ac:dyDescent="0.3">
      <c r="A1669" t="str">
        <f>Segmenter!A1669</f>
        <v/>
      </c>
      <c r="B1669" t="str">
        <f>Segmenter!B1669</f>
        <v/>
      </c>
      <c r="C1669" t="str">
        <f t="shared" si="130"/>
        <v/>
      </c>
      <c r="D1669" t="str">
        <f t="shared" si="131"/>
        <v/>
      </c>
      <c r="E1669" t="str">
        <f t="shared" si="132"/>
        <v/>
      </c>
      <c r="F1669" t="str">
        <f>IF(D1669="","",INDEX(Knutepunkter!$B:$B,D1669+1))</f>
        <v/>
      </c>
      <c r="G1669" t="str">
        <f>IF(D1669="","",INDEX(Knutepunkter!$C:$C,D1669+1))</f>
        <v/>
      </c>
      <c r="H1669" t="str">
        <f>IF(D1669="","",INDEX(Knutepunkter!$D:$D,D1669+1))</f>
        <v/>
      </c>
      <c r="I1669" t="str">
        <f>IF(E1669="","",INDEX(Knutepunkter!$B:$B,E1669+1))</f>
        <v/>
      </c>
      <c r="J1669" t="str">
        <f>IF(E1669="","",INDEX(Knutepunkter!$C:$C,E1669+1))</f>
        <v/>
      </c>
      <c r="K1669" t="str">
        <f>IF(E1669="","",INDEX(Knutepunkter!$D:$D,E1669+1))</f>
        <v/>
      </c>
      <c r="L1669" t="str">
        <f t="shared" si="133"/>
        <v/>
      </c>
      <c r="M1669" t="str">
        <f t="shared" si="134"/>
        <v/>
      </c>
    </row>
    <row r="1670" spans="1:13" x14ac:dyDescent="0.3">
      <c r="A1670" t="str">
        <f>Segmenter!A1670</f>
        <v/>
      </c>
      <c r="B1670" t="str">
        <f>Segmenter!B1670</f>
        <v/>
      </c>
      <c r="C1670" t="str">
        <f t="shared" si="130"/>
        <v/>
      </c>
      <c r="D1670" t="str">
        <f t="shared" si="131"/>
        <v/>
      </c>
      <c r="E1670" t="str">
        <f t="shared" si="132"/>
        <v/>
      </c>
      <c r="F1670" t="str">
        <f>IF(D1670="","",INDEX(Knutepunkter!$B:$B,D1670+1))</f>
        <v/>
      </c>
      <c r="G1670" t="str">
        <f>IF(D1670="","",INDEX(Knutepunkter!$C:$C,D1670+1))</f>
        <v/>
      </c>
      <c r="H1670" t="str">
        <f>IF(D1670="","",INDEX(Knutepunkter!$D:$D,D1670+1))</f>
        <v/>
      </c>
      <c r="I1670" t="str">
        <f>IF(E1670="","",INDEX(Knutepunkter!$B:$B,E1670+1))</f>
        <v/>
      </c>
      <c r="J1670" t="str">
        <f>IF(E1670="","",INDEX(Knutepunkter!$C:$C,E1670+1))</f>
        <v/>
      </c>
      <c r="K1670" t="str">
        <f>IF(E1670="","",INDEX(Knutepunkter!$D:$D,E1670+1))</f>
        <v/>
      </c>
      <c r="L1670" t="str">
        <f t="shared" si="133"/>
        <v/>
      </c>
      <c r="M1670" t="str">
        <f t="shared" si="134"/>
        <v/>
      </c>
    </row>
    <row r="1671" spans="1:13" x14ac:dyDescent="0.3">
      <c r="A1671" t="str">
        <f>Segmenter!A1671</f>
        <v/>
      </c>
      <c r="B1671" t="str">
        <f>Segmenter!B1671</f>
        <v/>
      </c>
      <c r="C1671" t="str">
        <f t="shared" si="130"/>
        <v/>
      </c>
      <c r="D1671" t="str">
        <f t="shared" si="131"/>
        <v/>
      </c>
      <c r="E1671" t="str">
        <f t="shared" si="132"/>
        <v/>
      </c>
      <c r="F1671" t="str">
        <f>IF(D1671="","",INDEX(Knutepunkter!$B:$B,D1671+1))</f>
        <v/>
      </c>
      <c r="G1671" t="str">
        <f>IF(D1671="","",INDEX(Knutepunkter!$C:$C,D1671+1))</f>
        <v/>
      </c>
      <c r="H1671" t="str">
        <f>IF(D1671="","",INDEX(Knutepunkter!$D:$D,D1671+1))</f>
        <v/>
      </c>
      <c r="I1671" t="str">
        <f>IF(E1671="","",INDEX(Knutepunkter!$B:$B,E1671+1))</f>
        <v/>
      </c>
      <c r="J1671" t="str">
        <f>IF(E1671="","",INDEX(Knutepunkter!$C:$C,E1671+1))</f>
        <v/>
      </c>
      <c r="K1671" t="str">
        <f>IF(E1671="","",INDEX(Knutepunkter!$D:$D,E1671+1))</f>
        <v/>
      </c>
      <c r="L1671" t="str">
        <f t="shared" si="133"/>
        <v/>
      </c>
      <c r="M1671" t="str">
        <f t="shared" si="134"/>
        <v/>
      </c>
    </row>
    <row r="1672" spans="1:13" x14ac:dyDescent="0.3">
      <c r="A1672" t="str">
        <f>Segmenter!A1672</f>
        <v/>
      </c>
      <c r="B1672" t="str">
        <f>Segmenter!B1672</f>
        <v/>
      </c>
      <c r="C1672" t="str">
        <f t="shared" si="130"/>
        <v/>
      </c>
      <c r="D1672" t="str">
        <f t="shared" si="131"/>
        <v/>
      </c>
      <c r="E1672" t="str">
        <f t="shared" si="132"/>
        <v/>
      </c>
      <c r="F1672" t="str">
        <f>IF(D1672="","",INDEX(Knutepunkter!$B:$B,D1672+1))</f>
        <v/>
      </c>
      <c r="G1672" t="str">
        <f>IF(D1672="","",INDEX(Knutepunkter!$C:$C,D1672+1))</f>
        <v/>
      </c>
      <c r="H1672" t="str">
        <f>IF(D1672="","",INDEX(Knutepunkter!$D:$D,D1672+1))</f>
        <v/>
      </c>
      <c r="I1672" t="str">
        <f>IF(E1672="","",INDEX(Knutepunkter!$B:$B,E1672+1))</f>
        <v/>
      </c>
      <c r="J1672" t="str">
        <f>IF(E1672="","",INDEX(Knutepunkter!$C:$C,E1672+1))</f>
        <v/>
      </c>
      <c r="K1672" t="str">
        <f>IF(E1672="","",INDEX(Knutepunkter!$D:$D,E1672+1))</f>
        <v/>
      </c>
      <c r="L1672" t="str">
        <f t="shared" si="133"/>
        <v/>
      </c>
      <c r="M1672" t="str">
        <f t="shared" si="134"/>
        <v/>
      </c>
    </row>
    <row r="1673" spans="1:13" x14ac:dyDescent="0.3">
      <c r="A1673" t="str">
        <f>Segmenter!A1673</f>
        <v/>
      </c>
      <c r="B1673" t="str">
        <f>Segmenter!B1673</f>
        <v/>
      </c>
      <c r="C1673" t="str">
        <f t="shared" si="130"/>
        <v/>
      </c>
      <c r="D1673" t="str">
        <f t="shared" si="131"/>
        <v/>
      </c>
      <c r="E1673" t="str">
        <f t="shared" si="132"/>
        <v/>
      </c>
      <c r="F1673" t="str">
        <f>IF(D1673="","",INDEX(Knutepunkter!$B:$B,D1673+1))</f>
        <v/>
      </c>
      <c r="G1673" t="str">
        <f>IF(D1673="","",INDEX(Knutepunkter!$C:$C,D1673+1))</f>
        <v/>
      </c>
      <c r="H1673" t="str">
        <f>IF(D1673="","",INDEX(Knutepunkter!$D:$D,D1673+1))</f>
        <v/>
      </c>
      <c r="I1673" t="str">
        <f>IF(E1673="","",INDEX(Knutepunkter!$B:$B,E1673+1))</f>
        <v/>
      </c>
      <c r="J1673" t="str">
        <f>IF(E1673="","",INDEX(Knutepunkter!$C:$C,E1673+1))</f>
        <v/>
      </c>
      <c r="K1673" t="str">
        <f>IF(E1673="","",INDEX(Knutepunkter!$D:$D,E1673+1))</f>
        <v/>
      </c>
      <c r="L1673" t="str">
        <f t="shared" si="133"/>
        <v/>
      </c>
      <c r="M1673" t="str">
        <f t="shared" si="134"/>
        <v/>
      </c>
    </row>
    <row r="1674" spans="1:13" x14ac:dyDescent="0.3">
      <c r="A1674" t="str">
        <f>Segmenter!A1674</f>
        <v/>
      </c>
      <c r="B1674" t="str">
        <f>Segmenter!B1674</f>
        <v/>
      </c>
      <c r="C1674" t="str">
        <f t="shared" si="130"/>
        <v/>
      </c>
      <c r="D1674" t="str">
        <f t="shared" si="131"/>
        <v/>
      </c>
      <c r="E1674" t="str">
        <f t="shared" si="132"/>
        <v/>
      </c>
      <c r="F1674" t="str">
        <f>IF(D1674="","",INDEX(Knutepunkter!$B:$B,D1674+1))</f>
        <v/>
      </c>
      <c r="G1674" t="str">
        <f>IF(D1674="","",INDEX(Knutepunkter!$C:$C,D1674+1))</f>
        <v/>
      </c>
      <c r="H1674" t="str">
        <f>IF(D1674="","",INDEX(Knutepunkter!$D:$D,D1674+1))</f>
        <v/>
      </c>
      <c r="I1674" t="str">
        <f>IF(E1674="","",INDEX(Knutepunkter!$B:$B,E1674+1))</f>
        <v/>
      </c>
      <c r="J1674" t="str">
        <f>IF(E1674="","",INDEX(Knutepunkter!$C:$C,E1674+1))</f>
        <v/>
      </c>
      <c r="K1674" t="str">
        <f>IF(E1674="","",INDEX(Knutepunkter!$D:$D,E1674+1))</f>
        <v/>
      </c>
      <c r="L1674" t="str">
        <f t="shared" si="133"/>
        <v/>
      </c>
      <c r="M1674" t="str">
        <f t="shared" si="134"/>
        <v/>
      </c>
    </row>
    <row r="1675" spans="1:13" x14ac:dyDescent="0.3">
      <c r="A1675" t="str">
        <f>Segmenter!A1675</f>
        <v/>
      </c>
      <c r="B1675" t="str">
        <f>Segmenter!B1675</f>
        <v/>
      </c>
      <c r="C1675" t="str">
        <f t="shared" si="130"/>
        <v/>
      </c>
      <c r="D1675" t="str">
        <f t="shared" si="131"/>
        <v/>
      </c>
      <c r="E1675" t="str">
        <f t="shared" si="132"/>
        <v/>
      </c>
      <c r="F1675" t="str">
        <f>IF(D1675="","",INDEX(Knutepunkter!$B:$B,D1675+1))</f>
        <v/>
      </c>
      <c r="G1675" t="str">
        <f>IF(D1675="","",INDEX(Knutepunkter!$C:$C,D1675+1))</f>
        <v/>
      </c>
      <c r="H1675" t="str">
        <f>IF(D1675="","",INDEX(Knutepunkter!$D:$D,D1675+1))</f>
        <v/>
      </c>
      <c r="I1675" t="str">
        <f>IF(E1675="","",INDEX(Knutepunkter!$B:$B,E1675+1))</f>
        <v/>
      </c>
      <c r="J1675" t="str">
        <f>IF(E1675="","",INDEX(Knutepunkter!$C:$C,E1675+1))</f>
        <v/>
      </c>
      <c r="K1675" t="str">
        <f>IF(E1675="","",INDEX(Knutepunkter!$D:$D,E1675+1))</f>
        <v/>
      </c>
      <c r="L1675" t="str">
        <f t="shared" si="133"/>
        <v/>
      </c>
      <c r="M1675" t="str">
        <f t="shared" si="134"/>
        <v/>
      </c>
    </row>
    <row r="1676" spans="1:13" x14ac:dyDescent="0.3">
      <c r="A1676" t="str">
        <f>Segmenter!A1676</f>
        <v/>
      </c>
      <c r="B1676" t="str">
        <f>Segmenter!B1676</f>
        <v/>
      </c>
      <c r="C1676" t="str">
        <f t="shared" si="130"/>
        <v/>
      </c>
      <c r="D1676" t="str">
        <f t="shared" si="131"/>
        <v/>
      </c>
      <c r="E1676" t="str">
        <f t="shared" si="132"/>
        <v/>
      </c>
      <c r="F1676" t="str">
        <f>IF(D1676="","",INDEX(Knutepunkter!$B:$B,D1676+1))</f>
        <v/>
      </c>
      <c r="G1676" t="str">
        <f>IF(D1676="","",INDEX(Knutepunkter!$C:$C,D1676+1))</f>
        <v/>
      </c>
      <c r="H1676" t="str">
        <f>IF(D1676="","",INDEX(Knutepunkter!$D:$D,D1676+1))</f>
        <v/>
      </c>
      <c r="I1676" t="str">
        <f>IF(E1676="","",INDEX(Knutepunkter!$B:$B,E1676+1))</f>
        <v/>
      </c>
      <c r="J1676" t="str">
        <f>IF(E1676="","",INDEX(Knutepunkter!$C:$C,E1676+1))</f>
        <v/>
      </c>
      <c r="K1676" t="str">
        <f>IF(E1676="","",INDEX(Knutepunkter!$D:$D,E1676+1))</f>
        <v/>
      </c>
      <c r="L1676" t="str">
        <f t="shared" si="133"/>
        <v/>
      </c>
      <c r="M1676" t="str">
        <f t="shared" si="134"/>
        <v/>
      </c>
    </row>
    <row r="1677" spans="1:13" x14ac:dyDescent="0.3">
      <c r="A1677" t="str">
        <f>Segmenter!A1677</f>
        <v/>
      </c>
      <c r="B1677" t="str">
        <f>Segmenter!B1677</f>
        <v/>
      </c>
      <c r="C1677" t="str">
        <f t="shared" si="130"/>
        <v/>
      </c>
      <c r="D1677" t="str">
        <f t="shared" si="131"/>
        <v/>
      </c>
      <c r="E1677" t="str">
        <f t="shared" si="132"/>
        <v/>
      </c>
      <c r="F1677" t="str">
        <f>IF(D1677="","",INDEX(Knutepunkter!$B:$B,D1677+1))</f>
        <v/>
      </c>
      <c r="G1677" t="str">
        <f>IF(D1677="","",INDEX(Knutepunkter!$C:$C,D1677+1))</f>
        <v/>
      </c>
      <c r="H1677" t="str">
        <f>IF(D1677="","",INDEX(Knutepunkter!$D:$D,D1677+1))</f>
        <v/>
      </c>
      <c r="I1677" t="str">
        <f>IF(E1677="","",INDEX(Knutepunkter!$B:$B,E1677+1))</f>
        <v/>
      </c>
      <c r="J1677" t="str">
        <f>IF(E1677="","",INDEX(Knutepunkter!$C:$C,E1677+1))</f>
        <v/>
      </c>
      <c r="K1677" t="str">
        <f>IF(E1677="","",INDEX(Knutepunkter!$D:$D,E1677+1))</f>
        <v/>
      </c>
      <c r="L1677" t="str">
        <f t="shared" si="133"/>
        <v/>
      </c>
      <c r="M1677" t="str">
        <f t="shared" si="134"/>
        <v/>
      </c>
    </row>
    <row r="1678" spans="1:13" x14ac:dyDescent="0.3">
      <c r="A1678" t="str">
        <f>Segmenter!A1678</f>
        <v/>
      </c>
      <c r="B1678" t="str">
        <f>Segmenter!B1678</f>
        <v/>
      </c>
      <c r="C1678" t="str">
        <f t="shared" si="130"/>
        <v/>
      </c>
      <c r="D1678" t="str">
        <f t="shared" si="131"/>
        <v/>
      </c>
      <c r="E1678" t="str">
        <f t="shared" si="132"/>
        <v/>
      </c>
      <c r="F1678" t="str">
        <f>IF(D1678="","",INDEX(Knutepunkter!$B:$B,D1678+1))</f>
        <v/>
      </c>
      <c r="G1678" t="str">
        <f>IF(D1678="","",INDEX(Knutepunkter!$C:$C,D1678+1))</f>
        <v/>
      </c>
      <c r="H1678" t="str">
        <f>IF(D1678="","",INDEX(Knutepunkter!$D:$D,D1678+1))</f>
        <v/>
      </c>
      <c r="I1678" t="str">
        <f>IF(E1678="","",INDEX(Knutepunkter!$B:$B,E1678+1))</f>
        <v/>
      </c>
      <c r="J1678" t="str">
        <f>IF(E1678="","",INDEX(Knutepunkter!$C:$C,E1678+1))</f>
        <v/>
      </c>
      <c r="K1678" t="str">
        <f>IF(E1678="","",INDEX(Knutepunkter!$D:$D,E1678+1))</f>
        <v/>
      </c>
      <c r="L1678" t="str">
        <f t="shared" si="133"/>
        <v/>
      </c>
      <c r="M1678" t="str">
        <f t="shared" si="134"/>
        <v/>
      </c>
    </row>
    <row r="1679" spans="1:13" x14ac:dyDescent="0.3">
      <c r="A1679" t="str">
        <f>Segmenter!A1679</f>
        <v/>
      </c>
      <c r="B1679" t="str">
        <f>Segmenter!B1679</f>
        <v/>
      </c>
      <c r="C1679" t="str">
        <f t="shared" si="130"/>
        <v/>
      </c>
      <c r="D1679" t="str">
        <f t="shared" si="131"/>
        <v/>
      </c>
      <c r="E1679" t="str">
        <f t="shared" si="132"/>
        <v/>
      </c>
      <c r="F1679" t="str">
        <f>IF(D1679="","",INDEX(Knutepunkter!$B:$B,D1679+1))</f>
        <v/>
      </c>
      <c r="G1679" t="str">
        <f>IF(D1679="","",INDEX(Knutepunkter!$C:$C,D1679+1))</f>
        <v/>
      </c>
      <c r="H1679" t="str">
        <f>IF(D1679="","",INDEX(Knutepunkter!$D:$D,D1679+1))</f>
        <v/>
      </c>
      <c r="I1679" t="str">
        <f>IF(E1679="","",INDEX(Knutepunkter!$B:$B,E1679+1))</f>
        <v/>
      </c>
      <c r="J1679" t="str">
        <f>IF(E1679="","",INDEX(Knutepunkter!$C:$C,E1679+1))</f>
        <v/>
      </c>
      <c r="K1679" t="str">
        <f>IF(E1679="","",INDEX(Knutepunkter!$D:$D,E1679+1))</f>
        <v/>
      </c>
      <c r="L1679" t="str">
        <f t="shared" si="133"/>
        <v/>
      </c>
      <c r="M1679" t="str">
        <f t="shared" si="134"/>
        <v/>
      </c>
    </row>
    <row r="1680" spans="1:13" x14ac:dyDescent="0.3">
      <c r="A1680" t="str">
        <f>Segmenter!A1680</f>
        <v/>
      </c>
      <c r="B1680" t="str">
        <f>Segmenter!B1680</f>
        <v/>
      </c>
      <c r="C1680" t="str">
        <f t="shared" si="130"/>
        <v/>
      </c>
      <c r="D1680" t="str">
        <f t="shared" si="131"/>
        <v/>
      </c>
      <c r="E1680" t="str">
        <f t="shared" si="132"/>
        <v/>
      </c>
      <c r="F1680" t="str">
        <f>IF(D1680="","",INDEX(Knutepunkter!$B:$B,D1680+1))</f>
        <v/>
      </c>
      <c r="G1680" t="str">
        <f>IF(D1680="","",INDEX(Knutepunkter!$C:$C,D1680+1))</f>
        <v/>
      </c>
      <c r="H1680" t="str">
        <f>IF(D1680="","",INDEX(Knutepunkter!$D:$D,D1680+1))</f>
        <v/>
      </c>
      <c r="I1680" t="str">
        <f>IF(E1680="","",INDEX(Knutepunkter!$B:$B,E1680+1))</f>
        <v/>
      </c>
      <c r="J1680" t="str">
        <f>IF(E1680="","",INDEX(Knutepunkter!$C:$C,E1680+1))</f>
        <v/>
      </c>
      <c r="K1680" t="str">
        <f>IF(E1680="","",INDEX(Knutepunkter!$D:$D,E1680+1))</f>
        <v/>
      </c>
      <c r="L1680" t="str">
        <f t="shared" si="133"/>
        <v/>
      </c>
      <c r="M1680" t="str">
        <f t="shared" si="134"/>
        <v/>
      </c>
    </row>
    <row r="1681" spans="1:13" x14ac:dyDescent="0.3">
      <c r="A1681" t="str">
        <f>Segmenter!A1681</f>
        <v/>
      </c>
      <c r="B1681" t="str">
        <f>Segmenter!B1681</f>
        <v/>
      </c>
      <c r="C1681" t="str">
        <f t="shared" si="130"/>
        <v/>
      </c>
      <c r="D1681" t="str">
        <f t="shared" si="131"/>
        <v/>
      </c>
      <c r="E1681" t="str">
        <f t="shared" si="132"/>
        <v/>
      </c>
      <c r="F1681" t="str">
        <f>IF(D1681="","",INDEX(Knutepunkter!$B:$B,D1681+1))</f>
        <v/>
      </c>
      <c r="G1681" t="str">
        <f>IF(D1681="","",INDEX(Knutepunkter!$C:$C,D1681+1))</f>
        <v/>
      </c>
      <c r="H1681" t="str">
        <f>IF(D1681="","",INDEX(Knutepunkter!$D:$D,D1681+1))</f>
        <v/>
      </c>
      <c r="I1681" t="str">
        <f>IF(E1681="","",INDEX(Knutepunkter!$B:$B,E1681+1))</f>
        <v/>
      </c>
      <c r="J1681" t="str">
        <f>IF(E1681="","",INDEX(Knutepunkter!$C:$C,E1681+1))</f>
        <v/>
      </c>
      <c r="K1681" t="str">
        <f>IF(E1681="","",INDEX(Knutepunkter!$D:$D,E1681+1))</f>
        <v/>
      </c>
      <c r="L1681" t="str">
        <f t="shared" si="133"/>
        <v/>
      </c>
      <c r="M1681" t="str">
        <f t="shared" si="134"/>
        <v/>
      </c>
    </row>
    <row r="1682" spans="1:13" x14ac:dyDescent="0.3">
      <c r="A1682" t="str">
        <f>Segmenter!A1682</f>
        <v/>
      </c>
      <c r="B1682" t="str">
        <f>Segmenter!B1682</f>
        <v/>
      </c>
      <c r="C1682" t="str">
        <f t="shared" si="130"/>
        <v/>
      </c>
      <c r="D1682" t="str">
        <f t="shared" si="131"/>
        <v/>
      </c>
      <c r="E1682" t="str">
        <f t="shared" si="132"/>
        <v/>
      </c>
      <c r="F1682" t="str">
        <f>IF(D1682="","",INDEX(Knutepunkter!$B:$B,D1682+1))</f>
        <v/>
      </c>
      <c r="G1682" t="str">
        <f>IF(D1682="","",INDEX(Knutepunkter!$C:$C,D1682+1))</f>
        <v/>
      </c>
      <c r="H1682" t="str">
        <f>IF(D1682="","",INDEX(Knutepunkter!$D:$D,D1682+1))</f>
        <v/>
      </c>
      <c r="I1682" t="str">
        <f>IF(E1682="","",INDEX(Knutepunkter!$B:$B,E1682+1))</f>
        <v/>
      </c>
      <c r="J1682" t="str">
        <f>IF(E1682="","",INDEX(Knutepunkter!$C:$C,E1682+1))</f>
        <v/>
      </c>
      <c r="K1682" t="str">
        <f>IF(E1682="","",INDEX(Knutepunkter!$D:$D,E1682+1))</f>
        <v/>
      </c>
      <c r="L1682" t="str">
        <f t="shared" si="133"/>
        <v/>
      </c>
      <c r="M1682" t="str">
        <f t="shared" si="134"/>
        <v/>
      </c>
    </row>
    <row r="1683" spans="1:13" x14ac:dyDescent="0.3">
      <c r="A1683" t="str">
        <f>Segmenter!A1683</f>
        <v/>
      </c>
      <c r="B1683" t="str">
        <f>Segmenter!B1683</f>
        <v/>
      </c>
      <c r="C1683" t="str">
        <f t="shared" si="130"/>
        <v/>
      </c>
      <c r="D1683" t="str">
        <f t="shared" si="131"/>
        <v/>
      </c>
      <c r="E1683" t="str">
        <f t="shared" si="132"/>
        <v/>
      </c>
      <c r="F1683" t="str">
        <f>IF(D1683="","",INDEX(Knutepunkter!$B:$B,D1683+1))</f>
        <v/>
      </c>
      <c r="G1683" t="str">
        <f>IF(D1683="","",INDEX(Knutepunkter!$C:$C,D1683+1))</f>
        <v/>
      </c>
      <c r="H1683" t="str">
        <f>IF(D1683="","",INDEX(Knutepunkter!$D:$D,D1683+1))</f>
        <v/>
      </c>
      <c r="I1683" t="str">
        <f>IF(E1683="","",INDEX(Knutepunkter!$B:$B,E1683+1))</f>
        <v/>
      </c>
      <c r="J1683" t="str">
        <f>IF(E1683="","",INDEX(Knutepunkter!$C:$C,E1683+1))</f>
        <v/>
      </c>
      <c r="K1683" t="str">
        <f>IF(E1683="","",INDEX(Knutepunkter!$D:$D,E1683+1))</f>
        <v/>
      </c>
      <c r="L1683" t="str">
        <f t="shared" si="133"/>
        <v/>
      </c>
      <c r="M1683" t="str">
        <f t="shared" si="134"/>
        <v/>
      </c>
    </row>
    <row r="1684" spans="1:13" x14ac:dyDescent="0.3">
      <c r="A1684" t="str">
        <f>Segmenter!A1684</f>
        <v/>
      </c>
      <c r="B1684" t="str">
        <f>Segmenter!B1684</f>
        <v/>
      </c>
      <c r="C1684" t="str">
        <f t="shared" si="130"/>
        <v/>
      </c>
      <c r="D1684" t="str">
        <f t="shared" si="131"/>
        <v/>
      </c>
      <c r="E1684" t="str">
        <f t="shared" si="132"/>
        <v/>
      </c>
      <c r="F1684" t="str">
        <f>IF(D1684="","",INDEX(Knutepunkter!$B:$B,D1684+1))</f>
        <v/>
      </c>
      <c r="G1684" t="str">
        <f>IF(D1684="","",INDEX(Knutepunkter!$C:$C,D1684+1))</f>
        <v/>
      </c>
      <c r="H1684" t="str">
        <f>IF(D1684="","",INDEX(Knutepunkter!$D:$D,D1684+1))</f>
        <v/>
      </c>
      <c r="I1684" t="str">
        <f>IF(E1684="","",INDEX(Knutepunkter!$B:$B,E1684+1))</f>
        <v/>
      </c>
      <c r="J1684" t="str">
        <f>IF(E1684="","",INDEX(Knutepunkter!$C:$C,E1684+1))</f>
        <v/>
      </c>
      <c r="K1684" t="str">
        <f>IF(E1684="","",INDEX(Knutepunkter!$D:$D,E1684+1))</f>
        <v/>
      </c>
      <c r="L1684" t="str">
        <f t="shared" si="133"/>
        <v/>
      </c>
      <c r="M1684" t="str">
        <f t="shared" si="134"/>
        <v/>
      </c>
    </row>
    <row r="1685" spans="1:13" x14ac:dyDescent="0.3">
      <c r="A1685" t="str">
        <f>Segmenter!A1685</f>
        <v/>
      </c>
      <c r="B1685" t="str">
        <f>Segmenter!B1685</f>
        <v/>
      </c>
      <c r="C1685" t="str">
        <f t="shared" si="130"/>
        <v/>
      </c>
      <c r="D1685" t="str">
        <f t="shared" si="131"/>
        <v/>
      </c>
      <c r="E1685" t="str">
        <f t="shared" si="132"/>
        <v/>
      </c>
      <c r="F1685" t="str">
        <f>IF(D1685="","",INDEX(Knutepunkter!$B:$B,D1685+1))</f>
        <v/>
      </c>
      <c r="G1685" t="str">
        <f>IF(D1685="","",INDEX(Knutepunkter!$C:$C,D1685+1))</f>
        <v/>
      </c>
      <c r="H1685" t="str">
        <f>IF(D1685="","",INDEX(Knutepunkter!$D:$D,D1685+1))</f>
        <v/>
      </c>
      <c r="I1685" t="str">
        <f>IF(E1685="","",INDEX(Knutepunkter!$B:$B,E1685+1))</f>
        <v/>
      </c>
      <c r="J1685" t="str">
        <f>IF(E1685="","",INDEX(Knutepunkter!$C:$C,E1685+1))</f>
        <v/>
      </c>
      <c r="K1685" t="str">
        <f>IF(E1685="","",INDEX(Knutepunkter!$D:$D,E1685+1))</f>
        <v/>
      </c>
      <c r="L1685" t="str">
        <f t="shared" si="133"/>
        <v/>
      </c>
      <c r="M1685" t="str">
        <f t="shared" si="134"/>
        <v/>
      </c>
    </row>
    <row r="1686" spans="1:13" x14ac:dyDescent="0.3">
      <c r="A1686" t="str">
        <f>Segmenter!A1686</f>
        <v/>
      </c>
      <c r="B1686" t="str">
        <f>Segmenter!B1686</f>
        <v/>
      </c>
      <c r="C1686" t="str">
        <f t="shared" si="130"/>
        <v/>
      </c>
      <c r="D1686" t="str">
        <f t="shared" si="131"/>
        <v/>
      </c>
      <c r="E1686" t="str">
        <f t="shared" si="132"/>
        <v/>
      </c>
      <c r="F1686" t="str">
        <f>IF(D1686="","",INDEX(Knutepunkter!$B:$B,D1686+1))</f>
        <v/>
      </c>
      <c r="G1686" t="str">
        <f>IF(D1686="","",INDEX(Knutepunkter!$C:$C,D1686+1))</f>
        <v/>
      </c>
      <c r="H1686" t="str">
        <f>IF(D1686="","",INDEX(Knutepunkter!$D:$D,D1686+1))</f>
        <v/>
      </c>
      <c r="I1686" t="str">
        <f>IF(E1686="","",INDEX(Knutepunkter!$B:$B,E1686+1))</f>
        <v/>
      </c>
      <c r="J1686" t="str">
        <f>IF(E1686="","",INDEX(Knutepunkter!$C:$C,E1686+1))</f>
        <v/>
      </c>
      <c r="K1686" t="str">
        <f>IF(E1686="","",INDEX(Knutepunkter!$D:$D,E1686+1))</f>
        <v/>
      </c>
      <c r="L1686" t="str">
        <f t="shared" si="133"/>
        <v/>
      </c>
      <c r="M1686" t="str">
        <f t="shared" si="134"/>
        <v/>
      </c>
    </row>
    <row r="1687" spans="1:13" x14ac:dyDescent="0.3">
      <c r="A1687" t="str">
        <f>Segmenter!A1687</f>
        <v/>
      </c>
      <c r="B1687" t="str">
        <f>Segmenter!B1687</f>
        <v/>
      </c>
      <c r="C1687" t="str">
        <f t="shared" si="130"/>
        <v/>
      </c>
      <c r="D1687" t="str">
        <f t="shared" si="131"/>
        <v/>
      </c>
      <c r="E1687" t="str">
        <f t="shared" si="132"/>
        <v/>
      </c>
      <c r="F1687" t="str">
        <f>IF(D1687="","",INDEX(Knutepunkter!$B:$B,D1687+1))</f>
        <v/>
      </c>
      <c r="G1687" t="str">
        <f>IF(D1687="","",INDEX(Knutepunkter!$C:$C,D1687+1))</f>
        <v/>
      </c>
      <c r="H1687" t="str">
        <f>IF(D1687="","",INDEX(Knutepunkter!$D:$D,D1687+1))</f>
        <v/>
      </c>
      <c r="I1687" t="str">
        <f>IF(E1687="","",INDEX(Knutepunkter!$B:$B,E1687+1))</f>
        <v/>
      </c>
      <c r="J1687" t="str">
        <f>IF(E1687="","",INDEX(Knutepunkter!$C:$C,E1687+1))</f>
        <v/>
      </c>
      <c r="K1687" t="str">
        <f>IF(E1687="","",INDEX(Knutepunkter!$D:$D,E1687+1))</f>
        <v/>
      </c>
      <c r="L1687" t="str">
        <f t="shared" si="133"/>
        <v/>
      </c>
      <c r="M1687" t="str">
        <f t="shared" si="134"/>
        <v/>
      </c>
    </row>
    <row r="1688" spans="1:13" x14ac:dyDescent="0.3">
      <c r="A1688" t="str">
        <f>Segmenter!A1688</f>
        <v/>
      </c>
      <c r="B1688" t="str">
        <f>Segmenter!B1688</f>
        <v/>
      </c>
      <c r="C1688" t="str">
        <f t="shared" si="130"/>
        <v/>
      </c>
      <c r="D1688" t="str">
        <f t="shared" si="131"/>
        <v/>
      </c>
      <c r="E1688" t="str">
        <f t="shared" si="132"/>
        <v/>
      </c>
      <c r="F1688" t="str">
        <f>IF(D1688="","",INDEX(Knutepunkter!$B:$B,D1688+1))</f>
        <v/>
      </c>
      <c r="G1688" t="str">
        <f>IF(D1688="","",INDEX(Knutepunkter!$C:$C,D1688+1))</f>
        <v/>
      </c>
      <c r="H1688" t="str">
        <f>IF(D1688="","",INDEX(Knutepunkter!$D:$D,D1688+1))</f>
        <v/>
      </c>
      <c r="I1688" t="str">
        <f>IF(E1688="","",INDEX(Knutepunkter!$B:$B,E1688+1))</f>
        <v/>
      </c>
      <c r="J1688" t="str">
        <f>IF(E1688="","",INDEX(Knutepunkter!$C:$C,E1688+1))</f>
        <v/>
      </c>
      <c r="K1688" t="str">
        <f>IF(E1688="","",INDEX(Knutepunkter!$D:$D,E1688+1))</f>
        <v/>
      </c>
      <c r="L1688" t="str">
        <f t="shared" si="133"/>
        <v/>
      </c>
      <c r="M1688" t="str">
        <f t="shared" si="134"/>
        <v/>
      </c>
    </row>
    <row r="1689" spans="1:13" x14ac:dyDescent="0.3">
      <c r="A1689" t="str">
        <f>Segmenter!A1689</f>
        <v/>
      </c>
      <c r="B1689" t="str">
        <f>Segmenter!B1689</f>
        <v/>
      </c>
      <c r="C1689" t="str">
        <f t="shared" si="130"/>
        <v/>
      </c>
      <c r="D1689" t="str">
        <f t="shared" si="131"/>
        <v/>
      </c>
      <c r="E1689" t="str">
        <f t="shared" si="132"/>
        <v/>
      </c>
      <c r="F1689" t="str">
        <f>IF(D1689="","",INDEX(Knutepunkter!$B:$B,D1689+1))</f>
        <v/>
      </c>
      <c r="G1689" t="str">
        <f>IF(D1689="","",INDEX(Knutepunkter!$C:$C,D1689+1))</f>
        <v/>
      </c>
      <c r="H1689" t="str">
        <f>IF(D1689="","",INDEX(Knutepunkter!$D:$D,D1689+1))</f>
        <v/>
      </c>
      <c r="I1689" t="str">
        <f>IF(E1689="","",INDEX(Knutepunkter!$B:$B,E1689+1))</f>
        <v/>
      </c>
      <c r="J1689" t="str">
        <f>IF(E1689="","",INDEX(Knutepunkter!$C:$C,E1689+1))</f>
        <v/>
      </c>
      <c r="K1689" t="str">
        <f>IF(E1689="","",INDEX(Knutepunkter!$D:$D,E1689+1))</f>
        <v/>
      </c>
      <c r="L1689" t="str">
        <f t="shared" si="133"/>
        <v/>
      </c>
      <c r="M1689" t="str">
        <f t="shared" si="134"/>
        <v/>
      </c>
    </row>
    <row r="1690" spans="1:13" x14ac:dyDescent="0.3">
      <c r="A1690" t="str">
        <f>Segmenter!A1690</f>
        <v/>
      </c>
      <c r="B1690" t="str">
        <f>Segmenter!B1690</f>
        <v/>
      </c>
      <c r="C1690" t="str">
        <f t="shared" si="130"/>
        <v/>
      </c>
      <c r="D1690" t="str">
        <f t="shared" si="131"/>
        <v/>
      </c>
      <c r="E1690" t="str">
        <f t="shared" si="132"/>
        <v/>
      </c>
      <c r="F1690" t="str">
        <f>IF(D1690="","",INDEX(Knutepunkter!$B:$B,D1690+1))</f>
        <v/>
      </c>
      <c r="G1690" t="str">
        <f>IF(D1690="","",INDEX(Knutepunkter!$C:$C,D1690+1))</f>
        <v/>
      </c>
      <c r="H1690" t="str">
        <f>IF(D1690="","",INDEX(Knutepunkter!$D:$D,D1690+1))</f>
        <v/>
      </c>
      <c r="I1690" t="str">
        <f>IF(E1690="","",INDEX(Knutepunkter!$B:$B,E1690+1))</f>
        <v/>
      </c>
      <c r="J1690" t="str">
        <f>IF(E1690="","",INDEX(Knutepunkter!$C:$C,E1690+1))</f>
        <v/>
      </c>
      <c r="K1690" t="str">
        <f>IF(E1690="","",INDEX(Knutepunkter!$D:$D,E1690+1))</f>
        <v/>
      </c>
      <c r="L1690" t="str">
        <f t="shared" si="133"/>
        <v/>
      </c>
      <c r="M1690" t="str">
        <f t="shared" si="134"/>
        <v/>
      </c>
    </row>
    <row r="1691" spans="1:13" x14ac:dyDescent="0.3">
      <c r="A1691" t="str">
        <f>Segmenter!A1691</f>
        <v/>
      </c>
      <c r="B1691" t="str">
        <f>Segmenter!B1691</f>
        <v/>
      </c>
      <c r="C1691" t="str">
        <f t="shared" si="130"/>
        <v/>
      </c>
      <c r="D1691" t="str">
        <f t="shared" si="131"/>
        <v/>
      </c>
      <c r="E1691" t="str">
        <f t="shared" si="132"/>
        <v/>
      </c>
      <c r="F1691" t="str">
        <f>IF(D1691="","",INDEX(Knutepunkter!$B:$B,D1691+1))</f>
        <v/>
      </c>
      <c r="G1691" t="str">
        <f>IF(D1691="","",INDEX(Knutepunkter!$C:$C,D1691+1))</f>
        <v/>
      </c>
      <c r="H1691" t="str">
        <f>IF(D1691="","",INDEX(Knutepunkter!$D:$D,D1691+1))</f>
        <v/>
      </c>
      <c r="I1691" t="str">
        <f>IF(E1691="","",INDEX(Knutepunkter!$B:$B,E1691+1))</f>
        <v/>
      </c>
      <c r="J1691" t="str">
        <f>IF(E1691="","",INDEX(Knutepunkter!$C:$C,E1691+1))</f>
        <v/>
      </c>
      <c r="K1691" t="str">
        <f>IF(E1691="","",INDEX(Knutepunkter!$D:$D,E1691+1))</f>
        <v/>
      </c>
      <c r="L1691" t="str">
        <f t="shared" si="133"/>
        <v/>
      </c>
      <c r="M1691" t="str">
        <f t="shared" si="134"/>
        <v/>
      </c>
    </row>
    <row r="1692" spans="1:13" x14ac:dyDescent="0.3">
      <c r="A1692" t="str">
        <f>Segmenter!A1692</f>
        <v/>
      </c>
      <c r="B1692" t="str">
        <f>Segmenter!B1692</f>
        <v/>
      </c>
      <c r="C1692" t="str">
        <f t="shared" si="130"/>
        <v/>
      </c>
      <c r="D1692" t="str">
        <f t="shared" si="131"/>
        <v/>
      </c>
      <c r="E1692" t="str">
        <f t="shared" si="132"/>
        <v/>
      </c>
      <c r="F1692" t="str">
        <f>IF(D1692="","",INDEX(Knutepunkter!$B:$B,D1692+1))</f>
        <v/>
      </c>
      <c r="G1692" t="str">
        <f>IF(D1692="","",INDEX(Knutepunkter!$C:$C,D1692+1))</f>
        <v/>
      </c>
      <c r="H1692" t="str">
        <f>IF(D1692="","",INDEX(Knutepunkter!$D:$D,D1692+1))</f>
        <v/>
      </c>
      <c r="I1692" t="str">
        <f>IF(E1692="","",INDEX(Knutepunkter!$B:$B,E1692+1))</f>
        <v/>
      </c>
      <c r="J1692" t="str">
        <f>IF(E1692="","",INDEX(Knutepunkter!$C:$C,E1692+1))</f>
        <v/>
      </c>
      <c r="K1692" t="str">
        <f>IF(E1692="","",INDEX(Knutepunkter!$D:$D,E1692+1))</f>
        <v/>
      </c>
      <c r="L1692" t="str">
        <f t="shared" si="133"/>
        <v/>
      </c>
      <c r="M1692" t="str">
        <f t="shared" si="134"/>
        <v/>
      </c>
    </row>
    <row r="1693" spans="1:13" x14ac:dyDescent="0.3">
      <c r="A1693" t="str">
        <f>Segmenter!A1693</f>
        <v/>
      </c>
      <c r="B1693" t="str">
        <f>Segmenter!B1693</f>
        <v/>
      </c>
      <c r="C1693" t="str">
        <f t="shared" si="130"/>
        <v/>
      </c>
      <c r="D1693" t="str">
        <f t="shared" si="131"/>
        <v/>
      </c>
      <c r="E1693" t="str">
        <f t="shared" si="132"/>
        <v/>
      </c>
      <c r="F1693" t="str">
        <f>IF(D1693="","",INDEX(Knutepunkter!$B:$B,D1693+1))</f>
        <v/>
      </c>
      <c r="G1693" t="str">
        <f>IF(D1693="","",INDEX(Knutepunkter!$C:$C,D1693+1))</f>
        <v/>
      </c>
      <c r="H1693" t="str">
        <f>IF(D1693="","",INDEX(Knutepunkter!$D:$D,D1693+1))</f>
        <v/>
      </c>
      <c r="I1693" t="str">
        <f>IF(E1693="","",INDEX(Knutepunkter!$B:$B,E1693+1))</f>
        <v/>
      </c>
      <c r="J1693" t="str">
        <f>IF(E1693="","",INDEX(Knutepunkter!$C:$C,E1693+1))</f>
        <v/>
      </c>
      <c r="K1693" t="str">
        <f>IF(E1693="","",INDEX(Knutepunkter!$D:$D,E1693+1))</f>
        <v/>
      </c>
      <c r="L1693" t="str">
        <f t="shared" si="133"/>
        <v/>
      </c>
      <c r="M1693" t="str">
        <f t="shared" si="134"/>
        <v/>
      </c>
    </row>
    <row r="1694" spans="1:13" x14ac:dyDescent="0.3">
      <c r="A1694" t="str">
        <f>Segmenter!A1694</f>
        <v/>
      </c>
      <c r="B1694" t="str">
        <f>Segmenter!B1694</f>
        <v/>
      </c>
      <c r="C1694" t="str">
        <f t="shared" si="130"/>
        <v/>
      </c>
      <c r="D1694" t="str">
        <f t="shared" si="131"/>
        <v/>
      </c>
      <c r="E1694" t="str">
        <f t="shared" si="132"/>
        <v/>
      </c>
      <c r="F1694" t="str">
        <f>IF(D1694="","",INDEX(Knutepunkter!$B:$B,D1694+1))</f>
        <v/>
      </c>
      <c r="G1694" t="str">
        <f>IF(D1694="","",INDEX(Knutepunkter!$C:$C,D1694+1))</f>
        <v/>
      </c>
      <c r="H1694" t="str">
        <f>IF(D1694="","",INDEX(Knutepunkter!$D:$D,D1694+1))</f>
        <v/>
      </c>
      <c r="I1694" t="str">
        <f>IF(E1694="","",INDEX(Knutepunkter!$B:$B,E1694+1))</f>
        <v/>
      </c>
      <c r="J1694" t="str">
        <f>IF(E1694="","",INDEX(Knutepunkter!$C:$C,E1694+1))</f>
        <v/>
      </c>
      <c r="K1694" t="str">
        <f>IF(E1694="","",INDEX(Knutepunkter!$D:$D,E1694+1))</f>
        <v/>
      </c>
      <c r="L1694" t="str">
        <f t="shared" si="133"/>
        <v/>
      </c>
      <c r="M1694" t="str">
        <f t="shared" si="134"/>
        <v/>
      </c>
    </row>
    <row r="1695" spans="1:13" x14ac:dyDescent="0.3">
      <c r="A1695" t="str">
        <f>Segmenter!A1695</f>
        <v/>
      </c>
      <c r="B1695" t="str">
        <f>Segmenter!B1695</f>
        <v/>
      </c>
      <c r="C1695" t="str">
        <f t="shared" si="130"/>
        <v/>
      </c>
      <c r="D1695" t="str">
        <f t="shared" si="131"/>
        <v/>
      </c>
      <c r="E1695" t="str">
        <f t="shared" si="132"/>
        <v/>
      </c>
      <c r="F1695" t="str">
        <f>IF(D1695="","",INDEX(Knutepunkter!$B:$B,D1695+1))</f>
        <v/>
      </c>
      <c r="G1695" t="str">
        <f>IF(D1695="","",INDEX(Knutepunkter!$C:$C,D1695+1))</f>
        <v/>
      </c>
      <c r="H1695" t="str">
        <f>IF(D1695="","",INDEX(Knutepunkter!$D:$D,D1695+1))</f>
        <v/>
      </c>
      <c r="I1695" t="str">
        <f>IF(E1695="","",INDEX(Knutepunkter!$B:$B,E1695+1))</f>
        <v/>
      </c>
      <c r="J1695" t="str">
        <f>IF(E1695="","",INDEX(Knutepunkter!$C:$C,E1695+1))</f>
        <v/>
      </c>
      <c r="K1695" t="str">
        <f>IF(E1695="","",INDEX(Knutepunkter!$D:$D,E1695+1))</f>
        <v/>
      </c>
      <c r="L1695" t="str">
        <f t="shared" si="133"/>
        <v/>
      </c>
      <c r="M1695" t="str">
        <f t="shared" si="134"/>
        <v/>
      </c>
    </row>
    <row r="1696" spans="1:13" x14ac:dyDescent="0.3">
      <c r="A1696" t="str">
        <f>Segmenter!A1696</f>
        <v/>
      </c>
      <c r="B1696" t="str">
        <f>Segmenter!B1696</f>
        <v/>
      </c>
      <c r="C1696" t="str">
        <f t="shared" si="130"/>
        <v/>
      </c>
      <c r="D1696" t="str">
        <f t="shared" si="131"/>
        <v/>
      </c>
      <c r="E1696" t="str">
        <f t="shared" si="132"/>
        <v/>
      </c>
      <c r="F1696" t="str">
        <f>IF(D1696="","",INDEX(Knutepunkter!$B:$B,D1696+1))</f>
        <v/>
      </c>
      <c r="G1696" t="str">
        <f>IF(D1696="","",INDEX(Knutepunkter!$C:$C,D1696+1))</f>
        <v/>
      </c>
      <c r="H1696" t="str">
        <f>IF(D1696="","",INDEX(Knutepunkter!$D:$D,D1696+1))</f>
        <v/>
      </c>
      <c r="I1696" t="str">
        <f>IF(E1696="","",INDEX(Knutepunkter!$B:$B,E1696+1))</f>
        <v/>
      </c>
      <c r="J1696" t="str">
        <f>IF(E1696="","",INDEX(Knutepunkter!$C:$C,E1696+1))</f>
        <v/>
      </c>
      <c r="K1696" t="str">
        <f>IF(E1696="","",INDEX(Knutepunkter!$D:$D,E1696+1))</f>
        <v/>
      </c>
      <c r="L1696" t="str">
        <f t="shared" si="133"/>
        <v/>
      </c>
      <c r="M1696" t="str">
        <f t="shared" si="134"/>
        <v/>
      </c>
    </row>
    <row r="1697" spans="1:13" x14ac:dyDescent="0.3">
      <c r="A1697" t="str">
        <f>Segmenter!A1697</f>
        <v/>
      </c>
      <c r="B1697" t="str">
        <f>Segmenter!B1697</f>
        <v/>
      </c>
      <c r="C1697" t="str">
        <f t="shared" si="130"/>
        <v/>
      </c>
      <c r="D1697" t="str">
        <f t="shared" si="131"/>
        <v/>
      </c>
      <c r="E1697" t="str">
        <f t="shared" si="132"/>
        <v/>
      </c>
      <c r="F1697" t="str">
        <f>IF(D1697="","",INDEX(Knutepunkter!$B:$B,D1697+1))</f>
        <v/>
      </c>
      <c r="G1697" t="str">
        <f>IF(D1697="","",INDEX(Knutepunkter!$C:$C,D1697+1))</f>
        <v/>
      </c>
      <c r="H1697" t="str">
        <f>IF(D1697="","",INDEX(Knutepunkter!$D:$D,D1697+1))</f>
        <v/>
      </c>
      <c r="I1697" t="str">
        <f>IF(E1697="","",INDEX(Knutepunkter!$B:$B,E1697+1))</f>
        <v/>
      </c>
      <c r="J1697" t="str">
        <f>IF(E1697="","",INDEX(Knutepunkter!$C:$C,E1697+1))</f>
        <v/>
      </c>
      <c r="K1697" t="str">
        <f>IF(E1697="","",INDEX(Knutepunkter!$D:$D,E1697+1))</f>
        <v/>
      </c>
      <c r="L1697" t="str">
        <f t="shared" si="133"/>
        <v/>
      </c>
      <c r="M1697" t="str">
        <f t="shared" si="134"/>
        <v/>
      </c>
    </row>
    <row r="1698" spans="1:13" x14ac:dyDescent="0.3">
      <c r="A1698" t="str">
        <f>Segmenter!A1698</f>
        <v/>
      </c>
      <c r="B1698" t="str">
        <f>Segmenter!B1698</f>
        <v/>
      </c>
      <c r="C1698" t="str">
        <f t="shared" si="130"/>
        <v/>
      </c>
      <c r="D1698" t="str">
        <f t="shared" si="131"/>
        <v/>
      </c>
      <c r="E1698" t="str">
        <f t="shared" si="132"/>
        <v/>
      </c>
      <c r="F1698" t="str">
        <f>IF(D1698="","",INDEX(Knutepunkter!$B:$B,D1698+1))</f>
        <v/>
      </c>
      <c r="G1698" t="str">
        <f>IF(D1698="","",INDEX(Knutepunkter!$C:$C,D1698+1))</f>
        <v/>
      </c>
      <c r="H1698" t="str">
        <f>IF(D1698="","",INDEX(Knutepunkter!$D:$D,D1698+1))</f>
        <v/>
      </c>
      <c r="I1698" t="str">
        <f>IF(E1698="","",INDEX(Knutepunkter!$B:$B,E1698+1))</f>
        <v/>
      </c>
      <c r="J1698" t="str">
        <f>IF(E1698="","",INDEX(Knutepunkter!$C:$C,E1698+1))</f>
        <v/>
      </c>
      <c r="K1698" t="str">
        <f>IF(E1698="","",INDEX(Knutepunkter!$D:$D,E1698+1))</f>
        <v/>
      </c>
      <c r="L1698" t="str">
        <f t="shared" si="133"/>
        <v/>
      </c>
      <c r="M1698" t="str">
        <f t="shared" si="134"/>
        <v/>
      </c>
    </row>
    <row r="1699" spans="1:13" x14ac:dyDescent="0.3">
      <c r="A1699" t="str">
        <f>Segmenter!A1699</f>
        <v/>
      </c>
      <c r="B1699" t="str">
        <f>Segmenter!B1699</f>
        <v/>
      </c>
      <c r="C1699" t="str">
        <f t="shared" si="130"/>
        <v/>
      </c>
      <c r="D1699" t="str">
        <f t="shared" si="131"/>
        <v/>
      </c>
      <c r="E1699" t="str">
        <f t="shared" si="132"/>
        <v/>
      </c>
      <c r="F1699" t="str">
        <f>IF(D1699="","",INDEX(Knutepunkter!$B:$B,D1699+1))</f>
        <v/>
      </c>
      <c r="G1699" t="str">
        <f>IF(D1699="","",INDEX(Knutepunkter!$C:$C,D1699+1))</f>
        <v/>
      </c>
      <c r="H1699" t="str">
        <f>IF(D1699="","",INDEX(Knutepunkter!$D:$D,D1699+1))</f>
        <v/>
      </c>
      <c r="I1699" t="str">
        <f>IF(E1699="","",INDEX(Knutepunkter!$B:$B,E1699+1))</f>
        <v/>
      </c>
      <c r="J1699" t="str">
        <f>IF(E1699="","",INDEX(Knutepunkter!$C:$C,E1699+1))</f>
        <v/>
      </c>
      <c r="K1699" t="str">
        <f>IF(E1699="","",INDEX(Knutepunkter!$D:$D,E1699+1))</f>
        <v/>
      </c>
      <c r="L1699" t="str">
        <f t="shared" si="133"/>
        <v/>
      </c>
      <c r="M1699" t="str">
        <f t="shared" si="134"/>
        <v/>
      </c>
    </row>
    <row r="1700" spans="1:13" x14ac:dyDescent="0.3">
      <c r="A1700" t="str">
        <f>Segmenter!A1700</f>
        <v/>
      </c>
      <c r="B1700" t="str">
        <f>Segmenter!B1700</f>
        <v/>
      </c>
      <c r="C1700" t="str">
        <f t="shared" si="130"/>
        <v/>
      </c>
      <c r="D1700" t="str">
        <f t="shared" si="131"/>
        <v/>
      </c>
      <c r="E1700" t="str">
        <f t="shared" si="132"/>
        <v/>
      </c>
      <c r="F1700" t="str">
        <f>IF(D1700="","",INDEX(Knutepunkter!$B:$B,D1700+1))</f>
        <v/>
      </c>
      <c r="G1700" t="str">
        <f>IF(D1700="","",INDEX(Knutepunkter!$C:$C,D1700+1))</f>
        <v/>
      </c>
      <c r="H1700" t="str">
        <f>IF(D1700="","",INDEX(Knutepunkter!$D:$D,D1700+1))</f>
        <v/>
      </c>
      <c r="I1700" t="str">
        <f>IF(E1700="","",INDEX(Knutepunkter!$B:$B,E1700+1))</f>
        <v/>
      </c>
      <c r="J1700" t="str">
        <f>IF(E1700="","",INDEX(Knutepunkter!$C:$C,E1700+1))</f>
        <v/>
      </c>
      <c r="K1700" t="str">
        <f>IF(E1700="","",INDEX(Knutepunkter!$D:$D,E1700+1))</f>
        <v/>
      </c>
      <c r="L1700" t="str">
        <f t="shared" si="133"/>
        <v/>
      </c>
      <c r="M1700" t="str">
        <f t="shared" si="134"/>
        <v/>
      </c>
    </row>
    <row r="1701" spans="1:13" x14ac:dyDescent="0.3">
      <c r="A1701" t="str">
        <f>Segmenter!A1701</f>
        <v/>
      </c>
      <c r="B1701" t="str">
        <f>Segmenter!B1701</f>
        <v/>
      </c>
      <c r="C1701" t="str">
        <f t="shared" si="130"/>
        <v/>
      </c>
      <c r="D1701" t="str">
        <f t="shared" si="131"/>
        <v/>
      </c>
      <c r="E1701" t="str">
        <f t="shared" si="132"/>
        <v/>
      </c>
      <c r="F1701" t="str">
        <f>IF(D1701="","",INDEX(Knutepunkter!$B:$B,D1701+1))</f>
        <v/>
      </c>
      <c r="G1701" t="str">
        <f>IF(D1701="","",INDEX(Knutepunkter!$C:$C,D1701+1))</f>
        <v/>
      </c>
      <c r="H1701" t="str">
        <f>IF(D1701="","",INDEX(Knutepunkter!$D:$D,D1701+1))</f>
        <v/>
      </c>
      <c r="I1701" t="str">
        <f>IF(E1701="","",INDEX(Knutepunkter!$B:$B,E1701+1))</f>
        <v/>
      </c>
      <c r="J1701" t="str">
        <f>IF(E1701="","",INDEX(Knutepunkter!$C:$C,E1701+1))</f>
        <v/>
      </c>
      <c r="K1701" t="str">
        <f>IF(E1701="","",INDEX(Knutepunkter!$D:$D,E1701+1))</f>
        <v/>
      </c>
      <c r="L1701" t="str">
        <f t="shared" si="133"/>
        <v/>
      </c>
      <c r="M1701" t="str">
        <f t="shared" si="134"/>
        <v/>
      </c>
    </row>
    <row r="1702" spans="1:13" x14ac:dyDescent="0.3">
      <c r="A1702" t="str">
        <f>Segmenter!A1702</f>
        <v/>
      </c>
      <c r="B1702" t="str">
        <f>Segmenter!B1702</f>
        <v/>
      </c>
      <c r="C1702" t="str">
        <f t="shared" si="130"/>
        <v/>
      </c>
      <c r="D1702" t="str">
        <f t="shared" si="131"/>
        <v/>
      </c>
      <c r="E1702" t="str">
        <f t="shared" si="132"/>
        <v/>
      </c>
      <c r="F1702" t="str">
        <f>IF(D1702="","",INDEX(Knutepunkter!$B:$B,D1702+1))</f>
        <v/>
      </c>
      <c r="G1702" t="str">
        <f>IF(D1702="","",INDEX(Knutepunkter!$C:$C,D1702+1))</f>
        <v/>
      </c>
      <c r="H1702" t="str">
        <f>IF(D1702="","",INDEX(Knutepunkter!$D:$D,D1702+1))</f>
        <v/>
      </c>
      <c r="I1702" t="str">
        <f>IF(E1702="","",INDEX(Knutepunkter!$B:$B,E1702+1))</f>
        <v/>
      </c>
      <c r="J1702" t="str">
        <f>IF(E1702="","",INDEX(Knutepunkter!$C:$C,E1702+1))</f>
        <v/>
      </c>
      <c r="K1702" t="str">
        <f>IF(E1702="","",INDEX(Knutepunkter!$D:$D,E1702+1))</f>
        <v/>
      </c>
      <c r="L1702" t="str">
        <f t="shared" si="133"/>
        <v/>
      </c>
      <c r="M1702" t="str">
        <f t="shared" si="134"/>
        <v/>
      </c>
    </row>
    <row r="1703" spans="1:13" x14ac:dyDescent="0.3">
      <c r="A1703" t="str">
        <f>Segmenter!A1703</f>
        <v/>
      </c>
      <c r="B1703" t="str">
        <f>Segmenter!B1703</f>
        <v/>
      </c>
      <c r="C1703" t="str">
        <f t="shared" si="130"/>
        <v/>
      </c>
      <c r="D1703" t="str">
        <f t="shared" si="131"/>
        <v/>
      </c>
      <c r="E1703" t="str">
        <f t="shared" si="132"/>
        <v/>
      </c>
      <c r="F1703" t="str">
        <f>IF(D1703="","",INDEX(Knutepunkter!$B:$B,D1703+1))</f>
        <v/>
      </c>
      <c r="G1703" t="str">
        <f>IF(D1703="","",INDEX(Knutepunkter!$C:$C,D1703+1))</f>
        <v/>
      </c>
      <c r="H1703" t="str">
        <f>IF(D1703="","",INDEX(Knutepunkter!$D:$D,D1703+1))</f>
        <v/>
      </c>
      <c r="I1703" t="str">
        <f>IF(E1703="","",INDEX(Knutepunkter!$B:$B,E1703+1))</f>
        <v/>
      </c>
      <c r="J1703" t="str">
        <f>IF(E1703="","",INDEX(Knutepunkter!$C:$C,E1703+1))</f>
        <v/>
      </c>
      <c r="K1703" t="str">
        <f>IF(E1703="","",INDEX(Knutepunkter!$D:$D,E1703+1))</f>
        <v/>
      </c>
      <c r="L1703" t="str">
        <f t="shared" si="133"/>
        <v/>
      </c>
      <c r="M1703" t="str">
        <f t="shared" si="134"/>
        <v/>
      </c>
    </row>
    <row r="1704" spans="1:13" x14ac:dyDescent="0.3">
      <c r="A1704" t="str">
        <f>Segmenter!A1704</f>
        <v/>
      </c>
      <c r="B1704" t="str">
        <f>Segmenter!B1704</f>
        <v/>
      </c>
      <c r="C1704" t="str">
        <f t="shared" si="130"/>
        <v/>
      </c>
      <c r="D1704" t="str">
        <f t="shared" si="131"/>
        <v/>
      </c>
      <c r="E1704" t="str">
        <f t="shared" si="132"/>
        <v/>
      </c>
      <c r="F1704" t="str">
        <f>IF(D1704="","",INDEX(Knutepunkter!$B:$B,D1704+1))</f>
        <v/>
      </c>
      <c r="G1704" t="str">
        <f>IF(D1704="","",INDEX(Knutepunkter!$C:$C,D1704+1))</f>
        <v/>
      </c>
      <c r="H1704" t="str">
        <f>IF(D1704="","",INDEX(Knutepunkter!$D:$D,D1704+1))</f>
        <v/>
      </c>
      <c r="I1704" t="str">
        <f>IF(E1704="","",INDEX(Knutepunkter!$B:$B,E1704+1))</f>
        <v/>
      </c>
      <c r="J1704" t="str">
        <f>IF(E1704="","",INDEX(Knutepunkter!$C:$C,E1704+1))</f>
        <v/>
      </c>
      <c r="K1704" t="str">
        <f>IF(E1704="","",INDEX(Knutepunkter!$D:$D,E1704+1))</f>
        <v/>
      </c>
      <c r="L1704" t="str">
        <f t="shared" si="133"/>
        <v/>
      </c>
      <c r="M1704" t="str">
        <f t="shared" si="134"/>
        <v/>
      </c>
    </row>
    <row r="1705" spans="1:13" x14ac:dyDescent="0.3">
      <c r="A1705" t="str">
        <f>Segmenter!A1705</f>
        <v/>
      </c>
      <c r="B1705" t="str">
        <f>Segmenter!B1705</f>
        <v/>
      </c>
      <c r="C1705" t="str">
        <f t="shared" si="130"/>
        <v/>
      </c>
      <c r="D1705" t="str">
        <f t="shared" si="131"/>
        <v/>
      </c>
      <c r="E1705" t="str">
        <f t="shared" si="132"/>
        <v/>
      </c>
      <c r="F1705" t="str">
        <f>IF(D1705="","",INDEX(Knutepunkter!$B:$B,D1705+1))</f>
        <v/>
      </c>
      <c r="G1705" t="str">
        <f>IF(D1705="","",INDEX(Knutepunkter!$C:$C,D1705+1))</f>
        <v/>
      </c>
      <c r="H1705" t="str">
        <f>IF(D1705="","",INDEX(Knutepunkter!$D:$D,D1705+1))</f>
        <v/>
      </c>
      <c r="I1705" t="str">
        <f>IF(E1705="","",INDEX(Knutepunkter!$B:$B,E1705+1))</f>
        <v/>
      </c>
      <c r="J1705" t="str">
        <f>IF(E1705="","",INDEX(Knutepunkter!$C:$C,E1705+1))</f>
        <v/>
      </c>
      <c r="K1705" t="str">
        <f>IF(E1705="","",INDEX(Knutepunkter!$D:$D,E1705+1))</f>
        <v/>
      </c>
      <c r="L1705" t="str">
        <f t="shared" si="133"/>
        <v/>
      </c>
      <c r="M1705" t="str">
        <f t="shared" si="134"/>
        <v/>
      </c>
    </row>
    <row r="1706" spans="1:13" x14ac:dyDescent="0.3">
      <c r="A1706" t="str">
        <f>Segmenter!A1706</f>
        <v/>
      </c>
      <c r="B1706" t="str">
        <f>Segmenter!B1706</f>
        <v/>
      </c>
      <c r="C1706" t="str">
        <f t="shared" si="130"/>
        <v/>
      </c>
      <c r="D1706" t="str">
        <f t="shared" si="131"/>
        <v/>
      </c>
      <c r="E1706" t="str">
        <f t="shared" si="132"/>
        <v/>
      </c>
      <c r="F1706" t="str">
        <f>IF(D1706="","",INDEX(Knutepunkter!$B:$B,D1706+1))</f>
        <v/>
      </c>
      <c r="G1706" t="str">
        <f>IF(D1706="","",INDEX(Knutepunkter!$C:$C,D1706+1))</f>
        <v/>
      </c>
      <c r="H1706" t="str">
        <f>IF(D1706="","",INDEX(Knutepunkter!$D:$D,D1706+1))</f>
        <v/>
      </c>
      <c r="I1706" t="str">
        <f>IF(E1706="","",INDEX(Knutepunkter!$B:$B,E1706+1))</f>
        <v/>
      </c>
      <c r="J1706" t="str">
        <f>IF(E1706="","",INDEX(Knutepunkter!$C:$C,E1706+1))</f>
        <v/>
      </c>
      <c r="K1706" t="str">
        <f>IF(E1706="","",INDEX(Knutepunkter!$D:$D,E1706+1))</f>
        <v/>
      </c>
      <c r="L1706" t="str">
        <f t="shared" si="133"/>
        <v/>
      </c>
      <c r="M1706" t="str">
        <f t="shared" si="134"/>
        <v/>
      </c>
    </row>
    <row r="1707" spans="1:13" x14ac:dyDescent="0.3">
      <c r="A1707" t="str">
        <f>Segmenter!A1707</f>
        <v/>
      </c>
      <c r="B1707" t="str">
        <f>Segmenter!B1707</f>
        <v/>
      </c>
      <c r="C1707" t="str">
        <f t="shared" si="130"/>
        <v/>
      </c>
      <c r="D1707" t="str">
        <f t="shared" si="131"/>
        <v/>
      </c>
      <c r="E1707" t="str">
        <f t="shared" si="132"/>
        <v/>
      </c>
      <c r="F1707" t="str">
        <f>IF(D1707="","",INDEX(Knutepunkter!$B:$B,D1707+1))</f>
        <v/>
      </c>
      <c r="G1707" t="str">
        <f>IF(D1707="","",INDEX(Knutepunkter!$C:$C,D1707+1))</f>
        <v/>
      </c>
      <c r="H1707" t="str">
        <f>IF(D1707="","",INDEX(Knutepunkter!$D:$D,D1707+1))</f>
        <v/>
      </c>
      <c r="I1707" t="str">
        <f>IF(E1707="","",INDEX(Knutepunkter!$B:$B,E1707+1))</f>
        <v/>
      </c>
      <c r="J1707" t="str">
        <f>IF(E1707="","",INDEX(Knutepunkter!$C:$C,E1707+1))</f>
        <v/>
      </c>
      <c r="K1707" t="str">
        <f>IF(E1707="","",INDEX(Knutepunkter!$D:$D,E1707+1))</f>
        <v/>
      </c>
      <c r="L1707" t="str">
        <f t="shared" si="133"/>
        <v/>
      </c>
      <c r="M1707" t="str">
        <f t="shared" si="134"/>
        <v/>
      </c>
    </row>
    <row r="1708" spans="1:13" x14ac:dyDescent="0.3">
      <c r="A1708" t="str">
        <f>Segmenter!A1708</f>
        <v/>
      </c>
      <c r="B1708" t="str">
        <f>Segmenter!B1708</f>
        <v/>
      </c>
      <c r="C1708" t="str">
        <f t="shared" si="130"/>
        <v/>
      </c>
      <c r="D1708" t="str">
        <f t="shared" si="131"/>
        <v/>
      </c>
      <c r="E1708" t="str">
        <f t="shared" si="132"/>
        <v/>
      </c>
      <c r="F1708" t="str">
        <f>IF(D1708="","",INDEX(Knutepunkter!$B:$B,D1708+1))</f>
        <v/>
      </c>
      <c r="G1708" t="str">
        <f>IF(D1708="","",INDEX(Knutepunkter!$C:$C,D1708+1))</f>
        <v/>
      </c>
      <c r="H1708" t="str">
        <f>IF(D1708="","",INDEX(Knutepunkter!$D:$D,D1708+1))</f>
        <v/>
      </c>
      <c r="I1708" t="str">
        <f>IF(E1708="","",INDEX(Knutepunkter!$B:$B,E1708+1))</f>
        <v/>
      </c>
      <c r="J1708" t="str">
        <f>IF(E1708="","",INDEX(Knutepunkter!$C:$C,E1708+1))</f>
        <v/>
      </c>
      <c r="K1708" t="str">
        <f>IF(E1708="","",INDEX(Knutepunkter!$D:$D,E1708+1))</f>
        <v/>
      </c>
      <c r="L1708" t="str">
        <f t="shared" si="133"/>
        <v/>
      </c>
      <c r="M1708" t="str">
        <f t="shared" si="134"/>
        <v/>
      </c>
    </row>
    <row r="1709" spans="1:13" x14ac:dyDescent="0.3">
      <c r="A1709" t="str">
        <f>Segmenter!A1709</f>
        <v/>
      </c>
      <c r="B1709" t="str">
        <f>Segmenter!B1709</f>
        <v/>
      </c>
      <c r="C1709" t="str">
        <f t="shared" si="130"/>
        <v/>
      </c>
      <c r="D1709" t="str">
        <f t="shared" si="131"/>
        <v/>
      </c>
      <c r="E1709" t="str">
        <f t="shared" si="132"/>
        <v/>
      </c>
      <c r="F1709" t="str">
        <f>IF(D1709="","",INDEX(Knutepunkter!$B:$B,D1709+1))</f>
        <v/>
      </c>
      <c r="G1709" t="str">
        <f>IF(D1709="","",INDEX(Knutepunkter!$C:$C,D1709+1))</f>
        <v/>
      </c>
      <c r="H1709" t="str">
        <f>IF(D1709="","",INDEX(Knutepunkter!$D:$D,D1709+1))</f>
        <v/>
      </c>
      <c r="I1709" t="str">
        <f>IF(E1709="","",INDEX(Knutepunkter!$B:$B,E1709+1))</f>
        <v/>
      </c>
      <c r="J1709" t="str">
        <f>IF(E1709="","",INDEX(Knutepunkter!$C:$C,E1709+1))</f>
        <v/>
      </c>
      <c r="K1709" t="str">
        <f>IF(E1709="","",INDEX(Knutepunkter!$D:$D,E1709+1))</f>
        <v/>
      </c>
      <c r="L1709" t="str">
        <f t="shared" si="133"/>
        <v/>
      </c>
      <c r="M1709" t="str">
        <f t="shared" si="134"/>
        <v/>
      </c>
    </row>
    <row r="1710" spans="1:13" x14ac:dyDescent="0.3">
      <c r="A1710" t="str">
        <f>Segmenter!A1710</f>
        <v/>
      </c>
      <c r="B1710" t="str">
        <f>Segmenter!B1710</f>
        <v/>
      </c>
      <c r="C1710" t="str">
        <f t="shared" si="130"/>
        <v/>
      </c>
      <c r="D1710" t="str">
        <f t="shared" si="131"/>
        <v/>
      </c>
      <c r="E1710" t="str">
        <f t="shared" si="132"/>
        <v/>
      </c>
      <c r="F1710" t="str">
        <f>IF(D1710="","",INDEX(Knutepunkter!$B:$B,D1710+1))</f>
        <v/>
      </c>
      <c r="G1710" t="str">
        <f>IF(D1710="","",INDEX(Knutepunkter!$C:$C,D1710+1))</f>
        <v/>
      </c>
      <c r="H1710" t="str">
        <f>IF(D1710="","",INDEX(Knutepunkter!$D:$D,D1710+1))</f>
        <v/>
      </c>
      <c r="I1710" t="str">
        <f>IF(E1710="","",INDEX(Knutepunkter!$B:$B,E1710+1))</f>
        <v/>
      </c>
      <c r="J1710" t="str">
        <f>IF(E1710="","",INDEX(Knutepunkter!$C:$C,E1710+1))</f>
        <v/>
      </c>
      <c r="K1710" t="str">
        <f>IF(E1710="","",INDEX(Knutepunkter!$D:$D,E1710+1))</f>
        <v/>
      </c>
      <c r="L1710" t="str">
        <f t="shared" si="133"/>
        <v/>
      </c>
      <c r="M1710" t="str">
        <f t="shared" si="134"/>
        <v/>
      </c>
    </row>
    <row r="1711" spans="1:13" x14ac:dyDescent="0.3">
      <c r="A1711" t="str">
        <f>Segmenter!A1711</f>
        <v/>
      </c>
      <c r="B1711" t="str">
        <f>Segmenter!B1711</f>
        <v/>
      </c>
      <c r="C1711" t="str">
        <f t="shared" si="130"/>
        <v/>
      </c>
      <c r="D1711" t="str">
        <f t="shared" si="131"/>
        <v/>
      </c>
      <c r="E1711" t="str">
        <f t="shared" si="132"/>
        <v/>
      </c>
      <c r="F1711" t="str">
        <f>IF(D1711="","",INDEX(Knutepunkter!$B:$B,D1711+1))</f>
        <v/>
      </c>
      <c r="G1711" t="str">
        <f>IF(D1711="","",INDEX(Knutepunkter!$C:$C,D1711+1))</f>
        <v/>
      </c>
      <c r="H1711" t="str">
        <f>IF(D1711="","",INDEX(Knutepunkter!$D:$D,D1711+1))</f>
        <v/>
      </c>
      <c r="I1711" t="str">
        <f>IF(E1711="","",INDEX(Knutepunkter!$B:$B,E1711+1))</f>
        <v/>
      </c>
      <c r="J1711" t="str">
        <f>IF(E1711="","",INDEX(Knutepunkter!$C:$C,E1711+1))</f>
        <v/>
      </c>
      <c r="K1711" t="str">
        <f>IF(E1711="","",INDEX(Knutepunkter!$D:$D,E1711+1))</f>
        <v/>
      </c>
      <c r="L1711" t="str">
        <f t="shared" si="133"/>
        <v/>
      </c>
      <c r="M1711" t="str">
        <f t="shared" si="134"/>
        <v/>
      </c>
    </row>
    <row r="1712" spans="1:13" x14ac:dyDescent="0.3">
      <c r="A1712" t="str">
        <f>Segmenter!A1712</f>
        <v/>
      </c>
      <c r="B1712" t="str">
        <f>Segmenter!B1712</f>
        <v/>
      </c>
      <c r="C1712" t="str">
        <f t="shared" si="130"/>
        <v/>
      </c>
      <c r="D1712" t="str">
        <f t="shared" si="131"/>
        <v/>
      </c>
      <c r="E1712" t="str">
        <f t="shared" si="132"/>
        <v/>
      </c>
      <c r="F1712" t="str">
        <f>IF(D1712="","",INDEX(Knutepunkter!$B:$B,D1712+1))</f>
        <v/>
      </c>
      <c r="G1712" t="str">
        <f>IF(D1712="","",INDEX(Knutepunkter!$C:$C,D1712+1))</f>
        <v/>
      </c>
      <c r="H1712" t="str">
        <f>IF(D1712="","",INDEX(Knutepunkter!$D:$D,D1712+1))</f>
        <v/>
      </c>
      <c r="I1712" t="str">
        <f>IF(E1712="","",INDEX(Knutepunkter!$B:$B,E1712+1))</f>
        <v/>
      </c>
      <c r="J1712" t="str">
        <f>IF(E1712="","",INDEX(Knutepunkter!$C:$C,E1712+1))</f>
        <v/>
      </c>
      <c r="K1712" t="str">
        <f>IF(E1712="","",INDEX(Knutepunkter!$D:$D,E1712+1))</f>
        <v/>
      </c>
      <c r="L1712" t="str">
        <f t="shared" si="133"/>
        <v/>
      </c>
      <c r="M1712" t="str">
        <f t="shared" si="134"/>
        <v/>
      </c>
    </row>
    <row r="1713" spans="1:13" x14ac:dyDescent="0.3">
      <c r="A1713" t="str">
        <f>Segmenter!A1713</f>
        <v/>
      </c>
      <c r="B1713" t="str">
        <f>Segmenter!B1713</f>
        <v/>
      </c>
      <c r="C1713" t="str">
        <f t="shared" si="130"/>
        <v/>
      </c>
      <c r="D1713" t="str">
        <f t="shared" si="131"/>
        <v/>
      </c>
      <c r="E1713" t="str">
        <f t="shared" si="132"/>
        <v/>
      </c>
      <c r="F1713" t="str">
        <f>IF(D1713="","",INDEX(Knutepunkter!$B:$B,D1713+1))</f>
        <v/>
      </c>
      <c r="G1713" t="str">
        <f>IF(D1713="","",INDEX(Knutepunkter!$C:$C,D1713+1))</f>
        <v/>
      </c>
      <c r="H1713" t="str">
        <f>IF(D1713="","",INDEX(Knutepunkter!$D:$D,D1713+1))</f>
        <v/>
      </c>
      <c r="I1713" t="str">
        <f>IF(E1713="","",INDEX(Knutepunkter!$B:$B,E1713+1))</f>
        <v/>
      </c>
      <c r="J1713" t="str">
        <f>IF(E1713="","",INDEX(Knutepunkter!$C:$C,E1713+1))</f>
        <v/>
      </c>
      <c r="K1713" t="str">
        <f>IF(E1713="","",INDEX(Knutepunkter!$D:$D,E1713+1))</f>
        <v/>
      </c>
      <c r="L1713" t="str">
        <f t="shared" si="133"/>
        <v/>
      </c>
      <c r="M1713" t="str">
        <f t="shared" si="134"/>
        <v/>
      </c>
    </row>
    <row r="1714" spans="1:13" x14ac:dyDescent="0.3">
      <c r="A1714" t="str">
        <f>Segmenter!A1714</f>
        <v/>
      </c>
      <c r="B1714" t="str">
        <f>Segmenter!B1714</f>
        <v/>
      </c>
      <c r="C1714" t="str">
        <f t="shared" si="130"/>
        <v/>
      </c>
      <c r="D1714" t="str">
        <f t="shared" si="131"/>
        <v/>
      </c>
      <c r="E1714" t="str">
        <f t="shared" si="132"/>
        <v/>
      </c>
      <c r="F1714" t="str">
        <f>IF(D1714="","",INDEX(Knutepunkter!$B:$B,D1714+1))</f>
        <v/>
      </c>
      <c r="G1714" t="str">
        <f>IF(D1714="","",INDEX(Knutepunkter!$C:$C,D1714+1))</f>
        <v/>
      </c>
      <c r="H1714" t="str">
        <f>IF(D1714="","",INDEX(Knutepunkter!$D:$D,D1714+1))</f>
        <v/>
      </c>
      <c r="I1714" t="str">
        <f>IF(E1714="","",INDEX(Knutepunkter!$B:$B,E1714+1))</f>
        <v/>
      </c>
      <c r="J1714" t="str">
        <f>IF(E1714="","",INDEX(Knutepunkter!$C:$C,E1714+1))</f>
        <v/>
      </c>
      <c r="K1714" t="str">
        <f>IF(E1714="","",INDEX(Knutepunkter!$D:$D,E1714+1))</f>
        <v/>
      </c>
      <c r="L1714" t="str">
        <f t="shared" si="133"/>
        <v/>
      </c>
      <c r="M1714" t="str">
        <f t="shared" si="134"/>
        <v/>
      </c>
    </row>
    <row r="1715" spans="1:13" x14ac:dyDescent="0.3">
      <c r="A1715" t="str">
        <f>Segmenter!A1715</f>
        <v/>
      </c>
      <c r="B1715" t="str">
        <f>Segmenter!B1715</f>
        <v/>
      </c>
      <c r="C1715" t="str">
        <f t="shared" si="130"/>
        <v/>
      </c>
      <c r="D1715" t="str">
        <f t="shared" si="131"/>
        <v/>
      </c>
      <c r="E1715" t="str">
        <f t="shared" si="132"/>
        <v/>
      </c>
      <c r="F1715" t="str">
        <f>IF(D1715="","",INDEX(Knutepunkter!$B:$B,D1715+1))</f>
        <v/>
      </c>
      <c r="G1715" t="str">
        <f>IF(D1715="","",INDEX(Knutepunkter!$C:$C,D1715+1))</f>
        <v/>
      </c>
      <c r="H1715" t="str">
        <f>IF(D1715="","",INDEX(Knutepunkter!$D:$D,D1715+1))</f>
        <v/>
      </c>
      <c r="I1715" t="str">
        <f>IF(E1715="","",INDEX(Knutepunkter!$B:$B,E1715+1))</f>
        <v/>
      </c>
      <c r="J1715" t="str">
        <f>IF(E1715="","",INDEX(Knutepunkter!$C:$C,E1715+1))</f>
        <v/>
      </c>
      <c r="K1715" t="str">
        <f>IF(E1715="","",INDEX(Knutepunkter!$D:$D,E1715+1))</f>
        <v/>
      </c>
      <c r="L1715" t="str">
        <f t="shared" si="133"/>
        <v/>
      </c>
      <c r="M1715" t="str">
        <f t="shared" si="134"/>
        <v/>
      </c>
    </row>
    <row r="1716" spans="1:13" x14ac:dyDescent="0.3">
      <c r="A1716" t="str">
        <f>Segmenter!A1716</f>
        <v/>
      </c>
      <c r="B1716" t="str">
        <f>Segmenter!B1716</f>
        <v/>
      </c>
      <c r="C1716" t="str">
        <f t="shared" si="130"/>
        <v/>
      </c>
      <c r="D1716" t="str">
        <f t="shared" si="131"/>
        <v/>
      </c>
      <c r="E1716" t="str">
        <f t="shared" si="132"/>
        <v/>
      </c>
      <c r="F1716" t="str">
        <f>IF(D1716="","",INDEX(Knutepunkter!$B:$B,D1716+1))</f>
        <v/>
      </c>
      <c r="G1716" t="str">
        <f>IF(D1716="","",INDEX(Knutepunkter!$C:$C,D1716+1))</f>
        <v/>
      </c>
      <c r="H1716" t="str">
        <f>IF(D1716="","",INDEX(Knutepunkter!$D:$D,D1716+1))</f>
        <v/>
      </c>
      <c r="I1716" t="str">
        <f>IF(E1716="","",INDEX(Knutepunkter!$B:$B,E1716+1))</f>
        <v/>
      </c>
      <c r="J1716" t="str">
        <f>IF(E1716="","",INDEX(Knutepunkter!$C:$C,E1716+1))</f>
        <v/>
      </c>
      <c r="K1716" t="str">
        <f>IF(E1716="","",INDEX(Knutepunkter!$D:$D,E1716+1))</f>
        <v/>
      </c>
      <c r="L1716" t="str">
        <f t="shared" si="133"/>
        <v/>
      </c>
      <c r="M1716" t="str">
        <f t="shared" si="134"/>
        <v/>
      </c>
    </row>
    <row r="1717" spans="1:13" x14ac:dyDescent="0.3">
      <c r="A1717" t="str">
        <f>Segmenter!A1717</f>
        <v/>
      </c>
      <c r="B1717" t="str">
        <f>Segmenter!B1717</f>
        <v/>
      </c>
      <c r="C1717" t="str">
        <f t="shared" si="130"/>
        <v/>
      </c>
      <c r="D1717" t="str">
        <f t="shared" si="131"/>
        <v/>
      </c>
      <c r="E1717" t="str">
        <f t="shared" si="132"/>
        <v/>
      </c>
      <c r="F1717" t="str">
        <f>IF(D1717="","",INDEX(Knutepunkter!$B:$B,D1717+1))</f>
        <v/>
      </c>
      <c r="G1717" t="str">
        <f>IF(D1717="","",INDEX(Knutepunkter!$C:$C,D1717+1))</f>
        <v/>
      </c>
      <c r="H1717" t="str">
        <f>IF(D1717="","",INDEX(Knutepunkter!$D:$D,D1717+1))</f>
        <v/>
      </c>
      <c r="I1717" t="str">
        <f>IF(E1717="","",INDEX(Knutepunkter!$B:$B,E1717+1))</f>
        <v/>
      </c>
      <c r="J1717" t="str">
        <f>IF(E1717="","",INDEX(Knutepunkter!$C:$C,E1717+1))</f>
        <v/>
      </c>
      <c r="K1717" t="str">
        <f>IF(E1717="","",INDEX(Knutepunkter!$D:$D,E1717+1))</f>
        <v/>
      </c>
      <c r="L1717" t="str">
        <f t="shared" si="133"/>
        <v/>
      </c>
      <c r="M1717" t="str">
        <f t="shared" si="134"/>
        <v/>
      </c>
    </row>
    <row r="1718" spans="1:13" x14ac:dyDescent="0.3">
      <c r="A1718" t="str">
        <f>Segmenter!A1718</f>
        <v/>
      </c>
      <c r="B1718" t="str">
        <f>Segmenter!B1718</f>
        <v/>
      </c>
      <c r="C1718" t="str">
        <f t="shared" si="130"/>
        <v/>
      </c>
      <c r="D1718" t="str">
        <f t="shared" si="131"/>
        <v/>
      </c>
      <c r="E1718" t="str">
        <f t="shared" si="132"/>
        <v/>
      </c>
      <c r="F1718" t="str">
        <f>IF(D1718="","",INDEX(Knutepunkter!$B:$B,D1718+1))</f>
        <v/>
      </c>
      <c r="G1718" t="str">
        <f>IF(D1718="","",INDEX(Knutepunkter!$C:$C,D1718+1))</f>
        <v/>
      </c>
      <c r="H1718" t="str">
        <f>IF(D1718="","",INDEX(Knutepunkter!$D:$D,D1718+1))</f>
        <v/>
      </c>
      <c r="I1718" t="str">
        <f>IF(E1718="","",INDEX(Knutepunkter!$B:$B,E1718+1))</f>
        <v/>
      </c>
      <c r="J1718" t="str">
        <f>IF(E1718="","",INDEX(Knutepunkter!$C:$C,E1718+1))</f>
        <v/>
      </c>
      <c r="K1718" t="str">
        <f>IF(E1718="","",INDEX(Knutepunkter!$D:$D,E1718+1))</f>
        <v/>
      </c>
      <c r="L1718" t="str">
        <f t="shared" si="133"/>
        <v/>
      </c>
      <c r="M1718" t="str">
        <f t="shared" si="134"/>
        <v/>
      </c>
    </row>
    <row r="1719" spans="1:13" x14ac:dyDescent="0.3">
      <c r="A1719" t="str">
        <f>Segmenter!A1719</f>
        <v/>
      </c>
      <c r="B1719" t="str">
        <f>Segmenter!B1719</f>
        <v/>
      </c>
      <c r="C1719" t="str">
        <f t="shared" si="130"/>
        <v/>
      </c>
      <c r="D1719" t="str">
        <f t="shared" si="131"/>
        <v/>
      </c>
      <c r="E1719" t="str">
        <f t="shared" si="132"/>
        <v/>
      </c>
      <c r="F1719" t="str">
        <f>IF(D1719="","",INDEX(Knutepunkter!$B:$B,D1719+1))</f>
        <v/>
      </c>
      <c r="G1719" t="str">
        <f>IF(D1719="","",INDEX(Knutepunkter!$C:$C,D1719+1))</f>
        <v/>
      </c>
      <c r="H1719" t="str">
        <f>IF(D1719="","",INDEX(Knutepunkter!$D:$D,D1719+1))</f>
        <v/>
      </c>
      <c r="I1719" t="str">
        <f>IF(E1719="","",INDEX(Knutepunkter!$B:$B,E1719+1))</f>
        <v/>
      </c>
      <c r="J1719" t="str">
        <f>IF(E1719="","",INDEX(Knutepunkter!$C:$C,E1719+1))</f>
        <v/>
      </c>
      <c r="K1719" t="str">
        <f>IF(E1719="","",INDEX(Knutepunkter!$D:$D,E1719+1))</f>
        <v/>
      </c>
      <c r="L1719" t="str">
        <f t="shared" si="133"/>
        <v/>
      </c>
      <c r="M1719" t="str">
        <f t="shared" si="134"/>
        <v/>
      </c>
    </row>
    <row r="1720" spans="1:13" x14ac:dyDescent="0.3">
      <c r="A1720" t="str">
        <f>Segmenter!A1720</f>
        <v/>
      </c>
      <c r="B1720" t="str">
        <f>Segmenter!B1720</f>
        <v/>
      </c>
      <c r="C1720" t="str">
        <f t="shared" si="130"/>
        <v/>
      </c>
      <c r="D1720" t="str">
        <f t="shared" si="131"/>
        <v/>
      </c>
      <c r="E1720" t="str">
        <f t="shared" si="132"/>
        <v/>
      </c>
      <c r="F1720" t="str">
        <f>IF(D1720="","",INDEX(Knutepunkter!$B:$B,D1720+1))</f>
        <v/>
      </c>
      <c r="G1720" t="str">
        <f>IF(D1720="","",INDEX(Knutepunkter!$C:$C,D1720+1))</f>
        <v/>
      </c>
      <c r="H1720" t="str">
        <f>IF(D1720="","",INDEX(Knutepunkter!$D:$D,D1720+1))</f>
        <v/>
      </c>
      <c r="I1720" t="str">
        <f>IF(E1720="","",INDEX(Knutepunkter!$B:$B,E1720+1))</f>
        <v/>
      </c>
      <c r="J1720" t="str">
        <f>IF(E1720="","",INDEX(Knutepunkter!$C:$C,E1720+1))</f>
        <v/>
      </c>
      <c r="K1720" t="str">
        <f>IF(E1720="","",INDEX(Knutepunkter!$D:$D,E1720+1))</f>
        <v/>
      </c>
      <c r="L1720" t="str">
        <f t="shared" si="133"/>
        <v/>
      </c>
      <c r="M1720" t="str">
        <f t="shared" si="134"/>
        <v/>
      </c>
    </row>
    <row r="1721" spans="1:13" x14ac:dyDescent="0.3">
      <c r="A1721" t="str">
        <f>Segmenter!A1721</f>
        <v/>
      </c>
      <c r="B1721" t="str">
        <f>Segmenter!B1721</f>
        <v/>
      </c>
      <c r="C1721" t="str">
        <f t="shared" si="130"/>
        <v/>
      </c>
      <c r="D1721" t="str">
        <f t="shared" si="131"/>
        <v/>
      </c>
      <c r="E1721" t="str">
        <f t="shared" si="132"/>
        <v/>
      </c>
      <c r="F1721" t="str">
        <f>IF(D1721="","",INDEX(Knutepunkter!$B:$B,D1721+1))</f>
        <v/>
      </c>
      <c r="G1721" t="str">
        <f>IF(D1721="","",INDEX(Knutepunkter!$C:$C,D1721+1))</f>
        <v/>
      </c>
      <c r="H1721" t="str">
        <f>IF(D1721="","",INDEX(Knutepunkter!$D:$D,D1721+1))</f>
        <v/>
      </c>
      <c r="I1721" t="str">
        <f>IF(E1721="","",INDEX(Knutepunkter!$B:$B,E1721+1))</f>
        <v/>
      </c>
      <c r="J1721" t="str">
        <f>IF(E1721="","",INDEX(Knutepunkter!$C:$C,E1721+1))</f>
        <v/>
      </c>
      <c r="K1721" t="str">
        <f>IF(E1721="","",INDEX(Knutepunkter!$D:$D,E1721+1))</f>
        <v/>
      </c>
      <c r="L1721" t="str">
        <f t="shared" si="133"/>
        <v/>
      </c>
      <c r="M1721" t="str">
        <f t="shared" si="134"/>
        <v/>
      </c>
    </row>
    <row r="1722" spans="1:13" x14ac:dyDescent="0.3">
      <c r="A1722" t="str">
        <f>Segmenter!A1722</f>
        <v/>
      </c>
      <c r="B1722" t="str">
        <f>Segmenter!B1722</f>
        <v/>
      </c>
      <c r="C1722" t="str">
        <f t="shared" si="130"/>
        <v/>
      </c>
      <c r="D1722" t="str">
        <f t="shared" si="131"/>
        <v/>
      </c>
      <c r="E1722" t="str">
        <f t="shared" si="132"/>
        <v/>
      </c>
      <c r="F1722" t="str">
        <f>IF(D1722="","",INDEX(Knutepunkter!$B:$B,D1722+1))</f>
        <v/>
      </c>
      <c r="G1722" t="str">
        <f>IF(D1722="","",INDEX(Knutepunkter!$C:$C,D1722+1))</f>
        <v/>
      </c>
      <c r="H1722" t="str">
        <f>IF(D1722="","",INDEX(Knutepunkter!$D:$D,D1722+1))</f>
        <v/>
      </c>
      <c r="I1722" t="str">
        <f>IF(E1722="","",INDEX(Knutepunkter!$B:$B,E1722+1))</f>
        <v/>
      </c>
      <c r="J1722" t="str">
        <f>IF(E1722="","",INDEX(Knutepunkter!$C:$C,E1722+1))</f>
        <v/>
      </c>
      <c r="K1722" t="str">
        <f>IF(E1722="","",INDEX(Knutepunkter!$D:$D,E1722+1))</f>
        <v/>
      </c>
      <c r="L1722" t="str">
        <f t="shared" si="133"/>
        <v/>
      </c>
      <c r="M1722" t="str">
        <f t="shared" si="134"/>
        <v/>
      </c>
    </row>
    <row r="1723" spans="1:13" x14ac:dyDescent="0.3">
      <c r="A1723" t="str">
        <f>Segmenter!A1723</f>
        <v/>
      </c>
      <c r="B1723" t="str">
        <f>Segmenter!B1723</f>
        <v/>
      </c>
      <c r="C1723" t="str">
        <f t="shared" si="130"/>
        <v/>
      </c>
      <c r="D1723" t="str">
        <f t="shared" si="131"/>
        <v/>
      </c>
      <c r="E1723" t="str">
        <f t="shared" si="132"/>
        <v/>
      </c>
      <c r="F1723" t="str">
        <f>IF(D1723="","",INDEX(Knutepunkter!$B:$B,D1723+1))</f>
        <v/>
      </c>
      <c r="G1723" t="str">
        <f>IF(D1723="","",INDEX(Knutepunkter!$C:$C,D1723+1))</f>
        <v/>
      </c>
      <c r="H1723" t="str">
        <f>IF(D1723="","",INDEX(Knutepunkter!$D:$D,D1723+1))</f>
        <v/>
      </c>
      <c r="I1723" t="str">
        <f>IF(E1723="","",INDEX(Knutepunkter!$B:$B,E1723+1))</f>
        <v/>
      </c>
      <c r="J1723" t="str">
        <f>IF(E1723="","",INDEX(Knutepunkter!$C:$C,E1723+1))</f>
        <v/>
      </c>
      <c r="K1723" t="str">
        <f>IF(E1723="","",INDEX(Knutepunkter!$D:$D,E1723+1))</f>
        <v/>
      </c>
      <c r="L1723" t="str">
        <f t="shared" si="133"/>
        <v/>
      </c>
      <c r="M1723" t="str">
        <f t="shared" si="134"/>
        <v/>
      </c>
    </row>
    <row r="1724" spans="1:13" x14ac:dyDescent="0.3">
      <c r="A1724" t="str">
        <f>Segmenter!A1724</f>
        <v/>
      </c>
      <c r="B1724" t="str">
        <f>Segmenter!B1724</f>
        <v/>
      </c>
      <c r="C1724" t="str">
        <f t="shared" si="130"/>
        <v/>
      </c>
      <c r="D1724" t="str">
        <f t="shared" si="131"/>
        <v/>
      </c>
      <c r="E1724" t="str">
        <f t="shared" si="132"/>
        <v/>
      </c>
      <c r="F1724" t="str">
        <f>IF(D1724="","",INDEX(Knutepunkter!$B:$B,D1724+1))</f>
        <v/>
      </c>
      <c r="G1724" t="str">
        <f>IF(D1724="","",INDEX(Knutepunkter!$C:$C,D1724+1))</f>
        <v/>
      </c>
      <c r="H1724" t="str">
        <f>IF(D1724="","",INDEX(Knutepunkter!$D:$D,D1724+1))</f>
        <v/>
      </c>
      <c r="I1724" t="str">
        <f>IF(E1724="","",INDEX(Knutepunkter!$B:$B,E1724+1))</f>
        <v/>
      </c>
      <c r="J1724" t="str">
        <f>IF(E1724="","",INDEX(Knutepunkter!$C:$C,E1724+1))</f>
        <v/>
      </c>
      <c r="K1724" t="str">
        <f>IF(E1724="","",INDEX(Knutepunkter!$D:$D,E1724+1))</f>
        <v/>
      </c>
      <c r="L1724" t="str">
        <f t="shared" si="133"/>
        <v/>
      </c>
      <c r="M1724" t="str">
        <f t="shared" si="134"/>
        <v/>
      </c>
    </row>
    <row r="1725" spans="1:13" x14ac:dyDescent="0.3">
      <c r="A1725" t="str">
        <f>Segmenter!A1725</f>
        <v/>
      </c>
      <c r="B1725" t="str">
        <f>Segmenter!B1725</f>
        <v/>
      </c>
      <c r="C1725" t="str">
        <f t="shared" si="130"/>
        <v/>
      </c>
      <c r="D1725" t="str">
        <f t="shared" si="131"/>
        <v/>
      </c>
      <c r="E1725" t="str">
        <f t="shared" si="132"/>
        <v/>
      </c>
      <c r="F1725" t="str">
        <f>IF(D1725="","",INDEX(Knutepunkter!$B:$B,D1725+1))</f>
        <v/>
      </c>
      <c r="G1725" t="str">
        <f>IF(D1725="","",INDEX(Knutepunkter!$C:$C,D1725+1))</f>
        <v/>
      </c>
      <c r="H1725" t="str">
        <f>IF(D1725="","",INDEX(Knutepunkter!$D:$D,D1725+1))</f>
        <v/>
      </c>
      <c r="I1725" t="str">
        <f>IF(E1725="","",INDEX(Knutepunkter!$B:$B,E1725+1))</f>
        <v/>
      </c>
      <c r="J1725" t="str">
        <f>IF(E1725="","",INDEX(Knutepunkter!$C:$C,E1725+1))</f>
        <v/>
      </c>
      <c r="K1725" t="str">
        <f>IF(E1725="","",INDEX(Knutepunkter!$D:$D,E1725+1))</f>
        <v/>
      </c>
      <c r="L1725" t="str">
        <f t="shared" si="133"/>
        <v/>
      </c>
      <c r="M1725" t="str">
        <f t="shared" si="134"/>
        <v/>
      </c>
    </row>
    <row r="1726" spans="1:13" x14ac:dyDescent="0.3">
      <c r="A1726" t="str">
        <f>Segmenter!A1726</f>
        <v/>
      </c>
      <c r="B1726" t="str">
        <f>Segmenter!B1726</f>
        <v/>
      </c>
      <c r="C1726" t="str">
        <f t="shared" si="130"/>
        <v/>
      </c>
      <c r="D1726" t="str">
        <f t="shared" si="131"/>
        <v/>
      </c>
      <c r="E1726" t="str">
        <f t="shared" si="132"/>
        <v/>
      </c>
      <c r="F1726" t="str">
        <f>IF(D1726="","",INDEX(Knutepunkter!$B:$B,D1726+1))</f>
        <v/>
      </c>
      <c r="G1726" t="str">
        <f>IF(D1726="","",INDEX(Knutepunkter!$C:$C,D1726+1))</f>
        <v/>
      </c>
      <c r="H1726" t="str">
        <f>IF(D1726="","",INDEX(Knutepunkter!$D:$D,D1726+1))</f>
        <v/>
      </c>
      <c r="I1726" t="str">
        <f>IF(E1726="","",INDEX(Knutepunkter!$B:$B,E1726+1))</f>
        <v/>
      </c>
      <c r="J1726" t="str">
        <f>IF(E1726="","",INDEX(Knutepunkter!$C:$C,E1726+1))</f>
        <v/>
      </c>
      <c r="K1726" t="str">
        <f>IF(E1726="","",INDEX(Knutepunkter!$D:$D,E1726+1))</f>
        <v/>
      </c>
      <c r="L1726" t="str">
        <f t="shared" si="133"/>
        <v/>
      </c>
      <c r="M1726" t="str">
        <f t="shared" si="134"/>
        <v/>
      </c>
    </row>
    <row r="1727" spans="1:13" x14ac:dyDescent="0.3">
      <c r="A1727" t="str">
        <f>Segmenter!A1727</f>
        <v/>
      </c>
      <c r="B1727" t="str">
        <f>Segmenter!B1727</f>
        <v/>
      </c>
      <c r="C1727" t="str">
        <f t="shared" si="130"/>
        <v/>
      </c>
      <c r="D1727" t="str">
        <f t="shared" si="131"/>
        <v/>
      </c>
      <c r="E1727" t="str">
        <f t="shared" si="132"/>
        <v/>
      </c>
      <c r="F1727" t="str">
        <f>IF(D1727="","",INDEX(Knutepunkter!$B:$B,D1727+1))</f>
        <v/>
      </c>
      <c r="G1727" t="str">
        <f>IF(D1727="","",INDEX(Knutepunkter!$C:$C,D1727+1))</f>
        <v/>
      </c>
      <c r="H1727" t="str">
        <f>IF(D1727="","",INDEX(Knutepunkter!$D:$D,D1727+1))</f>
        <v/>
      </c>
      <c r="I1727" t="str">
        <f>IF(E1727="","",INDEX(Knutepunkter!$B:$B,E1727+1))</f>
        <v/>
      </c>
      <c r="J1727" t="str">
        <f>IF(E1727="","",INDEX(Knutepunkter!$C:$C,E1727+1))</f>
        <v/>
      </c>
      <c r="K1727" t="str">
        <f>IF(E1727="","",INDEX(Knutepunkter!$D:$D,E1727+1))</f>
        <v/>
      </c>
      <c r="L1727" t="str">
        <f t="shared" si="133"/>
        <v/>
      </c>
      <c r="M1727" t="str">
        <f t="shared" si="134"/>
        <v/>
      </c>
    </row>
    <row r="1728" spans="1:13" x14ac:dyDescent="0.3">
      <c r="A1728" t="str">
        <f>Segmenter!A1728</f>
        <v/>
      </c>
      <c r="B1728" t="str">
        <f>Segmenter!B1728</f>
        <v/>
      </c>
      <c r="C1728" t="str">
        <f t="shared" si="130"/>
        <v/>
      </c>
      <c r="D1728" t="str">
        <f t="shared" si="131"/>
        <v/>
      </c>
      <c r="E1728" t="str">
        <f t="shared" si="132"/>
        <v/>
      </c>
      <c r="F1728" t="str">
        <f>IF(D1728="","",INDEX(Knutepunkter!$B:$B,D1728+1))</f>
        <v/>
      </c>
      <c r="G1728" t="str">
        <f>IF(D1728="","",INDEX(Knutepunkter!$C:$C,D1728+1))</f>
        <v/>
      </c>
      <c r="H1728" t="str">
        <f>IF(D1728="","",INDEX(Knutepunkter!$D:$D,D1728+1))</f>
        <v/>
      </c>
      <c r="I1728" t="str">
        <f>IF(E1728="","",INDEX(Knutepunkter!$B:$B,E1728+1))</f>
        <v/>
      </c>
      <c r="J1728" t="str">
        <f>IF(E1728="","",INDEX(Knutepunkter!$C:$C,E1728+1))</f>
        <v/>
      </c>
      <c r="K1728" t="str">
        <f>IF(E1728="","",INDEX(Knutepunkter!$D:$D,E1728+1))</f>
        <v/>
      </c>
      <c r="L1728" t="str">
        <f t="shared" si="133"/>
        <v/>
      </c>
      <c r="M1728" t="str">
        <f t="shared" si="134"/>
        <v/>
      </c>
    </row>
    <row r="1729" spans="1:13" x14ac:dyDescent="0.3">
      <c r="A1729" t="str">
        <f>Segmenter!A1729</f>
        <v/>
      </c>
      <c r="B1729" t="str">
        <f>Segmenter!B1729</f>
        <v/>
      </c>
      <c r="C1729" t="str">
        <f t="shared" si="130"/>
        <v/>
      </c>
      <c r="D1729" t="str">
        <f t="shared" si="131"/>
        <v/>
      </c>
      <c r="E1729" t="str">
        <f t="shared" si="132"/>
        <v/>
      </c>
      <c r="F1729" t="str">
        <f>IF(D1729="","",INDEX(Knutepunkter!$B:$B,D1729+1))</f>
        <v/>
      </c>
      <c r="G1729" t="str">
        <f>IF(D1729="","",INDEX(Knutepunkter!$C:$C,D1729+1))</f>
        <v/>
      </c>
      <c r="H1729" t="str">
        <f>IF(D1729="","",INDEX(Knutepunkter!$D:$D,D1729+1))</f>
        <v/>
      </c>
      <c r="I1729" t="str">
        <f>IF(E1729="","",INDEX(Knutepunkter!$B:$B,E1729+1))</f>
        <v/>
      </c>
      <c r="J1729" t="str">
        <f>IF(E1729="","",INDEX(Knutepunkter!$C:$C,E1729+1))</f>
        <v/>
      </c>
      <c r="K1729" t="str">
        <f>IF(E1729="","",INDEX(Knutepunkter!$D:$D,E1729+1))</f>
        <v/>
      </c>
      <c r="L1729" t="str">
        <f t="shared" si="133"/>
        <v/>
      </c>
      <c r="M1729" t="str">
        <f t="shared" si="134"/>
        <v/>
      </c>
    </row>
    <row r="1730" spans="1:13" x14ac:dyDescent="0.3">
      <c r="A1730" t="str">
        <f>Segmenter!A1730</f>
        <v/>
      </c>
      <c r="B1730" t="str">
        <f>Segmenter!B1730</f>
        <v/>
      </c>
      <c r="C1730" t="str">
        <f t="shared" ref="C1730:C1793" si="135">IF(B1730="","",IF(AND(F1730=I1730,G1730=J1730,H1730&lt;&gt;K1730),"Søyle","Bjelke"))</f>
        <v/>
      </c>
      <c r="D1730" t="str">
        <f t="shared" ref="D1730:D1793" si="136">IF(B1730="","",VALUE(LEFT(B1730,FIND(" -&gt; ",B1730)-1)))</f>
        <v/>
      </c>
      <c r="E1730" t="str">
        <f t="shared" ref="E1730:E1793" si="137">IF(B1730="","",VALUE(MID(B1730,FIND(" -&gt; ",B1730)+4,99)))</f>
        <v/>
      </c>
      <c r="F1730" t="str">
        <f>IF(D1730="","",INDEX(Knutepunkter!$B:$B,D1730+1))</f>
        <v/>
      </c>
      <c r="G1730" t="str">
        <f>IF(D1730="","",INDEX(Knutepunkter!$C:$C,D1730+1))</f>
        <v/>
      </c>
      <c r="H1730" t="str">
        <f>IF(D1730="","",INDEX(Knutepunkter!$D:$D,D1730+1))</f>
        <v/>
      </c>
      <c r="I1730" t="str">
        <f>IF(E1730="","",INDEX(Knutepunkter!$B:$B,E1730+1))</f>
        <v/>
      </c>
      <c r="J1730" t="str">
        <f>IF(E1730="","",INDEX(Knutepunkter!$C:$C,E1730+1))</f>
        <v/>
      </c>
      <c r="K1730" t="str">
        <f>IF(E1730="","",INDEX(Knutepunkter!$D:$D,E1730+1))</f>
        <v/>
      </c>
      <c r="L1730" t="str">
        <f t="shared" ref="L1730:L1793" si="138">IF(B1730="","",SQRT((I1730-F1730)^2+(J1730-G1730)^2+(K1730-H1730)^2))</f>
        <v/>
      </c>
      <c r="M1730" t="str">
        <f t="shared" ref="M1730:M1793" si="139">IF(L1730="","",L1730/1000)</f>
        <v/>
      </c>
    </row>
    <row r="1731" spans="1:13" x14ac:dyDescent="0.3">
      <c r="A1731" t="str">
        <f>Segmenter!A1731</f>
        <v/>
      </c>
      <c r="B1731" t="str">
        <f>Segmenter!B1731</f>
        <v/>
      </c>
      <c r="C1731" t="str">
        <f t="shared" si="135"/>
        <v/>
      </c>
      <c r="D1731" t="str">
        <f t="shared" si="136"/>
        <v/>
      </c>
      <c r="E1731" t="str">
        <f t="shared" si="137"/>
        <v/>
      </c>
      <c r="F1731" t="str">
        <f>IF(D1731="","",INDEX(Knutepunkter!$B:$B,D1731+1))</f>
        <v/>
      </c>
      <c r="G1731" t="str">
        <f>IF(D1731="","",INDEX(Knutepunkter!$C:$C,D1731+1))</f>
        <v/>
      </c>
      <c r="H1731" t="str">
        <f>IF(D1731="","",INDEX(Knutepunkter!$D:$D,D1731+1))</f>
        <v/>
      </c>
      <c r="I1731" t="str">
        <f>IF(E1731="","",INDEX(Knutepunkter!$B:$B,E1731+1))</f>
        <v/>
      </c>
      <c r="J1731" t="str">
        <f>IF(E1731="","",INDEX(Knutepunkter!$C:$C,E1731+1))</f>
        <v/>
      </c>
      <c r="K1731" t="str">
        <f>IF(E1731="","",INDEX(Knutepunkter!$D:$D,E1731+1))</f>
        <v/>
      </c>
      <c r="L1731" t="str">
        <f t="shared" si="138"/>
        <v/>
      </c>
      <c r="M1731" t="str">
        <f t="shared" si="139"/>
        <v/>
      </c>
    </row>
    <row r="1732" spans="1:13" x14ac:dyDescent="0.3">
      <c r="A1732" t="str">
        <f>Segmenter!A1732</f>
        <v/>
      </c>
      <c r="B1732" t="str">
        <f>Segmenter!B1732</f>
        <v/>
      </c>
      <c r="C1732" t="str">
        <f t="shared" si="135"/>
        <v/>
      </c>
      <c r="D1732" t="str">
        <f t="shared" si="136"/>
        <v/>
      </c>
      <c r="E1732" t="str">
        <f t="shared" si="137"/>
        <v/>
      </c>
      <c r="F1732" t="str">
        <f>IF(D1732="","",INDEX(Knutepunkter!$B:$B,D1732+1))</f>
        <v/>
      </c>
      <c r="G1732" t="str">
        <f>IF(D1732="","",INDEX(Knutepunkter!$C:$C,D1732+1))</f>
        <v/>
      </c>
      <c r="H1732" t="str">
        <f>IF(D1732="","",INDEX(Knutepunkter!$D:$D,D1732+1))</f>
        <v/>
      </c>
      <c r="I1732" t="str">
        <f>IF(E1732="","",INDEX(Knutepunkter!$B:$B,E1732+1))</f>
        <v/>
      </c>
      <c r="J1732" t="str">
        <f>IF(E1732="","",INDEX(Knutepunkter!$C:$C,E1732+1))</f>
        <v/>
      </c>
      <c r="K1732" t="str">
        <f>IF(E1732="","",INDEX(Knutepunkter!$D:$D,E1732+1))</f>
        <v/>
      </c>
      <c r="L1732" t="str">
        <f t="shared" si="138"/>
        <v/>
      </c>
      <c r="M1732" t="str">
        <f t="shared" si="139"/>
        <v/>
      </c>
    </row>
    <row r="1733" spans="1:13" x14ac:dyDescent="0.3">
      <c r="A1733" t="str">
        <f>Segmenter!A1733</f>
        <v/>
      </c>
      <c r="B1733" t="str">
        <f>Segmenter!B1733</f>
        <v/>
      </c>
      <c r="C1733" t="str">
        <f t="shared" si="135"/>
        <v/>
      </c>
      <c r="D1733" t="str">
        <f t="shared" si="136"/>
        <v/>
      </c>
      <c r="E1733" t="str">
        <f t="shared" si="137"/>
        <v/>
      </c>
      <c r="F1733" t="str">
        <f>IF(D1733="","",INDEX(Knutepunkter!$B:$B,D1733+1))</f>
        <v/>
      </c>
      <c r="G1733" t="str">
        <f>IF(D1733="","",INDEX(Knutepunkter!$C:$C,D1733+1))</f>
        <v/>
      </c>
      <c r="H1733" t="str">
        <f>IF(D1733="","",INDEX(Knutepunkter!$D:$D,D1733+1))</f>
        <v/>
      </c>
      <c r="I1733" t="str">
        <f>IF(E1733="","",INDEX(Knutepunkter!$B:$B,E1733+1))</f>
        <v/>
      </c>
      <c r="J1733" t="str">
        <f>IF(E1733="","",INDEX(Knutepunkter!$C:$C,E1733+1))</f>
        <v/>
      </c>
      <c r="K1733" t="str">
        <f>IF(E1733="","",INDEX(Knutepunkter!$D:$D,E1733+1))</f>
        <v/>
      </c>
      <c r="L1733" t="str">
        <f t="shared" si="138"/>
        <v/>
      </c>
      <c r="M1733" t="str">
        <f t="shared" si="139"/>
        <v/>
      </c>
    </row>
    <row r="1734" spans="1:13" x14ac:dyDescent="0.3">
      <c r="A1734" t="str">
        <f>Segmenter!A1734</f>
        <v/>
      </c>
      <c r="B1734" t="str">
        <f>Segmenter!B1734</f>
        <v/>
      </c>
      <c r="C1734" t="str">
        <f t="shared" si="135"/>
        <v/>
      </c>
      <c r="D1734" t="str">
        <f t="shared" si="136"/>
        <v/>
      </c>
      <c r="E1734" t="str">
        <f t="shared" si="137"/>
        <v/>
      </c>
      <c r="F1734" t="str">
        <f>IF(D1734="","",INDEX(Knutepunkter!$B:$B,D1734+1))</f>
        <v/>
      </c>
      <c r="G1734" t="str">
        <f>IF(D1734="","",INDEX(Knutepunkter!$C:$C,D1734+1))</f>
        <v/>
      </c>
      <c r="H1734" t="str">
        <f>IF(D1734="","",INDEX(Knutepunkter!$D:$D,D1734+1))</f>
        <v/>
      </c>
      <c r="I1734" t="str">
        <f>IF(E1734="","",INDEX(Knutepunkter!$B:$B,E1734+1))</f>
        <v/>
      </c>
      <c r="J1734" t="str">
        <f>IF(E1734="","",INDEX(Knutepunkter!$C:$C,E1734+1))</f>
        <v/>
      </c>
      <c r="K1734" t="str">
        <f>IF(E1734="","",INDEX(Knutepunkter!$D:$D,E1734+1))</f>
        <v/>
      </c>
      <c r="L1734" t="str">
        <f t="shared" si="138"/>
        <v/>
      </c>
      <c r="M1734" t="str">
        <f t="shared" si="139"/>
        <v/>
      </c>
    </row>
    <row r="1735" spans="1:13" x14ac:dyDescent="0.3">
      <c r="A1735" t="str">
        <f>Segmenter!A1735</f>
        <v/>
      </c>
      <c r="B1735" t="str">
        <f>Segmenter!B1735</f>
        <v/>
      </c>
      <c r="C1735" t="str">
        <f t="shared" si="135"/>
        <v/>
      </c>
      <c r="D1735" t="str">
        <f t="shared" si="136"/>
        <v/>
      </c>
      <c r="E1735" t="str">
        <f t="shared" si="137"/>
        <v/>
      </c>
      <c r="F1735" t="str">
        <f>IF(D1735="","",INDEX(Knutepunkter!$B:$B,D1735+1))</f>
        <v/>
      </c>
      <c r="G1735" t="str">
        <f>IF(D1735="","",INDEX(Knutepunkter!$C:$C,D1735+1))</f>
        <v/>
      </c>
      <c r="H1735" t="str">
        <f>IF(D1735="","",INDEX(Knutepunkter!$D:$D,D1735+1))</f>
        <v/>
      </c>
      <c r="I1735" t="str">
        <f>IF(E1735="","",INDEX(Knutepunkter!$B:$B,E1735+1))</f>
        <v/>
      </c>
      <c r="J1735" t="str">
        <f>IF(E1735="","",INDEX(Knutepunkter!$C:$C,E1735+1))</f>
        <v/>
      </c>
      <c r="K1735" t="str">
        <f>IF(E1735="","",INDEX(Knutepunkter!$D:$D,E1735+1))</f>
        <v/>
      </c>
      <c r="L1735" t="str">
        <f t="shared" si="138"/>
        <v/>
      </c>
      <c r="M1735" t="str">
        <f t="shared" si="139"/>
        <v/>
      </c>
    </row>
    <row r="1736" spans="1:13" x14ac:dyDescent="0.3">
      <c r="A1736" t="str">
        <f>Segmenter!A1736</f>
        <v/>
      </c>
      <c r="B1736" t="str">
        <f>Segmenter!B1736</f>
        <v/>
      </c>
      <c r="C1736" t="str">
        <f t="shared" si="135"/>
        <v/>
      </c>
      <c r="D1736" t="str">
        <f t="shared" si="136"/>
        <v/>
      </c>
      <c r="E1736" t="str">
        <f t="shared" si="137"/>
        <v/>
      </c>
      <c r="F1736" t="str">
        <f>IF(D1736="","",INDEX(Knutepunkter!$B:$B,D1736+1))</f>
        <v/>
      </c>
      <c r="G1736" t="str">
        <f>IF(D1736="","",INDEX(Knutepunkter!$C:$C,D1736+1))</f>
        <v/>
      </c>
      <c r="H1736" t="str">
        <f>IF(D1736="","",INDEX(Knutepunkter!$D:$D,D1736+1))</f>
        <v/>
      </c>
      <c r="I1736" t="str">
        <f>IF(E1736="","",INDEX(Knutepunkter!$B:$B,E1736+1))</f>
        <v/>
      </c>
      <c r="J1736" t="str">
        <f>IF(E1736="","",INDEX(Knutepunkter!$C:$C,E1736+1))</f>
        <v/>
      </c>
      <c r="K1736" t="str">
        <f>IF(E1736="","",INDEX(Knutepunkter!$D:$D,E1736+1))</f>
        <v/>
      </c>
      <c r="L1736" t="str">
        <f t="shared" si="138"/>
        <v/>
      </c>
      <c r="M1736" t="str">
        <f t="shared" si="139"/>
        <v/>
      </c>
    </row>
    <row r="1737" spans="1:13" x14ac:dyDescent="0.3">
      <c r="A1737" t="str">
        <f>Segmenter!A1737</f>
        <v/>
      </c>
      <c r="B1737" t="str">
        <f>Segmenter!B1737</f>
        <v/>
      </c>
      <c r="C1737" t="str">
        <f t="shared" si="135"/>
        <v/>
      </c>
      <c r="D1737" t="str">
        <f t="shared" si="136"/>
        <v/>
      </c>
      <c r="E1737" t="str">
        <f t="shared" si="137"/>
        <v/>
      </c>
      <c r="F1737" t="str">
        <f>IF(D1737="","",INDEX(Knutepunkter!$B:$B,D1737+1))</f>
        <v/>
      </c>
      <c r="G1737" t="str">
        <f>IF(D1737="","",INDEX(Knutepunkter!$C:$C,D1737+1))</f>
        <v/>
      </c>
      <c r="H1737" t="str">
        <f>IF(D1737="","",INDEX(Knutepunkter!$D:$D,D1737+1))</f>
        <v/>
      </c>
      <c r="I1737" t="str">
        <f>IF(E1737="","",INDEX(Knutepunkter!$B:$B,E1737+1))</f>
        <v/>
      </c>
      <c r="J1737" t="str">
        <f>IF(E1737="","",INDEX(Knutepunkter!$C:$C,E1737+1))</f>
        <v/>
      </c>
      <c r="K1737" t="str">
        <f>IF(E1737="","",INDEX(Knutepunkter!$D:$D,E1737+1))</f>
        <v/>
      </c>
      <c r="L1737" t="str">
        <f t="shared" si="138"/>
        <v/>
      </c>
      <c r="M1737" t="str">
        <f t="shared" si="139"/>
        <v/>
      </c>
    </row>
    <row r="1738" spans="1:13" x14ac:dyDescent="0.3">
      <c r="A1738" t="str">
        <f>Segmenter!A1738</f>
        <v/>
      </c>
      <c r="B1738" t="str">
        <f>Segmenter!B1738</f>
        <v/>
      </c>
      <c r="C1738" t="str">
        <f t="shared" si="135"/>
        <v/>
      </c>
      <c r="D1738" t="str">
        <f t="shared" si="136"/>
        <v/>
      </c>
      <c r="E1738" t="str">
        <f t="shared" si="137"/>
        <v/>
      </c>
      <c r="F1738" t="str">
        <f>IF(D1738="","",INDEX(Knutepunkter!$B:$B,D1738+1))</f>
        <v/>
      </c>
      <c r="G1738" t="str">
        <f>IF(D1738="","",INDEX(Knutepunkter!$C:$C,D1738+1))</f>
        <v/>
      </c>
      <c r="H1738" t="str">
        <f>IF(D1738="","",INDEX(Knutepunkter!$D:$D,D1738+1))</f>
        <v/>
      </c>
      <c r="I1738" t="str">
        <f>IF(E1738="","",INDEX(Knutepunkter!$B:$B,E1738+1))</f>
        <v/>
      </c>
      <c r="J1738" t="str">
        <f>IF(E1738="","",INDEX(Knutepunkter!$C:$C,E1738+1))</f>
        <v/>
      </c>
      <c r="K1738" t="str">
        <f>IF(E1738="","",INDEX(Knutepunkter!$D:$D,E1738+1))</f>
        <v/>
      </c>
      <c r="L1738" t="str">
        <f t="shared" si="138"/>
        <v/>
      </c>
      <c r="M1738" t="str">
        <f t="shared" si="139"/>
        <v/>
      </c>
    </row>
    <row r="1739" spans="1:13" x14ac:dyDescent="0.3">
      <c r="A1739" t="str">
        <f>Segmenter!A1739</f>
        <v/>
      </c>
      <c r="B1739" t="str">
        <f>Segmenter!B1739</f>
        <v/>
      </c>
      <c r="C1739" t="str">
        <f t="shared" si="135"/>
        <v/>
      </c>
      <c r="D1739" t="str">
        <f t="shared" si="136"/>
        <v/>
      </c>
      <c r="E1739" t="str">
        <f t="shared" si="137"/>
        <v/>
      </c>
      <c r="F1739" t="str">
        <f>IF(D1739="","",INDEX(Knutepunkter!$B:$B,D1739+1))</f>
        <v/>
      </c>
      <c r="G1739" t="str">
        <f>IF(D1739="","",INDEX(Knutepunkter!$C:$C,D1739+1))</f>
        <v/>
      </c>
      <c r="H1739" t="str">
        <f>IF(D1739="","",INDEX(Knutepunkter!$D:$D,D1739+1))</f>
        <v/>
      </c>
      <c r="I1739" t="str">
        <f>IF(E1739="","",INDEX(Knutepunkter!$B:$B,E1739+1))</f>
        <v/>
      </c>
      <c r="J1739" t="str">
        <f>IF(E1739="","",INDEX(Knutepunkter!$C:$C,E1739+1))</f>
        <v/>
      </c>
      <c r="K1739" t="str">
        <f>IF(E1739="","",INDEX(Knutepunkter!$D:$D,E1739+1))</f>
        <v/>
      </c>
      <c r="L1739" t="str">
        <f t="shared" si="138"/>
        <v/>
      </c>
      <c r="M1739" t="str">
        <f t="shared" si="139"/>
        <v/>
      </c>
    </row>
    <row r="1740" spans="1:13" x14ac:dyDescent="0.3">
      <c r="A1740" t="str">
        <f>Segmenter!A1740</f>
        <v/>
      </c>
      <c r="B1740" t="str">
        <f>Segmenter!B1740</f>
        <v/>
      </c>
      <c r="C1740" t="str">
        <f t="shared" si="135"/>
        <v/>
      </c>
      <c r="D1740" t="str">
        <f t="shared" si="136"/>
        <v/>
      </c>
      <c r="E1740" t="str">
        <f t="shared" si="137"/>
        <v/>
      </c>
      <c r="F1740" t="str">
        <f>IF(D1740="","",INDEX(Knutepunkter!$B:$B,D1740+1))</f>
        <v/>
      </c>
      <c r="G1740" t="str">
        <f>IF(D1740="","",INDEX(Knutepunkter!$C:$C,D1740+1))</f>
        <v/>
      </c>
      <c r="H1740" t="str">
        <f>IF(D1740="","",INDEX(Knutepunkter!$D:$D,D1740+1))</f>
        <v/>
      </c>
      <c r="I1740" t="str">
        <f>IF(E1740="","",INDEX(Knutepunkter!$B:$B,E1740+1))</f>
        <v/>
      </c>
      <c r="J1740" t="str">
        <f>IF(E1740="","",INDEX(Knutepunkter!$C:$C,E1740+1))</f>
        <v/>
      </c>
      <c r="K1740" t="str">
        <f>IF(E1740="","",INDEX(Knutepunkter!$D:$D,E1740+1))</f>
        <v/>
      </c>
      <c r="L1740" t="str">
        <f t="shared" si="138"/>
        <v/>
      </c>
      <c r="M1740" t="str">
        <f t="shared" si="139"/>
        <v/>
      </c>
    </row>
    <row r="1741" spans="1:13" x14ac:dyDescent="0.3">
      <c r="A1741" t="str">
        <f>Segmenter!A1741</f>
        <v/>
      </c>
      <c r="B1741" t="str">
        <f>Segmenter!B1741</f>
        <v/>
      </c>
      <c r="C1741" t="str">
        <f t="shared" si="135"/>
        <v/>
      </c>
      <c r="D1741" t="str">
        <f t="shared" si="136"/>
        <v/>
      </c>
      <c r="E1741" t="str">
        <f t="shared" si="137"/>
        <v/>
      </c>
      <c r="F1741" t="str">
        <f>IF(D1741="","",INDEX(Knutepunkter!$B:$B,D1741+1))</f>
        <v/>
      </c>
      <c r="G1741" t="str">
        <f>IF(D1741="","",INDEX(Knutepunkter!$C:$C,D1741+1))</f>
        <v/>
      </c>
      <c r="H1741" t="str">
        <f>IF(D1741="","",INDEX(Knutepunkter!$D:$D,D1741+1))</f>
        <v/>
      </c>
      <c r="I1741" t="str">
        <f>IF(E1741="","",INDEX(Knutepunkter!$B:$B,E1741+1))</f>
        <v/>
      </c>
      <c r="J1741" t="str">
        <f>IF(E1741="","",INDEX(Knutepunkter!$C:$C,E1741+1))</f>
        <v/>
      </c>
      <c r="K1741" t="str">
        <f>IF(E1741="","",INDEX(Knutepunkter!$D:$D,E1741+1))</f>
        <v/>
      </c>
      <c r="L1741" t="str">
        <f t="shared" si="138"/>
        <v/>
      </c>
      <c r="M1741" t="str">
        <f t="shared" si="139"/>
        <v/>
      </c>
    </row>
    <row r="1742" spans="1:13" x14ac:dyDescent="0.3">
      <c r="A1742" t="str">
        <f>Segmenter!A1742</f>
        <v/>
      </c>
      <c r="B1742" t="str">
        <f>Segmenter!B1742</f>
        <v/>
      </c>
      <c r="C1742" t="str">
        <f t="shared" si="135"/>
        <v/>
      </c>
      <c r="D1742" t="str">
        <f t="shared" si="136"/>
        <v/>
      </c>
      <c r="E1742" t="str">
        <f t="shared" si="137"/>
        <v/>
      </c>
      <c r="F1742" t="str">
        <f>IF(D1742="","",INDEX(Knutepunkter!$B:$B,D1742+1))</f>
        <v/>
      </c>
      <c r="G1742" t="str">
        <f>IF(D1742="","",INDEX(Knutepunkter!$C:$C,D1742+1))</f>
        <v/>
      </c>
      <c r="H1742" t="str">
        <f>IF(D1742="","",INDEX(Knutepunkter!$D:$D,D1742+1))</f>
        <v/>
      </c>
      <c r="I1742" t="str">
        <f>IF(E1742="","",INDEX(Knutepunkter!$B:$B,E1742+1))</f>
        <v/>
      </c>
      <c r="J1742" t="str">
        <f>IF(E1742="","",INDEX(Knutepunkter!$C:$C,E1742+1))</f>
        <v/>
      </c>
      <c r="K1742" t="str">
        <f>IF(E1742="","",INDEX(Knutepunkter!$D:$D,E1742+1))</f>
        <v/>
      </c>
      <c r="L1742" t="str">
        <f t="shared" si="138"/>
        <v/>
      </c>
      <c r="M1742" t="str">
        <f t="shared" si="139"/>
        <v/>
      </c>
    </row>
    <row r="1743" spans="1:13" x14ac:dyDescent="0.3">
      <c r="A1743" t="str">
        <f>Segmenter!A1743</f>
        <v/>
      </c>
      <c r="B1743" t="str">
        <f>Segmenter!B1743</f>
        <v/>
      </c>
      <c r="C1743" t="str">
        <f t="shared" si="135"/>
        <v/>
      </c>
      <c r="D1743" t="str">
        <f t="shared" si="136"/>
        <v/>
      </c>
      <c r="E1743" t="str">
        <f t="shared" si="137"/>
        <v/>
      </c>
      <c r="F1743" t="str">
        <f>IF(D1743="","",INDEX(Knutepunkter!$B:$B,D1743+1))</f>
        <v/>
      </c>
      <c r="G1743" t="str">
        <f>IF(D1743="","",INDEX(Knutepunkter!$C:$C,D1743+1))</f>
        <v/>
      </c>
      <c r="H1743" t="str">
        <f>IF(D1743="","",INDEX(Knutepunkter!$D:$D,D1743+1))</f>
        <v/>
      </c>
      <c r="I1743" t="str">
        <f>IF(E1743="","",INDEX(Knutepunkter!$B:$B,E1743+1))</f>
        <v/>
      </c>
      <c r="J1743" t="str">
        <f>IF(E1743="","",INDEX(Knutepunkter!$C:$C,E1743+1))</f>
        <v/>
      </c>
      <c r="K1743" t="str">
        <f>IF(E1743="","",INDEX(Knutepunkter!$D:$D,E1743+1))</f>
        <v/>
      </c>
      <c r="L1743" t="str">
        <f t="shared" si="138"/>
        <v/>
      </c>
      <c r="M1743" t="str">
        <f t="shared" si="139"/>
        <v/>
      </c>
    </row>
    <row r="1744" spans="1:13" x14ac:dyDescent="0.3">
      <c r="A1744" t="str">
        <f>Segmenter!A1744</f>
        <v/>
      </c>
      <c r="B1744" t="str">
        <f>Segmenter!B1744</f>
        <v/>
      </c>
      <c r="C1744" t="str">
        <f t="shared" si="135"/>
        <v/>
      </c>
      <c r="D1744" t="str">
        <f t="shared" si="136"/>
        <v/>
      </c>
      <c r="E1744" t="str">
        <f t="shared" si="137"/>
        <v/>
      </c>
      <c r="F1744" t="str">
        <f>IF(D1744="","",INDEX(Knutepunkter!$B:$B,D1744+1))</f>
        <v/>
      </c>
      <c r="G1744" t="str">
        <f>IF(D1744="","",INDEX(Knutepunkter!$C:$C,D1744+1))</f>
        <v/>
      </c>
      <c r="H1744" t="str">
        <f>IF(D1744="","",INDEX(Knutepunkter!$D:$D,D1744+1))</f>
        <v/>
      </c>
      <c r="I1744" t="str">
        <f>IF(E1744="","",INDEX(Knutepunkter!$B:$B,E1744+1))</f>
        <v/>
      </c>
      <c r="J1744" t="str">
        <f>IF(E1744="","",INDEX(Knutepunkter!$C:$C,E1744+1))</f>
        <v/>
      </c>
      <c r="K1744" t="str">
        <f>IF(E1744="","",INDEX(Knutepunkter!$D:$D,E1744+1))</f>
        <v/>
      </c>
      <c r="L1744" t="str">
        <f t="shared" si="138"/>
        <v/>
      </c>
      <c r="M1744" t="str">
        <f t="shared" si="139"/>
        <v/>
      </c>
    </row>
    <row r="1745" spans="1:13" x14ac:dyDescent="0.3">
      <c r="A1745" t="str">
        <f>Segmenter!A1745</f>
        <v/>
      </c>
      <c r="B1745" t="str">
        <f>Segmenter!B1745</f>
        <v/>
      </c>
      <c r="C1745" t="str">
        <f t="shared" si="135"/>
        <v/>
      </c>
      <c r="D1745" t="str">
        <f t="shared" si="136"/>
        <v/>
      </c>
      <c r="E1745" t="str">
        <f t="shared" si="137"/>
        <v/>
      </c>
      <c r="F1745" t="str">
        <f>IF(D1745="","",INDEX(Knutepunkter!$B:$B,D1745+1))</f>
        <v/>
      </c>
      <c r="G1745" t="str">
        <f>IF(D1745="","",INDEX(Knutepunkter!$C:$C,D1745+1))</f>
        <v/>
      </c>
      <c r="H1745" t="str">
        <f>IF(D1745="","",INDEX(Knutepunkter!$D:$D,D1745+1))</f>
        <v/>
      </c>
      <c r="I1745" t="str">
        <f>IF(E1745="","",INDEX(Knutepunkter!$B:$B,E1745+1))</f>
        <v/>
      </c>
      <c r="J1745" t="str">
        <f>IF(E1745="","",INDEX(Knutepunkter!$C:$C,E1745+1))</f>
        <v/>
      </c>
      <c r="K1745" t="str">
        <f>IF(E1745="","",INDEX(Knutepunkter!$D:$D,E1745+1))</f>
        <v/>
      </c>
      <c r="L1745" t="str">
        <f t="shared" si="138"/>
        <v/>
      </c>
      <c r="M1745" t="str">
        <f t="shared" si="139"/>
        <v/>
      </c>
    </row>
    <row r="1746" spans="1:13" x14ac:dyDescent="0.3">
      <c r="A1746" t="str">
        <f>Segmenter!A1746</f>
        <v/>
      </c>
      <c r="B1746" t="str">
        <f>Segmenter!B1746</f>
        <v/>
      </c>
      <c r="C1746" t="str">
        <f t="shared" si="135"/>
        <v/>
      </c>
      <c r="D1746" t="str">
        <f t="shared" si="136"/>
        <v/>
      </c>
      <c r="E1746" t="str">
        <f t="shared" si="137"/>
        <v/>
      </c>
      <c r="F1746" t="str">
        <f>IF(D1746="","",INDEX(Knutepunkter!$B:$B,D1746+1))</f>
        <v/>
      </c>
      <c r="G1746" t="str">
        <f>IF(D1746="","",INDEX(Knutepunkter!$C:$C,D1746+1))</f>
        <v/>
      </c>
      <c r="H1746" t="str">
        <f>IF(D1746="","",INDEX(Knutepunkter!$D:$D,D1746+1))</f>
        <v/>
      </c>
      <c r="I1746" t="str">
        <f>IF(E1746="","",INDEX(Knutepunkter!$B:$B,E1746+1))</f>
        <v/>
      </c>
      <c r="J1746" t="str">
        <f>IF(E1746="","",INDEX(Knutepunkter!$C:$C,E1746+1))</f>
        <v/>
      </c>
      <c r="K1746" t="str">
        <f>IF(E1746="","",INDEX(Knutepunkter!$D:$D,E1746+1))</f>
        <v/>
      </c>
      <c r="L1746" t="str">
        <f t="shared" si="138"/>
        <v/>
      </c>
      <c r="M1746" t="str">
        <f t="shared" si="139"/>
        <v/>
      </c>
    </row>
    <row r="1747" spans="1:13" x14ac:dyDescent="0.3">
      <c r="A1747" t="str">
        <f>Segmenter!A1747</f>
        <v/>
      </c>
      <c r="B1747" t="str">
        <f>Segmenter!B1747</f>
        <v/>
      </c>
      <c r="C1747" t="str">
        <f t="shared" si="135"/>
        <v/>
      </c>
      <c r="D1747" t="str">
        <f t="shared" si="136"/>
        <v/>
      </c>
      <c r="E1747" t="str">
        <f t="shared" si="137"/>
        <v/>
      </c>
      <c r="F1747" t="str">
        <f>IF(D1747="","",INDEX(Knutepunkter!$B:$B,D1747+1))</f>
        <v/>
      </c>
      <c r="G1747" t="str">
        <f>IF(D1747="","",INDEX(Knutepunkter!$C:$C,D1747+1))</f>
        <v/>
      </c>
      <c r="H1747" t="str">
        <f>IF(D1747="","",INDEX(Knutepunkter!$D:$D,D1747+1))</f>
        <v/>
      </c>
      <c r="I1747" t="str">
        <f>IF(E1747="","",INDEX(Knutepunkter!$B:$B,E1747+1))</f>
        <v/>
      </c>
      <c r="J1747" t="str">
        <f>IF(E1747="","",INDEX(Knutepunkter!$C:$C,E1747+1))</f>
        <v/>
      </c>
      <c r="K1747" t="str">
        <f>IF(E1747="","",INDEX(Knutepunkter!$D:$D,E1747+1))</f>
        <v/>
      </c>
      <c r="L1747" t="str">
        <f t="shared" si="138"/>
        <v/>
      </c>
      <c r="M1747" t="str">
        <f t="shared" si="139"/>
        <v/>
      </c>
    </row>
    <row r="1748" spans="1:13" x14ac:dyDescent="0.3">
      <c r="A1748" t="str">
        <f>Segmenter!A1748</f>
        <v/>
      </c>
      <c r="B1748" t="str">
        <f>Segmenter!B1748</f>
        <v/>
      </c>
      <c r="C1748" t="str">
        <f t="shared" si="135"/>
        <v/>
      </c>
      <c r="D1748" t="str">
        <f t="shared" si="136"/>
        <v/>
      </c>
      <c r="E1748" t="str">
        <f t="shared" si="137"/>
        <v/>
      </c>
      <c r="F1748" t="str">
        <f>IF(D1748="","",INDEX(Knutepunkter!$B:$B,D1748+1))</f>
        <v/>
      </c>
      <c r="G1748" t="str">
        <f>IF(D1748="","",INDEX(Knutepunkter!$C:$C,D1748+1))</f>
        <v/>
      </c>
      <c r="H1748" t="str">
        <f>IF(D1748="","",INDEX(Knutepunkter!$D:$D,D1748+1))</f>
        <v/>
      </c>
      <c r="I1748" t="str">
        <f>IF(E1748="","",INDEX(Knutepunkter!$B:$B,E1748+1))</f>
        <v/>
      </c>
      <c r="J1748" t="str">
        <f>IF(E1748="","",INDEX(Knutepunkter!$C:$C,E1748+1))</f>
        <v/>
      </c>
      <c r="K1748" t="str">
        <f>IF(E1748="","",INDEX(Knutepunkter!$D:$D,E1748+1))</f>
        <v/>
      </c>
      <c r="L1748" t="str">
        <f t="shared" si="138"/>
        <v/>
      </c>
      <c r="M1748" t="str">
        <f t="shared" si="139"/>
        <v/>
      </c>
    </row>
    <row r="1749" spans="1:13" x14ac:dyDescent="0.3">
      <c r="A1749" t="str">
        <f>Segmenter!A1749</f>
        <v/>
      </c>
      <c r="B1749" t="str">
        <f>Segmenter!B1749</f>
        <v/>
      </c>
      <c r="C1749" t="str">
        <f t="shared" si="135"/>
        <v/>
      </c>
      <c r="D1749" t="str">
        <f t="shared" si="136"/>
        <v/>
      </c>
      <c r="E1749" t="str">
        <f t="shared" si="137"/>
        <v/>
      </c>
      <c r="F1749" t="str">
        <f>IF(D1749="","",INDEX(Knutepunkter!$B:$B,D1749+1))</f>
        <v/>
      </c>
      <c r="G1749" t="str">
        <f>IF(D1749="","",INDEX(Knutepunkter!$C:$C,D1749+1))</f>
        <v/>
      </c>
      <c r="H1749" t="str">
        <f>IF(D1749="","",INDEX(Knutepunkter!$D:$D,D1749+1))</f>
        <v/>
      </c>
      <c r="I1749" t="str">
        <f>IF(E1749="","",INDEX(Knutepunkter!$B:$B,E1749+1))</f>
        <v/>
      </c>
      <c r="J1749" t="str">
        <f>IF(E1749="","",INDEX(Knutepunkter!$C:$C,E1749+1))</f>
        <v/>
      </c>
      <c r="K1749" t="str">
        <f>IF(E1749="","",INDEX(Knutepunkter!$D:$D,E1749+1))</f>
        <v/>
      </c>
      <c r="L1749" t="str">
        <f t="shared" si="138"/>
        <v/>
      </c>
      <c r="M1749" t="str">
        <f t="shared" si="139"/>
        <v/>
      </c>
    </row>
    <row r="1750" spans="1:13" x14ac:dyDescent="0.3">
      <c r="A1750" t="str">
        <f>Segmenter!A1750</f>
        <v/>
      </c>
      <c r="B1750" t="str">
        <f>Segmenter!B1750</f>
        <v/>
      </c>
      <c r="C1750" t="str">
        <f t="shared" si="135"/>
        <v/>
      </c>
      <c r="D1750" t="str">
        <f t="shared" si="136"/>
        <v/>
      </c>
      <c r="E1750" t="str">
        <f t="shared" si="137"/>
        <v/>
      </c>
      <c r="F1750" t="str">
        <f>IF(D1750="","",INDEX(Knutepunkter!$B:$B,D1750+1))</f>
        <v/>
      </c>
      <c r="G1750" t="str">
        <f>IF(D1750="","",INDEX(Knutepunkter!$C:$C,D1750+1))</f>
        <v/>
      </c>
      <c r="H1750" t="str">
        <f>IF(D1750="","",INDEX(Knutepunkter!$D:$D,D1750+1))</f>
        <v/>
      </c>
      <c r="I1750" t="str">
        <f>IF(E1750="","",INDEX(Knutepunkter!$B:$B,E1750+1))</f>
        <v/>
      </c>
      <c r="J1750" t="str">
        <f>IF(E1750="","",INDEX(Knutepunkter!$C:$C,E1750+1))</f>
        <v/>
      </c>
      <c r="K1750" t="str">
        <f>IF(E1750="","",INDEX(Knutepunkter!$D:$D,E1750+1))</f>
        <v/>
      </c>
      <c r="L1750" t="str">
        <f t="shared" si="138"/>
        <v/>
      </c>
      <c r="M1750" t="str">
        <f t="shared" si="139"/>
        <v/>
      </c>
    </row>
    <row r="1751" spans="1:13" x14ac:dyDescent="0.3">
      <c r="A1751" t="str">
        <f>Segmenter!A1751</f>
        <v/>
      </c>
      <c r="B1751" t="str">
        <f>Segmenter!B1751</f>
        <v/>
      </c>
      <c r="C1751" t="str">
        <f t="shared" si="135"/>
        <v/>
      </c>
      <c r="D1751" t="str">
        <f t="shared" si="136"/>
        <v/>
      </c>
      <c r="E1751" t="str">
        <f t="shared" si="137"/>
        <v/>
      </c>
      <c r="F1751" t="str">
        <f>IF(D1751="","",INDEX(Knutepunkter!$B:$B,D1751+1))</f>
        <v/>
      </c>
      <c r="G1751" t="str">
        <f>IF(D1751="","",INDEX(Knutepunkter!$C:$C,D1751+1))</f>
        <v/>
      </c>
      <c r="H1751" t="str">
        <f>IF(D1751="","",INDEX(Knutepunkter!$D:$D,D1751+1))</f>
        <v/>
      </c>
      <c r="I1751" t="str">
        <f>IF(E1751="","",INDEX(Knutepunkter!$B:$B,E1751+1))</f>
        <v/>
      </c>
      <c r="J1751" t="str">
        <f>IF(E1751="","",INDEX(Knutepunkter!$C:$C,E1751+1))</f>
        <v/>
      </c>
      <c r="K1751" t="str">
        <f>IF(E1751="","",INDEX(Knutepunkter!$D:$D,E1751+1))</f>
        <v/>
      </c>
      <c r="L1751" t="str">
        <f t="shared" si="138"/>
        <v/>
      </c>
      <c r="M1751" t="str">
        <f t="shared" si="139"/>
        <v/>
      </c>
    </row>
    <row r="1752" spans="1:13" x14ac:dyDescent="0.3">
      <c r="A1752" t="str">
        <f>Segmenter!A1752</f>
        <v/>
      </c>
      <c r="B1752" t="str">
        <f>Segmenter!B1752</f>
        <v/>
      </c>
      <c r="C1752" t="str">
        <f t="shared" si="135"/>
        <v/>
      </c>
      <c r="D1752" t="str">
        <f t="shared" si="136"/>
        <v/>
      </c>
      <c r="E1752" t="str">
        <f t="shared" si="137"/>
        <v/>
      </c>
      <c r="F1752" t="str">
        <f>IF(D1752="","",INDEX(Knutepunkter!$B:$B,D1752+1))</f>
        <v/>
      </c>
      <c r="G1752" t="str">
        <f>IF(D1752="","",INDEX(Knutepunkter!$C:$C,D1752+1))</f>
        <v/>
      </c>
      <c r="H1752" t="str">
        <f>IF(D1752="","",INDEX(Knutepunkter!$D:$D,D1752+1))</f>
        <v/>
      </c>
      <c r="I1752" t="str">
        <f>IF(E1752="","",INDEX(Knutepunkter!$B:$B,E1752+1))</f>
        <v/>
      </c>
      <c r="J1752" t="str">
        <f>IF(E1752="","",INDEX(Knutepunkter!$C:$C,E1752+1))</f>
        <v/>
      </c>
      <c r="K1752" t="str">
        <f>IF(E1752="","",INDEX(Knutepunkter!$D:$D,E1752+1))</f>
        <v/>
      </c>
      <c r="L1752" t="str">
        <f t="shared" si="138"/>
        <v/>
      </c>
      <c r="M1752" t="str">
        <f t="shared" si="139"/>
        <v/>
      </c>
    </row>
    <row r="1753" spans="1:13" x14ac:dyDescent="0.3">
      <c r="A1753" t="str">
        <f>Segmenter!A1753</f>
        <v/>
      </c>
      <c r="B1753" t="str">
        <f>Segmenter!B1753</f>
        <v/>
      </c>
      <c r="C1753" t="str">
        <f t="shared" si="135"/>
        <v/>
      </c>
      <c r="D1753" t="str">
        <f t="shared" si="136"/>
        <v/>
      </c>
      <c r="E1753" t="str">
        <f t="shared" si="137"/>
        <v/>
      </c>
      <c r="F1753" t="str">
        <f>IF(D1753="","",INDEX(Knutepunkter!$B:$B,D1753+1))</f>
        <v/>
      </c>
      <c r="G1753" t="str">
        <f>IF(D1753="","",INDEX(Knutepunkter!$C:$C,D1753+1))</f>
        <v/>
      </c>
      <c r="H1753" t="str">
        <f>IF(D1753="","",INDEX(Knutepunkter!$D:$D,D1753+1))</f>
        <v/>
      </c>
      <c r="I1753" t="str">
        <f>IF(E1753="","",INDEX(Knutepunkter!$B:$B,E1753+1))</f>
        <v/>
      </c>
      <c r="J1753" t="str">
        <f>IF(E1753="","",INDEX(Knutepunkter!$C:$C,E1753+1))</f>
        <v/>
      </c>
      <c r="K1753" t="str">
        <f>IF(E1753="","",INDEX(Knutepunkter!$D:$D,E1753+1))</f>
        <v/>
      </c>
      <c r="L1753" t="str">
        <f t="shared" si="138"/>
        <v/>
      </c>
      <c r="M1753" t="str">
        <f t="shared" si="139"/>
        <v/>
      </c>
    </row>
    <row r="1754" spans="1:13" x14ac:dyDescent="0.3">
      <c r="A1754" t="str">
        <f>Segmenter!A1754</f>
        <v/>
      </c>
      <c r="B1754" t="str">
        <f>Segmenter!B1754</f>
        <v/>
      </c>
      <c r="C1754" t="str">
        <f t="shared" si="135"/>
        <v/>
      </c>
      <c r="D1754" t="str">
        <f t="shared" si="136"/>
        <v/>
      </c>
      <c r="E1754" t="str">
        <f t="shared" si="137"/>
        <v/>
      </c>
      <c r="F1754" t="str">
        <f>IF(D1754="","",INDEX(Knutepunkter!$B:$B,D1754+1))</f>
        <v/>
      </c>
      <c r="G1754" t="str">
        <f>IF(D1754="","",INDEX(Knutepunkter!$C:$C,D1754+1))</f>
        <v/>
      </c>
      <c r="H1754" t="str">
        <f>IF(D1754="","",INDEX(Knutepunkter!$D:$D,D1754+1))</f>
        <v/>
      </c>
      <c r="I1754" t="str">
        <f>IF(E1754="","",INDEX(Knutepunkter!$B:$B,E1754+1))</f>
        <v/>
      </c>
      <c r="J1754" t="str">
        <f>IF(E1754="","",INDEX(Knutepunkter!$C:$C,E1754+1))</f>
        <v/>
      </c>
      <c r="K1754" t="str">
        <f>IF(E1754="","",INDEX(Knutepunkter!$D:$D,E1754+1))</f>
        <v/>
      </c>
      <c r="L1754" t="str">
        <f t="shared" si="138"/>
        <v/>
      </c>
      <c r="M1754" t="str">
        <f t="shared" si="139"/>
        <v/>
      </c>
    </row>
    <row r="1755" spans="1:13" x14ac:dyDescent="0.3">
      <c r="A1755" t="str">
        <f>Segmenter!A1755</f>
        <v/>
      </c>
      <c r="B1755" t="str">
        <f>Segmenter!B1755</f>
        <v/>
      </c>
      <c r="C1755" t="str">
        <f t="shared" si="135"/>
        <v/>
      </c>
      <c r="D1755" t="str">
        <f t="shared" si="136"/>
        <v/>
      </c>
      <c r="E1755" t="str">
        <f t="shared" si="137"/>
        <v/>
      </c>
      <c r="F1755" t="str">
        <f>IF(D1755="","",INDEX(Knutepunkter!$B:$B,D1755+1))</f>
        <v/>
      </c>
      <c r="G1755" t="str">
        <f>IF(D1755="","",INDEX(Knutepunkter!$C:$C,D1755+1))</f>
        <v/>
      </c>
      <c r="H1755" t="str">
        <f>IF(D1755="","",INDEX(Knutepunkter!$D:$D,D1755+1))</f>
        <v/>
      </c>
      <c r="I1755" t="str">
        <f>IF(E1755="","",INDEX(Knutepunkter!$B:$B,E1755+1))</f>
        <v/>
      </c>
      <c r="J1755" t="str">
        <f>IF(E1755="","",INDEX(Knutepunkter!$C:$C,E1755+1))</f>
        <v/>
      </c>
      <c r="K1755" t="str">
        <f>IF(E1755="","",INDEX(Knutepunkter!$D:$D,E1755+1))</f>
        <v/>
      </c>
      <c r="L1755" t="str">
        <f t="shared" si="138"/>
        <v/>
      </c>
      <c r="M1755" t="str">
        <f t="shared" si="139"/>
        <v/>
      </c>
    </row>
    <row r="1756" spans="1:13" x14ac:dyDescent="0.3">
      <c r="A1756" t="str">
        <f>Segmenter!A1756</f>
        <v/>
      </c>
      <c r="B1756" t="str">
        <f>Segmenter!B1756</f>
        <v/>
      </c>
      <c r="C1756" t="str">
        <f t="shared" si="135"/>
        <v/>
      </c>
      <c r="D1756" t="str">
        <f t="shared" si="136"/>
        <v/>
      </c>
      <c r="E1756" t="str">
        <f t="shared" si="137"/>
        <v/>
      </c>
      <c r="F1756" t="str">
        <f>IF(D1756="","",INDEX(Knutepunkter!$B:$B,D1756+1))</f>
        <v/>
      </c>
      <c r="G1756" t="str">
        <f>IF(D1756="","",INDEX(Knutepunkter!$C:$C,D1756+1))</f>
        <v/>
      </c>
      <c r="H1756" t="str">
        <f>IF(D1756="","",INDEX(Knutepunkter!$D:$D,D1756+1))</f>
        <v/>
      </c>
      <c r="I1756" t="str">
        <f>IF(E1756="","",INDEX(Knutepunkter!$B:$B,E1756+1))</f>
        <v/>
      </c>
      <c r="J1756" t="str">
        <f>IF(E1756="","",INDEX(Knutepunkter!$C:$C,E1756+1))</f>
        <v/>
      </c>
      <c r="K1756" t="str">
        <f>IF(E1756="","",INDEX(Knutepunkter!$D:$D,E1756+1))</f>
        <v/>
      </c>
      <c r="L1756" t="str">
        <f t="shared" si="138"/>
        <v/>
      </c>
      <c r="M1756" t="str">
        <f t="shared" si="139"/>
        <v/>
      </c>
    </row>
    <row r="1757" spans="1:13" x14ac:dyDescent="0.3">
      <c r="A1757" t="str">
        <f>Segmenter!A1757</f>
        <v/>
      </c>
      <c r="B1757" t="str">
        <f>Segmenter!B1757</f>
        <v/>
      </c>
      <c r="C1757" t="str">
        <f t="shared" si="135"/>
        <v/>
      </c>
      <c r="D1757" t="str">
        <f t="shared" si="136"/>
        <v/>
      </c>
      <c r="E1757" t="str">
        <f t="shared" si="137"/>
        <v/>
      </c>
      <c r="F1757" t="str">
        <f>IF(D1757="","",INDEX(Knutepunkter!$B:$B,D1757+1))</f>
        <v/>
      </c>
      <c r="G1757" t="str">
        <f>IF(D1757="","",INDEX(Knutepunkter!$C:$C,D1757+1))</f>
        <v/>
      </c>
      <c r="H1757" t="str">
        <f>IF(D1757="","",INDEX(Knutepunkter!$D:$D,D1757+1))</f>
        <v/>
      </c>
      <c r="I1757" t="str">
        <f>IF(E1757="","",INDEX(Knutepunkter!$B:$B,E1757+1))</f>
        <v/>
      </c>
      <c r="J1757" t="str">
        <f>IF(E1757="","",INDEX(Knutepunkter!$C:$C,E1757+1))</f>
        <v/>
      </c>
      <c r="K1757" t="str">
        <f>IF(E1757="","",INDEX(Knutepunkter!$D:$D,E1757+1))</f>
        <v/>
      </c>
      <c r="L1757" t="str">
        <f t="shared" si="138"/>
        <v/>
      </c>
      <c r="M1757" t="str">
        <f t="shared" si="139"/>
        <v/>
      </c>
    </row>
    <row r="1758" spans="1:13" x14ac:dyDescent="0.3">
      <c r="A1758" t="str">
        <f>Segmenter!A1758</f>
        <v/>
      </c>
      <c r="B1758" t="str">
        <f>Segmenter!B1758</f>
        <v/>
      </c>
      <c r="C1758" t="str">
        <f t="shared" si="135"/>
        <v/>
      </c>
      <c r="D1758" t="str">
        <f t="shared" si="136"/>
        <v/>
      </c>
      <c r="E1758" t="str">
        <f t="shared" si="137"/>
        <v/>
      </c>
      <c r="F1758" t="str">
        <f>IF(D1758="","",INDEX(Knutepunkter!$B:$B,D1758+1))</f>
        <v/>
      </c>
      <c r="G1758" t="str">
        <f>IF(D1758="","",INDEX(Knutepunkter!$C:$C,D1758+1))</f>
        <v/>
      </c>
      <c r="H1758" t="str">
        <f>IF(D1758="","",INDEX(Knutepunkter!$D:$D,D1758+1))</f>
        <v/>
      </c>
      <c r="I1758" t="str">
        <f>IF(E1758="","",INDEX(Knutepunkter!$B:$B,E1758+1))</f>
        <v/>
      </c>
      <c r="J1758" t="str">
        <f>IF(E1758="","",INDEX(Knutepunkter!$C:$C,E1758+1))</f>
        <v/>
      </c>
      <c r="K1758" t="str">
        <f>IF(E1758="","",INDEX(Knutepunkter!$D:$D,E1758+1))</f>
        <v/>
      </c>
      <c r="L1758" t="str">
        <f t="shared" si="138"/>
        <v/>
      </c>
      <c r="M1758" t="str">
        <f t="shared" si="139"/>
        <v/>
      </c>
    </row>
    <row r="1759" spans="1:13" x14ac:dyDescent="0.3">
      <c r="A1759" t="str">
        <f>Segmenter!A1759</f>
        <v/>
      </c>
      <c r="B1759" t="str">
        <f>Segmenter!B1759</f>
        <v/>
      </c>
      <c r="C1759" t="str">
        <f t="shared" si="135"/>
        <v/>
      </c>
      <c r="D1759" t="str">
        <f t="shared" si="136"/>
        <v/>
      </c>
      <c r="E1759" t="str">
        <f t="shared" si="137"/>
        <v/>
      </c>
      <c r="F1759" t="str">
        <f>IF(D1759="","",INDEX(Knutepunkter!$B:$B,D1759+1))</f>
        <v/>
      </c>
      <c r="G1759" t="str">
        <f>IF(D1759="","",INDEX(Knutepunkter!$C:$C,D1759+1))</f>
        <v/>
      </c>
      <c r="H1759" t="str">
        <f>IF(D1759="","",INDEX(Knutepunkter!$D:$D,D1759+1))</f>
        <v/>
      </c>
      <c r="I1759" t="str">
        <f>IF(E1759="","",INDEX(Knutepunkter!$B:$B,E1759+1))</f>
        <v/>
      </c>
      <c r="J1759" t="str">
        <f>IF(E1759="","",INDEX(Knutepunkter!$C:$C,E1759+1))</f>
        <v/>
      </c>
      <c r="K1759" t="str">
        <f>IF(E1759="","",INDEX(Knutepunkter!$D:$D,E1759+1))</f>
        <v/>
      </c>
      <c r="L1759" t="str">
        <f t="shared" si="138"/>
        <v/>
      </c>
      <c r="M1759" t="str">
        <f t="shared" si="139"/>
        <v/>
      </c>
    </row>
    <row r="1760" spans="1:13" x14ac:dyDescent="0.3">
      <c r="A1760" t="str">
        <f>Segmenter!A1760</f>
        <v/>
      </c>
      <c r="B1760" t="str">
        <f>Segmenter!B1760</f>
        <v/>
      </c>
      <c r="C1760" t="str">
        <f t="shared" si="135"/>
        <v/>
      </c>
      <c r="D1760" t="str">
        <f t="shared" si="136"/>
        <v/>
      </c>
      <c r="E1760" t="str">
        <f t="shared" si="137"/>
        <v/>
      </c>
      <c r="F1760" t="str">
        <f>IF(D1760="","",INDEX(Knutepunkter!$B:$B,D1760+1))</f>
        <v/>
      </c>
      <c r="G1760" t="str">
        <f>IF(D1760="","",INDEX(Knutepunkter!$C:$C,D1760+1))</f>
        <v/>
      </c>
      <c r="H1760" t="str">
        <f>IF(D1760="","",INDEX(Knutepunkter!$D:$D,D1760+1))</f>
        <v/>
      </c>
      <c r="I1760" t="str">
        <f>IF(E1760="","",INDEX(Knutepunkter!$B:$B,E1760+1))</f>
        <v/>
      </c>
      <c r="J1760" t="str">
        <f>IF(E1760="","",INDEX(Knutepunkter!$C:$C,E1760+1))</f>
        <v/>
      </c>
      <c r="K1760" t="str">
        <f>IF(E1760="","",INDEX(Knutepunkter!$D:$D,E1760+1))</f>
        <v/>
      </c>
      <c r="L1760" t="str">
        <f t="shared" si="138"/>
        <v/>
      </c>
      <c r="M1760" t="str">
        <f t="shared" si="139"/>
        <v/>
      </c>
    </row>
    <row r="1761" spans="1:13" x14ac:dyDescent="0.3">
      <c r="A1761" t="str">
        <f>Segmenter!A1761</f>
        <v/>
      </c>
      <c r="B1761" t="str">
        <f>Segmenter!B1761</f>
        <v/>
      </c>
      <c r="C1761" t="str">
        <f t="shared" si="135"/>
        <v/>
      </c>
      <c r="D1761" t="str">
        <f t="shared" si="136"/>
        <v/>
      </c>
      <c r="E1761" t="str">
        <f t="shared" si="137"/>
        <v/>
      </c>
      <c r="F1761" t="str">
        <f>IF(D1761="","",INDEX(Knutepunkter!$B:$B,D1761+1))</f>
        <v/>
      </c>
      <c r="G1761" t="str">
        <f>IF(D1761="","",INDEX(Knutepunkter!$C:$C,D1761+1))</f>
        <v/>
      </c>
      <c r="H1761" t="str">
        <f>IF(D1761="","",INDEX(Knutepunkter!$D:$D,D1761+1))</f>
        <v/>
      </c>
      <c r="I1761" t="str">
        <f>IF(E1761="","",INDEX(Knutepunkter!$B:$B,E1761+1))</f>
        <v/>
      </c>
      <c r="J1761" t="str">
        <f>IF(E1761="","",INDEX(Knutepunkter!$C:$C,E1761+1))</f>
        <v/>
      </c>
      <c r="K1761" t="str">
        <f>IF(E1761="","",INDEX(Knutepunkter!$D:$D,E1761+1))</f>
        <v/>
      </c>
      <c r="L1761" t="str">
        <f t="shared" si="138"/>
        <v/>
      </c>
      <c r="M1761" t="str">
        <f t="shared" si="139"/>
        <v/>
      </c>
    </row>
    <row r="1762" spans="1:13" x14ac:dyDescent="0.3">
      <c r="A1762" t="str">
        <f>Segmenter!A1762</f>
        <v/>
      </c>
      <c r="B1762" t="str">
        <f>Segmenter!B1762</f>
        <v/>
      </c>
      <c r="C1762" t="str">
        <f t="shared" si="135"/>
        <v/>
      </c>
      <c r="D1762" t="str">
        <f t="shared" si="136"/>
        <v/>
      </c>
      <c r="E1762" t="str">
        <f t="shared" si="137"/>
        <v/>
      </c>
      <c r="F1762" t="str">
        <f>IF(D1762="","",INDEX(Knutepunkter!$B:$B,D1762+1))</f>
        <v/>
      </c>
      <c r="G1762" t="str">
        <f>IF(D1762="","",INDEX(Knutepunkter!$C:$C,D1762+1))</f>
        <v/>
      </c>
      <c r="H1762" t="str">
        <f>IF(D1762="","",INDEX(Knutepunkter!$D:$D,D1762+1))</f>
        <v/>
      </c>
      <c r="I1762" t="str">
        <f>IF(E1762="","",INDEX(Knutepunkter!$B:$B,E1762+1))</f>
        <v/>
      </c>
      <c r="J1762" t="str">
        <f>IF(E1762="","",INDEX(Knutepunkter!$C:$C,E1762+1))</f>
        <v/>
      </c>
      <c r="K1762" t="str">
        <f>IF(E1762="","",INDEX(Knutepunkter!$D:$D,E1762+1))</f>
        <v/>
      </c>
      <c r="L1762" t="str">
        <f t="shared" si="138"/>
        <v/>
      </c>
      <c r="M1762" t="str">
        <f t="shared" si="139"/>
        <v/>
      </c>
    </row>
    <row r="1763" spans="1:13" x14ac:dyDescent="0.3">
      <c r="A1763" t="str">
        <f>Segmenter!A1763</f>
        <v/>
      </c>
      <c r="B1763" t="str">
        <f>Segmenter!B1763</f>
        <v/>
      </c>
      <c r="C1763" t="str">
        <f t="shared" si="135"/>
        <v/>
      </c>
      <c r="D1763" t="str">
        <f t="shared" si="136"/>
        <v/>
      </c>
      <c r="E1763" t="str">
        <f t="shared" si="137"/>
        <v/>
      </c>
      <c r="F1763" t="str">
        <f>IF(D1763="","",INDEX(Knutepunkter!$B:$B,D1763+1))</f>
        <v/>
      </c>
      <c r="G1763" t="str">
        <f>IF(D1763="","",INDEX(Knutepunkter!$C:$C,D1763+1))</f>
        <v/>
      </c>
      <c r="H1763" t="str">
        <f>IF(D1763="","",INDEX(Knutepunkter!$D:$D,D1763+1))</f>
        <v/>
      </c>
      <c r="I1763" t="str">
        <f>IF(E1763="","",INDEX(Knutepunkter!$B:$B,E1763+1))</f>
        <v/>
      </c>
      <c r="J1763" t="str">
        <f>IF(E1763="","",INDEX(Knutepunkter!$C:$C,E1763+1))</f>
        <v/>
      </c>
      <c r="K1763" t="str">
        <f>IF(E1763="","",INDEX(Knutepunkter!$D:$D,E1763+1))</f>
        <v/>
      </c>
      <c r="L1763" t="str">
        <f t="shared" si="138"/>
        <v/>
      </c>
      <c r="M1763" t="str">
        <f t="shared" si="139"/>
        <v/>
      </c>
    </row>
    <row r="1764" spans="1:13" x14ac:dyDescent="0.3">
      <c r="A1764" t="str">
        <f>Segmenter!A1764</f>
        <v/>
      </c>
      <c r="B1764" t="str">
        <f>Segmenter!B1764</f>
        <v/>
      </c>
      <c r="C1764" t="str">
        <f t="shared" si="135"/>
        <v/>
      </c>
      <c r="D1764" t="str">
        <f t="shared" si="136"/>
        <v/>
      </c>
      <c r="E1764" t="str">
        <f t="shared" si="137"/>
        <v/>
      </c>
      <c r="F1764" t="str">
        <f>IF(D1764="","",INDEX(Knutepunkter!$B:$B,D1764+1))</f>
        <v/>
      </c>
      <c r="G1764" t="str">
        <f>IF(D1764="","",INDEX(Knutepunkter!$C:$C,D1764+1))</f>
        <v/>
      </c>
      <c r="H1764" t="str">
        <f>IF(D1764="","",INDEX(Knutepunkter!$D:$D,D1764+1))</f>
        <v/>
      </c>
      <c r="I1764" t="str">
        <f>IF(E1764="","",INDEX(Knutepunkter!$B:$B,E1764+1))</f>
        <v/>
      </c>
      <c r="J1764" t="str">
        <f>IF(E1764="","",INDEX(Knutepunkter!$C:$C,E1764+1))</f>
        <v/>
      </c>
      <c r="K1764" t="str">
        <f>IF(E1764="","",INDEX(Knutepunkter!$D:$D,E1764+1))</f>
        <v/>
      </c>
      <c r="L1764" t="str">
        <f t="shared" si="138"/>
        <v/>
      </c>
      <c r="M1764" t="str">
        <f t="shared" si="139"/>
        <v/>
      </c>
    </row>
    <row r="1765" spans="1:13" x14ac:dyDescent="0.3">
      <c r="A1765" t="str">
        <f>Segmenter!A1765</f>
        <v/>
      </c>
      <c r="B1765" t="str">
        <f>Segmenter!B1765</f>
        <v/>
      </c>
      <c r="C1765" t="str">
        <f t="shared" si="135"/>
        <v/>
      </c>
      <c r="D1765" t="str">
        <f t="shared" si="136"/>
        <v/>
      </c>
      <c r="E1765" t="str">
        <f t="shared" si="137"/>
        <v/>
      </c>
      <c r="F1765" t="str">
        <f>IF(D1765="","",INDEX(Knutepunkter!$B:$B,D1765+1))</f>
        <v/>
      </c>
      <c r="G1765" t="str">
        <f>IF(D1765="","",INDEX(Knutepunkter!$C:$C,D1765+1))</f>
        <v/>
      </c>
      <c r="H1765" t="str">
        <f>IF(D1765="","",INDEX(Knutepunkter!$D:$D,D1765+1))</f>
        <v/>
      </c>
      <c r="I1765" t="str">
        <f>IF(E1765="","",INDEX(Knutepunkter!$B:$B,E1765+1))</f>
        <v/>
      </c>
      <c r="J1765" t="str">
        <f>IF(E1765="","",INDEX(Knutepunkter!$C:$C,E1765+1))</f>
        <v/>
      </c>
      <c r="K1765" t="str">
        <f>IF(E1765="","",INDEX(Knutepunkter!$D:$D,E1765+1))</f>
        <v/>
      </c>
      <c r="L1765" t="str">
        <f t="shared" si="138"/>
        <v/>
      </c>
      <c r="M1765" t="str">
        <f t="shared" si="139"/>
        <v/>
      </c>
    </row>
    <row r="1766" spans="1:13" x14ac:dyDescent="0.3">
      <c r="A1766" t="str">
        <f>Segmenter!A1766</f>
        <v/>
      </c>
      <c r="B1766" t="str">
        <f>Segmenter!B1766</f>
        <v/>
      </c>
      <c r="C1766" t="str">
        <f t="shared" si="135"/>
        <v/>
      </c>
      <c r="D1766" t="str">
        <f t="shared" si="136"/>
        <v/>
      </c>
      <c r="E1766" t="str">
        <f t="shared" si="137"/>
        <v/>
      </c>
      <c r="F1766" t="str">
        <f>IF(D1766="","",INDEX(Knutepunkter!$B:$B,D1766+1))</f>
        <v/>
      </c>
      <c r="G1766" t="str">
        <f>IF(D1766="","",INDEX(Knutepunkter!$C:$C,D1766+1))</f>
        <v/>
      </c>
      <c r="H1766" t="str">
        <f>IF(D1766="","",INDEX(Knutepunkter!$D:$D,D1766+1))</f>
        <v/>
      </c>
      <c r="I1766" t="str">
        <f>IF(E1766="","",INDEX(Knutepunkter!$B:$B,E1766+1))</f>
        <v/>
      </c>
      <c r="J1766" t="str">
        <f>IF(E1766="","",INDEX(Knutepunkter!$C:$C,E1766+1))</f>
        <v/>
      </c>
      <c r="K1766" t="str">
        <f>IF(E1766="","",INDEX(Knutepunkter!$D:$D,E1766+1))</f>
        <v/>
      </c>
      <c r="L1766" t="str">
        <f t="shared" si="138"/>
        <v/>
      </c>
      <c r="M1766" t="str">
        <f t="shared" si="139"/>
        <v/>
      </c>
    </row>
    <row r="1767" spans="1:13" x14ac:dyDescent="0.3">
      <c r="A1767" t="str">
        <f>Segmenter!A1767</f>
        <v/>
      </c>
      <c r="B1767" t="str">
        <f>Segmenter!B1767</f>
        <v/>
      </c>
      <c r="C1767" t="str">
        <f t="shared" si="135"/>
        <v/>
      </c>
      <c r="D1767" t="str">
        <f t="shared" si="136"/>
        <v/>
      </c>
      <c r="E1767" t="str">
        <f t="shared" si="137"/>
        <v/>
      </c>
      <c r="F1767" t="str">
        <f>IF(D1767="","",INDEX(Knutepunkter!$B:$B,D1767+1))</f>
        <v/>
      </c>
      <c r="G1767" t="str">
        <f>IF(D1767="","",INDEX(Knutepunkter!$C:$C,D1767+1))</f>
        <v/>
      </c>
      <c r="H1767" t="str">
        <f>IF(D1767="","",INDEX(Knutepunkter!$D:$D,D1767+1))</f>
        <v/>
      </c>
      <c r="I1767" t="str">
        <f>IF(E1767="","",INDEX(Knutepunkter!$B:$B,E1767+1))</f>
        <v/>
      </c>
      <c r="J1767" t="str">
        <f>IF(E1767="","",INDEX(Knutepunkter!$C:$C,E1767+1))</f>
        <v/>
      </c>
      <c r="K1767" t="str">
        <f>IF(E1767="","",INDEX(Knutepunkter!$D:$D,E1767+1))</f>
        <v/>
      </c>
      <c r="L1767" t="str">
        <f t="shared" si="138"/>
        <v/>
      </c>
      <c r="M1767" t="str">
        <f t="shared" si="139"/>
        <v/>
      </c>
    </row>
    <row r="1768" spans="1:13" x14ac:dyDescent="0.3">
      <c r="A1768" t="str">
        <f>Segmenter!A1768</f>
        <v/>
      </c>
      <c r="B1768" t="str">
        <f>Segmenter!B1768</f>
        <v/>
      </c>
      <c r="C1768" t="str">
        <f t="shared" si="135"/>
        <v/>
      </c>
      <c r="D1768" t="str">
        <f t="shared" si="136"/>
        <v/>
      </c>
      <c r="E1768" t="str">
        <f t="shared" si="137"/>
        <v/>
      </c>
      <c r="F1768" t="str">
        <f>IF(D1768="","",INDEX(Knutepunkter!$B:$B,D1768+1))</f>
        <v/>
      </c>
      <c r="G1768" t="str">
        <f>IF(D1768="","",INDEX(Knutepunkter!$C:$C,D1768+1))</f>
        <v/>
      </c>
      <c r="H1768" t="str">
        <f>IF(D1768="","",INDEX(Knutepunkter!$D:$D,D1768+1))</f>
        <v/>
      </c>
      <c r="I1768" t="str">
        <f>IF(E1768="","",INDEX(Knutepunkter!$B:$B,E1768+1))</f>
        <v/>
      </c>
      <c r="J1768" t="str">
        <f>IF(E1768="","",INDEX(Knutepunkter!$C:$C,E1768+1))</f>
        <v/>
      </c>
      <c r="K1768" t="str">
        <f>IF(E1768="","",INDEX(Knutepunkter!$D:$D,E1768+1))</f>
        <v/>
      </c>
      <c r="L1768" t="str">
        <f t="shared" si="138"/>
        <v/>
      </c>
      <c r="M1768" t="str">
        <f t="shared" si="139"/>
        <v/>
      </c>
    </row>
    <row r="1769" spans="1:13" x14ac:dyDescent="0.3">
      <c r="A1769" t="str">
        <f>Segmenter!A1769</f>
        <v/>
      </c>
      <c r="B1769" t="str">
        <f>Segmenter!B1769</f>
        <v/>
      </c>
      <c r="C1769" t="str">
        <f t="shared" si="135"/>
        <v/>
      </c>
      <c r="D1769" t="str">
        <f t="shared" si="136"/>
        <v/>
      </c>
      <c r="E1769" t="str">
        <f t="shared" si="137"/>
        <v/>
      </c>
      <c r="F1769" t="str">
        <f>IF(D1769="","",INDEX(Knutepunkter!$B:$B,D1769+1))</f>
        <v/>
      </c>
      <c r="G1769" t="str">
        <f>IF(D1769="","",INDEX(Knutepunkter!$C:$C,D1769+1))</f>
        <v/>
      </c>
      <c r="H1769" t="str">
        <f>IF(D1769="","",INDEX(Knutepunkter!$D:$D,D1769+1))</f>
        <v/>
      </c>
      <c r="I1769" t="str">
        <f>IF(E1769="","",INDEX(Knutepunkter!$B:$B,E1769+1))</f>
        <v/>
      </c>
      <c r="J1769" t="str">
        <f>IF(E1769="","",INDEX(Knutepunkter!$C:$C,E1769+1))</f>
        <v/>
      </c>
      <c r="K1769" t="str">
        <f>IF(E1769="","",INDEX(Knutepunkter!$D:$D,E1769+1))</f>
        <v/>
      </c>
      <c r="L1769" t="str">
        <f t="shared" si="138"/>
        <v/>
      </c>
      <c r="M1769" t="str">
        <f t="shared" si="139"/>
        <v/>
      </c>
    </row>
    <row r="1770" spans="1:13" x14ac:dyDescent="0.3">
      <c r="A1770" t="str">
        <f>Segmenter!A1770</f>
        <v/>
      </c>
      <c r="B1770" t="str">
        <f>Segmenter!B1770</f>
        <v/>
      </c>
      <c r="C1770" t="str">
        <f t="shared" si="135"/>
        <v/>
      </c>
      <c r="D1770" t="str">
        <f t="shared" si="136"/>
        <v/>
      </c>
      <c r="E1770" t="str">
        <f t="shared" si="137"/>
        <v/>
      </c>
      <c r="F1770" t="str">
        <f>IF(D1770="","",INDEX(Knutepunkter!$B:$B,D1770+1))</f>
        <v/>
      </c>
      <c r="G1770" t="str">
        <f>IF(D1770="","",INDEX(Knutepunkter!$C:$C,D1770+1))</f>
        <v/>
      </c>
      <c r="H1770" t="str">
        <f>IF(D1770="","",INDEX(Knutepunkter!$D:$D,D1770+1))</f>
        <v/>
      </c>
      <c r="I1770" t="str">
        <f>IF(E1770="","",INDEX(Knutepunkter!$B:$B,E1770+1))</f>
        <v/>
      </c>
      <c r="J1770" t="str">
        <f>IF(E1770="","",INDEX(Knutepunkter!$C:$C,E1770+1))</f>
        <v/>
      </c>
      <c r="K1770" t="str">
        <f>IF(E1770="","",INDEX(Knutepunkter!$D:$D,E1770+1))</f>
        <v/>
      </c>
      <c r="L1770" t="str">
        <f t="shared" si="138"/>
        <v/>
      </c>
      <c r="M1770" t="str">
        <f t="shared" si="139"/>
        <v/>
      </c>
    </row>
    <row r="1771" spans="1:13" x14ac:dyDescent="0.3">
      <c r="A1771" t="str">
        <f>Segmenter!A1771</f>
        <v/>
      </c>
      <c r="B1771" t="str">
        <f>Segmenter!B1771</f>
        <v/>
      </c>
      <c r="C1771" t="str">
        <f t="shared" si="135"/>
        <v/>
      </c>
      <c r="D1771" t="str">
        <f t="shared" si="136"/>
        <v/>
      </c>
      <c r="E1771" t="str">
        <f t="shared" si="137"/>
        <v/>
      </c>
      <c r="F1771" t="str">
        <f>IF(D1771="","",INDEX(Knutepunkter!$B:$B,D1771+1))</f>
        <v/>
      </c>
      <c r="G1771" t="str">
        <f>IF(D1771="","",INDEX(Knutepunkter!$C:$C,D1771+1))</f>
        <v/>
      </c>
      <c r="H1771" t="str">
        <f>IF(D1771="","",INDEX(Knutepunkter!$D:$D,D1771+1))</f>
        <v/>
      </c>
      <c r="I1771" t="str">
        <f>IF(E1771="","",INDEX(Knutepunkter!$B:$B,E1771+1))</f>
        <v/>
      </c>
      <c r="J1771" t="str">
        <f>IF(E1771="","",INDEX(Knutepunkter!$C:$C,E1771+1))</f>
        <v/>
      </c>
      <c r="K1771" t="str">
        <f>IF(E1771="","",INDEX(Knutepunkter!$D:$D,E1771+1))</f>
        <v/>
      </c>
      <c r="L1771" t="str">
        <f t="shared" si="138"/>
        <v/>
      </c>
      <c r="M1771" t="str">
        <f t="shared" si="139"/>
        <v/>
      </c>
    </row>
    <row r="1772" spans="1:13" x14ac:dyDescent="0.3">
      <c r="A1772" t="str">
        <f>Segmenter!A1772</f>
        <v/>
      </c>
      <c r="B1772" t="str">
        <f>Segmenter!B1772</f>
        <v/>
      </c>
      <c r="C1772" t="str">
        <f t="shared" si="135"/>
        <v/>
      </c>
      <c r="D1772" t="str">
        <f t="shared" si="136"/>
        <v/>
      </c>
      <c r="E1772" t="str">
        <f t="shared" si="137"/>
        <v/>
      </c>
      <c r="F1772" t="str">
        <f>IF(D1772="","",INDEX(Knutepunkter!$B:$B,D1772+1))</f>
        <v/>
      </c>
      <c r="G1772" t="str">
        <f>IF(D1772="","",INDEX(Knutepunkter!$C:$C,D1772+1))</f>
        <v/>
      </c>
      <c r="H1772" t="str">
        <f>IF(D1772="","",INDEX(Knutepunkter!$D:$D,D1772+1))</f>
        <v/>
      </c>
      <c r="I1772" t="str">
        <f>IF(E1772="","",INDEX(Knutepunkter!$B:$B,E1772+1))</f>
        <v/>
      </c>
      <c r="J1772" t="str">
        <f>IF(E1772="","",INDEX(Knutepunkter!$C:$C,E1772+1))</f>
        <v/>
      </c>
      <c r="K1772" t="str">
        <f>IF(E1772="","",INDEX(Knutepunkter!$D:$D,E1772+1))</f>
        <v/>
      </c>
      <c r="L1772" t="str">
        <f t="shared" si="138"/>
        <v/>
      </c>
      <c r="M1772" t="str">
        <f t="shared" si="139"/>
        <v/>
      </c>
    </row>
    <row r="1773" spans="1:13" x14ac:dyDescent="0.3">
      <c r="A1773" t="str">
        <f>Segmenter!A1773</f>
        <v/>
      </c>
      <c r="B1773" t="str">
        <f>Segmenter!B1773</f>
        <v/>
      </c>
      <c r="C1773" t="str">
        <f t="shared" si="135"/>
        <v/>
      </c>
      <c r="D1773" t="str">
        <f t="shared" si="136"/>
        <v/>
      </c>
      <c r="E1773" t="str">
        <f t="shared" si="137"/>
        <v/>
      </c>
      <c r="F1773" t="str">
        <f>IF(D1773="","",INDEX(Knutepunkter!$B:$B,D1773+1))</f>
        <v/>
      </c>
      <c r="G1773" t="str">
        <f>IF(D1773="","",INDEX(Knutepunkter!$C:$C,D1773+1))</f>
        <v/>
      </c>
      <c r="H1773" t="str">
        <f>IF(D1773="","",INDEX(Knutepunkter!$D:$D,D1773+1))</f>
        <v/>
      </c>
      <c r="I1773" t="str">
        <f>IF(E1773="","",INDEX(Knutepunkter!$B:$B,E1773+1))</f>
        <v/>
      </c>
      <c r="J1773" t="str">
        <f>IF(E1773="","",INDEX(Knutepunkter!$C:$C,E1773+1))</f>
        <v/>
      </c>
      <c r="K1773" t="str">
        <f>IF(E1773="","",INDEX(Knutepunkter!$D:$D,E1773+1))</f>
        <v/>
      </c>
      <c r="L1773" t="str">
        <f t="shared" si="138"/>
        <v/>
      </c>
      <c r="M1773" t="str">
        <f t="shared" si="139"/>
        <v/>
      </c>
    </row>
    <row r="1774" spans="1:13" x14ac:dyDescent="0.3">
      <c r="A1774" t="str">
        <f>Segmenter!A1774</f>
        <v/>
      </c>
      <c r="B1774" t="str">
        <f>Segmenter!B1774</f>
        <v/>
      </c>
      <c r="C1774" t="str">
        <f t="shared" si="135"/>
        <v/>
      </c>
      <c r="D1774" t="str">
        <f t="shared" si="136"/>
        <v/>
      </c>
      <c r="E1774" t="str">
        <f t="shared" si="137"/>
        <v/>
      </c>
      <c r="F1774" t="str">
        <f>IF(D1774="","",INDEX(Knutepunkter!$B:$B,D1774+1))</f>
        <v/>
      </c>
      <c r="G1774" t="str">
        <f>IF(D1774="","",INDEX(Knutepunkter!$C:$C,D1774+1))</f>
        <v/>
      </c>
      <c r="H1774" t="str">
        <f>IF(D1774="","",INDEX(Knutepunkter!$D:$D,D1774+1))</f>
        <v/>
      </c>
      <c r="I1774" t="str">
        <f>IF(E1774="","",INDEX(Knutepunkter!$B:$B,E1774+1))</f>
        <v/>
      </c>
      <c r="J1774" t="str">
        <f>IF(E1774="","",INDEX(Knutepunkter!$C:$C,E1774+1))</f>
        <v/>
      </c>
      <c r="K1774" t="str">
        <f>IF(E1774="","",INDEX(Knutepunkter!$D:$D,E1774+1))</f>
        <v/>
      </c>
      <c r="L1774" t="str">
        <f t="shared" si="138"/>
        <v/>
      </c>
      <c r="M1774" t="str">
        <f t="shared" si="139"/>
        <v/>
      </c>
    </row>
    <row r="1775" spans="1:13" x14ac:dyDescent="0.3">
      <c r="A1775" t="str">
        <f>Segmenter!A1775</f>
        <v/>
      </c>
      <c r="B1775" t="str">
        <f>Segmenter!B1775</f>
        <v/>
      </c>
      <c r="C1775" t="str">
        <f t="shared" si="135"/>
        <v/>
      </c>
      <c r="D1775" t="str">
        <f t="shared" si="136"/>
        <v/>
      </c>
      <c r="E1775" t="str">
        <f t="shared" si="137"/>
        <v/>
      </c>
      <c r="F1775" t="str">
        <f>IF(D1775="","",INDEX(Knutepunkter!$B:$B,D1775+1))</f>
        <v/>
      </c>
      <c r="G1775" t="str">
        <f>IF(D1775="","",INDEX(Knutepunkter!$C:$C,D1775+1))</f>
        <v/>
      </c>
      <c r="H1775" t="str">
        <f>IF(D1775="","",INDEX(Knutepunkter!$D:$D,D1775+1))</f>
        <v/>
      </c>
      <c r="I1775" t="str">
        <f>IF(E1775="","",INDEX(Knutepunkter!$B:$B,E1775+1))</f>
        <v/>
      </c>
      <c r="J1775" t="str">
        <f>IF(E1775="","",INDEX(Knutepunkter!$C:$C,E1775+1))</f>
        <v/>
      </c>
      <c r="K1775" t="str">
        <f>IF(E1775="","",INDEX(Knutepunkter!$D:$D,E1775+1))</f>
        <v/>
      </c>
      <c r="L1775" t="str">
        <f t="shared" si="138"/>
        <v/>
      </c>
      <c r="M1775" t="str">
        <f t="shared" si="139"/>
        <v/>
      </c>
    </row>
    <row r="1776" spans="1:13" x14ac:dyDescent="0.3">
      <c r="A1776" t="str">
        <f>Segmenter!A1776</f>
        <v/>
      </c>
      <c r="B1776" t="str">
        <f>Segmenter!B1776</f>
        <v/>
      </c>
      <c r="C1776" t="str">
        <f t="shared" si="135"/>
        <v/>
      </c>
      <c r="D1776" t="str">
        <f t="shared" si="136"/>
        <v/>
      </c>
      <c r="E1776" t="str">
        <f t="shared" si="137"/>
        <v/>
      </c>
      <c r="F1776" t="str">
        <f>IF(D1776="","",INDEX(Knutepunkter!$B:$B,D1776+1))</f>
        <v/>
      </c>
      <c r="G1776" t="str">
        <f>IF(D1776="","",INDEX(Knutepunkter!$C:$C,D1776+1))</f>
        <v/>
      </c>
      <c r="H1776" t="str">
        <f>IF(D1776="","",INDEX(Knutepunkter!$D:$D,D1776+1))</f>
        <v/>
      </c>
      <c r="I1776" t="str">
        <f>IF(E1776="","",INDEX(Knutepunkter!$B:$B,E1776+1))</f>
        <v/>
      </c>
      <c r="J1776" t="str">
        <f>IF(E1776="","",INDEX(Knutepunkter!$C:$C,E1776+1))</f>
        <v/>
      </c>
      <c r="K1776" t="str">
        <f>IF(E1776="","",INDEX(Knutepunkter!$D:$D,E1776+1))</f>
        <v/>
      </c>
      <c r="L1776" t="str">
        <f t="shared" si="138"/>
        <v/>
      </c>
      <c r="M1776" t="str">
        <f t="shared" si="139"/>
        <v/>
      </c>
    </row>
    <row r="1777" spans="1:13" x14ac:dyDescent="0.3">
      <c r="A1777" t="str">
        <f>Segmenter!A1777</f>
        <v/>
      </c>
      <c r="B1777" t="str">
        <f>Segmenter!B1777</f>
        <v/>
      </c>
      <c r="C1777" t="str">
        <f t="shared" si="135"/>
        <v/>
      </c>
      <c r="D1777" t="str">
        <f t="shared" si="136"/>
        <v/>
      </c>
      <c r="E1777" t="str">
        <f t="shared" si="137"/>
        <v/>
      </c>
      <c r="F1777" t="str">
        <f>IF(D1777="","",INDEX(Knutepunkter!$B:$B,D1777+1))</f>
        <v/>
      </c>
      <c r="G1777" t="str">
        <f>IF(D1777="","",INDEX(Knutepunkter!$C:$C,D1777+1))</f>
        <v/>
      </c>
      <c r="H1777" t="str">
        <f>IF(D1777="","",INDEX(Knutepunkter!$D:$D,D1777+1))</f>
        <v/>
      </c>
      <c r="I1777" t="str">
        <f>IF(E1777="","",INDEX(Knutepunkter!$B:$B,E1777+1))</f>
        <v/>
      </c>
      <c r="J1777" t="str">
        <f>IF(E1777="","",INDEX(Knutepunkter!$C:$C,E1777+1))</f>
        <v/>
      </c>
      <c r="K1777" t="str">
        <f>IF(E1777="","",INDEX(Knutepunkter!$D:$D,E1777+1))</f>
        <v/>
      </c>
      <c r="L1777" t="str">
        <f t="shared" si="138"/>
        <v/>
      </c>
      <c r="M1777" t="str">
        <f t="shared" si="139"/>
        <v/>
      </c>
    </row>
    <row r="1778" spans="1:13" x14ac:dyDescent="0.3">
      <c r="A1778" t="str">
        <f>Segmenter!A1778</f>
        <v/>
      </c>
      <c r="B1778" t="str">
        <f>Segmenter!B1778</f>
        <v/>
      </c>
      <c r="C1778" t="str">
        <f t="shared" si="135"/>
        <v/>
      </c>
      <c r="D1778" t="str">
        <f t="shared" si="136"/>
        <v/>
      </c>
      <c r="E1778" t="str">
        <f t="shared" si="137"/>
        <v/>
      </c>
      <c r="F1778" t="str">
        <f>IF(D1778="","",INDEX(Knutepunkter!$B:$B,D1778+1))</f>
        <v/>
      </c>
      <c r="G1778" t="str">
        <f>IF(D1778="","",INDEX(Knutepunkter!$C:$C,D1778+1))</f>
        <v/>
      </c>
      <c r="H1778" t="str">
        <f>IF(D1778="","",INDEX(Knutepunkter!$D:$D,D1778+1))</f>
        <v/>
      </c>
      <c r="I1778" t="str">
        <f>IF(E1778="","",INDEX(Knutepunkter!$B:$B,E1778+1))</f>
        <v/>
      </c>
      <c r="J1778" t="str">
        <f>IF(E1778="","",INDEX(Knutepunkter!$C:$C,E1778+1))</f>
        <v/>
      </c>
      <c r="K1778" t="str">
        <f>IF(E1778="","",INDEX(Knutepunkter!$D:$D,E1778+1))</f>
        <v/>
      </c>
      <c r="L1778" t="str">
        <f t="shared" si="138"/>
        <v/>
      </c>
      <c r="M1778" t="str">
        <f t="shared" si="139"/>
        <v/>
      </c>
    </row>
    <row r="1779" spans="1:13" x14ac:dyDescent="0.3">
      <c r="A1779" t="str">
        <f>Segmenter!A1779</f>
        <v/>
      </c>
      <c r="B1779" t="str">
        <f>Segmenter!B1779</f>
        <v/>
      </c>
      <c r="C1779" t="str">
        <f t="shared" si="135"/>
        <v/>
      </c>
      <c r="D1779" t="str">
        <f t="shared" si="136"/>
        <v/>
      </c>
      <c r="E1779" t="str">
        <f t="shared" si="137"/>
        <v/>
      </c>
      <c r="F1779" t="str">
        <f>IF(D1779="","",INDEX(Knutepunkter!$B:$B,D1779+1))</f>
        <v/>
      </c>
      <c r="G1779" t="str">
        <f>IF(D1779="","",INDEX(Knutepunkter!$C:$C,D1779+1))</f>
        <v/>
      </c>
      <c r="H1779" t="str">
        <f>IF(D1779="","",INDEX(Knutepunkter!$D:$D,D1779+1))</f>
        <v/>
      </c>
      <c r="I1779" t="str">
        <f>IF(E1779="","",INDEX(Knutepunkter!$B:$B,E1779+1))</f>
        <v/>
      </c>
      <c r="J1779" t="str">
        <f>IF(E1779="","",INDEX(Knutepunkter!$C:$C,E1779+1))</f>
        <v/>
      </c>
      <c r="K1779" t="str">
        <f>IF(E1779="","",INDEX(Knutepunkter!$D:$D,E1779+1))</f>
        <v/>
      </c>
      <c r="L1779" t="str">
        <f t="shared" si="138"/>
        <v/>
      </c>
      <c r="M1779" t="str">
        <f t="shared" si="139"/>
        <v/>
      </c>
    </row>
    <row r="1780" spans="1:13" x14ac:dyDescent="0.3">
      <c r="A1780" t="str">
        <f>Segmenter!A1780</f>
        <v/>
      </c>
      <c r="B1780" t="str">
        <f>Segmenter!B1780</f>
        <v/>
      </c>
      <c r="C1780" t="str">
        <f t="shared" si="135"/>
        <v/>
      </c>
      <c r="D1780" t="str">
        <f t="shared" si="136"/>
        <v/>
      </c>
      <c r="E1780" t="str">
        <f t="shared" si="137"/>
        <v/>
      </c>
      <c r="F1780" t="str">
        <f>IF(D1780="","",INDEX(Knutepunkter!$B:$B,D1780+1))</f>
        <v/>
      </c>
      <c r="G1780" t="str">
        <f>IF(D1780="","",INDEX(Knutepunkter!$C:$C,D1780+1))</f>
        <v/>
      </c>
      <c r="H1780" t="str">
        <f>IF(D1780="","",INDEX(Knutepunkter!$D:$D,D1780+1))</f>
        <v/>
      </c>
      <c r="I1780" t="str">
        <f>IF(E1780="","",INDEX(Knutepunkter!$B:$B,E1780+1))</f>
        <v/>
      </c>
      <c r="J1780" t="str">
        <f>IF(E1780="","",INDEX(Knutepunkter!$C:$C,E1780+1))</f>
        <v/>
      </c>
      <c r="K1780" t="str">
        <f>IF(E1780="","",INDEX(Knutepunkter!$D:$D,E1780+1))</f>
        <v/>
      </c>
      <c r="L1780" t="str">
        <f t="shared" si="138"/>
        <v/>
      </c>
      <c r="M1780" t="str">
        <f t="shared" si="139"/>
        <v/>
      </c>
    </row>
    <row r="1781" spans="1:13" x14ac:dyDescent="0.3">
      <c r="A1781" t="str">
        <f>Segmenter!A1781</f>
        <v/>
      </c>
      <c r="B1781" t="str">
        <f>Segmenter!B1781</f>
        <v/>
      </c>
      <c r="C1781" t="str">
        <f t="shared" si="135"/>
        <v/>
      </c>
      <c r="D1781" t="str">
        <f t="shared" si="136"/>
        <v/>
      </c>
      <c r="E1781" t="str">
        <f t="shared" si="137"/>
        <v/>
      </c>
      <c r="F1781" t="str">
        <f>IF(D1781="","",INDEX(Knutepunkter!$B:$B,D1781+1))</f>
        <v/>
      </c>
      <c r="G1781" t="str">
        <f>IF(D1781="","",INDEX(Knutepunkter!$C:$C,D1781+1))</f>
        <v/>
      </c>
      <c r="H1781" t="str">
        <f>IF(D1781="","",INDEX(Knutepunkter!$D:$D,D1781+1))</f>
        <v/>
      </c>
      <c r="I1781" t="str">
        <f>IF(E1781="","",INDEX(Knutepunkter!$B:$B,E1781+1))</f>
        <v/>
      </c>
      <c r="J1781" t="str">
        <f>IF(E1781="","",INDEX(Knutepunkter!$C:$C,E1781+1))</f>
        <v/>
      </c>
      <c r="K1781" t="str">
        <f>IF(E1781="","",INDEX(Knutepunkter!$D:$D,E1781+1))</f>
        <v/>
      </c>
      <c r="L1781" t="str">
        <f t="shared" si="138"/>
        <v/>
      </c>
      <c r="M1781" t="str">
        <f t="shared" si="139"/>
        <v/>
      </c>
    </row>
    <row r="1782" spans="1:13" x14ac:dyDescent="0.3">
      <c r="A1782" t="str">
        <f>Segmenter!A1782</f>
        <v/>
      </c>
      <c r="B1782" t="str">
        <f>Segmenter!B1782</f>
        <v/>
      </c>
      <c r="C1782" t="str">
        <f t="shared" si="135"/>
        <v/>
      </c>
      <c r="D1782" t="str">
        <f t="shared" si="136"/>
        <v/>
      </c>
      <c r="E1782" t="str">
        <f t="shared" si="137"/>
        <v/>
      </c>
      <c r="F1782" t="str">
        <f>IF(D1782="","",INDEX(Knutepunkter!$B:$B,D1782+1))</f>
        <v/>
      </c>
      <c r="G1782" t="str">
        <f>IF(D1782="","",INDEX(Knutepunkter!$C:$C,D1782+1))</f>
        <v/>
      </c>
      <c r="H1782" t="str">
        <f>IF(D1782="","",INDEX(Knutepunkter!$D:$D,D1782+1))</f>
        <v/>
      </c>
      <c r="I1782" t="str">
        <f>IF(E1782="","",INDEX(Knutepunkter!$B:$B,E1782+1))</f>
        <v/>
      </c>
      <c r="J1782" t="str">
        <f>IF(E1782="","",INDEX(Knutepunkter!$C:$C,E1782+1))</f>
        <v/>
      </c>
      <c r="K1782" t="str">
        <f>IF(E1782="","",INDEX(Knutepunkter!$D:$D,E1782+1))</f>
        <v/>
      </c>
      <c r="L1782" t="str">
        <f t="shared" si="138"/>
        <v/>
      </c>
      <c r="M1782" t="str">
        <f t="shared" si="139"/>
        <v/>
      </c>
    </row>
    <row r="1783" spans="1:13" x14ac:dyDescent="0.3">
      <c r="A1783" t="str">
        <f>Segmenter!A1783</f>
        <v/>
      </c>
      <c r="B1783" t="str">
        <f>Segmenter!B1783</f>
        <v/>
      </c>
      <c r="C1783" t="str">
        <f t="shared" si="135"/>
        <v/>
      </c>
      <c r="D1783" t="str">
        <f t="shared" si="136"/>
        <v/>
      </c>
      <c r="E1783" t="str">
        <f t="shared" si="137"/>
        <v/>
      </c>
      <c r="F1783" t="str">
        <f>IF(D1783="","",INDEX(Knutepunkter!$B:$B,D1783+1))</f>
        <v/>
      </c>
      <c r="G1783" t="str">
        <f>IF(D1783="","",INDEX(Knutepunkter!$C:$C,D1783+1))</f>
        <v/>
      </c>
      <c r="H1783" t="str">
        <f>IF(D1783="","",INDEX(Knutepunkter!$D:$D,D1783+1))</f>
        <v/>
      </c>
      <c r="I1783" t="str">
        <f>IF(E1783="","",INDEX(Knutepunkter!$B:$B,E1783+1))</f>
        <v/>
      </c>
      <c r="J1783" t="str">
        <f>IF(E1783="","",INDEX(Knutepunkter!$C:$C,E1783+1))</f>
        <v/>
      </c>
      <c r="K1783" t="str">
        <f>IF(E1783="","",INDEX(Knutepunkter!$D:$D,E1783+1))</f>
        <v/>
      </c>
      <c r="L1783" t="str">
        <f t="shared" si="138"/>
        <v/>
      </c>
      <c r="M1783" t="str">
        <f t="shared" si="139"/>
        <v/>
      </c>
    </row>
    <row r="1784" spans="1:13" x14ac:dyDescent="0.3">
      <c r="A1784" t="str">
        <f>Segmenter!A1784</f>
        <v/>
      </c>
      <c r="B1784" t="str">
        <f>Segmenter!B1784</f>
        <v/>
      </c>
      <c r="C1784" t="str">
        <f t="shared" si="135"/>
        <v/>
      </c>
      <c r="D1784" t="str">
        <f t="shared" si="136"/>
        <v/>
      </c>
      <c r="E1784" t="str">
        <f t="shared" si="137"/>
        <v/>
      </c>
      <c r="F1784" t="str">
        <f>IF(D1784="","",INDEX(Knutepunkter!$B:$B,D1784+1))</f>
        <v/>
      </c>
      <c r="G1784" t="str">
        <f>IF(D1784="","",INDEX(Knutepunkter!$C:$C,D1784+1))</f>
        <v/>
      </c>
      <c r="H1784" t="str">
        <f>IF(D1784="","",INDEX(Knutepunkter!$D:$D,D1784+1))</f>
        <v/>
      </c>
      <c r="I1784" t="str">
        <f>IF(E1784="","",INDEX(Knutepunkter!$B:$B,E1784+1))</f>
        <v/>
      </c>
      <c r="J1784" t="str">
        <f>IF(E1784="","",INDEX(Knutepunkter!$C:$C,E1784+1))</f>
        <v/>
      </c>
      <c r="K1784" t="str">
        <f>IF(E1784="","",INDEX(Knutepunkter!$D:$D,E1784+1))</f>
        <v/>
      </c>
      <c r="L1784" t="str">
        <f t="shared" si="138"/>
        <v/>
      </c>
      <c r="M1784" t="str">
        <f t="shared" si="139"/>
        <v/>
      </c>
    </row>
    <row r="1785" spans="1:13" x14ac:dyDescent="0.3">
      <c r="A1785" t="str">
        <f>Segmenter!A1785</f>
        <v/>
      </c>
      <c r="B1785" t="str">
        <f>Segmenter!B1785</f>
        <v/>
      </c>
      <c r="C1785" t="str">
        <f t="shared" si="135"/>
        <v/>
      </c>
      <c r="D1785" t="str">
        <f t="shared" si="136"/>
        <v/>
      </c>
      <c r="E1785" t="str">
        <f t="shared" si="137"/>
        <v/>
      </c>
      <c r="F1785" t="str">
        <f>IF(D1785="","",INDEX(Knutepunkter!$B:$B,D1785+1))</f>
        <v/>
      </c>
      <c r="G1785" t="str">
        <f>IF(D1785="","",INDEX(Knutepunkter!$C:$C,D1785+1))</f>
        <v/>
      </c>
      <c r="H1785" t="str">
        <f>IF(D1785="","",INDEX(Knutepunkter!$D:$D,D1785+1))</f>
        <v/>
      </c>
      <c r="I1785" t="str">
        <f>IF(E1785="","",INDEX(Knutepunkter!$B:$B,E1785+1))</f>
        <v/>
      </c>
      <c r="J1785" t="str">
        <f>IF(E1785="","",INDEX(Knutepunkter!$C:$C,E1785+1))</f>
        <v/>
      </c>
      <c r="K1785" t="str">
        <f>IF(E1785="","",INDEX(Knutepunkter!$D:$D,E1785+1))</f>
        <v/>
      </c>
      <c r="L1785" t="str">
        <f t="shared" si="138"/>
        <v/>
      </c>
      <c r="M1785" t="str">
        <f t="shared" si="139"/>
        <v/>
      </c>
    </row>
    <row r="1786" spans="1:13" x14ac:dyDescent="0.3">
      <c r="A1786" t="str">
        <f>Segmenter!A1786</f>
        <v/>
      </c>
      <c r="B1786" t="str">
        <f>Segmenter!B1786</f>
        <v/>
      </c>
      <c r="C1786" t="str">
        <f t="shared" si="135"/>
        <v/>
      </c>
      <c r="D1786" t="str">
        <f t="shared" si="136"/>
        <v/>
      </c>
      <c r="E1786" t="str">
        <f t="shared" si="137"/>
        <v/>
      </c>
      <c r="F1786" t="str">
        <f>IF(D1786="","",INDEX(Knutepunkter!$B:$B,D1786+1))</f>
        <v/>
      </c>
      <c r="G1786" t="str">
        <f>IF(D1786="","",INDEX(Knutepunkter!$C:$C,D1786+1))</f>
        <v/>
      </c>
      <c r="H1786" t="str">
        <f>IF(D1786="","",INDEX(Knutepunkter!$D:$D,D1786+1))</f>
        <v/>
      </c>
      <c r="I1786" t="str">
        <f>IF(E1786="","",INDEX(Knutepunkter!$B:$B,E1786+1))</f>
        <v/>
      </c>
      <c r="J1786" t="str">
        <f>IF(E1786="","",INDEX(Knutepunkter!$C:$C,E1786+1))</f>
        <v/>
      </c>
      <c r="K1786" t="str">
        <f>IF(E1786="","",INDEX(Knutepunkter!$D:$D,E1786+1))</f>
        <v/>
      </c>
      <c r="L1786" t="str">
        <f t="shared" si="138"/>
        <v/>
      </c>
      <c r="M1786" t="str">
        <f t="shared" si="139"/>
        <v/>
      </c>
    </row>
    <row r="1787" spans="1:13" x14ac:dyDescent="0.3">
      <c r="A1787" t="str">
        <f>Segmenter!A1787</f>
        <v/>
      </c>
      <c r="B1787" t="str">
        <f>Segmenter!B1787</f>
        <v/>
      </c>
      <c r="C1787" t="str">
        <f t="shared" si="135"/>
        <v/>
      </c>
      <c r="D1787" t="str">
        <f t="shared" si="136"/>
        <v/>
      </c>
      <c r="E1787" t="str">
        <f t="shared" si="137"/>
        <v/>
      </c>
      <c r="F1787" t="str">
        <f>IF(D1787="","",INDEX(Knutepunkter!$B:$B,D1787+1))</f>
        <v/>
      </c>
      <c r="G1787" t="str">
        <f>IF(D1787="","",INDEX(Knutepunkter!$C:$C,D1787+1))</f>
        <v/>
      </c>
      <c r="H1787" t="str">
        <f>IF(D1787="","",INDEX(Knutepunkter!$D:$D,D1787+1))</f>
        <v/>
      </c>
      <c r="I1787" t="str">
        <f>IF(E1787="","",INDEX(Knutepunkter!$B:$B,E1787+1))</f>
        <v/>
      </c>
      <c r="J1787" t="str">
        <f>IF(E1787="","",INDEX(Knutepunkter!$C:$C,E1787+1))</f>
        <v/>
      </c>
      <c r="K1787" t="str">
        <f>IF(E1787="","",INDEX(Knutepunkter!$D:$D,E1787+1))</f>
        <v/>
      </c>
      <c r="L1787" t="str">
        <f t="shared" si="138"/>
        <v/>
      </c>
      <c r="M1787" t="str">
        <f t="shared" si="139"/>
        <v/>
      </c>
    </row>
    <row r="1788" spans="1:13" x14ac:dyDescent="0.3">
      <c r="A1788" t="str">
        <f>Segmenter!A1788</f>
        <v/>
      </c>
      <c r="B1788" t="str">
        <f>Segmenter!B1788</f>
        <v/>
      </c>
      <c r="C1788" t="str">
        <f t="shared" si="135"/>
        <v/>
      </c>
      <c r="D1788" t="str">
        <f t="shared" si="136"/>
        <v/>
      </c>
      <c r="E1788" t="str">
        <f t="shared" si="137"/>
        <v/>
      </c>
      <c r="F1788" t="str">
        <f>IF(D1788="","",INDEX(Knutepunkter!$B:$B,D1788+1))</f>
        <v/>
      </c>
      <c r="G1788" t="str">
        <f>IF(D1788="","",INDEX(Knutepunkter!$C:$C,D1788+1))</f>
        <v/>
      </c>
      <c r="H1788" t="str">
        <f>IF(D1788="","",INDEX(Knutepunkter!$D:$D,D1788+1))</f>
        <v/>
      </c>
      <c r="I1788" t="str">
        <f>IF(E1788="","",INDEX(Knutepunkter!$B:$B,E1788+1))</f>
        <v/>
      </c>
      <c r="J1788" t="str">
        <f>IF(E1788="","",INDEX(Knutepunkter!$C:$C,E1788+1))</f>
        <v/>
      </c>
      <c r="K1788" t="str">
        <f>IF(E1788="","",INDEX(Knutepunkter!$D:$D,E1788+1))</f>
        <v/>
      </c>
      <c r="L1788" t="str">
        <f t="shared" si="138"/>
        <v/>
      </c>
      <c r="M1788" t="str">
        <f t="shared" si="139"/>
        <v/>
      </c>
    </row>
    <row r="1789" spans="1:13" x14ac:dyDescent="0.3">
      <c r="A1789" t="str">
        <f>Segmenter!A1789</f>
        <v/>
      </c>
      <c r="B1789" t="str">
        <f>Segmenter!B1789</f>
        <v/>
      </c>
      <c r="C1789" t="str">
        <f t="shared" si="135"/>
        <v/>
      </c>
      <c r="D1789" t="str">
        <f t="shared" si="136"/>
        <v/>
      </c>
      <c r="E1789" t="str">
        <f t="shared" si="137"/>
        <v/>
      </c>
      <c r="F1789" t="str">
        <f>IF(D1789="","",INDEX(Knutepunkter!$B:$B,D1789+1))</f>
        <v/>
      </c>
      <c r="G1789" t="str">
        <f>IF(D1789="","",INDEX(Knutepunkter!$C:$C,D1789+1))</f>
        <v/>
      </c>
      <c r="H1789" t="str">
        <f>IF(D1789="","",INDEX(Knutepunkter!$D:$D,D1789+1))</f>
        <v/>
      </c>
      <c r="I1789" t="str">
        <f>IF(E1789="","",INDEX(Knutepunkter!$B:$B,E1789+1))</f>
        <v/>
      </c>
      <c r="J1789" t="str">
        <f>IF(E1789="","",INDEX(Knutepunkter!$C:$C,E1789+1))</f>
        <v/>
      </c>
      <c r="K1789" t="str">
        <f>IF(E1789="","",INDEX(Knutepunkter!$D:$D,E1789+1))</f>
        <v/>
      </c>
      <c r="L1789" t="str">
        <f t="shared" si="138"/>
        <v/>
      </c>
      <c r="M1789" t="str">
        <f t="shared" si="139"/>
        <v/>
      </c>
    </row>
    <row r="1790" spans="1:13" x14ac:dyDescent="0.3">
      <c r="A1790" t="str">
        <f>Segmenter!A1790</f>
        <v/>
      </c>
      <c r="B1790" t="str">
        <f>Segmenter!B1790</f>
        <v/>
      </c>
      <c r="C1790" t="str">
        <f t="shared" si="135"/>
        <v/>
      </c>
      <c r="D1790" t="str">
        <f t="shared" si="136"/>
        <v/>
      </c>
      <c r="E1790" t="str">
        <f t="shared" si="137"/>
        <v/>
      </c>
      <c r="F1790" t="str">
        <f>IF(D1790="","",INDEX(Knutepunkter!$B:$B,D1790+1))</f>
        <v/>
      </c>
      <c r="G1790" t="str">
        <f>IF(D1790="","",INDEX(Knutepunkter!$C:$C,D1790+1))</f>
        <v/>
      </c>
      <c r="H1790" t="str">
        <f>IF(D1790="","",INDEX(Knutepunkter!$D:$D,D1790+1))</f>
        <v/>
      </c>
      <c r="I1790" t="str">
        <f>IF(E1790="","",INDEX(Knutepunkter!$B:$B,E1790+1))</f>
        <v/>
      </c>
      <c r="J1790" t="str">
        <f>IF(E1790="","",INDEX(Knutepunkter!$C:$C,E1790+1))</f>
        <v/>
      </c>
      <c r="K1790" t="str">
        <f>IF(E1790="","",INDEX(Knutepunkter!$D:$D,E1790+1))</f>
        <v/>
      </c>
      <c r="L1790" t="str">
        <f t="shared" si="138"/>
        <v/>
      </c>
      <c r="M1790" t="str">
        <f t="shared" si="139"/>
        <v/>
      </c>
    </row>
    <row r="1791" spans="1:13" x14ac:dyDescent="0.3">
      <c r="A1791" t="str">
        <f>Segmenter!A1791</f>
        <v/>
      </c>
      <c r="B1791" t="str">
        <f>Segmenter!B1791</f>
        <v/>
      </c>
      <c r="C1791" t="str">
        <f t="shared" si="135"/>
        <v/>
      </c>
      <c r="D1791" t="str">
        <f t="shared" si="136"/>
        <v/>
      </c>
      <c r="E1791" t="str">
        <f t="shared" si="137"/>
        <v/>
      </c>
      <c r="F1791" t="str">
        <f>IF(D1791="","",INDEX(Knutepunkter!$B:$B,D1791+1))</f>
        <v/>
      </c>
      <c r="G1791" t="str">
        <f>IF(D1791="","",INDEX(Knutepunkter!$C:$C,D1791+1))</f>
        <v/>
      </c>
      <c r="H1791" t="str">
        <f>IF(D1791="","",INDEX(Knutepunkter!$D:$D,D1791+1))</f>
        <v/>
      </c>
      <c r="I1791" t="str">
        <f>IF(E1791="","",INDEX(Knutepunkter!$B:$B,E1791+1))</f>
        <v/>
      </c>
      <c r="J1791" t="str">
        <f>IF(E1791="","",INDEX(Knutepunkter!$C:$C,E1791+1))</f>
        <v/>
      </c>
      <c r="K1791" t="str">
        <f>IF(E1791="","",INDEX(Knutepunkter!$D:$D,E1791+1))</f>
        <v/>
      </c>
      <c r="L1791" t="str">
        <f t="shared" si="138"/>
        <v/>
      </c>
      <c r="M1791" t="str">
        <f t="shared" si="139"/>
        <v/>
      </c>
    </row>
    <row r="1792" spans="1:13" x14ac:dyDescent="0.3">
      <c r="A1792" t="str">
        <f>Segmenter!A1792</f>
        <v/>
      </c>
      <c r="B1792" t="str">
        <f>Segmenter!B1792</f>
        <v/>
      </c>
      <c r="C1792" t="str">
        <f t="shared" si="135"/>
        <v/>
      </c>
      <c r="D1792" t="str">
        <f t="shared" si="136"/>
        <v/>
      </c>
      <c r="E1792" t="str">
        <f t="shared" si="137"/>
        <v/>
      </c>
      <c r="F1792" t="str">
        <f>IF(D1792="","",INDEX(Knutepunkter!$B:$B,D1792+1))</f>
        <v/>
      </c>
      <c r="G1792" t="str">
        <f>IF(D1792="","",INDEX(Knutepunkter!$C:$C,D1792+1))</f>
        <v/>
      </c>
      <c r="H1792" t="str">
        <f>IF(D1792="","",INDEX(Knutepunkter!$D:$D,D1792+1))</f>
        <v/>
      </c>
      <c r="I1792" t="str">
        <f>IF(E1792="","",INDEX(Knutepunkter!$B:$B,E1792+1))</f>
        <v/>
      </c>
      <c r="J1792" t="str">
        <f>IF(E1792="","",INDEX(Knutepunkter!$C:$C,E1792+1))</f>
        <v/>
      </c>
      <c r="K1792" t="str">
        <f>IF(E1792="","",INDEX(Knutepunkter!$D:$D,E1792+1))</f>
        <v/>
      </c>
      <c r="L1792" t="str">
        <f t="shared" si="138"/>
        <v/>
      </c>
      <c r="M1792" t="str">
        <f t="shared" si="139"/>
        <v/>
      </c>
    </row>
    <row r="1793" spans="1:13" x14ac:dyDescent="0.3">
      <c r="A1793" t="str">
        <f>Segmenter!A1793</f>
        <v/>
      </c>
      <c r="B1793" t="str">
        <f>Segmenter!B1793</f>
        <v/>
      </c>
      <c r="C1793" t="str">
        <f t="shared" si="135"/>
        <v/>
      </c>
      <c r="D1793" t="str">
        <f t="shared" si="136"/>
        <v/>
      </c>
      <c r="E1793" t="str">
        <f t="shared" si="137"/>
        <v/>
      </c>
      <c r="F1793" t="str">
        <f>IF(D1793="","",INDEX(Knutepunkter!$B:$B,D1793+1))</f>
        <v/>
      </c>
      <c r="G1793" t="str">
        <f>IF(D1793="","",INDEX(Knutepunkter!$C:$C,D1793+1))</f>
        <v/>
      </c>
      <c r="H1793" t="str">
        <f>IF(D1793="","",INDEX(Knutepunkter!$D:$D,D1793+1))</f>
        <v/>
      </c>
      <c r="I1793" t="str">
        <f>IF(E1793="","",INDEX(Knutepunkter!$B:$B,E1793+1))</f>
        <v/>
      </c>
      <c r="J1793" t="str">
        <f>IF(E1793="","",INDEX(Knutepunkter!$C:$C,E1793+1))</f>
        <v/>
      </c>
      <c r="K1793" t="str">
        <f>IF(E1793="","",INDEX(Knutepunkter!$D:$D,E1793+1))</f>
        <v/>
      </c>
      <c r="L1793" t="str">
        <f t="shared" si="138"/>
        <v/>
      </c>
      <c r="M1793" t="str">
        <f t="shared" si="139"/>
        <v/>
      </c>
    </row>
    <row r="1794" spans="1:13" x14ac:dyDescent="0.3">
      <c r="A1794" t="str">
        <f>Segmenter!A1794</f>
        <v/>
      </c>
      <c r="B1794" t="str">
        <f>Segmenter!B1794</f>
        <v/>
      </c>
      <c r="C1794" t="str">
        <f t="shared" ref="C1794:C1857" si="140">IF(B1794="","",IF(AND(F1794=I1794,G1794=J1794,H1794&lt;&gt;K1794),"Søyle","Bjelke"))</f>
        <v/>
      </c>
      <c r="D1794" t="str">
        <f t="shared" ref="D1794:D1857" si="141">IF(B1794="","",VALUE(LEFT(B1794,FIND(" -&gt; ",B1794)-1)))</f>
        <v/>
      </c>
      <c r="E1794" t="str">
        <f t="shared" ref="E1794:E1857" si="142">IF(B1794="","",VALUE(MID(B1794,FIND(" -&gt; ",B1794)+4,99)))</f>
        <v/>
      </c>
      <c r="F1794" t="str">
        <f>IF(D1794="","",INDEX(Knutepunkter!$B:$B,D1794+1))</f>
        <v/>
      </c>
      <c r="G1794" t="str">
        <f>IF(D1794="","",INDEX(Knutepunkter!$C:$C,D1794+1))</f>
        <v/>
      </c>
      <c r="H1794" t="str">
        <f>IF(D1794="","",INDEX(Knutepunkter!$D:$D,D1794+1))</f>
        <v/>
      </c>
      <c r="I1794" t="str">
        <f>IF(E1794="","",INDEX(Knutepunkter!$B:$B,E1794+1))</f>
        <v/>
      </c>
      <c r="J1794" t="str">
        <f>IF(E1794="","",INDEX(Knutepunkter!$C:$C,E1794+1))</f>
        <v/>
      </c>
      <c r="K1794" t="str">
        <f>IF(E1794="","",INDEX(Knutepunkter!$D:$D,E1794+1))</f>
        <v/>
      </c>
      <c r="L1794" t="str">
        <f t="shared" ref="L1794:L1857" si="143">IF(B1794="","",SQRT((I1794-F1794)^2+(J1794-G1794)^2+(K1794-H1794)^2))</f>
        <v/>
      </c>
      <c r="M1794" t="str">
        <f t="shared" ref="M1794:M1857" si="144">IF(L1794="","",L1794/1000)</f>
        <v/>
      </c>
    </row>
    <row r="1795" spans="1:13" x14ac:dyDescent="0.3">
      <c r="A1795" t="str">
        <f>Segmenter!A1795</f>
        <v/>
      </c>
      <c r="B1795" t="str">
        <f>Segmenter!B1795</f>
        <v/>
      </c>
      <c r="C1795" t="str">
        <f t="shared" si="140"/>
        <v/>
      </c>
      <c r="D1795" t="str">
        <f t="shared" si="141"/>
        <v/>
      </c>
      <c r="E1795" t="str">
        <f t="shared" si="142"/>
        <v/>
      </c>
      <c r="F1795" t="str">
        <f>IF(D1795="","",INDEX(Knutepunkter!$B:$B,D1795+1))</f>
        <v/>
      </c>
      <c r="G1795" t="str">
        <f>IF(D1795="","",INDEX(Knutepunkter!$C:$C,D1795+1))</f>
        <v/>
      </c>
      <c r="H1795" t="str">
        <f>IF(D1795="","",INDEX(Knutepunkter!$D:$D,D1795+1))</f>
        <v/>
      </c>
      <c r="I1795" t="str">
        <f>IF(E1795="","",INDEX(Knutepunkter!$B:$B,E1795+1))</f>
        <v/>
      </c>
      <c r="J1795" t="str">
        <f>IF(E1795="","",INDEX(Knutepunkter!$C:$C,E1795+1))</f>
        <v/>
      </c>
      <c r="K1795" t="str">
        <f>IF(E1795="","",INDEX(Knutepunkter!$D:$D,E1795+1))</f>
        <v/>
      </c>
      <c r="L1795" t="str">
        <f t="shared" si="143"/>
        <v/>
      </c>
      <c r="M1795" t="str">
        <f t="shared" si="144"/>
        <v/>
      </c>
    </row>
    <row r="1796" spans="1:13" x14ac:dyDescent="0.3">
      <c r="A1796" t="str">
        <f>Segmenter!A1796</f>
        <v/>
      </c>
      <c r="B1796" t="str">
        <f>Segmenter!B1796</f>
        <v/>
      </c>
      <c r="C1796" t="str">
        <f t="shared" si="140"/>
        <v/>
      </c>
      <c r="D1796" t="str">
        <f t="shared" si="141"/>
        <v/>
      </c>
      <c r="E1796" t="str">
        <f t="shared" si="142"/>
        <v/>
      </c>
      <c r="F1796" t="str">
        <f>IF(D1796="","",INDEX(Knutepunkter!$B:$B,D1796+1))</f>
        <v/>
      </c>
      <c r="G1796" t="str">
        <f>IF(D1796="","",INDEX(Knutepunkter!$C:$C,D1796+1))</f>
        <v/>
      </c>
      <c r="H1796" t="str">
        <f>IF(D1796="","",INDEX(Knutepunkter!$D:$D,D1796+1))</f>
        <v/>
      </c>
      <c r="I1796" t="str">
        <f>IF(E1796="","",INDEX(Knutepunkter!$B:$B,E1796+1))</f>
        <v/>
      </c>
      <c r="J1796" t="str">
        <f>IF(E1796="","",INDEX(Knutepunkter!$C:$C,E1796+1))</f>
        <v/>
      </c>
      <c r="K1796" t="str">
        <f>IF(E1796="","",INDEX(Knutepunkter!$D:$D,E1796+1))</f>
        <v/>
      </c>
      <c r="L1796" t="str">
        <f t="shared" si="143"/>
        <v/>
      </c>
      <c r="M1796" t="str">
        <f t="shared" si="144"/>
        <v/>
      </c>
    </row>
    <row r="1797" spans="1:13" x14ac:dyDescent="0.3">
      <c r="A1797" t="str">
        <f>Segmenter!A1797</f>
        <v/>
      </c>
      <c r="B1797" t="str">
        <f>Segmenter!B1797</f>
        <v/>
      </c>
      <c r="C1797" t="str">
        <f t="shared" si="140"/>
        <v/>
      </c>
      <c r="D1797" t="str">
        <f t="shared" si="141"/>
        <v/>
      </c>
      <c r="E1797" t="str">
        <f t="shared" si="142"/>
        <v/>
      </c>
      <c r="F1797" t="str">
        <f>IF(D1797="","",INDEX(Knutepunkter!$B:$B,D1797+1))</f>
        <v/>
      </c>
      <c r="G1797" t="str">
        <f>IF(D1797="","",INDEX(Knutepunkter!$C:$C,D1797+1))</f>
        <v/>
      </c>
      <c r="H1797" t="str">
        <f>IF(D1797="","",INDEX(Knutepunkter!$D:$D,D1797+1))</f>
        <v/>
      </c>
      <c r="I1797" t="str">
        <f>IF(E1797="","",INDEX(Knutepunkter!$B:$B,E1797+1))</f>
        <v/>
      </c>
      <c r="J1797" t="str">
        <f>IF(E1797="","",INDEX(Knutepunkter!$C:$C,E1797+1))</f>
        <v/>
      </c>
      <c r="K1797" t="str">
        <f>IF(E1797="","",INDEX(Knutepunkter!$D:$D,E1797+1))</f>
        <v/>
      </c>
      <c r="L1797" t="str">
        <f t="shared" si="143"/>
        <v/>
      </c>
      <c r="M1797" t="str">
        <f t="shared" si="144"/>
        <v/>
      </c>
    </row>
    <row r="1798" spans="1:13" x14ac:dyDescent="0.3">
      <c r="A1798" t="str">
        <f>Segmenter!A1798</f>
        <v/>
      </c>
      <c r="B1798" t="str">
        <f>Segmenter!B1798</f>
        <v/>
      </c>
      <c r="C1798" t="str">
        <f t="shared" si="140"/>
        <v/>
      </c>
      <c r="D1798" t="str">
        <f t="shared" si="141"/>
        <v/>
      </c>
      <c r="E1798" t="str">
        <f t="shared" si="142"/>
        <v/>
      </c>
      <c r="F1798" t="str">
        <f>IF(D1798="","",INDEX(Knutepunkter!$B:$B,D1798+1))</f>
        <v/>
      </c>
      <c r="G1798" t="str">
        <f>IF(D1798="","",INDEX(Knutepunkter!$C:$C,D1798+1))</f>
        <v/>
      </c>
      <c r="H1798" t="str">
        <f>IF(D1798="","",INDEX(Knutepunkter!$D:$D,D1798+1))</f>
        <v/>
      </c>
      <c r="I1798" t="str">
        <f>IF(E1798="","",INDEX(Knutepunkter!$B:$B,E1798+1))</f>
        <v/>
      </c>
      <c r="J1798" t="str">
        <f>IF(E1798="","",INDEX(Knutepunkter!$C:$C,E1798+1))</f>
        <v/>
      </c>
      <c r="K1798" t="str">
        <f>IF(E1798="","",INDEX(Knutepunkter!$D:$D,E1798+1))</f>
        <v/>
      </c>
      <c r="L1798" t="str">
        <f t="shared" si="143"/>
        <v/>
      </c>
      <c r="M1798" t="str">
        <f t="shared" si="144"/>
        <v/>
      </c>
    </row>
    <row r="1799" spans="1:13" x14ac:dyDescent="0.3">
      <c r="A1799" t="str">
        <f>Segmenter!A1799</f>
        <v/>
      </c>
      <c r="B1799" t="str">
        <f>Segmenter!B1799</f>
        <v/>
      </c>
      <c r="C1799" t="str">
        <f t="shared" si="140"/>
        <v/>
      </c>
      <c r="D1799" t="str">
        <f t="shared" si="141"/>
        <v/>
      </c>
      <c r="E1799" t="str">
        <f t="shared" si="142"/>
        <v/>
      </c>
      <c r="F1799" t="str">
        <f>IF(D1799="","",INDEX(Knutepunkter!$B:$B,D1799+1))</f>
        <v/>
      </c>
      <c r="G1799" t="str">
        <f>IF(D1799="","",INDEX(Knutepunkter!$C:$C,D1799+1))</f>
        <v/>
      </c>
      <c r="H1799" t="str">
        <f>IF(D1799="","",INDEX(Knutepunkter!$D:$D,D1799+1))</f>
        <v/>
      </c>
      <c r="I1799" t="str">
        <f>IF(E1799="","",INDEX(Knutepunkter!$B:$B,E1799+1))</f>
        <v/>
      </c>
      <c r="J1799" t="str">
        <f>IF(E1799="","",INDEX(Knutepunkter!$C:$C,E1799+1))</f>
        <v/>
      </c>
      <c r="K1799" t="str">
        <f>IF(E1799="","",INDEX(Knutepunkter!$D:$D,E1799+1))</f>
        <v/>
      </c>
      <c r="L1799" t="str">
        <f t="shared" si="143"/>
        <v/>
      </c>
      <c r="M1799" t="str">
        <f t="shared" si="144"/>
        <v/>
      </c>
    </row>
    <row r="1800" spans="1:13" x14ac:dyDescent="0.3">
      <c r="A1800" t="str">
        <f>Segmenter!A1800</f>
        <v/>
      </c>
      <c r="B1800" t="str">
        <f>Segmenter!B1800</f>
        <v/>
      </c>
      <c r="C1800" t="str">
        <f t="shared" si="140"/>
        <v/>
      </c>
      <c r="D1800" t="str">
        <f t="shared" si="141"/>
        <v/>
      </c>
      <c r="E1800" t="str">
        <f t="shared" si="142"/>
        <v/>
      </c>
      <c r="F1800" t="str">
        <f>IF(D1800="","",INDEX(Knutepunkter!$B:$B,D1800+1))</f>
        <v/>
      </c>
      <c r="G1800" t="str">
        <f>IF(D1800="","",INDEX(Knutepunkter!$C:$C,D1800+1))</f>
        <v/>
      </c>
      <c r="H1800" t="str">
        <f>IF(D1800="","",INDEX(Knutepunkter!$D:$D,D1800+1))</f>
        <v/>
      </c>
      <c r="I1800" t="str">
        <f>IF(E1800="","",INDEX(Knutepunkter!$B:$B,E1800+1))</f>
        <v/>
      </c>
      <c r="J1800" t="str">
        <f>IF(E1800="","",INDEX(Knutepunkter!$C:$C,E1800+1))</f>
        <v/>
      </c>
      <c r="K1800" t="str">
        <f>IF(E1800="","",INDEX(Knutepunkter!$D:$D,E1800+1))</f>
        <v/>
      </c>
      <c r="L1800" t="str">
        <f t="shared" si="143"/>
        <v/>
      </c>
      <c r="M1800" t="str">
        <f t="shared" si="144"/>
        <v/>
      </c>
    </row>
    <row r="1801" spans="1:13" x14ac:dyDescent="0.3">
      <c r="A1801" t="str">
        <f>Segmenter!A1801</f>
        <v/>
      </c>
      <c r="B1801" t="str">
        <f>Segmenter!B1801</f>
        <v/>
      </c>
      <c r="C1801" t="str">
        <f t="shared" si="140"/>
        <v/>
      </c>
      <c r="D1801" t="str">
        <f t="shared" si="141"/>
        <v/>
      </c>
      <c r="E1801" t="str">
        <f t="shared" si="142"/>
        <v/>
      </c>
      <c r="F1801" t="str">
        <f>IF(D1801="","",INDEX(Knutepunkter!$B:$B,D1801+1))</f>
        <v/>
      </c>
      <c r="G1801" t="str">
        <f>IF(D1801="","",INDEX(Knutepunkter!$C:$C,D1801+1))</f>
        <v/>
      </c>
      <c r="H1801" t="str">
        <f>IF(D1801="","",INDEX(Knutepunkter!$D:$D,D1801+1))</f>
        <v/>
      </c>
      <c r="I1801" t="str">
        <f>IF(E1801="","",INDEX(Knutepunkter!$B:$B,E1801+1))</f>
        <v/>
      </c>
      <c r="J1801" t="str">
        <f>IF(E1801="","",INDEX(Knutepunkter!$C:$C,E1801+1))</f>
        <v/>
      </c>
      <c r="K1801" t="str">
        <f>IF(E1801="","",INDEX(Knutepunkter!$D:$D,E1801+1))</f>
        <v/>
      </c>
      <c r="L1801" t="str">
        <f t="shared" si="143"/>
        <v/>
      </c>
      <c r="M1801" t="str">
        <f t="shared" si="144"/>
        <v/>
      </c>
    </row>
    <row r="1802" spans="1:13" x14ac:dyDescent="0.3">
      <c r="A1802" t="str">
        <f>Segmenter!A1802</f>
        <v/>
      </c>
      <c r="B1802" t="str">
        <f>Segmenter!B1802</f>
        <v/>
      </c>
      <c r="C1802" t="str">
        <f t="shared" si="140"/>
        <v/>
      </c>
      <c r="D1802" t="str">
        <f t="shared" si="141"/>
        <v/>
      </c>
      <c r="E1802" t="str">
        <f t="shared" si="142"/>
        <v/>
      </c>
      <c r="F1802" t="str">
        <f>IF(D1802="","",INDEX(Knutepunkter!$B:$B,D1802+1))</f>
        <v/>
      </c>
      <c r="G1802" t="str">
        <f>IF(D1802="","",INDEX(Knutepunkter!$C:$C,D1802+1))</f>
        <v/>
      </c>
      <c r="H1802" t="str">
        <f>IF(D1802="","",INDEX(Knutepunkter!$D:$D,D1802+1))</f>
        <v/>
      </c>
      <c r="I1802" t="str">
        <f>IF(E1802="","",INDEX(Knutepunkter!$B:$B,E1802+1))</f>
        <v/>
      </c>
      <c r="J1802" t="str">
        <f>IF(E1802="","",INDEX(Knutepunkter!$C:$C,E1802+1))</f>
        <v/>
      </c>
      <c r="K1802" t="str">
        <f>IF(E1802="","",INDEX(Knutepunkter!$D:$D,E1802+1))</f>
        <v/>
      </c>
      <c r="L1802" t="str">
        <f t="shared" si="143"/>
        <v/>
      </c>
      <c r="M1802" t="str">
        <f t="shared" si="144"/>
        <v/>
      </c>
    </row>
    <row r="1803" spans="1:13" x14ac:dyDescent="0.3">
      <c r="A1803" t="str">
        <f>Segmenter!A1803</f>
        <v/>
      </c>
      <c r="B1803" t="str">
        <f>Segmenter!B1803</f>
        <v/>
      </c>
      <c r="C1803" t="str">
        <f t="shared" si="140"/>
        <v/>
      </c>
      <c r="D1803" t="str">
        <f t="shared" si="141"/>
        <v/>
      </c>
      <c r="E1803" t="str">
        <f t="shared" si="142"/>
        <v/>
      </c>
      <c r="F1803" t="str">
        <f>IF(D1803="","",INDEX(Knutepunkter!$B:$B,D1803+1))</f>
        <v/>
      </c>
      <c r="G1803" t="str">
        <f>IF(D1803="","",INDEX(Knutepunkter!$C:$C,D1803+1))</f>
        <v/>
      </c>
      <c r="H1803" t="str">
        <f>IF(D1803="","",INDEX(Knutepunkter!$D:$D,D1803+1))</f>
        <v/>
      </c>
      <c r="I1803" t="str">
        <f>IF(E1803="","",INDEX(Knutepunkter!$B:$B,E1803+1))</f>
        <v/>
      </c>
      <c r="J1803" t="str">
        <f>IF(E1803="","",INDEX(Knutepunkter!$C:$C,E1803+1))</f>
        <v/>
      </c>
      <c r="K1803" t="str">
        <f>IF(E1803="","",INDEX(Knutepunkter!$D:$D,E1803+1))</f>
        <v/>
      </c>
      <c r="L1803" t="str">
        <f t="shared" si="143"/>
        <v/>
      </c>
      <c r="M1803" t="str">
        <f t="shared" si="144"/>
        <v/>
      </c>
    </row>
    <row r="1804" spans="1:13" x14ac:dyDescent="0.3">
      <c r="A1804" t="str">
        <f>Segmenter!A1804</f>
        <v/>
      </c>
      <c r="B1804" t="str">
        <f>Segmenter!B1804</f>
        <v/>
      </c>
      <c r="C1804" t="str">
        <f t="shared" si="140"/>
        <v/>
      </c>
      <c r="D1804" t="str">
        <f t="shared" si="141"/>
        <v/>
      </c>
      <c r="E1804" t="str">
        <f t="shared" si="142"/>
        <v/>
      </c>
      <c r="F1804" t="str">
        <f>IF(D1804="","",INDEX(Knutepunkter!$B:$B,D1804+1))</f>
        <v/>
      </c>
      <c r="G1804" t="str">
        <f>IF(D1804="","",INDEX(Knutepunkter!$C:$C,D1804+1))</f>
        <v/>
      </c>
      <c r="H1804" t="str">
        <f>IF(D1804="","",INDEX(Knutepunkter!$D:$D,D1804+1))</f>
        <v/>
      </c>
      <c r="I1804" t="str">
        <f>IF(E1804="","",INDEX(Knutepunkter!$B:$B,E1804+1))</f>
        <v/>
      </c>
      <c r="J1804" t="str">
        <f>IF(E1804="","",INDEX(Knutepunkter!$C:$C,E1804+1))</f>
        <v/>
      </c>
      <c r="K1804" t="str">
        <f>IF(E1804="","",INDEX(Knutepunkter!$D:$D,E1804+1))</f>
        <v/>
      </c>
      <c r="L1804" t="str">
        <f t="shared" si="143"/>
        <v/>
      </c>
      <c r="M1804" t="str">
        <f t="shared" si="144"/>
        <v/>
      </c>
    </row>
    <row r="1805" spans="1:13" x14ac:dyDescent="0.3">
      <c r="A1805" t="str">
        <f>Segmenter!A1805</f>
        <v/>
      </c>
      <c r="B1805" t="str">
        <f>Segmenter!B1805</f>
        <v/>
      </c>
      <c r="C1805" t="str">
        <f t="shared" si="140"/>
        <v/>
      </c>
      <c r="D1805" t="str">
        <f t="shared" si="141"/>
        <v/>
      </c>
      <c r="E1805" t="str">
        <f t="shared" si="142"/>
        <v/>
      </c>
      <c r="F1805" t="str">
        <f>IF(D1805="","",INDEX(Knutepunkter!$B:$B,D1805+1))</f>
        <v/>
      </c>
      <c r="G1805" t="str">
        <f>IF(D1805="","",INDEX(Knutepunkter!$C:$C,D1805+1))</f>
        <v/>
      </c>
      <c r="H1805" t="str">
        <f>IF(D1805="","",INDEX(Knutepunkter!$D:$D,D1805+1))</f>
        <v/>
      </c>
      <c r="I1805" t="str">
        <f>IF(E1805="","",INDEX(Knutepunkter!$B:$B,E1805+1))</f>
        <v/>
      </c>
      <c r="J1805" t="str">
        <f>IF(E1805="","",INDEX(Knutepunkter!$C:$C,E1805+1))</f>
        <v/>
      </c>
      <c r="K1805" t="str">
        <f>IF(E1805="","",INDEX(Knutepunkter!$D:$D,E1805+1))</f>
        <v/>
      </c>
      <c r="L1805" t="str">
        <f t="shared" si="143"/>
        <v/>
      </c>
      <c r="M1805" t="str">
        <f t="shared" si="144"/>
        <v/>
      </c>
    </row>
    <row r="1806" spans="1:13" x14ac:dyDescent="0.3">
      <c r="A1806" t="str">
        <f>Segmenter!A1806</f>
        <v/>
      </c>
      <c r="B1806" t="str">
        <f>Segmenter!B1806</f>
        <v/>
      </c>
      <c r="C1806" t="str">
        <f t="shared" si="140"/>
        <v/>
      </c>
      <c r="D1806" t="str">
        <f t="shared" si="141"/>
        <v/>
      </c>
      <c r="E1806" t="str">
        <f t="shared" si="142"/>
        <v/>
      </c>
      <c r="F1806" t="str">
        <f>IF(D1806="","",INDEX(Knutepunkter!$B:$B,D1806+1))</f>
        <v/>
      </c>
      <c r="G1806" t="str">
        <f>IF(D1806="","",INDEX(Knutepunkter!$C:$C,D1806+1))</f>
        <v/>
      </c>
      <c r="H1806" t="str">
        <f>IF(D1806="","",INDEX(Knutepunkter!$D:$D,D1806+1))</f>
        <v/>
      </c>
      <c r="I1806" t="str">
        <f>IF(E1806="","",INDEX(Knutepunkter!$B:$B,E1806+1))</f>
        <v/>
      </c>
      <c r="J1806" t="str">
        <f>IF(E1806="","",INDEX(Knutepunkter!$C:$C,E1806+1))</f>
        <v/>
      </c>
      <c r="K1806" t="str">
        <f>IF(E1806="","",INDEX(Knutepunkter!$D:$D,E1806+1))</f>
        <v/>
      </c>
      <c r="L1806" t="str">
        <f t="shared" si="143"/>
        <v/>
      </c>
      <c r="M1806" t="str">
        <f t="shared" si="144"/>
        <v/>
      </c>
    </row>
    <row r="1807" spans="1:13" x14ac:dyDescent="0.3">
      <c r="A1807" t="str">
        <f>Segmenter!A1807</f>
        <v/>
      </c>
      <c r="B1807" t="str">
        <f>Segmenter!B1807</f>
        <v/>
      </c>
      <c r="C1807" t="str">
        <f t="shared" si="140"/>
        <v/>
      </c>
      <c r="D1807" t="str">
        <f t="shared" si="141"/>
        <v/>
      </c>
      <c r="E1807" t="str">
        <f t="shared" si="142"/>
        <v/>
      </c>
      <c r="F1807" t="str">
        <f>IF(D1807="","",INDEX(Knutepunkter!$B:$B,D1807+1))</f>
        <v/>
      </c>
      <c r="G1807" t="str">
        <f>IF(D1807="","",INDEX(Knutepunkter!$C:$C,D1807+1))</f>
        <v/>
      </c>
      <c r="H1807" t="str">
        <f>IF(D1807="","",INDEX(Knutepunkter!$D:$D,D1807+1))</f>
        <v/>
      </c>
      <c r="I1807" t="str">
        <f>IF(E1807="","",INDEX(Knutepunkter!$B:$B,E1807+1))</f>
        <v/>
      </c>
      <c r="J1807" t="str">
        <f>IF(E1807="","",INDEX(Knutepunkter!$C:$C,E1807+1))</f>
        <v/>
      </c>
      <c r="K1807" t="str">
        <f>IF(E1807="","",INDEX(Knutepunkter!$D:$D,E1807+1))</f>
        <v/>
      </c>
      <c r="L1807" t="str">
        <f t="shared" si="143"/>
        <v/>
      </c>
      <c r="M1807" t="str">
        <f t="shared" si="144"/>
        <v/>
      </c>
    </row>
    <row r="1808" spans="1:13" x14ac:dyDescent="0.3">
      <c r="A1808" t="str">
        <f>Segmenter!A1808</f>
        <v/>
      </c>
      <c r="B1808" t="str">
        <f>Segmenter!B1808</f>
        <v/>
      </c>
      <c r="C1808" t="str">
        <f t="shared" si="140"/>
        <v/>
      </c>
      <c r="D1808" t="str">
        <f t="shared" si="141"/>
        <v/>
      </c>
      <c r="E1808" t="str">
        <f t="shared" si="142"/>
        <v/>
      </c>
      <c r="F1808" t="str">
        <f>IF(D1808="","",INDEX(Knutepunkter!$B:$B,D1808+1))</f>
        <v/>
      </c>
      <c r="G1808" t="str">
        <f>IF(D1808="","",INDEX(Knutepunkter!$C:$C,D1808+1))</f>
        <v/>
      </c>
      <c r="H1808" t="str">
        <f>IF(D1808="","",INDEX(Knutepunkter!$D:$D,D1808+1))</f>
        <v/>
      </c>
      <c r="I1808" t="str">
        <f>IF(E1808="","",INDEX(Knutepunkter!$B:$B,E1808+1))</f>
        <v/>
      </c>
      <c r="J1808" t="str">
        <f>IF(E1808="","",INDEX(Knutepunkter!$C:$C,E1808+1))</f>
        <v/>
      </c>
      <c r="K1808" t="str">
        <f>IF(E1808="","",INDEX(Knutepunkter!$D:$D,E1808+1))</f>
        <v/>
      </c>
      <c r="L1808" t="str">
        <f t="shared" si="143"/>
        <v/>
      </c>
      <c r="M1808" t="str">
        <f t="shared" si="144"/>
        <v/>
      </c>
    </row>
    <row r="1809" spans="1:13" x14ac:dyDescent="0.3">
      <c r="A1809" t="str">
        <f>Segmenter!A1809</f>
        <v/>
      </c>
      <c r="B1809" t="str">
        <f>Segmenter!B1809</f>
        <v/>
      </c>
      <c r="C1809" t="str">
        <f t="shared" si="140"/>
        <v/>
      </c>
      <c r="D1809" t="str">
        <f t="shared" si="141"/>
        <v/>
      </c>
      <c r="E1809" t="str">
        <f t="shared" si="142"/>
        <v/>
      </c>
      <c r="F1809" t="str">
        <f>IF(D1809="","",INDEX(Knutepunkter!$B:$B,D1809+1))</f>
        <v/>
      </c>
      <c r="G1809" t="str">
        <f>IF(D1809="","",INDEX(Knutepunkter!$C:$C,D1809+1))</f>
        <v/>
      </c>
      <c r="H1809" t="str">
        <f>IF(D1809="","",INDEX(Knutepunkter!$D:$D,D1809+1))</f>
        <v/>
      </c>
      <c r="I1809" t="str">
        <f>IF(E1809="","",INDEX(Knutepunkter!$B:$B,E1809+1))</f>
        <v/>
      </c>
      <c r="J1809" t="str">
        <f>IF(E1809="","",INDEX(Knutepunkter!$C:$C,E1809+1))</f>
        <v/>
      </c>
      <c r="K1809" t="str">
        <f>IF(E1809="","",INDEX(Knutepunkter!$D:$D,E1809+1))</f>
        <v/>
      </c>
      <c r="L1809" t="str">
        <f t="shared" si="143"/>
        <v/>
      </c>
      <c r="M1809" t="str">
        <f t="shared" si="144"/>
        <v/>
      </c>
    </row>
    <row r="1810" spans="1:13" x14ac:dyDescent="0.3">
      <c r="A1810" t="str">
        <f>Segmenter!A1810</f>
        <v/>
      </c>
      <c r="B1810" t="str">
        <f>Segmenter!B1810</f>
        <v/>
      </c>
      <c r="C1810" t="str">
        <f t="shared" si="140"/>
        <v/>
      </c>
      <c r="D1810" t="str">
        <f t="shared" si="141"/>
        <v/>
      </c>
      <c r="E1810" t="str">
        <f t="shared" si="142"/>
        <v/>
      </c>
      <c r="F1810" t="str">
        <f>IF(D1810="","",INDEX(Knutepunkter!$B:$B,D1810+1))</f>
        <v/>
      </c>
      <c r="G1810" t="str">
        <f>IF(D1810="","",INDEX(Knutepunkter!$C:$C,D1810+1))</f>
        <v/>
      </c>
      <c r="H1810" t="str">
        <f>IF(D1810="","",INDEX(Knutepunkter!$D:$D,D1810+1))</f>
        <v/>
      </c>
      <c r="I1810" t="str">
        <f>IF(E1810="","",INDEX(Knutepunkter!$B:$B,E1810+1))</f>
        <v/>
      </c>
      <c r="J1810" t="str">
        <f>IF(E1810="","",INDEX(Knutepunkter!$C:$C,E1810+1))</f>
        <v/>
      </c>
      <c r="K1810" t="str">
        <f>IF(E1810="","",INDEX(Knutepunkter!$D:$D,E1810+1))</f>
        <v/>
      </c>
      <c r="L1810" t="str">
        <f t="shared" si="143"/>
        <v/>
      </c>
      <c r="M1810" t="str">
        <f t="shared" si="144"/>
        <v/>
      </c>
    </row>
    <row r="1811" spans="1:13" x14ac:dyDescent="0.3">
      <c r="A1811" t="str">
        <f>Segmenter!A1811</f>
        <v/>
      </c>
      <c r="B1811" t="str">
        <f>Segmenter!B1811</f>
        <v/>
      </c>
      <c r="C1811" t="str">
        <f t="shared" si="140"/>
        <v/>
      </c>
      <c r="D1811" t="str">
        <f t="shared" si="141"/>
        <v/>
      </c>
      <c r="E1811" t="str">
        <f t="shared" si="142"/>
        <v/>
      </c>
      <c r="F1811" t="str">
        <f>IF(D1811="","",INDEX(Knutepunkter!$B:$B,D1811+1))</f>
        <v/>
      </c>
      <c r="G1811" t="str">
        <f>IF(D1811="","",INDEX(Knutepunkter!$C:$C,D1811+1))</f>
        <v/>
      </c>
      <c r="H1811" t="str">
        <f>IF(D1811="","",INDEX(Knutepunkter!$D:$D,D1811+1))</f>
        <v/>
      </c>
      <c r="I1811" t="str">
        <f>IF(E1811="","",INDEX(Knutepunkter!$B:$B,E1811+1))</f>
        <v/>
      </c>
      <c r="J1811" t="str">
        <f>IF(E1811="","",INDEX(Knutepunkter!$C:$C,E1811+1))</f>
        <v/>
      </c>
      <c r="K1811" t="str">
        <f>IF(E1811="","",INDEX(Knutepunkter!$D:$D,E1811+1))</f>
        <v/>
      </c>
      <c r="L1811" t="str">
        <f t="shared" si="143"/>
        <v/>
      </c>
      <c r="M1811" t="str">
        <f t="shared" si="144"/>
        <v/>
      </c>
    </row>
    <row r="1812" spans="1:13" x14ac:dyDescent="0.3">
      <c r="A1812" t="str">
        <f>Segmenter!A1812</f>
        <v/>
      </c>
      <c r="B1812" t="str">
        <f>Segmenter!B1812</f>
        <v/>
      </c>
      <c r="C1812" t="str">
        <f t="shared" si="140"/>
        <v/>
      </c>
      <c r="D1812" t="str">
        <f t="shared" si="141"/>
        <v/>
      </c>
      <c r="E1812" t="str">
        <f t="shared" si="142"/>
        <v/>
      </c>
      <c r="F1812" t="str">
        <f>IF(D1812="","",INDEX(Knutepunkter!$B:$B,D1812+1))</f>
        <v/>
      </c>
      <c r="G1812" t="str">
        <f>IF(D1812="","",INDEX(Knutepunkter!$C:$C,D1812+1))</f>
        <v/>
      </c>
      <c r="H1812" t="str">
        <f>IF(D1812="","",INDEX(Knutepunkter!$D:$D,D1812+1))</f>
        <v/>
      </c>
      <c r="I1812" t="str">
        <f>IF(E1812="","",INDEX(Knutepunkter!$B:$B,E1812+1))</f>
        <v/>
      </c>
      <c r="J1812" t="str">
        <f>IF(E1812="","",INDEX(Knutepunkter!$C:$C,E1812+1))</f>
        <v/>
      </c>
      <c r="K1812" t="str">
        <f>IF(E1812="","",INDEX(Knutepunkter!$D:$D,E1812+1))</f>
        <v/>
      </c>
      <c r="L1812" t="str">
        <f t="shared" si="143"/>
        <v/>
      </c>
      <c r="M1812" t="str">
        <f t="shared" si="144"/>
        <v/>
      </c>
    </row>
    <row r="1813" spans="1:13" x14ac:dyDescent="0.3">
      <c r="A1813" t="str">
        <f>Segmenter!A1813</f>
        <v/>
      </c>
      <c r="B1813" t="str">
        <f>Segmenter!B1813</f>
        <v/>
      </c>
      <c r="C1813" t="str">
        <f t="shared" si="140"/>
        <v/>
      </c>
      <c r="D1813" t="str">
        <f t="shared" si="141"/>
        <v/>
      </c>
      <c r="E1813" t="str">
        <f t="shared" si="142"/>
        <v/>
      </c>
      <c r="F1813" t="str">
        <f>IF(D1813="","",INDEX(Knutepunkter!$B:$B,D1813+1))</f>
        <v/>
      </c>
      <c r="G1813" t="str">
        <f>IF(D1813="","",INDEX(Knutepunkter!$C:$C,D1813+1))</f>
        <v/>
      </c>
      <c r="H1813" t="str">
        <f>IF(D1813="","",INDEX(Knutepunkter!$D:$D,D1813+1))</f>
        <v/>
      </c>
      <c r="I1813" t="str">
        <f>IF(E1813="","",INDEX(Knutepunkter!$B:$B,E1813+1))</f>
        <v/>
      </c>
      <c r="J1813" t="str">
        <f>IF(E1813="","",INDEX(Knutepunkter!$C:$C,E1813+1))</f>
        <v/>
      </c>
      <c r="K1813" t="str">
        <f>IF(E1813="","",INDEX(Knutepunkter!$D:$D,E1813+1))</f>
        <v/>
      </c>
      <c r="L1813" t="str">
        <f t="shared" si="143"/>
        <v/>
      </c>
      <c r="M1813" t="str">
        <f t="shared" si="144"/>
        <v/>
      </c>
    </row>
    <row r="1814" spans="1:13" x14ac:dyDescent="0.3">
      <c r="A1814" t="str">
        <f>Segmenter!A1814</f>
        <v/>
      </c>
      <c r="B1814" t="str">
        <f>Segmenter!B1814</f>
        <v/>
      </c>
      <c r="C1814" t="str">
        <f t="shared" si="140"/>
        <v/>
      </c>
      <c r="D1814" t="str">
        <f t="shared" si="141"/>
        <v/>
      </c>
      <c r="E1814" t="str">
        <f t="shared" si="142"/>
        <v/>
      </c>
      <c r="F1814" t="str">
        <f>IF(D1814="","",INDEX(Knutepunkter!$B:$B,D1814+1))</f>
        <v/>
      </c>
      <c r="G1814" t="str">
        <f>IF(D1814="","",INDEX(Knutepunkter!$C:$C,D1814+1))</f>
        <v/>
      </c>
      <c r="H1814" t="str">
        <f>IF(D1814="","",INDEX(Knutepunkter!$D:$D,D1814+1))</f>
        <v/>
      </c>
      <c r="I1814" t="str">
        <f>IF(E1814="","",INDEX(Knutepunkter!$B:$B,E1814+1))</f>
        <v/>
      </c>
      <c r="J1814" t="str">
        <f>IF(E1814="","",INDEX(Knutepunkter!$C:$C,E1814+1))</f>
        <v/>
      </c>
      <c r="K1814" t="str">
        <f>IF(E1814="","",INDEX(Knutepunkter!$D:$D,E1814+1))</f>
        <v/>
      </c>
      <c r="L1814" t="str">
        <f t="shared" si="143"/>
        <v/>
      </c>
      <c r="M1814" t="str">
        <f t="shared" si="144"/>
        <v/>
      </c>
    </row>
    <row r="1815" spans="1:13" x14ac:dyDescent="0.3">
      <c r="A1815" t="str">
        <f>Segmenter!A1815</f>
        <v/>
      </c>
      <c r="B1815" t="str">
        <f>Segmenter!B1815</f>
        <v/>
      </c>
      <c r="C1815" t="str">
        <f t="shared" si="140"/>
        <v/>
      </c>
      <c r="D1815" t="str">
        <f t="shared" si="141"/>
        <v/>
      </c>
      <c r="E1815" t="str">
        <f t="shared" si="142"/>
        <v/>
      </c>
      <c r="F1815" t="str">
        <f>IF(D1815="","",INDEX(Knutepunkter!$B:$B,D1815+1))</f>
        <v/>
      </c>
      <c r="G1815" t="str">
        <f>IF(D1815="","",INDEX(Knutepunkter!$C:$C,D1815+1))</f>
        <v/>
      </c>
      <c r="H1815" t="str">
        <f>IF(D1815="","",INDEX(Knutepunkter!$D:$D,D1815+1))</f>
        <v/>
      </c>
      <c r="I1815" t="str">
        <f>IF(E1815="","",INDEX(Knutepunkter!$B:$B,E1815+1))</f>
        <v/>
      </c>
      <c r="J1815" t="str">
        <f>IF(E1815="","",INDEX(Knutepunkter!$C:$C,E1815+1))</f>
        <v/>
      </c>
      <c r="K1815" t="str">
        <f>IF(E1815="","",INDEX(Knutepunkter!$D:$D,E1815+1))</f>
        <v/>
      </c>
      <c r="L1815" t="str">
        <f t="shared" si="143"/>
        <v/>
      </c>
      <c r="M1815" t="str">
        <f t="shared" si="144"/>
        <v/>
      </c>
    </row>
    <row r="1816" spans="1:13" x14ac:dyDescent="0.3">
      <c r="A1816" t="str">
        <f>Segmenter!A1816</f>
        <v/>
      </c>
      <c r="B1816" t="str">
        <f>Segmenter!B1816</f>
        <v/>
      </c>
      <c r="C1816" t="str">
        <f t="shared" si="140"/>
        <v/>
      </c>
      <c r="D1816" t="str">
        <f t="shared" si="141"/>
        <v/>
      </c>
      <c r="E1816" t="str">
        <f t="shared" si="142"/>
        <v/>
      </c>
      <c r="F1816" t="str">
        <f>IF(D1816="","",INDEX(Knutepunkter!$B:$B,D1816+1))</f>
        <v/>
      </c>
      <c r="G1816" t="str">
        <f>IF(D1816="","",INDEX(Knutepunkter!$C:$C,D1816+1))</f>
        <v/>
      </c>
      <c r="H1816" t="str">
        <f>IF(D1816="","",INDEX(Knutepunkter!$D:$D,D1816+1))</f>
        <v/>
      </c>
      <c r="I1816" t="str">
        <f>IF(E1816="","",INDEX(Knutepunkter!$B:$B,E1816+1))</f>
        <v/>
      </c>
      <c r="J1816" t="str">
        <f>IF(E1816="","",INDEX(Knutepunkter!$C:$C,E1816+1))</f>
        <v/>
      </c>
      <c r="K1816" t="str">
        <f>IF(E1816="","",INDEX(Knutepunkter!$D:$D,E1816+1))</f>
        <v/>
      </c>
      <c r="L1816" t="str">
        <f t="shared" si="143"/>
        <v/>
      </c>
      <c r="M1816" t="str">
        <f t="shared" si="144"/>
        <v/>
      </c>
    </row>
    <row r="1817" spans="1:13" x14ac:dyDescent="0.3">
      <c r="A1817" t="str">
        <f>Segmenter!A1817</f>
        <v/>
      </c>
      <c r="B1817" t="str">
        <f>Segmenter!B1817</f>
        <v/>
      </c>
      <c r="C1817" t="str">
        <f t="shared" si="140"/>
        <v/>
      </c>
      <c r="D1817" t="str">
        <f t="shared" si="141"/>
        <v/>
      </c>
      <c r="E1817" t="str">
        <f t="shared" si="142"/>
        <v/>
      </c>
      <c r="F1817" t="str">
        <f>IF(D1817="","",INDEX(Knutepunkter!$B:$B,D1817+1))</f>
        <v/>
      </c>
      <c r="G1817" t="str">
        <f>IF(D1817="","",INDEX(Knutepunkter!$C:$C,D1817+1))</f>
        <v/>
      </c>
      <c r="H1817" t="str">
        <f>IF(D1817="","",INDEX(Knutepunkter!$D:$D,D1817+1))</f>
        <v/>
      </c>
      <c r="I1817" t="str">
        <f>IF(E1817="","",INDEX(Knutepunkter!$B:$B,E1817+1))</f>
        <v/>
      </c>
      <c r="J1817" t="str">
        <f>IF(E1817="","",INDEX(Knutepunkter!$C:$C,E1817+1))</f>
        <v/>
      </c>
      <c r="K1817" t="str">
        <f>IF(E1817="","",INDEX(Knutepunkter!$D:$D,E1817+1))</f>
        <v/>
      </c>
      <c r="L1817" t="str">
        <f t="shared" si="143"/>
        <v/>
      </c>
      <c r="M1817" t="str">
        <f t="shared" si="144"/>
        <v/>
      </c>
    </row>
    <row r="1818" spans="1:13" x14ac:dyDescent="0.3">
      <c r="A1818" t="str">
        <f>Segmenter!A1818</f>
        <v/>
      </c>
      <c r="B1818" t="str">
        <f>Segmenter!B1818</f>
        <v/>
      </c>
      <c r="C1818" t="str">
        <f t="shared" si="140"/>
        <v/>
      </c>
      <c r="D1818" t="str">
        <f t="shared" si="141"/>
        <v/>
      </c>
      <c r="E1818" t="str">
        <f t="shared" si="142"/>
        <v/>
      </c>
      <c r="F1818" t="str">
        <f>IF(D1818="","",INDEX(Knutepunkter!$B:$B,D1818+1))</f>
        <v/>
      </c>
      <c r="G1818" t="str">
        <f>IF(D1818="","",INDEX(Knutepunkter!$C:$C,D1818+1))</f>
        <v/>
      </c>
      <c r="H1818" t="str">
        <f>IF(D1818="","",INDEX(Knutepunkter!$D:$D,D1818+1))</f>
        <v/>
      </c>
      <c r="I1818" t="str">
        <f>IF(E1818="","",INDEX(Knutepunkter!$B:$B,E1818+1))</f>
        <v/>
      </c>
      <c r="J1818" t="str">
        <f>IF(E1818="","",INDEX(Knutepunkter!$C:$C,E1818+1))</f>
        <v/>
      </c>
      <c r="K1818" t="str">
        <f>IF(E1818="","",INDEX(Knutepunkter!$D:$D,E1818+1))</f>
        <v/>
      </c>
      <c r="L1818" t="str">
        <f t="shared" si="143"/>
        <v/>
      </c>
      <c r="M1818" t="str">
        <f t="shared" si="144"/>
        <v/>
      </c>
    </row>
    <row r="1819" spans="1:13" x14ac:dyDescent="0.3">
      <c r="A1819" t="str">
        <f>Segmenter!A1819</f>
        <v/>
      </c>
      <c r="B1819" t="str">
        <f>Segmenter!B1819</f>
        <v/>
      </c>
      <c r="C1819" t="str">
        <f t="shared" si="140"/>
        <v/>
      </c>
      <c r="D1819" t="str">
        <f t="shared" si="141"/>
        <v/>
      </c>
      <c r="E1819" t="str">
        <f t="shared" si="142"/>
        <v/>
      </c>
      <c r="F1819" t="str">
        <f>IF(D1819="","",INDEX(Knutepunkter!$B:$B,D1819+1))</f>
        <v/>
      </c>
      <c r="G1819" t="str">
        <f>IF(D1819="","",INDEX(Knutepunkter!$C:$C,D1819+1))</f>
        <v/>
      </c>
      <c r="H1819" t="str">
        <f>IF(D1819="","",INDEX(Knutepunkter!$D:$D,D1819+1))</f>
        <v/>
      </c>
      <c r="I1819" t="str">
        <f>IF(E1819="","",INDEX(Knutepunkter!$B:$B,E1819+1))</f>
        <v/>
      </c>
      <c r="J1819" t="str">
        <f>IF(E1819="","",INDEX(Knutepunkter!$C:$C,E1819+1))</f>
        <v/>
      </c>
      <c r="K1819" t="str">
        <f>IF(E1819="","",INDEX(Knutepunkter!$D:$D,E1819+1))</f>
        <v/>
      </c>
      <c r="L1819" t="str">
        <f t="shared" si="143"/>
        <v/>
      </c>
      <c r="M1819" t="str">
        <f t="shared" si="144"/>
        <v/>
      </c>
    </row>
    <row r="1820" spans="1:13" x14ac:dyDescent="0.3">
      <c r="A1820" t="str">
        <f>Segmenter!A1820</f>
        <v/>
      </c>
      <c r="B1820" t="str">
        <f>Segmenter!B1820</f>
        <v/>
      </c>
      <c r="C1820" t="str">
        <f t="shared" si="140"/>
        <v/>
      </c>
      <c r="D1820" t="str">
        <f t="shared" si="141"/>
        <v/>
      </c>
      <c r="E1820" t="str">
        <f t="shared" si="142"/>
        <v/>
      </c>
      <c r="F1820" t="str">
        <f>IF(D1820="","",INDEX(Knutepunkter!$B:$B,D1820+1))</f>
        <v/>
      </c>
      <c r="G1820" t="str">
        <f>IF(D1820="","",INDEX(Knutepunkter!$C:$C,D1820+1))</f>
        <v/>
      </c>
      <c r="H1820" t="str">
        <f>IF(D1820="","",INDEX(Knutepunkter!$D:$D,D1820+1))</f>
        <v/>
      </c>
      <c r="I1820" t="str">
        <f>IF(E1820="","",INDEX(Knutepunkter!$B:$B,E1820+1))</f>
        <v/>
      </c>
      <c r="J1820" t="str">
        <f>IF(E1820="","",INDEX(Knutepunkter!$C:$C,E1820+1))</f>
        <v/>
      </c>
      <c r="K1820" t="str">
        <f>IF(E1820="","",INDEX(Knutepunkter!$D:$D,E1820+1))</f>
        <v/>
      </c>
      <c r="L1820" t="str">
        <f t="shared" si="143"/>
        <v/>
      </c>
      <c r="M1820" t="str">
        <f t="shared" si="144"/>
        <v/>
      </c>
    </row>
    <row r="1821" spans="1:13" x14ac:dyDescent="0.3">
      <c r="A1821" t="str">
        <f>Segmenter!A1821</f>
        <v/>
      </c>
      <c r="B1821" t="str">
        <f>Segmenter!B1821</f>
        <v/>
      </c>
      <c r="C1821" t="str">
        <f t="shared" si="140"/>
        <v/>
      </c>
      <c r="D1821" t="str">
        <f t="shared" si="141"/>
        <v/>
      </c>
      <c r="E1821" t="str">
        <f t="shared" si="142"/>
        <v/>
      </c>
      <c r="F1821" t="str">
        <f>IF(D1821="","",INDEX(Knutepunkter!$B:$B,D1821+1))</f>
        <v/>
      </c>
      <c r="G1821" t="str">
        <f>IF(D1821="","",INDEX(Knutepunkter!$C:$C,D1821+1))</f>
        <v/>
      </c>
      <c r="H1821" t="str">
        <f>IF(D1821="","",INDEX(Knutepunkter!$D:$D,D1821+1))</f>
        <v/>
      </c>
      <c r="I1821" t="str">
        <f>IF(E1821="","",INDEX(Knutepunkter!$B:$B,E1821+1))</f>
        <v/>
      </c>
      <c r="J1821" t="str">
        <f>IF(E1821="","",INDEX(Knutepunkter!$C:$C,E1821+1))</f>
        <v/>
      </c>
      <c r="K1821" t="str">
        <f>IF(E1821="","",INDEX(Knutepunkter!$D:$D,E1821+1))</f>
        <v/>
      </c>
      <c r="L1821" t="str">
        <f t="shared" si="143"/>
        <v/>
      </c>
      <c r="M1821" t="str">
        <f t="shared" si="144"/>
        <v/>
      </c>
    </row>
    <row r="1822" spans="1:13" x14ac:dyDescent="0.3">
      <c r="A1822" t="str">
        <f>Segmenter!A1822</f>
        <v/>
      </c>
      <c r="B1822" t="str">
        <f>Segmenter!B1822</f>
        <v/>
      </c>
      <c r="C1822" t="str">
        <f t="shared" si="140"/>
        <v/>
      </c>
      <c r="D1822" t="str">
        <f t="shared" si="141"/>
        <v/>
      </c>
      <c r="E1822" t="str">
        <f t="shared" si="142"/>
        <v/>
      </c>
      <c r="F1822" t="str">
        <f>IF(D1822="","",INDEX(Knutepunkter!$B:$B,D1822+1))</f>
        <v/>
      </c>
      <c r="G1822" t="str">
        <f>IF(D1822="","",INDEX(Knutepunkter!$C:$C,D1822+1))</f>
        <v/>
      </c>
      <c r="H1822" t="str">
        <f>IF(D1822="","",INDEX(Knutepunkter!$D:$D,D1822+1))</f>
        <v/>
      </c>
      <c r="I1822" t="str">
        <f>IF(E1822="","",INDEX(Knutepunkter!$B:$B,E1822+1))</f>
        <v/>
      </c>
      <c r="J1822" t="str">
        <f>IF(E1822="","",INDEX(Knutepunkter!$C:$C,E1822+1))</f>
        <v/>
      </c>
      <c r="K1822" t="str">
        <f>IF(E1822="","",INDEX(Knutepunkter!$D:$D,E1822+1))</f>
        <v/>
      </c>
      <c r="L1822" t="str">
        <f t="shared" si="143"/>
        <v/>
      </c>
      <c r="M1822" t="str">
        <f t="shared" si="144"/>
        <v/>
      </c>
    </row>
    <row r="1823" spans="1:13" x14ac:dyDescent="0.3">
      <c r="A1823" t="str">
        <f>Segmenter!A1823</f>
        <v/>
      </c>
      <c r="B1823" t="str">
        <f>Segmenter!B1823</f>
        <v/>
      </c>
      <c r="C1823" t="str">
        <f t="shared" si="140"/>
        <v/>
      </c>
      <c r="D1823" t="str">
        <f t="shared" si="141"/>
        <v/>
      </c>
      <c r="E1823" t="str">
        <f t="shared" si="142"/>
        <v/>
      </c>
      <c r="F1823" t="str">
        <f>IF(D1823="","",INDEX(Knutepunkter!$B:$B,D1823+1))</f>
        <v/>
      </c>
      <c r="G1823" t="str">
        <f>IF(D1823="","",INDEX(Knutepunkter!$C:$C,D1823+1))</f>
        <v/>
      </c>
      <c r="H1823" t="str">
        <f>IF(D1823="","",INDEX(Knutepunkter!$D:$D,D1823+1))</f>
        <v/>
      </c>
      <c r="I1823" t="str">
        <f>IF(E1823="","",INDEX(Knutepunkter!$B:$B,E1823+1))</f>
        <v/>
      </c>
      <c r="J1823" t="str">
        <f>IF(E1823="","",INDEX(Knutepunkter!$C:$C,E1823+1))</f>
        <v/>
      </c>
      <c r="K1823" t="str">
        <f>IF(E1823="","",INDEX(Knutepunkter!$D:$D,E1823+1))</f>
        <v/>
      </c>
      <c r="L1823" t="str">
        <f t="shared" si="143"/>
        <v/>
      </c>
      <c r="M1823" t="str">
        <f t="shared" si="144"/>
        <v/>
      </c>
    </row>
    <row r="1824" spans="1:13" x14ac:dyDescent="0.3">
      <c r="A1824" t="str">
        <f>Segmenter!A1824</f>
        <v/>
      </c>
      <c r="B1824" t="str">
        <f>Segmenter!B1824</f>
        <v/>
      </c>
      <c r="C1824" t="str">
        <f t="shared" si="140"/>
        <v/>
      </c>
      <c r="D1824" t="str">
        <f t="shared" si="141"/>
        <v/>
      </c>
      <c r="E1824" t="str">
        <f t="shared" si="142"/>
        <v/>
      </c>
      <c r="F1824" t="str">
        <f>IF(D1824="","",INDEX(Knutepunkter!$B:$B,D1824+1))</f>
        <v/>
      </c>
      <c r="G1824" t="str">
        <f>IF(D1824="","",INDEX(Knutepunkter!$C:$C,D1824+1))</f>
        <v/>
      </c>
      <c r="H1824" t="str">
        <f>IF(D1824="","",INDEX(Knutepunkter!$D:$D,D1824+1))</f>
        <v/>
      </c>
      <c r="I1824" t="str">
        <f>IF(E1824="","",INDEX(Knutepunkter!$B:$B,E1824+1))</f>
        <v/>
      </c>
      <c r="J1824" t="str">
        <f>IF(E1824="","",INDEX(Knutepunkter!$C:$C,E1824+1))</f>
        <v/>
      </c>
      <c r="K1824" t="str">
        <f>IF(E1824="","",INDEX(Knutepunkter!$D:$D,E1824+1))</f>
        <v/>
      </c>
      <c r="L1824" t="str">
        <f t="shared" si="143"/>
        <v/>
      </c>
      <c r="M1824" t="str">
        <f t="shared" si="144"/>
        <v/>
      </c>
    </row>
    <row r="1825" spans="1:13" x14ac:dyDescent="0.3">
      <c r="A1825" t="str">
        <f>Segmenter!A1825</f>
        <v/>
      </c>
      <c r="B1825" t="str">
        <f>Segmenter!B1825</f>
        <v/>
      </c>
      <c r="C1825" t="str">
        <f t="shared" si="140"/>
        <v/>
      </c>
      <c r="D1825" t="str">
        <f t="shared" si="141"/>
        <v/>
      </c>
      <c r="E1825" t="str">
        <f t="shared" si="142"/>
        <v/>
      </c>
      <c r="F1825" t="str">
        <f>IF(D1825="","",INDEX(Knutepunkter!$B:$B,D1825+1))</f>
        <v/>
      </c>
      <c r="G1825" t="str">
        <f>IF(D1825="","",INDEX(Knutepunkter!$C:$C,D1825+1))</f>
        <v/>
      </c>
      <c r="H1825" t="str">
        <f>IF(D1825="","",INDEX(Knutepunkter!$D:$D,D1825+1))</f>
        <v/>
      </c>
      <c r="I1825" t="str">
        <f>IF(E1825="","",INDEX(Knutepunkter!$B:$B,E1825+1))</f>
        <v/>
      </c>
      <c r="J1825" t="str">
        <f>IF(E1825="","",INDEX(Knutepunkter!$C:$C,E1825+1))</f>
        <v/>
      </c>
      <c r="K1825" t="str">
        <f>IF(E1825="","",INDEX(Knutepunkter!$D:$D,E1825+1))</f>
        <v/>
      </c>
      <c r="L1825" t="str">
        <f t="shared" si="143"/>
        <v/>
      </c>
      <c r="M1825" t="str">
        <f t="shared" si="144"/>
        <v/>
      </c>
    </row>
    <row r="1826" spans="1:13" x14ac:dyDescent="0.3">
      <c r="A1826" t="str">
        <f>Segmenter!A1826</f>
        <v/>
      </c>
      <c r="B1826" t="str">
        <f>Segmenter!B1826</f>
        <v/>
      </c>
      <c r="C1826" t="str">
        <f t="shared" si="140"/>
        <v/>
      </c>
      <c r="D1826" t="str">
        <f t="shared" si="141"/>
        <v/>
      </c>
      <c r="E1826" t="str">
        <f t="shared" si="142"/>
        <v/>
      </c>
      <c r="F1826" t="str">
        <f>IF(D1826="","",INDEX(Knutepunkter!$B:$B,D1826+1))</f>
        <v/>
      </c>
      <c r="G1826" t="str">
        <f>IF(D1826="","",INDEX(Knutepunkter!$C:$C,D1826+1))</f>
        <v/>
      </c>
      <c r="H1826" t="str">
        <f>IF(D1826="","",INDEX(Knutepunkter!$D:$D,D1826+1))</f>
        <v/>
      </c>
      <c r="I1826" t="str">
        <f>IF(E1826="","",INDEX(Knutepunkter!$B:$B,E1826+1))</f>
        <v/>
      </c>
      <c r="J1826" t="str">
        <f>IF(E1826="","",INDEX(Knutepunkter!$C:$C,E1826+1))</f>
        <v/>
      </c>
      <c r="K1826" t="str">
        <f>IF(E1826="","",INDEX(Knutepunkter!$D:$D,E1826+1))</f>
        <v/>
      </c>
      <c r="L1826" t="str">
        <f t="shared" si="143"/>
        <v/>
      </c>
      <c r="M1826" t="str">
        <f t="shared" si="144"/>
        <v/>
      </c>
    </row>
    <row r="1827" spans="1:13" x14ac:dyDescent="0.3">
      <c r="A1827" t="str">
        <f>Segmenter!A1827</f>
        <v/>
      </c>
      <c r="B1827" t="str">
        <f>Segmenter!B1827</f>
        <v/>
      </c>
      <c r="C1827" t="str">
        <f t="shared" si="140"/>
        <v/>
      </c>
      <c r="D1827" t="str">
        <f t="shared" si="141"/>
        <v/>
      </c>
      <c r="E1827" t="str">
        <f t="shared" si="142"/>
        <v/>
      </c>
      <c r="F1827" t="str">
        <f>IF(D1827="","",INDEX(Knutepunkter!$B:$B,D1827+1))</f>
        <v/>
      </c>
      <c r="G1827" t="str">
        <f>IF(D1827="","",INDEX(Knutepunkter!$C:$C,D1827+1))</f>
        <v/>
      </c>
      <c r="H1827" t="str">
        <f>IF(D1827="","",INDEX(Knutepunkter!$D:$D,D1827+1))</f>
        <v/>
      </c>
      <c r="I1827" t="str">
        <f>IF(E1827="","",INDEX(Knutepunkter!$B:$B,E1827+1))</f>
        <v/>
      </c>
      <c r="J1827" t="str">
        <f>IF(E1827="","",INDEX(Knutepunkter!$C:$C,E1827+1))</f>
        <v/>
      </c>
      <c r="K1827" t="str">
        <f>IF(E1827="","",INDEX(Knutepunkter!$D:$D,E1827+1))</f>
        <v/>
      </c>
      <c r="L1827" t="str">
        <f t="shared" si="143"/>
        <v/>
      </c>
      <c r="M1827" t="str">
        <f t="shared" si="144"/>
        <v/>
      </c>
    </row>
    <row r="1828" spans="1:13" x14ac:dyDescent="0.3">
      <c r="A1828" t="str">
        <f>Segmenter!A1828</f>
        <v/>
      </c>
      <c r="B1828" t="str">
        <f>Segmenter!B1828</f>
        <v/>
      </c>
      <c r="C1828" t="str">
        <f t="shared" si="140"/>
        <v/>
      </c>
      <c r="D1828" t="str">
        <f t="shared" si="141"/>
        <v/>
      </c>
      <c r="E1828" t="str">
        <f t="shared" si="142"/>
        <v/>
      </c>
      <c r="F1828" t="str">
        <f>IF(D1828="","",INDEX(Knutepunkter!$B:$B,D1828+1))</f>
        <v/>
      </c>
      <c r="G1828" t="str">
        <f>IF(D1828="","",INDEX(Knutepunkter!$C:$C,D1828+1))</f>
        <v/>
      </c>
      <c r="H1828" t="str">
        <f>IF(D1828="","",INDEX(Knutepunkter!$D:$D,D1828+1))</f>
        <v/>
      </c>
      <c r="I1828" t="str">
        <f>IF(E1828="","",INDEX(Knutepunkter!$B:$B,E1828+1))</f>
        <v/>
      </c>
      <c r="J1828" t="str">
        <f>IF(E1828="","",INDEX(Knutepunkter!$C:$C,E1828+1))</f>
        <v/>
      </c>
      <c r="K1828" t="str">
        <f>IF(E1828="","",INDEX(Knutepunkter!$D:$D,E1828+1))</f>
        <v/>
      </c>
      <c r="L1828" t="str">
        <f t="shared" si="143"/>
        <v/>
      </c>
      <c r="M1828" t="str">
        <f t="shared" si="144"/>
        <v/>
      </c>
    </row>
    <row r="1829" spans="1:13" x14ac:dyDescent="0.3">
      <c r="A1829" t="str">
        <f>Segmenter!A1829</f>
        <v/>
      </c>
      <c r="B1829" t="str">
        <f>Segmenter!B1829</f>
        <v/>
      </c>
      <c r="C1829" t="str">
        <f t="shared" si="140"/>
        <v/>
      </c>
      <c r="D1829" t="str">
        <f t="shared" si="141"/>
        <v/>
      </c>
      <c r="E1829" t="str">
        <f t="shared" si="142"/>
        <v/>
      </c>
      <c r="F1829" t="str">
        <f>IF(D1829="","",INDEX(Knutepunkter!$B:$B,D1829+1))</f>
        <v/>
      </c>
      <c r="G1829" t="str">
        <f>IF(D1829="","",INDEX(Knutepunkter!$C:$C,D1829+1))</f>
        <v/>
      </c>
      <c r="H1829" t="str">
        <f>IF(D1829="","",INDEX(Knutepunkter!$D:$D,D1829+1))</f>
        <v/>
      </c>
      <c r="I1829" t="str">
        <f>IF(E1829="","",INDEX(Knutepunkter!$B:$B,E1829+1))</f>
        <v/>
      </c>
      <c r="J1829" t="str">
        <f>IF(E1829="","",INDEX(Knutepunkter!$C:$C,E1829+1))</f>
        <v/>
      </c>
      <c r="K1829" t="str">
        <f>IF(E1829="","",INDEX(Knutepunkter!$D:$D,E1829+1))</f>
        <v/>
      </c>
      <c r="L1829" t="str">
        <f t="shared" si="143"/>
        <v/>
      </c>
      <c r="M1829" t="str">
        <f t="shared" si="144"/>
        <v/>
      </c>
    </row>
    <row r="1830" spans="1:13" x14ac:dyDescent="0.3">
      <c r="A1830" t="str">
        <f>Segmenter!A1830</f>
        <v/>
      </c>
      <c r="B1830" t="str">
        <f>Segmenter!B1830</f>
        <v/>
      </c>
      <c r="C1830" t="str">
        <f t="shared" si="140"/>
        <v/>
      </c>
      <c r="D1830" t="str">
        <f t="shared" si="141"/>
        <v/>
      </c>
      <c r="E1830" t="str">
        <f t="shared" si="142"/>
        <v/>
      </c>
      <c r="F1830" t="str">
        <f>IF(D1830="","",INDEX(Knutepunkter!$B:$B,D1830+1))</f>
        <v/>
      </c>
      <c r="G1830" t="str">
        <f>IF(D1830="","",INDEX(Knutepunkter!$C:$C,D1830+1))</f>
        <v/>
      </c>
      <c r="H1830" t="str">
        <f>IF(D1830="","",INDEX(Knutepunkter!$D:$D,D1830+1))</f>
        <v/>
      </c>
      <c r="I1830" t="str">
        <f>IF(E1830="","",INDEX(Knutepunkter!$B:$B,E1830+1))</f>
        <v/>
      </c>
      <c r="J1830" t="str">
        <f>IF(E1830="","",INDEX(Knutepunkter!$C:$C,E1830+1))</f>
        <v/>
      </c>
      <c r="K1830" t="str">
        <f>IF(E1830="","",INDEX(Knutepunkter!$D:$D,E1830+1))</f>
        <v/>
      </c>
      <c r="L1830" t="str">
        <f t="shared" si="143"/>
        <v/>
      </c>
      <c r="M1830" t="str">
        <f t="shared" si="144"/>
        <v/>
      </c>
    </row>
    <row r="1831" spans="1:13" x14ac:dyDescent="0.3">
      <c r="A1831" t="str">
        <f>Segmenter!A1831</f>
        <v/>
      </c>
      <c r="B1831" t="str">
        <f>Segmenter!B1831</f>
        <v/>
      </c>
      <c r="C1831" t="str">
        <f t="shared" si="140"/>
        <v/>
      </c>
      <c r="D1831" t="str">
        <f t="shared" si="141"/>
        <v/>
      </c>
      <c r="E1831" t="str">
        <f t="shared" si="142"/>
        <v/>
      </c>
      <c r="F1831" t="str">
        <f>IF(D1831="","",INDEX(Knutepunkter!$B:$B,D1831+1))</f>
        <v/>
      </c>
      <c r="G1831" t="str">
        <f>IF(D1831="","",INDEX(Knutepunkter!$C:$C,D1831+1))</f>
        <v/>
      </c>
      <c r="H1831" t="str">
        <f>IF(D1831="","",INDEX(Knutepunkter!$D:$D,D1831+1))</f>
        <v/>
      </c>
      <c r="I1831" t="str">
        <f>IF(E1831="","",INDEX(Knutepunkter!$B:$B,E1831+1))</f>
        <v/>
      </c>
      <c r="J1831" t="str">
        <f>IF(E1831="","",INDEX(Knutepunkter!$C:$C,E1831+1))</f>
        <v/>
      </c>
      <c r="K1831" t="str">
        <f>IF(E1831="","",INDEX(Knutepunkter!$D:$D,E1831+1))</f>
        <v/>
      </c>
      <c r="L1831" t="str">
        <f t="shared" si="143"/>
        <v/>
      </c>
      <c r="M1831" t="str">
        <f t="shared" si="144"/>
        <v/>
      </c>
    </row>
    <row r="1832" spans="1:13" x14ac:dyDescent="0.3">
      <c r="A1832" t="str">
        <f>Segmenter!A1832</f>
        <v/>
      </c>
      <c r="B1832" t="str">
        <f>Segmenter!B1832</f>
        <v/>
      </c>
      <c r="C1832" t="str">
        <f t="shared" si="140"/>
        <v/>
      </c>
      <c r="D1832" t="str">
        <f t="shared" si="141"/>
        <v/>
      </c>
      <c r="E1832" t="str">
        <f t="shared" si="142"/>
        <v/>
      </c>
      <c r="F1832" t="str">
        <f>IF(D1832="","",INDEX(Knutepunkter!$B:$B,D1832+1))</f>
        <v/>
      </c>
      <c r="G1832" t="str">
        <f>IF(D1832="","",INDEX(Knutepunkter!$C:$C,D1832+1))</f>
        <v/>
      </c>
      <c r="H1832" t="str">
        <f>IF(D1832="","",INDEX(Knutepunkter!$D:$D,D1832+1))</f>
        <v/>
      </c>
      <c r="I1832" t="str">
        <f>IF(E1832="","",INDEX(Knutepunkter!$B:$B,E1832+1))</f>
        <v/>
      </c>
      <c r="J1832" t="str">
        <f>IF(E1832="","",INDEX(Knutepunkter!$C:$C,E1832+1))</f>
        <v/>
      </c>
      <c r="K1832" t="str">
        <f>IF(E1832="","",INDEX(Knutepunkter!$D:$D,E1832+1))</f>
        <v/>
      </c>
      <c r="L1832" t="str">
        <f t="shared" si="143"/>
        <v/>
      </c>
      <c r="M1832" t="str">
        <f t="shared" si="144"/>
        <v/>
      </c>
    </row>
    <row r="1833" spans="1:13" x14ac:dyDescent="0.3">
      <c r="A1833" t="str">
        <f>Segmenter!A1833</f>
        <v/>
      </c>
      <c r="B1833" t="str">
        <f>Segmenter!B1833</f>
        <v/>
      </c>
      <c r="C1833" t="str">
        <f t="shared" si="140"/>
        <v/>
      </c>
      <c r="D1833" t="str">
        <f t="shared" si="141"/>
        <v/>
      </c>
      <c r="E1833" t="str">
        <f t="shared" si="142"/>
        <v/>
      </c>
      <c r="F1833" t="str">
        <f>IF(D1833="","",INDEX(Knutepunkter!$B:$B,D1833+1))</f>
        <v/>
      </c>
      <c r="G1833" t="str">
        <f>IF(D1833="","",INDEX(Knutepunkter!$C:$C,D1833+1))</f>
        <v/>
      </c>
      <c r="H1833" t="str">
        <f>IF(D1833="","",INDEX(Knutepunkter!$D:$D,D1833+1))</f>
        <v/>
      </c>
      <c r="I1833" t="str">
        <f>IF(E1833="","",INDEX(Knutepunkter!$B:$B,E1833+1))</f>
        <v/>
      </c>
      <c r="J1833" t="str">
        <f>IF(E1833="","",INDEX(Knutepunkter!$C:$C,E1833+1))</f>
        <v/>
      </c>
      <c r="K1833" t="str">
        <f>IF(E1833="","",INDEX(Knutepunkter!$D:$D,E1833+1))</f>
        <v/>
      </c>
      <c r="L1833" t="str">
        <f t="shared" si="143"/>
        <v/>
      </c>
      <c r="M1833" t="str">
        <f t="shared" si="144"/>
        <v/>
      </c>
    </row>
    <row r="1834" spans="1:13" x14ac:dyDescent="0.3">
      <c r="A1834" t="str">
        <f>Segmenter!A1834</f>
        <v/>
      </c>
      <c r="B1834" t="str">
        <f>Segmenter!B1834</f>
        <v/>
      </c>
      <c r="C1834" t="str">
        <f t="shared" si="140"/>
        <v/>
      </c>
      <c r="D1834" t="str">
        <f t="shared" si="141"/>
        <v/>
      </c>
      <c r="E1834" t="str">
        <f t="shared" si="142"/>
        <v/>
      </c>
      <c r="F1834" t="str">
        <f>IF(D1834="","",INDEX(Knutepunkter!$B:$B,D1834+1))</f>
        <v/>
      </c>
      <c r="G1834" t="str">
        <f>IF(D1834="","",INDEX(Knutepunkter!$C:$C,D1834+1))</f>
        <v/>
      </c>
      <c r="H1834" t="str">
        <f>IF(D1834="","",INDEX(Knutepunkter!$D:$D,D1834+1))</f>
        <v/>
      </c>
      <c r="I1834" t="str">
        <f>IF(E1834="","",INDEX(Knutepunkter!$B:$B,E1834+1))</f>
        <v/>
      </c>
      <c r="J1834" t="str">
        <f>IF(E1834="","",INDEX(Knutepunkter!$C:$C,E1834+1))</f>
        <v/>
      </c>
      <c r="K1834" t="str">
        <f>IF(E1834="","",INDEX(Knutepunkter!$D:$D,E1834+1))</f>
        <v/>
      </c>
      <c r="L1834" t="str">
        <f t="shared" si="143"/>
        <v/>
      </c>
      <c r="M1834" t="str">
        <f t="shared" si="144"/>
        <v/>
      </c>
    </row>
    <row r="1835" spans="1:13" x14ac:dyDescent="0.3">
      <c r="A1835" t="str">
        <f>Segmenter!A1835</f>
        <v/>
      </c>
      <c r="B1835" t="str">
        <f>Segmenter!B1835</f>
        <v/>
      </c>
      <c r="C1835" t="str">
        <f t="shared" si="140"/>
        <v/>
      </c>
      <c r="D1835" t="str">
        <f t="shared" si="141"/>
        <v/>
      </c>
      <c r="E1835" t="str">
        <f t="shared" si="142"/>
        <v/>
      </c>
      <c r="F1835" t="str">
        <f>IF(D1835="","",INDEX(Knutepunkter!$B:$B,D1835+1))</f>
        <v/>
      </c>
      <c r="G1835" t="str">
        <f>IF(D1835="","",INDEX(Knutepunkter!$C:$C,D1835+1))</f>
        <v/>
      </c>
      <c r="H1835" t="str">
        <f>IF(D1835="","",INDEX(Knutepunkter!$D:$D,D1835+1))</f>
        <v/>
      </c>
      <c r="I1835" t="str">
        <f>IF(E1835="","",INDEX(Knutepunkter!$B:$B,E1835+1))</f>
        <v/>
      </c>
      <c r="J1835" t="str">
        <f>IF(E1835="","",INDEX(Knutepunkter!$C:$C,E1835+1))</f>
        <v/>
      </c>
      <c r="K1835" t="str">
        <f>IF(E1835="","",INDEX(Knutepunkter!$D:$D,E1835+1))</f>
        <v/>
      </c>
      <c r="L1835" t="str">
        <f t="shared" si="143"/>
        <v/>
      </c>
      <c r="M1835" t="str">
        <f t="shared" si="144"/>
        <v/>
      </c>
    </row>
    <row r="1836" spans="1:13" x14ac:dyDescent="0.3">
      <c r="A1836" t="str">
        <f>Segmenter!A1836</f>
        <v/>
      </c>
      <c r="B1836" t="str">
        <f>Segmenter!B1836</f>
        <v/>
      </c>
      <c r="C1836" t="str">
        <f t="shared" si="140"/>
        <v/>
      </c>
      <c r="D1836" t="str">
        <f t="shared" si="141"/>
        <v/>
      </c>
      <c r="E1836" t="str">
        <f t="shared" si="142"/>
        <v/>
      </c>
      <c r="F1836" t="str">
        <f>IF(D1836="","",INDEX(Knutepunkter!$B:$B,D1836+1))</f>
        <v/>
      </c>
      <c r="G1836" t="str">
        <f>IF(D1836="","",INDEX(Knutepunkter!$C:$C,D1836+1))</f>
        <v/>
      </c>
      <c r="H1836" t="str">
        <f>IF(D1836="","",INDEX(Knutepunkter!$D:$D,D1836+1))</f>
        <v/>
      </c>
      <c r="I1836" t="str">
        <f>IF(E1836="","",INDEX(Knutepunkter!$B:$B,E1836+1))</f>
        <v/>
      </c>
      <c r="J1836" t="str">
        <f>IF(E1836="","",INDEX(Knutepunkter!$C:$C,E1836+1))</f>
        <v/>
      </c>
      <c r="K1836" t="str">
        <f>IF(E1836="","",INDEX(Knutepunkter!$D:$D,E1836+1))</f>
        <v/>
      </c>
      <c r="L1836" t="str">
        <f t="shared" si="143"/>
        <v/>
      </c>
      <c r="M1836" t="str">
        <f t="shared" si="144"/>
        <v/>
      </c>
    </row>
    <row r="1837" spans="1:13" x14ac:dyDescent="0.3">
      <c r="A1837" t="str">
        <f>Segmenter!A1837</f>
        <v/>
      </c>
      <c r="B1837" t="str">
        <f>Segmenter!B1837</f>
        <v/>
      </c>
      <c r="C1837" t="str">
        <f t="shared" si="140"/>
        <v/>
      </c>
      <c r="D1837" t="str">
        <f t="shared" si="141"/>
        <v/>
      </c>
      <c r="E1837" t="str">
        <f t="shared" si="142"/>
        <v/>
      </c>
      <c r="F1837" t="str">
        <f>IF(D1837="","",INDEX(Knutepunkter!$B:$B,D1837+1))</f>
        <v/>
      </c>
      <c r="G1837" t="str">
        <f>IF(D1837="","",INDEX(Knutepunkter!$C:$C,D1837+1))</f>
        <v/>
      </c>
      <c r="H1837" t="str">
        <f>IF(D1837="","",INDEX(Knutepunkter!$D:$D,D1837+1))</f>
        <v/>
      </c>
      <c r="I1837" t="str">
        <f>IF(E1837="","",INDEX(Knutepunkter!$B:$B,E1837+1))</f>
        <v/>
      </c>
      <c r="J1837" t="str">
        <f>IF(E1837="","",INDEX(Knutepunkter!$C:$C,E1837+1))</f>
        <v/>
      </c>
      <c r="K1837" t="str">
        <f>IF(E1837="","",INDEX(Knutepunkter!$D:$D,E1837+1))</f>
        <v/>
      </c>
      <c r="L1837" t="str">
        <f t="shared" si="143"/>
        <v/>
      </c>
      <c r="M1837" t="str">
        <f t="shared" si="144"/>
        <v/>
      </c>
    </row>
    <row r="1838" spans="1:13" x14ac:dyDescent="0.3">
      <c r="A1838" t="str">
        <f>Segmenter!A1838</f>
        <v/>
      </c>
      <c r="B1838" t="str">
        <f>Segmenter!B1838</f>
        <v/>
      </c>
      <c r="C1838" t="str">
        <f t="shared" si="140"/>
        <v/>
      </c>
      <c r="D1838" t="str">
        <f t="shared" si="141"/>
        <v/>
      </c>
      <c r="E1838" t="str">
        <f t="shared" si="142"/>
        <v/>
      </c>
      <c r="F1838" t="str">
        <f>IF(D1838="","",INDEX(Knutepunkter!$B:$B,D1838+1))</f>
        <v/>
      </c>
      <c r="G1838" t="str">
        <f>IF(D1838="","",INDEX(Knutepunkter!$C:$C,D1838+1))</f>
        <v/>
      </c>
      <c r="H1838" t="str">
        <f>IF(D1838="","",INDEX(Knutepunkter!$D:$D,D1838+1))</f>
        <v/>
      </c>
      <c r="I1838" t="str">
        <f>IF(E1838="","",INDEX(Knutepunkter!$B:$B,E1838+1))</f>
        <v/>
      </c>
      <c r="J1838" t="str">
        <f>IF(E1838="","",INDEX(Knutepunkter!$C:$C,E1838+1))</f>
        <v/>
      </c>
      <c r="K1838" t="str">
        <f>IF(E1838="","",INDEX(Knutepunkter!$D:$D,E1838+1))</f>
        <v/>
      </c>
      <c r="L1838" t="str">
        <f t="shared" si="143"/>
        <v/>
      </c>
      <c r="M1838" t="str">
        <f t="shared" si="144"/>
        <v/>
      </c>
    </row>
    <row r="1839" spans="1:13" x14ac:dyDescent="0.3">
      <c r="A1839" t="str">
        <f>Segmenter!A1839</f>
        <v/>
      </c>
      <c r="B1839" t="str">
        <f>Segmenter!B1839</f>
        <v/>
      </c>
      <c r="C1839" t="str">
        <f t="shared" si="140"/>
        <v/>
      </c>
      <c r="D1839" t="str">
        <f t="shared" si="141"/>
        <v/>
      </c>
      <c r="E1839" t="str">
        <f t="shared" si="142"/>
        <v/>
      </c>
      <c r="F1839" t="str">
        <f>IF(D1839="","",INDEX(Knutepunkter!$B:$B,D1839+1))</f>
        <v/>
      </c>
      <c r="G1839" t="str">
        <f>IF(D1839="","",INDEX(Knutepunkter!$C:$C,D1839+1))</f>
        <v/>
      </c>
      <c r="H1839" t="str">
        <f>IF(D1839="","",INDEX(Knutepunkter!$D:$D,D1839+1))</f>
        <v/>
      </c>
      <c r="I1839" t="str">
        <f>IF(E1839="","",INDEX(Knutepunkter!$B:$B,E1839+1))</f>
        <v/>
      </c>
      <c r="J1839" t="str">
        <f>IF(E1839="","",INDEX(Knutepunkter!$C:$C,E1839+1))</f>
        <v/>
      </c>
      <c r="K1839" t="str">
        <f>IF(E1839="","",INDEX(Knutepunkter!$D:$D,E1839+1))</f>
        <v/>
      </c>
      <c r="L1839" t="str">
        <f t="shared" si="143"/>
        <v/>
      </c>
      <c r="M1839" t="str">
        <f t="shared" si="144"/>
        <v/>
      </c>
    </row>
    <row r="1840" spans="1:13" x14ac:dyDescent="0.3">
      <c r="A1840" t="str">
        <f>Segmenter!A1840</f>
        <v/>
      </c>
      <c r="B1840" t="str">
        <f>Segmenter!B1840</f>
        <v/>
      </c>
      <c r="C1840" t="str">
        <f t="shared" si="140"/>
        <v/>
      </c>
      <c r="D1840" t="str">
        <f t="shared" si="141"/>
        <v/>
      </c>
      <c r="E1840" t="str">
        <f t="shared" si="142"/>
        <v/>
      </c>
      <c r="F1840" t="str">
        <f>IF(D1840="","",INDEX(Knutepunkter!$B:$B,D1840+1))</f>
        <v/>
      </c>
      <c r="G1840" t="str">
        <f>IF(D1840="","",INDEX(Knutepunkter!$C:$C,D1840+1))</f>
        <v/>
      </c>
      <c r="H1840" t="str">
        <f>IF(D1840="","",INDEX(Knutepunkter!$D:$D,D1840+1))</f>
        <v/>
      </c>
      <c r="I1840" t="str">
        <f>IF(E1840="","",INDEX(Knutepunkter!$B:$B,E1840+1))</f>
        <v/>
      </c>
      <c r="J1840" t="str">
        <f>IF(E1840="","",INDEX(Knutepunkter!$C:$C,E1840+1))</f>
        <v/>
      </c>
      <c r="K1840" t="str">
        <f>IF(E1840="","",INDEX(Knutepunkter!$D:$D,E1840+1))</f>
        <v/>
      </c>
      <c r="L1840" t="str">
        <f t="shared" si="143"/>
        <v/>
      </c>
      <c r="M1840" t="str">
        <f t="shared" si="144"/>
        <v/>
      </c>
    </row>
    <row r="1841" spans="1:13" x14ac:dyDescent="0.3">
      <c r="A1841" t="str">
        <f>Segmenter!A1841</f>
        <v/>
      </c>
      <c r="B1841" t="str">
        <f>Segmenter!B1841</f>
        <v/>
      </c>
      <c r="C1841" t="str">
        <f t="shared" si="140"/>
        <v/>
      </c>
      <c r="D1841" t="str">
        <f t="shared" si="141"/>
        <v/>
      </c>
      <c r="E1841" t="str">
        <f t="shared" si="142"/>
        <v/>
      </c>
      <c r="F1841" t="str">
        <f>IF(D1841="","",INDEX(Knutepunkter!$B:$B,D1841+1))</f>
        <v/>
      </c>
      <c r="G1841" t="str">
        <f>IF(D1841="","",INDEX(Knutepunkter!$C:$C,D1841+1))</f>
        <v/>
      </c>
      <c r="H1841" t="str">
        <f>IF(D1841="","",INDEX(Knutepunkter!$D:$D,D1841+1))</f>
        <v/>
      </c>
      <c r="I1841" t="str">
        <f>IF(E1841="","",INDEX(Knutepunkter!$B:$B,E1841+1))</f>
        <v/>
      </c>
      <c r="J1841" t="str">
        <f>IF(E1841="","",INDEX(Knutepunkter!$C:$C,E1841+1))</f>
        <v/>
      </c>
      <c r="K1841" t="str">
        <f>IF(E1841="","",INDEX(Knutepunkter!$D:$D,E1841+1))</f>
        <v/>
      </c>
      <c r="L1841" t="str">
        <f t="shared" si="143"/>
        <v/>
      </c>
      <c r="M1841" t="str">
        <f t="shared" si="144"/>
        <v/>
      </c>
    </row>
    <row r="1842" spans="1:13" x14ac:dyDescent="0.3">
      <c r="A1842" t="str">
        <f>Segmenter!A1842</f>
        <v/>
      </c>
      <c r="B1842" t="str">
        <f>Segmenter!B1842</f>
        <v/>
      </c>
      <c r="C1842" t="str">
        <f t="shared" si="140"/>
        <v/>
      </c>
      <c r="D1842" t="str">
        <f t="shared" si="141"/>
        <v/>
      </c>
      <c r="E1842" t="str">
        <f t="shared" si="142"/>
        <v/>
      </c>
      <c r="F1842" t="str">
        <f>IF(D1842="","",INDEX(Knutepunkter!$B:$B,D1842+1))</f>
        <v/>
      </c>
      <c r="G1842" t="str">
        <f>IF(D1842="","",INDEX(Knutepunkter!$C:$C,D1842+1))</f>
        <v/>
      </c>
      <c r="H1842" t="str">
        <f>IF(D1842="","",INDEX(Knutepunkter!$D:$D,D1842+1))</f>
        <v/>
      </c>
      <c r="I1842" t="str">
        <f>IF(E1842="","",INDEX(Knutepunkter!$B:$B,E1842+1))</f>
        <v/>
      </c>
      <c r="J1842" t="str">
        <f>IF(E1842="","",INDEX(Knutepunkter!$C:$C,E1842+1))</f>
        <v/>
      </c>
      <c r="K1842" t="str">
        <f>IF(E1842="","",INDEX(Knutepunkter!$D:$D,E1842+1))</f>
        <v/>
      </c>
      <c r="L1842" t="str">
        <f t="shared" si="143"/>
        <v/>
      </c>
      <c r="M1842" t="str">
        <f t="shared" si="144"/>
        <v/>
      </c>
    </row>
    <row r="1843" spans="1:13" x14ac:dyDescent="0.3">
      <c r="A1843" t="str">
        <f>Segmenter!A1843</f>
        <v/>
      </c>
      <c r="B1843" t="str">
        <f>Segmenter!B1843</f>
        <v/>
      </c>
      <c r="C1843" t="str">
        <f t="shared" si="140"/>
        <v/>
      </c>
      <c r="D1843" t="str">
        <f t="shared" si="141"/>
        <v/>
      </c>
      <c r="E1843" t="str">
        <f t="shared" si="142"/>
        <v/>
      </c>
      <c r="F1843" t="str">
        <f>IF(D1843="","",INDEX(Knutepunkter!$B:$B,D1843+1))</f>
        <v/>
      </c>
      <c r="G1843" t="str">
        <f>IF(D1843="","",INDEX(Knutepunkter!$C:$C,D1843+1))</f>
        <v/>
      </c>
      <c r="H1843" t="str">
        <f>IF(D1843="","",INDEX(Knutepunkter!$D:$D,D1843+1))</f>
        <v/>
      </c>
      <c r="I1843" t="str">
        <f>IF(E1843="","",INDEX(Knutepunkter!$B:$B,E1843+1))</f>
        <v/>
      </c>
      <c r="J1843" t="str">
        <f>IF(E1843="","",INDEX(Knutepunkter!$C:$C,E1843+1))</f>
        <v/>
      </c>
      <c r="K1843" t="str">
        <f>IF(E1843="","",INDEX(Knutepunkter!$D:$D,E1843+1))</f>
        <v/>
      </c>
      <c r="L1843" t="str">
        <f t="shared" si="143"/>
        <v/>
      </c>
      <c r="M1843" t="str">
        <f t="shared" si="144"/>
        <v/>
      </c>
    </row>
    <row r="1844" spans="1:13" x14ac:dyDescent="0.3">
      <c r="A1844" t="str">
        <f>Segmenter!A1844</f>
        <v/>
      </c>
      <c r="B1844" t="str">
        <f>Segmenter!B1844</f>
        <v/>
      </c>
      <c r="C1844" t="str">
        <f t="shared" si="140"/>
        <v/>
      </c>
      <c r="D1844" t="str">
        <f t="shared" si="141"/>
        <v/>
      </c>
      <c r="E1844" t="str">
        <f t="shared" si="142"/>
        <v/>
      </c>
      <c r="F1844" t="str">
        <f>IF(D1844="","",INDEX(Knutepunkter!$B:$B,D1844+1))</f>
        <v/>
      </c>
      <c r="G1844" t="str">
        <f>IF(D1844="","",INDEX(Knutepunkter!$C:$C,D1844+1))</f>
        <v/>
      </c>
      <c r="H1844" t="str">
        <f>IF(D1844="","",INDEX(Knutepunkter!$D:$D,D1844+1))</f>
        <v/>
      </c>
      <c r="I1844" t="str">
        <f>IF(E1844="","",INDEX(Knutepunkter!$B:$B,E1844+1))</f>
        <v/>
      </c>
      <c r="J1844" t="str">
        <f>IF(E1844="","",INDEX(Knutepunkter!$C:$C,E1844+1))</f>
        <v/>
      </c>
      <c r="K1844" t="str">
        <f>IF(E1844="","",INDEX(Knutepunkter!$D:$D,E1844+1))</f>
        <v/>
      </c>
      <c r="L1844" t="str">
        <f t="shared" si="143"/>
        <v/>
      </c>
      <c r="M1844" t="str">
        <f t="shared" si="144"/>
        <v/>
      </c>
    </row>
    <row r="1845" spans="1:13" x14ac:dyDescent="0.3">
      <c r="A1845" t="str">
        <f>Segmenter!A1845</f>
        <v/>
      </c>
      <c r="B1845" t="str">
        <f>Segmenter!B1845</f>
        <v/>
      </c>
      <c r="C1845" t="str">
        <f t="shared" si="140"/>
        <v/>
      </c>
      <c r="D1845" t="str">
        <f t="shared" si="141"/>
        <v/>
      </c>
      <c r="E1845" t="str">
        <f t="shared" si="142"/>
        <v/>
      </c>
      <c r="F1845" t="str">
        <f>IF(D1845="","",INDEX(Knutepunkter!$B:$B,D1845+1))</f>
        <v/>
      </c>
      <c r="G1845" t="str">
        <f>IF(D1845="","",INDEX(Knutepunkter!$C:$C,D1845+1))</f>
        <v/>
      </c>
      <c r="H1845" t="str">
        <f>IF(D1845="","",INDEX(Knutepunkter!$D:$D,D1845+1))</f>
        <v/>
      </c>
      <c r="I1845" t="str">
        <f>IF(E1845="","",INDEX(Knutepunkter!$B:$B,E1845+1))</f>
        <v/>
      </c>
      <c r="J1845" t="str">
        <f>IF(E1845="","",INDEX(Knutepunkter!$C:$C,E1845+1))</f>
        <v/>
      </c>
      <c r="K1845" t="str">
        <f>IF(E1845="","",INDEX(Knutepunkter!$D:$D,E1845+1))</f>
        <v/>
      </c>
      <c r="L1845" t="str">
        <f t="shared" si="143"/>
        <v/>
      </c>
      <c r="M1845" t="str">
        <f t="shared" si="144"/>
        <v/>
      </c>
    </row>
    <row r="1846" spans="1:13" x14ac:dyDescent="0.3">
      <c r="A1846" t="str">
        <f>Segmenter!A1846</f>
        <v/>
      </c>
      <c r="B1846" t="str">
        <f>Segmenter!B1846</f>
        <v/>
      </c>
      <c r="C1846" t="str">
        <f t="shared" si="140"/>
        <v/>
      </c>
      <c r="D1846" t="str">
        <f t="shared" si="141"/>
        <v/>
      </c>
      <c r="E1846" t="str">
        <f t="shared" si="142"/>
        <v/>
      </c>
      <c r="F1846" t="str">
        <f>IF(D1846="","",INDEX(Knutepunkter!$B:$B,D1846+1))</f>
        <v/>
      </c>
      <c r="G1846" t="str">
        <f>IF(D1846="","",INDEX(Knutepunkter!$C:$C,D1846+1))</f>
        <v/>
      </c>
      <c r="H1846" t="str">
        <f>IF(D1846="","",INDEX(Knutepunkter!$D:$D,D1846+1))</f>
        <v/>
      </c>
      <c r="I1846" t="str">
        <f>IF(E1846="","",INDEX(Knutepunkter!$B:$B,E1846+1))</f>
        <v/>
      </c>
      <c r="J1846" t="str">
        <f>IF(E1846="","",INDEX(Knutepunkter!$C:$C,E1846+1))</f>
        <v/>
      </c>
      <c r="K1846" t="str">
        <f>IF(E1846="","",INDEX(Knutepunkter!$D:$D,E1846+1))</f>
        <v/>
      </c>
      <c r="L1846" t="str">
        <f t="shared" si="143"/>
        <v/>
      </c>
      <c r="M1846" t="str">
        <f t="shared" si="144"/>
        <v/>
      </c>
    </row>
    <row r="1847" spans="1:13" x14ac:dyDescent="0.3">
      <c r="A1847" t="str">
        <f>Segmenter!A1847</f>
        <v/>
      </c>
      <c r="B1847" t="str">
        <f>Segmenter!B1847</f>
        <v/>
      </c>
      <c r="C1847" t="str">
        <f t="shared" si="140"/>
        <v/>
      </c>
      <c r="D1847" t="str">
        <f t="shared" si="141"/>
        <v/>
      </c>
      <c r="E1847" t="str">
        <f t="shared" si="142"/>
        <v/>
      </c>
      <c r="F1847" t="str">
        <f>IF(D1847="","",INDEX(Knutepunkter!$B:$B,D1847+1))</f>
        <v/>
      </c>
      <c r="G1847" t="str">
        <f>IF(D1847="","",INDEX(Knutepunkter!$C:$C,D1847+1))</f>
        <v/>
      </c>
      <c r="H1847" t="str">
        <f>IF(D1847="","",INDEX(Knutepunkter!$D:$D,D1847+1))</f>
        <v/>
      </c>
      <c r="I1847" t="str">
        <f>IF(E1847="","",INDEX(Knutepunkter!$B:$B,E1847+1))</f>
        <v/>
      </c>
      <c r="J1847" t="str">
        <f>IF(E1847="","",INDEX(Knutepunkter!$C:$C,E1847+1))</f>
        <v/>
      </c>
      <c r="K1847" t="str">
        <f>IF(E1847="","",INDEX(Knutepunkter!$D:$D,E1847+1))</f>
        <v/>
      </c>
      <c r="L1847" t="str">
        <f t="shared" si="143"/>
        <v/>
      </c>
      <c r="M1847" t="str">
        <f t="shared" si="144"/>
        <v/>
      </c>
    </row>
    <row r="1848" spans="1:13" x14ac:dyDescent="0.3">
      <c r="A1848" t="str">
        <f>Segmenter!A1848</f>
        <v/>
      </c>
      <c r="B1848" t="str">
        <f>Segmenter!B1848</f>
        <v/>
      </c>
      <c r="C1848" t="str">
        <f t="shared" si="140"/>
        <v/>
      </c>
      <c r="D1848" t="str">
        <f t="shared" si="141"/>
        <v/>
      </c>
      <c r="E1848" t="str">
        <f t="shared" si="142"/>
        <v/>
      </c>
      <c r="F1848" t="str">
        <f>IF(D1848="","",INDEX(Knutepunkter!$B:$B,D1848+1))</f>
        <v/>
      </c>
      <c r="G1848" t="str">
        <f>IF(D1848="","",INDEX(Knutepunkter!$C:$C,D1848+1))</f>
        <v/>
      </c>
      <c r="H1848" t="str">
        <f>IF(D1848="","",INDEX(Knutepunkter!$D:$D,D1848+1))</f>
        <v/>
      </c>
      <c r="I1848" t="str">
        <f>IF(E1848="","",INDEX(Knutepunkter!$B:$B,E1848+1))</f>
        <v/>
      </c>
      <c r="J1848" t="str">
        <f>IF(E1848="","",INDEX(Knutepunkter!$C:$C,E1848+1))</f>
        <v/>
      </c>
      <c r="K1848" t="str">
        <f>IF(E1848="","",INDEX(Knutepunkter!$D:$D,E1848+1))</f>
        <v/>
      </c>
      <c r="L1848" t="str">
        <f t="shared" si="143"/>
        <v/>
      </c>
      <c r="M1848" t="str">
        <f t="shared" si="144"/>
        <v/>
      </c>
    </row>
    <row r="1849" spans="1:13" x14ac:dyDescent="0.3">
      <c r="A1849" t="str">
        <f>Segmenter!A1849</f>
        <v/>
      </c>
      <c r="B1849" t="str">
        <f>Segmenter!B1849</f>
        <v/>
      </c>
      <c r="C1849" t="str">
        <f t="shared" si="140"/>
        <v/>
      </c>
      <c r="D1849" t="str">
        <f t="shared" si="141"/>
        <v/>
      </c>
      <c r="E1849" t="str">
        <f t="shared" si="142"/>
        <v/>
      </c>
      <c r="F1849" t="str">
        <f>IF(D1849="","",INDEX(Knutepunkter!$B:$B,D1849+1))</f>
        <v/>
      </c>
      <c r="G1849" t="str">
        <f>IF(D1849="","",INDEX(Knutepunkter!$C:$C,D1849+1))</f>
        <v/>
      </c>
      <c r="H1849" t="str">
        <f>IF(D1849="","",INDEX(Knutepunkter!$D:$D,D1849+1))</f>
        <v/>
      </c>
      <c r="I1849" t="str">
        <f>IF(E1849="","",INDEX(Knutepunkter!$B:$B,E1849+1))</f>
        <v/>
      </c>
      <c r="J1849" t="str">
        <f>IF(E1849="","",INDEX(Knutepunkter!$C:$C,E1849+1))</f>
        <v/>
      </c>
      <c r="K1849" t="str">
        <f>IF(E1849="","",INDEX(Knutepunkter!$D:$D,E1849+1))</f>
        <v/>
      </c>
      <c r="L1849" t="str">
        <f t="shared" si="143"/>
        <v/>
      </c>
      <c r="M1849" t="str">
        <f t="shared" si="144"/>
        <v/>
      </c>
    </row>
    <row r="1850" spans="1:13" x14ac:dyDescent="0.3">
      <c r="A1850" t="str">
        <f>Segmenter!A1850</f>
        <v/>
      </c>
      <c r="B1850" t="str">
        <f>Segmenter!B1850</f>
        <v/>
      </c>
      <c r="C1850" t="str">
        <f t="shared" si="140"/>
        <v/>
      </c>
      <c r="D1850" t="str">
        <f t="shared" si="141"/>
        <v/>
      </c>
      <c r="E1850" t="str">
        <f t="shared" si="142"/>
        <v/>
      </c>
      <c r="F1850" t="str">
        <f>IF(D1850="","",INDEX(Knutepunkter!$B:$B,D1850+1))</f>
        <v/>
      </c>
      <c r="G1850" t="str">
        <f>IF(D1850="","",INDEX(Knutepunkter!$C:$C,D1850+1))</f>
        <v/>
      </c>
      <c r="H1850" t="str">
        <f>IF(D1850="","",INDEX(Knutepunkter!$D:$D,D1850+1))</f>
        <v/>
      </c>
      <c r="I1850" t="str">
        <f>IF(E1850="","",INDEX(Knutepunkter!$B:$B,E1850+1))</f>
        <v/>
      </c>
      <c r="J1850" t="str">
        <f>IF(E1850="","",INDEX(Knutepunkter!$C:$C,E1850+1))</f>
        <v/>
      </c>
      <c r="K1850" t="str">
        <f>IF(E1850="","",INDEX(Knutepunkter!$D:$D,E1850+1))</f>
        <v/>
      </c>
      <c r="L1850" t="str">
        <f t="shared" si="143"/>
        <v/>
      </c>
      <c r="M1850" t="str">
        <f t="shared" si="144"/>
        <v/>
      </c>
    </row>
    <row r="1851" spans="1:13" x14ac:dyDescent="0.3">
      <c r="A1851" t="str">
        <f>Segmenter!A1851</f>
        <v/>
      </c>
      <c r="B1851" t="str">
        <f>Segmenter!B1851</f>
        <v/>
      </c>
      <c r="C1851" t="str">
        <f t="shared" si="140"/>
        <v/>
      </c>
      <c r="D1851" t="str">
        <f t="shared" si="141"/>
        <v/>
      </c>
      <c r="E1851" t="str">
        <f t="shared" si="142"/>
        <v/>
      </c>
      <c r="F1851" t="str">
        <f>IF(D1851="","",INDEX(Knutepunkter!$B:$B,D1851+1))</f>
        <v/>
      </c>
      <c r="G1851" t="str">
        <f>IF(D1851="","",INDEX(Knutepunkter!$C:$C,D1851+1))</f>
        <v/>
      </c>
      <c r="H1851" t="str">
        <f>IF(D1851="","",INDEX(Knutepunkter!$D:$D,D1851+1))</f>
        <v/>
      </c>
      <c r="I1851" t="str">
        <f>IF(E1851="","",INDEX(Knutepunkter!$B:$B,E1851+1))</f>
        <v/>
      </c>
      <c r="J1851" t="str">
        <f>IF(E1851="","",INDEX(Knutepunkter!$C:$C,E1851+1))</f>
        <v/>
      </c>
      <c r="K1851" t="str">
        <f>IF(E1851="","",INDEX(Knutepunkter!$D:$D,E1851+1))</f>
        <v/>
      </c>
      <c r="L1851" t="str">
        <f t="shared" si="143"/>
        <v/>
      </c>
      <c r="M1851" t="str">
        <f t="shared" si="144"/>
        <v/>
      </c>
    </row>
    <row r="1852" spans="1:13" x14ac:dyDescent="0.3">
      <c r="A1852" t="str">
        <f>Segmenter!A1852</f>
        <v/>
      </c>
      <c r="B1852" t="str">
        <f>Segmenter!B1852</f>
        <v/>
      </c>
      <c r="C1852" t="str">
        <f t="shared" si="140"/>
        <v/>
      </c>
      <c r="D1852" t="str">
        <f t="shared" si="141"/>
        <v/>
      </c>
      <c r="E1852" t="str">
        <f t="shared" si="142"/>
        <v/>
      </c>
      <c r="F1852" t="str">
        <f>IF(D1852="","",INDEX(Knutepunkter!$B:$B,D1852+1))</f>
        <v/>
      </c>
      <c r="G1852" t="str">
        <f>IF(D1852="","",INDEX(Knutepunkter!$C:$C,D1852+1))</f>
        <v/>
      </c>
      <c r="H1852" t="str">
        <f>IF(D1852="","",INDEX(Knutepunkter!$D:$D,D1852+1))</f>
        <v/>
      </c>
      <c r="I1852" t="str">
        <f>IF(E1852="","",INDEX(Knutepunkter!$B:$B,E1852+1))</f>
        <v/>
      </c>
      <c r="J1852" t="str">
        <f>IF(E1852="","",INDEX(Knutepunkter!$C:$C,E1852+1))</f>
        <v/>
      </c>
      <c r="K1852" t="str">
        <f>IF(E1852="","",INDEX(Knutepunkter!$D:$D,E1852+1))</f>
        <v/>
      </c>
      <c r="L1852" t="str">
        <f t="shared" si="143"/>
        <v/>
      </c>
      <c r="M1852" t="str">
        <f t="shared" si="144"/>
        <v/>
      </c>
    </row>
    <row r="1853" spans="1:13" x14ac:dyDescent="0.3">
      <c r="A1853" t="str">
        <f>Segmenter!A1853</f>
        <v/>
      </c>
      <c r="B1853" t="str">
        <f>Segmenter!B1853</f>
        <v/>
      </c>
      <c r="C1853" t="str">
        <f t="shared" si="140"/>
        <v/>
      </c>
      <c r="D1853" t="str">
        <f t="shared" si="141"/>
        <v/>
      </c>
      <c r="E1853" t="str">
        <f t="shared" si="142"/>
        <v/>
      </c>
      <c r="F1853" t="str">
        <f>IF(D1853="","",INDEX(Knutepunkter!$B:$B,D1853+1))</f>
        <v/>
      </c>
      <c r="G1853" t="str">
        <f>IF(D1853="","",INDEX(Knutepunkter!$C:$C,D1853+1))</f>
        <v/>
      </c>
      <c r="H1853" t="str">
        <f>IF(D1853="","",INDEX(Knutepunkter!$D:$D,D1853+1))</f>
        <v/>
      </c>
      <c r="I1853" t="str">
        <f>IF(E1853="","",INDEX(Knutepunkter!$B:$B,E1853+1))</f>
        <v/>
      </c>
      <c r="J1853" t="str">
        <f>IF(E1853="","",INDEX(Knutepunkter!$C:$C,E1853+1))</f>
        <v/>
      </c>
      <c r="K1853" t="str">
        <f>IF(E1853="","",INDEX(Knutepunkter!$D:$D,E1853+1))</f>
        <v/>
      </c>
      <c r="L1853" t="str">
        <f t="shared" si="143"/>
        <v/>
      </c>
      <c r="M1853" t="str">
        <f t="shared" si="144"/>
        <v/>
      </c>
    </row>
    <row r="1854" spans="1:13" x14ac:dyDescent="0.3">
      <c r="A1854" t="str">
        <f>Segmenter!A1854</f>
        <v/>
      </c>
      <c r="B1854" t="str">
        <f>Segmenter!B1854</f>
        <v/>
      </c>
      <c r="C1854" t="str">
        <f t="shared" si="140"/>
        <v/>
      </c>
      <c r="D1854" t="str">
        <f t="shared" si="141"/>
        <v/>
      </c>
      <c r="E1854" t="str">
        <f t="shared" si="142"/>
        <v/>
      </c>
      <c r="F1854" t="str">
        <f>IF(D1854="","",INDEX(Knutepunkter!$B:$B,D1854+1))</f>
        <v/>
      </c>
      <c r="G1854" t="str">
        <f>IF(D1854="","",INDEX(Knutepunkter!$C:$C,D1854+1))</f>
        <v/>
      </c>
      <c r="H1854" t="str">
        <f>IF(D1854="","",INDEX(Knutepunkter!$D:$D,D1854+1))</f>
        <v/>
      </c>
      <c r="I1854" t="str">
        <f>IF(E1854="","",INDEX(Knutepunkter!$B:$B,E1854+1))</f>
        <v/>
      </c>
      <c r="J1854" t="str">
        <f>IF(E1854="","",INDEX(Knutepunkter!$C:$C,E1854+1))</f>
        <v/>
      </c>
      <c r="K1854" t="str">
        <f>IF(E1854="","",INDEX(Knutepunkter!$D:$D,E1854+1))</f>
        <v/>
      </c>
      <c r="L1854" t="str">
        <f t="shared" si="143"/>
        <v/>
      </c>
      <c r="M1854" t="str">
        <f t="shared" si="144"/>
        <v/>
      </c>
    </row>
    <row r="1855" spans="1:13" x14ac:dyDescent="0.3">
      <c r="A1855" t="str">
        <f>Segmenter!A1855</f>
        <v/>
      </c>
      <c r="B1855" t="str">
        <f>Segmenter!B1855</f>
        <v/>
      </c>
      <c r="C1855" t="str">
        <f t="shared" si="140"/>
        <v/>
      </c>
      <c r="D1855" t="str">
        <f t="shared" si="141"/>
        <v/>
      </c>
      <c r="E1855" t="str">
        <f t="shared" si="142"/>
        <v/>
      </c>
      <c r="F1855" t="str">
        <f>IF(D1855="","",INDEX(Knutepunkter!$B:$B,D1855+1))</f>
        <v/>
      </c>
      <c r="G1855" t="str">
        <f>IF(D1855="","",INDEX(Knutepunkter!$C:$C,D1855+1))</f>
        <v/>
      </c>
      <c r="H1855" t="str">
        <f>IF(D1855="","",INDEX(Knutepunkter!$D:$D,D1855+1))</f>
        <v/>
      </c>
      <c r="I1855" t="str">
        <f>IF(E1855="","",INDEX(Knutepunkter!$B:$B,E1855+1))</f>
        <v/>
      </c>
      <c r="J1855" t="str">
        <f>IF(E1855="","",INDEX(Knutepunkter!$C:$C,E1855+1))</f>
        <v/>
      </c>
      <c r="K1855" t="str">
        <f>IF(E1855="","",INDEX(Knutepunkter!$D:$D,E1855+1))</f>
        <v/>
      </c>
      <c r="L1855" t="str">
        <f t="shared" si="143"/>
        <v/>
      </c>
      <c r="M1855" t="str">
        <f t="shared" si="144"/>
        <v/>
      </c>
    </row>
    <row r="1856" spans="1:13" x14ac:dyDescent="0.3">
      <c r="A1856" t="str">
        <f>Segmenter!A1856</f>
        <v/>
      </c>
      <c r="B1856" t="str">
        <f>Segmenter!B1856</f>
        <v/>
      </c>
      <c r="C1856" t="str">
        <f t="shared" si="140"/>
        <v/>
      </c>
      <c r="D1856" t="str">
        <f t="shared" si="141"/>
        <v/>
      </c>
      <c r="E1856" t="str">
        <f t="shared" si="142"/>
        <v/>
      </c>
      <c r="F1856" t="str">
        <f>IF(D1856="","",INDEX(Knutepunkter!$B:$B,D1856+1))</f>
        <v/>
      </c>
      <c r="G1856" t="str">
        <f>IF(D1856="","",INDEX(Knutepunkter!$C:$C,D1856+1))</f>
        <v/>
      </c>
      <c r="H1856" t="str">
        <f>IF(D1856="","",INDEX(Knutepunkter!$D:$D,D1856+1))</f>
        <v/>
      </c>
      <c r="I1856" t="str">
        <f>IF(E1856="","",INDEX(Knutepunkter!$B:$B,E1856+1))</f>
        <v/>
      </c>
      <c r="J1856" t="str">
        <f>IF(E1856="","",INDEX(Knutepunkter!$C:$C,E1856+1))</f>
        <v/>
      </c>
      <c r="K1856" t="str">
        <f>IF(E1856="","",INDEX(Knutepunkter!$D:$D,E1856+1))</f>
        <v/>
      </c>
      <c r="L1856" t="str">
        <f t="shared" si="143"/>
        <v/>
      </c>
      <c r="M1856" t="str">
        <f t="shared" si="144"/>
        <v/>
      </c>
    </row>
    <row r="1857" spans="1:13" x14ac:dyDescent="0.3">
      <c r="A1857" t="str">
        <f>Segmenter!A1857</f>
        <v/>
      </c>
      <c r="B1857" t="str">
        <f>Segmenter!B1857</f>
        <v/>
      </c>
      <c r="C1857" t="str">
        <f t="shared" si="140"/>
        <v/>
      </c>
      <c r="D1857" t="str">
        <f t="shared" si="141"/>
        <v/>
      </c>
      <c r="E1857" t="str">
        <f t="shared" si="142"/>
        <v/>
      </c>
      <c r="F1857" t="str">
        <f>IF(D1857="","",INDEX(Knutepunkter!$B:$B,D1857+1))</f>
        <v/>
      </c>
      <c r="G1857" t="str">
        <f>IF(D1857="","",INDEX(Knutepunkter!$C:$C,D1857+1))</f>
        <v/>
      </c>
      <c r="H1857" t="str">
        <f>IF(D1857="","",INDEX(Knutepunkter!$D:$D,D1857+1))</f>
        <v/>
      </c>
      <c r="I1857" t="str">
        <f>IF(E1857="","",INDEX(Knutepunkter!$B:$B,E1857+1))</f>
        <v/>
      </c>
      <c r="J1857" t="str">
        <f>IF(E1857="","",INDEX(Knutepunkter!$C:$C,E1857+1))</f>
        <v/>
      </c>
      <c r="K1857" t="str">
        <f>IF(E1857="","",INDEX(Knutepunkter!$D:$D,E1857+1))</f>
        <v/>
      </c>
      <c r="L1857" t="str">
        <f t="shared" si="143"/>
        <v/>
      </c>
      <c r="M1857" t="str">
        <f t="shared" si="144"/>
        <v/>
      </c>
    </row>
    <row r="1858" spans="1:13" x14ac:dyDescent="0.3">
      <c r="A1858" t="str">
        <f>Segmenter!A1858</f>
        <v/>
      </c>
      <c r="B1858" t="str">
        <f>Segmenter!B1858</f>
        <v/>
      </c>
      <c r="C1858" t="str">
        <f t="shared" ref="C1858:C1921" si="145">IF(B1858="","",IF(AND(F1858=I1858,G1858=J1858,H1858&lt;&gt;K1858),"Søyle","Bjelke"))</f>
        <v/>
      </c>
      <c r="D1858" t="str">
        <f t="shared" ref="D1858:D1921" si="146">IF(B1858="","",VALUE(LEFT(B1858,FIND(" -&gt; ",B1858)-1)))</f>
        <v/>
      </c>
      <c r="E1858" t="str">
        <f t="shared" ref="E1858:E1921" si="147">IF(B1858="","",VALUE(MID(B1858,FIND(" -&gt; ",B1858)+4,99)))</f>
        <v/>
      </c>
      <c r="F1858" t="str">
        <f>IF(D1858="","",INDEX(Knutepunkter!$B:$B,D1858+1))</f>
        <v/>
      </c>
      <c r="G1858" t="str">
        <f>IF(D1858="","",INDEX(Knutepunkter!$C:$C,D1858+1))</f>
        <v/>
      </c>
      <c r="H1858" t="str">
        <f>IF(D1858="","",INDEX(Knutepunkter!$D:$D,D1858+1))</f>
        <v/>
      </c>
      <c r="I1858" t="str">
        <f>IF(E1858="","",INDEX(Knutepunkter!$B:$B,E1858+1))</f>
        <v/>
      </c>
      <c r="J1858" t="str">
        <f>IF(E1858="","",INDEX(Knutepunkter!$C:$C,E1858+1))</f>
        <v/>
      </c>
      <c r="K1858" t="str">
        <f>IF(E1858="","",INDEX(Knutepunkter!$D:$D,E1858+1))</f>
        <v/>
      </c>
      <c r="L1858" t="str">
        <f t="shared" ref="L1858:L1921" si="148">IF(B1858="","",SQRT((I1858-F1858)^2+(J1858-G1858)^2+(K1858-H1858)^2))</f>
        <v/>
      </c>
      <c r="M1858" t="str">
        <f t="shared" ref="M1858:M1921" si="149">IF(L1858="","",L1858/1000)</f>
        <v/>
      </c>
    </row>
    <row r="1859" spans="1:13" x14ac:dyDescent="0.3">
      <c r="A1859" t="str">
        <f>Segmenter!A1859</f>
        <v/>
      </c>
      <c r="B1859" t="str">
        <f>Segmenter!B1859</f>
        <v/>
      </c>
      <c r="C1859" t="str">
        <f t="shared" si="145"/>
        <v/>
      </c>
      <c r="D1859" t="str">
        <f t="shared" si="146"/>
        <v/>
      </c>
      <c r="E1859" t="str">
        <f t="shared" si="147"/>
        <v/>
      </c>
      <c r="F1859" t="str">
        <f>IF(D1859="","",INDEX(Knutepunkter!$B:$B,D1859+1))</f>
        <v/>
      </c>
      <c r="G1859" t="str">
        <f>IF(D1859="","",INDEX(Knutepunkter!$C:$C,D1859+1))</f>
        <v/>
      </c>
      <c r="H1859" t="str">
        <f>IF(D1859="","",INDEX(Knutepunkter!$D:$D,D1859+1))</f>
        <v/>
      </c>
      <c r="I1859" t="str">
        <f>IF(E1859="","",INDEX(Knutepunkter!$B:$B,E1859+1))</f>
        <v/>
      </c>
      <c r="J1859" t="str">
        <f>IF(E1859="","",INDEX(Knutepunkter!$C:$C,E1859+1))</f>
        <v/>
      </c>
      <c r="K1859" t="str">
        <f>IF(E1859="","",INDEX(Knutepunkter!$D:$D,E1859+1))</f>
        <v/>
      </c>
      <c r="L1859" t="str">
        <f t="shared" si="148"/>
        <v/>
      </c>
      <c r="M1859" t="str">
        <f t="shared" si="149"/>
        <v/>
      </c>
    </row>
    <row r="1860" spans="1:13" x14ac:dyDescent="0.3">
      <c r="A1860" t="str">
        <f>Segmenter!A1860</f>
        <v/>
      </c>
      <c r="B1860" t="str">
        <f>Segmenter!B1860</f>
        <v/>
      </c>
      <c r="C1860" t="str">
        <f t="shared" si="145"/>
        <v/>
      </c>
      <c r="D1860" t="str">
        <f t="shared" si="146"/>
        <v/>
      </c>
      <c r="E1860" t="str">
        <f t="shared" si="147"/>
        <v/>
      </c>
      <c r="F1860" t="str">
        <f>IF(D1860="","",INDEX(Knutepunkter!$B:$B,D1860+1))</f>
        <v/>
      </c>
      <c r="G1860" t="str">
        <f>IF(D1860="","",INDEX(Knutepunkter!$C:$C,D1860+1))</f>
        <v/>
      </c>
      <c r="H1860" t="str">
        <f>IF(D1860="","",INDEX(Knutepunkter!$D:$D,D1860+1))</f>
        <v/>
      </c>
      <c r="I1860" t="str">
        <f>IF(E1860="","",INDEX(Knutepunkter!$B:$B,E1860+1))</f>
        <v/>
      </c>
      <c r="J1860" t="str">
        <f>IF(E1860="","",INDEX(Knutepunkter!$C:$C,E1860+1))</f>
        <v/>
      </c>
      <c r="K1860" t="str">
        <f>IF(E1860="","",INDEX(Knutepunkter!$D:$D,E1860+1))</f>
        <v/>
      </c>
      <c r="L1860" t="str">
        <f t="shared" si="148"/>
        <v/>
      </c>
      <c r="M1860" t="str">
        <f t="shared" si="149"/>
        <v/>
      </c>
    </row>
    <row r="1861" spans="1:13" x14ac:dyDescent="0.3">
      <c r="A1861" t="str">
        <f>Segmenter!A1861</f>
        <v/>
      </c>
      <c r="B1861" t="str">
        <f>Segmenter!B1861</f>
        <v/>
      </c>
      <c r="C1861" t="str">
        <f t="shared" si="145"/>
        <v/>
      </c>
      <c r="D1861" t="str">
        <f t="shared" si="146"/>
        <v/>
      </c>
      <c r="E1861" t="str">
        <f t="shared" si="147"/>
        <v/>
      </c>
      <c r="F1861" t="str">
        <f>IF(D1861="","",INDEX(Knutepunkter!$B:$B,D1861+1))</f>
        <v/>
      </c>
      <c r="G1861" t="str">
        <f>IF(D1861="","",INDEX(Knutepunkter!$C:$C,D1861+1))</f>
        <v/>
      </c>
      <c r="H1861" t="str">
        <f>IF(D1861="","",INDEX(Knutepunkter!$D:$D,D1861+1))</f>
        <v/>
      </c>
      <c r="I1861" t="str">
        <f>IF(E1861="","",INDEX(Knutepunkter!$B:$B,E1861+1))</f>
        <v/>
      </c>
      <c r="J1861" t="str">
        <f>IF(E1861="","",INDEX(Knutepunkter!$C:$C,E1861+1))</f>
        <v/>
      </c>
      <c r="K1861" t="str">
        <f>IF(E1861="","",INDEX(Knutepunkter!$D:$D,E1861+1))</f>
        <v/>
      </c>
      <c r="L1861" t="str">
        <f t="shared" si="148"/>
        <v/>
      </c>
      <c r="M1861" t="str">
        <f t="shared" si="149"/>
        <v/>
      </c>
    </row>
    <row r="1862" spans="1:13" x14ac:dyDescent="0.3">
      <c r="A1862" t="str">
        <f>Segmenter!A1862</f>
        <v/>
      </c>
      <c r="B1862" t="str">
        <f>Segmenter!B1862</f>
        <v/>
      </c>
      <c r="C1862" t="str">
        <f t="shared" si="145"/>
        <v/>
      </c>
      <c r="D1862" t="str">
        <f t="shared" si="146"/>
        <v/>
      </c>
      <c r="E1862" t="str">
        <f t="shared" si="147"/>
        <v/>
      </c>
      <c r="F1862" t="str">
        <f>IF(D1862="","",INDEX(Knutepunkter!$B:$B,D1862+1))</f>
        <v/>
      </c>
      <c r="G1862" t="str">
        <f>IF(D1862="","",INDEX(Knutepunkter!$C:$C,D1862+1))</f>
        <v/>
      </c>
      <c r="H1862" t="str">
        <f>IF(D1862="","",INDEX(Knutepunkter!$D:$D,D1862+1))</f>
        <v/>
      </c>
      <c r="I1862" t="str">
        <f>IF(E1862="","",INDEX(Knutepunkter!$B:$B,E1862+1))</f>
        <v/>
      </c>
      <c r="J1862" t="str">
        <f>IF(E1862="","",INDEX(Knutepunkter!$C:$C,E1862+1))</f>
        <v/>
      </c>
      <c r="K1862" t="str">
        <f>IF(E1862="","",INDEX(Knutepunkter!$D:$D,E1862+1))</f>
        <v/>
      </c>
      <c r="L1862" t="str">
        <f t="shared" si="148"/>
        <v/>
      </c>
      <c r="M1862" t="str">
        <f t="shared" si="149"/>
        <v/>
      </c>
    </row>
    <row r="1863" spans="1:13" x14ac:dyDescent="0.3">
      <c r="A1863" t="str">
        <f>Segmenter!A1863</f>
        <v/>
      </c>
      <c r="B1863" t="str">
        <f>Segmenter!B1863</f>
        <v/>
      </c>
      <c r="C1863" t="str">
        <f t="shared" si="145"/>
        <v/>
      </c>
      <c r="D1863" t="str">
        <f t="shared" si="146"/>
        <v/>
      </c>
      <c r="E1863" t="str">
        <f t="shared" si="147"/>
        <v/>
      </c>
      <c r="F1863" t="str">
        <f>IF(D1863="","",INDEX(Knutepunkter!$B:$B,D1863+1))</f>
        <v/>
      </c>
      <c r="G1863" t="str">
        <f>IF(D1863="","",INDEX(Knutepunkter!$C:$C,D1863+1))</f>
        <v/>
      </c>
      <c r="H1863" t="str">
        <f>IF(D1863="","",INDEX(Knutepunkter!$D:$D,D1863+1))</f>
        <v/>
      </c>
      <c r="I1863" t="str">
        <f>IF(E1863="","",INDEX(Knutepunkter!$B:$B,E1863+1))</f>
        <v/>
      </c>
      <c r="J1863" t="str">
        <f>IF(E1863="","",INDEX(Knutepunkter!$C:$C,E1863+1))</f>
        <v/>
      </c>
      <c r="K1863" t="str">
        <f>IF(E1863="","",INDEX(Knutepunkter!$D:$D,E1863+1))</f>
        <v/>
      </c>
      <c r="L1863" t="str">
        <f t="shared" si="148"/>
        <v/>
      </c>
      <c r="M1863" t="str">
        <f t="shared" si="149"/>
        <v/>
      </c>
    </row>
    <row r="1864" spans="1:13" x14ac:dyDescent="0.3">
      <c r="A1864" t="str">
        <f>Segmenter!A1864</f>
        <v/>
      </c>
      <c r="B1864" t="str">
        <f>Segmenter!B1864</f>
        <v/>
      </c>
      <c r="C1864" t="str">
        <f t="shared" si="145"/>
        <v/>
      </c>
      <c r="D1864" t="str">
        <f t="shared" si="146"/>
        <v/>
      </c>
      <c r="E1864" t="str">
        <f t="shared" si="147"/>
        <v/>
      </c>
      <c r="F1864" t="str">
        <f>IF(D1864="","",INDEX(Knutepunkter!$B:$B,D1864+1))</f>
        <v/>
      </c>
      <c r="G1864" t="str">
        <f>IF(D1864="","",INDEX(Knutepunkter!$C:$C,D1864+1))</f>
        <v/>
      </c>
      <c r="H1864" t="str">
        <f>IF(D1864="","",INDEX(Knutepunkter!$D:$D,D1864+1))</f>
        <v/>
      </c>
      <c r="I1864" t="str">
        <f>IF(E1864="","",INDEX(Knutepunkter!$B:$B,E1864+1))</f>
        <v/>
      </c>
      <c r="J1864" t="str">
        <f>IF(E1864="","",INDEX(Knutepunkter!$C:$C,E1864+1))</f>
        <v/>
      </c>
      <c r="K1864" t="str">
        <f>IF(E1864="","",INDEX(Knutepunkter!$D:$D,E1864+1))</f>
        <v/>
      </c>
      <c r="L1864" t="str">
        <f t="shared" si="148"/>
        <v/>
      </c>
      <c r="M1864" t="str">
        <f t="shared" si="149"/>
        <v/>
      </c>
    </row>
    <row r="1865" spans="1:13" x14ac:dyDescent="0.3">
      <c r="A1865" t="str">
        <f>Segmenter!A1865</f>
        <v/>
      </c>
      <c r="B1865" t="str">
        <f>Segmenter!B1865</f>
        <v/>
      </c>
      <c r="C1865" t="str">
        <f t="shared" si="145"/>
        <v/>
      </c>
      <c r="D1865" t="str">
        <f t="shared" si="146"/>
        <v/>
      </c>
      <c r="E1865" t="str">
        <f t="shared" si="147"/>
        <v/>
      </c>
      <c r="F1865" t="str">
        <f>IF(D1865="","",INDEX(Knutepunkter!$B:$B,D1865+1))</f>
        <v/>
      </c>
      <c r="G1865" t="str">
        <f>IF(D1865="","",INDEX(Knutepunkter!$C:$C,D1865+1))</f>
        <v/>
      </c>
      <c r="H1865" t="str">
        <f>IF(D1865="","",INDEX(Knutepunkter!$D:$D,D1865+1))</f>
        <v/>
      </c>
      <c r="I1865" t="str">
        <f>IF(E1865="","",INDEX(Knutepunkter!$B:$B,E1865+1))</f>
        <v/>
      </c>
      <c r="J1865" t="str">
        <f>IF(E1865="","",INDEX(Knutepunkter!$C:$C,E1865+1))</f>
        <v/>
      </c>
      <c r="K1865" t="str">
        <f>IF(E1865="","",INDEX(Knutepunkter!$D:$D,E1865+1))</f>
        <v/>
      </c>
      <c r="L1865" t="str">
        <f t="shared" si="148"/>
        <v/>
      </c>
      <c r="M1865" t="str">
        <f t="shared" si="149"/>
        <v/>
      </c>
    </row>
    <row r="1866" spans="1:13" x14ac:dyDescent="0.3">
      <c r="A1866" t="str">
        <f>Segmenter!A1866</f>
        <v/>
      </c>
      <c r="B1866" t="str">
        <f>Segmenter!B1866</f>
        <v/>
      </c>
      <c r="C1866" t="str">
        <f t="shared" si="145"/>
        <v/>
      </c>
      <c r="D1866" t="str">
        <f t="shared" si="146"/>
        <v/>
      </c>
      <c r="E1866" t="str">
        <f t="shared" si="147"/>
        <v/>
      </c>
      <c r="F1866" t="str">
        <f>IF(D1866="","",INDEX(Knutepunkter!$B:$B,D1866+1))</f>
        <v/>
      </c>
      <c r="G1866" t="str">
        <f>IF(D1866="","",INDEX(Knutepunkter!$C:$C,D1866+1))</f>
        <v/>
      </c>
      <c r="H1866" t="str">
        <f>IF(D1866="","",INDEX(Knutepunkter!$D:$D,D1866+1))</f>
        <v/>
      </c>
      <c r="I1866" t="str">
        <f>IF(E1866="","",INDEX(Knutepunkter!$B:$B,E1866+1))</f>
        <v/>
      </c>
      <c r="J1866" t="str">
        <f>IF(E1866="","",INDEX(Knutepunkter!$C:$C,E1866+1))</f>
        <v/>
      </c>
      <c r="K1866" t="str">
        <f>IF(E1866="","",INDEX(Knutepunkter!$D:$D,E1866+1))</f>
        <v/>
      </c>
      <c r="L1866" t="str">
        <f t="shared" si="148"/>
        <v/>
      </c>
      <c r="M1866" t="str">
        <f t="shared" si="149"/>
        <v/>
      </c>
    </row>
    <row r="1867" spans="1:13" x14ac:dyDescent="0.3">
      <c r="A1867" t="str">
        <f>Segmenter!A1867</f>
        <v/>
      </c>
      <c r="B1867" t="str">
        <f>Segmenter!B1867</f>
        <v/>
      </c>
      <c r="C1867" t="str">
        <f t="shared" si="145"/>
        <v/>
      </c>
      <c r="D1867" t="str">
        <f t="shared" si="146"/>
        <v/>
      </c>
      <c r="E1867" t="str">
        <f t="shared" si="147"/>
        <v/>
      </c>
      <c r="F1867" t="str">
        <f>IF(D1867="","",INDEX(Knutepunkter!$B:$B,D1867+1))</f>
        <v/>
      </c>
      <c r="G1867" t="str">
        <f>IF(D1867="","",INDEX(Knutepunkter!$C:$C,D1867+1))</f>
        <v/>
      </c>
      <c r="H1867" t="str">
        <f>IF(D1867="","",INDEX(Knutepunkter!$D:$D,D1867+1))</f>
        <v/>
      </c>
      <c r="I1867" t="str">
        <f>IF(E1867="","",INDEX(Knutepunkter!$B:$B,E1867+1))</f>
        <v/>
      </c>
      <c r="J1867" t="str">
        <f>IF(E1867="","",INDEX(Knutepunkter!$C:$C,E1867+1))</f>
        <v/>
      </c>
      <c r="K1867" t="str">
        <f>IF(E1867="","",INDEX(Knutepunkter!$D:$D,E1867+1))</f>
        <v/>
      </c>
      <c r="L1867" t="str">
        <f t="shared" si="148"/>
        <v/>
      </c>
      <c r="M1867" t="str">
        <f t="shared" si="149"/>
        <v/>
      </c>
    </row>
    <row r="1868" spans="1:13" x14ac:dyDescent="0.3">
      <c r="A1868" t="str">
        <f>Segmenter!A1868</f>
        <v/>
      </c>
      <c r="B1868" t="str">
        <f>Segmenter!B1868</f>
        <v/>
      </c>
      <c r="C1868" t="str">
        <f t="shared" si="145"/>
        <v/>
      </c>
      <c r="D1868" t="str">
        <f t="shared" si="146"/>
        <v/>
      </c>
      <c r="E1868" t="str">
        <f t="shared" si="147"/>
        <v/>
      </c>
      <c r="F1868" t="str">
        <f>IF(D1868="","",INDEX(Knutepunkter!$B:$B,D1868+1))</f>
        <v/>
      </c>
      <c r="G1868" t="str">
        <f>IF(D1868="","",INDEX(Knutepunkter!$C:$C,D1868+1))</f>
        <v/>
      </c>
      <c r="H1868" t="str">
        <f>IF(D1868="","",INDEX(Knutepunkter!$D:$D,D1868+1))</f>
        <v/>
      </c>
      <c r="I1868" t="str">
        <f>IF(E1868="","",INDEX(Knutepunkter!$B:$B,E1868+1))</f>
        <v/>
      </c>
      <c r="J1868" t="str">
        <f>IF(E1868="","",INDEX(Knutepunkter!$C:$C,E1868+1))</f>
        <v/>
      </c>
      <c r="K1868" t="str">
        <f>IF(E1868="","",INDEX(Knutepunkter!$D:$D,E1868+1))</f>
        <v/>
      </c>
      <c r="L1868" t="str">
        <f t="shared" si="148"/>
        <v/>
      </c>
      <c r="M1868" t="str">
        <f t="shared" si="149"/>
        <v/>
      </c>
    </row>
    <row r="1869" spans="1:13" x14ac:dyDescent="0.3">
      <c r="A1869" t="str">
        <f>Segmenter!A1869</f>
        <v/>
      </c>
      <c r="B1869" t="str">
        <f>Segmenter!B1869</f>
        <v/>
      </c>
      <c r="C1869" t="str">
        <f t="shared" si="145"/>
        <v/>
      </c>
      <c r="D1869" t="str">
        <f t="shared" si="146"/>
        <v/>
      </c>
      <c r="E1869" t="str">
        <f t="shared" si="147"/>
        <v/>
      </c>
      <c r="F1869" t="str">
        <f>IF(D1869="","",INDEX(Knutepunkter!$B:$B,D1869+1))</f>
        <v/>
      </c>
      <c r="G1869" t="str">
        <f>IF(D1869="","",INDEX(Knutepunkter!$C:$C,D1869+1))</f>
        <v/>
      </c>
      <c r="H1869" t="str">
        <f>IF(D1869="","",INDEX(Knutepunkter!$D:$D,D1869+1))</f>
        <v/>
      </c>
      <c r="I1869" t="str">
        <f>IF(E1869="","",INDEX(Knutepunkter!$B:$B,E1869+1))</f>
        <v/>
      </c>
      <c r="J1869" t="str">
        <f>IF(E1869="","",INDEX(Knutepunkter!$C:$C,E1869+1))</f>
        <v/>
      </c>
      <c r="K1869" t="str">
        <f>IF(E1869="","",INDEX(Knutepunkter!$D:$D,E1869+1))</f>
        <v/>
      </c>
      <c r="L1869" t="str">
        <f t="shared" si="148"/>
        <v/>
      </c>
      <c r="M1869" t="str">
        <f t="shared" si="149"/>
        <v/>
      </c>
    </row>
    <row r="1870" spans="1:13" x14ac:dyDescent="0.3">
      <c r="A1870" t="str">
        <f>Segmenter!A1870</f>
        <v/>
      </c>
      <c r="B1870" t="str">
        <f>Segmenter!B1870</f>
        <v/>
      </c>
      <c r="C1870" t="str">
        <f t="shared" si="145"/>
        <v/>
      </c>
      <c r="D1870" t="str">
        <f t="shared" si="146"/>
        <v/>
      </c>
      <c r="E1870" t="str">
        <f t="shared" si="147"/>
        <v/>
      </c>
      <c r="F1870" t="str">
        <f>IF(D1870="","",INDEX(Knutepunkter!$B:$B,D1870+1))</f>
        <v/>
      </c>
      <c r="G1870" t="str">
        <f>IF(D1870="","",INDEX(Knutepunkter!$C:$C,D1870+1))</f>
        <v/>
      </c>
      <c r="H1870" t="str">
        <f>IF(D1870="","",INDEX(Knutepunkter!$D:$D,D1870+1))</f>
        <v/>
      </c>
      <c r="I1870" t="str">
        <f>IF(E1870="","",INDEX(Knutepunkter!$B:$B,E1870+1))</f>
        <v/>
      </c>
      <c r="J1870" t="str">
        <f>IF(E1870="","",INDEX(Knutepunkter!$C:$C,E1870+1))</f>
        <v/>
      </c>
      <c r="K1870" t="str">
        <f>IF(E1870="","",INDEX(Knutepunkter!$D:$D,E1870+1))</f>
        <v/>
      </c>
      <c r="L1870" t="str">
        <f t="shared" si="148"/>
        <v/>
      </c>
      <c r="M1870" t="str">
        <f t="shared" si="149"/>
        <v/>
      </c>
    </row>
    <row r="1871" spans="1:13" x14ac:dyDescent="0.3">
      <c r="A1871" t="str">
        <f>Segmenter!A1871</f>
        <v/>
      </c>
      <c r="B1871" t="str">
        <f>Segmenter!B1871</f>
        <v/>
      </c>
      <c r="C1871" t="str">
        <f t="shared" si="145"/>
        <v/>
      </c>
      <c r="D1871" t="str">
        <f t="shared" si="146"/>
        <v/>
      </c>
      <c r="E1871" t="str">
        <f t="shared" si="147"/>
        <v/>
      </c>
      <c r="F1871" t="str">
        <f>IF(D1871="","",INDEX(Knutepunkter!$B:$B,D1871+1))</f>
        <v/>
      </c>
      <c r="G1871" t="str">
        <f>IF(D1871="","",INDEX(Knutepunkter!$C:$C,D1871+1))</f>
        <v/>
      </c>
      <c r="H1871" t="str">
        <f>IF(D1871="","",INDEX(Knutepunkter!$D:$D,D1871+1))</f>
        <v/>
      </c>
      <c r="I1871" t="str">
        <f>IF(E1871="","",INDEX(Knutepunkter!$B:$B,E1871+1))</f>
        <v/>
      </c>
      <c r="J1871" t="str">
        <f>IF(E1871="","",INDEX(Knutepunkter!$C:$C,E1871+1))</f>
        <v/>
      </c>
      <c r="K1871" t="str">
        <f>IF(E1871="","",INDEX(Knutepunkter!$D:$D,E1871+1))</f>
        <v/>
      </c>
      <c r="L1871" t="str">
        <f t="shared" si="148"/>
        <v/>
      </c>
      <c r="M1871" t="str">
        <f t="shared" si="149"/>
        <v/>
      </c>
    </row>
    <row r="1872" spans="1:13" x14ac:dyDescent="0.3">
      <c r="A1872" t="str">
        <f>Segmenter!A1872</f>
        <v/>
      </c>
      <c r="B1872" t="str">
        <f>Segmenter!B1872</f>
        <v/>
      </c>
      <c r="C1872" t="str">
        <f t="shared" si="145"/>
        <v/>
      </c>
      <c r="D1872" t="str">
        <f t="shared" si="146"/>
        <v/>
      </c>
      <c r="E1872" t="str">
        <f t="shared" si="147"/>
        <v/>
      </c>
      <c r="F1872" t="str">
        <f>IF(D1872="","",INDEX(Knutepunkter!$B:$B,D1872+1))</f>
        <v/>
      </c>
      <c r="G1872" t="str">
        <f>IF(D1872="","",INDEX(Knutepunkter!$C:$C,D1872+1))</f>
        <v/>
      </c>
      <c r="H1872" t="str">
        <f>IF(D1872="","",INDEX(Knutepunkter!$D:$D,D1872+1))</f>
        <v/>
      </c>
      <c r="I1872" t="str">
        <f>IF(E1872="","",INDEX(Knutepunkter!$B:$B,E1872+1))</f>
        <v/>
      </c>
      <c r="J1872" t="str">
        <f>IF(E1872="","",INDEX(Knutepunkter!$C:$C,E1872+1))</f>
        <v/>
      </c>
      <c r="K1872" t="str">
        <f>IF(E1872="","",INDEX(Knutepunkter!$D:$D,E1872+1))</f>
        <v/>
      </c>
      <c r="L1872" t="str">
        <f t="shared" si="148"/>
        <v/>
      </c>
      <c r="M1872" t="str">
        <f t="shared" si="149"/>
        <v/>
      </c>
    </row>
    <row r="1873" spans="1:13" x14ac:dyDescent="0.3">
      <c r="A1873" t="str">
        <f>Segmenter!A1873</f>
        <v/>
      </c>
      <c r="B1873" t="str">
        <f>Segmenter!B1873</f>
        <v/>
      </c>
      <c r="C1873" t="str">
        <f t="shared" si="145"/>
        <v/>
      </c>
      <c r="D1873" t="str">
        <f t="shared" si="146"/>
        <v/>
      </c>
      <c r="E1873" t="str">
        <f t="shared" si="147"/>
        <v/>
      </c>
      <c r="F1873" t="str">
        <f>IF(D1873="","",INDEX(Knutepunkter!$B:$B,D1873+1))</f>
        <v/>
      </c>
      <c r="G1873" t="str">
        <f>IF(D1873="","",INDEX(Knutepunkter!$C:$C,D1873+1))</f>
        <v/>
      </c>
      <c r="H1873" t="str">
        <f>IF(D1873="","",INDEX(Knutepunkter!$D:$D,D1873+1))</f>
        <v/>
      </c>
      <c r="I1873" t="str">
        <f>IF(E1873="","",INDEX(Knutepunkter!$B:$B,E1873+1))</f>
        <v/>
      </c>
      <c r="J1873" t="str">
        <f>IF(E1873="","",INDEX(Knutepunkter!$C:$C,E1873+1))</f>
        <v/>
      </c>
      <c r="K1873" t="str">
        <f>IF(E1873="","",INDEX(Knutepunkter!$D:$D,E1873+1))</f>
        <v/>
      </c>
      <c r="L1873" t="str">
        <f t="shared" si="148"/>
        <v/>
      </c>
      <c r="M1873" t="str">
        <f t="shared" si="149"/>
        <v/>
      </c>
    </row>
    <row r="1874" spans="1:13" x14ac:dyDescent="0.3">
      <c r="A1874" t="str">
        <f>Segmenter!A1874</f>
        <v/>
      </c>
      <c r="B1874" t="str">
        <f>Segmenter!B1874</f>
        <v/>
      </c>
      <c r="C1874" t="str">
        <f t="shared" si="145"/>
        <v/>
      </c>
      <c r="D1874" t="str">
        <f t="shared" si="146"/>
        <v/>
      </c>
      <c r="E1874" t="str">
        <f t="shared" si="147"/>
        <v/>
      </c>
      <c r="F1874" t="str">
        <f>IF(D1874="","",INDEX(Knutepunkter!$B:$B,D1874+1))</f>
        <v/>
      </c>
      <c r="G1874" t="str">
        <f>IF(D1874="","",INDEX(Knutepunkter!$C:$C,D1874+1))</f>
        <v/>
      </c>
      <c r="H1874" t="str">
        <f>IF(D1874="","",INDEX(Knutepunkter!$D:$D,D1874+1))</f>
        <v/>
      </c>
      <c r="I1874" t="str">
        <f>IF(E1874="","",INDEX(Knutepunkter!$B:$B,E1874+1))</f>
        <v/>
      </c>
      <c r="J1874" t="str">
        <f>IF(E1874="","",INDEX(Knutepunkter!$C:$C,E1874+1))</f>
        <v/>
      </c>
      <c r="K1874" t="str">
        <f>IF(E1874="","",INDEX(Knutepunkter!$D:$D,E1874+1))</f>
        <v/>
      </c>
      <c r="L1874" t="str">
        <f t="shared" si="148"/>
        <v/>
      </c>
      <c r="M1874" t="str">
        <f t="shared" si="149"/>
        <v/>
      </c>
    </row>
    <row r="1875" spans="1:13" x14ac:dyDescent="0.3">
      <c r="A1875" t="str">
        <f>Segmenter!A1875</f>
        <v/>
      </c>
      <c r="B1875" t="str">
        <f>Segmenter!B1875</f>
        <v/>
      </c>
      <c r="C1875" t="str">
        <f t="shared" si="145"/>
        <v/>
      </c>
      <c r="D1875" t="str">
        <f t="shared" si="146"/>
        <v/>
      </c>
      <c r="E1875" t="str">
        <f t="shared" si="147"/>
        <v/>
      </c>
      <c r="F1875" t="str">
        <f>IF(D1875="","",INDEX(Knutepunkter!$B:$B,D1875+1))</f>
        <v/>
      </c>
      <c r="G1875" t="str">
        <f>IF(D1875="","",INDEX(Knutepunkter!$C:$C,D1875+1))</f>
        <v/>
      </c>
      <c r="H1875" t="str">
        <f>IF(D1875="","",INDEX(Knutepunkter!$D:$D,D1875+1))</f>
        <v/>
      </c>
      <c r="I1875" t="str">
        <f>IF(E1875="","",INDEX(Knutepunkter!$B:$B,E1875+1))</f>
        <v/>
      </c>
      <c r="J1875" t="str">
        <f>IF(E1875="","",INDEX(Knutepunkter!$C:$C,E1875+1))</f>
        <v/>
      </c>
      <c r="K1875" t="str">
        <f>IF(E1875="","",INDEX(Knutepunkter!$D:$D,E1875+1))</f>
        <v/>
      </c>
      <c r="L1875" t="str">
        <f t="shared" si="148"/>
        <v/>
      </c>
      <c r="M1875" t="str">
        <f t="shared" si="149"/>
        <v/>
      </c>
    </row>
    <row r="1876" spans="1:13" x14ac:dyDescent="0.3">
      <c r="A1876" t="str">
        <f>Segmenter!A1876</f>
        <v/>
      </c>
      <c r="B1876" t="str">
        <f>Segmenter!B1876</f>
        <v/>
      </c>
      <c r="C1876" t="str">
        <f t="shared" si="145"/>
        <v/>
      </c>
      <c r="D1876" t="str">
        <f t="shared" si="146"/>
        <v/>
      </c>
      <c r="E1876" t="str">
        <f t="shared" si="147"/>
        <v/>
      </c>
      <c r="F1876" t="str">
        <f>IF(D1876="","",INDEX(Knutepunkter!$B:$B,D1876+1))</f>
        <v/>
      </c>
      <c r="G1876" t="str">
        <f>IF(D1876="","",INDEX(Knutepunkter!$C:$C,D1876+1))</f>
        <v/>
      </c>
      <c r="H1876" t="str">
        <f>IF(D1876="","",INDEX(Knutepunkter!$D:$D,D1876+1))</f>
        <v/>
      </c>
      <c r="I1876" t="str">
        <f>IF(E1876="","",INDEX(Knutepunkter!$B:$B,E1876+1))</f>
        <v/>
      </c>
      <c r="J1876" t="str">
        <f>IF(E1876="","",INDEX(Knutepunkter!$C:$C,E1876+1))</f>
        <v/>
      </c>
      <c r="K1876" t="str">
        <f>IF(E1876="","",INDEX(Knutepunkter!$D:$D,E1876+1))</f>
        <v/>
      </c>
      <c r="L1876" t="str">
        <f t="shared" si="148"/>
        <v/>
      </c>
      <c r="M1876" t="str">
        <f t="shared" si="149"/>
        <v/>
      </c>
    </row>
    <row r="1877" spans="1:13" x14ac:dyDescent="0.3">
      <c r="A1877" t="str">
        <f>Segmenter!A1877</f>
        <v/>
      </c>
      <c r="B1877" t="str">
        <f>Segmenter!B1877</f>
        <v/>
      </c>
      <c r="C1877" t="str">
        <f t="shared" si="145"/>
        <v/>
      </c>
      <c r="D1877" t="str">
        <f t="shared" si="146"/>
        <v/>
      </c>
      <c r="E1877" t="str">
        <f t="shared" si="147"/>
        <v/>
      </c>
      <c r="F1877" t="str">
        <f>IF(D1877="","",INDEX(Knutepunkter!$B:$B,D1877+1))</f>
        <v/>
      </c>
      <c r="G1877" t="str">
        <f>IF(D1877="","",INDEX(Knutepunkter!$C:$C,D1877+1))</f>
        <v/>
      </c>
      <c r="H1877" t="str">
        <f>IF(D1877="","",INDEX(Knutepunkter!$D:$D,D1877+1))</f>
        <v/>
      </c>
      <c r="I1877" t="str">
        <f>IF(E1877="","",INDEX(Knutepunkter!$B:$B,E1877+1))</f>
        <v/>
      </c>
      <c r="J1877" t="str">
        <f>IF(E1877="","",INDEX(Knutepunkter!$C:$C,E1877+1))</f>
        <v/>
      </c>
      <c r="K1877" t="str">
        <f>IF(E1877="","",INDEX(Knutepunkter!$D:$D,E1877+1))</f>
        <v/>
      </c>
      <c r="L1877" t="str">
        <f t="shared" si="148"/>
        <v/>
      </c>
      <c r="M1877" t="str">
        <f t="shared" si="149"/>
        <v/>
      </c>
    </row>
    <row r="1878" spans="1:13" x14ac:dyDescent="0.3">
      <c r="A1878" t="str">
        <f>Segmenter!A1878</f>
        <v/>
      </c>
      <c r="B1878" t="str">
        <f>Segmenter!B1878</f>
        <v/>
      </c>
      <c r="C1878" t="str">
        <f t="shared" si="145"/>
        <v/>
      </c>
      <c r="D1878" t="str">
        <f t="shared" si="146"/>
        <v/>
      </c>
      <c r="E1878" t="str">
        <f t="shared" si="147"/>
        <v/>
      </c>
      <c r="F1878" t="str">
        <f>IF(D1878="","",INDEX(Knutepunkter!$B:$B,D1878+1))</f>
        <v/>
      </c>
      <c r="G1878" t="str">
        <f>IF(D1878="","",INDEX(Knutepunkter!$C:$C,D1878+1))</f>
        <v/>
      </c>
      <c r="H1878" t="str">
        <f>IF(D1878="","",INDEX(Knutepunkter!$D:$D,D1878+1))</f>
        <v/>
      </c>
      <c r="I1878" t="str">
        <f>IF(E1878="","",INDEX(Knutepunkter!$B:$B,E1878+1))</f>
        <v/>
      </c>
      <c r="J1878" t="str">
        <f>IF(E1878="","",INDEX(Knutepunkter!$C:$C,E1878+1))</f>
        <v/>
      </c>
      <c r="K1878" t="str">
        <f>IF(E1878="","",INDEX(Knutepunkter!$D:$D,E1878+1))</f>
        <v/>
      </c>
      <c r="L1878" t="str">
        <f t="shared" si="148"/>
        <v/>
      </c>
      <c r="M1878" t="str">
        <f t="shared" si="149"/>
        <v/>
      </c>
    </row>
    <row r="1879" spans="1:13" x14ac:dyDescent="0.3">
      <c r="A1879" t="str">
        <f>Segmenter!A1879</f>
        <v/>
      </c>
      <c r="B1879" t="str">
        <f>Segmenter!B1879</f>
        <v/>
      </c>
      <c r="C1879" t="str">
        <f t="shared" si="145"/>
        <v/>
      </c>
      <c r="D1879" t="str">
        <f t="shared" si="146"/>
        <v/>
      </c>
      <c r="E1879" t="str">
        <f t="shared" si="147"/>
        <v/>
      </c>
      <c r="F1879" t="str">
        <f>IF(D1879="","",INDEX(Knutepunkter!$B:$B,D1879+1))</f>
        <v/>
      </c>
      <c r="G1879" t="str">
        <f>IF(D1879="","",INDEX(Knutepunkter!$C:$C,D1879+1))</f>
        <v/>
      </c>
      <c r="H1879" t="str">
        <f>IF(D1879="","",INDEX(Knutepunkter!$D:$D,D1879+1))</f>
        <v/>
      </c>
      <c r="I1879" t="str">
        <f>IF(E1879="","",INDEX(Knutepunkter!$B:$B,E1879+1))</f>
        <v/>
      </c>
      <c r="J1879" t="str">
        <f>IF(E1879="","",INDEX(Knutepunkter!$C:$C,E1879+1))</f>
        <v/>
      </c>
      <c r="K1879" t="str">
        <f>IF(E1879="","",INDEX(Knutepunkter!$D:$D,E1879+1))</f>
        <v/>
      </c>
      <c r="L1879" t="str">
        <f t="shared" si="148"/>
        <v/>
      </c>
      <c r="M1879" t="str">
        <f t="shared" si="149"/>
        <v/>
      </c>
    </row>
    <row r="1880" spans="1:13" x14ac:dyDescent="0.3">
      <c r="A1880" t="str">
        <f>Segmenter!A1880</f>
        <v/>
      </c>
      <c r="B1880" t="str">
        <f>Segmenter!B1880</f>
        <v/>
      </c>
      <c r="C1880" t="str">
        <f t="shared" si="145"/>
        <v/>
      </c>
      <c r="D1880" t="str">
        <f t="shared" si="146"/>
        <v/>
      </c>
      <c r="E1880" t="str">
        <f t="shared" si="147"/>
        <v/>
      </c>
      <c r="F1880" t="str">
        <f>IF(D1880="","",INDEX(Knutepunkter!$B:$B,D1880+1))</f>
        <v/>
      </c>
      <c r="G1880" t="str">
        <f>IF(D1880="","",INDEX(Knutepunkter!$C:$C,D1880+1))</f>
        <v/>
      </c>
      <c r="H1880" t="str">
        <f>IF(D1880="","",INDEX(Knutepunkter!$D:$D,D1880+1))</f>
        <v/>
      </c>
      <c r="I1880" t="str">
        <f>IF(E1880="","",INDEX(Knutepunkter!$B:$B,E1880+1))</f>
        <v/>
      </c>
      <c r="J1880" t="str">
        <f>IF(E1880="","",INDEX(Knutepunkter!$C:$C,E1880+1))</f>
        <v/>
      </c>
      <c r="K1880" t="str">
        <f>IF(E1880="","",INDEX(Knutepunkter!$D:$D,E1880+1))</f>
        <v/>
      </c>
      <c r="L1880" t="str">
        <f t="shared" si="148"/>
        <v/>
      </c>
      <c r="M1880" t="str">
        <f t="shared" si="149"/>
        <v/>
      </c>
    </row>
    <row r="1881" spans="1:13" x14ac:dyDescent="0.3">
      <c r="A1881" t="str">
        <f>Segmenter!A1881</f>
        <v/>
      </c>
      <c r="B1881" t="str">
        <f>Segmenter!B1881</f>
        <v/>
      </c>
      <c r="C1881" t="str">
        <f t="shared" si="145"/>
        <v/>
      </c>
      <c r="D1881" t="str">
        <f t="shared" si="146"/>
        <v/>
      </c>
      <c r="E1881" t="str">
        <f t="shared" si="147"/>
        <v/>
      </c>
      <c r="F1881" t="str">
        <f>IF(D1881="","",INDEX(Knutepunkter!$B:$B,D1881+1))</f>
        <v/>
      </c>
      <c r="G1881" t="str">
        <f>IF(D1881="","",INDEX(Knutepunkter!$C:$C,D1881+1))</f>
        <v/>
      </c>
      <c r="H1881" t="str">
        <f>IF(D1881="","",INDEX(Knutepunkter!$D:$D,D1881+1))</f>
        <v/>
      </c>
      <c r="I1881" t="str">
        <f>IF(E1881="","",INDEX(Knutepunkter!$B:$B,E1881+1))</f>
        <v/>
      </c>
      <c r="J1881" t="str">
        <f>IF(E1881="","",INDEX(Knutepunkter!$C:$C,E1881+1))</f>
        <v/>
      </c>
      <c r="K1881" t="str">
        <f>IF(E1881="","",INDEX(Knutepunkter!$D:$D,E1881+1))</f>
        <v/>
      </c>
      <c r="L1881" t="str">
        <f t="shared" si="148"/>
        <v/>
      </c>
      <c r="M1881" t="str">
        <f t="shared" si="149"/>
        <v/>
      </c>
    </row>
    <row r="1882" spans="1:13" x14ac:dyDescent="0.3">
      <c r="A1882" t="str">
        <f>Segmenter!A1882</f>
        <v/>
      </c>
      <c r="B1882" t="str">
        <f>Segmenter!B1882</f>
        <v/>
      </c>
      <c r="C1882" t="str">
        <f t="shared" si="145"/>
        <v/>
      </c>
      <c r="D1882" t="str">
        <f t="shared" si="146"/>
        <v/>
      </c>
      <c r="E1882" t="str">
        <f t="shared" si="147"/>
        <v/>
      </c>
      <c r="F1882" t="str">
        <f>IF(D1882="","",INDEX(Knutepunkter!$B:$B,D1882+1))</f>
        <v/>
      </c>
      <c r="G1882" t="str">
        <f>IF(D1882="","",INDEX(Knutepunkter!$C:$C,D1882+1))</f>
        <v/>
      </c>
      <c r="H1882" t="str">
        <f>IF(D1882="","",INDEX(Knutepunkter!$D:$D,D1882+1))</f>
        <v/>
      </c>
      <c r="I1882" t="str">
        <f>IF(E1882="","",INDEX(Knutepunkter!$B:$B,E1882+1))</f>
        <v/>
      </c>
      <c r="J1882" t="str">
        <f>IF(E1882="","",INDEX(Knutepunkter!$C:$C,E1882+1))</f>
        <v/>
      </c>
      <c r="K1882" t="str">
        <f>IF(E1882="","",INDEX(Knutepunkter!$D:$D,E1882+1))</f>
        <v/>
      </c>
      <c r="L1882" t="str">
        <f t="shared" si="148"/>
        <v/>
      </c>
      <c r="M1882" t="str">
        <f t="shared" si="149"/>
        <v/>
      </c>
    </row>
    <row r="1883" spans="1:13" x14ac:dyDescent="0.3">
      <c r="A1883" t="str">
        <f>Segmenter!A1883</f>
        <v/>
      </c>
      <c r="B1883" t="str">
        <f>Segmenter!B1883</f>
        <v/>
      </c>
      <c r="C1883" t="str">
        <f t="shared" si="145"/>
        <v/>
      </c>
      <c r="D1883" t="str">
        <f t="shared" si="146"/>
        <v/>
      </c>
      <c r="E1883" t="str">
        <f t="shared" si="147"/>
        <v/>
      </c>
      <c r="F1883" t="str">
        <f>IF(D1883="","",INDEX(Knutepunkter!$B:$B,D1883+1))</f>
        <v/>
      </c>
      <c r="G1883" t="str">
        <f>IF(D1883="","",INDEX(Knutepunkter!$C:$C,D1883+1))</f>
        <v/>
      </c>
      <c r="H1883" t="str">
        <f>IF(D1883="","",INDEX(Knutepunkter!$D:$D,D1883+1))</f>
        <v/>
      </c>
      <c r="I1883" t="str">
        <f>IF(E1883="","",INDEX(Knutepunkter!$B:$B,E1883+1))</f>
        <v/>
      </c>
      <c r="J1883" t="str">
        <f>IF(E1883="","",INDEX(Knutepunkter!$C:$C,E1883+1))</f>
        <v/>
      </c>
      <c r="K1883" t="str">
        <f>IF(E1883="","",INDEX(Knutepunkter!$D:$D,E1883+1))</f>
        <v/>
      </c>
      <c r="L1883" t="str">
        <f t="shared" si="148"/>
        <v/>
      </c>
      <c r="M1883" t="str">
        <f t="shared" si="149"/>
        <v/>
      </c>
    </row>
    <row r="1884" spans="1:13" x14ac:dyDescent="0.3">
      <c r="A1884" t="str">
        <f>Segmenter!A1884</f>
        <v/>
      </c>
      <c r="B1884" t="str">
        <f>Segmenter!B1884</f>
        <v/>
      </c>
      <c r="C1884" t="str">
        <f t="shared" si="145"/>
        <v/>
      </c>
      <c r="D1884" t="str">
        <f t="shared" si="146"/>
        <v/>
      </c>
      <c r="E1884" t="str">
        <f t="shared" si="147"/>
        <v/>
      </c>
      <c r="F1884" t="str">
        <f>IF(D1884="","",INDEX(Knutepunkter!$B:$B,D1884+1))</f>
        <v/>
      </c>
      <c r="G1884" t="str">
        <f>IF(D1884="","",INDEX(Knutepunkter!$C:$C,D1884+1))</f>
        <v/>
      </c>
      <c r="H1884" t="str">
        <f>IF(D1884="","",INDEX(Knutepunkter!$D:$D,D1884+1))</f>
        <v/>
      </c>
      <c r="I1884" t="str">
        <f>IF(E1884="","",INDEX(Knutepunkter!$B:$B,E1884+1))</f>
        <v/>
      </c>
      <c r="J1884" t="str">
        <f>IF(E1884="","",INDEX(Knutepunkter!$C:$C,E1884+1))</f>
        <v/>
      </c>
      <c r="K1884" t="str">
        <f>IF(E1884="","",INDEX(Knutepunkter!$D:$D,E1884+1))</f>
        <v/>
      </c>
      <c r="L1884" t="str">
        <f t="shared" si="148"/>
        <v/>
      </c>
      <c r="M1884" t="str">
        <f t="shared" si="149"/>
        <v/>
      </c>
    </row>
    <row r="1885" spans="1:13" x14ac:dyDescent="0.3">
      <c r="A1885" t="str">
        <f>Segmenter!A1885</f>
        <v/>
      </c>
      <c r="B1885" t="str">
        <f>Segmenter!B1885</f>
        <v/>
      </c>
      <c r="C1885" t="str">
        <f t="shared" si="145"/>
        <v/>
      </c>
      <c r="D1885" t="str">
        <f t="shared" si="146"/>
        <v/>
      </c>
      <c r="E1885" t="str">
        <f t="shared" si="147"/>
        <v/>
      </c>
      <c r="F1885" t="str">
        <f>IF(D1885="","",INDEX(Knutepunkter!$B:$B,D1885+1))</f>
        <v/>
      </c>
      <c r="G1885" t="str">
        <f>IF(D1885="","",INDEX(Knutepunkter!$C:$C,D1885+1))</f>
        <v/>
      </c>
      <c r="H1885" t="str">
        <f>IF(D1885="","",INDEX(Knutepunkter!$D:$D,D1885+1))</f>
        <v/>
      </c>
      <c r="I1885" t="str">
        <f>IF(E1885="","",INDEX(Knutepunkter!$B:$B,E1885+1))</f>
        <v/>
      </c>
      <c r="J1885" t="str">
        <f>IF(E1885="","",INDEX(Knutepunkter!$C:$C,E1885+1))</f>
        <v/>
      </c>
      <c r="K1885" t="str">
        <f>IF(E1885="","",INDEX(Knutepunkter!$D:$D,E1885+1))</f>
        <v/>
      </c>
      <c r="L1885" t="str">
        <f t="shared" si="148"/>
        <v/>
      </c>
      <c r="M1885" t="str">
        <f t="shared" si="149"/>
        <v/>
      </c>
    </row>
    <row r="1886" spans="1:13" x14ac:dyDescent="0.3">
      <c r="A1886" t="str">
        <f>Segmenter!A1886</f>
        <v/>
      </c>
      <c r="B1886" t="str">
        <f>Segmenter!B1886</f>
        <v/>
      </c>
      <c r="C1886" t="str">
        <f t="shared" si="145"/>
        <v/>
      </c>
      <c r="D1886" t="str">
        <f t="shared" si="146"/>
        <v/>
      </c>
      <c r="E1886" t="str">
        <f t="shared" si="147"/>
        <v/>
      </c>
      <c r="F1886" t="str">
        <f>IF(D1886="","",INDEX(Knutepunkter!$B:$B,D1886+1))</f>
        <v/>
      </c>
      <c r="G1886" t="str">
        <f>IF(D1886="","",INDEX(Knutepunkter!$C:$C,D1886+1))</f>
        <v/>
      </c>
      <c r="H1886" t="str">
        <f>IF(D1886="","",INDEX(Knutepunkter!$D:$D,D1886+1))</f>
        <v/>
      </c>
      <c r="I1886" t="str">
        <f>IF(E1886="","",INDEX(Knutepunkter!$B:$B,E1886+1))</f>
        <v/>
      </c>
      <c r="J1886" t="str">
        <f>IF(E1886="","",INDEX(Knutepunkter!$C:$C,E1886+1))</f>
        <v/>
      </c>
      <c r="K1886" t="str">
        <f>IF(E1886="","",INDEX(Knutepunkter!$D:$D,E1886+1))</f>
        <v/>
      </c>
      <c r="L1886" t="str">
        <f t="shared" si="148"/>
        <v/>
      </c>
      <c r="M1886" t="str">
        <f t="shared" si="149"/>
        <v/>
      </c>
    </row>
    <row r="1887" spans="1:13" x14ac:dyDescent="0.3">
      <c r="A1887" t="str">
        <f>Segmenter!A1887</f>
        <v/>
      </c>
      <c r="B1887" t="str">
        <f>Segmenter!B1887</f>
        <v/>
      </c>
      <c r="C1887" t="str">
        <f t="shared" si="145"/>
        <v/>
      </c>
      <c r="D1887" t="str">
        <f t="shared" si="146"/>
        <v/>
      </c>
      <c r="E1887" t="str">
        <f t="shared" si="147"/>
        <v/>
      </c>
      <c r="F1887" t="str">
        <f>IF(D1887="","",INDEX(Knutepunkter!$B:$B,D1887+1))</f>
        <v/>
      </c>
      <c r="G1887" t="str">
        <f>IF(D1887="","",INDEX(Knutepunkter!$C:$C,D1887+1))</f>
        <v/>
      </c>
      <c r="H1887" t="str">
        <f>IF(D1887="","",INDEX(Knutepunkter!$D:$D,D1887+1))</f>
        <v/>
      </c>
      <c r="I1887" t="str">
        <f>IF(E1887="","",INDEX(Knutepunkter!$B:$B,E1887+1))</f>
        <v/>
      </c>
      <c r="J1887" t="str">
        <f>IF(E1887="","",INDEX(Knutepunkter!$C:$C,E1887+1))</f>
        <v/>
      </c>
      <c r="K1887" t="str">
        <f>IF(E1887="","",INDEX(Knutepunkter!$D:$D,E1887+1))</f>
        <v/>
      </c>
      <c r="L1887" t="str">
        <f t="shared" si="148"/>
        <v/>
      </c>
      <c r="M1887" t="str">
        <f t="shared" si="149"/>
        <v/>
      </c>
    </row>
    <row r="1888" spans="1:13" x14ac:dyDescent="0.3">
      <c r="A1888" t="str">
        <f>Segmenter!A1888</f>
        <v/>
      </c>
      <c r="B1888" t="str">
        <f>Segmenter!B1888</f>
        <v/>
      </c>
      <c r="C1888" t="str">
        <f t="shared" si="145"/>
        <v/>
      </c>
      <c r="D1888" t="str">
        <f t="shared" si="146"/>
        <v/>
      </c>
      <c r="E1888" t="str">
        <f t="shared" si="147"/>
        <v/>
      </c>
      <c r="F1888" t="str">
        <f>IF(D1888="","",INDEX(Knutepunkter!$B:$B,D1888+1))</f>
        <v/>
      </c>
      <c r="G1888" t="str">
        <f>IF(D1888="","",INDEX(Knutepunkter!$C:$C,D1888+1))</f>
        <v/>
      </c>
      <c r="H1888" t="str">
        <f>IF(D1888="","",INDEX(Knutepunkter!$D:$D,D1888+1))</f>
        <v/>
      </c>
      <c r="I1888" t="str">
        <f>IF(E1888="","",INDEX(Knutepunkter!$B:$B,E1888+1))</f>
        <v/>
      </c>
      <c r="J1888" t="str">
        <f>IF(E1888="","",INDEX(Knutepunkter!$C:$C,E1888+1))</f>
        <v/>
      </c>
      <c r="K1888" t="str">
        <f>IF(E1888="","",INDEX(Knutepunkter!$D:$D,E1888+1))</f>
        <v/>
      </c>
      <c r="L1888" t="str">
        <f t="shared" si="148"/>
        <v/>
      </c>
      <c r="M1888" t="str">
        <f t="shared" si="149"/>
        <v/>
      </c>
    </row>
    <row r="1889" spans="1:13" x14ac:dyDescent="0.3">
      <c r="A1889" t="str">
        <f>Segmenter!A1889</f>
        <v/>
      </c>
      <c r="B1889" t="str">
        <f>Segmenter!B1889</f>
        <v/>
      </c>
      <c r="C1889" t="str">
        <f t="shared" si="145"/>
        <v/>
      </c>
      <c r="D1889" t="str">
        <f t="shared" si="146"/>
        <v/>
      </c>
      <c r="E1889" t="str">
        <f t="shared" si="147"/>
        <v/>
      </c>
      <c r="F1889" t="str">
        <f>IF(D1889="","",INDEX(Knutepunkter!$B:$B,D1889+1))</f>
        <v/>
      </c>
      <c r="G1889" t="str">
        <f>IF(D1889="","",INDEX(Knutepunkter!$C:$C,D1889+1))</f>
        <v/>
      </c>
      <c r="H1889" t="str">
        <f>IF(D1889="","",INDEX(Knutepunkter!$D:$D,D1889+1))</f>
        <v/>
      </c>
      <c r="I1889" t="str">
        <f>IF(E1889="","",INDEX(Knutepunkter!$B:$B,E1889+1))</f>
        <v/>
      </c>
      <c r="J1889" t="str">
        <f>IF(E1889="","",INDEX(Knutepunkter!$C:$C,E1889+1))</f>
        <v/>
      </c>
      <c r="K1889" t="str">
        <f>IF(E1889="","",INDEX(Knutepunkter!$D:$D,E1889+1))</f>
        <v/>
      </c>
      <c r="L1889" t="str">
        <f t="shared" si="148"/>
        <v/>
      </c>
      <c r="M1889" t="str">
        <f t="shared" si="149"/>
        <v/>
      </c>
    </row>
    <row r="1890" spans="1:13" x14ac:dyDescent="0.3">
      <c r="A1890" t="str">
        <f>Segmenter!A1890</f>
        <v/>
      </c>
      <c r="B1890" t="str">
        <f>Segmenter!B1890</f>
        <v/>
      </c>
      <c r="C1890" t="str">
        <f t="shared" si="145"/>
        <v/>
      </c>
      <c r="D1890" t="str">
        <f t="shared" si="146"/>
        <v/>
      </c>
      <c r="E1890" t="str">
        <f t="shared" si="147"/>
        <v/>
      </c>
      <c r="F1890" t="str">
        <f>IF(D1890="","",INDEX(Knutepunkter!$B:$B,D1890+1))</f>
        <v/>
      </c>
      <c r="G1890" t="str">
        <f>IF(D1890="","",INDEX(Knutepunkter!$C:$C,D1890+1))</f>
        <v/>
      </c>
      <c r="H1890" t="str">
        <f>IF(D1890="","",INDEX(Knutepunkter!$D:$D,D1890+1))</f>
        <v/>
      </c>
      <c r="I1890" t="str">
        <f>IF(E1890="","",INDEX(Knutepunkter!$B:$B,E1890+1))</f>
        <v/>
      </c>
      <c r="J1890" t="str">
        <f>IF(E1890="","",INDEX(Knutepunkter!$C:$C,E1890+1))</f>
        <v/>
      </c>
      <c r="K1890" t="str">
        <f>IF(E1890="","",INDEX(Knutepunkter!$D:$D,E1890+1))</f>
        <v/>
      </c>
      <c r="L1890" t="str">
        <f t="shared" si="148"/>
        <v/>
      </c>
      <c r="M1890" t="str">
        <f t="shared" si="149"/>
        <v/>
      </c>
    </row>
    <row r="1891" spans="1:13" x14ac:dyDescent="0.3">
      <c r="A1891" t="str">
        <f>Segmenter!A1891</f>
        <v/>
      </c>
      <c r="B1891" t="str">
        <f>Segmenter!B1891</f>
        <v/>
      </c>
      <c r="C1891" t="str">
        <f t="shared" si="145"/>
        <v/>
      </c>
      <c r="D1891" t="str">
        <f t="shared" si="146"/>
        <v/>
      </c>
      <c r="E1891" t="str">
        <f t="shared" si="147"/>
        <v/>
      </c>
      <c r="F1891" t="str">
        <f>IF(D1891="","",INDEX(Knutepunkter!$B:$B,D1891+1))</f>
        <v/>
      </c>
      <c r="G1891" t="str">
        <f>IF(D1891="","",INDEX(Knutepunkter!$C:$C,D1891+1))</f>
        <v/>
      </c>
      <c r="H1891" t="str">
        <f>IF(D1891="","",INDEX(Knutepunkter!$D:$D,D1891+1))</f>
        <v/>
      </c>
      <c r="I1891" t="str">
        <f>IF(E1891="","",INDEX(Knutepunkter!$B:$B,E1891+1))</f>
        <v/>
      </c>
      <c r="J1891" t="str">
        <f>IF(E1891="","",INDEX(Knutepunkter!$C:$C,E1891+1))</f>
        <v/>
      </c>
      <c r="K1891" t="str">
        <f>IF(E1891="","",INDEX(Knutepunkter!$D:$D,E1891+1))</f>
        <v/>
      </c>
      <c r="L1891" t="str">
        <f t="shared" si="148"/>
        <v/>
      </c>
      <c r="M1891" t="str">
        <f t="shared" si="149"/>
        <v/>
      </c>
    </row>
    <row r="1892" spans="1:13" x14ac:dyDescent="0.3">
      <c r="A1892" t="str">
        <f>Segmenter!A1892</f>
        <v/>
      </c>
      <c r="B1892" t="str">
        <f>Segmenter!B1892</f>
        <v/>
      </c>
      <c r="C1892" t="str">
        <f t="shared" si="145"/>
        <v/>
      </c>
      <c r="D1892" t="str">
        <f t="shared" si="146"/>
        <v/>
      </c>
      <c r="E1892" t="str">
        <f t="shared" si="147"/>
        <v/>
      </c>
      <c r="F1892" t="str">
        <f>IF(D1892="","",INDEX(Knutepunkter!$B:$B,D1892+1))</f>
        <v/>
      </c>
      <c r="G1892" t="str">
        <f>IF(D1892="","",INDEX(Knutepunkter!$C:$C,D1892+1))</f>
        <v/>
      </c>
      <c r="H1892" t="str">
        <f>IF(D1892="","",INDEX(Knutepunkter!$D:$D,D1892+1))</f>
        <v/>
      </c>
      <c r="I1892" t="str">
        <f>IF(E1892="","",INDEX(Knutepunkter!$B:$B,E1892+1))</f>
        <v/>
      </c>
      <c r="J1892" t="str">
        <f>IF(E1892="","",INDEX(Knutepunkter!$C:$C,E1892+1))</f>
        <v/>
      </c>
      <c r="K1892" t="str">
        <f>IF(E1892="","",INDEX(Knutepunkter!$D:$D,E1892+1))</f>
        <v/>
      </c>
      <c r="L1892" t="str">
        <f t="shared" si="148"/>
        <v/>
      </c>
      <c r="M1892" t="str">
        <f t="shared" si="149"/>
        <v/>
      </c>
    </row>
    <row r="1893" spans="1:13" x14ac:dyDescent="0.3">
      <c r="A1893" t="str">
        <f>Segmenter!A1893</f>
        <v/>
      </c>
      <c r="B1893" t="str">
        <f>Segmenter!B1893</f>
        <v/>
      </c>
      <c r="C1893" t="str">
        <f t="shared" si="145"/>
        <v/>
      </c>
      <c r="D1893" t="str">
        <f t="shared" si="146"/>
        <v/>
      </c>
      <c r="E1893" t="str">
        <f t="shared" si="147"/>
        <v/>
      </c>
      <c r="F1893" t="str">
        <f>IF(D1893="","",INDEX(Knutepunkter!$B:$B,D1893+1))</f>
        <v/>
      </c>
      <c r="G1893" t="str">
        <f>IF(D1893="","",INDEX(Knutepunkter!$C:$C,D1893+1))</f>
        <v/>
      </c>
      <c r="H1893" t="str">
        <f>IF(D1893="","",INDEX(Knutepunkter!$D:$D,D1893+1))</f>
        <v/>
      </c>
      <c r="I1893" t="str">
        <f>IF(E1893="","",INDEX(Knutepunkter!$B:$B,E1893+1))</f>
        <v/>
      </c>
      <c r="J1893" t="str">
        <f>IF(E1893="","",INDEX(Knutepunkter!$C:$C,E1893+1))</f>
        <v/>
      </c>
      <c r="K1893" t="str">
        <f>IF(E1893="","",INDEX(Knutepunkter!$D:$D,E1893+1))</f>
        <v/>
      </c>
      <c r="L1893" t="str">
        <f t="shared" si="148"/>
        <v/>
      </c>
      <c r="M1893" t="str">
        <f t="shared" si="149"/>
        <v/>
      </c>
    </row>
    <row r="1894" spans="1:13" x14ac:dyDescent="0.3">
      <c r="A1894" t="str">
        <f>Segmenter!A1894</f>
        <v/>
      </c>
      <c r="B1894" t="str">
        <f>Segmenter!B1894</f>
        <v/>
      </c>
      <c r="C1894" t="str">
        <f t="shared" si="145"/>
        <v/>
      </c>
      <c r="D1894" t="str">
        <f t="shared" si="146"/>
        <v/>
      </c>
      <c r="E1894" t="str">
        <f t="shared" si="147"/>
        <v/>
      </c>
      <c r="F1894" t="str">
        <f>IF(D1894="","",INDEX(Knutepunkter!$B:$B,D1894+1))</f>
        <v/>
      </c>
      <c r="G1894" t="str">
        <f>IF(D1894="","",INDEX(Knutepunkter!$C:$C,D1894+1))</f>
        <v/>
      </c>
      <c r="H1894" t="str">
        <f>IF(D1894="","",INDEX(Knutepunkter!$D:$D,D1894+1))</f>
        <v/>
      </c>
      <c r="I1894" t="str">
        <f>IF(E1894="","",INDEX(Knutepunkter!$B:$B,E1894+1))</f>
        <v/>
      </c>
      <c r="J1894" t="str">
        <f>IF(E1894="","",INDEX(Knutepunkter!$C:$C,E1894+1))</f>
        <v/>
      </c>
      <c r="K1894" t="str">
        <f>IF(E1894="","",INDEX(Knutepunkter!$D:$D,E1894+1))</f>
        <v/>
      </c>
      <c r="L1894" t="str">
        <f t="shared" si="148"/>
        <v/>
      </c>
      <c r="M1894" t="str">
        <f t="shared" si="149"/>
        <v/>
      </c>
    </row>
    <row r="1895" spans="1:13" x14ac:dyDescent="0.3">
      <c r="A1895" t="str">
        <f>Segmenter!A1895</f>
        <v/>
      </c>
      <c r="B1895" t="str">
        <f>Segmenter!B1895</f>
        <v/>
      </c>
      <c r="C1895" t="str">
        <f t="shared" si="145"/>
        <v/>
      </c>
      <c r="D1895" t="str">
        <f t="shared" si="146"/>
        <v/>
      </c>
      <c r="E1895" t="str">
        <f t="shared" si="147"/>
        <v/>
      </c>
      <c r="F1895" t="str">
        <f>IF(D1895="","",INDEX(Knutepunkter!$B:$B,D1895+1))</f>
        <v/>
      </c>
      <c r="G1895" t="str">
        <f>IF(D1895="","",INDEX(Knutepunkter!$C:$C,D1895+1))</f>
        <v/>
      </c>
      <c r="H1895" t="str">
        <f>IF(D1895="","",INDEX(Knutepunkter!$D:$D,D1895+1))</f>
        <v/>
      </c>
      <c r="I1895" t="str">
        <f>IF(E1895="","",INDEX(Knutepunkter!$B:$B,E1895+1))</f>
        <v/>
      </c>
      <c r="J1895" t="str">
        <f>IF(E1895="","",INDEX(Knutepunkter!$C:$C,E1895+1))</f>
        <v/>
      </c>
      <c r="K1895" t="str">
        <f>IF(E1895="","",INDEX(Knutepunkter!$D:$D,E1895+1))</f>
        <v/>
      </c>
      <c r="L1895" t="str">
        <f t="shared" si="148"/>
        <v/>
      </c>
      <c r="M1895" t="str">
        <f t="shared" si="149"/>
        <v/>
      </c>
    </row>
    <row r="1896" spans="1:13" x14ac:dyDescent="0.3">
      <c r="A1896" t="str">
        <f>Segmenter!A1896</f>
        <v/>
      </c>
      <c r="B1896" t="str">
        <f>Segmenter!B1896</f>
        <v/>
      </c>
      <c r="C1896" t="str">
        <f t="shared" si="145"/>
        <v/>
      </c>
      <c r="D1896" t="str">
        <f t="shared" si="146"/>
        <v/>
      </c>
      <c r="E1896" t="str">
        <f t="shared" si="147"/>
        <v/>
      </c>
      <c r="F1896" t="str">
        <f>IF(D1896="","",INDEX(Knutepunkter!$B:$B,D1896+1))</f>
        <v/>
      </c>
      <c r="G1896" t="str">
        <f>IF(D1896="","",INDEX(Knutepunkter!$C:$C,D1896+1))</f>
        <v/>
      </c>
      <c r="H1896" t="str">
        <f>IF(D1896="","",INDEX(Knutepunkter!$D:$D,D1896+1))</f>
        <v/>
      </c>
      <c r="I1896" t="str">
        <f>IF(E1896="","",INDEX(Knutepunkter!$B:$B,E1896+1))</f>
        <v/>
      </c>
      <c r="J1896" t="str">
        <f>IF(E1896="","",INDEX(Knutepunkter!$C:$C,E1896+1))</f>
        <v/>
      </c>
      <c r="K1896" t="str">
        <f>IF(E1896="","",INDEX(Knutepunkter!$D:$D,E1896+1))</f>
        <v/>
      </c>
      <c r="L1896" t="str">
        <f t="shared" si="148"/>
        <v/>
      </c>
      <c r="M1896" t="str">
        <f t="shared" si="149"/>
        <v/>
      </c>
    </row>
    <row r="1897" spans="1:13" x14ac:dyDescent="0.3">
      <c r="A1897" t="str">
        <f>Segmenter!A1897</f>
        <v/>
      </c>
      <c r="B1897" t="str">
        <f>Segmenter!B1897</f>
        <v/>
      </c>
      <c r="C1897" t="str">
        <f t="shared" si="145"/>
        <v/>
      </c>
      <c r="D1897" t="str">
        <f t="shared" si="146"/>
        <v/>
      </c>
      <c r="E1897" t="str">
        <f t="shared" si="147"/>
        <v/>
      </c>
      <c r="F1897" t="str">
        <f>IF(D1897="","",INDEX(Knutepunkter!$B:$B,D1897+1))</f>
        <v/>
      </c>
      <c r="G1897" t="str">
        <f>IF(D1897="","",INDEX(Knutepunkter!$C:$C,D1897+1))</f>
        <v/>
      </c>
      <c r="H1897" t="str">
        <f>IF(D1897="","",INDEX(Knutepunkter!$D:$D,D1897+1))</f>
        <v/>
      </c>
      <c r="I1897" t="str">
        <f>IF(E1897="","",INDEX(Knutepunkter!$B:$B,E1897+1))</f>
        <v/>
      </c>
      <c r="J1897" t="str">
        <f>IF(E1897="","",INDEX(Knutepunkter!$C:$C,E1897+1))</f>
        <v/>
      </c>
      <c r="K1897" t="str">
        <f>IF(E1897="","",INDEX(Knutepunkter!$D:$D,E1897+1))</f>
        <v/>
      </c>
      <c r="L1897" t="str">
        <f t="shared" si="148"/>
        <v/>
      </c>
      <c r="M1897" t="str">
        <f t="shared" si="149"/>
        <v/>
      </c>
    </row>
    <row r="1898" spans="1:13" x14ac:dyDescent="0.3">
      <c r="A1898" t="str">
        <f>Segmenter!A1898</f>
        <v/>
      </c>
      <c r="B1898" t="str">
        <f>Segmenter!B1898</f>
        <v/>
      </c>
      <c r="C1898" t="str">
        <f t="shared" si="145"/>
        <v/>
      </c>
      <c r="D1898" t="str">
        <f t="shared" si="146"/>
        <v/>
      </c>
      <c r="E1898" t="str">
        <f t="shared" si="147"/>
        <v/>
      </c>
      <c r="F1898" t="str">
        <f>IF(D1898="","",INDEX(Knutepunkter!$B:$B,D1898+1))</f>
        <v/>
      </c>
      <c r="G1898" t="str">
        <f>IF(D1898="","",INDEX(Knutepunkter!$C:$C,D1898+1))</f>
        <v/>
      </c>
      <c r="H1898" t="str">
        <f>IF(D1898="","",INDEX(Knutepunkter!$D:$D,D1898+1))</f>
        <v/>
      </c>
      <c r="I1898" t="str">
        <f>IF(E1898="","",INDEX(Knutepunkter!$B:$B,E1898+1))</f>
        <v/>
      </c>
      <c r="J1898" t="str">
        <f>IF(E1898="","",INDEX(Knutepunkter!$C:$C,E1898+1))</f>
        <v/>
      </c>
      <c r="K1898" t="str">
        <f>IF(E1898="","",INDEX(Knutepunkter!$D:$D,E1898+1))</f>
        <v/>
      </c>
      <c r="L1898" t="str">
        <f t="shared" si="148"/>
        <v/>
      </c>
      <c r="M1898" t="str">
        <f t="shared" si="149"/>
        <v/>
      </c>
    </row>
    <row r="1899" spans="1:13" x14ac:dyDescent="0.3">
      <c r="A1899" t="str">
        <f>Segmenter!A1899</f>
        <v/>
      </c>
      <c r="B1899" t="str">
        <f>Segmenter!B1899</f>
        <v/>
      </c>
      <c r="C1899" t="str">
        <f t="shared" si="145"/>
        <v/>
      </c>
      <c r="D1899" t="str">
        <f t="shared" si="146"/>
        <v/>
      </c>
      <c r="E1899" t="str">
        <f t="shared" si="147"/>
        <v/>
      </c>
      <c r="F1899" t="str">
        <f>IF(D1899="","",INDEX(Knutepunkter!$B:$B,D1899+1))</f>
        <v/>
      </c>
      <c r="G1899" t="str">
        <f>IF(D1899="","",INDEX(Knutepunkter!$C:$C,D1899+1))</f>
        <v/>
      </c>
      <c r="H1899" t="str">
        <f>IF(D1899="","",INDEX(Knutepunkter!$D:$D,D1899+1))</f>
        <v/>
      </c>
      <c r="I1899" t="str">
        <f>IF(E1899="","",INDEX(Knutepunkter!$B:$B,E1899+1))</f>
        <v/>
      </c>
      <c r="J1899" t="str">
        <f>IF(E1899="","",INDEX(Knutepunkter!$C:$C,E1899+1))</f>
        <v/>
      </c>
      <c r="K1899" t="str">
        <f>IF(E1899="","",INDEX(Knutepunkter!$D:$D,E1899+1))</f>
        <v/>
      </c>
      <c r="L1899" t="str">
        <f t="shared" si="148"/>
        <v/>
      </c>
      <c r="M1899" t="str">
        <f t="shared" si="149"/>
        <v/>
      </c>
    </row>
    <row r="1900" spans="1:13" x14ac:dyDescent="0.3">
      <c r="A1900" t="str">
        <f>Segmenter!A1900</f>
        <v/>
      </c>
      <c r="B1900" t="str">
        <f>Segmenter!B1900</f>
        <v/>
      </c>
      <c r="C1900" t="str">
        <f t="shared" si="145"/>
        <v/>
      </c>
      <c r="D1900" t="str">
        <f t="shared" si="146"/>
        <v/>
      </c>
      <c r="E1900" t="str">
        <f t="shared" si="147"/>
        <v/>
      </c>
      <c r="F1900" t="str">
        <f>IF(D1900="","",INDEX(Knutepunkter!$B:$B,D1900+1))</f>
        <v/>
      </c>
      <c r="G1900" t="str">
        <f>IF(D1900="","",INDEX(Knutepunkter!$C:$C,D1900+1))</f>
        <v/>
      </c>
      <c r="H1900" t="str">
        <f>IF(D1900="","",INDEX(Knutepunkter!$D:$D,D1900+1))</f>
        <v/>
      </c>
      <c r="I1900" t="str">
        <f>IF(E1900="","",INDEX(Knutepunkter!$B:$B,E1900+1))</f>
        <v/>
      </c>
      <c r="J1900" t="str">
        <f>IF(E1900="","",INDEX(Knutepunkter!$C:$C,E1900+1))</f>
        <v/>
      </c>
      <c r="K1900" t="str">
        <f>IF(E1900="","",INDEX(Knutepunkter!$D:$D,E1900+1))</f>
        <v/>
      </c>
      <c r="L1900" t="str">
        <f t="shared" si="148"/>
        <v/>
      </c>
      <c r="M1900" t="str">
        <f t="shared" si="149"/>
        <v/>
      </c>
    </row>
    <row r="1901" spans="1:13" x14ac:dyDescent="0.3">
      <c r="A1901" t="str">
        <f>Segmenter!A1901</f>
        <v/>
      </c>
      <c r="B1901" t="str">
        <f>Segmenter!B1901</f>
        <v/>
      </c>
      <c r="C1901" t="str">
        <f t="shared" si="145"/>
        <v/>
      </c>
      <c r="D1901" t="str">
        <f t="shared" si="146"/>
        <v/>
      </c>
      <c r="E1901" t="str">
        <f t="shared" si="147"/>
        <v/>
      </c>
      <c r="F1901" t="str">
        <f>IF(D1901="","",INDEX(Knutepunkter!$B:$B,D1901+1))</f>
        <v/>
      </c>
      <c r="G1901" t="str">
        <f>IF(D1901="","",INDEX(Knutepunkter!$C:$C,D1901+1))</f>
        <v/>
      </c>
      <c r="H1901" t="str">
        <f>IF(D1901="","",INDEX(Knutepunkter!$D:$D,D1901+1))</f>
        <v/>
      </c>
      <c r="I1901" t="str">
        <f>IF(E1901="","",INDEX(Knutepunkter!$B:$B,E1901+1))</f>
        <v/>
      </c>
      <c r="J1901" t="str">
        <f>IF(E1901="","",INDEX(Knutepunkter!$C:$C,E1901+1))</f>
        <v/>
      </c>
      <c r="K1901" t="str">
        <f>IF(E1901="","",INDEX(Knutepunkter!$D:$D,E1901+1))</f>
        <v/>
      </c>
      <c r="L1901" t="str">
        <f t="shared" si="148"/>
        <v/>
      </c>
      <c r="M1901" t="str">
        <f t="shared" si="149"/>
        <v/>
      </c>
    </row>
    <row r="1902" spans="1:13" x14ac:dyDescent="0.3">
      <c r="A1902" t="str">
        <f>Segmenter!A1902</f>
        <v/>
      </c>
      <c r="B1902" t="str">
        <f>Segmenter!B1902</f>
        <v/>
      </c>
      <c r="C1902" t="str">
        <f t="shared" si="145"/>
        <v/>
      </c>
      <c r="D1902" t="str">
        <f t="shared" si="146"/>
        <v/>
      </c>
      <c r="E1902" t="str">
        <f t="shared" si="147"/>
        <v/>
      </c>
      <c r="F1902" t="str">
        <f>IF(D1902="","",INDEX(Knutepunkter!$B:$B,D1902+1))</f>
        <v/>
      </c>
      <c r="G1902" t="str">
        <f>IF(D1902="","",INDEX(Knutepunkter!$C:$C,D1902+1))</f>
        <v/>
      </c>
      <c r="H1902" t="str">
        <f>IF(D1902="","",INDEX(Knutepunkter!$D:$D,D1902+1))</f>
        <v/>
      </c>
      <c r="I1902" t="str">
        <f>IF(E1902="","",INDEX(Knutepunkter!$B:$B,E1902+1))</f>
        <v/>
      </c>
      <c r="J1902" t="str">
        <f>IF(E1902="","",INDEX(Knutepunkter!$C:$C,E1902+1))</f>
        <v/>
      </c>
      <c r="K1902" t="str">
        <f>IF(E1902="","",INDEX(Knutepunkter!$D:$D,E1902+1))</f>
        <v/>
      </c>
      <c r="L1902" t="str">
        <f t="shared" si="148"/>
        <v/>
      </c>
      <c r="M1902" t="str">
        <f t="shared" si="149"/>
        <v/>
      </c>
    </row>
    <row r="1903" spans="1:13" x14ac:dyDescent="0.3">
      <c r="A1903" t="str">
        <f>Segmenter!A1903</f>
        <v/>
      </c>
      <c r="B1903" t="str">
        <f>Segmenter!B1903</f>
        <v/>
      </c>
      <c r="C1903" t="str">
        <f t="shared" si="145"/>
        <v/>
      </c>
      <c r="D1903" t="str">
        <f t="shared" si="146"/>
        <v/>
      </c>
      <c r="E1903" t="str">
        <f t="shared" si="147"/>
        <v/>
      </c>
      <c r="F1903" t="str">
        <f>IF(D1903="","",INDEX(Knutepunkter!$B:$B,D1903+1))</f>
        <v/>
      </c>
      <c r="G1903" t="str">
        <f>IF(D1903="","",INDEX(Knutepunkter!$C:$C,D1903+1))</f>
        <v/>
      </c>
      <c r="H1903" t="str">
        <f>IF(D1903="","",INDEX(Knutepunkter!$D:$D,D1903+1))</f>
        <v/>
      </c>
      <c r="I1903" t="str">
        <f>IF(E1903="","",INDEX(Knutepunkter!$B:$B,E1903+1))</f>
        <v/>
      </c>
      <c r="J1903" t="str">
        <f>IF(E1903="","",INDEX(Knutepunkter!$C:$C,E1903+1))</f>
        <v/>
      </c>
      <c r="K1903" t="str">
        <f>IF(E1903="","",INDEX(Knutepunkter!$D:$D,E1903+1))</f>
        <v/>
      </c>
      <c r="L1903" t="str">
        <f t="shared" si="148"/>
        <v/>
      </c>
      <c r="M1903" t="str">
        <f t="shared" si="149"/>
        <v/>
      </c>
    </row>
    <row r="1904" spans="1:13" x14ac:dyDescent="0.3">
      <c r="A1904" t="str">
        <f>Segmenter!A1904</f>
        <v/>
      </c>
      <c r="B1904" t="str">
        <f>Segmenter!B1904</f>
        <v/>
      </c>
      <c r="C1904" t="str">
        <f t="shared" si="145"/>
        <v/>
      </c>
      <c r="D1904" t="str">
        <f t="shared" si="146"/>
        <v/>
      </c>
      <c r="E1904" t="str">
        <f t="shared" si="147"/>
        <v/>
      </c>
      <c r="F1904" t="str">
        <f>IF(D1904="","",INDEX(Knutepunkter!$B:$B,D1904+1))</f>
        <v/>
      </c>
      <c r="G1904" t="str">
        <f>IF(D1904="","",INDEX(Knutepunkter!$C:$C,D1904+1))</f>
        <v/>
      </c>
      <c r="H1904" t="str">
        <f>IF(D1904="","",INDEX(Knutepunkter!$D:$D,D1904+1))</f>
        <v/>
      </c>
      <c r="I1904" t="str">
        <f>IF(E1904="","",INDEX(Knutepunkter!$B:$B,E1904+1))</f>
        <v/>
      </c>
      <c r="J1904" t="str">
        <f>IF(E1904="","",INDEX(Knutepunkter!$C:$C,E1904+1))</f>
        <v/>
      </c>
      <c r="K1904" t="str">
        <f>IF(E1904="","",INDEX(Knutepunkter!$D:$D,E1904+1))</f>
        <v/>
      </c>
      <c r="L1904" t="str">
        <f t="shared" si="148"/>
        <v/>
      </c>
      <c r="M1904" t="str">
        <f t="shared" si="149"/>
        <v/>
      </c>
    </row>
    <row r="1905" spans="1:13" x14ac:dyDescent="0.3">
      <c r="A1905" t="str">
        <f>Segmenter!A1905</f>
        <v/>
      </c>
      <c r="B1905" t="str">
        <f>Segmenter!B1905</f>
        <v/>
      </c>
      <c r="C1905" t="str">
        <f t="shared" si="145"/>
        <v/>
      </c>
      <c r="D1905" t="str">
        <f t="shared" si="146"/>
        <v/>
      </c>
      <c r="E1905" t="str">
        <f t="shared" si="147"/>
        <v/>
      </c>
      <c r="F1905" t="str">
        <f>IF(D1905="","",INDEX(Knutepunkter!$B:$B,D1905+1))</f>
        <v/>
      </c>
      <c r="G1905" t="str">
        <f>IF(D1905="","",INDEX(Knutepunkter!$C:$C,D1905+1))</f>
        <v/>
      </c>
      <c r="H1905" t="str">
        <f>IF(D1905="","",INDEX(Knutepunkter!$D:$D,D1905+1))</f>
        <v/>
      </c>
      <c r="I1905" t="str">
        <f>IF(E1905="","",INDEX(Knutepunkter!$B:$B,E1905+1))</f>
        <v/>
      </c>
      <c r="J1905" t="str">
        <f>IF(E1905="","",INDEX(Knutepunkter!$C:$C,E1905+1))</f>
        <v/>
      </c>
      <c r="K1905" t="str">
        <f>IF(E1905="","",INDEX(Knutepunkter!$D:$D,E1905+1))</f>
        <v/>
      </c>
      <c r="L1905" t="str">
        <f t="shared" si="148"/>
        <v/>
      </c>
      <c r="M1905" t="str">
        <f t="shared" si="149"/>
        <v/>
      </c>
    </row>
    <row r="1906" spans="1:13" x14ac:dyDescent="0.3">
      <c r="A1906" t="str">
        <f>Segmenter!A1906</f>
        <v/>
      </c>
      <c r="B1906" t="str">
        <f>Segmenter!B1906</f>
        <v/>
      </c>
      <c r="C1906" t="str">
        <f t="shared" si="145"/>
        <v/>
      </c>
      <c r="D1906" t="str">
        <f t="shared" si="146"/>
        <v/>
      </c>
      <c r="E1906" t="str">
        <f t="shared" si="147"/>
        <v/>
      </c>
      <c r="F1906" t="str">
        <f>IF(D1906="","",INDEX(Knutepunkter!$B:$B,D1906+1))</f>
        <v/>
      </c>
      <c r="G1906" t="str">
        <f>IF(D1906="","",INDEX(Knutepunkter!$C:$C,D1906+1))</f>
        <v/>
      </c>
      <c r="H1906" t="str">
        <f>IF(D1906="","",INDEX(Knutepunkter!$D:$D,D1906+1))</f>
        <v/>
      </c>
      <c r="I1906" t="str">
        <f>IF(E1906="","",INDEX(Knutepunkter!$B:$B,E1906+1))</f>
        <v/>
      </c>
      <c r="J1906" t="str">
        <f>IF(E1906="","",INDEX(Knutepunkter!$C:$C,E1906+1))</f>
        <v/>
      </c>
      <c r="K1906" t="str">
        <f>IF(E1906="","",INDEX(Knutepunkter!$D:$D,E1906+1))</f>
        <v/>
      </c>
      <c r="L1906" t="str">
        <f t="shared" si="148"/>
        <v/>
      </c>
      <c r="M1906" t="str">
        <f t="shared" si="149"/>
        <v/>
      </c>
    </row>
    <row r="1907" spans="1:13" x14ac:dyDescent="0.3">
      <c r="A1907" t="str">
        <f>Segmenter!A1907</f>
        <v/>
      </c>
      <c r="B1907" t="str">
        <f>Segmenter!B1907</f>
        <v/>
      </c>
      <c r="C1907" t="str">
        <f t="shared" si="145"/>
        <v/>
      </c>
      <c r="D1907" t="str">
        <f t="shared" si="146"/>
        <v/>
      </c>
      <c r="E1907" t="str">
        <f t="shared" si="147"/>
        <v/>
      </c>
      <c r="F1907" t="str">
        <f>IF(D1907="","",INDEX(Knutepunkter!$B:$B,D1907+1))</f>
        <v/>
      </c>
      <c r="G1907" t="str">
        <f>IF(D1907="","",INDEX(Knutepunkter!$C:$C,D1907+1))</f>
        <v/>
      </c>
      <c r="H1907" t="str">
        <f>IF(D1907="","",INDEX(Knutepunkter!$D:$D,D1907+1))</f>
        <v/>
      </c>
      <c r="I1907" t="str">
        <f>IF(E1907="","",INDEX(Knutepunkter!$B:$B,E1907+1))</f>
        <v/>
      </c>
      <c r="J1907" t="str">
        <f>IF(E1907="","",INDEX(Knutepunkter!$C:$C,E1907+1))</f>
        <v/>
      </c>
      <c r="K1907" t="str">
        <f>IF(E1907="","",INDEX(Knutepunkter!$D:$D,E1907+1))</f>
        <v/>
      </c>
      <c r="L1907" t="str">
        <f t="shared" si="148"/>
        <v/>
      </c>
      <c r="M1907" t="str">
        <f t="shared" si="149"/>
        <v/>
      </c>
    </row>
    <row r="1908" spans="1:13" x14ac:dyDescent="0.3">
      <c r="A1908" t="str">
        <f>Segmenter!A1908</f>
        <v/>
      </c>
      <c r="B1908" t="str">
        <f>Segmenter!B1908</f>
        <v/>
      </c>
      <c r="C1908" t="str">
        <f t="shared" si="145"/>
        <v/>
      </c>
      <c r="D1908" t="str">
        <f t="shared" si="146"/>
        <v/>
      </c>
      <c r="E1908" t="str">
        <f t="shared" si="147"/>
        <v/>
      </c>
      <c r="F1908" t="str">
        <f>IF(D1908="","",INDEX(Knutepunkter!$B:$B,D1908+1))</f>
        <v/>
      </c>
      <c r="G1908" t="str">
        <f>IF(D1908="","",INDEX(Knutepunkter!$C:$C,D1908+1))</f>
        <v/>
      </c>
      <c r="H1908" t="str">
        <f>IF(D1908="","",INDEX(Knutepunkter!$D:$D,D1908+1))</f>
        <v/>
      </c>
      <c r="I1908" t="str">
        <f>IF(E1908="","",INDEX(Knutepunkter!$B:$B,E1908+1))</f>
        <v/>
      </c>
      <c r="J1908" t="str">
        <f>IF(E1908="","",INDEX(Knutepunkter!$C:$C,E1908+1))</f>
        <v/>
      </c>
      <c r="K1908" t="str">
        <f>IF(E1908="","",INDEX(Knutepunkter!$D:$D,E1908+1))</f>
        <v/>
      </c>
      <c r="L1908" t="str">
        <f t="shared" si="148"/>
        <v/>
      </c>
      <c r="M1908" t="str">
        <f t="shared" si="149"/>
        <v/>
      </c>
    </row>
    <row r="1909" spans="1:13" x14ac:dyDescent="0.3">
      <c r="A1909" t="str">
        <f>Segmenter!A1909</f>
        <v/>
      </c>
      <c r="B1909" t="str">
        <f>Segmenter!B1909</f>
        <v/>
      </c>
      <c r="C1909" t="str">
        <f t="shared" si="145"/>
        <v/>
      </c>
      <c r="D1909" t="str">
        <f t="shared" si="146"/>
        <v/>
      </c>
      <c r="E1909" t="str">
        <f t="shared" si="147"/>
        <v/>
      </c>
      <c r="F1909" t="str">
        <f>IF(D1909="","",INDEX(Knutepunkter!$B:$B,D1909+1))</f>
        <v/>
      </c>
      <c r="G1909" t="str">
        <f>IF(D1909="","",INDEX(Knutepunkter!$C:$C,D1909+1))</f>
        <v/>
      </c>
      <c r="H1909" t="str">
        <f>IF(D1909="","",INDEX(Knutepunkter!$D:$D,D1909+1))</f>
        <v/>
      </c>
      <c r="I1909" t="str">
        <f>IF(E1909="","",INDEX(Knutepunkter!$B:$B,E1909+1))</f>
        <v/>
      </c>
      <c r="J1909" t="str">
        <f>IF(E1909="","",INDEX(Knutepunkter!$C:$C,E1909+1))</f>
        <v/>
      </c>
      <c r="K1909" t="str">
        <f>IF(E1909="","",INDEX(Knutepunkter!$D:$D,E1909+1))</f>
        <v/>
      </c>
      <c r="L1909" t="str">
        <f t="shared" si="148"/>
        <v/>
      </c>
      <c r="M1909" t="str">
        <f t="shared" si="149"/>
        <v/>
      </c>
    </row>
    <row r="1910" spans="1:13" x14ac:dyDescent="0.3">
      <c r="A1910" t="str">
        <f>Segmenter!A1910</f>
        <v/>
      </c>
      <c r="B1910" t="str">
        <f>Segmenter!B1910</f>
        <v/>
      </c>
      <c r="C1910" t="str">
        <f t="shared" si="145"/>
        <v/>
      </c>
      <c r="D1910" t="str">
        <f t="shared" si="146"/>
        <v/>
      </c>
      <c r="E1910" t="str">
        <f t="shared" si="147"/>
        <v/>
      </c>
      <c r="F1910" t="str">
        <f>IF(D1910="","",INDEX(Knutepunkter!$B:$B,D1910+1))</f>
        <v/>
      </c>
      <c r="G1910" t="str">
        <f>IF(D1910="","",INDEX(Knutepunkter!$C:$C,D1910+1))</f>
        <v/>
      </c>
      <c r="H1910" t="str">
        <f>IF(D1910="","",INDEX(Knutepunkter!$D:$D,D1910+1))</f>
        <v/>
      </c>
      <c r="I1910" t="str">
        <f>IF(E1910="","",INDEX(Knutepunkter!$B:$B,E1910+1))</f>
        <v/>
      </c>
      <c r="J1910" t="str">
        <f>IF(E1910="","",INDEX(Knutepunkter!$C:$C,E1910+1))</f>
        <v/>
      </c>
      <c r="K1910" t="str">
        <f>IF(E1910="","",INDEX(Knutepunkter!$D:$D,E1910+1))</f>
        <v/>
      </c>
      <c r="L1910" t="str">
        <f t="shared" si="148"/>
        <v/>
      </c>
      <c r="M1910" t="str">
        <f t="shared" si="149"/>
        <v/>
      </c>
    </row>
    <row r="1911" spans="1:13" x14ac:dyDescent="0.3">
      <c r="A1911" t="str">
        <f>Segmenter!A1911</f>
        <v/>
      </c>
      <c r="B1911" t="str">
        <f>Segmenter!B1911</f>
        <v/>
      </c>
      <c r="C1911" t="str">
        <f t="shared" si="145"/>
        <v/>
      </c>
      <c r="D1911" t="str">
        <f t="shared" si="146"/>
        <v/>
      </c>
      <c r="E1911" t="str">
        <f t="shared" si="147"/>
        <v/>
      </c>
      <c r="F1911" t="str">
        <f>IF(D1911="","",INDEX(Knutepunkter!$B:$B,D1911+1))</f>
        <v/>
      </c>
      <c r="G1911" t="str">
        <f>IF(D1911="","",INDEX(Knutepunkter!$C:$C,D1911+1))</f>
        <v/>
      </c>
      <c r="H1911" t="str">
        <f>IF(D1911="","",INDEX(Knutepunkter!$D:$D,D1911+1))</f>
        <v/>
      </c>
      <c r="I1911" t="str">
        <f>IF(E1911="","",INDEX(Knutepunkter!$B:$B,E1911+1))</f>
        <v/>
      </c>
      <c r="J1911" t="str">
        <f>IF(E1911="","",INDEX(Knutepunkter!$C:$C,E1911+1))</f>
        <v/>
      </c>
      <c r="K1911" t="str">
        <f>IF(E1911="","",INDEX(Knutepunkter!$D:$D,E1911+1))</f>
        <v/>
      </c>
      <c r="L1911" t="str">
        <f t="shared" si="148"/>
        <v/>
      </c>
      <c r="M1911" t="str">
        <f t="shared" si="149"/>
        <v/>
      </c>
    </row>
    <row r="1912" spans="1:13" x14ac:dyDescent="0.3">
      <c r="A1912" t="str">
        <f>Segmenter!A1912</f>
        <v/>
      </c>
      <c r="B1912" t="str">
        <f>Segmenter!B1912</f>
        <v/>
      </c>
      <c r="C1912" t="str">
        <f t="shared" si="145"/>
        <v/>
      </c>
      <c r="D1912" t="str">
        <f t="shared" si="146"/>
        <v/>
      </c>
      <c r="E1912" t="str">
        <f t="shared" si="147"/>
        <v/>
      </c>
      <c r="F1912" t="str">
        <f>IF(D1912="","",INDEX(Knutepunkter!$B:$B,D1912+1))</f>
        <v/>
      </c>
      <c r="G1912" t="str">
        <f>IF(D1912="","",INDEX(Knutepunkter!$C:$C,D1912+1))</f>
        <v/>
      </c>
      <c r="H1912" t="str">
        <f>IF(D1912="","",INDEX(Knutepunkter!$D:$D,D1912+1))</f>
        <v/>
      </c>
      <c r="I1912" t="str">
        <f>IF(E1912="","",INDEX(Knutepunkter!$B:$B,E1912+1))</f>
        <v/>
      </c>
      <c r="J1912" t="str">
        <f>IF(E1912="","",INDEX(Knutepunkter!$C:$C,E1912+1))</f>
        <v/>
      </c>
      <c r="K1912" t="str">
        <f>IF(E1912="","",INDEX(Knutepunkter!$D:$D,E1912+1))</f>
        <v/>
      </c>
      <c r="L1912" t="str">
        <f t="shared" si="148"/>
        <v/>
      </c>
      <c r="M1912" t="str">
        <f t="shared" si="149"/>
        <v/>
      </c>
    </row>
    <row r="1913" spans="1:13" x14ac:dyDescent="0.3">
      <c r="A1913" t="str">
        <f>Segmenter!A1913</f>
        <v/>
      </c>
      <c r="B1913" t="str">
        <f>Segmenter!B1913</f>
        <v/>
      </c>
      <c r="C1913" t="str">
        <f t="shared" si="145"/>
        <v/>
      </c>
      <c r="D1913" t="str">
        <f t="shared" si="146"/>
        <v/>
      </c>
      <c r="E1913" t="str">
        <f t="shared" si="147"/>
        <v/>
      </c>
      <c r="F1913" t="str">
        <f>IF(D1913="","",INDEX(Knutepunkter!$B:$B,D1913+1))</f>
        <v/>
      </c>
      <c r="G1913" t="str">
        <f>IF(D1913="","",INDEX(Knutepunkter!$C:$C,D1913+1))</f>
        <v/>
      </c>
      <c r="H1913" t="str">
        <f>IF(D1913="","",INDEX(Knutepunkter!$D:$D,D1913+1))</f>
        <v/>
      </c>
      <c r="I1913" t="str">
        <f>IF(E1913="","",INDEX(Knutepunkter!$B:$B,E1913+1))</f>
        <v/>
      </c>
      <c r="J1913" t="str">
        <f>IF(E1913="","",INDEX(Knutepunkter!$C:$C,E1913+1))</f>
        <v/>
      </c>
      <c r="K1913" t="str">
        <f>IF(E1913="","",INDEX(Knutepunkter!$D:$D,E1913+1))</f>
        <v/>
      </c>
      <c r="L1913" t="str">
        <f t="shared" si="148"/>
        <v/>
      </c>
      <c r="M1913" t="str">
        <f t="shared" si="149"/>
        <v/>
      </c>
    </row>
    <row r="1914" spans="1:13" x14ac:dyDescent="0.3">
      <c r="A1914" t="str">
        <f>Segmenter!A1914</f>
        <v/>
      </c>
      <c r="B1914" t="str">
        <f>Segmenter!B1914</f>
        <v/>
      </c>
      <c r="C1914" t="str">
        <f t="shared" si="145"/>
        <v/>
      </c>
      <c r="D1914" t="str">
        <f t="shared" si="146"/>
        <v/>
      </c>
      <c r="E1914" t="str">
        <f t="shared" si="147"/>
        <v/>
      </c>
      <c r="F1914" t="str">
        <f>IF(D1914="","",INDEX(Knutepunkter!$B:$B,D1914+1))</f>
        <v/>
      </c>
      <c r="G1914" t="str">
        <f>IF(D1914="","",INDEX(Knutepunkter!$C:$C,D1914+1))</f>
        <v/>
      </c>
      <c r="H1914" t="str">
        <f>IF(D1914="","",INDEX(Knutepunkter!$D:$D,D1914+1))</f>
        <v/>
      </c>
      <c r="I1914" t="str">
        <f>IF(E1914="","",INDEX(Knutepunkter!$B:$B,E1914+1))</f>
        <v/>
      </c>
      <c r="J1914" t="str">
        <f>IF(E1914="","",INDEX(Knutepunkter!$C:$C,E1914+1))</f>
        <v/>
      </c>
      <c r="K1914" t="str">
        <f>IF(E1914="","",INDEX(Knutepunkter!$D:$D,E1914+1))</f>
        <v/>
      </c>
      <c r="L1914" t="str">
        <f t="shared" si="148"/>
        <v/>
      </c>
      <c r="M1914" t="str">
        <f t="shared" si="149"/>
        <v/>
      </c>
    </row>
    <row r="1915" spans="1:13" x14ac:dyDescent="0.3">
      <c r="A1915" t="str">
        <f>Segmenter!A1915</f>
        <v/>
      </c>
      <c r="B1915" t="str">
        <f>Segmenter!B1915</f>
        <v/>
      </c>
      <c r="C1915" t="str">
        <f t="shared" si="145"/>
        <v/>
      </c>
      <c r="D1915" t="str">
        <f t="shared" si="146"/>
        <v/>
      </c>
      <c r="E1915" t="str">
        <f t="shared" si="147"/>
        <v/>
      </c>
      <c r="F1915" t="str">
        <f>IF(D1915="","",INDEX(Knutepunkter!$B:$B,D1915+1))</f>
        <v/>
      </c>
      <c r="G1915" t="str">
        <f>IF(D1915="","",INDEX(Knutepunkter!$C:$C,D1915+1))</f>
        <v/>
      </c>
      <c r="H1915" t="str">
        <f>IF(D1915="","",INDEX(Knutepunkter!$D:$D,D1915+1))</f>
        <v/>
      </c>
      <c r="I1915" t="str">
        <f>IF(E1915="","",INDEX(Knutepunkter!$B:$B,E1915+1))</f>
        <v/>
      </c>
      <c r="J1915" t="str">
        <f>IF(E1915="","",INDEX(Knutepunkter!$C:$C,E1915+1))</f>
        <v/>
      </c>
      <c r="K1915" t="str">
        <f>IF(E1915="","",INDEX(Knutepunkter!$D:$D,E1915+1))</f>
        <v/>
      </c>
      <c r="L1915" t="str">
        <f t="shared" si="148"/>
        <v/>
      </c>
      <c r="M1915" t="str">
        <f t="shared" si="149"/>
        <v/>
      </c>
    </row>
    <row r="1916" spans="1:13" x14ac:dyDescent="0.3">
      <c r="A1916" t="str">
        <f>Segmenter!A1916</f>
        <v/>
      </c>
      <c r="B1916" t="str">
        <f>Segmenter!B1916</f>
        <v/>
      </c>
      <c r="C1916" t="str">
        <f t="shared" si="145"/>
        <v/>
      </c>
      <c r="D1916" t="str">
        <f t="shared" si="146"/>
        <v/>
      </c>
      <c r="E1916" t="str">
        <f t="shared" si="147"/>
        <v/>
      </c>
      <c r="F1916" t="str">
        <f>IF(D1916="","",INDEX(Knutepunkter!$B:$B,D1916+1))</f>
        <v/>
      </c>
      <c r="G1916" t="str">
        <f>IF(D1916="","",INDEX(Knutepunkter!$C:$C,D1916+1))</f>
        <v/>
      </c>
      <c r="H1916" t="str">
        <f>IF(D1916="","",INDEX(Knutepunkter!$D:$D,D1916+1))</f>
        <v/>
      </c>
      <c r="I1916" t="str">
        <f>IF(E1916="","",INDEX(Knutepunkter!$B:$B,E1916+1))</f>
        <v/>
      </c>
      <c r="J1916" t="str">
        <f>IF(E1916="","",INDEX(Knutepunkter!$C:$C,E1916+1))</f>
        <v/>
      </c>
      <c r="K1916" t="str">
        <f>IF(E1916="","",INDEX(Knutepunkter!$D:$D,E1916+1))</f>
        <v/>
      </c>
      <c r="L1916" t="str">
        <f t="shared" si="148"/>
        <v/>
      </c>
      <c r="M1916" t="str">
        <f t="shared" si="149"/>
        <v/>
      </c>
    </row>
    <row r="1917" spans="1:13" x14ac:dyDescent="0.3">
      <c r="A1917" t="str">
        <f>Segmenter!A1917</f>
        <v/>
      </c>
      <c r="B1917" t="str">
        <f>Segmenter!B1917</f>
        <v/>
      </c>
      <c r="C1917" t="str">
        <f t="shared" si="145"/>
        <v/>
      </c>
      <c r="D1917" t="str">
        <f t="shared" si="146"/>
        <v/>
      </c>
      <c r="E1917" t="str">
        <f t="shared" si="147"/>
        <v/>
      </c>
      <c r="F1917" t="str">
        <f>IF(D1917="","",INDEX(Knutepunkter!$B:$B,D1917+1))</f>
        <v/>
      </c>
      <c r="G1917" t="str">
        <f>IF(D1917="","",INDEX(Knutepunkter!$C:$C,D1917+1))</f>
        <v/>
      </c>
      <c r="H1917" t="str">
        <f>IF(D1917="","",INDEX(Knutepunkter!$D:$D,D1917+1))</f>
        <v/>
      </c>
      <c r="I1917" t="str">
        <f>IF(E1917="","",INDEX(Knutepunkter!$B:$B,E1917+1))</f>
        <v/>
      </c>
      <c r="J1917" t="str">
        <f>IF(E1917="","",INDEX(Knutepunkter!$C:$C,E1917+1))</f>
        <v/>
      </c>
      <c r="K1917" t="str">
        <f>IF(E1917="","",INDEX(Knutepunkter!$D:$D,E1917+1))</f>
        <v/>
      </c>
      <c r="L1917" t="str">
        <f t="shared" si="148"/>
        <v/>
      </c>
      <c r="M1917" t="str">
        <f t="shared" si="149"/>
        <v/>
      </c>
    </row>
    <row r="1918" spans="1:13" x14ac:dyDescent="0.3">
      <c r="A1918" t="str">
        <f>Segmenter!A1918</f>
        <v/>
      </c>
      <c r="B1918" t="str">
        <f>Segmenter!B1918</f>
        <v/>
      </c>
      <c r="C1918" t="str">
        <f t="shared" si="145"/>
        <v/>
      </c>
      <c r="D1918" t="str">
        <f t="shared" si="146"/>
        <v/>
      </c>
      <c r="E1918" t="str">
        <f t="shared" si="147"/>
        <v/>
      </c>
      <c r="F1918" t="str">
        <f>IF(D1918="","",INDEX(Knutepunkter!$B:$B,D1918+1))</f>
        <v/>
      </c>
      <c r="G1918" t="str">
        <f>IF(D1918="","",INDEX(Knutepunkter!$C:$C,D1918+1))</f>
        <v/>
      </c>
      <c r="H1918" t="str">
        <f>IF(D1918="","",INDEX(Knutepunkter!$D:$D,D1918+1))</f>
        <v/>
      </c>
      <c r="I1918" t="str">
        <f>IF(E1918="","",INDEX(Knutepunkter!$B:$B,E1918+1))</f>
        <v/>
      </c>
      <c r="J1918" t="str">
        <f>IF(E1918="","",INDEX(Knutepunkter!$C:$C,E1918+1))</f>
        <v/>
      </c>
      <c r="K1918" t="str">
        <f>IF(E1918="","",INDEX(Knutepunkter!$D:$D,E1918+1))</f>
        <v/>
      </c>
      <c r="L1918" t="str">
        <f t="shared" si="148"/>
        <v/>
      </c>
      <c r="M1918" t="str">
        <f t="shared" si="149"/>
        <v/>
      </c>
    </row>
    <row r="1919" spans="1:13" x14ac:dyDescent="0.3">
      <c r="A1919" t="str">
        <f>Segmenter!A1919</f>
        <v/>
      </c>
      <c r="B1919" t="str">
        <f>Segmenter!B1919</f>
        <v/>
      </c>
      <c r="C1919" t="str">
        <f t="shared" si="145"/>
        <v/>
      </c>
      <c r="D1919" t="str">
        <f t="shared" si="146"/>
        <v/>
      </c>
      <c r="E1919" t="str">
        <f t="shared" si="147"/>
        <v/>
      </c>
      <c r="F1919" t="str">
        <f>IF(D1919="","",INDEX(Knutepunkter!$B:$B,D1919+1))</f>
        <v/>
      </c>
      <c r="G1919" t="str">
        <f>IF(D1919="","",INDEX(Knutepunkter!$C:$C,D1919+1))</f>
        <v/>
      </c>
      <c r="H1919" t="str">
        <f>IF(D1919="","",INDEX(Knutepunkter!$D:$D,D1919+1))</f>
        <v/>
      </c>
      <c r="I1919" t="str">
        <f>IF(E1919="","",INDEX(Knutepunkter!$B:$B,E1919+1))</f>
        <v/>
      </c>
      <c r="J1919" t="str">
        <f>IF(E1919="","",INDEX(Knutepunkter!$C:$C,E1919+1))</f>
        <v/>
      </c>
      <c r="K1919" t="str">
        <f>IF(E1919="","",INDEX(Knutepunkter!$D:$D,E1919+1))</f>
        <v/>
      </c>
      <c r="L1919" t="str">
        <f t="shared" si="148"/>
        <v/>
      </c>
      <c r="M1919" t="str">
        <f t="shared" si="149"/>
        <v/>
      </c>
    </row>
    <row r="1920" spans="1:13" x14ac:dyDescent="0.3">
      <c r="A1920" t="str">
        <f>Segmenter!A1920</f>
        <v/>
      </c>
      <c r="B1920" t="str">
        <f>Segmenter!B1920</f>
        <v/>
      </c>
      <c r="C1920" t="str">
        <f t="shared" si="145"/>
        <v/>
      </c>
      <c r="D1920" t="str">
        <f t="shared" si="146"/>
        <v/>
      </c>
      <c r="E1920" t="str">
        <f t="shared" si="147"/>
        <v/>
      </c>
      <c r="F1920" t="str">
        <f>IF(D1920="","",INDEX(Knutepunkter!$B:$B,D1920+1))</f>
        <v/>
      </c>
      <c r="G1920" t="str">
        <f>IF(D1920="","",INDEX(Knutepunkter!$C:$C,D1920+1))</f>
        <v/>
      </c>
      <c r="H1920" t="str">
        <f>IF(D1920="","",INDEX(Knutepunkter!$D:$D,D1920+1))</f>
        <v/>
      </c>
      <c r="I1920" t="str">
        <f>IF(E1920="","",INDEX(Knutepunkter!$B:$B,E1920+1))</f>
        <v/>
      </c>
      <c r="J1920" t="str">
        <f>IF(E1920="","",INDEX(Knutepunkter!$C:$C,E1920+1))</f>
        <v/>
      </c>
      <c r="K1920" t="str">
        <f>IF(E1920="","",INDEX(Knutepunkter!$D:$D,E1920+1))</f>
        <v/>
      </c>
      <c r="L1920" t="str">
        <f t="shared" si="148"/>
        <v/>
      </c>
      <c r="M1920" t="str">
        <f t="shared" si="149"/>
        <v/>
      </c>
    </row>
    <row r="1921" spans="1:13" x14ac:dyDescent="0.3">
      <c r="A1921" t="str">
        <f>Segmenter!A1921</f>
        <v/>
      </c>
      <c r="B1921" t="str">
        <f>Segmenter!B1921</f>
        <v/>
      </c>
      <c r="C1921" t="str">
        <f t="shared" si="145"/>
        <v/>
      </c>
      <c r="D1921" t="str">
        <f t="shared" si="146"/>
        <v/>
      </c>
      <c r="E1921" t="str">
        <f t="shared" si="147"/>
        <v/>
      </c>
      <c r="F1921" t="str">
        <f>IF(D1921="","",INDEX(Knutepunkter!$B:$B,D1921+1))</f>
        <v/>
      </c>
      <c r="G1921" t="str">
        <f>IF(D1921="","",INDEX(Knutepunkter!$C:$C,D1921+1))</f>
        <v/>
      </c>
      <c r="H1921" t="str">
        <f>IF(D1921="","",INDEX(Knutepunkter!$D:$D,D1921+1))</f>
        <v/>
      </c>
      <c r="I1921" t="str">
        <f>IF(E1921="","",INDEX(Knutepunkter!$B:$B,E1921+1))</f>
        <v/>
      </c>
      <c r="J1921" t="str">
        <f>IF(E1921="","",INDEX(Knutepunkter!$C:$C,E1921+1))</f>
        <v/>
      </c>
      <c r="K1921" t="str">
        <f>IF(E1921="","",INDEX(Knutepunkter!$D:$D,E1921+1))</f>
        <v/>
      </c>
      <c r="L1921" t="str">
        <f t="shared" si="148"/>
        <v/>
      </c>
      <c r="M1921" t="str">
        <f t="shared" si="149"/>
        <v/>
      </c>
    </row>
    <row r="1922" spans="1:13" x14ac:dyDescent="0.3">
      <c r="A1922" t="str">
        <f>Segmenter!A1922</f>
        <v/>
      </c>
      <c r="B1922" t="str">
        <f>Segmenter!B1922</f>
        <v/>
      </c>
      <c r="C1922" t="str">
        <f t="shared" ref="C1922:C1985" si="150">IF(B1922="","",IF(AND(F1922=I1922,G1922=J1922,H1922&lt;&gt;K1922),"Søyle","Bjelke"))</f>
        <v/>
      </c>
      <c r="D1922" t="str">
        <f t="shared" ref="D1922:D1985" si="151">IF(B1922="","",VALUE(LEFT(B1922,FIND(" -&gt; ",B1922)-1)))</f>
        <v/>
      </c>
      <c r="E1922" t="str">
        <f t="shared" ref="E1922:E1985" si="152">IF(B1922="","",VALUE(MID(B1922,FIND(" -&gt; ",B1922)+4,99)))</f>
        <v/>
      </c>
      <c r="F1922" t="str">
        <f>IF(D1922="","",INDEX(Knutepunkter!$B:$B,D1922+1))</f>
        <v/>
      </c>
      <c r="G1922" t="str">
        <f>IF(D1922="","",INDEX(Knutepunkter!$C:$C,D1922+1))</f>
        <v/>
      </c>
      <c r="H1922" t="str">
        <f>IF(D1922="","",INDEX(Knutepunkter!$D:$D,D1922+1))</f>
        <v/>
      </c>
      <c r="I1922" t="str">
        <f>IF(E1922="","",INDEX(Knutepunkter!$B:$B,E1922+1))</f>
        <v/>
      </c>
      <c r="J1922" t="str">
        <f>IF(E1922="","",INDEX(Knutepunkter!$C:$C,E1922+1))</f>
        <v/>
      </c>
      <c r="K1922" t="str">
        <f>IF(E1922="","",INDEX(Knutepunkter!$D:$D,E1922+1))</f>
        <v/>
      </c>
      <c r="L1922" t="str">
        <f t="shared" ref="L1922:L1985" si="153">IF(B1922="","",SQRT((I1922-F1922)^2+(J1922-G1922)^2+(K1922-H1922)^2))</f>
        <v/>
      </c>
      <c r="M1922" t="str">
        <f t="shared" ref="M1922:M1985" si="154">IF(L1922="","",L1922/1000)</f>
        <v/>
      </c>
    </row>
    <row r="1923" spans="1:13" x14ac:dyDescent="0.3">
      <c r="A1923" t="str">
        <f>Segmenter!A1923</f>
        <v/>
      </c>
      <c r="B1923" t="str">
        <f>Segmenter!B1923</f>
        <v/>
      </c>
      <c r="C1923" t="str">
        <f t="shared" si="150"/>
        <v/>
      </c>
      <c r="D1923" t="str">
        <f t="shared" si="151"/>
        <v/>
      </c>
      <c r="E1923" t="str">
        <f t="shared" si="152"/>
        <v/>
      </c>
      <c r="F1923" t="str">
        <f>IF(D1923="","",INDEX(Knutepunkter!$B:$B,D1923+1))</f>
        <v/>
      </c>
      <c r="G1923" t="str">
        <f>IF(D1923="","",INDEX(Knutepunkter!$C:$C,D1923+1))</f>
        <v/>
      </c>
      <c r="H1923" t="str">
        <f>IF(D1923="","",INDEX(Knutepunkter!$D:$D,D1923+1))</f>
        <v/>
      </c>
      <c r="I1923" t="str">
        <f>IF(E1923="","",INDEX(Knutepunkter!$B:$B,E1923+1))</f>
        <v/>
      </c>
      <c r="J1923" t="str">
        <f>IF(E1923="","",INDEX(Knutepunkter!$C:$C,E1923+1))</f>
        <v/>
      </c>
      <c r="K1923" t="str">
        <f>IF(E1923="","",INDEX(Knutepunkter!$D:$D,E1923+1))</f>
        <v/>
      </c>
      <c r="L1923" t="str">
        <f t="shared" si="153"/>
        <v/>
      </c>
      <c r="M1923" t="str">
        <f t="shared" si="154"/>
        <v/>
      </c>
    </row>
    <row r="1924" spans="1:13" x14ac:dyDescent="0.3">
      <c r="A1924" t="str">
        <f>Segmenter!A1924</f>
        <v/>
      </c>
      <c r="B1924" t="str">
        <f>Segmenter!B1924</f>
        <v/>
      </c>
      <c r="C1924" t="str">
        <f t="shared" si="150"/>
        <v/>
      </c>
      <c r="D1924" t="str">
        <f t="shared" si="151"/>
        <v/>
      </c>
      <c r="E1924" t="str">
        <f t="shared" si="152"/>
        <v/>
      </c>
      <c r="F1924" t="str">
        <f>IF(D1924="","",INDEX(Knutepunkter!$B:$B,D1924+1))</f>
        <v/>
      </c>
      <c r="G1924" t="str">
        <f>IF(D1924="","",INDEX(Knutepunkter!$C:$C,D1924+1))</f>
        <v/>
      </c>
      <c r="H1924" t="str">
        <f>IF(D1924="","",INDEX(Knutepunkter!$D:$D,D1924+1))</f>
        <v/>
      </c>
      <c r="I1924" t="str">
        <f>IF(E1924="","",INDEX(Knutepunkter!$B:$B,E1924+1))</f>
        <v/>
      </c>
      <c r="J1924" t="str">
        <f>IF(E1924="","",INDEX(Knutepunkter!$C:$C,E1924+1))</f>
        <v/>
      </c>
      <c r="K1924" t="str">
        <f>IF(E1924="","",INDEX(Knutepunkter!$D:$D,E1924+1))</f>
        <v/>
      </c>
      <c r="L1924" t="str">
        <f t="shared" si="153"/>
        <v/>
      </c>
      <c r="M1924" t="str">
        <f t="shared" si="154"/>
        <v/>
      </c>
    </row>
    <row r="1925" spans="1:13" x14ac:dyDescent="0.3">
      <c r="A1925" t="str">
        <f>Segmenter!A1925</f>
        <v/>
      </c>
      <c r="B1925" t="str">
        <f>Segmenter!B1925</f>
        <v/>
      </c>
      <c r="C1925" t="str">
        <f t="shared" si="150"/>
        <v/>
      </c>
      <c r="D1925" t="str">
        <f t="shared" si="151"/>
        <v/>
      </c>
      <c r="E1925" t="str">
        <f t="shared" si="152"/>
        <v/>
      </c>
      <c r="F1925" t="str">
        <f>IF(D1925="","",INDEX(Knutepunkter!$B:$B,D1925+1))</f>
        <v/>
      </c>
      <c r="G1925" t="str">
        <f>IF(D1925="","",INDEX(Knutepunkter!$C:$C,D1925+1))</f>
        <v/>
      </c>
      <c r="H1925" t="str">
        <f>IF(D1925="","",INDEX(Knutepunkter!$D:$D,D1925+1))</f>
        <v/>
      </c>
      <c r="I1925" t="str">
        <f>IF(E1925="","",INDEX(Knutepunkter!$B:$B,E1925+1))</f>
        <v/>
      </c>
      <c r="J1925" t="str">
        <f>IF(E1925="","",INDEX(Knutepunkter!$C:$C,E1925+1))</f>
        <v/>
      </c>
      <c r="K1925" t="str">
        <f>IF(E1925="","",INDEX(Knutepunkter!$D:$D,E1925+1))</f>
        <v/>
      </c>
      <c r="L1925" t="str">
        <f t="shared" si="153"/>
        <v/>
      </c>
      <c r="M1925" t="str">
        <f t="shared" si="154"/>
        <v/>
      </c>
    </row>
    <row r="1926" spans="1:13" x14ac:dyDescent="0.3">
      <c r="A1926" t="str">
        <f>Segmenter!A1926</f>
        <v/>
      </c>
      <c r="B1926" t="str">
        <f>Segmenter!B1926</f>
        <v/>
      </c>
      <c r="C1926" t="str">
        <f t="shared" si="150"/>
        <v/>
      </c>
      <c r="D1926" t="str">
        <f t="shared" si="151"/>
        <v/>
      </c>
      <c r="E1926" t="str">
        <f t="shared" si="152"/>
        <v/>
      </c>
      <c r="F1926" t="str">
        <f>IF(D1926="","",INDEX(Knutepunkter!$B:$B,D1926+1))</f>
        <v/>
      </c>
      <c r="G1926" t="str">
        <f>IF(D1926="","",INDEX(Knutepunkter!$C:$C,D1926+1))</f>
        <v/>
      </c>
      <c r="H1926" t="str">
        <f>IF(D1926="","",INDEX(Knutepunkter!$D:$D,D1926+1))</f>
        <v/>
      </c>
      <c r="I1926" t="str">
        <f>IF(E1926="","",INDEX(Knutepunkter!$B:$B,E1926+1))</f>
        <v/>
      </c>
      <c r="J1926" t="str">
        <f>IF(E1926="","",INDEX(Knutepunkter!$C:$C,E1926+1))</f>
        <v/>
      </c>
      <c r="K1926" t="str">
        <f>IF(E1926="","",INDEX(Knutepunkter!$D:$D,E1926+1))</f>
        <v/>
      </c>
      <c r="L1926" t="str">
        <f t="shared" si="153"/>
        <v/>
      </c>
      <c r="M1926" t="str">
        <f t="shared" si="154"/>
        <v/>
      </c>
    </row>
    <row r="1927" spans="1:13" x14ac:dyDescent="0.3">
      <c r="A1927" t="str">
        <f>Segmenter!A1927</f>
        <v/>
      </c>
      <c r="B1927" t="str">
        <f>Segmenter!B1927</f>
        <v/>
      </c>
      <c r="C1927" t="str">
        <f t="shared" si="150"/>
        <v/>
      </c>
      <c r="D1927" t="str">
        <f t="shared" si="151"/>
        <v/>
      </c>
      <c r="E1927" t="str">
        <f t="shared" si="152"/>
        <v/>
      </c>
      <c r="F1927" t="str">
        <f>IF(D1927="","",INDEX(Knutepunkter!$B:$B,D1927+1))</f>
        <v/>
      </c>
      <c r="G1927" t="str">
        <f>IF(D1927="","",INDEX(Knutepunkter!$C:$C,D1927+1))</f>
        <v/>
      </c>
      <c r="H1927" t="str">
        <f>IF(D1927="","",INDEX(Knutepunkter!$D:$D,D1927+1))</f>
        <v/>
      </c>
      <c r="I1927" t="str">
        <f>IF(E1927="","",INDEX(Knutepunkter!$B:$B,E1927+1))</f>
        <v/>
      </c>
      <c r="J1927" t="str">
        <f>IF(E1927="","",INDEX(Knutepunkter!$C:$C,E1927+1))</f>
        <v/>
      </c>
      <c r="K1927" t="str">
        <f>IF(E1927="","",INDEX(Knutepunkter!$D:$D,E1927+1))</f>
        <v/>
      </c>
      <c r="L1927" t="str">
        <f t="shared" si="153"/>
        <v/>
      </c>
      <c r="M1927" t="str">
        <f t="shared" si="154"/>
        <v/>
      </c>
    </row>
    <row r="1928" spans="1:13" x14ac:dyDescent="0.3">
      <c r="A1928" t="str">
        <f>Segmenter!A1928</f>
        <v/>
      </c>
      <c r="B1928" t="str">
        <f>Segmenter!B1928</f>
        <v/>
      </c>
      <c r="C1928" t="str">
        <f t="shared" si="150"/>
        <v/>
      </c>
      <c r="D1928" t="str">
        <f t="shared" si="151"/>
        <v/>
      </c>
      <c r="E1928" t="str">
        <f t="shared" si="152"/>
        <v/>
      </c>
      <c r="F1928" t="str">
        <f>IF(D1928="","",INDEX(Knutepunkter!$B:$B,D1928+1))</f>
        <v/>
      </c>
      <c r="G1928" t="str">
        <f>IF(D1928="","",INDEX(Knutepunkter!$C:$C,D1928+1))</f>
        <v/>
      </c>
      <c r="H1928" t="str">
        <f>IF(D1928="","",INDEX(Knutepunkter!$D:$D,D1928+1))</f>
        <v/>
      </c>
      <c r="I1928" t="str">
        <f>IF(E1928="","",INDEX(Knutepunkter!$B:$B,E1928+1))</f>
        <v/>
      </c>
      <c r="J1928" t="str">
        <f>IF(E1928="","",INDEX(Knutepunkter!$C:$C,E1928+1))</f>
        <v/>
      </c>
      <c r="K1928" t="str">
        <f>IF(E1928="","",INDEX(Knutepunkter!$D:$D,E1928+1))</f>
        <v/>
      </c>
      <c r="L1928" t="str">
        <f t="shared" si="153"/>
        <v/>
      </c>
      <c r="M1928" t="str">
        <f t="shared" si="154"/>
        <v/>
      </c>
    </row>
    <row r="1929" spans="1:13" x14ac:dyDescent="0.3">
      <c r="A1929" t="str">
        <f>Segmenter!A1929</f>
        <v/>
      </c>
      <c r="B1929" t="str">
        <f>Segmenter!B1929</f>
        <v/>
      </c>
      <c r="C1929" t="str">
        <f t="shared" si="150"/>
        <v/>
      </c>
      <c r="D1929" t="str">
        <f t="shared" si="151"/>
        <v/>
      </c>
      <c r="E1929" t="str">
        <f t="shared" si="152"/>
        <v/>
      </c>
      <c r="F1929" t="str">
        <f>IF(D1929="","",INDEX(Knutepunkter!$B:$B,D1929+1))</f>
        <v/>
      </c>
      <c r="G1929" t="str">
        <f>IF(D1929="","",INDEX(Knutepunkter!$C:$C,D1929+1))</f>
        <v/>
      </c>
      <c r="H1929" t="str">
        <f>IF(D1929="","",INDEX(Knutepunkter!$D:$D,D1929+1))</f>
        <v/>
      </c>
      <c r="I1929" t="str">
        <f>IF(E1929="","",INDEX(Knutepunkter!$B:$B,E1929+1))</f>
        <v/>
      </c>
      <c r="J1929" t="str">
        <f>IF(E1929="","",INDEX(Knutepunkter!$C:$C,E1929+1))</f>
        <v/>
      </c>
      <c r="K1929" t="str">
        <f>IF(E1929="","",INDEX(Knutepunkter!$D:$D,E1929+1))</f>
        <v/>
      </c>
      <c r="L1929" t="str">
        <f t="shared" si="153"/>
        <v/>
      </c>
      <c r="M1929" t="str">
        <f t="shared" si="154"/>
        <v/>
      </c>
    </row>
    <row r="1930" spans="1:13" x14ac:dyDescent="0.3">
      <c r="A1930" t="str">
        <f>Segmenter!A1930</f>
        <v/>
      </c>
      <c r="B1930" t="str">
        <f>Segmenter!B1930</f>
        <v/>
      </c>
      <c r="C1930" t="str">
        <f t="shared" si="150"/>
        <v/>
      </c>
      <c r="D1930" t="str">
        <f t="shared" si="151"/>
        <v/>
      </c>
      <c r="E1930" t="str">
        <f t="shared" si="152"/>
        <v/>
      </c>
      <c r="F1930" t="str">
        <f>IF(D1930="","",INDEX(Knutepunkter!$B:$B,D1930+1))</f>
        <v/>
      </c>
      <c r="G1930" t="str">
        <f>IF(D1930="","",INDEX(Knutepunkter!$C:$C,D1930+1))</f>
        <v/>
      </c>
      <c r="H1930" t="str">
        <f>IF(D1930="","",INDEX(Knutepunkter!$D:$D,D1930+1))</f>
        <v/>
      </c>
      <c r="I1930" t="str">
        <f>IF(E1930="","",INDEX(Knutepunkter!$B:$B,E1930+1))</f>
        <v/>
      </c>
      <c r="J1930" t="str">
        <f>IF(E1930="","",INDEX(Knutepunkter!$C:$C,E1930+1))</f>
        <v/>
      </c>
      <c r="K1930" t="str">
        <f>IF(E1930="","",INDEX(Knutepunkter!$D:$D,E1930+1))</f>
        <v/>
      </c>
      <c r="L1930" t="str">
        <f t="shared" si="153"/>
        <v/>
      </c>
      <c r="M1930" t="str">
        <f t="shared" si="154"/>
        <v/>
      </c>
    </row>
    <row r="1931" spans="1:13" x14ac:dyDescent="0.3">
      <c r="A1931" t="str">
        <f>Segmenter!A1931</f>
        <v/>
      </c>
      <c r="B1931" t="str">
        <f>Segmenter!B1931</f>
        <v/>
      </c>
      <c r="C1931" t="str">
        <f t="shared" si="150"/>
        <v/>
      </c>
      <c r="D1931" t="str">
        <f t="shared" si="151"/>
        <v/>
      </c>
      <c r="E1931" t="str">
        <f t="shared" si="152"/>
        <v/>
      </c>
      <c r="F1931" t="str">
        <f>IF(D1931="","",INDEX(Knutepunkter!$B:$B,D1931+1))</f>
        <v/>
      </c>
      <c r="G1931" t="str">
        <f>IF(D1931="","",INDEX(Knutepunkter!$C:$C,D1931+1))</f>
        <v/>
      </c>
      <c r="H1931" t="str">
        <f>IF(D1931="","",INDEX(Knutepunkter!$D:$D,D1931+1))</f>
        <v/>
      </c>
      <c r="I1931" t="str">
        <f>IF(E1931="","",INDEX(Knutepunkter!$B:$B,E1931+1))</f>
        <v/>
      </c>
      <c r="J1931" t="str">
        <f>IF(E1931="","",INDEX(Knutepunkter!$C:$C,E1931+1))</f>
        <v/>
      </c>
      <c r="K1931" t="str">
        <f>IF(E1931="","",INDEX(Knutepunkter!$D:$D,E1931+1))</f>
        <v/>
      </c>
      <c r="L1931" t="str">
        <f t="shared" si="153"/>
        <v/>
      </c>
      <c r="M1931" t="str">
        <f t="shared" si="154"/>
        <v/>
      </c>
    </row>
    <row r="1932" spans="1:13" x14ac:dyDescent="0.3">
      <c r="A1932" t="str">
        <f>Segmenter!A1932</f>
        <v/>
      </c>
      <c r="B1932" t="str">
        <f>Segmenter!B1932</f>
        <v/>
      </c>
      <c r="C1932" t="str">
        <f t="shared" si="150"/>
        <v/>
      </c>
      <c r="D1932" t="str">
        <f t="shared" si="151"/>
        <v/>
      </c>
      <c r="E1932" t="str">
        <f t="shared" si="152"/>
        <v/>
      </c>
      <c r="F1932" t="str">
        <f>IF(D1932="","",INDEX(Knutepunkter!$B:$B,D1932+1))</f>
        <v/>
      </c>
      <c r="G1932" t="str">
        <f>IF(D1932="","",INDEX(Knutepunkter!$C:$C,D1932+1))</f>
        <v/>
      </c>
      <c r="H1932" t="str">
        <f>IF(D1932="","",INDEX(Knutepunkter!$D:$D,D1932+1))</f>
        <v/>
      </c>
      <c r="I1932" t="str">
        <f>IF(E1932="","",INDEX(Knutepunkter!$B:$B,E1932+1))</f>
        <v/>
      </c>
      <c r="J1932" t="str">
        <f>IF(E1932="","",INDEX(Knutepunkter!$C:$C,E1932+1))</f>
        <v/>
      </c>
      <c r="K1932" t="str">
        <f>IF(E1932="","",INDEX(Knutepunkter!$D:$D,E1932+1))</f>
        <v/>
      </c>
      <c r="L1932" t="str">
        <f t="shared" si="153"/>
        <v/>
      </c>
      <c r="M1932" t="str">
        <f t="shared" si="154"/>
        <v/>
      </c>
    </row>
    <row r="1933" spans="1:13" x14ac:dyDescent="0.3">
      <c r="A1933" t="str">
        <f>Segmenter!A1933</f>
        <v/>
      </c>
      <c r="B1933" t="str">
        <f>Segmenter!B1933</f>
        <v/>
      </c>
      <c r="C1933" t="str">
        <f t="shared" si="150"/>
        <v/>
      </c>
      <c r="D1933" t="str">
        <f t="shared" si="151"/>
        <v/>
      </c>
      <c r="E1933" t="str">
        <f t="shared" si="152"/>
        <v/>
      </c>
      <c r="F1933" t="str">
        <f>IF(D1933="","",INDEX(Knutepunkter!$B:$B,D1933+1))</f>
        <v/>
      </c>
      <c r="G1933" t="str">
        <f>IF(D1933="","",INDEX(Knutepunkter!$C:$C,D1933+1))</f>
        <v/>
      </c>
      <c r="H1933" t="str">
        <f>IF(D1933="","",INDEX(Knutepunkter!$D:$D,D1933+1))</f>
        <v/>
      </c>
      <c r="I1933" t="str">
        <f>IF(E1933="","",INDEX(Knutepunkter!$B:$B,E1933+1))</f>
        <v/>
      </c>
      <c r="J1933" t="str">
        <f>IF(E1933="","",INDEX(Knutepunkter!$C:$C,E1933+1))</f>
        <v/>
      </c>
      <c r="K1933" t="str">
        <f>IF(E1933="","",INDEX(Knutepunkter!$D:$D,E1933+1))</f>
        <v/>
      </c>
      <c r="L1933" t="str">
        <f t="shared" si="153"/>
        <v/>
      </c>
      <c r="M1933" t="str">
        <f t="shared" si="154"/>
        <v/>
      </c>
    </row>
    <row r="1934" spans="1:13" x14ac:dyDescent="0.3">
      <c r="A1934" t="str">
        <f>Segmenter!A1934</f>
        <v/>
      </c>
      <c r="B1934" t="str">
        <f>Segmenter!B1934</f>
        <v/>
      </c>
      <c r="C1934" t="str">
        <f t="shared" si="150"/>
        <v/>
      </c>
      <c r="D1934" t="str">
        <f t="shared" si="151"/>
        <v/>
      </c>
      <c r="E1934" t="str">
        <f t="shared" si="152"/>
        <v/>
      </c>
      <c r="F1934" t="str">
        <f>IF(D1934="","",INDEX(Knutepunkter!$B:$B,D1934+1))</f>
        <v/>
      </c>
      <c r="G1934" t="str">
        <f>IF(D1934="","",INDEX(Knutepunkter!$C:$C,D1934+1))</f>
        <v/>
      </c>
      <c r="H1934" t="str">
        <f>IF(D1934="","",INDEX(Knutepunkter!$D:$D,D1934+1))</f>
        <v/>
      </c>
      <c r="I1934" t="str">
        <f>IF(E1934="","",INDEX(Knutepunkter!$B:$B,E1934+1))</f>
        <v/>
      </c>
      <c r="J1934" t="str">
        <f>IF(E1934="","",INDEX(Knutepunkter!$C:$C,E1934+1))</f>
        <v/>
      </c>
      <c r="K1934" t="str">
        <f>IF(E1934="","",INDEX(Knutepunkter!$D:$D,E1934+1))</f>
        <v/>
      </c>
      <c r="L1934" t="str">
        <f t="shared" si="153"/>
        <v/>
      </c>
      <c r="M1934" t="str">
        <f t="shared" si="154"/>
        <v/>
      </c>
    </row>
    <row r="1935" spans="1:13" x14ac:dyDescent="0.3">
      <c r="A1935" t="str">
        <f>Segmenter!A1935</f>
        <v/>
      </c>
      <c r="B1935" t="str">
        <f>Segmenter!B1935</f>
        <v/>
      </c>
      <c r="C1935" t="str">
        <f t="shared" si="150"/>
        <v/>
      </c>
      <c r="D1935" t="str">
        <f t="shared" si="151"/>
        <v/>
      </c>
      <c r="E1935" t="str">
        <f t="shared" si="152"/>
        <v/>
      </c>
      <c r="F1935" t="str">
        <f>IF(D1935="","",INDEX(Knutepunkter!$B:$B,D1935+1))</f>
        <v/>
      </c>
      <c r="G1935" t="str">
        <f>IF(D1935="","",INDEX(Knutepunkter!$C:$C,D1935+1))</f>
        <v/>
      </c>
      <c r="H1935" t="str">
        <f>IF(D1935="","",INDEX(Knutepunkter!$D:$D,D1935+1))</f>
        <v/>
      </c>
      <c r="I1935" t="str">
        <f>IF(E1935="","",INDEX(Knutepunkter!$B:$B,E1935+1))</f>
        <v/>
      </c>
      <c r="J1935" t="str">
        <f>IF(E1935="","",INDEX(Knutepunkter!$C:$C,E1935+1))</f>
        <v/>
      </c>
      <c r="K1935" t="str">
        <f>IF(E1935="","",INDEX(Knutepunkter!$D:$D,E1935+1))</f>
        <v/>
      </c>
      <c r="L1935" t="str">
        <f t="shared" si="153"/>
        <v/>
      </c>
      <c r="M1935" t="str">
        <f t="shared" si="154"/>
        <v/>
      </c>
    </row>
    <row r="1936" spans="1:13" x14ac:dyDescent="0.3">
      <c r="A1936" t="str">
        <f>Segmenter!A1936</f>
        <v/>
      </c>
      <c r="B1936" t="str">
        <f>Segmenter!B1936</f>
        <v/>
      </c>
      <c r="C1936" t="str">
        <f t="shared" si="150"/>
        <v/>
      </c>
      <c r="D1936" t="str">
        <f t="shared" si="151"/>
        <v/>
      </c>
      <c r="E1936" t="str">
        <f t="shared" si="152"/>
        <v/>
      </c>
      <c r="F1936" t="str">
        <f>IF(D1936="","",INDEX(Knutepunkter!$B:$B,D1936+1))</f>
        <v/>
      </c>
      <c r="G1936" t="str">
        <f>IF(D1936="","",INDEX(Knutepunkter!$C:$C,D1936+1))</f>
        <v/>
      </c>
      <c r="H1936" t="str">
        <f>IF(D1936="","",INDEX(Knutepunkter!$D:$D,D1936+1))</f>
        <v/>
      </c>
      <c r="I1936" t="str">
        <f>IF(E1936="","",INDEX(Knutepunkter!$B:$B,E1936+1))</f>
        <v/>
      </c>
      <c r="J1936" t="str">
        <f>IF(E1936="","",INDEX(Knutepunkter!$C:$C,E1936+1))</f>
        <v/>
      </c>
      <c r="K1936" t="str">
        <f>IF(E1936="","",INDEX(Knutepunkter!$D:$D,E1936+1))</f>
        <v/>
      </c>
      <c r="L1936" t="str">
        <f t="shared" si="153"/>
        <v/>
      </c>
      <c r="M1936" t="str">
        <f t="shared" si="154"/>
        <v/>
      </c>
    </row>
    <row r="1937" spans="1:13" x14ac:dyDescent="0.3">
      <c r="A1937" t="str">
        <f>Segmenter!A1937</f>
        <v/>
      </c>
      <c r="B1937" t="str">
        <f>Segmenter!B1937</f>
        <v/>
      </c>
      <c r="C1937" t="str">
        <f t="shared" si="150"/>
        <v/>
      </c>
      <c r="D1937" t="str">
        <f t="shared" si="151"/>
        <v/>
      </c>
      <c r="E1937" t="str">
        <f t="shared" si="152"/>
        <v/>
      </c>
      <c r="F1937" t="str">
        <f>IF(D1937="","",INDEX(Knutepunkter!$B:$B,D1937+1))</f>
        <v/>
      </c>
      <c r="G1937" t="str">
        <f>IF(D1937="","",INDEX(Knutepunkter!$C:$C,D1937+1))</f>
        <v/>
      </c>
      <c r="H1937" t="str">
        <f>IF(D1937="","",INDEX(Knutepunkter!$D:$D,D1937+1))</f>
        <v/>
      </c>
      <c r="I1937" t="str">
        <f>IF(E1937="","",INDEX(Knutepunkter!$B:$B,E1937+1))</f>
        <v/>
      </c>
      <c r="J1937" t="str">
        <f>IF(E1937="","",INDEX(Knutepunkter!$C:$C,E1937+1))</f>
        <v/>
      </c>
      <c r="K1937" t="str">
        <f>IF(E1937="","",INDEX(Knutepunkter!$D:$D,E1937+1))</f>
        <v/>
      </c>
      <c r="L1937" t="str">
        <f t="shared" si="153"/>
        <v/>
      </c>
      <c r="M1937" t="str">
        <f t="shared" si="154"/>
        <v/>
      </c>
    </row>
    <row r="1938" spans="1:13" x14ac:dyDescent="0.3">
      <c r="A1938" t="str">
        <f>Segmenter!A1938</f>
        <v/>
      </c>
      <c r="B1938" t="str">
        <f>Segmenter!B1938</f>
        <v/>
      </c>
      <c r="C1938" t="str">
        <f t="shared" si="150"/>
        <v/>
      </c>
      <c r="D1938" t="str">
        <f t="shared" si="151"/>
        <v/>
      </c>
      <c r="E1938" t="str">
        <f t="shared" si="152"/>
        <v/>
      </c>
      <c r="F1938" t="str">
        <f>IF(D1938="","",INDEX(Knutepunkter!$B:$B,D1938+1))</f>
        <v/>
      </c>
      <c r="G1938" t="str">
        <f>IF(D1938="","",INDEX(Knutepunkter!$C:$C,D1938+1))</f>
        <v/>
      </c>
      <c r="H1938" t="str">
        <f>IF(D1938="","",INDEX(Knutepunkter!$D:$D,D1938+1))</f>
        <v/>
      </c>
      <c r="I1938" t="str">
        <f>IF(E1938="","",INDEX(Knutepunkter!$B:$B,E1938+1))</f>
        <v/>
      </c>
      <c r="J1938" t="str">
        <f>IF(E1938="","",INDEX(Knutepunkter!$C:$C,E1938+1))</f>
        <v/>
      </c>
      <c r="K1938" t="str">
        <f>IF(E1938="","",INDEX(Knutepunkter!$D:$D,E1938+1))</f>
        <v/>
      </c>
      <c r="L1938" t="str">
        <f t="shared" si="153"/>
        <v/>
      </c>
      <c r="M1938" t="str">
        <f t="shared" si="154"/>
        <v/>
      </c>
    </row>
    <row r="1939" spans="1:13" x14ac:dyDescent="0.3">
      <c r="A1939" t="str">
        <f>Segmenter!A1939</f>
        <v/>
      </c>
      <c r="B1939" t="str">
        <f>Segmenter!B1939</f>
        <v/>
      </c>
      <c r="C1939" t="str">
        <f t="shared" si="150"/>
        <v/>
      </c>
      <c r="D1939" t="str">
        <f t="shared" si="151"/>
        <v/>
      </c>
      <c r="E1939" t="str">
        <f t="shared" si="152"/>
        <v/>
      </c>
      <c r="F1939" t="str">
        <f>IF(D1939="","",INDEX(Knutepunkter!$B:$B,D1939+1))</f>
        <v/>
      </c>
      <c r="G1939" t="str">
        <f>IF(D1939="","",INDEX(Knutepunkter!$C:$C,D1939+1))</f>
        <v/>
      </c>
      <c r="H1939" t="str">
        <f>IF(D1939="","",INDEX(Knutepunkter!$D:$D,D1939+1))</f>
        <v/>
      </c>
      <c r="I1939" t="str">
        <f>IF(E1939="","",INDEX(Knutepunkter!$B:$B,E1939+1))</f>
        <v/>
      </c>
      <c r="J1939" t="str">
        <f>IF(E1939="","",INDEX(Knutepunkter!$C:$C,E1939+1))</f>
        <v/>
      </c>
      <c r="K1939" t="str">
        <f>IF(E1939="","",INDEX(Knutepunkter!$D:$D,E1939+1))</f>
        <v/>
      </c>
      <c r="L1939" t="str">
        <f t="shared" si="153"/>
        <v/>
      </c>
      <c r="M1939" t="str">
        <f t="shared" si="154"/>
        <v/>
      </c>
    </row>
    <row r="1940" spans="1:13" x14ac:dyDescent="0.3">
      <c r="A1940" t="str">
        <f>Segmenter!A1940</f>
        <v/>
      </c>
      <c r="B1940" t="str">
        <f>Segmenter!B1940</f>
        <v/>
      </c>
      <c r="C1940" t="str">
        <f t="shared" si="150"/>
        <v/>
      </c>
      <c r="D1940" t="str">
        <f t="shared" si="151"/>
        <v/>
      </c>
      <c r="E1940" t="str">
        <f t="shared" si="152"/>
        <v/>
      </c>
      <c r="F1940" t="str">
        <f>IF(D1940="","",INDEX(Knutepunkter!$B:$B,D1940+1))</f>
        <v/>
      </c>
      <c r="G1940" t="str">
        <f>IF(D1940="","",INDEX(Knutepunkter!$C:$C,D1940+1))</f>
        <v/>
      </c>
      <c r="H1940" t="str">
        <f>IF(D1940="","",INDEX(Knutepunkter!$D:$D,D1940+1))</f>
        <v/>
      </c>
      <c r="I1940" t="str">
        <f>IF(E1940="","",INDEX(Knutepunkter!$B:$B,E1940+1))</f>
        <v/>
      </c>
      <c r="J1940" t="str">
        <f>IF(E1940="","",INDEX(Knutepunkter!$C:$C,E1940+1))</f>
        <v/>
      </c>
      <c r="K1940" t="str">
        <f>IF(E1940="","",INDEX(Knutepunkter!$D:$D,E1940+1))</f>
        <v/>
      </c>
      <c r="L1940" t="str">
        <f t="shared" si="153"/>
        <v/>
      </c>
      <c r="M1940" t="str">
        <f t="shared" si="154"/>
        <v/>
      </c>
    </row>
    <row r="1941" spans="1:13" x14ac:dyDescent="0.3">
      <c r="A1941" t="str">
        <f>Segmenter!A1941</f>
        <v/>
      </c>
      <c r="B1941" t="str">
        <f>Segmenter!B1941</f>
        <v/>
      </c>
      <c r="C1941" t="str">
        <f t="shared" si="150"/>
        <v/>
      </c>
      <c r="D1941" t="str">
        <f t="shared" si="151"/>
        <v/>
      </c>
      <c r="E1941" t="str">
        <f t="shared" si="152"/>
        <v/>
      </c>
      <c r="F1941" t="str">
        <f>IF(D1941="","",INDEX(Knutepunkter!$B:$B,D1941+1))</f>
        <v/>
      </c>
      <c r="G1941" t="str">
        <f>IF(D1941="","",INDEX(Knutepunkter!$C:$C,D1941+1))</f>
        <v/>
      </c>
      <c r="H1941" t="str">
        <f>IF(D1941="","",INDEX(Knutepunkter!$D:$D,D1941+1))</f>
        <v/>
      </c>
      <c r="I1941" t="str">
        <f>IF(E1941="","",INDEX(Knutepunkter!$B:$B,E1941+1))</f>
        <v/>
      </c>
      <c r="J1941" t="str">
        <f>IF(E1941="","",INDEX(Knutepunkter!$C:$C,E1941+1))</f>
        <v/>
      </c>
      <c r="K1941" t="str">
        <f>IF(E1941="","",INDEX(Knutepunkter!$D:$D,E1941+1))</f>
        <v/>
      </c>
      <c r="L1941" t="str">
        <f t="shared" si="153"/>
        <v/>
      </c>
      <c r="M1941" t="str">
        <f t="shared" si="154"/>
        <v/>
      </c>
    </row>
    <row r="1942" spans="1:13" x14ac:dyDescent="0.3">
      <c r="A1942" t="str">
        <f>Segmenter!A1942</f>
        <v/>
      </c>
      <c r="B1942" t="str">
        <f>Segmenter!B1942</f>
        <v/>
      </c>
      <c r="C1942" t="str">
        <f t="shared" si="150"/>
        <v/>
      </c>
      <c r="D1942" t="str">
        <f t="shared" si="151"/>
        <v/>
      </c>
      <c r="E1942" t="str">
        <f t="shared" si="152"/>
        <v/>
      </c>
      <c r="F1942" t="str">
        <f>IF(D1942="","",INDEX(Knutepunkter!$B:$B,D1942+1))</f>
        <v/>
      </c>
      <c r="G1942" t="str">
        <f>IF(D1942="","",INDEX(Knutepunkter!$C:$C,D1942+1))</f>
        <v/>
      </c>
      <c r="H1942" t="str">
        <f>IF(D1942="","",INDEX(Knutepunkter!$D:$D,D1942+1))</f>
        <v/>
      </c>
      <c r="I1942" t="str">
        <f>IF(E1942="","",INDEX(Knutepunkter!$B:$B,E1942+1))</f>
        <v/>
      </c>
      <c r="J1942" t="str">
        <f>IF(E1942="","",INDEX(Knutepunkter!$C:$C,E1942+1))</f>
        <v/>
      </c>
      <c r="K1942" t="str">
        <f>IF(E1942="","",INDEX(Knutepunkter!$D:$D,E1942+1))</f>
        <v/>
      </c>
      <c r="L1942" t="str">
        <f t="shared" si="153"/>
        <v/>
      </c>
      <c r="M1942" t="str">
        <f t="shared" si="154"/>
        <v/>
      </c>
    </row>
    <row r="1943" spans="1:13" x14ac:dyDescent="0.3">
      <c r="A1943" t="str">
        <f>Segmenter!A1943</f>
        <v/>
      </c>
      <c r="B1943" t="str">
        <f>Segmenter!B1943</f>
        <v/>
      </c>
      <c r="C1943" t="str">
        <f t="shared" si="150"/>
        <v/>
      </c>
      <c r="D1943" t="str">
        <f t="shared" si="151"/>
        <v/>
      </c>
      <c r="E1943" t="str">
        <f t="shared" si="152"/>
        <v/>
      </c>
      <c r="F1943" t="str">
        <f>IF(D1943="","",INDEX(Knutepunkter!$B:$B,D1943+1))</f>
        <v/>
      </c>
      <c r="G1943" t="str">
        <f>IF(D1943="","",INDEX(Knutepunkter!$C:$C,D1943+1))</f>
        <v/>
      </c>
      <c r="H1943" t="str">
        <f>IF(D1943="","",INDEX(Knutepunkter!$D:$D,D1943+1))</f>
        <v/>
      </c>
      <c r="I1943" t="str">
        <f>IF(E1943="","",INDEX(Knutepunkter!$B:$B,E1943+1))</f>
        <v/>
      </c>
      <c r="J1943" t="str">
        <f>IF(E1943="","",INDEX(Knutepunkter!$C:$C,E1943+1))</f>
        <v/>
      </c>
      <c r="K1943" t="str">
        <f>IF(E1943="","",INDEX(Knutepunkter!$D:$D,E1943+1))</f>
        <v/>
      </c>
      <c r="L1943" t="str">
        <f t="shared" si="153"/>
        <v/>
      </c>
      <c r="M1943" t="str">
        <f t="shared" si="154"/>
        <v/>
      </c>
    </row>
    <row r="1944" spans="1:13" x14ac:dyDescent="0.3">
      <c r="A1944" t="str">
        <f>Segmenter!A1944</f>
        <v/>
      </c>
      <c r="B1944" t="str">
        <f>Segmenter!B1944</f>
        <v/>
      </c>
      <c r="C1944" t="str">
        <f t="shared" si="150"/>
        <v/>
      </c>
      <c r="D1944" t="str">
        <f t="shared" si="151"/>
        <v/>
      </c>
      <c r="E1944" t="str">
        <f t="shared" si="152"/>
        <v/>
      </c>
      <c r="F1944" t="str">
        <f>IF(D1944="","",INDEX(Knutepunkter!$B:$B,D1944+1))</f>
        <v/>
      </c>
      <c r="G1944" t="str">
        <f>IF(D1944="","",INDEX(Knutepunkter!$C:$C,D1944+1))</f>
        <v/>
      </c>
      <c r="H1944" t="str">
        <f>IF(D1944="","",INDEX(Knutepunkter!$D:$D,D1944+1))</f>
        <v/>
      </c>
      <c r="I1944" t="str">
        <f>IF(E1944="","",INDEX(Knutepunkter!$B:$B,E1944+1))</f>
        <v/>
      </c>
      <c r="J1944" t="str">
        <f>IF(E1944="","",INDEX(Knutepunkter!$C:$C,E1944+1))</f>
        <v/>
      </c>
      <c r="K1944" t="str">
        <f>IF(E1944="","",INDEX(Knutepunkter!$D:$D,E1944+1))</f>
        <v/>
      </c>
      <c r="L1944" t="str">
        <f t="shared" si="153"/>
        <v/>
      </c>
      <c r="M1944" t="str">
        <f t="shared" si="154"/>
        <v/>
      </c>
    </row>
    <row r="1945" spans="1:13" x14ac:dyDescent="0.3">
      <c r="A1945" t="str">
        <f>Segmenter!A1945</f>
        <v/>
      </c>
      <c r="B1945" t="str">
        <f>Segmenter!B1945</f>
        <v/>
      </c>
      <c r="C1945" t="str">
        <f t="shared" si="150"/>
        <v/>
      </c>
      <c r="D1945" t="str">
        <f t="shared" si="151"/>
        <v/>
      </c>
      <c r="E1945" t="str">
        <f t="shared" si="152"/>
        <v/>
      </c>
      <c r="F1945" t="str">
        <f>IF(D1945="","",INDEX(Knutepunkter!$B:$B,D1945+1))</f>
        <v/>
      </c>
      <c r="G1945" t="str">
        <f>IF(D1945="","",INDEX(Knutepunkter!$C:$C,D1945+1))</f>
        <v/>
      </c>
      <c r="H1945" t="str">
        <f>IF(D1945="","",INDEX(Knutepunkter!$D:$D,D1945+1))</f>
        <v/>
      </c>
      <c r="I1945" t="str">
        <f>IF(E1945="","",INDEX(Knutepunkter!$B:$B,E1945+1))</f>
        <v/>
      </c>
      <c r="J1945" t="str">
        <f>IF(E1945="","",INDEX(Knutepunkter!$C:$C,E1945+1))</f>
        <v/>
      </c>
      <c r="K1945" t="str">
        <f>IF(E1945="","",INDEX(Knutepunkter!$D:$D,E1945+1))</f>
        <v/>
      </c>
      <c r="L1945" t="str">
        <f t="shared" si="153"/>
        <v/>
      </c>
      <c r="M1945" t="str">
        <f t="shared" si="154"/>
        <v/>
      </c>
    </row>
    <row r="1946" spans="1:13" x14ac:dyDescent="0.3">
      <c r="A1946" t="str">
        <f>Segmenter!A1946</f>
        <v/>
      </c>
      <c r="B1946" t="str">
        <f>Segmenter!B1946</f>
        <v/>
      </c>
      <c r="C1946" t="str">
        <f t="shared" si="150"/>
        <v/>
      </c>
      <c r="D1946" t="str">
        <f t="shared" si="151"/>
        <v/>
      </c>
      <c r="E1946" t="str">
        <f t="shared" si="152"/>
        <v/>
      </c>
      <c r="F1946" t="str">
        <f>IF(D1946="","",INDEX(Knutepunkter!$B:$B,D1946+1))</f>
        <v/>
      </c>
      <c r="G1946" t="str">
        <f>IF(D1946="","",INDEX(Knutepunkter!$C:$C,D1946+1))</f>
        <v/>
      </c>
      <c r="H1946" t="str">
        <f>IF(D1946="","",INDEX(Knutepunkter!$D:$D,D1946+1))</f>
        <v/>
      </c>
      <c r="I1946" t="str">
        <f>IF(E1946="","",INDEX(Knutepunkter!$B:$B,E1946+1))</f>
        <v/>
      </c>
      <c r="J1946" t="str">
        <f>IF(E1946="","",INDEX(Knutepunkter!$C:$C,E1946+1))</f>
        <v/>
      </c>
      <c r="K1946" t="str">
        <f>IF(E1946="","",INDEX(Knutepunkter!$D:$D,E1946+1))</f>
        <v/>
      </c>
      <c r="L1946" t="str">
        <f t="shared" si="153"/>
        <v/>
      </c>
      <c r="M1946" t="str">
        <f t="shared" si="154"/>
        <v/>
      </c>
    </row>
    <row r="1947" spans="1:13" x14ac:dyDescent="0.3">
      <c r="A1947" t="str">
        <f>Segmenter!A1947</f>
        <v/>
      </c>
      <c r="B1947" t="str">
        <f>Segmenter!B1947</f>
        <v/>
      </c>
      <c r="C1947" t="str">
        <f t="shared" si="150"/>
        <v/>
      </c>
      <c r="D1947" t="str">
        <f t="shared" si="151"/>
        <v/>
      </c>
      <c r="E1947" t="str">
        <f t="shared" si="152"/>
        <v/>
      </c>
      <c r="F1947" t="str">
        <f>IF(D1947="","",INDEX(Knutepunkter!$B:$B,D1947+1))</f>
        <v/>
      </c>
      <c r="G1947" t="str">
        <f>IF(D1947="","",INDEX(Knutepunkter!$C:$C,D1947+1))</f>
        <v/>
      </c>
      <c r="H1947" t="str">
        <f>IF(D1947="","",INDEX(Knutepunkter!$D:$D,D1947+1))</f>
        <v/>
      </c>
      <c r="I1947" t="str">
        <f>IF(E1947="","",INDEX(Knutepunkter!$B:$B,E1947+1))</f>
        <v/>
      </c>
      <c r="J1947" t="str">
        <f>IF(E1947="","",INDEX(Knutepunkter!$C:$C,E1947+1))</f>
        <v/>
      </c>
      <c r="K1947" t="str">
        <f>IF(E1947="","",INDEX(Knutepunkter!$D:$D,E1947+1))</f>
        <v/>
      </c>
      <c r="L1947" t="str">
        <f t="shared" si="153"/>
        <v/>
      </c>
      <c r="M1947" t="str">
        <f t="shared" si="154"/>
        <v/>
      </c>
    </row>
    <row r="1948" spans="1:13" x14ac:dyDescent="0.3">
      <c r="A1948" t="str">
        <f>Segmenter!A1948</f>
        <v/>
      </c>
      <c r="B1948" t="str">
        <f>Segmenter!B1948</f>
        <v/>
      </c>
      <c r="C1948" t="str">
        <f t="shared" si="150"/>
        <v/>
      </c>
      <c r="D1948" t="str">
        <f t="shared" si="151"/>
        <v/>
      </c>
      <c r="E1948" t="str">
        <f t="shared" si="152"/>
        <v/>
      </c>
      <c r="F1948" t="str">
        <f>IF(D1948="","",INDEX(Knutepunkter!$B:$B,D1948+1))</f>
        <v/>
      </c>
      <c r="G1948" t="str">
        <f>IF(D1948="","",INDEX(Knutepunkter!$C:$C,D1948+1))</f>
        <v/>
      </c>
      <c r="H1948" t="str">
        <f>IF(D1948="","",INDEX(Knutepunkter!$D:$D,D1948+1))</f>
        <v/>
      </c>
      <c r="I1948" t="str">
        <f>IF(E1948="","",INDEX(Knutepunkter!$B:$B,E1948+1))</f>
        <v/>
      </c>
      <c r="J1948" t="str">
        <f>IF(E1948="","",INDEX(Knutepunkter!$C:$C,E1948+1))</f>
        <v/>
      </c>
      <c r="K1948" t="str">
        <f>IF(E1948="","",INDEX(Knutepunkter!$D:$D,E1948+1))</f>
        <v/>
      </c>
      <c r="L1948" t="str">
        <f t="shared" si="153"/>
        <v/>
      </c>
      <c r="M1948" t="str">
        <f t="shared" si="154"/>
        <v/>
      </c>
    </row>
    <row r="1949" spans="1:13" x14ac:dyDescent="0.3">
      <c r="A1949" t="str">
        <f>Segmenter!A1949</f>
        <v/>
      </c>
      <c r="B1949" t="str">
        <f>Segmenter!B1949</f>
        <v/>
      </c>
      <c r="C1949" t="str">
        <f t="shared" si="150"/>
        <v/>
      </c>
      <c r="D1949" t="str">
        <f t="shared" si="151"/>
        <v/>
      </c>
      <c r="E1949" t="str">
        <f t="shared" si="152"/>
        <v/>
      </c>
      <c r="F1949" t="str">
        <f>IF(D1949="","",INDEX(Knutepunkter!$B:$B,D1949+1))</f>
        <v/>
      </c>
      <c r="G1949" t="str">
        <f>IF(D1949="","",INDEX(Knutepunkter!$C:$C,D1949+1))</f>
        <v/>
      </c>
      <c r="H1949" t="str">
        <f>IF(D1949="","",INDEX(Knutepunkter!$D:$D,D1949+1))</f>
        <v/>
      </c>
      <c r="I1949" t="str">
        <f>IF(E1949="","",INDEX(Knutepunkter!$B:$B,E1949+1))</f>
        <v/>
      </c>
      <c r="J1949" t="str">
        <f>IF(E1949="","",INDEX(Knutepunkter!$C:$C,E1949+1))</f>
        <v/>
      </c>
      <c r="K1949" t="str">
        <f>IF(E1949="","",INDEX(Knutepunkter!$D:$D,E1949+1))</f>
        <v/>
      </c>
      <c r="L1949" t="str">
        <f t="shared" si="153"/>
        <v/>
      </c>
      <c r="M1949" t="str">
        <f t="shared" si="154"/>
        <v/>
      </c>
    </row>
    <row r="1950" spans="1:13" x14ac:dyDescent="0.3">
      <c r="A1950" t="str">
        <f>Segmenter!A1950</f>
        <v/>
      </c>
      <c r="B1950" t="str">
        <f>Segmenter!B1950</f>
        <v/>
      </c>
      <c r="C1950" t="str">
        <f t="shared" si="150"/>
        <v/>
      </c>
      <c r="D1950" t="str">
        <f t="shared" si="151"/>
        <v/>
      </c>
      <c r="E1950" t="str">
        <f t="shared" si="152"/>
        <v/>
      </c>
      <c r="F1950" t="str">
        <f>IF(D1950="","",INDEX(Knutepunkter!$B:$B,D1950+1))</f>
        <v/>
      </c>
      <c r="G1950" t="str">
        <f>IF(D1950="","",INDEX(Knutepunkter!$C:$C,D1950+1))</f>
        <v/>
      </c>
      <c r="H1950" t="str">
        <f>IF(D1950="","",INDEX(Knutepunkter!$D:$D,D1950+1))</f>
        <v/>
      </c>
      <c r="I1950" t="str">
        <f>IF(E1950="","",INDEX(Knutepunkter!$B:$B,E1950+1))</f>
        <v/>
      </c>
      <c r="J1950" t="str">
        <f>IF(E1950="","",INDEX(Knutepunkter!$C:$C,E1950+1))</f>
        <v/>
      </c>
      <c r="K1950" t="str">
        <f>IF(E1950="","",INDEX(Knutepunkter!$D:$D,E1950+1))</f>
        <v/>
      </c>
      <c r="L1950" t="str">
        <f t="shared" si="153"/>
        <v/>
      </c>
      <c r="M1950" t="str">
        <f t="shared" si="154"/>
        <v/>
      </c>
    </row>
    <row r="1951" spans="1:13" x14ac:dyDescent="0.3">
      <c r="A1951" t="str">
        <f>Segmenter!A1951</f>
        <v/>
      </c>
      <c r="B1951" t="str">
        <f>Segmenter!B1951</f>
        <v/>
      </c>
      <c r="C1951" t="str">
        <f t="shared" si="150"/>
        <v/>
      </c>
      <c r="D1951" t="str">
        <f t="shared" si="151"/>
        <v/>
      </c>
      <c r="E1951" t="str">
        <f t="shared" si="152"/>
        <v/>
      </c>
      <c r="F1951" t="str">
        <f>IF(D1951="","",INDEX(Knutepunkter!$B:$B,D1951+1))</f>
        <v/>
      </c>
      <c r="G1951" t="str">
        <f>IF(D1951="","",INDEX(Knutepunkter!$C:$C,D1951+1))</f>
        <v/>
      </c>
      <c r="H1951" t="str">
        <f>IF(D1951="","",INDEX(Knutepunkter!$D:$D,D1951+1))</f>
        <v/>
      </c>
      <c r="I1951" t="str">
        <f>IF(E1951="","",INDEX(Knutepunkter!$B:$B,E1951+1))</f>
        <v/>
      </c>
      <c r="J1951" t="str">
        <f>IF(E1951="","",INDEX(Knutepunkter!$C:$C,E1951+1))</f>
        <v/>
      </c>
      <c r="K1951" t="str">
        <f>IF(E1951="","",INDEX(Knutepunkter!$D:$D,E1951+1))</f>
        <v/>
      </c>
      <c r="L1951" t="str">
        <f t="shared" si="153"/>
        <v/>
      </c>
      <c r="M1951" t="str">
        <f t="shared" si="154"/>
        <v/>
      </c>
    </row>
    <row r="1952" spans="1:13" x14ac:dyDescent="0.3">
      <c r="A1952" t="str">
        <f>Segmenter!A1952</f>
        <v/>
      </c>
      <c r="B1952" t="str">
        <f>Segmenter!B1952</f>
        <v/>
      </c>
      <c r="C1952" t="str">
        <f t="shared" si="150"/>
        <v/>
      </c>
      <c r="D1952" t="str">
        <f t="shared" si="151"/>
        <v/>
      </c>
      <c r="E1952" t="str">
        <f t="shared" si="152"/>
        <v/>
      </c>
      <c r="F1952" t="str">
        <f>IF(D1952="","",INDEX(Knutepunkter!$B:$B,D1952+1))</f>
        <v/>
      </c>
      <c r="G1952" t="str">
        <f>IF(D1952="","",INDEX(Knutepunkter!$C:$C,D1952+1))</f>
        <v/>
      </c>
      <c r="H1952" t="str">
        <f>IF(D1952="","",INDEX(Knutepunkter!$D:$D,D1952+1))</f>
        <v/>
      </c>
      <c r="I1952" t="str">
        <f>IF(E1952="","",INDEX(Knutepunkter!$B:$B,E1952+1))</f>
        <v/>
      </c>
      <c r="J1952" t="str">
        <f>IF(E1952="","",INDEX(Knutepunkter!$C:$C,E1952+1))</f>
        <v/>
      </c>
      <c r="K1952" t="str">
        <f>IF(E1952="","",INDEX(Knutepunkter!$D:$D,E1952+1))</f>
        <v/>
      </c>
      <c r="L1952" t="str">
        <f t="shared" si="153"/>
        <v/>
      </c>
      <c r="M1952" t="str">
        <f t="shared" si="154"/>
        <v/>
      </c>
    </row>
    <row r="1953" spans="1:13" x14ac:dyDescent="0.3">
      <c r="A1953" t="str">
        <f>Segmenter!A1953</f>
        <v/>
      </c>
      <c r="B1953" t="str">
        <f>Segmenter!B1953</f>
        <v/>
      </c>
      <c r="C1953" t="str">
        <f t="shared" si="150"/>
        <v/>
      </c>
      <c r="D1953" t="str">
        <f t="shared" si="151"/>
        <v/>
      </c>
      <c r="E1953" t="str">
        <f t="shared" si="152"/>
        <v/>
      </c>
      <c r="F1953" t="str">
        <f>IF(D1953="","",INDEX(Knutepunkter!$B:$B,D1953+1))</f>
        <v/>
      </c>
      <c r="G1953" t="str">
        <f>IF(D1953="","",INDEX(Knutepunkter!$C:$C,D1953+1))</f>
        <v/>
      </c>
      <c r="H1953" t="str">
        <f>IF(D1953="","",INDEX(Knutepunkter!$D:$D,D1953+1))</f>
        <v/>
      </c>
      <c r="I1953" t="str">
        <f>IF(E1953="","",INDEX(Knutepunkter!$B:$B,E1953+1))</f>
        <v/>
      </c>
      <c r="J1953" t="str">
        <f>IF(E1953="","",INDEX(Knutepunkter!$C:$C,E1953+1))</f>
        <v/>
      </c>
      <c r="K1953" t="str">
        <f>IF(E1953="","",INDEX(Knutepunkter!$D:$D,E1953+1))</f>
        <v/>
      </c>
      <c r="L1953" t="str">
        <f t="shared" si="153"/>
        <v/>
      </c>
      <c r="M1953" t="str">
        <f t="shared" si="154"/>
        <v/>
      </c>
    </row>
    <row r="1954" spans="1:13" x14ac:dyDescent="0.3">
      <c r="A1954" t="str">
        <f>Segmenter!A1954</f>
        <v/>
      </c>
      <c r="B1954" t="str">
        <f>Segmenter!B1954</f>
        <v/>
      </c>
      <c r="C1954" t="str">
        <f t="shared" si="150"/>
        <v/>
      </c>
      <c r="D1954" t="str">
        <f t="shared" si="151"/>
        <v/>
      </c>
      <c r="E1954" t="str">
        <f t="shared" si="152"/>
        <v/>
      </c>
      <c r="F1954" t="str">
        <f>IF(D1954="","",INDEX(Knutepunkter!$B:$B,D1954+1))</f>
        <v/>
      </c>
      <c r="G1954" t="str">
        <f>IF(D1954="","",INDEX(Knutepunkter!$C:$C,D1954+1))</f>
        <v/>
      </c>
      <c r="H1954" t="str">
        <f>IF(D1954="","",INDEX(Knutepunkter!$D:$D,D1954+1))</f>
        <v/>
      </c>
      <c r="I1954" t="str">
        <f>IF(E1954="","",INDEX(Knutepunkter!$B:$B,E1954+1))</f>
        <v/>
      </c>
      <c r="J1954" t="str">
        <f>IF(E1954="","",INDEX(Knutepunkter!$C:$C,E1954+1))</f>
        <v/>
      </c>
      <c r="K1954" t="str">
        <f>IF(E1954="","",INDEX(Knutepunkter!$D:$D,E1954+1))</f>
        <v/>
      </c>
      <c r="L1954" t="str">
        <f t="shared" si="153"/>
        <v/>
      </c>
      <c r="M1954" t="str">
        <f t="shared" si="154"/>
        <v/>
      </c>
    </row>
    <row r="1955" spans="1:13" x14ac:dyDescent="0.3">
      <c r="A1955" t="str">
        <f>Segmenter!A1955</f>
        <v/>
      </c>
      <c r="B1955" t="str">
        <f>Segmenter!B1955</f>
        <v/>
      </c>
      <c r="C1955" t="str">
        <f t="shared" si="150"/>
        <v/>
      </c>
      <c r="D1955" t="str">
        <f t="shared" si="151"/>
        <v/>
      </c>
      <c r="E1955" t="str">
        <f t="shared" si="152"/>
        <v/>
      </c>
      <c r="F1955" t="str">
        <f>IF(D1955="","",INDEX(Knutepunkter!$B:$B,D1955+1))</f>
        <v/>
      </c>
      <c r="G1955" t="str">
        <f>IF(D1955="","",INDEX(Knutepunkter!$C:$C,D1955+1))</f>
        <v/>
      </c>
      <c r="H1955" t="str">
        <f>IF(D1955="","",INDEX(Knutepunkter!$D:$D,D1955+1))</f>
        <v/>
      </c>
      <c r="I1955" t="str">
        <f>IF(E1955="","",INDEX(Knutepunkter!$B:$B,E1955+1))</f>
        <v/>
      </c>
      <c r="J1955" t="str">
        <f>IF(E1955="","",INDEX(Knutepunkter!$C:$C,E1955+1))</f>
        <v/>
      </c>
      <c r="K1955" t="str">
        <f>IF(E1955="","",INDEX(Knutepunkter!$D:$D,E1955+1))</f>
        <v/>
      </c>
      <c r="L1955" t="str">
        <f t="shared" si="153"/>
        <v/>
      </c>
      <c r="M1955" t="str">
        <f t="shared" si="154"/>
        <v/>
      </c>
    </row>
    <row r="1956" spans="1:13" x14ac:dyDescent="0.3">
      <c r="A1956" t="str">
        <f>Segmenter!A1956</f>
        <v/>
      </c>
      <c r="B1956" t="str">
        <f>Segmenter!B1956</f>
        <v/>
      </c>
      <c r="C1956" t="str">
        <f t="shared" si="150"/>
        <v/>
      </c>
      <c r="D1956" t="str">
        <f t="shared" si="151"/>
        <v/>
      </c>
      <c r="E1956" t="str">
        <f t="shared" si="152"/>
        <v/>
      </c>
      <c r="F1956" t="str">
        <f>IF(D1956="","",INDEX(Knutepunkter!$B:$B,D1956+1))</f>
        <v/>
      </c>
      <c r="G1956" t="str">
        <f>IF(D1956="","",INDEX(Knutepunkter!$C:$C,D1956+1))</f>
        <v/>
      </c>
      <c r="H1956" t="str">
        <f>IF(D1956="","",INDEX(Knutepunkter!$D:$D,D1956+1))</f>
        <v/>
      </c>
      <c r="I1956" t="str">
        <f>IF(E1956="","",INDEX(Knutepunkter!$B:$B,E1956+1))</f>
        <v/>
      </c>
      <c r="J1956" t="str">
        <f>IF(E1956="","",INDEX(Knutepunkter!$C:$C,E1956+1))</f>
        <v/>
      </c>
      <c r="K1956" t="str">
        <f>IF(E1956="","",INDEX(Knutepunkter!$D:$D,E1956+1))</f>
        <v/>
      </c>
      <c r="L1956" t="str">
        <f t="shared" si="153"/>
        <v/>
      </c>
      <c r="M1956" t="str">
        <f t="shared" si="154"/>
        <v/>
      </c>
    </row>
    <row r="1957" spans="1:13" x14ac:dyDescent="0.3">
      <c r="A1957" t="str">
        <f>Segmenter!A1957</f>
        <v/>
      </c>
      <c r="B1957" t="str">
        <f>Segmenter!B1957</f>
        <v/>
      </c>
      <c r="C1957" t="str">
        <f t="shared" si="150"/>
        <v/>
      </c>
      <c r="D1957" t="str">
        <f t="shared" si="151"/>
        <v/>
      </c>
      <c r="E1957" t="str">
        <f t="shared" si="152"/>
        <v/>
      </c>
      <c r="F1957" t="str">
        <f>IF(D1957="","",INDEX(Knutepunkter!$B:$B,D1957+1))</f>
        <v/>
      </c>
      <c r="G1957" t="str">
        <f>IF(D1957="","",INDEX(Knutepunkter!$C:$C,D1957+1))</f>
        <v/>
      </c>
      <c r="H1957" t="str">
        <f>IF(D1957="","",INDEX(Knutepunkter!$D:$D,D1957+1))</f>
        <v/>
      </c>
      <c r="I1957" t="str">
        <f>IF(E1957="","",INDEX(Knutepunkter!$B:$B,E1957+1))</f>
        <v/>
      </c>
      <c r="J1957" t="str">
        <f>IF(E1957="","",INDEX(Knutepunkter!$C:$C,E1957+1))</f>
        <v/>
      </c>
      <c r="K1957" t="str">
        <f>IF(E1957="","",INDEX(Knutepunkter!$D:$D,E1957+1))</f>
        <v/>
      </c>
      <c r="L1957" t="str">
        <f t="shared" si="153"/>
        <v/>
      </c>
      <c r="M1957" t="str">
        <f t="shared" si="154"/>
        <v/>
      </c>
    </row>
    <row r="1958" spans="1:13" x14ac:dyDescent="0.3">
      <c r="A1958" t="str">
        <f>Segmenter!A1958</f>
        <v/>
      </c>
      <c r="B1958" t="str">
        <f>Segmenter!B1958</f>
        <v/>
      </c>
      <c r="C1958" t="str">
        <f t="shared" si="150"/>
        <v/>
      </c>
      <c r="D1958" t="str">
        <f t="shared" si="151"/>
        <v/>
      </c>
      <c r="E1958" t="str">
        <f t="shared" si="152"/>
        <v/>
      </c>
      <c r="F1958" t="str">
        <f>IF(D1958="","",INDEX(Knutepunkter!$B:$B,D1958+1))</f>
        <v/>
      </c>
      <c r="G1958" t="str">
        <f>IF(D1958="","",INDEX(Knutepunkter!$C:$C,D1958+1))</f>
        <v/>
      </c>
      <c r="H1958" t="str">
        <f>IF(D1958="","",INDEX(Knutepunkter!$D:$D,D1958+1))</f>
        <v/>
      </c>
      <c r="I1958" t="str">
        <f>IF(E1958="","",INDEX(Knutepunkter!$B:$B,E1958+1))</f>
        <v/>
      </c>
      <c r="J1958" t="str">
        <f>IF(E1958="","",INDEX(Knutepunkter!$C:$C,E1958+1))</f>
        <v/>
      </c>
      <c r="K1958" t="str">
        <f>IF(E1958="","",INDEX(Knutepunkter!$D:$D,E1958+1))</f>
        <v/>
      </c>
      <c r="L1958" t="str">
        <f t="shared" si="153"/>
        <v/>
      </c>
      <c r="M1958" t="str">
        <f t="shared" si="154"/>
        <v/>
      </c>
    </row>
    <row r="1959" spans="1:13" x14ac:dyDescent="0.3">
      <c r="A1959" t="str">
        <f>Segmenter!A1959</f>
        <v/>
      </c>
      <c r="B1959" t="str">
        <f>Segmenter!B1959</f>
        <v/>
      </c>
      <c r="C1959" t="str">
        <f t="shared" si="150"/>
        <v/>
      </c>
      <c r="D1959" t="str">
        <f t="shared" si="151"/>
        <v/>
      </c>
      <c r="E1959" t="str">
        <f t="shared" si="152"/>
        <v/>
      </c>
      <c r="F1959" t="str">
        <f>IF(D1959="","",INDEX(Knutepunkter!$B:$B,D1959+1))</f>
        <v/>
      </c>
      <c r="G1959" t="str">
        <f>IF(D1959="","",INDEX(Knutepunkter!$C:$C,D1959+1))</f>
        <v/>
      </c>
      <c r="H1959" t="str">
        <f>IF(D1959="","",INDEX(Knutepunkter!$D:$D,D1959+1))</f>
        <v/>
      </c>
      <c r="I1959" t="str">
        <f>IF(E1959="","",INDEX(Knutepunkter!$B:$B,E1959+1))</f>
        <v/>
      </c>
      <c r="J1959" t="str">
        <f>IF(E1959="","",INDEX(Knutepunkter!$C:$C,E1959+1))</f>
        <v/>
      </c>
      <c r="K1959" t="str">
        <f>IF(E1959="","",INDEX(Knutepunkter!$D:$D,E1959+1))</f>
        <v/>
      </c>
      <c r="L1959" t="str">
        <f t="shared" si="153"/>
        <v/>
      </c>
      <c r="M1959" t="str">
        <f t="shared" si="154"/>
        <v/>
      </c>
    </row>
    <row r="1960" spans="1:13" x14ac:dyDescent="0.3">
      <c r="A1960" t="str">
        <f>Segmenter!A1960</f>
        <v/>
      </c>
      <c r="B1960" t="str">
        <f>Segmenter!B1960</f>
        <v/>
      </c>
      <c r="C1960" t="str">
        <f t="shared" si="150"/>
        <v/>
      </c>
      <c r="D1960" t="str">
        <f t="shared" si="151"/>
        <v/>
      </c>
      <c r="E1960" t="str">
        <f t="shared" si="152"/>
        <v/>
      </c>
      <c r="F1960" t="str">
        <f>IF(D1960="","",INDEX(Knutepunkter!$B:$B,D1960+1))</f>
        <v/>
      </c>
      <c r="G1960" t="str">
        <f>IF(D1960="","",INDEX(Knutepunkter!$C:$C,D1960+1))</f>
        <v/>
      </c>
      <c r="H1960" t="str">
        <f>IF(D1960="","",INDEX(Knutepunkter!$D:$D,D1960+1))</f>
        <v/>
      </c>
      <c r="I1960" t="str">
        <f>IF(E1960="","",INDEX(Knutepunkter!$B:$B,E1960+1))</f>
        <v/>
      </c>
      <c r="J1960" t="str">
        <f>IF(E1960="","",INDEX(Knutepunkter!$C:$C,E1960+1))</f>
        <v/>
      </c>
      <c r="K1960" t="str">
        <f>IF(E1960="","",INDEX(Knutepunkter!$D:$D,E1960+1))</f>
        <v/>
      </c>
      <c r="L1960" t="str">
        <f t="shared" si="153"/>
        <v/>
      </c>
      <c r="M1960" t="str">
        <f t="shared" si="154"/>
        <v/>
      </c>
    </row>
    <row r="1961" spans="1:13" x14ac:dyDescent="0.3">
      <c r="A1961" t="str">
        <f>Segmenter!A1961</f>
        <v/>
      </c>
      <c r="B1961" t="str">
        <f>Segmenter!B1961</f>
        <v/>
      </c>
      <c r="C1961" t="str">
        <f t="shared" si="150"/>
        <v/>
      </c>
      <c r="D1961" t="str">
        <f t="shared" si="151"/>
        <v/>
      </c>
      <c r="E1961" t="str">
        <f t="shared" si="152"/>
        <v/>
      </c>
      <c r="F1961" t="str">
        <f>IF(D1961="","",INDEX(Knutepunkter!$B:$B,D1961+1))</f>
        <v/>
      </c>
      <c r="G1961" t="str">
        <f>IF(D1961="","",INDEX(Knutepunkter!$C:$C,D1961+1))</f>
        <v/>
      </c>
      <c r="H1961" t="str">
        <f>IF(D1961="","",INDEX(Knutepunkter!$D:$D,D1961+1))</f>
        <v/>
      </c>
      <c r="I1961" t="str">
        <f>IF(E1961="","",INDEX(Knutepunkter!$B:$B,E1961+1))</f>
        <v/>
      </c>
      <c r="J1961" t="str">
        <f>IF(E1961="","",INDEX(Knutepunkter!$C:$C,E1961+1))</f>
        <v/>
      </c>
      <c r="K1961" t="str">
        <f>IF(E1961="","",INDEX(Knutepunkter!$D:$D,E1961+1))</f>
        <v/>
      </c>
      <c r="L1961" t="str">
        <f t="shared" si="153"/>
        <v/>
      </c>
      <c r="M1961" t="str">
        <f t="shared" si="154"/>
        <v/>
      </c>
    </row>
    <row r="1962" spans="1:13" x14ac:dyDescent="0.3">
      <c r="A1962" t="str">
        <f>Segmenter!A1962</f>
        <v/>
      </c>
      <c r="B1962" t="str">
        <f>Segmenter!B1962</f>
        <v/>
      </c>
      <c r="C1962" t="str">
        <f t="shared" si="150"/>
        <v/>
      </c>
      <c r="D1962" t="str">
        <f t="shared" si="151"/>
        <v/>
      </c>
      <c r="E1962" t="str">
        <f t="shared" si="152"/>
        <v/>
      </c>
      <c r="F1962" t="str">
        <f>IF(D1962="","",INDEX(Knutepunkter!$B:$B,D1962+1))</f>
        <v/>
      </c>
      <c r="G1962" t="str">
        <f>IF(D1962="","",INDEX(Knutepunkter!$C:$C,D1962+1))</f>
        <v/>
      </c>
      <c r="H1962" t="str">
        <f>IF(D1962="","",INDEX(Knutepunkter!$D:$D,D1962+1))</f>
        <v/>
      </c>
      <c r="I1962" t="str">
        <f>IF(E1962="","",INDEX(Knutepunkter!$B:$B,E1962+1))</f>
        <v/>
      </c>
      <c r="J1962" t="str">
        <f>IF(E1962="","",INDEX(Knutepunkter!$C:$C,E1962+1))</f>
        <v/>
      </c>
      <c r="K1962" t="str">
        <f>IF(E1962="","",INDEX(Knutepunkter!$D:$D,E1962+1))</f>
        <v/>
      </c>
      <c r="L1962" t="str">
        <f t="shared" si="153"/>
        <v/>
      </c>
      <c r="M1962" t="str">
        <f t="shared" si="154"/>
        <v/>
      </c>
    </row>
    <row r="1963" spans="1:13" x14ac:dyDescent="0.3">
      <c r="A1963" t="str">
        <f>Segmenter!A1963</f>
        <v/>
      </c>
      <c r="B1963" t="str">
        <f>Segmenter!B1963</f>
        <v/>
      </c>
      <c r="C1963" t="str">
        <f t="shared" si="150"/>
        <v/>
      </c>
      <c r="D1963" t="str">
        <f t="shared" si="151"/>
        <v/>
      </c>
      <c r="E1963" t="str">
        <f t="shared" si="152"/>
        <v/>
      </c>
      <c r="F1963" t="str">
        <f>IF(D1963="","",INDEX(Knutepunkter!$B:$B,D1963+1))</f>
        <v/>
      </c>
      <c r="G1963" t="str">
        <f>IF(D1963="","",INDEX(Knutepunkter!$C:$C,D1963+1))</f>
        <v/>
      </c>
      <c r="H1963" t="str">
        <f>IF(D1963="","",INDEX(Knutepunkter!$D:$D,D1963+1))</f>
        <v/>
      </c>
      <c r="I1963" t="str">
        <f>IF(E1963="","",INDEX(Knutepunkter!$B:$B,E1963+1))</f>
        <v/>
      </c>
      <c r="J1963" t="str">
        <f>IF(E1963="","",INDEX(Knutepunkter!$C:$C,E1963+1))</f>
        <v/>
      </c>
      <c r="K1963" t="str">
        <f>IF(E1963="","",INDEX(Knutepunkter!$D:$D,E1963+1))</f>
        <v/>
      </c>
      <c r="L1963" t="str">
        <f t="shared" si="153"/>
        <v/>
      </c>
      <c r="M1963" t="str">
        <f t="shared" si="154"/>
        <v/>
      </c>
    </row>
    <row r="1964" spans="1:13" x14ac:dyDescent="0.3">
      <c r="A1964" t="str">
        <f>Segmenter!A1964</f>
        <v/>
      </c>
      <c r="B1964" t="str">
        <f>Segmenter!B1964</f>
        <v/>
      </c>
      <c r="C1964" t="str">
        <f t="shared" si="150"/>
        <v/>
      </c>
      <c r="D1964" t="str">
        <f t="shared" si="151"/>
        <v/>
      </c>
      <c r="E1964" t="str">
        <f t="shared" si="152"/>
        <v/>
      </c>
      <c r="F1964" t="str">
        <f>IF(D1964="","",INDEX(Knutepunkter!$B:$B,D1964+1))</f>
        <v/>
      </c>
      <c r="G1964" t="str">
        <f>IF(D1964="","",INDEX(Knutepunkter!$C:$C,D1964+1))</f>
        <v/>
      </c>
      <c r="H1964" t="str">
        <f>IF(D1964="","",INDEX(Knutepunkter!$D:$D,D1964+1))</f>
        <v/>
      </c>
      <c r="I1964" t="str">
        <f>IF(E1964="","",INDEX(Knutepunkter!$B:$B,E1964+1))</f>
        <v/>
      </c>
      <c r="J1964" t="str">
        <f>IF(E1964="","",INDEX(Knutepunkter!$C:$C,E1964+1))</f>
        <v/>
      </c>
      <c r="K1964" t="str">
        <f>IF(E1964="","",INDEX(Knutepunkter!$D:$D,E1964+1))</f>
        <v/>
      </c>
      <c r="L1964" t="str">
        <f t="shared" si="153"/>
        <v/>
      </c>
      <c r="M1964" t="str">
        <f t="shared" si="154"/>
        <v/>
      </c>
    </row>
    <row r="1965" spans="1:13" x14ac:dyDescent="0.3">
      <c r="A1965" t="str">
        <f>Segmenter!A1965</f>
        <v/>
      </c>
      <c r="B1965" t="str">
        <f>Segmenter!B1965</f>
        <v/>
      </c>
      <c r="C1965" t="str">
        <f t="shared" si="150"/>
        <v/>
      </c>
      <c r="D1965" t="str">
        <f t="shared" si="151"/>
        <v/>
      </c>
      <c r="E1965" t="str">
        <f t="shared" si="152"/>
        <v/>
      </c>
      <c r="F1965" t="str">
        <f>IF(D1965="","",INDEX(Knutepunkter!$B:$B,D1965+1))</f>
        <v/>
      </c>
      <c r="G1965" t="str">
        <f>IF(D1965="","",INDEX(Knutepunkter!$C:$C,D1965+1))</f>
        <v/>
      </c>
      <c r="H1965" t="str">
        <f>IF(D1965="","",INDEX(Knutepunkter!$D:$D,D1965+1))</f>
        <v/>
      </c>
      <c r="I1965" t="str">
        <f>IF(E1965="","",INDEX(Knutepunkter!$B:$B,E1965+1))</f>
        <v/>
      </c>
      <c r="J1965" t="str">
        <f>IF(E1965="","",INDEX(Knutepunkter!$C:$C,E1965+1))</f>
        <v/>
      </c>
      <c r="K1965" t="str">
        <f>IF(E1965="","",INDEX(Knutepunkter!$D:$D,E1965+1))</f>
        <v/>
      </c>
      <c r="L1965" t="str">
        <f t="shared" si="153"/>
        <v/>
      </c>
      <c r="M1965" t="str">
        <f t="shared" si="154"/>
        <v/>
      </c>
    </row>
    <row r="1966" spans="1:13" x14ac:dyDescent="0.3">
      <c r="A1966" t="str">
        <f>Segmenter!A1966</f>
        <v/>
      </c>
      <c r="B1966" t="str">
        <f>Segmenter!B1966</f>
        <v/>
      </c>
      <c r="C1966" t="str">
        <f t="shared" si="150"/>
        <v/>
      </c>
      <c r="D1966" t="str">
        <f t="shared" si="151"/>
        <v/>
      </c>
      <c r="E1966" t="str">
        <f t="shared" si="152"/>
        <v/>
      </c>
      <c r="F1966" t="str">
        <f>IF(D1966="","",INDEX(Knutepunkter!$B:$B,D1966+1))</f>
        <v/>
      </c>
      <c r="G1966" t="str">
        <f>IF(D1966="","",INDEX(Knutepunkter!$C:$C,D1966+1))</f>
        <v/>
      </c>
      <c r="H1966" t="str">
        <f>IF(D1966="","",INDEX(Knutepunkter!$D:$D,D1966+1))</f>
        <v/>
      </c>
      <c r="I1966" t="str">
        <f>IF(E1966="","",INDEX(Knutepunkter!$B:$B,E1966+1))</f>
        <v/>
      </c>
      <c r="J1966" t="str">
        <f>IF(E1966="","",INDEX(Knutepunkter!$C:$C,E1966+1))</f>
        <v/>
      </c>
      <c r="K1966" t="str">
        <f>IF(E1966="","",INDEX(Knutepunkter!$D:$D,E1966+1))</f>
        <v/>
      </c>
      <c r="L1966" t="str">
        <f t="shared" si="153"/>
        <v/>
      </c>
      <c r="M1966" t="str">
        <f t="shared" si="154"/>
        <v/>
      </c>
    </row>
    <row r="1967" spans="1:13" x14ac:dyDescent="0.3">
      <c r="A1967" t="str">
        <f>Segmenter!A1967</f>
        <v/>
      </c>
      <c r="B1967" t="str">
        <f>Segmenter!B1967</f>
        <v/>
      </c>
      <c r="C1967" t="str">
        <f t="shared" si="150"/>
        <v/>
      </c>
      <c r="D1967" t="str">
        <f t="shared" si="151"/>
        <v/>
      </c>
      <c r="E1967" t="str">
        <f t="shared" si="152"/>
        <v/>
      </c>
      <c r="F1967" t="str">
        <f>IF(D1967="","",INDEX(Knutepunkter!$B:$B,D1967+1))</f>
        <v/>
      </c>
      <c r="G1967" t="str">
        <f>IF(D1967="","",INDEX(Knutepunkter!$C:$C,D1967+1))</f>
        <v/>
      </c>
      <c r="H1967" t="str">
        <f>IF(D1967="","",INDEX(Knutepunkter!$D:$D,D1967+1))</f>
        <v/>
      </c>
      <c r="I1967" t="str">
        <f>IF(E1967="","",INDEX(Knutepunkter!$B:$B,E1967+1))</f>
        <v/>
      </c>
      <c r="J1967" t="str">
        <f>IF(E1967="","",INDEX(Knutepunkter!$C:$C,E1967+1))</f>
        <v/>
      </c>
      <c r="K1967" t="str">
        <f>IF(E1967="","",INDEX(Knutepunkter!$D:$D,E1967+1))</f>
        <v/>
      </c>
      <c r="L1967" t="str">
        <f t="shared" si="153"/>
        <v/>
      </c>
      <c r="M1967" t="str">
        <f t="shared" si="154"/>
        <v/>
      </c>
    </row>
    <row r="1968" spans="1:13" x14ac:dyDescent="0.3">
      <c r="A1968" t="str">
        <f>Segmenter!A1968</f>
        <v/>
      </c>
      <c r="B1968" t="str">
        <f>Segmenter!B1968</f>
        <v/>
      </c>
      <c r="C1968" t="str">
        <f t="shared" si="150"/>
        <v/>
      </c>
      <c r="D1968" t="str">
        <f t="shared" si="151"/>
        <v/>
      </c>
      <c r="E1968" t="str">
        <f t="shared" si="152"/>
        <v/>
      </c>
      <c r="F1968" t="str">
        <f>IF(D1968="","",INDEX(Knutepunkter!$B:$B,D1968+1))</f>
        <v/>
      </c>
      <c r="G1968" t="str">
        <f>IF(D1968="","",INDEX(Knutepunkter!$C:$C,D1968+1))</f>
        <v/>
      </c>
      <c r="H1968" t="str">
        <f>IF(D1968="","",INDEX(Knutepunkter!$D:$D,D1968+1))</f>
        <v/>
      </c>
      <c r="I1968" t="str">
        <f>IF(E1968="","",INDEX(Knutepunkter!$B:$B,E1968+1))</f>
        <v/>
      </c>
      <c r="J1968" t="str">
        <f>IF(E1968="","",INDEX(Knutepunkter!$C:$C,E1968+1))</f>
        <v/>
      </c>
      <c r="K1968" t="str">
        <f>IF(E1968="","",INDEX(Knutepunkter!$D:$D,E1968+1))</f>
        <v/>
      </c>
      <c r="L1968" t="str">
        <f t="shared" si="153"/>
        <v/>
      </c>
      <c r="M1968" t="str">
        <f t="shared" si="154"/>
        <v/>
      </c>
    </row>
    <row r="1969" spans="1:13" x14ac:dyDescent="0.3">
      <c r="A1969" t="str">
        <f>Segmenter!A1969</f>
        <v/>
      </c>
      <c r="B1969" t="str">
        <f>Segmenter!B1969</f>
        <v/>
      </c>
      <c r="C1969" t="str">
        <f t="shared" si="150"/>
        <v/>
      </c>
      <c r="D1969" t="str">
        <f t="shared" si="151"/>
        <v/>
      </c>
      <c r="E1969" t="str">
        <f t="shared" si="152"/>
        <v/>
      </c>
      <c r="F1969" t="str">
        <f>IF(D1969="","",INDEX(Knutepunkter!$B:$B,D1969+1))</f>
        <v/>
      </c>
      <c r="G1969" t="str">
        <f>IF(D1969="","",INDEX(Knutepunkter!$C:$C,D1969+1))</f>
        <v/>
      </c>
      <c r="H1969" t="str">
        <f>IF(D1969="","",INDEX(Knutepunkter!$D:$D,D1969+1))</f>
        <v/>
      </c>
      <c r="I1969" t="str">
        <f>IF(E1969="","",INDEX(Knutepunkter!$B:$B,E1969+1))</f>
        <v/>
      </c>
      <c r="J1969" t="str">
        <f>IF(E1969="","",INDEX(Knutepunkter!$C:$C,E1969+1))</f>
        <v/>
      </c>
      <c r="K1969" t="str">
        <f>IF(E1969="","",INDEX(Knutepunkter!$D:$D,E1969+1))</f>
        <v/>
      </c>
      <c r="L1969" t="str">
        <f t="shared" si="153"/>
        <v/>
      </c>
      <c r="M1969" t="str">
        <f t="shared" si="154"/>
        <v/>
      </c>
    </row>
    <row r="1970" spans="1:13" x14ac:dyDescent="0.3">
      <c r="A1970" t="str">
        <f>Segmenter!A1970</f>
        <v/>
      </c>
      <c r="B1970" t="str">
        <f>Segmenter!B1970</f>
        <v/>
      </c>
      <c r="C1970" t="str">
        <f t="shared" si="150"/>
        <v/>
      </c>
      <c r="D1970" t="str">
        <f t="shared" si="151"/>
        <v/>
      </c>
      <c r="E1970" t="str">
        <f t="shared" si="152"/>
        <v/>
      </c>
      <c r="F1970" t="str">
        <f>IF(D1970="","",INDEX(Knutepunkter!$B:$B,D1970+1))</f>
        <v/>
      </c>
      <c r="G1970" t="str">
        <f>IF(D1970="","",INDEX(Knutepunkter!$C:$C,D1970+1))</f>
        <v/>
      </c>
      <c r="H1970" t="str">
        <f>IF(D1970="","",INDEX(Knutepunkter!$D:$D,D1970+1))</f>
        <v/>
      </c>
      <c r="I1970" t="str">
        <f>IF(E1970="","",INDEX(Knutepunkter!$B:$B,E1970+1))</f>
        <v/>
      </c>
      <c r="J1970" t="str">
        <f>IF(E1970="","",INDEX(Knutepunkter!$C:$C,E1970+1))</f>
        <v/>
      </c>
      <c r="K1970" t="str">
        <f>IF(E1970="","",INDEX(Knutepunkter!$D:$D,E1970+1))</f>
        <v/>
      </c>
      <c r="L1970" t="str">
        <f t="shared" si="153"/>
        <v/>
      </c>
      <c r="M1970" t="str">
        <f t="shared" si="154"/>
        <v/>
      </c>
    </row>
    <row r="1971" spans="1:13" x14ac:dyDescent="0.3">
      <c r="A1971" t="str">
        <f>Segmenter!A1971</f>
        <v/>
      </c>
      <c r="B1971" t="str">
        <f>Segmenter!B1971</f>
        <v/>
      </c>
      <c r="C1971" t="str">
        <f t="shared" si="150"/>
        <v/>
      </c>
      <c r="D1971" t="str">
        <f t="shared" si="151"/>
        <v/>
      </c>
      <c r="E1971" t="str">
        <f t="shared" si="152"/>
        <v/>
      </c>
      <c r="F1971" t="str">
        <f>IF(D1971="","",INDEX(Knutepunkter!$B:$B,D1971+1))</f>
        <v/>
      </c>
      <c r="G1971" t="str">
        <f>IF(D1971="","",INDEX(Knutepunkter!$C:$C,D1971+1))</f>
        <v/>
      </c>
      <c r="H1971" t="str">
        <f>IF(D1971="","",INDEX(Knutepunkter!$D:$D,D1971+1))</f>
        <v/>
      </c>
      <c r="I1971" t="str">
        <f>IF(E1971="","",INDEX(Knutepunkter!$B:$B,E1971+1))</f>
        <v/>
      </c>
      <c r="J1971" t="str">
        <f>IF(E1971="","",INDEX(Knutepunkter!$C:$C,E1971+1))</f>
        <v/>
      </c>
      <c r="K1971" t="str">
        <f>IF(E1971="","",INDEX(Knutepunkter!$D:$D,E1971+1))</f>
        <v/>
      </c>
      <c r="L1971" t="str">
        <f t="shared" si="153"/>
        <v/>
      </c>
      <c r="M1971" t="str">
        <f t="shared" si="154"/>
        <v/>
      </c>
    </row>
    <row r="1972" spans="1:13" x14ac:dyDescent="0.3">
      <c r="A1972" t="str">
        <f>Segmenter!A1972</f>
        <v/>
      </c>
      <c r="B1972" t="str">
        <f>Segmenter!B1972</f>
        <v/>
      </c>
      <c r="C1972" t="str">
        <f t="shared" si="150"/>
        <v/>
      </c>
      <c r="D1972" t="str">
        <f t="shared" si="151"/>
        <v/>
      </c>
      <c r="E1972" t="str">
        <f t="shared" si="152"/>
        <v/>
      </c>
      <c r="F1972" t="str">
        <f>IF(D1972="","",INDEX(Knutepunkter!$B:$B,D1972+1))</f>
        <v/>
      </c>
      <c r="G1972" t="str">
        <f>IF(D1972="","",INDEX(Knutepunkter!$C:$C,D1972+1))</f>
        <v/>
      </c>
      <c r="H1972" t="str">
        <f>IF(D1972="","",INDEX(Knutepunkter!$D:$D,D1972+1))</f>
        <v/>
      </c>
      <c r="I1972" t="str">
        <f>IF(E1972="","",INDEX(Knutepunkter!$B:$B,E1972+1))</f>
        <v/>
      </c>
      <c r="J1972" t="str">
        <f>IF(E1972="","",INDEX(Knutepunkter!$C:$C,E1972+1))</f>
        <v/>
      </c>
      <c r="K1972" t="str">
        <f>IF(E1972="","",INDEX(Knutepunkter!$D:$D,E1972+1))</f>
        <v/>
      </c>
      <c r="L1972" t="str">
        <f t="shared" si="153"/>
        <v/>
      </c>
      <c r="M1972" t="str">
        <f t="shared" si="154"/>
        <v/>
      </c>
    </row>
    <row r="1973" spans="1:13" x14ac:dyDescent="0.3">
      <c r="A1973" t="str">
        <f>Segmenter!A1973</f>
        <v/>
      </c>
      <c r="B1973" t="str">
        <f>Segmenter!B1973</f>
        <v/>
      </c>
      <c r="C1973" t="str">
        <f t="shared" si="150"/>
        <v/>
      </c>
      <c r="D1973" t="str">
        <f t="shared" si="151"/>
        <v/>
      </c>
      <c r="E1973" t="str">
        <f t="shared" si="152"/>
        <v/>
      </c>
      <c r="F1973" t="str">
        <f>IF(D1973="","",INDEX(Knutepunkter!$B:$B,D1973+1))</f>
        <v/>
      </c>
      <c r="G1973" t="str">
        <f>IF(D1973="","",INDEX(Knutepunkter!$C:$C,D1973+1))</f>
        <v/>
      </c>
      <c r="H1973" t="str">
        <f>IF(D1973="","",INDEX(Knutepunkter!$D:$D,D1973+1))</f>
        <v/>
      </c>
      <c r="I1973" t="str">
        <f>IF(E1973="","",INDEX(Knutepunkter!$B:$B,E1973+1))</f>
        <v/>
      </c>
      <c r="J1973" t="str">
        <f>IF(E1973="","",INDEX(Knutepunkter!$C:$C,E1973+1))</f>
        <v/>
      </c>
      <c r="K1973" t="str">
        <f>IF(E1973="","",INDEX(Knutepunkter!$D:$D,E1973+1))</f>
        <v/>
      </c>
      <c r="L1973" t="str">
        <f t="shared" si="153"/>
        <v/>
      </c>
      <c r="M1973" t="str">
        <f t="shared" si="154"/>
        <v/>
      </c>
    </row>
    <row r="1974" spans="1:13" x14ac:dyDescent="0.3">
      <c r="A1974" t="str">
        <f>Segmenter!A1974</f>
        <v/>
      </c>
      <c r="B1974" t="str">
        <f>Segmenter!B1974</f>
        <v/>
      </c>
      <c r="C1974" t="str">
        <f t="shared" si="150"/>
        <v/>
      </c>
      <c r="D1974" t="str">
        <f t="shared" si="151"/>
        <v/>
      </c>
      <c r="E1974" t="str">
        <f t="shared" si="152"/>
        <v/>
      </c>
      <c r="F1974" t="str">
        <f>IF(D1974="","",INDEX(Knutepunkter!$B:$B,D1974+1))</f>
        <v/>
      </c>
      <c r="G1974" t="str">
        <f>IF(D1974="","",INDEX(Knutepunkter!$C:$C,D1974+1))</f>
        <v/>
      </c>
      <c r="H1974" t="str">
        <f>IF(D1974="","",INDEX(Knutepunkter!$D:$D,D1974+1))</f>
        <v/>
      </c>
      <c r="I1974" t="str">
        <f>IF(E1974="","",INDEX(Knutepunkter!$B:$B,E1974+1))</f>
        <v/>
      </c>
      <c r="J1974" t="str">
        <f>IF(E1974="","",INDEX(Knutepunkter!$C:$C,E1974+1))</f>
        <v/>
      </c>
      <c r="K1974" t="str">
        <f>IF(E1974="","",INDEX(Knutepunkter!$D:$D,E1974+1))</f>
        <v/>
      </c>
      <c r="L1974" t="str">
        <f t="shared" si="153"/>
        <v/>
      </c>
      <c r="M1974" t="str">
        <f t="shared" si="154"/>
        <v/>
      </c>
    </row>
    <row r="1975" spans="1:13" x14ac:dyDescent="0.3">
      <c r="A1975" t="str">
        <f>Segmenter!A1975</f>
        <v/>
      </c>
      <c r="B1975" t="str">
        <f>Segmenter!B1975</f>
        <v/>
      </c>
      <c r="C1975" t="str">
        <f t="shared" si="150"/>
        <v/>
      </c>
      <c r="D1975" t="str">
        <f t="shared" si="151"/>
        <v/>
      </c>
      <c r="E1975" t="str">
        <f t="shared" si="152"/>
        <v/>
      </c>
      <c r="F1975" t="str">
        <f>IF(D1975="","",INDEX(Knutepunkter!$B:$B,D1975+1))</f>
        <v/>
      </c>
      <c r="G1975" t="str">
        <f>IF(D1975="","",INDEX(Knutepunkter!$C:$C,D1975+1))</f>
        <v/>
      </c>
      <c r="H1975" t="str">
        <f>IF(D1975="","",INDEX(Knutepunkter!$D:$D,D1975+1))</f>
        <v/>
      </c>
      <c r="I1975" t="str">
        <f>IF(E1975="","",INDEX(Knutepunkter!$B:$B,E1975+1))</f>
        <v/>
      </c>
      <c r="J1975" t="str">
        <f>IF(E1975="","",INDEX(Knutepunkter!$C:$C,E1975+1))</f>
        <v/>
      </c>
      <c r="K1975" t="str">
        <f>IF(E1975="","",INDEX(Knutepunkter!$D:$D,E1975+1))</f>
        <v/>
      </c>
      <c r="L1975" t="str">
        <f t="shared" si="153"/>
        <v/>
      </c>
      <c r="M1975" t="str">
        <f t="shared" si="154"/>
        <v/>
      </c>
    </row>
    <row r="1976" spans="1:13" x14ac:dyDescent="0.3">
      <c r="A1976" t="str">
        <f>Segmenter!A1976</f>
        <v/>
      </c>
      <c r="B1976" t="str">
        <f>Segmenter!B1976</f>
        <v/>
      </c>
      <c r="C1976" t="str">
        <f t="shared" si="150"/>
        <v/>
      </c>
      <c r="D1976" t="str">
        <f t="shared" si="151"/>
        <v/>
      </c>
      <c r="E1976" t="str">
        <f t="shared" si="152"/>
        <v/>
      </c>
      <c r="F1976" t="str">
        <f>IF(D1976="","",INDEX(Knutepunkter!$B:$B,D1976+1))</f>
        <v/>
      </c>
      <c r="G1976" t="str">
        <f>IF(D1976="","",INDEX(Knutepunkter!$C:$C,D1976+1))</f>
        <v/>
      </c>
      <c r="H1976" t="str">
        <f>IF(D1976="","",INDEX(Knutepunkter!$D:$D,D1976+1))</f>
        <v/>
      </c>
      <c r="I1976" t="str">
        <f>IF(E1976="","",INDEX(Knutepunkter!$B:$B,E1976+1))</f>
        <v/>
      </c>
      <c r="J1976" t="str">
        <f>IF(E1976="","",INDEX(Knutepunkter!$C:$C,E1976+1))</f>
        <v/>
      </c>
      <c r="K1976" t="str">
        <f>IF(E1976="","",INDEX(Knutepunkter!$D:$D,E1976+1))</f>
        <v/>
      </c>
      <c r="L1976" t="str">
        <f t="shared" si="153"/>
        <v/>
      </c>
      <c r="M1976" t="str">
        <f t="shared" si="154"/>
        <v/>
      </c>
    </row>
    <row r="1977" spans="1:13" x14ac:dyDescent="0.3">
      <c r="A1977" t="str">
        <f>Segmenter!A1977</f>
        <v/>
      </c>
      <c r="B1977" t="str">
        <f>Segmenter!B1977</f>
        <v/>
      </c>
      <c r="C1977" t="str">
        <f t="shared" si="150"/>
        <v/>
      </c>
      <c r="D1977" t="str">
        <f t="shared" si="151"/>
        <v/>
      </c>
      <c r="E1977" t="str">
        <f t="shared" si="152"/>
        <v/>
      </c>
      <c r="F1977" t="str">
        <f>IF(D1977="","",INDEX(Knutepunkter!$B:$B,D1977+1))</f>
        <v/>
      </c>
      <c r="G1977" t="str">
        <f>IF(D1977="","",INDEX(Knutepunkter!$C:$C,D1977+1))</f>
        <v/>
      </c>
      <c r="H1977" t="str">
        <f>IF(D1977="","",INDEX(Knutepunkter!$D:$D,D1977+1))</f>
        <v/>
      </c>
      <c r="I1977" t="str">
        <f>IF(E1977="","",INDEX(Knutepunkter!$B:$B,E1977+1))</f>
        <v/>
      </c>
      <c r="J1977" t="str">
        <f>IF(E1977="","",INDEX(Knutepunkter!$C:$C,E1977+1))</f>
        <v/>
      </c>
      <c r="K1977" t="str">
        <f>IF(E1977="","",INDEX(Knutepunkter!$D:$D,E1977+1))</f>
        <v/>
      </c>
      <c r="L1977" t="str">
        <f t="shared" si="153"/>
        <v/>
      </c>
      <c r="M1977" t="str">
        <f t="shared" si="154"/>
        <v/>
      </c>
    </row>
    <row r="1978" spans="1:13" x14ac:dyDescent="0.3">
      <c r="A1978" t="str">
        <f>Segmenter!A1978</f>
        <v/>
      </c>
      <c r="B1978" t="str">
        <f>Segmenter!B1978</f>
        <v/>
      </c>
      <c r="C1978" t="str">
        <f t="shared" si="150"/>
        <v/>
      </c>
      <c r="D1978" t="str">
        <f t="shared" si="151"/>
        <v/>
      </c>
      <c r="E1978" t="str">
        <f t="shared" si="152"/>
        <v/>
      </c>
      <c r="F1978" t="str">
        <f>IF(D1978="","",INDEX(Knutepunkter!$B:$B,D1978+1))</f>
        <v/>
      </c>
      <c r="G1978" t="str">
        <f>IF(D1978="","",INDEX(Knutepunkter!$C:$C,D1978+1))</f>
        <v/>
      </c>
      <c r="H1978" t="str">
        <f>IF(D1978="","",INDEX(Knutepunkter!$D:$D,D1978+1))</f>
        <v/>
      </c>
      <c r="I1978" t="str">
        <f>IF(E1978="","",INDEX(Knutepunkter!$B:$B,E1978+1))</f>
        <v/>
      </c>
      <c r="J1978" t="str">
        <f>IF(E1978="","",INDEX(Knutepunkter!$C:$C,E1978+1))</f>
        <v/>
      </c>
      <c r="K1978" t="str">
        <f>IF(E1978="","",INDEX(Knutepunkter!$D:$D,E1978+1))</f>
        <v/>
      </c>
      <c r="L1978" t="str">
        <f t="shared" si="153"/>
        <v/>
      </c>
      <c r="M1978" t="str">
        <f t="shared" si="154"/>
        <v/>
      </c>
    </row>
    <row r="1979" spans="1:13" x14ac:dyDescent="0.3">
      <c r="A1979" t="str">
        <f>Segmenter!A1979</f>
        <v/>
      </c>
      <c r="B1979" t="str">
        <f>Segmenter!B1979</f>
        <v/>
      </c>
      <c r="C1979" t="str">
        <f t="shared" si="150"/>
        <v/>
      </c>
      <c r="D1979" t="str">
        <f t="shared" si="151"/>
        <v/>
      </c>
      <c r="E1979" t="str">
        <f t="shared" si="152"/>
        <v/>
      </c>
      <c r="F1979" t="str">
        <f>IF(D1979="","",INDEX(Knutepunkter!$B:$B,D1979+1))</f>
        <v/>
      </c>
      <c r="G1979" t="str">
        <f>IF(D1979="","",INDEX(Knutepunkter!$C:$C,D1979+1))</f>
        <v/>
      </c>
      <c r="H1979" t="str">
        <f>IF(D1979="","",INDEX(Knutepunkter!$D:$D,D1979+1))</f>
        <v/>
      </c>
      <c r="I1979" t="str">
        <f>IF(E1979="","",INDEX(Knutepunkter!$B:$B,E1979+1))</f>
        <v/>
      </c>
      <c r="J1979" t="str">
        <f>IF(E1979="","",INDEX(Knutepunkter!$C:$C,E1979+1))</f>
        <v/>
      </c>
      <c r="K1979" t="str">
        <f>IF(E1979="","",INDEX(Knutepunkter!$D:$D,E1979+1))</f>
        <v/>
      </c>
      <c r="L1979" t="str">
        <f t="shared" si="153"/>
        <v/>
      </c>
      <c r="M1979" t="str">
        <f t="shared" si="154"/>
        <v/>
      </c>
    </row>
    <row r="1980" spans="1:13" x14ac:dyDescent="0.3">
      <c r="A1980" t="str">
        <f>Segmenter!A1980</f>
        <v/>
      </c>
      <c r="B1980" t="str">
        <f>Segmenter!B1980</f>
        <v/>
      </c>
      <c r="C1980" t="str">
        <f t="shared" si="150"/>
        <v/>
      </c>
      <c r="D1980" t="str">
        <f t="shared" si="151"/>
        <v/>
      </c>
      <c r="E1980" t="str">
        <f t="shared" si="152"/>
        <v/>
      </c>
      <c r="F1980" t="str">
        <f>IF(D1980="","",INDEX(Knutepunkter!$B:$B,D1980+1))</f>
        <v/>
      </c>
      <c r="G1980" t="str">
        <f>IF(D1980="","",INDEX(Knutepunkter!$C:$C,D1980+1))</f>
        <v/>
      </c>
      <c r="H1980" t="str">
        <f>IF(D1980="","",INDEX(Knutepunkter!$D:$D,D1980+1))</f>
        <v/>
      </c>
      <c r="I1980" t="str">
        <f>IF(E1980="","",INDEX(Knutepunkter!$B:$B,E1980+1))</f>
        <v/>
      </c>
      <c r="J1980" t="str">
        <f>IF(E1980="","",INDEX(Knutepunkter!$C:$C,E1980+1))</f>
        <v/>
      </c>
      <c r="K1980" t="str">
        <f>IF(E1980="","",INDEX(Knutepunkter!$D:$D,E1980+1))</f>
        <v/>
      </c>
      <c r="L1980" t="str">
        <f t="shared" si="153"/>
        <v/>
      </c>
      <c r="M1980" t="str">
        <f t="shared" si="154"/>
        <v/>
      </c>
    </row>
    <row r="1981" spans="1:13" x14ac:dyDescent="0.3">
      <c r="A1981" t="str">
        <f>Segmenter!A1981</f>
        <v/>
      </c>
      <c r="B1981" t="str">
        <f>Segmenter!B1981</f>
        <v/>
      </c>
      <c r="C1981" t="str">
        <f t="shared" si="150"/>
        <v/>
      </c>
      <c r="D1981" t="str">
        <f t="shared" si="151"/>
        <v/>
      </c>
      <c r="E1981" t="str">
        <f t="shared" si="152"/>
        <v/>
      </c>
      <c r="F1981" t="str">
        <f>IF(D1981="","",INDEX(Knutepunkter!$B:$B,D1981+1))</f>
        <v/>
      </c>
      <c r="G1981" t="str">
        <f>IF(D1981="","",INDEX(Knutepunkter!$C:$C,D1981+1))</f>
        <v/>
      </c>
      <c r="H1981" t="str">
        <f>IF(D1981="","",INDEX(Knutepunkter!$D:$D,D1981+1))</f>
        <v/>
      </c>
      <c r="I1981" t="str">
        <f>IF(E1981="","",INDEX(Knutepunkter!$B:$B,E1981+1))</f>
        <v/>
      </c>
      <c r="J1981" t="str">
        <f>IF(E1981="","",INDEX(Knutepunkter!$C:$C,E1981+1))</f>
        <v/>
      </c>
      <c r="K1981" t="str">
        <f>IF(E1981="","",INDEX(Knutepunkter!$D:$D,E1981+1))</f>
        <v/>
      </c>
      <c r="L1981" t="str">
        <f t="shared" si="153"/>
        <v/>
      </c>
      <c r="M1981" t="str">
        <f t="shared" si="154"/>
        <v/>
      </c>
    </row>
    <row r="1982" spans="1:13" x14ac:dyDescent="0.3">
      <c r="A1982" t="str">
        <f>Segmenter!A1982</f>
        <v/>
      </c>
      <c r="B1982" t="str">
        <f>Segmenter!B1982</f>
        <v/>
      </c>
      <c r="C1982" t="str">
        <f t="shared" si="150"/>
        <v/>
      </c>
      <c r="D1982" t="str">
        <f t="shared" si="151"/>
        <v/>
      </c>
      <c r="E1982" t="str">
        <f t="shared" si="152"/>
        <v/>
      </c>
      <c r="F1982" t="str">
        <f>IF(D1982="","",INDEX(Knutepunkter!$B:$B,D1982+1))</f>
        <v/>
      </c>
      <c r="G1982" t="str">
        <f>IF(D1982="","",INDEX(Knutepunkter!$C:$C,D1982+1))</f>
        <v/>
      </c>
      <c r="H1982" t="str">
        <f>IF(D1982="","",INDEX(Knutepunkter!$D:$D,D1982+1))</f>
        <v/>
      </c>
      <c r="I1982" t="str">
        <f>IF(E1982="","",INDEX(Knutepunkter!$B:$B,E1982+1))</f>
        <v/>
      </c>
      <c r="J1982" t="str">
        <f>IF(E1982="","",INDEX(Knutepunkter!$C:$C,E1982+1))</f>
        <v/>
      </c>
      <c r="K1982" t="str">
        <f>IF(E1982="","",INDEX(Knutepunkter!$D:$D,E1982+1))</f>
        <v/>
      </c>
      <c r="L1982" t="str">
        <f t="shared" si="153"/>
        <v/>
      </c>
      <c r="M1982" t="str">
        <f t="shared" si="154"/>
        <v/>
      </c>
    </row>
    <row r="1983" spans="1:13" x14ac:dyDescent="0.3">
      <c r="A1983" t="str">
        <f>Segmenter!A1983</f>
        <v/>
      </c>
      <c r="B1983" t="str">
        <f>Segmenter!B1983</f>
        <v/>
      </c>
      <c r="C1983" t="str">
        <f t="shared" si="150"/>
        <v/>
      </c>
      <c r="D1983" t="str">
        <f t="shared" si="151"/>
        <v/>
      </c>
      <c r="E1983" t="str">
        <f t="shared" si="152"/>
        <v/>
      </c>
      <c r="F1983" t="str">
        <f>IF(D1983="","",INDEX(Knutepunkter!$B:$B,D1983+1))</f>
        <v/>
      </c>
      <c r="G1983" t="str">
        <f>IF(D1983="","",INDEX(Knutepunkter!$C:$C,D1983+1))</f>
        <v/>
      </c>
      <c r="H1983" t="str">
        <f>IF(D1983="","",INDEX(Knutepunkter!$D:$D,D1983+1))</f>
        <v/>
      </c>
      <c r="I1983" t="str">
        <f>IF(E1983="","",INDEX(Knutepunkter!$B:$B,E1983+1))</f>
        <v/>
      </c>
      <c r="J1983" t="str">
        <f>IF(E1983="","",INDEX(Knutepunkter!$C:$C,E1983+1))</f>
        <v/>
      </c>
      <c r="K1983" t="str">
        <f>IF(E1983="","",INDEX(Knutepunkter!$D:$D,E1983+1))</f>
        <v/>
      </c>
      <c r="L1983" t="str">
        <f t="shared" si="153"/>
        <v/>
      </c>
      <c r="M1983" t="str">
        <f t="shared" si="154"/>
        <v/>
      </c>
    </row>
    <row r="1984" spans="1:13" x14ac:dyDescent="0.3">
      <c r="A1984" t="str">
        <f>Segmenter!A1984</f>
        <v/>
      </c>
      <c r="B1984" t="str">
        <f>Segmenter!B1984</f>
        <v/>
      </c>
      <c r="C1984" t="str">
        <f t="shared" si="150"/>
        <v/>
      </c>
      <c r="D1984" t="str">
        <f t="shared" si="151"/>
        <v/>
      </c>
      <c r="E1984" t="str">
        <f t="shared" si="152"/>
        <v/>
      </c>
      <c r="F1984" t="str">
        <f>IF(D1984="","",INDEX(Knutepunkter!$B:$B,D1984+1))</f>
        <v/>
      </c>
      <c r="G1984" t="str">
        <f>IF(D1984="","",INDEX(Knutepunkter!$C:$C,D1984+1))</f>
        <v/>
      </c>
      <c r="H1984" t="str">
        <f>IF(D1984="","",INDEX(Knutepunkter!$D:$D,D1984+1))</f>
        <v/>
      </c>
      <c r="I1984" t="str">
        <f>IF(E1984="","",INDEX(Knutepunkter!$B:$B,E1984+1))</f>
        <v/>
      </c>
      <c r="J1984" t="str">
        <f>IF(E1984="","",INDEX(Knutepunkter!$C:$C,E1984+1))</f>
        <v/>
      </c>
      <c r="K1984" t="str">
        <f>IF(E1984="","",INDEX(Knutepunkter!$D:$D,E1984+1))</f>
        <v/>
      </c>
      <c r="L1984" t="str">
        <f t="shared" si="153"/>
        <v/>
      </c>
      <c r="M1984" t="str">
        <f t="shared" si="154"/>
        <v/>
      </c>
    </row>
    <row r="1985" spans="1:13" x14ac:dyDescent="0.3">
      <c r="A1985" t="str">
        <f>Segmenter!A1985</f>
        <v/>
      </c>
      <c r="B1985" t="str">
        <f>Segmenter!B1985</f>
        <v/>
      </c>
      <c r="C1985" t="str">
        <f t="shared" si="150"/>
        <v/>
      </c>
      <c r="D1985" t="str">
        <f t="shared" si="151"/>
        <v/>
      </c>
      <c r="E1985" t="str">
        <f t="shared" si="152"/>
        <v/>
      </c>
      <c r="F1985" t="str">
        <f>IF(D1985="","",INDEX(Knutepunkter!$B:$B,D1985+1))</f>
        <v/>
      </c>
      <c r="G1985" t="str">
        <f>IF(D1985="","",INDEX(Knutepunkter!$C:$C,D1985+1))</f>
        <v/>
      </c>
      <c r="H1985" t="str">
        <f>IF(D1985="","",INDEX(Knutepunkter!$D:$D,D1985+1))</f>
        <v/>
      </c>
      <c r="I1985" t="str">
        <f>IF(E1985="","",INDEX(Knutepunkter!$B:$B,E1985+1))</f>
        <v/>
      </c>
      <c r="J1985" t="str">
        <f>IF(E1985="","",INDEX(Knutepunkter!$C:$C,E1985+1))</f>
        <v/>
      </c>
      <c r="K1985" t="str">
        <f>IF(E1985="","",INDEX(Knutepunkter!$D:$D,E1985+1))</f>
        <v/>
      </c>
      <c r="L1985" t="str">
        <f t="shared" si="153"/>
        <v/>
      </c>
      <c r="M1985" t="str">
        <f t="shared" si="154"/>
        <v/>
      </c>
    </row>
    <row r="1986" spans="1:13" x14ac:dyDescent="0.3">
      <c r="A1986" t="str">
        <f>Segmenter!A1986</f>
        <v/>
      </c>
      <c r="B1986" t="str">
        <f>Segmenter!B1986</f>
        <v/>
      </c>
      <c r="C1986" t="str">
        <f t="shared" ref="C1986:C2049" si="155">IF(B1986="","",IF(AND(F1986=I1986,G1986=J1986,H1986&lt;&gt;K1986),"Søyle","Bjelke"))</f>
        <v/>
      </c>
      <c r="D1986" t="str">
        <f t="shared" ref="D1986:D2049" si="156">IF(B1986="","",VALUE(LEFT(B1986,FIND(" -&gt; ",B1986)-1)))</f>
        <v/>
      </c>
      <c r="E1986" t="str">
        <f t="shared" ref="E1986:E2049" si="157">IF(B1986="","",VALUE(MID(B1986,FIND(" -&gt; ",B1986)+4,99)))</f>
        <v/>
      </c>
      <c r="F1986" t="str">
        <f>IF(D1986="","",INDEX(Knutepunkter!$B:$B,D1986+1))</f>
        <v/>
      </c>
      <c r="G1986" t="str">
        <f>IF(D1986="","",INDEX(Knutepunkter!$C:$C,D1986+1))</f>
        <v/>
      </c>
      <c r="H1986" t="str">
        <f>IF(D1986="","",INDEX(Knutepunkter!$D:$D,D1986+1))</f>
        <v/>
      </c>
      <c r="I1986" t="str">
        <f>IF(E1986="","",INDEX(Knutepunkter!$B:$B,E1986+1))</f>
        <v/>
      </c>
      <c r="J1986" t="str">
        <f>IF(E1986="","",INDEX(Knutepunkter!$C:$C,E1986+1))</f>
        <v/>
      </c>
      <c r="K1986" t="str">
        <f>IF(E1986="","",INDEX(Knutepunkter!$D:$D,E1986+1))</f>
        <v/>
      </c>
      <c r="L1986" t="str">
        <f t="shared" ref="L1986:L2049" si="158">IF(B1986="","",SQRT((I1986-F1986)^2+(J1986-G1986)^2+(K1986-H1986)^2))</f>
        <v/>
      </c>
      <c r="M1986" t="str">
        <f t="shared" ref="M1986:M2049" si="159">IF(L1986="","",L1986/1000)</f>
        <v/>
      </c>
    </row>
    <row r="1987" spans="1:13" x14ac:dyDescent="0.3">
      <c r="A1987" t="str">
        <f>Segmenter!A1987</f>
        <v/>
      </c>
      <c r="B1987" t="str">
        <f>Segmenter!B1987</f>
        <v/>
      </c>
      <c r="C1987" t="str">
        <f t="shared" si="155"/>
        <v/>
      </c>
      <c r="D1987" t="str">
        <f t="shared" si="156"/>
        <v/>
      </c>
      <c r="E1987" t="str">
        <f t="shared" si="157"/>
        <v/>
      </c>
      <c r="F1987" t="str">
        <f>IF(D1987="","",INDEX(Knutepunkter!$B:$B,D1987+1))</f>
        <v/>
      </c>
      <c r="G1987" t="str">
        <f>IF(D1987="","",INDEX(Knutepunkter!$C:$C,D1987+1))</f>
        <v/>
      </c>
      <c r="H1987" t="str">
        <f>IF(D1987="","",INDEX(Knutepunkter!$D:$D,D1987+1))</f>
        <v/>
      </c>
      <c r="I1987" t="str">
        <f>IF(E1987="","",INDEX(Knutepunkter!$B:$B,E1987+1))</f>
        <v/>
      </c>
      <c r="J1987" t="str">
        <f>IF(E1987="","",INDEX(Knutepunkter!$C:$C,E1987+1))</f>
        <v/>
      </c>
      <c r="K1987" t="str">
        <f>IF(E1987="","",INDEX(Knutepunkter!$D:$D,E1987+1))</f>
        <v/>
      </c>
      <c r="L1987" t="str">
        <f t="shared" si="158"/>
        <v/>
      </c>
      <c r="M1987" t="str">
        <f t="shared" si="159"/>
        <v/>
      </c>
    </row>
    <row r="1988" spans="1:13" x14ac:dyDescent="0.3">
      <c r="A1988" t="str">
        <f>Segmenter!A1988</f>
        <v/>
      </c>
      <c r="B1988" t="str">
        <f>Segmenter!B1988</f>
        <v/>
      </c>
      <c r="C1988" t="str">
        <f t="shared" si="155"/>
        <v/>
      </c>
      <c r="D1988" t="str">
        <f t="shared" si="156"/>
        <v/>
      </c>
      <c r="E1988" t="str">
        <f t="shared" si="157"/>
        <v/>
      </c>
      <c r="F1988" t="str">
        <f>IF(D1988="","",INDEX(Knutepunkter!$B:$B,D1988+1))</f>
        <v/>
      </c>
      <c r="G1988" t="str">
        <f>IF(D1988="","",INDEX(Knutepunkter!$C:$C,D1988+1))</f>
        <v/>
      </c>
      <c r="H1988" t="str">
        <f>IF(D1988="","",INDEX(Knutepunkter!$D:$D,D1988+1))</f>
        <v/>
      </c>
      <c r="I1988" t="str">
        <f>IF(E1988="","",INDEX(Knutepunkter!$B:$B,E1988+1))</f>
        <v/>
      </c>
      <c r="J1988" t="str">
        <f>IF(E1988="","",INDEX(Knutepunkter!$C:$C,E1988+1))</f>
        <v/>
      </c>
      <c r="K1988" t="str">
        <f>IF(E1988="","",INDEX(Knutepunkter!$D:$D,E1988+1))</f>
        <v/>
      </c>
      <c r="L1988" t="str">
        <f t="shared" si="158"/>
        <v/>
      </c>
      <c r="M1988" t="str">
        <f t="shared" si="159"/>
        <v/>
      </c>
    </row>
    <row r="1989" spans="1:13" x14ac:dyDescent="0.3">
      <c r="A1989" t="str">
        <f>Segmenter!A1989</f>
        <v/>
      </c>
      <c r="B1989" t="str">
        <f>Segmenter!B1989</f>
        <v/>
      </c>
      <c r="C1989" t="str">
        <f t="shared" si="155"/>
        <v/>
      </c>
      <c r="D1989" t="str">
        <f t="shared" si="156"/>
        <v/>
      </c>
      <c r="E1989" t="str">
        <f t="shared" si="157"/>
        <v/>
      </c>
      <c r="F1989" t="str">
        <f>IF(D1989="","",INDEX(Knutepunkter!$B:$B,D1989+1))</f>
        <v/>
      </c>
      <c r="G1989" t="str">
        <f>IF(D1989="","",INDEX(Knutepunkter!$C:$C,D1989+1))</f>
        <v/>
      </c>
      <c r="H1989" t="str">
        <f>IF(D1989="","",INDEX(Knutepunkter!$D:$D,D1989+1))</f>
        <v/>
      </c>
      <c r="I1989" t="str">
        <f>IF(E1989="","",INDEX(Knutepunkter!$B:$B,E1989+1))</f>
        <v/>
      </c>
      <c r="J1989" t="str">
        <f>IF(E1989="","",INDEX(Knutepunkter!$C:$C,E1989+1))</f>
        <v/>
      </c>
      <c r="K1989" t="str">
        <f>IF(E1989="","",INDEX(Knutepunkter!$D:$D,E1989+1))</f>
        <v/>
      </c>
      <c r="L1989" t="str">
        <f t="shared" si="158"/>
        <v/>
      </c>
      <c r="M1989" t="str">
        <f t="shared" si="159"/>
        <v/>
      </c>
    </row>
    <row r="1990" spans="1:13" x14ac:dyDescent="0.3">
      <c r="A1990" t="str">
        <f>Segmenter!A1990</f>
        <v/>
      </c>
      <c r="B1990" t="str">
        <f>Segmenter!B1990</f>
        <v/>
      </c>
      <c r="C1990" t="str">
        <f t="shared" si="155"/>
        <v/>
      </c>
      <c r="D1990" t="str">
        <f t="shared" si="156"/>
        <v/>
      </c>
      <c r="E1990" t="str">
        <f t="shared" si="157"/>
        <v/>
      </c>
      <c r="F1990" t="str">
        <f>IF(D1990="","",INDEX(Knutepunkter!$B:$B,D1990+1))</f>
        <v/>
      </c>
      <c r="G1990" t="str">
        <f>IF(D1990="","",INDEX(Knutepunkter!$C:$C,D1990+1))</f>
        <v/>
      </c>
      <c r="H1990" t="str">
        <f>IF(D1990="","",INDEX(Knutepunkter!$D:$D,D1990+1))</f>
        <v/>
      </c>
      <c r="I1990" t="str">
        <f>IF(E1990="","",INDEX(Knutepunkter!$B:$B,E1990+1))</f>
        <v/>
      </c>
      <c r="J1990" t="str">
        <f>IF(E1990="","",INDEX(Knutepunkter!$C:$C,E1990+1))</f>
        <v/>
      </c>
      <c r="K1990" t="str">
        <f>IF(E1990="","",INDEX(Knutepunkter!$D:$D,E1990+1))</f>
        <v/>
      </c>
      <c r="L1990" t="str">
        <f t="shared" si="158"/>
        <v/>
      </c>
      <c r="M1990" t="str">
        <f t="shared" si="159"/>
        <v/>
      </c>
    </row>
    <row r="1991" spans="1:13" x14ac:dyDescent="0.3">
      <c r="A1991" t="str">
        <f>Segmenter!A1991</f>
        <v/>
      </c>
      <c r="B1991" t="str">
        <f>Segmenter!B1991</f>
        <v/>
      </c>
      <c r="C1991" t="str">
        <f t="shared" si="155"/>
        <v/>
      </c>
      <c r="D1991" t="str">
        <f t="shared" si="156"/>
        <v/>
      </c>
      <c r="E1991" t="str">
        <f t="shared" si="157"/>
        <v/>
      </c>
      <c r="F1991" t="str">
        <f>IF(D1991="","",INDEX(Knutepunkter!$B:$B,D1991+1))</f>
        <v/>
      </c>
      <c r="G1991" t="str">
        <f>IF(D1991="","",INDEX(Knutepunkter!$C:$C,D1991+1))</f>
        <v/>
      </c>
      <c r="H1991" t="str">
        <f>IF(D1991="","",INDEX(Knutepunkter!$D:$D,D1991+1))</f>
        <v/>
      </c>
      <c r="I1991" t="str">
        <f>IF(E1991="","",INDEX(Knutepunkter!$B:$B,E1991+1))</f>
        <v/>
      </c>
      <c r="J1991" t="str">
        <f>IF(E1991="","",INDEX(Knutepunkter!$C:$C,E1991+1))</f>
        <v/>
      </c>
      <c r="K1991" t="str">
        <f>IF(E1991="","",INDEX(Knutepunkter!$D:$D,E1991+1))</f>
        <v/>
      </c>
      <c r="L1991" t="str">
        <f t="shared" si="158"/>
        <v/>
      </c>
      <c r="M1991" t="str">
        <f t="shared" si="159"/>
        <v/>
      </c>
    </row>
    <row r="1992" spans="1:13" x14ac:dyDescent="0.3">
      <c r="A1992" t="str">
        <f>Segmenter!A1992</f>
        <v/>
      </c>
      <c r="B1992" t="str">
        <f>Segmenter!B1992</f>
        <v/>
      </c>
      <c r="C1992" t="str">
        <f t="shared" si="155"/>
        <v/>
      </c>
      <c r="D1992" t="str">
        <f t="shared" si="156"/>
        <v/>
      </c>
      <c r="E1992" t="str">
        <f t="shared" si="157"/>
        <v/>
      </c>
      <c r="F1992" t="str">
        <f>IF(D1992="","",INDEX(Knutepunkter!$B:$B,D1992+1))</f>
        <v/>
      </c>
      <c r="G1992" t="str">
        <f>IF(D1992="","",INDEX(Knutepunkter!$C:$C,D1992+1))</f>
        <v/>
      </c>
      <c r="H1992" t="str">
        <f>IF(D1992="","",INDEX(Knutepunkter!$D:$D,D1992+1))</f>
        <v/>
      </c>
      <c r="I1992" t="str">
        <f>IF(E1992="","",INDEX(Knutepunkter!$B:$B,E1992+1))</f>
        <v/>
      </c>
      <c r="J1992" t="str">
        <f>IF(E1992="","",INDEX(Knutepunkter!$C:$C,E1992+1))</f>
        <v/>
      </c>
      <c r="K1992" t="str">
        <f>IF(E1992="","",INDEX(Knutepunkter!$D:$D,E1992+1))</f>
        <v/>
      </c>
      <c r="L1992" t="str">
        <f t="shared" si="158"/>
        <v/>
      </c>
      <c r="M1992" t="str">
        <f t="shared" si="159"/>
        <v/>
      </c>
    </row>
    <row r="1993" spans="1:13" x14ac:dyDescent="0.3">
      <c r="A1993" t="str">
        <f>Segmenter!A1993</f>
        <v/>
      </c>
      <c r="B1993" t="str">
        <f>Segmenter!B1993</f>
        <v/>
      </c>
      <c r="C1993" t="str">
        <f t="shared" si="155"/>
        <v/>
      </c>
      <c r="D1993" t="str">
        <f t="shared" si="156"/>
        <v/>
      </c>
      <c r="E1993" t="str">
        <f t="shared" si="157"/>
        <v/>
      </c>
      <c r="F1993" t="str">
        <f>IF(D1993="","",INDEX(Knutepunkter!$B:$B,D1993+1))</f>
        <v/>
      </c>
      <c r="G1993" t="str">
        <f>IF(D1993="","",INDEX(Knutepunkter!$C:$C,D1993+1))</f>
        <v/>
      </c>
      <c r="H1993" t="str">
        <f>IF(D1993="","",INDEX(Knutepunkter!$D:$D,D1993+1))</f>
        <v/>
      </c>
      <c r="I1993" t="str">
        <f>IF(E1993="","",INDEX(Knutepunkter!$B:$B,E1993+1))</f>
        <v/>
      </c>
      <c r="J1993" t="str">
        <f>IF(E1993="","",INDEX(Knutepunkter!$C:$C,E1993+1))</f>
        <v/>
      </c>
      <c r="K1993" t="str">
        <f>IF(E1993="","",INDEX(Knutepunkter!$D:$D,E1993+1))</f>
        <v/>
      </c>
      <c r="L1993" t="str">
        <f t="shared" si="158"/>
        <v/>
      </c>
      <c r="M1993" t="str">
        <f t="shared" si="159"/>
        <v/>
      </c>
    </row>
    <row r="1994" spans="1:13" x14ac:dyDescent="0.3">
      <c r="A1994" t="str">
        <f>Segmenter!A1994</f>
        <v/>
      </c>
      <c r="B1994" t="str">
        <f>Segmenter!B1994</f>
        <v/>
      </c>
      <c r="C1994" t="str">
        <f t="shared" si="155"/>
        <v/>
      </c>
      <c r="D1994" t="str">
        <f t="shared" si="156"/>
        <v/>
      </c>
      <c r="E1994" t="str">
        <f t="shared" si="157"/>
        <v/>
      </c>
      <c r="F1994" t="str">
        <f>IF(D1994="","",INDEX(Knutepunkter!$B:$B,D1994+1))</f>
        <v/>
      </c>
      <c r="G1994" t="str">
        <f>IF(D1994="","",INDEX(Knutepunkter!$C:$C,D1994+1))</f>
        <v/>
      </c>
      <c r="H1994" t="str">
        <f>IF(D1994="","",INDEX(Knutepunkter!$D:$D,D1994+1))</f>
        <v/>
      </c>
      <c r="I1994" t="str">
        <f>IF(E1994="","",INDEX(Knutepunkter!$B:$B,E1994+1))</f>
        <v/>
      </c>
      <c r="J1994" t="str">
        <f>IF(E1994="","",INDEX(Knutepunkter!$C:$C,E1994+1))</f>
        <v/>
      </c>
      <c r="K1994" t="str">
        <f>IF(E1994="","",INDEX(Knutepunkter!$D:$D,E1994+1))</f>
        <v/>
      </c>
      <c r="L1994" t="str">
        <f t="shared" si="158"/>
        <v/>
      </c>
      <c r="M1994" t="str">
        <f t="shared" si="159"/>
        <v/>
      </c>
    </row>
    <row r="1995" spans="1:13" x14ac:dyDescent="0.3">
      <c r="A1995" t="str">
        <f>Segmenter!A1995</f>
        <v/>
      </c>
      <c r="B1995" t="str">
        <f>Segmenter!B1995</f>
        <v/>
      </c>
      <c r="C1995" t="str">
        <f t="shared" si="155"/>
        <v/>
      </c>
      <c r="D1995" t="str">
        <f t="shared" si="156"/>
        <v/>
      </c>
      <c r="E1995" t="str">
        <f t="shared" si="157"/>
        <v/>
      </c>
      <c r="F1995" t="str">
        <f>IF(D1995="","",INDEX(Knutepunkter!$B:$B,D1995+1))</f>
        <v/>
      </c>
      <c r="G1995" t="str">
        <f>IF(D1995="","",INDEX(Knutepunkter!$C:$C,D1995+1))</f>
        <v/>
      </c>
      <c r="H1995" t="str">
        <f>IF(D1995="","",INDEX(Knutepunkter!$D:$D,D1995+1))</f>
        <v/>
      </c>
      <c r="I1995" t="str">
        <f>IF(E1995="","",INDEX(Knutepunkter!$B:$B,E1995+1))</f>
        <v/>
      </c>
      <c r="J1995" t="str">
        <f>IF(E1995="","",INDEX(Knutepunkter!$C:$C,E1995+1))</f>
        <v/>
      </c>
      <c r="K1995" t="str">
        <f>IF(E1995="","",INDEX(Knutepunkter!$D:$D,E1995+1))</f>
        <v/>
      </c>
      <c r="L1995" t="str">
        <f t="shared" si="158"/>
        <v/>
      </c>
      <c r="M1995" t="str">
        <f t="shared" si="159"/>
        <v/>
      </c>
    </row>
    <row r="1996" spans="1:13" x14ac:dyDescent="0.3">
      <c r="A1996" t="str">
        <f>Segmenter!A1996</f>
        <v/>
      </c>
      <c r="B1996" t="str">
        <f>Segmenter!B1996</f>
        <v/>
      </c>
      <c r="C1996" t="str">
        <f t="shared" si="155"/>
        <v/>
      </c>
      <c r="D1996" t="str">
        <f t="shared" si="156"/>
        <v/>
      </c>
      <c r="E1996" t="str">
        <f t="shared" si="157"/>
        <v/>
      </c>
      <c r="F1996" t="str">
        <f>IF(D1996="","",INDEX(Knutepunkter!$B:$B,D1996+1))</f>
        <v/>
      </c>
      <c r="G1996" t="str">
        <f>IF(D1996="","",INDEX(Knutepunkter!$C:$C,D1996+1))</f>
        <v/>
      </c>
      <c r="H1996" t="str">
        <f>IF(D1996="","",INDEX(Knutepunkter!$D:$D,D1996+1))</f>
        <v/>
      </c>
      <c r="I1996" t="str">
        <f>IF(E1996="","",INDEX(Knutepunkter!$B:$B,E1996+1))</f>
        <v/>
      </c>
      <c r="J1996" t="str">
        <f>IF(E1996="","",INDEX(Knutepunkter!$C:$C,E1996+1))</f>
        <v/>
      </c>
      <c r="K1996" t="str">
        <f>IF(E1996="","",INDEX(Knutepunkter!$D:$D,E1996+1))</f>
        <v/>
      </c>
      <c r="L1996" t="str">
        <f t="shared" si="158"/>
        <v/>
      </c>
      <c r="M1996" t="str">
        <f t="shared" si="159"/>
        <v/>
      </c>
    </row>
    <row r="1997" spans="1:13" x14ac:dyDescent="0.3">
      <c r="A1997" t="str">
        <f>Segmenter!A1997</f>
        <v/>
      </c>
      <c r="B1997" t="str">
        <f>Segmenter!B1997</f>
        <v/>
      </c>
      <c r="C1997" t="str">
        <f t="shared" si="155"/>
        <v/>
      </c>
      <c r="D1997" t="str">
        <f t="shared" si="156"/>
        <v/>
      </c>
      <c r="E1997" t="str">
        <f t="shared" si="157"/>
        <v/>
      </c>
      <c r="F1997" t="str">
        <f>IF(D1997="","",INDEX(Knutepunkter!$B:$B,D1997+1))</f>
        <v/>
      </c>
      <c r="G1997" t="str">
        <f>IF(D1997="","",INDEX(Knutepunkter!$C:$C,D1997+1))</f>
        <v/>
      </c>
      <c r="H1997" t="str">
        <f>IF(D1997="","",INDEX(Knutepunkter!$D:$D,D1997+1))</f>
        <v/>
      </c>
      <c r="I1997" t="str">
        <f>IF(E1997="","",INDEX(Knutepunkter!$B:$B,E1997+1))</f>
        <v/>
      </c>
      <c r="J1997" t="str">
        <f>IF(E1997="","",INDEX(Knutepunkter!$C:$C,E1997+1))</f>
        <v/>
      </c>
      <c r="K1997" t="str">
        <f>IF(E1997="","",INDEX(Knutepunkter!$D:$D,E1997+1))</f>
        <v/>
      </c>
      <c r="L1997" t="str">
        <f t="shared" si="158"/>
        <v/>
      </c>
      <c r="M1997" t="str">
        <f t="shared" si="159"/>
        <v/>
      </c>
    </row>
    <row r="1998" spans="1:13" x14ac:dyDescent="0.3">
      <c r="A1998" t="str">
        <f>Segmenter!A1998</f>
        <v/>
      </c>
      <c r="B1998" t="str">
        <f>Segmenter!B1998</f>
        <v/>
      </c>
      <c r="C1998" t="str">
        <f t="shared" si="155"/>
        <v/>
      </c>
      <c r="D1998" t="str">
        <f t="shared" si="156"/>
        <v/>
      </c>
      <c r="E1998" t="str">
        <f t="shared" si="157"/>
        <v/>
      </c>
      <c r="F1998" t="str">
        <f>IF(D1998="","",INDEX(Knutepunkter!$B:$B,D1998+1))</f>
        <v/>
      </c>
      <c r="G1998" t="str">
        <f>IF(D1998="","",INDEX(Knutepunkter!$C:$C,D1998+1))</f>
        <v/>
      </c>
      <c r="H1998" t="str">
        <f>IF(D1998="","",INDEX(Knutepunkter!$D:$D,D1998+1))</f>
        <v/>
      </c>
      <c r="I1998" t="str">
        <f>IF(E1998="","",INDEX(Knutepunkter!$B:$B,E1998+1))</f>
        <v/>
      </c>
      <c r="J1998" t="str">
        <f>IF(E1998="","",INDEX(Knutepunkter!$C:$C,E1998+1))</f>
        <v/>
      </c>
      <c r="K1998" t="str">
        <f>IF(E1998="","",INDEX(Knutepunkter!$D:$D,E1998+1))</f>
        <v/>
      </c>
      <c r="L1998" t="str">
        <f t="shared" si="158"/>
        <v/>
      </c>
      <c r="M1998" t="str">
        <f t="shared" si="159"/>
        <v/>
      </c>
    </row>
    <row r="1999" spans="1:13" x14ac:dyDescent="0.3">
      <c r="A1999" t="str">
        <f>Segmenter!A1999</f>
        <v/>
      </c>
      <c r="B1999" t="str">
        <f>Segmenter!B1999</f>
        <v/>
      </c>
      <c r="C1999" t="str">
        <f t="shared" si="155"/>
        <v/>
      </c>
      <c r="D1999" t="str">
        <f t="shared" si="156"/>
        <v/>
      </c>
      <c r="E1999" t="str">
        <f t="shared" si="157"/>
        <v/>
      </c>
      <c r="F1999" t="str">
        <f>IF(D1999="","",INDEX(Knutepunkter!$B:$B,D1999+1))</f>
        <v/>
      </c>
      <c r="G1999" t="str">
        <f>IF(D1999="","",INDEX(Knutepunkter!$C:$C,D1999+1))</f>
        <v/>
      </c>
      <c r="H1999" t="str">
        <f>IF(D1999="","",INDEX(Knutepunkter!$D:$D,D1999+1))</f>
        <v/>
      </c>
      <c r="I1999" t="str">
        <f>IF(E1999="","",INDEX(Knutepunkter!$B:$B,E1999+1))</f>
        <v/>
      </c>
      <c r="J1999" t="str">
        <f>IF(E1999="","",INDEX(Knutepunkter!$C:$C,E1999+1))</f>
        <v/>
      </c>
      <c r="K1999" t="str">
        <f>IF(E1999="","",INDEX(Knutepunkter!$D:$D,E1999+1))</f>
        <v/>
      </c>
      <c r="L1999" t="str">
        <f t="shared" si="158"/>
        <v/>
      </c>
      <c r="M1999" t="str">
        <f t="shared" si="159"/>
        <v/>
      </c>
    </row>
    <row r="2000" spans="1:13" x14ac:dyDescent="0.3">
      <c r="A2000" t="str">
        <f>Segmenter!A2000</f>
        <v/>
      </c>
      <c r="B2000" t="str">
        <f>Segmenter!B2000</f>
        <v/>
      </c>
      <c r="C2000" t="str">
        <f t="shared" si="155"/>
        <v/>
      </c>
      <c r="D2000" t="str">
        <f t="shared" si="156"/>
        <v/>
      </c>
      <c r="E2000" t="str">
        <f t="shared" si="157"/>
        <v/>
      </c>
      <c r="F2000" t="str">
        <f>IF(D2000="","",INDEX(Knutepunkter!$B:$B,D2000+1))</f>
        <v/>
      </c>
      <c r="G2000" t="str">
        <f>IF(D2000="","",INDEX(Knutepunkter!$C:$C,D2000+1))</f>
        <v/>
      </c>
      <c r="H2000" t="str">
        <f>IF(D2000="","",INDEX(Knutepunkter!$D:$D,D2000+1))</f>
        <v/>
      </c>
      <c r="I2000" t="str">
        <f>IF(E2000="","",INDEX(Knutepunkter!$B:$B,E2000+1))</f>
        <v/>
      </c>
      <c r="J2000" t="str">
        <f>IF(E2000="","",INDEX(Knutepunkter!$C:$C,E2000+1))</f>
        <v/>
      </c>
      <c r="K2000" t="str">
        <f>IF(E2000="","",INDEX(Knutepunkter!$D:$D,E2000+1))</f>
        <v/>
      </c>
      <c r="L2000" t="str">
        <f t="shared" si="158"/>
        <v/>
      </c>
      <c r="M2000" t="str">
        <f t="shared" si="159"/>
        <v/>
      </c>
    </row>
    <row r="2001" spans="1:13" x14ac:dyDescent="0.3">
      <c r="A2001" t="str">
        <f>Segmenter!A2001</f>
        <v/>
      </c>
      <c r="B2001" t="str">
        <f>Segmenter!B2001</f>
        <v/>
      </c>
      <c r="C2001" t="str">
        <f t="shared" si="155"/>
        <v/>
      </c>
      <c r="D2001" t="str">
        <f t="shared" si="156"/>
        <v/>
      </c>
      <c r="E2001" t="str">
        <f t="shared" si="157"/>
        <v/>
      </c>
      <c r="F2001" t="str">
        <f>IF(D2001="","",INDEX(Knutepunkter!$B:$B,D2001+1))</f>
        <v/>
      </c>
      <c r="G2001" t="str">
        <f>IF(D2001="","",INDEX(Knutepunkter!$C:$C,D2001+1))</f>
        <v/>
      </c>
      <c r="H2001" t="str">
        <f>IF(D2001="","",INDEX(Knutepunkter!$D:$D,D2001+1))</f>
        <v/>
      </c>
      <c r="I2001" t="str">
        <f>IF(E2001="","",INDEX(Knutepunkter!$B:$B,E2001+1))</f>
        <v/>
      </c>
      <c r="J2001" t="str">
        <f>IF(E2001="","",INDEX(Knutepunkter!$C:$C,E2001+1))</f>
        <v/>
      </c>
      <c r="K2001" t="str">
        <f>IF(E2001="","",INDEX(Knutepunkter!$D:$D,E2001+1))</f>
        <v/>
      </c>
      <c r="L2001" t="str">
        <f t="shared" si="158"/>
        <v/>
      </c>
      <c r="M2001" t="str">
        <f t="shared" si="159"/>
        <v/>
      </c>
    </row>
    <row r="2002" spans="1:13" x14ac:dyDescent="0.3">
      <c r="A2002" t="str">
        <f>Segmenter!A2002</f>
        <v/>
      </c>
      <c r="B2002" t="str">
        <f>Segmenter!B2002</f>
        <v/>
      </c>
      <c r="C2002" t="str">
        <f t="shared" si="155"/>
        <v/>
      </c>
      <c r="D2002" t="str">
        <f t="shared" si="156"/>
        <v/>
      </c>
      <c r="E2002" t="str">
        <f t="shared" si="157"/>
        <v/>
      </c>
      <c r="F2002" t="str">
        <f>IF(D2002="","",INDEX(Knutepunkter!$B:$B,D2002+1))</f>
        <v/>
      </c>
      <c r="G2002" t="str">
        <f>IF(D2002="","",INDEX(Knutepunkter!$C:$C,D2002+1))</f>
        <v/>
      </c>
      <c r="H2002" t="str">
        <f>IF(D2002="","",INDEX(Knutepunkter!$D:$D,D2002+1))</f>
        <v/>
      </c>
      <c r="I2002" t="str">
        <f>IF(E2002="","",INDEX(Knutepunkter!$B:$B,E2002+1))</f>
        <v/>
      </c>
      <c r="J2002" t="str">
        <f>IF(E2002="","",INDEX(Knutepunkter!$C:$C,E2002+1))</f>
        <v/>
      </c>
      <c r="K2002" t="str">
        <f>IF(E2002="","",INDEX(Knutepunkter!$D:$D,E2002+1))</f>
        <v/>
      </c>
      <c r="L2002" t="str">
        <f t="shared" si="158"/>
        <v/>
      </c>
      <c r="M2002" t="str">
        <f t="shared" si="159"/>
        <v/>
      </c>
    </row>
    <row r="2003" spans="1:13" x14ac:dyDescent="0.3">
      <c r="A2003" t="str">
        <f>Segmenter!A2003</f>
        <v/>
      </c>
      <c r="B2003" t="str">
        <f>Segmenter!B2003</f>
        <v/>
      </c>
      <c r="C2003" t="str">
        <f t="shared" si="155"/>
        <v/>
      </c>
      <c r="D2003" t="str">
        <f t="shared" si="156"/>
        <v/>
      </c>
      <c r="E2003" t="str">
        <f t="shared" si="157"/>
        <v/>
      </c>
      <c r="F2003" t="str">
        <f>IF(D2003="","",INDEX(Knutepunkter!$B:$B,D2003+1))</f>
        <v/>
      </c>
      <c r="G2003" t="str">
        <f>IF(D2003="","",INDEX(Knutepunkter!$C:$C,D2003+1))</f>
        <v/>
      </c>
      <c r="H2003" t="str">
        <f>IF(D2003="","",INDEX(Knutepunkter!$D:$D,D2003+1))</f>
        <v/>
      </c>
      <c r="I2003" t="str">
        <f>IF(E2003="","",INDEX(Knutepunkter!$B:$B,E2003+1))</f>
        <v/>
      </c>
      <c r="J2003" t="str">
        <f>IF(E2003="","",INDEX(Knutepunkter!$C:$C,E2003+1))</f>
        <v/>
      </c>
      <c r="K2003" t="str">
        <f>IF(E2003="","",INDEX(Knutepunkter!$D:$D,E2003+1))</f>
        <v/>
      </c>
      <c r="L2003" t="str">
        <f t="shared" si="158"/>
        <v/>
      </c>
      <c r="M2003" t="str">
        <f t="shared" si="159"/>
        <v/>
      </c>
    </row>
    <row r="2004" spans="1:13" x14ac:dyDescent="0.3">
      <c r="A2004" t="str">
        <f>Segmenter!A2004</f>
        <v/>
      </c>
      <c r="B2004" t="str">
        <f>Segmenter!B2004</f>
        <v/>
      </c>
      <c r="C2004" t="str">
        <f t="shared" si="155"/>
        <v/>
      </c>
      <c r="D2004" t="str">
        <f t="shared" si="156"/>
        <v/>
      </c>
      <c r="E2004" t="str">
        <f t="shared" si="157"/>
        <v/>
      </c>
      <c r="F2004" t="str">
        <f>IF(D2004="","",INDEX(Knutepunkter!$B:$B,D2004+1))</f>
        <v/>
      </c>
      <c r="G2004" t="str">
        <f>IF(D2004="","",INDEX(Knutepunkter!$C:$C,D2004+1))</f>
        <v/>
      </c>
      <c r="H2004" t="str">
        <f>IF(D2004="","",INDEX(Knutepunkter!$D:$D,D2004+1))</f>
        <v/>
      </c>
      <c r="I2004" t="str">
        <f>IF(E2004="","",INDEX(Knutepunkter!$B:$B,E2004+1))</f>
        <v/>
      </c>
      <c r="J2004" t="str">
        <f>IF(E2004="","",INDEX(Knutepunkter!$C:$C,E2004+1))</f>
        <v/>
      </c>
      <c r="K2004" t="str">
        <f>IF(E2004="","",INDEX(Knutepunkter!$D:$D,E2004+1))</f>
        <v/>
      </c>
      <c r="L2004" t="str">
        <f t="shared" si="158"/>
        <v/>
      </c>
      <c r="M2004" t="str">
        <f t="shared" si="159"/>
        <v/>
      </c>
    </row>
    <row r="2005" spans="1:13" x14ac:dyDescent="0.3">
      <c r="A2005" t="str">
        <f>Segmenter!A2005</f>
        <v/>
      </c>
      <c r="B2005" t="str">
        <f>Segmenter!B2005</f>
        <v/>
      </c>
      <c r="C2005" t="str">
        <f t="shared" si="155"/>
        <v/>
      </c>
      <c r="D2005" t="str">
        <f t="shared" si="156"/>
        <v/>
      </c>
      <c r="E2005" t="str">
        <f t="shared" si="157"/>
        <v/>
      </c>
      <c r="F2005" t="str">
        <f>IF(D2005="","",INDEX(Knutepunkter!$B:$B,D2005+1))</f>
        <v/>
      </c>
      <c r="G2005" t="str">
        <f>IF(D2005="","",INDEX(Knutepunkter!$C:$C,D2005+1))</f>
        <v/>
      </c>
      <c r="H2005" t="str">
        <f>IF(D2005="","",INDEX(Knutepunkter!$D:$D,D2005+1))</f>
        <v/>
      </c>
      <c r="I2005" t="str">
        <f>IF(E2005="","",INDEX(Knutepunkter!$B:$B,E2005+1))</f>
        <v/>
      </c>
      <c r="J2005" t="str">
        <f>IF(E2005="","",INDEX(Knutepunkter!$C:$C,E2005+1))</f>
        <v/>
      </c>
      <c r="K2005" t="str">
        <f>IF(E2005="","",INDEX(Knutepunkter!$D:$D,E2005+1))</f>
        <v/>
      </c>
      <c r="L2005" t="str">
        <f t="shared" si="158"/>
        <v/>
      </c>
      <c r="M2005" t="str">
        <f t="shared" si="159"/>
        <v/>
      </c>
    </row>
    <row r="2006" spans="1:13" x14ac:dyDescent="0.3">
      <c r="A2006" t="str">
        <f>Segmenter!A2006</f>
        <v/>
      </c>
      <c r="B2006" t="str">
        <f>Segmenter!B2006</f>
        <v/>
      </c>
      <c r="C2006" t="str">
        <f t="shared" si="155"/>
        <v/>
      </c>
      <c r="D2006" t="str">
        <f t="shared" si="156"/>
        <v/>
      </c>
      <c r="E2006" t="str">
        <f t="shared" si="157"/>
        <v/>
      </c>
      <c r="F2006" t="str">
        <f>IF(D2006="","",INDEX(Knutepunkter!$B:$B,D2006+1))</f>
        <v/>
      </c>
      <c r="G2006" t="str">
        <f>IF(D2006="","",INDEX(Knutepunkter!$C:$C,D2006+1))</f>
        <v/>
      </c>
      <c r="H2006" t="str">
        <f>IF(D2006="","",INDEX(Knutepunkter!$D:$D,D2006+1))</f>
        <v/>
      </c>
      <c r="I2006" t="str">
        <f>IF(E2006="","",INDEX(Knutepunkter!$B:$B,E2006+1))</f>
        <v/>
      </c>
      <c r="J2006" t="str">
        <f>IF(E2006="","",INDEX(Knutepunkter!$C:$C,E2006+1))</f>
        <v/>
      </c>
      <c r="K2006" t="str">
        <f>IF(E2006="","",INDEX(Knutepunkter!$D:$D,E2006+1))</f>
        <v/>
      </c>
      <c r="L2006" t="str">
        <f t="shared" si="158"/>
        <v/>
      </c>
      <c r="M2006" t="str">
        <f t="shared" si="159"/>
        <v/>
      </c>
    </row>
    <row r="2007" spans="1:13" x14ac:dyDescent="0.3">
      <c r="A2007" t="str">
        <f>Segmenter!A2007</f>
        <v/>
      </c>
      <c r="B2007" t="str">
        <f>Segmenter!B2007</f>
        <v/>
      </c>
      <c r="C2007" t="str">
        <f t="shared" si="155"/>
        <v/>
      </c>
      <c r="D2007" t="str">
        <f t="shared" si="156"/>
        <v/>
      </c>
      <c r="E2007" t="str">
        <f t="shared" si="157"/>
        <v/>
      </c>
      <c r="F2007" t="str">
        <f>IF(D2007="","",INDEX(Knutepunkter!$B:$B,D2007+1))</f>
        <v/>
      </c>
      <c r="G2007" t="str">
        <f>IF(D2007="","",INDEX(Knutepunkter!$C:$C,D2007+1))</f>
        <v/>
      </c>
      <c r="H2007" t="str">
        <f>IF(D2007="","",INDEX(Knutepunkter!$D:$D,D2007+1))</f>
        <v/>
      </c>
      <c r="I2007" t="str">
        <f>IF(E2007="","",INDEX(Knutepunkter!$B:$B,E2007+1))</f>
        <v/>
      </c>
      <c r="J2007" t="str">
        <f>IF(E2007="","",INDEX(Knutepunkter!$C:$C,E2007+1))</f>
        <v/>
      </c>
      <c r="K2007" t="str">
        <f>IF(E2007="","",INDEX(Knutepunkter!$D:$D,E2007+1))</f>
        <v/>
      </c>
      <c r="L2007" t="str">
        <f t="shared" si="158"/>
        <v/>
      </c>
      <c r="M2007" t="str">
        <f t="shared" si="159"/>
        <v/>
      </c>
    </row>
    <row r="2008" spans="1:13" x14ac:dyDescent="0.3">
      <c r="A2008" t="str">
        <f>Segmenter!A2008</f>
        <v/>
      </c>
      <c r="B2008" t="str">
        <f>Segmenter!B2008</f>
        <v/>
      </c>
      <c r="C2008" t="str">
        <f t="shared" si="155"/>
        <v/>
      </c>
      <c r="D2008" t="str">
        <f t="shared" si="156"/>
        <v/>
      </c>
      <c r="E2008" t="str">
        <f t="shared" si="157"/>
        <v/>
      </c>
      <c r="F2008" t="str">
        <f>IF(D2008="","",INDEX(Knutepunkter!$B:$B,D2008+1))</f>
        <v/>
      </c>
      <c r="G2008" t="str">
        <f>IF(D2008="","",INDEX(Knutepunkter!$C:$C,D2008+1))</f>
        <v/>
      </c>
      <c r="H2008" t="str">
        <f>IF(D2008="","",INDEX(Knutepunkter!$D:$D,D2008+1))</f>
        <v/>
      </c>
      <c r="I2008" t="str">
        <f>IF(E2008="","",INDEX(Knutepunkter!$B:$B,E2008+1))</f>
        <v/>
      </c>
      <c r="J2008" t="str">
        <f>IF(E2008="","",INDEX(Knutepunkter!$C:$C,E2008+1))</f>
        <v/>
      </c>
      <c r="K2008" t="str">
        <f>IF(E2008="","",INDEX(Knutepunkter!$D:$D,E2008+1))</f>
        <v/>
      </c>
      <c r="L2008" t="str">
        <f t="shared" si="158"/>
        <v/>
      </c>
      <c r="M2008" t="str">
        <f t="shared" si="159"/>
        <v/>
      </c>
    </row>
    <row r="2009" spans="1:13" x14ac:dyDescent="0.3">
      <c r="A2009" t="str">
        <f>Segmenter!A2009</f>
        <v/>
      </c>
      <c r="B2009" t="str">
        <f>Segmenter!B2009</f>
        <v/>
      </c>
      <c r="C2009" t="str">
        <f t="shared" si="155"/>
        <v/>
      </c>
      <c r="D2009" t="str">
        <f t="shared" si="156"/>
        <v/>
      </c>
      <c r="E2009" t="str">
        <f t="shared" si="157"/>
        <v/>
      </c>
      <c r="F2009" t="str">
        <f>IF(D2009="","",INDEX(Knutepunkter!$B:$B,D2009+1))</f>
        <v/>
      </c>
      <c r="G2009" t="str">
        <f>IF(D2009="","",INDEX(Knutepunkter!$C:$C,D2009+1))</f>
        <v/>
      </c>
      <c r="H2009" t="str">
        <f>IF(D2009="","",INDEX(Knutepunkter!$D:$D,D2009+1))</f>
        <v/>
      </c>
      <c r="I2009" t="str">
        <f>IF(E2009="","",INDEX(Knutepunkter!$B:$B,E2009+1))</f>
        <v/>
      </c>
      <c r="J2009" t="str">
        <f>IF(E2009="","",INDEX(Knutepunkter!$C:$C,E2009+1))</f>
        <v/>
      </c>
      <c r="K2009" t="str">
        <f>IF(E2009="","",INDEX(Knutepunkter!$D:$D,E2009+1))</f>
        <v/>
      </c>
      <c r="L2009" t="str">
        <f t="shared" si="158"/>
        <v/>
      </c>
      <c r="M2009" t="str">
        <f t="shared" si="159"/>
        <v/>
      </c>
    </row>
    <row r="2010" spans="1:13" x14ac:dyDescent="0.3">
      <c r="A2010" t="str">
        <f>Segmenter!A2010</f>
        <v/>
      </c>
      <c r="B2010" t="str">
        <f>Segmenter!B2010</f>
        <v/>
      </c>
      <c r="C2010" t="str">
        <f t="shared" si="155"/>
        <v/>
      </c>
      <c r="D2010" t="str">
        <f t="shared" si="156"/>
        <v/>
      </c>
      <c r="E2010" t="str">
        <f t="shared" si="157"/>
        <v/>
      </c>
      <c r="F2010" t="str">
        <f>IF(D2010="","",INDEX(Knutepunkter!$B:$B,D2010+1))</f>
        <v/>
      </c>
      <c r="G2010" t="str">
        <f>IF(D2010="","",INDEX(Knutepunkter!$C:$C,D2010+1))</f>
        <v/>
      </c>
      <c r="H2010" t="str">
        <f>IF(D2010="","",INDEX(Knutepunkter!$D:$D,D2010+1))</f>
        <v/>
      </c>
      <c r="I2010" t="str">
        <f>IF(E2010="","",INDEX(Knutepunkter!$B:$B,E2010+1))</f>
        <v/>
      </c>
      <c r="J2010" t="str">
        <f>IF(E2010="","",INDEX(Knutepunkter!$C:$C,E2010+1))</f>
        <v/>
      </c>
      <c r="K2010" t="str">
        <f>IF(E2010="","",INDEX(Knutepunkter!$D:$D,E2010+1))</f>
        <v/>
      </c>
      <c r="L2010" t="str">
        <f t="shared" si="158"/>
        <v/>
      </c>
      <c r="M2010" t="str">
        <f t="shared" si="159"/>
        <v/>
      </c>
    </row>
    <row r="2011" spans="1:13" x14ac:dyDescent="0.3">
      <c r="A2011" t="str">
        <f>Segmenter!A2011</f>
        <v/>
      </c>
      <c r="B2011" t="str">
        <f>Segmenter!B2011</f>
        <v/>
      </c>
      <c r="C2011" t="str">
        <f t="shared" si="155"/>
        <v/>
      </c>
      <c r="D2011" t="str">
        <f t="shared" si="156"/>
        <v/>
      </c>
      <c r="E2011" t="str">
        <f t="shared" si="157"/>
        <v/>
      </c>
      <c r="F2011" t="str">
        <f>IF(D2011="","",INDEX(Knutepunkter!$B:$B,D2011+1))</f>
        <v/>
      </c>
      <c r="G2011" t="str">
        <f>IF(D2011="","",INDEX(Knutepunkter!$C:$C,D2011+1))</f>
        <v/>
      </c>
      <c r="H2011" t="str">
        <f>IF(D2011="","",INDEX(Knutepunkter!$D:$D,D2011+1))</f>
        <v/>
      </c>
      <c r="I2011" t="str">
        <f>IF(E2011="","",INDEX(Knutepunkter!$B:$B,E2011+1))</f>
        <v/>
      </c>
      <c r="J2011" t="str">
        <f>IF(E2011="","",INDEX(Knutepunkter!$C:$C,E2011+1))</f>
        <v/>
      </c>
      <c r="K2011" t="str">
        <f>IF(E2011="","",INDEX(Knutepunkter!$D:$D,E2011+1))</f>
        <v/>
      </c>
      <c r="L2011" t="str">
        <f t="shared" si="158"/>
        <v/>
      </c>
      <c r="M2011" t="str">
        <f t="shared" si="159"/>
        <v/>
      </c>
    </row>
    <row r="2012" spans="1:13" x14ac:dyDescent="0.3">
      <c r="A2012" t="str">
        <f>Segmenter!A2012</f>
        <v/>
      </c>
      <c r="B2012" t="str">
        <f>Segmenter!B2012</f>
        <v/>
      </c>
      <c r="C2012" t="str">
        <f t="shared" si="155"/>
        <v/>
      </c>
      <c r="D2012" t="str">
        <f t="shared" si="156"/>
        <v/>
      </c>
      <c r="E2012" t="str">
        <f t="shared" si="157"/>
        <v/>
      </c>
      <c r="F2012" t="str">
        <f>IF(D2012="","",INDEX(Knutepunkter!$B:$B,D2012+1))</f>
        <v/>
      </c>
      <c r="G2012" t="str">
        <f>IF(D2012="","",INDEX(Knutepunkter!$C:$C,D2012+1))</f>
        <v/>
      </c>
      <c r="H2012" t="str">
        <f>IF(D2012="","",INDEX(Knutepunkter!$D:$D,D2012+1))</f>
        <v/>
      </c>
      <c r="I2012" t="str">
        <f>IF(E2012="","",INDEX(Knutepunkter!$B:$B,E2012+1))</f>
        <v/>
      </c>
      <c r="J2012" t="str">
        <f>IF(E2012="","",INDEX(Knutepunkter!$C:$C,E2012+1))</f>
        <v/>
      </c>
      <c r="K2012" t="str">
        <f>IF(E2012="","",INDEX(Knutepunkter!$D:$D,E2012+1))</f>
        <v/>
      </c>
      <c r="L2012" t="str">
        <f t="shared" si="158"/>
        <v/>
      </c>
      <c r="M2012" t="str">
        <f t="shared" si="159"/>
        <v/>
      </c>
    </row>
    <row r="2013" spans="1:13" x14ac:dyDescent="0.3">
      <c r="A2013" t="str">
        <f>Segmenter!A2013</f>
        <v/>
      </c>
      <c r="B2013" t="str">
        <f>Segmenter!B2013</f>
        <v/>
      </c>
      <c r="C2013" t="str">
        <f t="shared" si="155"/>
        <v/>
      </c>
      <c r="D2013" t="str">
        <f t="shared" si="156"/>
        <v/>
      </c>
      <c r="E2013" t="str">
        <f t="shared" si="157"/>
        <v/>
      </c>
      <c r="F2013" t="str">
        <f>IF(D2013="","",INDEX(Knutepunkter!$B:$B,D2013+1))</f>
        <v/>
      </c>
      <c r="G2013" t="str">
        <f>IF(D2013="","",INDEX(Knutepunkter!$C:$C,D2013+1))</f>
        <v/>
      </c>
      <c r="H2013" t="str">
        <f>IF(D2013="","",INDEX(Knutepunkter!$D:$D,D2013+1))</f>
        <v/>
      </c>
      <c r="I2013" t="str">
        <f>IF(E2013="","",INDEX(Knutepunkter!$B:$B,E2013+1))</f>
        <v/>
      </c>
      <c r="J2013" t="str">
        <f>IF(E2013="","",INDEX(Knutepunkter!$C:$C,E2013+1))</f>
        <v/>
      </c>
      <c r="K2013" t="str">
        <f>IF(E2013="","",INDEX(Knutepunkter!$D:$D,E2013+1))</f>
        <v/>
      </c>
      <c r="L2013" t="str">
        <f t="shared" si="158"/>
        <v/>
      </c>
      <c r="M2013" t="str">
        <f t="shared" si="159"/>
        <v/>
      </c>
    </row>
    <row r="2014" spans="1:13" x14ac:dyDescent="0.3">
      <c r="A2014" t="str">
        <f>Segmenter!A2014</f>
        <v/>
      </c>
      <c r="B2014" t="str">
        <f>Segmenter!B2014</f>
        <v/>
      </c>
      <c r="C2014" t="str">
        <f t="shared" si="155"/>
        <v/>
      </c>
      <c r="D2014" t="str">
        <f t="shared" si="156"/>
        <v/>
      </c>
      <c r="E2014" t="str">
        <f t="shared" si="157"/>
        <v/>
      </c>
      <c r="F2014" t="str">
        <f>IF(D2014="","",INDEX(Knutepunkter!$B:$B,D2014+1))</f>
        <v/>
      </c>
      <c r="G2014" t="str">
        <f>IF(D2014="","",INDEX(Knutepunkter!$C:$C,D2014+1))</f>
        <v/>
      </c>
      <c r="H2014" t="str">
        <f>IF(D2014="","",INDEX(Knutepunkter!$D:$D,D2014+1))</f>
        <v/>
      </c>
      <c r="I2014" t="str">
        <f>IF(E2014="","",INDEX(Knutepunkter!$B:$B,E2014+1))</f>
        <v/>
      </c>
      <c r="J2014" t="str">
        <f>IF(E2014="","",INDEX(Knutepunkter!$C:$C,E2014+1))</f>
        <v/>
      </c>
      <c r="K2014" t="str">
        <f>IF(E2014="","",INDEX(Knutepunkter!$D:$D,E2014+1))</f>
        <v/>
      </c>
      <c r="L2014" t="str">
        <f t="shared" si="158"/>
        <v/>
      </c>
      <c r="M2014" t="str">
        <f t="shared" si="159"/>
        <v/>
      </c>
    </row>
    <row r="2015" spans="1:13" x14ac:dyDescent="0.3">
      <c r="A2015" t="str">
        <f>Segmenter!A2015</f>
        <v/>
      </c>
      <c r="B2015" t="str">
        <f>Segmenter!B2015</f>
        <v/>
      </c>
      <c r="C2015" t="str">
        <f t="shared" si="155"/>
        <v/>
      </c>
      <c r="D2015" t="str">
        <f t="shared" si="156"/>
        <v/>
      </c>
      <c r="E2015" t="str">
        <f t="shared" si="157"/>
        <v/>
      </c>
      <c r="F2015" t="str">
        <f>IF(D2015="","",INDEX(Knutepunkter!$B:$B,D2015+1))</f>
        <v/>
      </c>
      <c r="G2015" t="str">
        <f>IF(D2015="","",INDEX(Knutepunkter!$C:$C,D2015+1))</f>
        <v/>
      </c>
      <c r="H2015" t="str">
        <f>IF(D2015="","",INDEX(Knutepunkter!$D:$D,D2015+1))</f>
        <v/>
      </c>
      <c r="I2015" t="str">
        <f>IF(E2015="","",INDEX(Knutepunkter!$B:$B,E2015+1))</f>
        <v/>
      </c>
      <c r="J2015" t="str">
        <f>IF(E2015="","",INDEX(Knutepunkter!$C:$C,E2015+1))</f>
        <v/>
      </c>
      <c r="K2015" t="str">
        <f>IF(E2015="","",INDEX(Knutepunkter!$D:$D,E2015+1))</f>
        <v/>
      </c>
      <c r="L2015" t="str">
        <f t="shared" si="158"/>
        <v/>
      </c>
      <c r="M2015" t="str">
        <f t="shared" si="159"/>
        <v/>
      </c>
    </row>
    <row r="2016" spans="1:13" x14ac:dyDescent="0.3">
      <c r="A2016" t="str">
        <f>Segmenter!A2016</f>
        <v/>
      </c>
      <c r="B2016" t="str">
        <f>Segmenter!B2016</f>
        <v/>
      </c>
      <c r="C2016" t="str">
        <f t="shared" si="155"/>
        <v/>
      </c>
      <c r="D2016" t="str">
        <f t="shared" si="156"/>
        <v/>
      </c>
      <c r="E2016" t="str">
        <f t="shared" si="157"/>
        <v/>
      </c>
      <c r="F2016" t="str">
        <f>IF(D2016="","",INDEX(Knutepunkter!$B:$B,D2016+1))</f>
        <v/>
      </c>
      <c r="G2016" t="str">
        <f>IF(D2016="","",INDEX(Knutepunkter!$C:$C,D2016+1))</f>
        <v/>
      </c>
      <c r="H2016" t="str">
        <f>IF(D2016="","",INDEX(Knutepunkter!$D:$D,D2016+1))</f>
        <v/>
      </c>
      <c r="I2016" t="str">
        <f>IF(E2016="","",INDEX(Knutepunkter!$B:$B,E2016+1))</f>
        <v/>
      </c>
      <c r="J2016" t="str">
        <f>IF(E2016="","",INDEX(Knutepunkter!$C:$C,E2016+1))</f>
        <v/>
      </c>
      <c r="K2016" t="str">
        <f>IF(E2016="","",INDEX(Knutepunkter!$D:$D,E2016+1))</f>
        <v/>
      </c>
      <c r="L2016" t="str">
        <f t="shared" si="158"/>
        <v/>
      </c>
      <c r="M2016" t="str">
        <f t="shared" si="159"/>
        <v/>
      </c>
    </row>
    <row r="2017" spans="1:13" x14ac:dyDescent="0.3">
      <c r="A2017" t="str">
        <f>Segmenter!A2017</f>
        <v/>
      </c>
      <c r="B2017" t="str">
        <f>Segmenter!B2017</f>
        <v/>
      </c>
      <c r="C2017" t="str">
        <f t="shared" si="155"/>
        <v/>
      </c>
      <c r="D2017" t="str">
        <f t="shared" si="156"/>
        <v/>
      </c>
      <c r="E2017" t="str">
        <f t="shared" si="157"/>
        <v/>
      </c>
      <c r="F2017" t="str">
        <f>IF(D2017="","",INDEX(Knutepunkter!$B:$B,D2017+1))</f>
        <v/>
      </c>
      <c r="G2017" t="str">
        <f>IF(D2017="","",INDEX(Knutepunkter!$C:$C,D2017+1))</f>
        <v/>
      </c>
      <c r="H2017" t="str">
        <f>IF(D2017="","",INDEX(Knutepunkter!$D:$D,D2017+1))</f>
        <v/>
      </c>
      <c r="I2017" t="str">
        <f>IF(E2017="","",INDEX(Knutepunkter!$B:$B,E2017+1))</f>
        <v/>
      </c>
      <c r="J2017" t="str">
        <f>IF(E2017="","",INDEX(Knutepunkter!$C:$C,E2017+1))</f>
        <v/>
      </c>
      <c r="K2017" t="str">
        <f>IF(E2017="","",INDEX(Knutepunkter!$D:$D,E2017+1))</f>
        <v/>
      </c>
      <c r="L2017" t="str">
        <f t="shared" si="158"/>
        <v/>
      </c>
      <c r="M2017" t="str">
        <f t="shared" si="159"/>
        <v/>
      </c>
    </row>
    <row r="2018" spans="1:13" x14ac:dyDescent="0.3">
      <c r="A2018" t="str">
        <f>Segmenter!A2018</f>
        <v/>
      </c>
      <c r="B2018" t="str">
        <f>Segmenter!B2018</f>
        <v/>
      </c>
      <c r="C2018" t="str">
        <f t="shared" si="155"/>
        <v/>
      </c>
      <c r="D2018" t="str">
        <f t="shared" si="156"/>
        <v/>
      </c>
      <c r="E2018" t="str">
        <f t="shared" si="157"/>
        <v/>
      </c>
      <c r="F2018" t="str">
        <f>IF(D2018="","",INDEX(Knutepunkter!$B:$B,D2018+1))</f>
        <v/>
      </c>
      <c r="G2018" t="str">
        <f>IF(D2018="","",INDEX(Knutepunkter!$C:$C,D2018+1))</f>
        <v/>
      </c>
      <c r="H2018" t="str">
        <f>IF(D2018="","",INDEX(Knutepunkter!$D:$D,D2018+1))</f>
        <v/>
      </c>
      <c r="I2018" t="str">
        <f>IF(E2018="","",INDEX(Knutepunkter!$B:$B,E2018+1))</f>
        <v/>
      </c>
      <c r="J2018" t="str">
        <f>IF(E2018="","",INDEX(Knutepunkter!$C:$C,E2018+1))</f>
        <v/>
      </c>
      <c r="K2018" t="str">
        <f>IF(E2018="","",INDEX(Knutepunkter!$D:$D,E2018+1))</f>
        <v/>
      </c>
      <c r="L2018" t="str">
        <f t="shared" si="158"/>
        <v/>
      </c>
      <c r="M2018" t="str">
        <f t="shared" si="159"/>
        <v/>
      </c>
    </row>
    <row r="2019" spans="1:13" x14ac:dyDescent="0.3">
      <c r="A2019" t="str">
        <f>Segmenter!A2019</f>
        <v/>
      </c>
      <c r="B2019" t="str">
        <f>Segmenter!B2019</f>
        <v/>
      </c>
      <c r="C2019" t="str">
        <f t="shared" si="155"/>
        <v/>
      </c>
      <c r="D2019" t="str">
        <f t="shared" si="156"/>
        <v/>
      </c>
      <c r="E2019" t="str">
        <f t="shared" si="157"/>
        <v/>
      </c>
      <c r="F2019" t="str">
        <f>IF(D2019="","",INDEX(Knutepunkter!$B:$B,D2019+1))</f>
        <v/>
      </c>
      <c r="G2019" t="str">
        <f>IF(D2019="","",INDEX(Knutepunkter!$C:$C,D2019+1))</f>
        <v/>
      </c>
      <c r="H2019" t="str">
        <f>IF(D2019="","",INDEX(Knutepunkter!$D:$D,D2019+1))</f>
        <v/>
      </c>
      <c r="I2019" t="str">
        <f>IF(E2019="","",INDEX(Knutepunkter!$B:$B,E2019+1))</f>
        <v/>
      </c>
      <c r="J2019" t="str">
        <f>IF(E2019="","",INDEX(Knutepunkter!$C:$C,E2019+1))</f>
        <v/>
      </c>
      <c r="K2019" t="str">
        <f>IF(E2019="","",INDEX(Knutepunkter!$D:$D,E2019+1))</f>
        <v/>
      </c>
      <c r="L2019" t="str">
        <f t="shared" si="158"/>
        <v/>
      </c>
      <c r="M2019" t="str">
        <f t="shared" si="159"/>
        <v/>
      </c>
    </row>
    <row r="2020" spans="1:13" x14ac:dyDescent="0.3">
      <c r="A2020" t="str">
        <f>Segmenter!A2020</f>
        <v/>
      </c>
      <c r="B2020" t="str">
        <f>Segmenter!B2020</f>
        <v/>
      </c>
      <c r="C2020" t="str">
        <f t="shared" si="155"/>
        <v/>
      </c>
      <c r="D2020" t="str">
        <f t="shared" si="156"/>
        <v/>
      </c>
      <c r="E2020" t="str">
        <f t="shared" si="157"/>
        <v/>
      </c>
      <c r="F2020" t="str">
        <f>IF(D2020="","",INDEX(Knutepunkter!$B:$B,D2020+1))</f>
        <v/>
      </c>
      <c r="G2020" t="str">
        <f>IF(D2020="","",INDEX(Knutepunkter!$C:$C,D2020+1))</f>
        <v/>
      </c>
      <c r="H2020" t="str">
        <f>IF(D2020="","",INDEX(Knutepunkter!$D:$D,D2020+1))</f>
        <v/>
      </c>
      <c r="I2020" t="str">
        <f>IF(E2020="","",INDEX(Knutepunkter!$B:$B,E2020+1))</f>
        <v/>
      </c>
      <c r="J2020" t="str">
        <f>IF(E2020="","",INDEX(Knutepunkter!$C:$C,E2020+1))</f>
        <v/>
      </c>
      <c r="K2020" t="str">
        <f>IF(E2020="","",INDEX(Knutepunkter!$D:$D,E2020+1))</f>
        <v/>
      </c>
      <c r="L2020" t="str">
        <f t="shared" si="158"/>
        <v/>
      </c>
      <c r="M2020" t="str">
        <f t="shared" si="159"/>
        <v/>
      </c>
    </row>
    <row r="2021" spans="1:13" x14ac:dyDescent="0.3">
      <c r="A2021" t="str">
        <f>Segmenter!A2021</f>
        <v/>
      </c>
      <c r="B2021" t="str">
        <f>Segmenter!B2021</f>
        <v/>
      </c>
      <c r="C2021" t="str">
        <f t="shared" si="155"/>
        <v/>
      </c>
      <c r="D2021" t="str">
        <f t="shared" si="156"/>
        <v/>
      </c>
      <c r="E2021" t="str">
        <f t="shared" si="157"/>
        <v/>
      </c>
      <c r="F2021" t="str">
        <f>IF(D2021="","",INDEX(Knutepunkter!$B:$B,D2021+1))</f>
        <v/>
      </c>
      <c r="G2021" t="str">
        <f>IF(D2021="","",INDEX(Knutepunkter!$C:$C,D2021+1))</f>
        <v/>
      </c>
      <c r="H2021" t="str">
        <f>IF(D2021="","",INDEX(Knutepunkter!$D:$D,D2021+1))</f>
        <v/>
      </c>
      <c r="I2021" t="str">
        <f>IF(E2021="","",INDEX(Knutepunkter!$B:$B,E2021+1))</f>
        <v/>
      </c>
      <c r="J2021" t="str">
        <f>IF(E2021="","",INDEX(Knutepunkter!$C:$C,E2021+1))</f>
        <v/>
      </c>
      <c r="K2021" t="str">
        <f>IF(E2021="","",INDEX(Knutepunkter!$D:$D,E2021+1))</f>
        <v/>
      </c>
      <c r="L2021" t="str">
        <f t="shared" si="158"/>
        <v/>
      </c>
      <c r="M2021" t="str">
        <f t="shared" si="159"/>
        <v/>
      </c>
    </row>
    <row r="2022" spans="1:13" x14ac:dyDescent="0.3">
      <c r="A2022" t="str">
        <f>Segmenter!A2022</f>
        <v/>
      </c>
      <c r="B2022" t="str">
        <f>Segmenter!B2022</f>
        <v/>
      </c>
      <c r="C2022" t="str">
        <f t="shared" si="155"/>
        <v/>
      </c>
      <c r="D2022" t="str">
        <f t="shared" si="156"/>
        <v/>
      </c>
      <c r="E2022" t="str">
        <f t="shared" si="157"/>
        <v/>
      </c>
      <c r="F2022" t="str">
        <f>IF(D2022="","",INDEX(Knutepunkter!$B:$B,D2022+1))</f>
        <v/>
      </c>
      <c r="G2022" t="str">
        <f>IF(D2022="","",INDEX(Knutepunkter!$C:$C,D2022+1))</f>
        <v/>
      </c>
      <c r="H2022" t="str">
        <f>IF(D2022="","",INDEX(Knutepunkter!$D:$D,D2022+1))</f>
        <v/>
      </c>
      <c r="I2022" t="str">
        <f>IF(E2022="","",INDEX(Knutepunkter!$B:$B,E2022+1))</f>
        <v/>
      </c>
      <c r="J2022" t="str">
        <f>IF(E2022="","",INDEX(Knutepunkter!$C:$C,E2022+1))</f>
        <v/>
      </c>
      <c r="K2022" t="str">
        <f>IF(E2022="","",INDEX(Knutepunkter!$D:$D,E2022+1))</f>
        <v/>
      </c>
      <c r="L2022" t="str">
        <f t="shared" si="158"/>
        <v/>
      </c>
      <c r="M2022" t="str">
        <f t="shared" si="159"/>
        <v/>
      </c>
    </row>
    <row r="2023" spans="1:13" x14ac:dyDescent="0.3">
      <c r="A2023" t="str">
        <f>Segmenter!A2023</f>
        <v/>
      </c>
      <c r="B2023" t="str">
        <f>Segmenter!B2023</f>
        <v/>
      </c>
      <c r="C2023" t="str">
        <f t="shared" si="155"/>
        <v/>
      </c>
      <c r="D2023" t="str">
        <f t="shared" si="156"/>
        <v/>
      </c>
      <c r="E2023" t="str">
        <f t="shared" si="157"/>
        <v/>
      </c>
      <c r="F2023" t="str">
        <f>IF(D2023="","",INDEX(Knutepunkter!$B:$B,D2023+1))</f>
        <v/>
      </c>
      <c r="G2023" t="str">
        <f>IF(D2023="","",INDEX(Knutepunkter!$C:$C,D2023+1))</f>
        <v/>
      </c>
      <c r="H2023" t="str">
        <f>IF(D2023="","",INDEX(Knutepunkter!$D:$D,D2023+1))</f>
        <v/>
      </c>
      <c r="I2023" t="str">
        <f>IF(E2023="","",INDEX(Knutepunkter!$B:$B,E2023+1))</f>
        <v/>
      </c>
      <c r="J2023" t="str">
        <f>IF(E2023="","",INDEX(Knutepunkter!$C:$C,E2023+1))</f>
        <v/>
      </c>
      <c r="K2023" t="str">
        <f>IF(E2023="","",INDEX(Knutepunkter!$D:$D,E2023+1))</f>
        <v/>
      </c>
      <c r="L2023" t="str">
        <f t="shared" si="158"/>
        <v/>
      </c>
      <c r="M2023" t="str">
        <f t="shared" si="159"/>
        <v/>
      </c>
    </row>
    <row r="2024" spans="1:13" x14ac:dyDescent="0.3">
      <c r="A2024" t="str">
        <f>Segmenter!A2024</f>
        <v/>
      </c>
      <c r="B2024" t="str">
        <f>Segmenter!B2024</f>
        <v/>
      </c>
      <c r="C2024" t="str">
        <f t="shared" si="155"/>
        <v/>
      </c>
      <c r="D2024" t="str">
        <f t="shared" si="156"/>
        <v/>
      </c>
      <c r="E2024" t="str">
        <f t="shared" si="157"/>
        <v/>
      </c>
      <c r="F2024" t="str">
        <f>IF(D2024="","",INDEX(Knutepunkter!$B:$B,D2024+1))</f>
        <v/>
      </c>
      <c r="G2024" t="str">
        <f>IF(D2024="","",INDEX(Knutepunkter!$C:$C,D2024+1))</f>
        <v/>
      </c>
      <c r="H2024" t="str">
        <f>IF(D2024="","",INDEX(Knutepunkter!$D:$D,D2024+1))</f>
        <v/>
      </c>
      <c r="I2024" t="str">
        <f>IF(E2024="","",INDEX(Knutepunkter!$B:$B,E2024+1))</f>
        <v/>
      </c>
      <c r="J2024" t="str">
        <f>IF(E2024="","",INDEX(Knutepunkter!$C:$C,E2024+1))</f>
        <v/>
      </c>
      <c r="K2024" t="str">
        <f>IF(E2024="","",INDEX(Knutepunkter!$D:$D,E2024+1))</f>
        <v/>
      </c>
      <c r="L2024" t="str">
        <f t="shared" si="158"/>
        <v/>
      </c>
      <c r="M2024" t="str">
        <f t="shared" si="159"/>
        <v/>
      </c>
    </row>
    <row r="2025" spans="1:13" x14ac:dyDescent="0.3">
      <c r="A2025" t="str">
        <f>Segmenter!A2025</f>
        <v/>
      </c>
      <c r="B2025" t="str">
        <f>Segmenter!B2025</f>
        <v/>
      </c>
      <c r="C2025" t="str">
        <f t="shared" si="155"/>
        <v/>
      </c>
      <c r="D2025" t="str">
        <f t="shared" si="156"/>
        <v/>
      </c>
      <c r="E2025" t="str">
        <f t="shared" si="157"/>
        <v/>
      </c>
      <c r="F2025" t="str">
        <f>IF(D2025="","",INDEX(Knutepunkter!$B:$B,D2025+1))</f>
        <v/>
      </c>
      <c r="G2025" t="str">
        <f>IF(D2025="","",INDEX(Knutepunkter!$C:$C,D2025+1))</f>
        <v/>
      </c>
      <c r="H2025" t="str">
        <f>IF(D2025="","",INDEX(Knutepunkter!$D:$D,D2025+1))</f>
        <v/>
      </c>
      <c r="I2025" t="str">
        <f>IF(E2025="","",INDEX(Knutepunkter!$B:$B,E2025+1))</f>
        <v/>
      </c>
      <c r="J2025" t="str">
        <f>IF(E2025="","",INDEX(Knutepunkter!$C:$C,E2025+1))</f>
        <v/>
      </c>
      <c r="K2025" t="str">
        <f>IF(E2025="","",INDEX(Knutepunkter!$D:$D,E2025+1))</f>
        <v/>
      </c>
      <c r="L2025" t="str">
        <f t="shared" si="158"/>
        <v/>
      </c>
      <c r="M2025" t="str">
        <f t="shared" si="159"/>
        <v/>
      </c>
    </row>
    <row r="2026" spans="1:13" x14ac:dyDescent="0.3">
      <c r="A2026" t="str">
        <f>Segmenter!A2026</f>
        <v/>
      </c>
      <c r="B2026" t="str">
        <f>Segmenter!B2026</f>
        <v/>
      </c>
      <c r="C2026" t="str">
        <f t="shared" si="155"/>
        <v/>
      </c>
      <c r="D2026" t="str">
        <f t="shared" si="156"/>
        <v/>
      </c>
      <c r="E2026" t="str">
        <f t="shared" si="157"/>
        <v/>
      </c>
      <c r="F2026" t="str">
        <f>IF(D2026="","",INDEX(Knutepunkter!$B:$B,D2026+1))</f>
        <v/>
      </c>
      <c r="G2026" t="str">
        <f>IF(D2026="","",INDEX(Knutepunkter!$C:$C,D2026+1))</f>
        <v/>
      </c>
      <c r="H2026" t="str">
        <f>IF(D2026="","",INDEX(Knutepunkter!$D:$D,D2026+1))</f>
        <v/>
      </c>
      <c r="I2026" t="str">
        <f>IF(E2026="","",INDEX(Knutepunkter!$B:$B,E2026+1))</f>
        <v/>
      </c>
      <c r="J2026" t="str">
        <f>IF(E2026="","",INDEX(Knutepunkter!$C:$C,E2026+1))</f>
        <v/>
      </c>
      <c r="K2026" t="str">
        <f>IF(E2026="","",INDEX(Knutepunkter!$D:$D,E2026+1))</f>
        <v/>
      </c>
      <c r="L2026" t="str">
        <f t="shared" si="158"/>
        <v/>
      </c>
      <c r="M2026" t="str">
        <f t="shared" si="159"/>
        <v/>
      </c>
    </row>
    <row r="2027" spans="1:13" x14ac:dyDescent="0.3">
      <c r="A2027" t="str">
        <f>Segmenter!A2027</f>
        <v/>
      </c>
      <c r="B2027" t="str">
        <f>Segmenter!B2027</f>
        <v/>
      </c>
      <c r="C2027" t="str">
        <f t="shared" si="155"/>
        <v/>
      </c>
      <c r="D2027" t="str">
        <f t="shared" si="156"/>
        <v/>
      </c>
      <c r="E2027" t="str">
        <f t="shared" si="157"/>
        <v/>
      </c>
      <c r="F2027" t="str">
        <f>IF(D2027="","",INDEX(Knutepunkter!$B:$B,D2027+1))</f>
        <v/>
      </c>
      <c r="G2027" t="str">
        <f>IF(D2027="","",INDEX(Knutepunkter!$C:$C,D2027+1))</f>
        <v/>
      </c>
      <c r="H2027" t="str">
        <f>IF(D2027="","",INDEX(Knutepunkter!$D:$D,D2027+1))</f>
        <v/>
      </c>
      <c r="I2027" t="str">
        <f>IF(E2027="","",INDEX(Knutepunkter!$B:$B,E2027+1))</f>
        <v/>
      </c>
      <c r="J2027" t="str">
        <f>IF(E2027="","",INDEX(Knutepunkter!$C:$C,E2027+1))</f>
        <v/>
      </c>
      <c r="K2027" t="str">
        <f>IF(E2027="","",INDEX(Knutepunkter!$D:$D,E2027+1))</f>
        <v/>
      </c>
      <c r="L2027" t="str">
        <f t="shared" si="158"/>
        <v/>
      </c>
      <c r="M2027" t="str">
        <f t="shared" si="159"/>
        <v/>
      </c>
    </row>
    <row r="2028" spans="1:13" x14ac:dyDescent="0.3">
      <c r="A2028" t="str">
        <f>Segmenter!A2028</f>
        <v/>
      </c>
      <c r="B2028" t="str">
        <f>Segmenter!B2028</f>
        <v/>
      </c>
      <c r="C2028" t="str">
        <f t="shared" si="155"/>
        <v/>
      </c>
      <c r="D2028" t="str">
        <f t="shared" si="156"/>
        <v/>
      </c>
      <c r="E2028" t="str">
        <f t="shared" si="157"/>
        <v/>
      </c>
      <c r="F2028" t="str">
        <f>IF(D2028="","",INDEX(Knutepunkter!$B:$B,D2028+1))</f>
        <v/>
      </c>
      <c r="G2028" t="str">
        <f>IF(D2028="","",INDEX(Knutepunkter!$C:$C,D2028+1))</f>
        <v/>
      </c>
      <c r="H2028" t="str">
        <f>IF(D2028="","",INDEX(Knutepunkter!$D:$D,D2028+1))</f>
        <v/>
      </c>
      <c r="I2028" t="str">
        <f>IF(E2028="","",INDEX(Knutepunkter!$B:$B,E2028+1))</f>
        <v/>
      </c>
      <c r="J2028" t="str">
        <f>IF(E2028="","",INDEX(Knutepunkter!$C:$C,E2028+1))</f>
        <v/>
      </c>
      <c r="K2028" t="str">
        <f>IF(E2028="","",INDEX(Knutepunkter!$D:$D,E2028+1))</f>
        <v/>
      </c>
      <c r="L2028" t="str">
        <f t="shared" si="158"/>
        <v/>
      </c>
      <c r="M2028" t="str">
        <f t="shared" si="159"/>
        <v/>
      </c>
    </row>
    <row r="2029" spans="1:13" x14ac:dyDescent="0.3">
      <c r="A2029" t="str">
        <f>Segmenter!A2029</f>
        <v/>
      </c>
      <c r="B2029" t="str">
        <f>Segmenter!B2029</f>
        <v/>
      </c>
      <c r="C2029" t="str">
        <f t="shared" si="155"/>
        <v/>
      </c>
      <c r="D2029" t="str">
        <f t="shared" si="156"/>
        <v/>
      </c>
      <c r="E2029" t="str">
        <f t="shared" si="157"/>
        <v/>
      </c>
      <c r="F2029" t="str">
        <f>IF(D2029="","",INDEX(Knutepunkter!$B:$B,D2029+1))</f>
        <v/>
      </c>
      <c r="G2029" t="str">
        <f>IF(D2029="","",INDEX(Knutepunkter!$C:$C,D2029+1))</f>
        <v/>
      </c>
      <c r="H2029" t="str">
        <f>IF(D2029="","",INDEX(Knutepunkter!$D:$D,D2029+1))</f>
        <v/>
      </c>
      <c r="I2029" t="str">
        <f>IF(E2029="","",INDEX(Knutepunkter!$B:$B,E2029+1))</f>
        <v/>
      </c>
      <c r="J2029" t="str">
        <f>IF(E2029="","",INDEX(Knutepunkter!$C:$C,E2029+1))</f>
        <v/>
      </c>
      <c r="K2029" t="str">
        <f>IF(E2029="","",INDEX(Knutepunkter!$D:$D,E2029+1))</f>
        <v/>
      </c>
      <c r="L2029" t="str">
        <f t="shared" si="158"/>
        <v/>
      </c>
      <c r="M2029" t="str">
        <f t="shared" si="159"/>
        <v/>
      </c>
    </row>
    <row r="2030" spans="1:13" x14ac:dyDescent="0.3">
      <c r="A2030" t="str">
        <f>Segmenter!A2030</f>
        <v/>
      </c>
      <c r="B2030" t="str">
        <f>Segmenter!B2030</f>
        <v/>
      </c>
      <c r="C2030" t="str">
        <f t="shared" si="155"/>
        <v/>
      </c>
      <c r="D2030" t="str">
        <f t="shared" si="156"/>
        <v/>
      </c>
      <c r="E2030" t="str">
        <f t="shared" si="157"/>
        <v/>
      </c>
      <c r="F2030" t="str">
        <f>IF(D2030="","",INDEX(Knutepunkter!$B:$B,D2030+1))</f>
        <v/>
      </c>
      <c r="G2030" t="str">
        <f>IF(D2030="","",INDEX(Knutepunkter!$C:$C,D2030+1))</f>
        <v/>
      </c>
      <c r="H2030" t="str">
        <f>IF(D2030="","",INDEX(Knutepunkter!$D:$D,D2030+1))</f>
        <v/>
      </c>
      <c r="I2030" t="str">
        <f>IF(E2030="","",INDEX(Knutepunkter!$B:$B,E2030+1))</f>
        <v/>
      </c>
      <c r="J2030" t="str">
        <f>IF(E2030="","",INDEX(Knutepunkter!$C:$C,E2030+1))</f>
        <v/>
      </c>
      <c r="K2030" t="str">
        <f>IF(E2030="","",INDEX(Knutepunkter!$D:$D,E2030+1))</f>
        <v/>
      </c>
      <c r="L2030" t="str">
        <f t="shared" si="158"/>
        <v/>
      </c>
      <c r="M2030" t="str">
        <f t="shared" si="159"/>
        <v/>
      </c>
    </row>
    <row r="2031" spans="1:13" x14ac:dyDescent="0.3">
      <c r="A2031" t="str">
        <f>Segmenter!A2031</f>
        <v/>
      </c>
      <c r="B2031" t="str">
        <f>Segmenter!B2031</f>
        <v/>
      </c>
      <c r="C2031" t="str">
        <f t="shared" si="155"/>
        <v/>
      </c>
      <c r="D2031" t="str">
        <f t="shared" si="156"/>
        <v/>
      </c>
      <c r="E2031" t="str">
        <f t="shared" si="157"/>
        <v/>
      </c>
      <c r="F2031" t="str">
        <f>IF(D2031="","",INDEX(Knutepunkter!$B:$B,D2031+1))</f>
        <v/>
      </c>
      <c r="G2031" t="str">
        <f>IF(D2031="","",INDEX(Knutepunkter!$C:$C,D2031+1))</f>
        <v/>
      </c>
      <c r="H2031" t="str">
        <f>IF(D2031="","",INDEX(Knutepunkter!$D:$D,D2031+1))</f>
        <v/>
      </c>
      <c r="I2031" t="str">
        <f>IF(E2031="","",INDEX(Knutepunkter!$B:$B,E2031+1))</f>
        <v/>
      </c>
      <c r="J2031" t="str">
        <f>IF(E2031="","",INDEX(Knutepunkter!$C:$C,E2031+1))</f>
        <v/>
      </c>
      <c r="K2031" t="str">
        <f>IF(E2031="","",INDEX(Knutepunkter!$D:$D,E2031+1))</f>
        <v/>
      </c>
      <c r="L2031" t="str">
        <f t="shared" si="158"/>
        <v/>
      </c>
      <c r="M2031" t="str">
        <f t="shared" si="159"/>
        <v/>
      </c>
    </row>
    <row r="2032" spans="1:13" x14ac:dyDescent="0.3">
      <c r="A2032" t="str">
        <f>Segmenter!A2032</f>
        <v/>
      </c>
      <c r="B2032" t="str">
        <f>Segmenter!B2032</f>
        <v/>
      </c>
      <c r="C2032" t="str">
        <f t="shared" si="155"/>
        <v/>
      </c>
      <c r="D2032" t="str">
        <f t="shared" si="156"/>
        <v/>
      </c>
      <c r="E2032" t="str">
        <f t="shared" si="157"/>
        <v/>
      </c>
      <c r="F2032" t="str">
        <f>IF(D2032="","",INDEX(Knutepunkter!$B:$B,D2032+1))</f>
        <v/>
      </c>
      <c r="G2032" t="str">
        <f>IF(D2032="","",INDEX(Knutepunkter!$C:$C,D2032+1))</f>
        <v/>
      </c>
      <c r="H2032" t="str">
        <f>IF(D2032="","",INDEX(Knutepunkter!$D:$D,D2032+1))</f>
        <v/>
      </c>
      <c r="I2032" t="str">
        <f>IF(E2032="","",INDEX(Knutepunkter!$B:$B,E2032+1))</f>
        <v/>
      </c>
      <c r="J2032" t="str">
        <f>IF(E2032="","",INDEX(Knutepunkter!$C:$C,E2032+1))</f>
        <v/>
      </c>
      <c r="K2032" t="str">
        <f>IF(E2032="","",INDEX(Knutepunkter!$D:$D,E2032+1))</f>
        <v/>
      </c>
      <c r="L2032" t="str">
        <f t="shared" si="158"/>
        <v/>
      </c>
      <c r="M2032" t="str">
        <f t="shared" si="159"/>
        <v/>
      </c>
    </row>
    <row r="2033" spans="1:13" x14ac:dyDescent="0.3">
      <c r="A2033" t="str">
        <f>Segmenter!A2033</f>
        <v/>
      </c>
      <c r="B2033" t="str">
        <f>Segmenter!B2033</f>
        <v/>
      </c>
      <c r="C2033" t="str">
        <f t="shared" si="155"/>
        <v/>
      </c>
      <c r="D2033" t="str">
        <f t="shared" si="156"/>
        <v/>
      </c>
      <c r="E2033" t="str">
        <f t="shared" si="157"/>
        <v/>
      </c>
      <c r="F2033" t="str">
        <f>IF(D2033="","",INDEX(Knutepunkter!$B:$B,D2033+1))</f>
        <v/>
      </c>
      <c r="G2033" t="str">
        <f>IF(D2033="","",INDEX(Knutepunkter!$C:$C,D2033+1))</f>
        <v/>
      </c>
      <c r="H2033" t="str">
        <f>IF(D2033="","",INDEX(Knutepunkter!$D:$D,D2033+1))</f>
        <v/>
      </c>
      <c r="I2033" t="str">
        <f>IF(E2033="","",INDEX(Knutepunkter!$B:$B,E2033+1))</f>
        <v/>
      </c>
      <c r="J2033" t="str">
        <f>IF(E2033="","",INDEX(Knutepunkter!$C:$C,E2033+1))</f>
        <v/>
      </c>
      <c r="K2033" t="str">
        <f>IF(E2033="","",INDEX(Knutepunkter!$D:$D,E2033+1))</f>
        <v/>
      </c>
      <c r="L2033" t="str">
        <f t="shared" si="158"/>
        <v/>
      </c>
      <c r="M2033" t="str">
        <f t="shared" si="159"/>
        <v/>
      </c>
    </row>
    <row r="2034" spans="1:13" x14ac:dyDescent="0.3">
      <c r="A2034" t="str">
        <f>Segmenter!A2034</f>
        <v/>
      </c>
      <c r="B2034" t="str">
        <f>Segmenter!B2034</f>
        <v/>
      </c>
      <c r="C2034" t="str">
        <f t="shared" si="155"/>
        <v/>
      </c>
      <c r="D2034" t="str">
        <f t="shared" si="156"/>
        <v/>
      </c>
      <c r="E2034" t="str">
        <f t="shared" si="157"/>
        <v/>
      </c>
      <c r="F2034" t="str">
        <f>IF(D2034="","",INDEX(Knutepunkter!$B:$B,D2034+1))</f>
        <v/>
      </c>
      <c r="G2034" t="str">
        <f>IF(D2034="","",INDEX(Knutepunkter!$C:$C,D2034+1))</f>
        <v/>
      </c>
      <c r="H2034" t="str">
        <f>IF(D2034="","",INDEX(Knutepunkter!$D:$D,D2034+1))</f>
        <v/>
      </c>
      <c r="I2034" t="str">
        <f>IF(E2034="","",INDEX(Knutepunkter!$B:$B,E2034+1))</f>
        <v/>
      </c>
      <c r="J2034" t="str">
        <f>IF(E2034="","",INDEX(Knutepunkter!$C:$C,E2034+1))</f>
        <v/>
      </c>
      <c r="K2034" t="str">
        <f>IF(E2034="","",INDEX(Knutepunkter!$D:$D,E2034+1))</f>
        <v/>
      </c>
      <c r="L2034" t="str">
        <f t="shared" si="158"/>
        <v/>
      </c>
      <c r="M2034" t="str">
        <f t="shared" si="159"/>
        <v/>
      </c>
    </row>
    <row r="2035" spans="1:13" x14ac:dyDescent="0.3">
      <c r="A2035" t="str">
        <f>Segmenter!A2035</f>
        <v/>
      </c>
      <c r="B2035" t="str">
        <f>Segmenter!B2035</f>
        <v/>
      </c>
      <c r="C2035" t="str">
        <f t="shared" si="155"/>
        <v/>
      </c>
      <c r="D2035" t="str">
        <f t="shared" si="156"/>
        <v/>
      </c>
      <c r="E2035" t="str">
        <f t="shared" si="157"/>
        <v/>
      </c>
      <c r="F2035" t="str">
        <f>IF(D2035="","",INDEX(Knutepunkter!$B:$B,D2035+1))</f>
        <v/>
      </c>
      <c r="G2035" t="str">
        <f>IF(D2035="","",INDEX(Knutepunkter!$C:$C,D2035+1))</f>
        <v/>
      </c>
      <c r="H2035" t="str">
        <f>IF(D2035="","",INDEX(Knutepunkter!$D:$D,D2035+1))</f>
        <v/>
      </c>
      <c r="I2035" t="str">
        <f>IF(E2035="","",INDEX(Knutepunkter!$B:$B,E2035+1))</f>
        <v/>
      </c>
      <c r="J2035" t="str">
        <f>IF(E2035="","",INDEX(Knutepunkter!$C:$C,E2035+1))</f>
        <v/>
      </c>
      <c r="K2035" t="str">
        <f>IF(E2035="","",INDEX(Knutepunkter!$D:$D,E2035+1))</f>
        <v/>
      </c>
      <c r="L2035" t="str">
        <f t="shared" si="158"/>
        <v/>
      </c>
      <c r="M2035" t="str">
        <f t="shared" si="159"/>
        <v/>
      </c>
    </row>
    <row r="2036" spans="1:13" x14ac:dyDescent="0.3">
      <c r="A2036" t="str">
        <f>Segmenter!A2036</f>
        <v/>
      </c>
      <c r="B2036" t="str">
        <f>Segmenter!B2036</f>
        <v/>
      </c>
      <c r="C2036" t="str">
        <f t="shared" si="155"/>
        <v/>
      </c>
      <c r="D2036" t="str">
        <f t="shared" si="156"/>
        <v/>
      </c>
      <c r="E2036" t="str">
        <f t="shared" si="157"/>
        <v/>
      </c>
      <c r="F2036" t="str">
        <f>IF(D2036="","",INDEX(Knutepunkter!$B:$B,D2036+1))</f>
        <v/>
      </c>
      <c r="G2036" t="str">
        <f>IF(D2036="","",INDEX(Knutepunkter!$C:$C,D2036+1))</f>
        <v/>
      </c>
      <c r="H2036" t="str">
        <f>IF(D2036="","",INDEX(Knutepunkter!$D:$D,D2036+1))</f>
        <v/>
      </c>
      <c r="I2036" t="str">
        <f>IF(E2036="","",INDEX(Knutepunkter!$B:$B,E2036+1))</f>
        <v/>
      </c>
      <c r="J2036" t="str">
        <f>IF(E2036="","",INDEX(Knutepunkter!$C:$C,E2036+1))</f>
        <v/>
      </c>
      <c r="K2036" t="str">
        <f>IF(E2036="","",INDEX(Knutepunkter!$D:$D,E2036+1))</f>
        <v/>
      </c>
      <c r="L2036" t="str">
        <f t="shared" si="158"/>
        <v/>
      </c>
      <c r="M2036" t="str">
        <f t="shared" si="159"/>
        <v/>
      </c>
    </row>
    <row r="2037" spans="1:13" x14ac:dyDescent="0.3">
      <c r="A2037" t="str">
        <f>Segmenter!A2037</f>
        <v/>
      </c>
      <c r="B2037" t="str">
        <f>Segmenter!B2037</f>
        <v/>
      </c>
      <c r="C2037" t="str">
        <f t="shared" si="155"/>
        <v/>
      </c>
      <c r="D2037" t="str">
        <f t="shared" si="156"/>
        <v/>
      </c>
      <c r="E2037" t="str">
        <f t="shared" si="157"/>
        <v/>
      </c>
      <c r="F2037" t="str">
        <f>IF(D2037="","",INDEX(Knutepunkter!$B:$B,D2037+1))</f>
        <v/>
      </c>
      <c r="G2037" t="str">
        <f>IF(D2037="","",INDEX(Knutepunkter!$C:$C,D2037+1))</f>
        <v/>
      </c>
      <c r="H2037" t="str">
        <f>IF(D2037="","",INDEX(Knutepunkter!$D:$D,D2037+1))</f>
        <v/>
      </c>
      <c r="I2037" t="str">
        <f>IF(E2037="","",INDEX(Knutepunkter!$B:$B,E2037+1))</f>
        <v/>
      </c>
      <c r="J2037" t="str">
        <f>IF(E2037="","",INDEX(Knutepunkter!$C:$C,E2037+1))</f>
        <v/>
      </c>
      <c r="K2037" t="str">
        <f>IF(E2037="","",INDEX(Knutepunkter!$D:$D,E2037+1))</f>
        <v/>
      </c>
      <c r="L2037" t="str">
        <f t="shared" si="158"/>
        <v/>
      </c>
      <c r="M2037" t="str">
        <f t="shared" si="159"/>
        <v/>
      </c>
    </row>
    <row r="2038" spans="1:13" x14ac:dyDescent="0.3">
      <c r="A2038" t="str">
        <f>Segmenter!A2038</f>
        <v/>
      </c>
      <c r="B2038" t="str">
        <f>Segmenter!B2038</f>
        <v/>
      </c>
      <c r="C2038" t="str">
        <f t="shared" si="155"/>
        <v/>
      </c>
      <c r="D2038" t="str">
        <f t="shared" si="156"/>
        <v/>
      </c>
      <c r="E2038" t="str">
        <f t="shared" si="157"/>
        <v/>
      </c>
      <c r="F2038" t="str">
        <f>IF(D2038="","",INDEX(Knutepunkter!$B:$B,D2038+1))</f>
        <v/>
      </c>
      <c r="G2038" t="str">
        <f>IF(D2038="","",INDEX(Knutepunkter!$C:$C,D2038+1))</f>
        <v/>
      </c>
      <c r="H2038" t="str">
        <f>IF(D2038="","",INDEX(Knutepunkter!$D:$D,D2038+1))</f>
        <v/>
      </c>
      <c r="I2038" t="str">
        <f>IF(E2038="","",INDEX(Knutepunkter!$B:$B,E2038+1))</f>
        <v/>
      </c>
      <c r="J2038" t="str">
        <f>IF(E2038="","",INDEX(Knutepunkter!$C:$C,E2038+1))</f>
        <v/>
      </c>
      <c r="K2038" t="str">
        <f>IF(E2038="","",INDEX(Knutepunkter!$D:$D,E2038+1))</f>
        <v/>
      </c>
      <c r="L2038" t="str">
        <f t="shared" si="158"/>
        <v/>
      </c>
      <c r="M2038" t="str">
        <f t="shared" si="159"/>
        <v/>
      </c>
    </row>
    <row r="2039" spans="1:13" x14ac:dyDescent="0.3">
      <c r="A2039" t="str">
        <f>Segmenter!A2039</f>
        <v/>
      </c>
      <c r="B2039" t="str">
        <f>Segmenter!B2039</f>
        <v/>
      </c>
      <c r="C2039" t="str">
        <f t="shared" si="155"/>
        <v/>
      </c>
      <c r="D2039" t="str">
        <f t="shared" si="156"/>
        <v/>
      </c>
      <c r="E2039" t="str">
        <f t="shared" si="157"/>
        <v/>
      </c>
      <c r="F2039" t="str">
        <f>IF(D2039="","",INDEX(Knutepunkter!$B:$B,D2039+1))</f>
        <v/>
      </c>
      <c r="G2039" t="str">
        <f>IF(D2039="","",INDEX(Knutepunkter!$C:$C,D2039+1))</f>
        <v/>
      </c>
      <c r="H2039" t="str">
        <f>IF(D2039="","",INDEX(Knutepunkter!$D:$D,D2039+1))</f>
        <v/>
      </c>
      <c r="I2039" t="str">
        <f>IF(E2039="","",INDEX(Knutepunkter!$B:$B,E2039+1))</f>
        <v/>
      </c>
      <c r="J2039" t="str">
        <f>IF(E2039="","",INDEX(Knutepunkter!$C:$C,E2039+1))</f>
        <v/>
      </c>
      <c r="K2039" t="str">
        <f>IF(E2039="","",INDEX(Knutepunkter!$D:$D,E2039+1))</f>
        <v/>
      </c>
      <c r="L2039" t="str">
        <f t="shared" si="158"/>
        <v/>
      </c>
      <c r="M2039" t="str">
        <f t="shared" si="159"/>
        <v/>
      </c>
    </row>
    <row r="2040" spans="1:13" x14ac:dyDescent="0.3">
      <c r="A2040" t="str">
        <f>Segmenter!A2040</f>
        <v/>
      </c>
      <c r="B2040" t="str">
        <f>Segmenter!B2040</f>
        <v/>
      </c>
      <c r="C2040" t="str">
        <f t="shared" si="155"/>
        <v/>
      </c>
      <c r="D2040" t="str">
        <f t="shared" si="156"/>
        <v/>
      </c>
      <c r="E2040" t="str">
        <f t="shared" si="157"/>
        <v/>
      </c>
      <c r="F2040" t="str">
        <f>IF(D2040="","",INDEX(Knutepunkter!$B:$B,D2040+1))</f>
        <v/>
      </c>
      <c r="G2040" t="str">
        <f>IF(D2040="","",INDEX(Knutepunkter!$C:$C,D2040+1))</f>
        <v/>
      </c>
      <c r="H2040" t="str">
        <f>IF(D2040="","",INDEX(Knutepunkter!$D:$D,D2040+1))</f>
        <v/>
      </c>
      <c r="I2040" t="str">
        <f>IF(E2040="","",INDEX(Knutepunkter!$B:$B,E2040+1))</f>
        <v/>
      </c>
      <c r="J2040" t="str">
        <f>IF(E2040="","",INDEX(Knutepunkter!$C:$C,E2040+1))</f>
        <v/>
      </c>
      <c r="K2040" t="str">
        <f>IF(E2040="","",INDEX(Knutepunkter!$D:$D,E2040+1))</f>
        <v/>
      </c>
      <c r="L2040" t="str">
        <f t="shared" si="158"/>
        <v/>
      </c>
      <c r="M2040" t="str">
        <f t="shared" si="159"/>
        <v/>
      </c>
    </row>
    <row r="2041" spans="1:13" x14ac:dyDescent="0.3">
      <c r="A2041" t="str">
        <f>Segmenter!A2041</f>
        <v/>
      </c>
      <c r="B2041" t="str">
        <f>Segmenter!B2041</f>
        <v/>
      </c>
      <c r="C2041" t="str">
        <f t="shared" si="155"/>
        <v/>
      </c>
      <c r="D2041" t="str">
        <f t="shared" si="156"/>
        <v/>
      </c>
      <c r="E2041" t="str">
        <f t="shared" si="157"/>
        <v/>
      </c>
      <c r="F2041" t="str">
        <f>IF(D2041="","",INDEX(Knutepunkter!$B:$B,D2041+1))</f>
        <v/>
      </c>
      <c r="G2041" t="str">
        <f>IF(D2041="","",INDEX(Knutepunkter!$C:$C,D2041+1))</f>
        <v/>
      </c>
      <c r="H2041" t="str">
        <f>IF(D2041="","",INDEX(Knutepunkter!$D:$D,D2041+1))</f>
        <v/>
      </c>
      <c r="I2041" t="str">
        <f>IF(E2041="","",INDEX(Knutepunkter!$B:$B,E2041+1))</f>
        <v/>
      </c>
      <c r="J2041" t="str">
        <f>IF(E2041="","",INDEX(Knutepunkter!$C:$C,E2041+1))</f>
        <v/>
      </c>
      <c r="K2041" t="str">
        <f>IF(E2041="","",INDEX(Knutepunkter!$D:$D,E2041+1))</f>
        <v/>
      </c>
      <c r="L2041" t="str">
        <f t="shared" si="158"/>
        <v/>
      </c>
      <c r="M2041" t="str">
        <f t="shared" si="159"/>
        <v/>
      </c>
    </row>
    <row r="2042" spans="1:13" x14ac:dyDescent="0.3">
      <c r="A2042" t="str">
        <f>Segmenter!A2042</f>
        <v/>
      </c>
      <c r="B2042" t="str">
        <f>Segmenter!B2042</f>
        <v/>
      </c>
      <c r="C2042" t="str">
        <f t="shared" si="155"/>
        <v/>
      </c>
      <c r="D2042" t="str">
        <f t="shared" si="156"/>
        <v/>
      </c>
      <c r="E2042" t="str">
        <f t="shared" si="157"/>
        <v/>
      </c>
      <c r="F2042" t="str">
        <f>IF(D2042="","",INDEX(Knutepunkter!$B:$B,D2042+1))</f>
        <v/>
      </c>
      <c r="G2042" t="str">
        <f>IF(D2042="","",INDEX(Knutepunkter!$C:$C,D2042+1))</f>
        <v/>
      </c>
      <c r="H2042" t="str">
        <f>IF(D2042="","",INDEX(Knutepunkter!$D:$D,D2042+1))</f>
        <v/>
      </c>
      <c r="I2042" t="str">
        <f>IF(E2042="","",INDEX(Knutepunkter!$B:$B,E2042+1))</f>
        <v/>
      </c>
      <c r="J2042" t="str">
        <f>IF(E2042="","",INDEX(Knutepunkter!$C:$C,E2042+1))</f>
        <v/>
      </c>
      <c r="K2042" t="str">
        <f>IF(E2042="","",INDEX(Knutepunkter!$D:$D,E2042+1))</f>
        <v/>
      </c>
      <c r="L2042" t="str">
        <f t="shared" si="158"/>
        <v/>
      </c>
      <c r="M2042" t="str">
        <f t="shared" si="159"/>
        <v/>
      </c>
    </row>
    <row r="2043" spans="1:13" x14ac:dyDescent="0.3">
      <c r="A2043" t="str">
        <f>Segmenter!A2043</f>
        <v/>
      </c>
      <c r="B2043" t="str">
        <f>Segmenter!B2043</f>
        <v/>
      </c>
      <c r="C2043" t="str">
        <f t="shared" si="155"/>
        <v/>
      </c>
      <c r="D2043" t="str">
        <f t="shared" si="156"/>
        <v/>
      </c>
      <c r="E2043" t="str">
        <f t="shared" si="157"/>
        <v/>
      </c>
      <c r="F2043" t="str">
        <f>IF(D2043="","",INDEX(Knutepunkter!$B:$B,D2043+1))</f>
        <v/>
      </c>
      <c r="G2043" t="str">
        <f>IF(D2043="","",INDEX(Knutepunkter!$C:$C,D2043+1))</f>
        <v/>
      </c>
      <c r="H2043" t="str">
        <f>IF(D2043="","",INDEX(Knutepunkter!$D:$D,D2043+1))</f>
        <v/>
      </c>
      <c r="I2043" t="str">
        <f>IF(E2043="","",INDEX(Knutepunkter!$B:$B,E2043+1))</f>
        <v/>
      </c>
      <c r="J2043" t="str">
        <f>IF(E2043="","",INDEX(Knutepunkter!$C:$C,E2043+1))</f>
        <v/>
      </c>
      <c r="K2043" t="str">
        <f>IF(E2043="","",INDEX(Knutepunkter!$D:$D,E2043+1))</f>
        <v/>
      </c>
      <c r="L2043" t="str">
        <f t="shared" si="158"/>
        <v/>
      </c>
      <c r="M2043" t="str">
        <f t="shared" si="159"/>
        <v/>
      </c>
    </row>
    <row r="2044" spans="1:13" x14ac:dyDescent="0.3">
      <c r="A2044" t="str">
        <f>Segmenter!A2044</f>
        <v/>
      </c>
      <c r="B2044" t="str">
        <f>Segmenter!B2044</f>
        <v/>
      </c>
      <c r="C2044" t="str">
        <f t="shared" si="155"/>
        <v/>
      </c>
      <c r="D2044" t="str">
        <f t="shared" si="156"/>
        <v/>
      </c>
      <c r="E2044" t="str">
        <f t="shared" si="157"/>
        <v/>
      </c>
      <c r="F2044" t="str">
        <f>IF(D2044="","",INDEX(Knutepunkter!$B:$B,D2044+1))</f>
        <v/>
      </c>
      <c r="G2044" t="str">
        <f>IF(D2044="","",INDEX(Knutepunkter!$C:$C,D2044+1))</f>
        <v/>
      </c>
      <c r="H2044" t="str">
        <f>IF(D2044="","",INDEX(Knutepunkter!$D:$D,D2044+1))</f>
        <v/>
      </c>
      <c r="I2044" t="str">
        <f>IF(E2044="","",INDEX(Knutepunkter!$B:$B,E2044+1))</f>
        <v/>
      </c>
      <c r="J2044" t="str">
        <f>IF(E2044="","",INDEX(Knutepunkter!$C:$C,E2044+1))</f>
        <v/>
      </c>
      <c r="K2044" t="str">
        <f>IF(E2044="","",INDEX(Knutepunkter!$D:$D,E2044+1))</f>
        <v/>
      </c>
      <c r="L2044" t="str">
        <f t="shared" si="158"/>
        <v/>
      </c>
      <c r="M2044" t="str">
        <f t="shared" si="159"/>
        <v/>
      </c>
    </row>
    <row r="2045" spans="1:13" x14ac:dyDescent="0.3">
      <c r="A2045" t="str">
        <f>Segmenter!A2045</f>
        <v/>
      </c>
      <c r="B2045" t="str">
        <f>Segmenter!B2045</f>
        <v/>
      </c>
      <c r="C2045" t="str">
        <f t="shared" si="155"/>
        <v/>
      </c>
      <c r="D2045" t="str">
        <f t="shared" si="156"/>
        <v/>
      </c>
      <c r="E2045" t="str">
        <f t="shared" si="157"/>
        <v/>
      </c>
      <c r="F2045" t="str">
        <f>IF(D2045="","",INDEX(Knutepunkter!$B:$B,D2045+1))</f>
        <v/>
      </c>
      <c r="G2045" t="str">
        <f>IF(D2045="","",INDEX(Knutepunkter!$C:$C,D2045+1))</f>
        <v/>
      </c>
      <c r="H2045" t="str">
        <f>IF(D2045="","",INDEX(Knutepunkter!$D:$D,D2045+1))</f>
        <v/>
      </c>
      <c r="I2045" t="str">
        <f>IF(E2045="","",INDEX(Knutepunkter!$B:$B,E2045+1))</f>
        <v/>
      </c>
      <c r="J2045" t="str">
        <f>IF(E2045="","",INDEX(Knutepunkter!$C:$C,E2045+1))</f>
        <v/>
      </c>
      <c r="K2045" t="str">
        <f>IF(E2045="","",INDEX(Knutepunkter!$D:$D,E2045+1))</f>
        <v/>
      </c>
      <c r="L2045" t="str">
        <f t="shared" si="158"/>
        <v/>
      </c>
      <c r="M2045" t="str">
        <f t="shared" si="159"/>
        <v/>
      </c>
    </row>
    <row r="2046" spans="1:13" x14ac:dyDescent="0.3">
      <c r="A2046" t="str">
        <f>Segmenter!A2046</f>
        <v/>
      </c>
      <c r="B2046" t="str">
        <f>Segmenter!B2046</f>
        <v/>
      </c>
      <c r="C2046" t="str">
        <f t="shared" si="155"/>
        <v/>
      </c>
      <c r="D2046" t="str">
        <f t="shared" si="156"/>
        <v/>
      </c>
      <c r="E2046" t="str">
        <f t="shared" si="157"/>
        <v/>
      </c>
      <c r="F2046" t="str">
        <f>IF(D2046="","",INDEX(Knutepunkter!$B:$B,D2046+1))</f>
        <v/>
      </c>
      <c r="G2046" t="str">
        <f>IF(D2046="","",INDEX(Knutepunkter!$C:$C,D2046+1))</f>
        <v/>
      </c>
      <c r="H2046" t="str">
        <f>IF(D2046="","",INDEX(Knutepunkter!$D:$D,D2046+1))</f>
        <v/>
      </c>
      <c r="I2046" t="str">
        <f>IF(E2046="","",INDEX(Knutepunkter!$B:$B,E2046+1))</f>
        <v/>
      </c>
      <c r="J2046" t="str">
        <f>IF(E2046="","",INDEX(Knutepunkter!$C:$C,E2046+1))</f>
        <v/>
      </c>
      <c r="K2046" t="str">
        <f>IF(E2046="","",INDEX(Knutepunkter!$D:$D,E2046+1))</f>
        <v/>
      </c>
      <c r="L2046" t="str">
        <f t="shared" si="158"/>
        <v/>
      </c>
      <c r="M2046" t="str">
        <f t="shared" si="159"/>
        <v/>
      </c>
    </row>
    <row r="2047" spans="1:13" x14ac:dyDescent="0.3">
      <c r="A2047" t="str">
        <f>Segmenter!A2047</f>
        <v/>
      </c>
      <c r="B2047" t="str">
        <f>Segmenter!B2047</f>
        <v/>
      </c>
      <c r="C2047" t="str">
        <f t="shared" si="155"/>
        <v/>
      </c>
      <c r="D2047" t="str">
        <f t="shared" si="156"/>
        <v/>
      </c>
      <c r="E2047" t="str">
        <f t="shared" si="157"/>
        <v/>
      </c>
      <c r="F2047" t="str">
        <f>IF(D2047="","",INDEX(Knutepunkter!$B:$B,D2047+1))</f>
        <v/>
      </c>
      <c r="G2047" t="str">
        <f>IF(D2047="","",INDEX(Knutepunkter!$C:$C,D2047+1))</f>
        <v/>
      </c>
      <c r="H2047" t="str">
        <f>IF(D2047="","",INDEX(Knutepunkter!$D:$D,D2047+1))</f>
        <v/>
      </c>
      <c r="I2047" t="str">
        <f>IF(E2047="","",INDEX(Knutepunkter!$B:$B,E2047+1))</f>
        <v/>
      </c>
      <c r="J2047" t="str">
        <f>IF(E2047="","",INDEX(Knutepunkter!$C:$C,E2047+1))</f>
        <v/>
      </c>
      <c r="K2047" t="str">
        <f>IF(E2047="","",INDEX(Knutepunkter!$D:$D,E2047+1))</f>
        <v/>
      </c>
      <c r="L2047" t="str">
        <f t="shared" si="158"/>
        <v/>
      </c>
      <c r="M2047" t="str">
        <f t="shared" si="159"/>
        <v/>
      </c>
    </row>
    <row r="2048" spans="1:13" x14ac:dyDescent="0.3">
      <c r="A2048" t="str">
        <f>Segmenter!A2048</f>
        <v/>
      </c>
      <c r="B2048" t="str">
        <f>Segmenter!B2048</f>
        <v/>
      </c>
      <c r="C2048" t="str">
        <f t="shared" si="155"/>
        <v/>
      </c>
      <c r="D2048" t="str">
        <f t="shared" si="156"/>
        <v/>
      </c>
      <c r="E2048" t="str">
        <f t="shared" si="157"/>
        <v/>
      </c>
      <c r="F2048" t="str">
        <f>IF(D2048="","",INDEX(Knutepunkter!$B:$B,D2048+1))</f>
        <v/>
      </c>
      <c r="G2048" t="str">
        <f>IF(D2048="","",INDEX(Knutepunkter!$C:$C,D2048+1))</f>
        <v/>
      </c>
      <c r="H2048" t="str">
        <f>IF(D2048="","",INDEX(Knutepunkter!$D:$D,D2048+1))</f>
        <v/>
      </c>
      <c r="I2048" t="str">
        <f>IF(E2048="","",INDEX(Knutepunkter!$B:$B,E2048+1))</f>
        <v/>
      </c>
      <c r="J2048" t="str">
        <f>IF(E2048="","",INDEX(Knutepunkter!$C:$C,E2048+1))</f>
        <v/>
      </c>
      <c r="K2048" t="str">
        <f>IF(E2048="","",INDEX(Knutepunkter!$D:$D,E2048+1))</f>
        <v/>
      </c>
      <c r="L2048" t="str">
        <f t="shared" si="158"/>
        <v/>
      </c>
      <c r="M2048" t="str">
        <f t="shared" si="159"/>
        <v/>
      </c>
    </row>
    <row r="2049" spans="1:13" x14ac:dyDescent="0.3">
      <c r="A2049" t="str">
        <f>Segmenter!A2049</f>
        <v/>
      </c>
      <c r="B2049" t="str">
        <f>Segmenter!B2049</f>
        <v/>
      </c>
      <c r="C2049" t="str">
        <f t="shared" si="155"/>
        <v/>
      </c>
      <c r="D2049" t="str">
        <f t="shared" si="156"/>
        <v/>
      </c>
      <c r="E2049" t="str">
        <f t="shared" si="157"/>
        <v/>
      </c>
      <c r="F2049" t="str">
        <f>IF(D2049="","",INDEX(Knutepunkter!$B:$B,D2049+1))</f>
        <v/>
      </c>
      <c r="G2049" t="str">
        <f>IF(D2049="","",INDEX(Knutepunkter!$C:$C,D2049+1))</f>
        <v/>
      </c>
      <c r="H2049" t="str">
        <f>IF(D2049="","",INDEX(Knutepunkter!$D:$D,D2049+1))</f>
        <v/>
      </c>
      <c r="I2049" t="str">
        <f>IF(E2049="","",INDEX(Knutepunkter!$B:$B,E2049+1))</f>
        <v/>
      </c>
      <c r="J2049" t="str">
        <f>IF(E2049="","",INDEX(Knutepunkter!$C:$C,E2049+1))</f>
        <v/>
      </c>
      <c r="K2049" t="str">
        <f>IF(E2049="","",INDEX(Knutepunkter!$D:$D,E2049+1))</f>
        <v/>
      </c>
      <c r="L2049" t="str">
        <f t="shared" si="158"/>
        <v/>
      </c>
      <c r="M2049" t="str">
        <f t="shared" si="159"/>
        <v/>
      </c>
    </row>
    <row r="2050" spans="1:13" x14ac:dyDescent="0.3">
      <c r="A2050" t="str">
        <f>Segmenter!A2050</f>
        <v/>
      </c>
      <c r="B2050" t="str">
        <f>Segmenter!B2050</f>
        <v/>
      </c>
      <c r="C2050" t="str">
        <f t="shared" ref="C2050:C2113" si="160">IF(B2050="","",IF(AND(F2050=I2050,G2050=J2050,H2050&lt;&gt;K2050),"Søyle","Bjelke"))</f>
        <v/>
      </c>
      <c r="D2050" t="str">
        <f t="shared" ref="D2050:D2113" si="161">IF(B2050="","",VALUE(LEFT(B2050,FIND(" -&gt; ",B2050)-1)))</f>
        <v/>
      </c>
      <c r="E2050" t="str">
        <f t="shared" ref="E2050:E2113" si="162">IF(B2050="","",VALUE(MID(B2050,FIND(" -&gt; ",B2050)+4,99)))</f>
        <v/>
      </c>
      <c r="F2050" t="str">
        <f>IF(D2050="","",INDEX(Knutepunkter!$B:$B,D2050+1))</f>
        <v/>
      </c>
      <c r="G2050" t="str">
        <f>IF(D2050="","",INDEX(Knutepunkter!$C:$C,D2050+1))</f>
        <v/>
      </c>
      <c r="H2050" t="str">
        <f>IF(D2050="","",INDEX(Knutepunkter!$D:$D,D2050+1))</f>
        <v/>
      </c>
      <c r="I2050" t="str">
        <f>IF(E2050="","",INDEX(Knutepunkter!$B:$B,E2050+1))</f>
        <v/>
      </c>
      <c r="J2050" t="str">
        <f>IF(E2050="","",INDEX(Knutepunkter!$C:$C,E2050+1))</f>
        <v/>
      </c>
      <c r="K2050" t="str">
        <f>IF(E2050="","",INDEX(Knutepunkter!$D:$D,E2050+1))</f>
        <v/>
      </c>
      <c r="L2050" t="str">
        <f t="shared" ref="L2050:L2113" si="163">IF(B2050="","",SQRT((I2050-F2050)^2+(J2050-G2050)^2+(K2050-H2050)^2))</f>
        <v/>
      </c>
      <c r="M2050" t="str">
        <f t="shared" ref="M2050:M2113" si="164">IF(L2050="","",L2050/1000)</f>
        <v/>
      </c>
    </row>
    <row r="2051" spans="1:13" x14ac:dyDescent="0.3">
      <c r="A2051" t="str">
        <f>Segmenter!A2051</f>
        <v/>
      </c>
      <c r="B2051" t="str">
        <f>Segmenter!B2051</f>
        <v/>
      </c>
      <c r="C2051" t="str">
        <f t="shared" si="160"/>
        <v/>
      </c>
      <c r="D2051" t="str">
        <f t="shared" si="161"/>
        <v/>
      </c>
      <c r="E2051" t="str">
        <f t="shared" si="162"/>
        <v/>
      </c>
      <c r="F2051" t="str">
        <f>IF(D2051="","",INDEX(Knutepunkter!$B:$B,D2051+1))</f>
        <v/>
      </c>
      <c r="G2051" t="str">
        <f>IF(D2051="","",INDEX(Knutepunkter!$C:$C,D2051+1))</f>
        <v/>
      </c>
      <c r="H2051" t="str">
        <f>IF(D2051="","",INDEX(Knutepunkter!$D:$D,D2051+1))</f>
        <v/>
      </c>
      <c r="I2051" t="str">
        <f>IF(E2051="","",INDEX(Knutepunkter!$B:$B,E2051+1))</f>
        <v/>
      </c>
      <c r="J2051" t="str">
        <f>IF(E2051="","",INDEX(Knutepunkter!$C:$C,E2051+1))</f>
        <v/>
      </c>
      <c r="K2051" t="str">
        <f>IF(E2051="","",INDEX(Knutepunkter!$D:$D,E2051+1))</f>
        <v/>
      </c>
      <c r="L2051" t="str">
        <f t="shared" si="163"/>
        <v/>
      </c>
      <c r="M2051" t="str">
        <f t="shared" si="164"/>
        <v/>
      </c>
    </row>
    <row r="2052" spans="1:13" x14ac:dyDescent="0.3">
      <c r="A2052" t="str">
        <f>Segmenter!A2052</f>
        <v/>
      </c>
      <c r="B2052" t="str">
        <f>Segmenter!B2052</f>
        <v/>
      </c>
      <c r="C2052" t="str">
        <f t="shared" si="160"/>
        <v/>
      </c>
      <c r="D2052" t="str">
        <f t="shared" si="161"/>
        <v/>
      </c>
      <c r="E2052" t="str">
        <f t="shared" si="162"/>
        <v/>
      </c>
      <c r="F2052" t="str">
        <f>IF(D2052="","",INDEX(Knutepunkter!$B:$B,D2052+1))</f>
        <v/>
      </c>
      <c r="G2052" t="str">
        <f>IF(D2052="","",INDEX(Knutepunkter!$C:$C,D2052+1))</f>
        <v/>
      </c>
      <c r="H2052" t="str">
        <f>IF(D2052="","",INDEX(Knutepunkter!$D:$D,D2052+1))</f>
        <v/>
      </c>
      <c r="I2052" t="str">
        <f>IF(E2052="","",INDEX(Knutepunkter!$B:$B,E2052+1))</f>
        <v/>
      </c>
      <c r="J2052" t="str">
        <f>IF(E2052="","",INDEX(Knutepunkter!$C:$C,E2052+1))</f>
        <v/>
      </c>
      <c r="K2052" t="str">
        <f>IF(E2052="","",INDEX(Knutepunkter!$D:$D,E2052+1))</f>
        <v/>
      </c>
      <c r="L2052" t="str">
        <f t="shared" si="163"/>
        <v/>
      </c>
      <c r="M2052" t="str">
        <f t="shared" si="164"/>
        <v/>
      </c>
    </row>
    <row r="2053" spans="1:13" x14ac:dyDescent="0.3">
      <c r="A2053" t="str">
        <f>Segmenter!A2053</f>
        <v/>
      </c>
      <c r="B2053" t="str">
        <f>Segmenter!B2053</f>
        <v/>
      </c>
      <c r="C2053" t="str">
        <f t="shared" si="160"/>
        <v/>
      </c>
      <c r="D2053" t="str">
        <f t="shared" si="161"/>
        <v/>
      </c>
      <c r="E2053" t="str">
        <f t="shared" si="162"/>
        <v/>
      </c>
      <c r="F2053" t="str">
        <f>IF(D2053="","",INDEX(Knutepunkter!$B:$B,D2053+1))</f>
        <v/>
      </c>
      <c r="G2053" t="str">
        <f>IF(D2053="","",INDEX(Knutepunkter!$C:$C,D2053+1))</f>
        <v/>
      </c>
      <c r="H2053" t="str">
        <f>IF(D2053="","",INDEX(Knutepunkter!$D:$D,D2053+1))</f>
        <v/>
      </c>
      <c r="I2053" t="str">
        <f>IF(E2053="","",INDEX(Knutepunkter!$B:$B,E2053+1))</f>
        <v/>
      </c>
      <c r="J2053" t="str">
        <f>IF(E2053="","",INDEX(Knutepunkter!$C:$C,E2053+1))</f>
        <v/>
      </c>
      <c r="K2053" t="str">
        <f>IF(E2053="","",INDEX(Knutepunkter!$D:$D,E2053+1))</f>
        <v/>
      </c>
      <c r="L2053" t="str">
        <f t="shared" si="163"/>
        <v/>
      </c>
      <c r="M2053" t="str">
        <f t="shared" si="164"/>
        <v/>
      </c>
    </row>
    <row r="2054" spans="1:13" x14ac:dyDescent="0.3">
      <c r="A2054" t="str">
        <f>Segmenter!A2054</f>
        <v/>
      </c>
      <c r="B2054" t="str">
        <f>Segmenter!B2054</f>
        <v/>
      </c>
      <c r="C2054" t="str">
        <f t="shared" si="160"/>
        <v/>
      </c>
      <c r="D2054" t="str">
        <f t="shared" si="161"/>
        <v/>
      </c>
      <c r="E2054" t="str">
        <f t="shared" si="162"/>
        <v/>
      </c>
      <c r="F2054" t="str">
        <f>IF(D2054="","",INDEX(Knutepunkter!$B:$B,D2054+1))</f>
        <v/>
      </c>
      <c r="G2054" t="str">
        <f>IF(D2054="","",INDEX(Knutepunkter!$C:$C,D2054+1))</f>
        <v/>
      </c>
      <c r="H2054" t="str">
        <f>IF(D2054="","",INDEX(Knutepunkter!$D:$D,D2054+1))</f>
        <v/>
      </c>
      <c r="I2054" t="str">
        <f>IF(E2054="","",INDEX(Knutepunkter!$B:$B,E2054+1))</f>
        <v/>
      </c>
      <c r="J2054" t="str">
        <f>IF(E2054="","",INDEX(Knutepunkter!$C:$C,E2054+1))</f>
        <v/>
      </c>
      <c r="K2054" t="str">
        <f>IF(E2054="","",INDEX(Knutepunkter!$D:$D,E2054+1))</f>
        <v/>
      </c>
      <c r="L2054" t="str">
        <f t="shared" si="163"/>
        <v/>
      </c>
      <c r="M2054" t="str">
        <f t="shared" si="164"/>
        <v/>
      </c>
    </row>
    <row r="2055" spans="1:13" x14ac:dyDescent="0.3">
      <c r="A2055" t="str">
        <f>Segmenter!A2055</f>
        <v/>
      </c>
      <c r="B2055" t="str">
        <f>Segmenter!B2055</f>
        <v/>
      </c>
      <c r="C2055" t="str">
        <f t="shared" si="160"/>
        <v/>
      </c>
      <c r="D2055" t="str">
        <f t="shared" si="161"/>
        <v/>
      </c>
      <c r="E2055" t="str">
        <f t="shared" si="162"/>
        <v/>
      </c>
      <c r="F2055" t="str">
        <f>IF(D2055="","",INDEX(Knutepunkter!$B:$B,D2055+1))</f>
        <v/>
      </c>
      <c r="G2055" t="str">
        <f>IF(D2055="","",INDEX(Knutepunkter!$C:$C,D2055+1))</f>
        <v/>
      </c>
      <c r="H2055" t="str">
        <f>IF(D2055="","",INDEX(Knutepunkter!$D:$D,D2055+1))</f>
        <v/>
      </c>
      <c r="I2055" t="str">
        <f>IF(E2055="","",INDEX(Knutepunkter!$B:$B,E2055+1))</f>
        <v/>
      </c>
      <c r="J2055" t="str">
        <f>IF(E2055="","",INDEX(Knutepunkter!$C:$C,E2055+1))</f>
        <v/>
      </c>
      <c r="K2055" t="str">
        <f>IF(E2055="","",INDEX(Knutepunkter!$D:$D,E2055+1))</f>
        <v/>
      </c>
      <c r="L2055" t="str">
        <f t="shared" si="163"/>
        <v/>
      </c>
      <c r="M2055" t="str">
        <f t="shared" si="164"/>
        <v/>
      </c>
    </row>
    <row r="2056" spans="1:13" x14ac:dyDescent="0.3">
      <c r="A2056" t="str">
        <f>Segmenter!A2056</f>
        <v/>
      </c>
      <c r="B2056" t="str">
        <f>Segmenter!B2056</f>
        <v/>
      </c>
      <c r="C2056" t="str">
        <f t="shared" si="160"/>
        <v/>
      </c>
      <c r="D2056" t="str">
        <f t="shared" si="161"/>
        <v/>
      </c>
      <c r="E2056" t="str">
        <f t="shared" si="162"/>
        <v/>
      </c>
      <c r="F2056" t="str">
        <f>IF(D2056="","",INDEX(Knutepunkter!$B:$B,D2056+1))</f>
        <v/>
      </c>
      <c r="G2056" t="str">
        <f>IF(D2056="","",INDEX(Knutepunkter!$C:$C,D2056+1))</f>
        <v/>
      </c>
      <c r="H2056" t="str">
        <f>IF(D2056="","",INDEX(Knutepunkter!$D:$D,D2056+1))</f>
        <v/>
      </c>
      <c r="I2056" t="str">
        <f>IF(E2056="","",INDEX(Knutepunkter!$B:$B,E2056+1))</f>
        <v/>
      </c>
      <c r="J2056" t="str">
        <f>IF(E2056="","",INDEX(Knutepunkter!$C:$C,E2056+1))</f>
        <v/>
      </c>
      <c r="K2056" t="str">
        <f>IF(E2056="","",INDEX(Knutepunkter!$D:$D,E2056+1))</f>
        <v/>
      </c>
      <c r="L2056" t="str">
        <f t="shared" si="163"/>
        <v/>
      </c>
      <c r="M2056" t="str">
        <f t="shared" si="164"/>
        <v/>
      </c>
    </row>
    <row r="2057" spans="1:13" x14ac:dyDescent="0.3">
      <c r="A2057" t="str">
        <f>Segmenter!A2057</f>
        <v/>
      </c>
      <c r="B2057" t="str">
        <f>Segmenter!B2057</f>
        <v/>
      </c>
      <c r="C2057" t="str">
        <f t="shared" si="160"/>
        <v/>
      </c>
      <c r="D2057" t="str">
        <f t="shared" si="161"/>
        <v/>
      </c>
      <c r="E2057" t="str">
        <f t="shared" si="162"/>
        <v/>
      </c>
      <c r="F2057" t="str">
        <f>IF(D2057="","",INDEX(Knutepunkter!$B:$B,D2057+1))</f>
        <v/>
      </c>
      <c r="G2057" t="str">
        <f>IF(D2057="","",INDEX(Knutepunkter!$C:$C,D2057+1))</f>
        <v/>
      </c>
      <c r="H2057" t="str">
        <f>IF(D2057="","",INDEX(Knutepunkter!$D:$D,D2057+1))</f>
        <v/>
      </c>
      <c r="I2057" t="str">
        <f>IF(E2057="","",INDEX(Knutepunkter!$B:$B,E2057+1))</f>
        <v/>
      </c>
      <c r="J2057" t="str">
        <f>IF(E2057="","",INDEX(Knutepunkter!$C:$C,E2057+1))</f>
        <v/>
      </c>
      <c r="K2057" t="str">
        <f>IF(E2057="","",INDEX(Knutepunkter!$D:$D,E2057+1))</f>
        <v/>
      </c>
      <c r="L2057" t="str">
        <f t="shared" si="163"/>
        <v/>
      </c>
      <c r="M2057" t="str">
        <f t="shared" si="164"/>
        <v/>
      </c>
    </row>
    <row r="2058" spans="1:13" x14ac:dyDescent="0.3">
      <c r="A2058" t="str">
        <f>Segmenter!A2058</f>
        <v/>
      </c>
      <c r="B2058" t="str">
        <f>Segmenter!B2058</f>
        <v/>
      </c>
      <c r="C2058" t="str">
        <f t="shared" si="160"/>
        <v/>
      </c>
      <c r="D2058" t="str">
        <f t="shared" si="161"/>
        <v/>
      </c>
      <c r="E2058" t="str">
        <f t="shared" si="162"/>
        <v/>
      </c>
      <c r="F2058" t="str">
        <f>IF(D2058="","",INDEX(Knutepunkter!$B:$B,D2058+1))</f>
        <v/>
      </c>
      <c r="G2058" t="str">
        <f>IF(D2058="","",INDEX(Knutepunkter!$C:$C,D2058+1))</f>
        <v/>
      </c>
      <c r="H2058" t="str">
        <f>IF(D2058="","",INDEX(Knutepunkter!$D:$D,D2058+1))</f>
        <v/>
      </c>
      <c r="I2058" t="str">
        <f>IF(E2058="","",INDEX(Knutepunkter!$B:$B,E2058+1))</f>
        <v/>
      </c>
      <c r="J2058" t="str">
        <f>IF(E2058="","",INDEX(Knutepunkter!$C:$C,E2058+1))</f>
        <v/>
      </c>
      <c r="K2058" t="str">
        <f>IF(E2058="","",INDEX(Knutepunkter!$D:$D,E2058+1))</f>
        <v/>
      </c>
      <c r="L2058" t="str">
        <f t="shared" si="163"/>
        <v/>
      </c>
      <c r="M2058" t="str">
        <f t="shared" si="164"/>
        <v/>
      </c>
    </row>
    <row r="2059" spans="1:13" x14ac:dyDescent="0.3">
      <c r="A2059" t="str">
        <f>Segmenter!A2059</f>
        <v/>
      </c>
      <c r="B2059" t="str">
        <f>Segmenter!B2059</f>
        <v/>
      </c>
      <c r="C2059" t="str">
        <f t="shared" si="160"/>
        <v/>
      </c>
      <c r="D2059" t="str">
        <f t="shared" si="161"/>
        <v/>
      </c>
      <c r="E2059" t="str">
        <f t="shared" si="162"/>
        <v/>
      </c>
      <c r="F2059" t="str">
        <f>IF(D2059="","",INDEX(Knutepunkter!$B:$B,D2059+1))</f>
        <v/>
      </c>
      <c r="G2059" t="str">
        <f>IF(D2059="","",INDEX(Knutepunkter!$C:$C,D2059+1))</f>
        <v/>
      </c>
      <c r="H2059" t="str">
        <f>IF(D2059="","",INDEX(Knutepunkter!$D:$D,D2059+1))</f>
        <v/>
      </c>
      <c r="I2059" t="str">
        <f>IF(E2059="","",INDEX(Knutepunkter!$B:$B,E2059+1))</f>
        <v/>
      </c>
      <c r="J2059" t="str">
        <f>IF(E2059="","",INDEX(Knutepunkter!$C:$C,E2059+1))</f>
        <v/>
      </c>
      <c r="K2059" t="str">
        <f>IF(E2059="","",INDEX(Knutepunkter!$D:$D,E2059+1))</f>
        <v/>
      </c>
      <c r="L2059" t="str">
        <f t="shared" si="163"/>
        <v/>
      </c>
      <c r="M2059" t="str">
        <f t="shared" si="164"/>
        <v/>
      </c>
    </row>
    <row r="2060" spans="1:13" x14ac:dyDescent="0.3">
      <c r="A2060" t="str">
        <f>Segmenter!A2060</f>
        <v/>
      </c>
      <c r="B2060" t="str">
        <f>Segmenter!B2060</f>
        <v/>
      </c>
      <c r="C2060" t="str">
        <f t="shared" si="160"/>
        <v/>
      </c>
      <c r="D2060" t="str">
        <f t="shared" si="161"/>
        <v/>
      </c>
      <c r="E2060" t="str">
        <f t="shared" si="162"/>
        <v/>
      </c>
      <c r="F2060" t="str">
        <f>IF(D2060="","",INDEX(Knutepunkter!$B:$B,D2060+1))</f>
        <v/>
      </c>
      <c r="G2060" t="str">
        <f>IF(D2060="","",INDEX(Knutepunkter!$C:$C,D2060+1))</f>
        <v/>
      </c>
      <c r="H2060" t="str">
        <f>IF(D2060="","",INDEX(Knutepunkter!$D:$D,D2060+1))</f>
        <v/>
      </c>
      <c r="I2060" t="str">
        <f>IF(E2060="","",INDEX(Knutepunkter!$B:$B,E2060+1))</f>
        <v/>
      </c>
      <c r="J2060" t="str">
        <f>IF(E2060="","",INDEX(Knutepunkter!$C:$C,E2060+1))</f>
        <v/>
      </c>
      <c r="K2060" t="str">
        <f>IF(E2060="","",INDEX(Knutepunkter!$D:$D,E2060+1))</f>
        <v/>
      </c>
      <c r="L2060" t="str">
        <f t="shared" si="163"/>
        <v/>
      </c>
      <c r="M2060" t="str">
        <f t="shared" si="164"/>
        <v/>
      </c>
    </row>
    <row r="2061" spans="1:13" x14ac:dyDescent="0.3">
      <c r="A2061" t="str">
        <f>Segmenter!A2061</f>
        <v/>
      </c>
      <c r="B2061" t="str">
        <f>Segmenter!B2061</f>
        <v/>
      </c>
      <c r="C2061" t="str">
        <f t="shared" si="160"/>
        <v/>
      </c>
      <c r="D2061" t="str">
        <f t="shared" si="161"/>
        <v/>
      </c>
      <c r="E2061" t="str">
        <f t="shared" si="162"/>
        <v/>
      </c>
      <c r="F2061" t="str">
        <f>IF(D2061="","",INDEX(Knutepunkter!$B:$B,D2061+1))</f>
        <v/>
      </c>
      <c r="G2061" t="str">
        <f>IF(D2061="","",INDEX(Knutepunkter!$C:$C,D2061+1))</f>
        <v/>
      </c>
      <c r="H2061" t="str">
        <f>IF(D2061="","",INDEX(Knutepunkter!$D:$D,D2061+1))</f>
        <v/>
      </c>
      <c r="I2061" t="str">
        <f>IF(E2061="","",INDEX(Knutepunkter!$B:$B,E2061+1))</f>
        <v/>
      </c>
      <c r="J2061" t="str">
        <f>IF(E2061="","",INDEX(Knutepunkter!$C:$C,E2061+1))</f>
        <v/>
      </c>
      <c r="K2061" t="str">
        <f>IF(E2061="","",INDEX(Knutepunkter!$D:$D,E2061+1))</f>
        <v/>
      </c>
      <c r="L2061" t="str">
        <f t="shared" si="163"/>
        <v/>
      </c>
      <c r="M2061" t="str">
        <f t="shared" si="164"/>
        <v/>
      </c>
    </row>
    <row r="2062" spans="1:13" x14ac:dyDescent="0.3">
      <c r="A2062" t="str">
        <f>Segmenter!A2062</f>
        <v/>
      </c>
      <c r="B2062" t="str">
        <f>Segmenter!B2062</f>
        <v/>
      </c>
      <c r="C2062" t="str">
        <f t="shared" si="160"/>
        <v/>
      </c>
      <c r="D2062" t="str">
        <f t="shared" si="161"/>
        <v/>
      </c>
      <c r="E2062" t="str">
        <f t="shared" si="162"/>
        <v/>
      </c>
      <c r="F2062" t="str">
        <f>IF(D2062="","",INDEX(Knutepunkter!$B:$B,D2062+1))</f>
        <v/>
      </c>
      <c r="G2062" t="str">
        <f>IF(D2062="","",INDEX(Knutepunkter!$C:$C,D2062+1))</f>
        <v/>
      </c>
      <c r="H2062" t="str">
        <f>IF(D2062="","",INDEX(Knutepunkter!$D:$D,D2062+1))</f>
        <v/>
      </c>
      <c r="I2062" t="str">
        <f>IF(E2062="","",INDEX(Knutepunkter!$B:$B,E2062+1))</f>
        <v/>
      </c>
      <c r="J2062" t="str">
        <f>IF(E2062="","",INDEX(Knutepunkter!$C:$C,E2062+1))</f>
        <v/>
      </c>
      <c r="K2062" t="str">
        <f>IF(E2062="","",INDEX(Knutepunkter!$D:$D,E2062+1))</f>
        <v/>
      </c>
      <c r="L2062" t="str">
        <f t="shared" si="163"/>
        <v/>
      </c>
      <c r="M2062" t="str">
        <f t="shared" si="164"/>
        <v/>
      </c>
    </row>
    <row r="2063" spans="1:13" x14ac:dyDescent="0.3">
      <c r="A2063" t="str">
        <f>Segmenter!A2063</f>
        <v/>
      </c>
      <c r="B2063" t="str">
        <f>Segmenter!B2063</f>
        <v/>
      </c>
      <c r="C2063" t="str">
        <f t="shared" si="160"/>
        <v/>
      </c>
      <c r="D2063" t="str">
        <f t="shared" si="161"/>
        <v/>
      </c>
      <c r="E2063" t="str">
        <f t="shared" si="162"/>
        <v/>
      </c>
      <c r="F2063" t="str">
        <f>IF(D2063="","",INDEX(Knutepunkter!$B:$B,D2063+1))</f>
        <v/>
      </c>
      <c r="G2063" t="str">
        <f>IF(D2063="","",INDEX(Knutepunkter!$C:$C,D2063+1))</f>
        <v/>
      </c>
      <c r="H2063" t="str">
        <f>IF(D2063="","",INDEX(Knutepunkter!$D:$D,D2063+1))</f>
        <v/>
      </c>
      <c r="I2063" t="str">
        <f>IF(E2063="","",INDEX(Knutepunkter!$B:$B,E2063+1))</f>
        <v/>
      </c>
      <c r="J2063" t="str">
        <f>IF(E2063="","",INDEX(Knutepunkter!$C:$C,E2063+1))</f>
        <v/>
      </c>
      <c r="K2063" t="str">
        <f>IF(E2063="","",INDEX(Knutepunkter!$D:$D,E2063+1))</f>
        <v/>
      </c>
      <c r="L2063" t="str">
        <f t="shared" si="163"/>
        <v/>
      </c>
      <c r="M2063" t="str">
        <f t="shared" si="164"/>
        <v/>
      </c>
    </row>
    <row r="2064" spans="1:13" x14ac:dyDescent="0.3">
      <c r="A2064" t="str">
        <f>Segmenter!A2064</f>
        <v/>
      </c>
      <c r="B2064" t="str">
        <f>Segmenter!B2064</f>
        <v/>
      </c>
      <c r="C2064" t="str">
        <f t="shared" si="160"/>
        <v/>
      </c>
      <c r="D2064" t="str">
        <f t="shared" si="161"/>
        <v/>
      </c>
      <c r="E2064" t="str">
        <f t="shared" si="162"/>
        <v/>
      </c>
      <c r="F2064" t="str">
        <f>IF(D2064="","",INDEX(Knutepunkter!$B:$B,D2064+1))</f>
        <v/>
      </c>
      <c r="G2064" t="str">
        <f>IF(D2064="","",INDEX(Knutepunkter!$C:$C,D2064+1))</f>
        <v/>
      </c>
      <c r="H2064" t="str">
        <f>IF(D2064="","",INDEX(Knutepunkter!$D:$D,D2064+1))</f>
        <v/>
      </c>
      <c r="I2064" t="str">
        <f>IF(E2064="","",INDEX(Knutepunkter!$B:$B,E2064+1))</f>
        <v/>
      </c>
      <c r="J2064" t="str">
        <f>IF(E2064="","",INDEX(Knutepunkter!$C:$C,E2064+1))</f>
        <v/>
      </c>
      <c r="K2064" t="str">
        <f>IF(E2064="","",INDEX(Knutepunkter!$D:$D,E2064+1))</f>
        <v/>
      </c>
      <c r="L2064" t="str">
        <f t="shared" si="163"/>
        <v/>
      </c>
      <c r="M2064" t="str">
        <f t="shared" si="164"/>
        <v/>
      </c>
    </row>
    <row r="2065" spans="1:13" x14ac:dyDescent="0.3">
      <c r="A2065" t="str">
        <f>Segmenter!A2065</f>
        <v/>
      </c>
      <c r="B2065" t="str">
        <f>Segmenter!B2065</f>
        <v/>
      </c>
      <c r="C2065" t="str">
        <f t="shared" si="160"/>
        <v/>
      </c>
      <c r="D2065" t="str">
        <f t="shared" si="161"/>
        <v/>
      </c>
      <c r="E2065" t="str">
        <f t="shared" si="162"/>
        <v/>
      </c>
      <c r="F2065" t="str">
        <f>IF(D2065="","",INDEX(Knutepunkter!$B:$B,D2065+1))</f>
        <v/>
      </c>
      <c r="G2065" t="str">
        <f>IF(D2065="","",INDEX(Knutepunkter!$C:$C,D2065+1))</f>
        <v/>
      </c>
      <c r="H2065" t="str">
        <f>IF(D2065="","",INDEX(Knutepunkter!$D:$D,D2065+1))</f>
        <v/>
      </c>
      <c r="I2065" t="str">
        <f>IF(E2065="","",INDEX(Knutepunkter!$B:$B,E2065+1))</f>
        <v/>
      </c>
      <c r="J2065" t="str">
        <f>IF(E2065="","",INDEX(Knutepunkter!$C:$C,E2065+1))</f>
        <v/>
      </c>
      <c r="K2065" t="str">
        <f>IF(E2065="","",INDEX(Knutepunkter!$D:$D,E2065+1))</f>
        <v/>
      </c>
      <c r="L2065" t="str">
        <f t="shared" si="163"/>
        <v/>
      </c>
      <c r="M2065" t="str">
        <f t="shared" si="164"/>
        <v/>
      </c>
    </row>
    <row r="2066" spans="1:13" x14ac:dyDescent="0.3">
      <c r="A2066" t="str">
        <f>Segmenter!A2066</f>
        <v/>
      </c>
      <c r="B2066" t="str">
        <f>Segmenter!B2066</f>
        <v/>
      </c>
      <c r="C2066" t="str">
        <f t="shared" si="160"/>
        <v/>
      </c>
      <c r="D2066" t="str">
        <f t="shared" si="161"/>
        <v/>
      </c>
      <c r="E2066" t="str">
        <f t="shared" si="162"/>
        <v/>
      </c>
      <c r="F2066" t="str">
        <f>IF(D2066="","",INDEX(Knutepunkter!$B:$B,D2066+1))</f>
        <v/>
      </c>
      <c r="G2066" t="str">
        <f>IF(D2066="","",INDEX(Knutepunkter!$C:$C,D2066+1))</f>
        <v/>
      </c>
      <c r="H2066" t="str">
        <f>IF(D2066="","",INDEX(Knutepunkter!$D:$D,D2066+1))</f>
        <v/>
      </c>
      <c r="I2066" t="str">
        <f>IF(E2066="","",INDEX(Knutepunkter!$B:$B,E2066+1))</f>
        <v/>
      </c>
      <c r="J2066" t="str">
        <f>IF(E2066="","",INDEX(Knutepunkter!$C:$C,E2066+1))</f>
        <v/>
      </c>
      <c r="K2066" t="str">
        <f>IF(E2066="","",INDEX(Knutepunkter!$D:$D,E2066+1))</f>
        <v/>
      </c>
      <c r="L2066" t="str">
        <f t="shared" si="163"/>
        <v/>
      </c>
      <c r="M2066" t="str">
        <f t="shared" si="164"/>
        <v/>
      </c>
    </row>
    <row r="2067" spans="1:13" x14ac:dyDescent="0.3">
      <c r="A2067" t="str">
        <f>Segmenter!A2067</f>
        <v/>
      </c>
      <c r="B2067" t="str">
        <f>Segmenter!B2067</f>
        <v/>
      </c>
      <c r="C2067" t="str">
        <f t="shared" si="160"/>
        <v/>
      </c>
      <c r="D2067" t="str">
        <f t="shared" si="161"/>
        <v/>
      </c>
      <c r="E2067" t="str">
        <f t="shared" si="162"/>
        <v/>
      </c>
      <c r="F2067" t="str">
        <f>IF(D2067="","",INDEX(Knutepunkter!$B:$B,D2067+1))</f>
        <v/>
      </c>
      <c r="G2067" t="str">
        <f>IF(D2067="","",INDEX(Knutepunkter!$C:$C,D2067+1))</f>
        <v/>
      </c>
      <c r="H2067" t="str">
        <f>IF(D2067="","",INDEX(Knutepunkter!$D:$D,D2067+1))</f>
        <v/>
      </c>
      <c r="I2067" t="str">
        <f>IF(E2067="","",INDEX(Knutepunkter!$B:$B,E2067+1))</f>
        <v/>
      </c>
      <c r="J2067" t="str">
        <f>IF(E2067="","",INDEX(Knutepunkter!$C:$C,E2067+1))</f>
        <v/>
      </c>
      <c r="K2067" t="str">
        <f>IF(E2067="","",INDEX(Knutepunkter!$D:$D,E2067+1))</f>
        <v/>
      </c>
      <c r="L2067" t="str">
        <f t="shared" si="163"/>
        <v/>
      </c>
      <c r="M2067" t="str">
        <f t="shared" si="164"/>
        <v/>
      </c>
    </row>
    <row r="2068" spans="1:13" x14ac:dyDescent="0.3">
      <c r="A2068" t="str">
        <f>Segmenter!A2068</f>
        <v/>
      </c>
      <c r="B2068" t="str">
        <f>Segmenter!B2068</f>
        <v/>
      </c>
      <c r="C2068" t="str">
        <f t="shared" si="160"/>
        <v/>
      </c>
      <c r="D2068" t="str">
        <f t="shared" si="161"/>
        <v/>
      </c>
      <c r="E2068" t="str">
        <f t="shared" si="162"/>
        <v/>
      </c>
      <c r="F2068" t="str">
        <f>IF(D2068="","",INDEX(Knutepunkter!$B:$B,D2068+1))</f>
        <v/>
      </c>
      <c r="G2068" t="str">
        <f>IF(D2068="","",INDEX(Knutepunkter!$C:$C,D2068+1))</f>
        <v/>
      </c>
      <c r="H2068" t="str">
        <f>IF(D2068="","",INDEX(Knutepunkter!$D:$D,D2068+1))</f>
        <v/>
      </c>
      <c r="I2068" t="str">
        <f>IF(E2068="","",INDEX(Knutepunkter!$B:$B,E2068+1))</f>
        <v/>
      </c>
      <c r="J2068" t="str">
        <f>IF(E2068="","",INDEX(Knutepunkter!$C:$C,E2068+1))</f>
        <v/>
      </c>
      <c r="K2068" t="str">
        <f>IF(E2068="","",INDEX(Knutepunkter!$D:$D,E2068+1))</f>
        <v/>
      </c>
      <c r="L2068" t="str">
        <f t="shared" si="163"/>
        <v/>
      </c>
      <c r="M2068" t="str">
        <f t="shared" si="164"/>
        <v/>
      </c>
    </row>
    <row r="2069" spans="1:13" x14ac:dyDescent="0.3">
      <c r="A2069" t="str">
        <f>Segmenter!A2069</f>
        <v/>
      </c>
      <c r="B2069" t="str">
        <f>Segmenter!B2069</f>
        <v/>
      </c>
      <c r="C2069" t="str">
        <f t="shared" si="160"/>
        <v/>
      </c>
      <c r="D2069" t="str">
        <f t="shared" si="161"/>
        <v/>
      </c>
      <c r="E2069" t="str">
        <f t="shared" si="162"/>
        <v/>
      </c>
      <c r="F2069" t="str">
        <f>IF(D2069="","",INDEX(Knutepunkter!$B:$B,D2069+1))</f>
        <v/>
      </c>
      <c r="G2069" t="str">
        <f>IF(D2069="","",INDEX(Knutepunkter!$C:$C,D2069+1))</f>
        <v/>
      </c>
      <c r="H2069" t="str">
        <f>IF(D2069="","",INDEX(Knutepunkter!$D:$D,D2069+1))</f>
        <v/>
      </c>
      <c r="I2069" t="str">
        <f>IF(E2069="","",INDEX(Knutepunkter!$B:$B,E2069+1))</f>
        <v/>
      </c>
      <c r="J2069" t="str">
        <f>IF(E2069="","",INDEX(Knutepunkter!$C:$C,E2069+1))</f>
        <v/>
      </c>
      <c r="K2069" t="str">
        <f>IF(E2069="","",INDEX(Knutepunkter!$D:$D,E2069+1))</f>
        <v/>
      </c>
      <c r="L2069" t="str">
        <f t="shared" si="163"/>
        <v/>
      </c>
      <c r="M2069" t="str">
        <f t="shared" si="164"/>
        <v/>
      </c>
    </row>
    <row r="2070" spans="1:13" x14ac:dyDescent="0.3">
      <c r="A2070" t="str">
        <f>Segmenter!A2070</f>
        <v/>
      </c>
      <c r="B2070" t="str">
        <f>Segmenter!B2070</f>
        <v/>
      </c>
      <c r="C2070" t="str">
        <f t="shared" si="160"/>
        <v/>
      </c>
      <c r="D2070" t="str">
        <f t="shared" si="161"/>
        <v/>
      </c>
      <c r="E2070" t="str">
        <f t="shared" si="162"/>
        <v/>
      </c>
      <c r="F2070" t="str">
        <f>IF(D2070="","",INDEX(Knutepunkter!$B:$B,D2070+1))</f>
        <v/>
      </c>
      <c r="G2070" t="str">
        <f>IF(D2070="","",INDEX(Knutepunkter!$C:$C,D2070+1))</f>
        <v/>
      </c>
      <c r="H2070" t="str">
        <f>IF(D2070="","",INDEX(Knutepunkter!$D:$D,D2070+1))</f>
        <v/>
      </c>
      <c r="I2070" t="str">
        <f>IF(E2070="","",INDEX(Knutepunkter!$B:$B,E2070+1))</f>
        <v/>
      </c>
      <c r="J2070" t="str">
        <f>IF(E2070="","",INDEX(Knutepunkter!$C:$C,E2070+1))</f>
        <v/>
      </c>
      <c r="K2070" t="str">
        <f>IF(E2070="","",INDEX(Knutepunkter!$D:$D,E2070+1))</f>
        <v/>
      </c>
      <c r="L2070" t="str">
        <f t="shared" si="163"/>
        <v/>
      </c>
      <c r="M2070" t="str">
        <f t="shared" si="164"/>
        <v/>
      </c>
    </row>
    <row r="2071" spans="1:13" x14ac:dyDescent="0.3">
      <c r="A2071" t="str">
        <f>Segmenter!A2071</f>
        <v/>
      </c>
      <c r="B2071" t="str">
        <f>Segmenter!B2071</f>
        <v/>
      </c>
      <c r="C2071" t="str">
        <f t="shared" si="160"/>
        <v/>
      </c>
      <c r="D2071" t="str">
        <f t="shared" si="161"/>
        <v/>
      </c>
      <c r="E2071" t="str">
        <f t="shared" si="162"/>
        <v/>
      </c>
      <c r="F2071" t="str">
        <f>IF(D2071="","",INDEX(Knutepunkter!$B:$B,D2071+1))</f>
        <v/>
      </c>
      <c r="G2071" t="str">
        <f>IF(D2071="","",INDEX(Knutepunkter!$C:$C,D2071+1))</f>
        <v/>
      </c>
      <c r="H2071" t="str">
        <f>IF(D2071="","",INDEX(Knutepunkter!$D:$D,D2071+1))</f>
        <v/>
      </c>
      <c r="I2071" t="str">
        <f>IF(E2071="","",INDEX(Knutepunkter!$B:$B,E2071+1))</f>
        <v/>
      </c>
      <c r="J2071" t="str">
        <f>IF(E2071="","",INDEX(Knutepunkter!$C:$C,E2071+1))</f>
        <v/>
      </c>
      <c r="K2071" t="str">
        <f>IF(E2071="","",INDEX(Knutepunkter!$D:$D,E2071+1))</f>
        <v/>
      </c>
      <c r="L2071" t="str">
        <f t="shared" si="163"/>
        <v/>
      </c>
      <c r="M2071" t="str">
        <f t="shared" si="164"/>
        <v/>
      </c>
    </row>
    <row r="2072" spans="1:13" x14ac:dyDescent="0.3">
      <c r="A2072" t="str">
        <f>Segmenter!A2072</f>
        <v/>
      </c>
      <c r="B2072" t="str">
        <f>Segmenter!B2072</f>
        <v/>
      </c>
      <c r="C2072" t="str">
        <f t="shared" si="160"/>
        <v/>
      </c>
      <c r="D2072" t="str">
        <f t="shared" si="161"/>
        <v/>
      </c>
      <c r="E2072" t="str">
        <f t="shared" si="162"/>
        <v/>
      </c>
      <c r="F2072" t="str">
        <f>IF(D2072="","",INDEX(Knutepunkter!$B:$B,D2072+1))</f>
        <v/>
      </c>
      <c r="G2072" t="str">
        <f>IF(D2072="","",INDEX(Knutepunkter!$C:$C,D2072+1))</f>
        <v/>
      </c>
      <c r="H2072" t="str">
        <f>IF(D2072="","",INDEX(Knutepunkter!$D:$D,D2072+1))</f>
        <v/>
      </c>
      <c r="I2072" t="str">
        <f>IF(E2072="","",INDEX(Knutepunkter!$B:$B,E2072+1))</f>
        <v/>
      </c>
      <c r="J2072" t="str">
        <f>IF(E2072="","",INDEX(Knutepunkter!$C:$C,E2072+1))</f>
        <v/>
      </c>
      <c r="K2072" t="str">
        <f>IF(E2072="","",INDEX(Knutepunkter!$D:$D,E2072+1))</f>
        <v/>
      </c>
      <c r="L2072" t="str">
        <f t="shared" si="163"/>
        <v/>
      </c>
      <c r="M2072" t="str">
        <f t="shared" si="164"/>
        <v/>
      </c>
    </row>
    <row r="2073" spans="1:13" x14ac:dyDescent="0.3">
      <c r="A2073" t="str">
        <f>Segmenter!A2073</f>
        <v/>
      </c>
      <c r="B2073" t="str">
        <f>Segmenter!B2073</f>
        <v/>
      </c>
      <c r="C2073" t="str">
        <f t="shared" si="160"/>
        <v/>
      </c>
      <c r="D2073" t="str">
        <f t="shared" si="161"/>
        <v/>
      </c>
      <c r="E2073" t="str">
        <f t="shared" si="162"/>
        <v/>
      </c>
      <c r="F2073" t="str">
        <f>IF(D2073="","",INDEX(Knutepunkter!$B:$B,D2073+1))</f>
        <v/>
      </c>
      <c r="G2073" t="str">
        <f>IF(D2073="","",INDEX(Knutepunkter!$C:$C,D2073+1))</f>
        <v/>
      </c>
      <c r="H2073" t="str">
        <f>IF(D2073="","",INDEX(Knutepunkter!$D:$D,D2073+1))</f>
        <v/>
      </c>
      <c r="I2073" t="str">
        <f>IF(E2073="","",INDEX(Knutepunkter!$B:$B,E2073+1))</f>
        <v/>
      </c>
      <c r="J2073" t="str">
        <f>IF(E2073="","",INDEX(Knutepunkter!$C:$C,E2073+1))</f>
        <v/>
      </c>
      <c r="K2073" t="str">
        <f>IF(E2073="","",INDEX(Knutepunkter!$D:$D,E2073+1))</f>
        <v/>
      </c>
      <c r="L2073" t="str">
        <f t="shared" si="163"/>
        <v/>
      </c>
      <c r="M2073" t="str">
        <f t="shared" si="164"/>
        <v/>
      </c>
    </row>
    <row r="2074" spans="1:13" x14ac:dyDescent="0.3">
      <c r="A2074" t="str">
        <f>Segmenter!A2074</f>
        <v/>
      </c>
      <c r="B2074" t="str">
        <f>Segmenter!B2074</f>
        <v/>
      </c>
      <c r="C2074" t="str">
        <f t="shared" si="160"/>
        <v/>
      </c>
      <c r="D2074" t="str">
        <f t="shared" si="161"/>
        <v/>
      </c>
      <c r="E2074" t="str">
        <f t="shared" si="162"/>
        <v/>
      </c>
      <c r="F2074" t="str">
        <f>IF(D2074="","",INDEX(Knutepunkter!$B:$B,D2074+1))</f>
        <v/>
      </c>
      <c r="G2074" t="str">
        <f>IF(D2074="","",INDEX(Knutepunkter!$C:$C,D2074+1))</f>
        <v/>
      </c>
      <c r="H2074" t="str">
        <f>IF(D2074="","",INDEX(Knutepunkter!$D:$D,D2074+1))</f>
        <v/>
      </c>
      <c r="I2074" t="str">
        <f>IF(E2074="","",INDEX(Knutepunkter!$B:$B,E2074+1))</f>
        <v/>
      </c>
      <c r="J2074" t="str">
        <f>IF(E2074="","",INDEX(Knutepunkter!$C:$C,E2074+1))</f>
        <v/>
      </c>
      <c r="K2074" t="str">
        <f>IF(E2074="","",INDEX(Knutepunkter!$D:$D,E2074+1))</f>
        <v/>
      </c>
      <c r="L2074" t="str">
        <f t="shared" si="163"/>
        <v/>
      </c>
      <c r="M2074" t="str">
        <f t="shared" si="164"/>
        <v/>
      </c>
    </row>
    <row r="2075" spans="1:13" x14ac:dyDescent="0.3">
      <c r="A2075" t="str">
        <f>Segmenter!A2075</f>
        <v/>
      </c>
      <c r="B2075" t="str">
        <f>Segmenter!B2075</f>
        <v/>
      </c>
      <c r="C2075" t="str">
        <f t="shared" si="160"/>
        <v/>
      </c>
      <c r="D2075" t="str">
        <f t="shared" si="161"/>
        <v/>
      </c>
      <c r="E2075" t="str">
        <f t="shared" si="162"/>
        <v/>
      </c>
      <c r="F2075" t="str">
        <f>IF(D2075="","",INDEX(Knutepunkter!$B:$B,D2075+1))</f>
        <v/>
      </c>
      <c r="G2075" t="str">
        <f>IF(D2075="","",INDEX(Knutepunkter!$C:$C,D2075+1))</f>
        <v/>
      </c>
      <c r="H2075" t="str">
        <f>IF(D2075="","",INDEX(Knutepunkter!$D:$D,D2075+1))</f>
        <v/>
      </c>
      <c r="I2075" t="str">
        <f>IF(E2075="","",INDEX(Knutepunkter!$B:$B,E2075+1))</f>
        <v/>
      </c>
      <c r="J2075" t="str">
        <f>IF(E2075="","",INDEX(Knutepunkter!$C:$C,E2075+1))</f>
        <v/>
      </c>
      <c r="K2075" t="str">
        <f>IF(E2075="","",INDEX(Knutepunkter!$D:$D,E2075+1))</f>
        <v/>
      </c>
      <c r="L2075" t="str">
        <f t="shared" si="163"/>
        <v/>
      </c>
      <c r="M2075" t="str">
        <f t="shared" si="164"/>
        <v/>
      </c>
    </row>
    <row r="2076" spans="1:13" x14ac:dyDescent="0.3">
      <c r="A2076" t="str">
        <f>Segmenter!A2076</f>
        <v/>
      </c>
      <c r="B2076" t="str">
        <f>Segmenter!B2076</f>
        <v/>
      </c>
      <c r="C2076" t="str">
        <f t="shared" si="160"/>
        <v/>
      </c>
      <c r="D2076" t="str">
        <f t="shared" si="161"/>
        <v/>
      </c>
      <c r="E2076" t="str">
        <f t="shared" si="162"/>
        <v/>
      </c>
      <c r="F2076" t="str">
        <f>IF(D2076="","",INDEX(Knutepunkter!$B:$B,D2076+1))</f>
        <v/>
      </c>
      <c r="G2076" t="str">
        <f>IF(D2076="","",INDEX(Knutepunkter!$C:$C,D2076+1))</f>
        <v/>
      </c>
      <c r="H2076" t="str">
        <f>IF(D2076="","",INDEX(Knutepunkter!$D:$D,D2076+1))</f>
        <v/>
      </c>
      <c r="I2076" t="str">
        <f>IF(E2076="","",INDEX(Knutepunkter!$B:$B,E2076+1))</f>
        <v/>
      </c>
      <c r="J2076" t="str">
        <f>IF(E2076="","",INDEX(Knutepunkter!$C:$C,E2076+1))</f>
        <v/>
      </c>
      <c r="K2076" t="str">
        <f>IF(E2076="","",INDEX(Knutepunkter!$D:$D,E2076+1))</f>
        <v/>
      </c>
      <c r="L2076" t="str">
        <f t="shared" si="163"/>
        <v/>
      </c>
      <c r="M2076" t="str">
        <f t="shared" si="164"/>
        <v/>
      </c>
    </row>
    <row r="2077" spans="1:13" x14ac:dyDescent="0.3">
      <c r="A2077" t="str">
        <f>Segmenter!A2077</f>
        <v/>
      </c>
      <c r="B2077" t="str">
        <f>Segmenter!B2077</f>
        <v/>
      </c>
      <c r="C2077" t="str">
        <f t="shared" si="160"/>
        <v/>
      </c>
      <c r="D2077" t="str">
        <f t="shared" si="161"/>
        <v/>
      </c>
      <c r="E2077" t="str">
        <f t="shared" si="162"/>
        <v/>
      </c>
      <c r="F2077" t="str">
        <f>IF(D2077="","",INDEX(Knutepunkter!$B:$B,D2077+1))</f>
        <v/>
      </c>
      <c r="G2077" t="str">
        <f>IF(D2077="","",INDEX(Knutepunkter!$C:$C,D2077+1))</f>
        <v/>
      </c>
      <c r="H2077" t="str">
        <f>IF(D2077="","",INDEX(Knutepunkter!$D:$D,D2077+1))</f>
        <v/>
      </c>
      <c r="I2077" t="str">
        <f>IF(E2077="","",INDEX(Knutepunkter!$B:$B,E2077+1))</f>
        <v/>
      </c>
      <c r="J2077" t="str">
        <f>IF(E2077="","",INDEX(Knutepunkter!$C:$C,E2077+1))</f>
        <v/>
      </c>
      <c r="K2077" t="str">
        <f>IF(E2077="","",INDEX(Knutepunkter!$D:$D,E2077+1))</f>
        <v/>
      </c>
      <c r="L2077" t="str">
        <f t="shared" si="163"/>
        <v/>
      </c>
      <c r="M2077" t="str">
        <f t="shared" si="164"/>
        <v/>
      </c>
    </row>
    <row r="2078" spans="1:13" x14ac:dyDescent="0.3">
      <c r="A2078" t="str">
        <f>Segmenter!A2078</f>
        <v/>
      </c>
      <c r="B2078" t="str">
        <f>Segmenter!B2078</f>
        <v/>
      </c>
      <c r="C2078" t="str">
        <f t="shared" si="160"/>
        <v/>
      </c>
      <c r="D2078" t="str">
        <f t="shared" si="161"/>
        <v/>
      </c>
      <c r="E2078" t="str">
        <f t="shared" si="162"/>
        <v/>
      </c>
      <c r="F2078" t="str">
        <f>IF(D2078="","",INDEX(Knutepunkter!$B:$B,D2078+1))</f>
        <v/>
      </c>
      <c r="G2078" t="str">
        <f>IF(D2078="","",INDEX(Knutepunkter!$C:$C,D2078+1))</f>
        <v/>
      </c>
      <c r="H2078" t="str">
        <f>IF(D2078="","",INDEX(Knutepunkter!$D:$D,D2078+1))</f>
        <v/>
      </c>
      <c r="I2078" t="str">
        <f>IF(E2078="","",INDEX(Knutepunkter!$B:$B,E2078+1))</f>
        <v/>
      </c>
      <c r="J2078" t="str">
        <f>IF(E2078="","",INDEX(Knutepunkter!$C:$C,E2078+1))</f>
        <v/>
      </c>
      <c r="K2078" t="str">
        <f>IF(E2078="","",INDEX(Knutepunkter!$D:$D,E2078+1))</f>
        <v/>
      </c>
      <c r="L2078" t="str">
        <f t="shared" si="163"/>
        <v/>
      </c>
      <c r="M2078" t="str">
        <f t="shared" si="164"/>
        <v/>
      </c>
    </row>
    <row r="2079" spans="1:13" x14ac:dyDescent="0.3">
      <c r="A2079" t="str">
        <f>Segmenter!A2079</f>
        <v/>
      </c>
      <c r="B2079" t="str">
        <f>Segmenter!B2079</f>
        <v/>
      </c>
      <c r="C2079" t="str">
        <f t="shared" si="160"/>
        <v/>
      </c>
      <c r="D2079" t="str">
        <f t="shared" si="161"/>
        <v/>
      </c>
      <c r="E2079" t="str">
        <f t="shared" si="162"/>
        <v/>
      </c>
      <c r="F2079" t="str">
        <f>IF(D2079="","",INDEX(Knutepunkter!$B:$B,D2079+1))</f>
        <v/>
      </c>
      <c r="G2079" t="str">
        <f>IF(D2079="","",INDEX(Knutepunkter!$C:$C,D2079+1))</f>
        <v/>
      </c>
      <c r="H2079" t="str">
        <f>IF(D2079="","",INDEX(Knutepunkter!$D:$D,D2079+1))</f>
        <v/>
      </c>
      <c r="I2079" t="str">
        <f>IF(E2079="","",INDEX(Knutepunkter!$B:$B,E2079+1))</f>
        <v/>
      </c>
      <c r="J2079" t="str">
        <f>IF(E2079="","",INDEX(Knutepunkter!$C:$C,E2079+1))</f>
        <v/>
      </c>
      <c r="K2079" t="str">
        <f>IF(E2079="","",INDEX(Knutepunkter!$D:$D,E2079+1))</f>
        <v/>
      </c>
      <c r="L2079" t="str">
        <f t="shared" si="163"/>
        <v/>
      </c>
      <c r="M2079" t="str">
        <f t="shared" si="164"/>
        <v/>
      </c>
    </row>
    <row r="2080" spans="1:13" x14ac:dyDescent="0.3">
      <c r="A2080" t="str">
        <f>Segmenter!A2080</f>
        <v/>
      </c>
      <c r="B2080" t="str">
        <f>Segmenter!B2080</f>
        <v/>
      </c>
      <c r="C2080" t="str">
        <f t="shared" si="160"/>
        <v/>
      </c>
      <c r="D2080" t="str">
        <f t="shared" si="161"/>
        <v/>
      </c>
      <c r="E2080" t="str">
        <f t="shared" si="162"/>
        <v/>
      </c>
      <c r="F2080" t="str">
        <f>IF(D2080="","",INDEX(Knutepunkter!$B:$B,D2080+1))</f>
        <v/>
      </c>
      <c r="G2080" t="str">
        <f>IF(D2080="","",INDEX(Knutepunkter!$C:$C,D2080+1))</f>
        <v/>
      </c>
      <c r="H2080" t="str">
        <f>IF(D2080="","",INDEX(Knutepunkter!$D:$D,D2080+1))</f>
        <v/>
      </c>
      <c r="I2080" t="str">
        <f>IF(E2080="","",INDEX(Knutepunkter!$B:$B,E2080+1))</f>
        <v/>
      </c>
      <c r="J2080" t="str">
        <f>IF(E2080="","",INDEX(Knutepunkter!$C:$C,E2080+1))</f>
        <v/>
      </c>
      <c r="K2080" t="str">
        <f>IF(E2080="","",INDEX(Knutepunkter!$D:$D,E2080+1))</f>
        <v/>
      </c>
      <c r="L2080" t="str">
        <f t="shared" si="163"/>
        <v/>
      </c>
      <c r="M2080" t="str">
        <f t="shared" si="164"/>
        <v/>
      </c>
    </row>
    <row r="2081" spans="1:13" x14ac:dyDescent="0.3">
      <c r="A2081" t="str">
        <f>Segmenter!A2081</f>
        <v/>
      </c>
      <c r="B2081" t="str">
        <f>Segmenter!B2081</f>
        <v/>
      </c>
      <c r="C2081" t="str">
        <f t="shared" si="160"/>
        <v/>
      </c>
      <c r="D2081" t="str">
        <f t="shared" si="161"/>
        <v/>
      </c>
      <c r="E2081" t="str">
        <f t="shared" si="162"/>
        <v/>
      </c>
      <c r="F2081" t="str">
        <f>IF(D2081="","",INDEX(Knutepunkter!$B:$B,D2081+1))</f>
        <v/>
      </c>
      <c r="G2081" t="str">
        <f>IF(D2081="","",INDEX(Knutepunkter!$C:$C,D2081+1))</f>
        <v/>
      </c>
      <c r="H2081" t="str">
        <f>IF(D2081="","",INDEX(Knutepunkter!$D:$D,D2081+1))</f>
        <v/>
      </c>
      <c r="I2081" t="str">
        <f>IF(E2081="","",INDEX(Knutepunkter!$B:$B,E2081+1))</f>
        <v/>
      </c>
      <c r="J2081" t="str">
        <f>IF(E2081="","",INDEX(Knutepunkter!$C:$C,E2081+1))</f>
        <v/>
      </c>
      <c r="K2081" t="str">
        <f>IF(E2081="","",INDEX(Knutepunkter!$D:$D,E2081+1))</f>
        <v/>
      </c>
      <c r="L2081" t="str">
        <f t="shared" si="163"/>
        <v/>
      </c>
      <c r="M2081" t="str">
        <f t="shared" si="164"/>
        <v/>
      </c>
    </row>
    <row r="2082" spans="1:13" x14ac:dyDescent="0.3">
      <c r="A2082" t="str">
        <f>Segmenter!A2082</f>
        <v/>
      </c>
      <c r="B2082" t="str">
        <f>Segmenter!B2082</f>
        <v/>
      </c>
      <c r="C2082" t="str">
        <f t="shared" si="160"/>
        <v/>
      </c>
      <c r="D2082" t="str">
        <f t="shared" si="161"/>
        <v/>
      </c>
      <c r="E2082" t="str">
        <f t="shared" si="162"/>
        <v/>
      </c>
      <c r="F2082" t="str">
        <f>IF(D2082="","",INDEX(Knutepunkter!$B:$B,D2082+1))</f>
        <v/>
      </c>
      <c r="G2082" t="str">
        <f>IF(D2082="","",INDEX(Knutepunkter!$C:$C,D2082+1))</f>
        <v/>
      </c>
      <c r="H2082" t="str">
        <f>IF(D2082="","",INDEX(Knutepunkter!$D:$D,D2082+1))</f>
        <v/>
      </c>
      <c r="I2082" t="str">
        <f>IF(E2082="","",INDEX(Knutepunkter!$B:$B,E2082+1))</f>
        <v/>
      </c>
      <c r="J2082" t="str">
        <f>IF(E2082="","",INDEX(Knutepunkter!$C:$C,E2082+1))</f>
        <v/>
      </c>
      <c r="K2082" t="str">
        <f>IF(E2082="","",INDEX(Knutepunkter!$D:$D,E2082+1))</f>
        <v/>
      </c>
      <c r="L2082" t="str">
        <f t="shared" si="163"/>
        <v/>
      </c>
      <c r="M2082" t="str">
        <f t="shared" si="164"/>
        <v/>
      </c>
    </row>
    <row r="2083" spans="1:13" x14ac:dyDescent="0.3">
      <c r="A2083" t="str">
        <f>Segmenter!A2083</f>
        <v/>
      </c>
      <c r="B2083" t="str">
        <f>Segmenter!B2083</f>
        <v/>
      </c>
      <c r="C2083" t="str">
        <f t="shared" si="160"/>
        <v/>
      </c>
      <c r="D2083" t="str">
        <f t="shared" si="161"/>
        <v/>
      </c>
      <c r="E2083" t="str">
        <f t="shared" si="162"/>
        <v/>
      </c>
      <c r="F2083" t="str">
        <f>IF(D2083="","",INDEX(Knutepunkter!$B:$B,D2083+1))</f>
        <v/>
      </c>
      <c r="G2083" t="str">
        <f>IF(D2083="","",INDEX(Knutepunkter!$C:$C,D2083+1))</f>
        <v/>
      </c>
      <c r="H2083" t="str">
        <f>IF(D2083="","",INDEX(Knutepunkter!$D:$D,D2083+1))</f>
        <v/>
      </c>
      <c r="I2083" t="str">
        <f>IF(E2083="","",INDEX(Knutepunkter!$B:$B,E2083+1))</f>
        <v/>
      </c>
      <c r="J2083" t="str">
        <f>IF(E2083="","",INDEX(Knutepunkter!$C:$C,E2083+1))</f>
        <v/>
      </c>
      <c r="K2083" t="str">
        <f>IF(E2083="","",INDEX(Knutepunkter!$D:$D,E2083+1))</f>
        <v/>
      </c>
      <c r="L2083" t="str">
        <f t="shared" si="163"/>
        <v/>
      </c>
      <c r="M2083" t="str">
        <f t="shared" si="164"/>
        <v/>
      </c>
    </row>
    <row r="2084" spans="1:13" x14ac:dyDescent="0.3">
      <c r="A2084" t="str">
        <f>Segmenter!A2084</f>
        <v/>
      </c>
      <c r="B2084" t="str">
        <f>Segmenter!B2084</f>
        <v/>
      </c>
      <c r="C2084" t="str">
        <f t="shared" si="160"/>
        <v/>
      </c>
      <c r="D2084" t="str">
        <f t="shared" si="161"/>
        <v/>
      </c>
      <c r="E2084" t="str">
        <f t="shared" si="162"/>
        <v/>
      </c>
      <c r="F2084" t="str">
        <f>IF(D2084="","",INDEX(Knutepunkter!$B:$B,D2084+1))</f>
        <v/>
      </c>
      <c r="G2084" t="str">
        <f>IF(D2084="","",INDEX(Knutepunkter!$C:$C,D2084+1))</f>
        <v/>
      </c>
      <c r="H2084" t="str">
        <f>IF(D2084="","",INDEX(Knutepunkter!$D:$D,D2084+1))</f>
        <v/>
      </c>
      <c r="I2084" t="str">
        <f>IF(E2084="","",INDEX(Knutepunkter!$B:$B,E2084+1))</f>
        <v/>
      </c>
      <c r="J2084" t="str">
        <f>IF(E2084="","",INDEX(Knutepunkter!$C:$C,E2084+1))</f>
        <v/>
      </c>
      <c r="K2084" t="str">
        <f>IF(E2084="","",INDEX(Knutepunkter!$D:$D,E2084+1))</f>
        <v/>
      </c>
      <c r="L2084" t="str">
        <f t="shared" si="163"/>
        <v/>
      </c>
      <c r="M2084" t="str">
        <f t="shared" si="164"/>
        <v/>
      </c>
    </row>
    <row r="2085" spans="1:13" x14ac:dyDescent="0.3">
      <c r="A2085" t="str">
        <f>Segmenter!A2085</f>
        <v/>
      </c>
      <c r="B2085" t="str">
        <f>Segmenter!B2085</f>
        <v/>
      </c>
      <c r="C2085" t="str">
        <f t="shared" si="160"/>
        <v/>
      </c>
      <c r="D2085" t="str">
        <f t="shared" si="161"/>
        <v/>
      </c>
      <c r="E2085" t="str">
        <f t="shared" si="162"/>
        <v/>
      </c>
      <c r="F2085" t="str">
        <f>IF(D2085="","",INDEX(Knutepunkter!$B:$B,D2085+1))</f>
        <v/>
      </c>
      <c r="G2085" t="str">
        <f>IF(D2085="","",INDEX(Knutepunkter!$C:$C,D2085+1))</f>
        <v/>
      </c>
      <c r="H2085" t="str">
        <f>IF(D2085="","",INDEX(Knutepunkter!$D:$D,D2085+1))</f>
        <v/>
      </c>
      <c r="I2085" t="str">
        <f>IF(E2085="","",INDEX(Knutepunkter!$B:$B,E2085+1))</f>
        <v/>
      </c>
      <c r="J2085" t="str">
        <f>IF(E2085="","",INDEX(Knutepunkter!$C:$C,E2085+1))</f>
        <v/>
      </c>
      <c r="K2085" t="str">
        <f>IF(E2085="","",INDEX(Knutepunkter!$D:$D,E2085+1))</f>
        <v/>
      </c>
      <c r="L2085" t="str">
        <f t="shared" si="163"/>
        <v/>
      </c>
      <c r="M2085" t="str">
        <f t="shared" si="164"/>
        <v/>
      </c>
    </row>
    <row r="2086" spans="1:13" x14ac:dyDescent="0.3">
      <c r="A2086" t="str">
        <f>Segmenter!A2086</f>
        <v/>
      </c>
      <c r="B2086" t="str">
        <f>Segmenter!B2086</f>
        <v/>
      </c>
      <c r="C2086" t="str">
        <f t="shared" si="160"/>
        <v/>
      </c>
      <c r="D2086" t="str">
        <f t="shared" si="161"/>
        <v/>
      </c>
      <c r="E2086" t="str">
        <f t="shared" si="162"/>
        <v/>
      </c>
      <c r="F2086" t="str">
        <f>IF(D2086="","",INDEX(Knutepunkter!$B:$B,D2086+1))</f>
        <v/>
      </c>
      <c r="G2086" t="str">
        <f>IF(D2086="","",INDEX(Knutepunkter!$C:$C,D2086+1))</f>
        <v/>
      </c>
      <c r="H2086" t="str">
        <f>IF(D2086="","",INDEX(Knutepunkter!$D:$D,D2086+1))</f>
        <v/>
      </c>
      <c r="I2086" t="str">
        <f>IF(E2086="","",INDEX(Knutepunkter!$B:$B,E2086+1))</f>
        <v/>
      </c>
      <c r="J2086" t="str">
        <f>IF(E2086="","",INDEX(Knutepunkter!$C:$C,E2086+1))</f>
        <v/>
      </c>
      <c r="K2086" t="str">
        <f>IF(E2086="","",INDEX(Knutepunkter!$D:$D,E2086+1))</f>
        <v/>
      </c>
      <c r="L2086" t="str">
        <f t="shared" si="163"/>
        <v/>
      </c>
      <c r="M2086" t="str">
        <f t="shared" si="164"/>
        <v/>
      </c>
    </row>
    <row r="2087" spans="1:13" x14ac:dyDescent="0.3">
      <c r="A2087" t="str">
        <f>Segmenter!A2087</f>
        <v/>
      </c>
      <c r="B2087" t="str">
        <f>Segmenter!B2087</f>
        <v/>
      </c>
      <c r="C2087" t="str">
        <f t="shared" si="160"/>
        <v/>
      </c>
      <c r="D2087" t="str">
        <f t="shared" si="161"/>
        <v/>
      </c>
      <c r="E2087" t="str">
        <f t="shared" si="162"/>
        <v/>
      </c>
      <c r="F2087" t="str">
        <f>IF(D2087="","",INDEX(Knutepunkter!$B:$B,D2087+1))</f>
        <v/>
      </c>
      <c r="G2087" t="str">
        <f>IF(D2087="","",INDEX(Knutepunkter!$C:$C,D2087+1))</f>
        <v/>
      </c>
      <c r="H2087" t="str">
        <f>IF(D2087="","",INDEX(Knutepunkter!$D:$D,D2087+1))</f>
        <v/>
      </c>
      <c r="I2087" t="str">
        <f>IF(E2087="","",INDEX(Knutepunkter!$B:$B,E2087+1))</f>
        <v/>
      </c>
      <c r="J2087" t="str">
        <f>IF(E2087="","",INDEX(Knutepunkter!$C:$C,E2087+1))</f>
        <v/>
      </c>
      <c r="K2087" t="str">
        <f>IF(E2087="","",INDEX(Knutepunkter!$D:$D,E2087+1))</f>
        <v/>
      </c>
      <c r="L2087" t="str">
        <f t="shared" si="163"/>
        <v/>
      </c>
      <c r="M2087" t="str">
        <f t="shared" si="164"/>
        <v/>
      </c>
    </row>
    <row r="2088" spans="1:13" x14ac:dyDescent="0.3">
      <c r="A2088" t="str">
        <f>Segmenter!A2088</f>
        <v/>
      </c>
      <c r="B2088" t="str">
        <f>Segmenter!B2088</f>
        <v/>
      </c>
      <c r="C2088" t="str">
        <f t="shared" si="160"/>
        <v/>
      </c>
      <c r="D2088" t="str">
        <f t="shared" si="161"/>
        <v/>
      </c>
      <c r="E2088" t="str">
        <f t="shared" si="162"/>
        <v/>
      </c>
      <c r="F2088" t="str">
        <f>IF(D2088="","",INDEX(Knutepunkter!$B:$B,D2088+1))</f>
        <v/>
      </c>
      <c r="G2088" t="str">
        <f>IF(D2088="","",INDEX(Knutepunkter!$C:$C,D2088+1))</f>
        <v/>
      </c>
      <c r="H2088" t="str">
        <f>IF(D2088="","",INDEX(Knutepunkter!$D:$D,D2088+1))</f>
        <v/>
      </c>
      <c r="I2088" t="str">
        <f>IF(E2088="","",INDEX(Knutepunkter!$B:$B,E2088+1))</f>
        <v/>
      </c>
      <c r="J2088" t="str">
        <f>IF(E2088="","",INDEX(Knutepunkter!$C:$C,E2088+1))</f>
        <v/>
      </c>
      <c r="K2088" t="str">
        <f>IF(E2088="","",INDEX(Knutepunkter!$D:$D,E2088+1))</f>
        <v/>
      </c>
      <c r="L2088" t="str">
        <f t="shared" si="163"/>
        <v/>
      </c>
      <c r="M2088" t="str">
        <f t="shared" si="164"/>
        <v/>
      </c>
    </row>
    <row r="2089" spans="1:13" x14ac:dyDescent="0.3">
      <c r="A2089" t="str">
        <f>Segmenter!A2089</f>
        <v/>
      </c>
      <c r="B2089" t="str">
        <f>Segmenter!B2089</f>
        <v/>
      </c>
      <c r="C2089" t="str">
        <f t="shared" si="160"/>
        <v/>
      </c>
      <c r="D2089" t="str">
        <f t="shared" si="161"/>
        <v/>
      </c>
      <c r="E2089" t="str">
        <f t="shared" si="162"/>
        <v/>
      </c>
      <c r="F2089" t="str">
        <f>IF(D2089="","",INDEX(Knutepunkter!$B:$B,D2089+1))</f>
        <v/>
      </c>
      <c r="G2089" t="str">
        <f>IF(D2089="","",INDEX(Knutepunkter!$C:$C,D2089+1))</f>
        <v/>
      </c>
      <c r="H2089" t="str">
        <f>IF(D2089="","",INDEX(Knutepunkter!$D:$D,D2089+1))</f>
        <v/>
      </c>
      <c r="I2089" t="str">
        <f>IF(E2089="","",INDEX(Knutepunkter!$B:$B,E2089+1))</f>
        <v/>
      </c>
      <c r="J2089" t="str">
        <f>IF(E2089="","",INDEX(Knutepunkter!$C:$C,E2089+1))</f>
        <v/>
      </c>
      <c r="K2089" t="str">
        <f>IF(E2089="","",INDEX(Knutepunkter!$D:$D,E2089+1))</f>
        <v/>
      </c>
      <c r="L2089" t="str">
        <f t="shared" si="163"/>
        <v/>
      </c>
      <c r="M2089" t="str">
        <f t="shared" si="164"/>
        <v/>
      </c>
    </row>
    <row r="2090" spans="1:13" x14ac:dyDescent="0.3">
      <c r="A2090" t="str">
        <f>Segmenter!A2090</f>
        <v/>
      </c>
      <c r="B2090" t="str">
        <f>Segmenter!B2090</f>
        <v/>
      </c>
      <c r="C2090" t="str">
        <f t="shared" si="160"/>
        <v/>
      </c>
      <c r="D2090" t="str">
        <f t="shared" si="161"/>
        <v/>
      </c>
      <c r="E2090" t="str">
        <f t="shared" si="162"/>
        <v/>
      </c>
      <c r="F2090" t="str">
        <f>IF(D2090="","",INDEX(Knutepunkter!$B:$B,D2090+1))</f>
        <v/>
      </c>
      <c r="G2090" t="str">
        <f>IF(D2090="","",INDEX(Knutepunkter!$C:$C,D2090+1))</f>
        <v/>
      </c>
      <c r="H2090" t="str">
        <f>IF(D2090="","",INDEX(Knutepunkter!$D:$D,D2090+1))</f>
        <v/>
      </c>
      <c r="I2090" t="str">
        <f>IF(E2090="","",INDEX(Knutepunkter!$B:$B,E2090+1))</f>
        <v/>
      </c>
      <c r="J2090" t="str">
        <f>IF(E2090="","",INDEX(Knutepunkter!$C:$C,E2090+1))</f>
        <v/>
      </c>
      <c r="K2090" t="str">
        <f>IF(E2090="","",INDEX(Knutepunkter!$D:$D,E2090+1))</f>
        <v/>
      </c>
      <c r="L2090" t="str">
        <f t="shared" si="163"/>
        <v/>
      </c>
      <c r="M2090" t="str">
        <f t="shared" si="164"/>
        <v/>
      </c>
    </row>
    <row r="2091" spans="1:13" x14ac:dyDescent="0.3">
      <c r="A2091" t="str">
        <f>Segmenter!A2091</f>
        <v/>
      </c>
      <c r="B2091" t="str">
        <f>Segmenter!B2091</f>
        <v/>
      </c>
      <c r="C2091" t="str">
        <f t="shared" si="160"/>
        <v/>
      </c>
      <c r="D2091" t="str">
        <f t="shared" si="161"/>
        <v/>
      </c>
      <c r="E2091" t="str">
        <f t="shared" si="162"/>
        <v/>
      </c>
      <c r="F2091" t="str">
        <f>IF(D2091="","",INDEX(Knutepunkter!$B:$B,D2091+1))</f>
        <v/>
      </c>
      <c r="G2091" t="str">
        <f>IF(D2091="","",INDEX(Knutepunkter!$C:$C,D2091+1))</f>
        <v/>
      </c>
      <c r="H2091" t="str">
        <f>IF(D2091="","",INDEX(Knutepunkter!$D:$D,D2091+1))</f>
        <v/>
      </c>
      <c r="I2091" t="str">
        <f>IF(E2091="","",INDEX(Knutepunkter!$B:$B,E2091+1))</f>
        <v/>
      </c>
      <c r="J2091" t="str">
        <f>IF(E2091="","",INDEX(Knutepunkter!$C:$C,E2091+1))</f>
        <v/>
      </c>
      <c r="K2091" t="str">
        <f>IF(E2091="","",INDEX(Knutepunkter!$D:$D,E2091+1))</f>
        <v/>
      </c>
      <c r="L2091" t="str">
        <f t="shared" si="163"/>
        <v/>
      </c>
      <c r="M2091" t="str">
        <f t="shared" si="164"/>
        <v/>
      </c>
    </row>
    <row r="2092" spans="1:13" x14ac:dyDescent="0.3">
      <c r="A2092" t="str">
        <f>Segmenter!A2092</f>
        <v/>
      </c>
      <c r="B2092" t="str">
        <f>Segmenter!B2092</f>
        <v/>
      </c>
      <c r="C2092" t="str">
        <f t="shared" si="160"/>
        <v/>
      </c>
      <c r="D2092" t="str">
        <f t="shared" si="161"/>
        <v/>
      </c>
      <c r="E2092" t="str">
        <f t="shared" si="162"/>
        <v/>
      </c>
      <c r="F2092" t="str">
        <f>IF(D2092="","",INDEX(Knutepunkter!$B:$B,D2092+1))</f>
        <v/>
      </c>
      <c r="G2092" t="str">
        <f>IF(D2092="","",INDEX(Knutepunkter!$C:$C,D2092+1))</f>
        <v/>
      </c>
      <c r="H2092" t="str">
        <f>IF(D2092="","",INDEX(Knutepunkter!$D:$D,D2092+1))</f>
        <v/>
      </c>
      <c r="I2092" t="str">
        <f>IF(E2092="","",INDEX(Knutepunkter!$B:$B,E2092+1))</f>
        <v/>
      </c>
      <c r="J2092" t="str">
        <f>IF(E2092="","",INDEX(Knutepunkter!$C:$C,E2092+1))</f>
        <v/>
      </c>
      <c r="K2092" t="str">
        <f>IF(E2092="","",INDEX(Knutepunkter!$D:$D,E2092+1))</f>
        <v/>
      </c>
      <c r="L2092" t="str">
        <f t="shared" si="163"/>
        <v/>
      </c>
      <c r="M2092" t="str">
        <f t="shared" si="164"/>
        <v/>
      </c>
    </row>
    <row r="2093" spans="1:13" x14ac:dyDescent="0.3">
      <c r="A2093" t="str">
        <f>Segmenter!A2093</f>
        <v/>
      </c>
      <c r="B2093" t="str">
        <f>Segmenter!B2093</f>
        <v/>
      </c>
      <c r="C2093" t="str">
        <f t="shared" si="160"/>
        <v/>
      </c>
      <c r="D2093" t="str">
        <f t="shared" si="161"/>
        <v/>
      </c>
      <c r="E2093" t="str">
        <f t="shared" si="162"/>
        <v/>
      </c>
      <c r="F2093" t="str">
        <f>IF(D2093="","",INDEX(Knutepunkter!$B:$B,D2093+1))</f>
        <v/>
      </c>
      <c r="G2093" t="str">
        <f>IF(D2093="","",INDEX(Knutepunkter!$C:$C,D2093+1))</f>
        <v/>
      </c>
      <c r="H2093" t="str">
        <f>IF(D2093="","",INDEX(Knutepunkter!$D:$D,D2093+1))</f>
        <v/>
      </c>
      <c r="I2093" t="str">
        <f>IF(E2093="","",INDEX(Knutepunkter!$B:$B,E2093+1))</f>
        <v/>
      </c>
      <c r="J2093" t="str">
        <f>IF(E2093="","",INDEX(Knutepunkter!$C:$C,E2093+1))</f>
        <v/>
      </c>
      <c r="K2093" t="str">
        <f>IF(E2093="","",INDEX(Knutepunkter!$D:$D,E2093+1))</f>
        <v/>
      </c>
      <c r="L2093" t="str">
        <f t="shared" si="163"/>
        <v/>
      </c>
      <c r="M2093" t="str">
        <f t="shared" si="164"/>
        <v/>
      </c>
    </row>
    <row r="2094" spans="1:13" x14ac:dyDescent="0.3">
      <c r="A2094" t="str">
        <f>Segmenter!A2094</f>
        <v/>
      </c>
      <c r="B2094" t="str">
        <f>Segmenter!B2094</f>
        <v/>
      </c>
      <c r="C2094" t="str">
        <f t="shared" si="160"/>
        <v/>
      </c>
      <c r="D2094" t="str">
        <f t="shared" si="161"/>
        <v/>
      </c>
      <c r="E2094" t="str">
        <f t="shared" si="162"/>
        <v/>
      </c>
      <c r="F2094" t="str">
        <f>IF(D2094="","",INDEX(Knutepunkter!$B:$B,D2094+1))</f>
        <v/>
      </c>
      <c r="G2094" t="str">
        <f>IF(D2094="","",INDEX(Knutepunkter!$C:$C,D2094+1))</f>
        <v/>
      </c>
      <c r="H2094" t="str">
        <f>IF(D2094="","",INDEX(Knutepunkter!$D:$D,D2094+1))</f>
        <v/>
      </c>
      <c r="I2094" t="str">
        <f>IF(E2094="","",INDEX(Knutepunkter!$B:$B,E2094+1))</f>
        <v/>
      </c>
      <c r="J2094" t="str">
        <f>IF(E2094="","",INDEX(Knutepunkter!$C:$C,E2094+1))</f>
        <v/>
      </c>
      <c r="K2094" t="str">
        <f>IF(E2094="","",INDEX(Knutepunkter!$D:$D,E2094+1))</f>
        <v/>
      </c>
      <c r="L2094" t="str">
        <f t="shared" si="163"/>
        <v/>
      </c>
      <c r="M2094" t="str">
        <f t="shared" si="164"/>
        <v/>
      </c>
    </row>
    <row r="2095" spans="1:13" x14ac:dyDescent="0.3">
      <c r="A2095" t="str">
        <f>Segmenter!A2095</f>
        <v/>
      </c>
      <c r="B2095" t="str">
        <f>Segmenter!B2095</f>
        <v/>
      </c>
      <c r="C2095" t="str">
        <f t="shared" si="160"/>
        <v/>
      </c>
      <c r="D2095" t="str">
        <f t="shared" si="161"/>
        <v/>
      </c>
      <c r="E2095" t="str">
        <f t="shared" si="162"/>
        <v/>
      </c>
      <c r="F2095" t="str">
        <f>IF(D2095="","",INDEX(Knutepunkter!$B:$B,D2095+1))</f>
        <v/>
      </c>
      <c r="G2095" t="str">
        <f>IF(D2095="","",INDEX(Knutepunkter!$C:$C,D2095+1))</f>
        <v/>
      </c>
      <c r="H2095" t="str">
        <f>IF(D2095="","",INDEX(Knutepunkter!$D:$D,D2095+1))</f>
        <v/>
      </c>
      <c r="I2095" t="str">
        <f>IF(E2095="","",INDEX(Knutepunkter!$B:$B,E2095+1))</f>
        <v/>
      </c>
      <c r="J2095" t="str">
        <f>IF(E2095="","",INDEX(Knutepunkter!$C:$C,E2095+1))</f>
        <v/>
      </c>
      <c r="K2095" t="str">
        <f>IF(E2095="","",INDEX(Knutepunkter!$D:$D,E2095+1))</f>
        <v/>
      </c>
      <c r="L2095" t="str">
        <f t="shared" si="163"/>
        <v/>
      </c>
      <c r="M2095" t="str">
        <f t="shared" si="164"/>
        <v/>
      </c>
    </row>
    <row r="2096" spans="1:13" x14ac:dyDescent="0.3">
      <c r="A2096" t="str">
        <f>Segmenter!A2096</f>
        <v/>
      </c>
      <c r="B2096" t="str">
        <f>Segmenter!B2096</f>
        <v/>
      </c>
      <c r="C2096" t="str">
        <f t="shared" si="160"/>
        <v/>
      </c>
      <c r="D2096" t="str">
        <f t="shared" si="161"/>
        <v/>
      </c>
      <c r="E2096" t="str">
        <f t="shared" si="162"/>
        <v/>
      </c>
      <c r="F2096" t="str">
        <f>IF(D2096="","",INDEX(Knutepunkter!$B:$B,D2096+1))</f>
        <v/>
      </c>
      <c r="G2096" t="str">
        <f>IF(D2096="","",INDEX(Knutepunkter!$C:$C,D2096+1))</f>
        <v/>
      </c>
      <c r="H2096" t="str">
        <f>IF(D2096="","",INDEX(Knutepunkter!$D:$D,D2096+1))</f>
        <v/>
      </c>
      <c r="I2096" t="str">
        <f>IF(E2096="","",INDEX(Knutepunkter!$B:$B,E2096+1))</f>
        <v/>
      </c>
      <c r="J2096" t="str">
        <f>IF(E2096="","",INDEX(Knutepunkter!$C:$C,E2096+1))</f>
        <v/>
      </c>
      <c r="K2096" t="str">
        <f>IF(E2096="","",INDEX(Knutepunkter!$D:$D,E2096+1))</f>
        <v/>
      </c>
      <c r="L2096" t="str">
        <f t="shared" si="163"/>
        <v/>
      </c>
      <c r="M2096" t="str">
        <f t="shared" si="164"/>
        <v/>
      </c>
    </row>
    <row r="2097" spans="1:13" x14ac:dyDescent="0.3">
      <c r="A2097" t="str">
        <f>Segmenter!A2097</f>
        <v/>
      </c>
      <c r="B2097" t="str">
        <f>Segmenter!B2097</f>
        <v/>
      </c>
      <c r="C2097" t="str">
        <f t="shared" si="160"/>
        <v/>
      </c>
      <c r="D2097" t="str">
        <f t="shared" si="161"/>
        <v/>
      </c>
      <c r="E2097" t="str">
        <f t="shared" si="162"/>
        <v/>
      </c>
      <c r="F2097" t="str">
        <f>IF(D2097="","",INDEX(Knutepunkter!$B:$B,D2097+1))</f>
        <v/>
      </c>
      <c r="G2097" t="str">
        <f>IF(D2097="","",INDEX(Knutepunkter!$C:$C,D2097+1))</f>
        <v/>
      </c>
      <c r="H2097" t="str">
        <f>IF(D2097="","",INDEX(Knutepunkter!$D:$D,D2097+1))</f>
        <v/>
      </c>
      <c r="I2097" t="str">
        <f>IF(E2097="","",INDEX(Knutepunkter!$B:$B,E2097+1))</f>
        <v/>
      </c>
      <c r="J2097" t="str">
        <f>IF(E2097="","",INDEX(Knutepunkter!$C:$C,E2097+1))</f>
        <v/>
      </c>
      <c r="K2097" t="str">
        <f>IF(E2097="","",INDEX(Knutepunkter!$D:$D,E2097+1))</f>
        <v/>
      </c>
      <c r="L2097" t="str">
        <f t="shared" si="163"/>
        <v/>
      </c>
      <c r="M2097" t="str">
        <f t="shared" si="164"/>
        <v/>
      </c>
    </row>
    <row r="2098" spans="1:13" x14ac:dyDescent="0.3">
      <c r="A2098" t="str">
        <f>Segmenter!A2098</f>
        <v/>
      </c>
      <c r="B2098" t="str">
        <f>Segmenter!B2098</f>
        <v/>
      </c>
      <c r="C2098" t="str">
        <f t="shared" si="160"/>
        <v/>
      </c>
      <c r="D2098" t="str">
        <f t="shared" si="161"/>
        <v/>
      </c>
      <c r="E2098" t="str">
        <f t="shared" si="162"/>
        <v/>
      </c>
      <c r="F2098" t="str">
        <f>IF(D2098="","",INDEX(Knutepunkter!$B:$B,D2098+1))</f>
        <v/>
      </c>
      <c r="G2098" t="str">
        <f>IF(D2098="","",INDEX(Knutepunkter!$C:$C,D2098+1))</f>
        <v/>
      </c>
      <c r="H2098" t="str">
        <f>IF(D2098="","",INDEX(Knutepunkter!$D:$D,D2098+1))</f>
        <v/>
      </c>
      <c r="I2098" t="str">
        <f>IF(E2098="","",INDEX(Knutepunkter!$B:$B,E2098+1))</f>
        <v/>
      </c>
      <c r="J2098" t="str">
        <f>IF(E2098="","",INDEX(Knutepunkter!$C:$C,E2098+1))</f>
        <v/>
      </c>
      <c r="K2098" t="str">
        <f>IF(E2098="","",INDEX(Knutepunkter!$D:$D,E2098+1))</f>
        <v/>
      </c>
      <c r="L2098" t="str">
        <f t="shared" si="163"/>
        <v/>
      </c>
      <c r="M2098" t="str">
        <f t="shared" si="164"/>
        <v/>
      </c>
    </row>
    <row r="2099" spans="1:13" x14ac:dyDescent="0.3">
      <c r="A2099" t="str">
        <f>Segmenter!A2099</f>
        <v/>
      </c>
      <c r="B2099" t="str">
        <f>Segmenter!B2099</f>
        <v/>
      </c>
      <c r="C2099" t="str">
        <f t="shared" si="160"/>
        <v/>
      </c>
      <c r="D2099" t="str">
        <f t="shared" si="161"/>
        <v/>
      </c>
      <c r="E2099" t="str">
        <f t="shared" si="162"/>
        <v/>
      </c>
      <c r="F2099" t="str">
        <f>IF(D2099="","",INDEX(Knutepunkter!$B:$B,D2099+1))</f>
        <v/>
      </c>
      <c r="G2099" t="str">
        <f>IF(D2099="","",INDEX(Knutepunkter!$C:$C,D2099+1))</f>
        <v/>
      </c>
      <c r="H2099" t="str">
        <f>IF(D2099="","",INDEX(Knutepunkter!$D:$D,D2099+1))</f>
        <v/>
      </c>
      <c r="I2099" t="str">
        <f>IF(E2099="","",INDEX(Knutepunkter!$B:$B,E2099+1))</f>
        <v/>
      </c>
      <c r="J2099" t="str">
        <f>IF(E2099="","",INDEX(Knutepunkter!$C:$C,E2099+1))</f>
        <v/>
      </c>
      <c r="K2099" t="str">
        <f>IF(E2099="","",INDEX(Knutepunkter!$D:$D,E2099+1))</f>
        <v/>
      </c>
      <c r="L2099" t="str">
        <f t="shared" si="163"/>
        <v/>
      </c>
      <c r="M2099" t="str">
        <f t="shared" si="164"/>
        <v/>
      </c>
    </row>
    <row r="2100" spans="1:13" x14ac:dyDescent="0.3">
      <c r="A2100" t="str">
        <f>Segmenter!A2100</f>
        <v/>
      </c>
      <c r="B2100" t="str">
        <f>Segmenter!B2100</f>
        <v/>
      </c>
      <c r="C2100" t="str">
        <f t="shared" si="160"/>
        <v/>
      </c>
      <c r="D2100" t="str">
        <f t="shared" si="161"/>
        <v/>
      </c>
      <c r="E2100" t="str">
        <f t="shared" si="162"/>
        <v/>
      </c>
      <c r="F2100" t="str">
        <f>IF(D2100="","",INDEX(Knutepunkter!$B:$B,D2100+1))</f>
        <v/>
      </c>
      <c r="G2100" t="str">
        <f>IF(D2100="","",INDEX(Knutepunkter!$C:$C,D2100+1))</f>
        <v/>
      </c>
      <c r="H2100" t="str">
        <f>IF(D2100="","",INDEX(Knutepunkter!$D:$D,D2100+1))</f>
        <v/>
      </c>
      <c r="I2100" t="str">
        <f>IF(E2100="","",INDEX(Knutepunkter!$B:$B,E2100+1))</f>
        <v/>
      </c>
      <c r="J2100" t="str">
        <f>IF(E2100="","",INDEX(Knutepunkter!$C:$C,E2100+1))</f>
        <v/>
      </c>
      <c r="K2100" t="str">
        <f>IF(E2100="","",INDEX(Knutepunkter!$D:$D,E2100+1))</f>
        <v/>
      </c>
      <c r="L2100" t="str">
        <f t="shared" si="163"/>
        <v/>
      </c>
      <c r="M2100" t="str">
        <f t="shared" si="164"/>
        <v/>
      </c>
    </row>
    <row r="2101" spans="1:13" x14ac:dyDescent="0.3">
      <c r="A2101" t="str">
        <f>Segmenter!A2101</f>
        <v/>
      </c>
      <c r="B2101" t="str">
        <f>Segmenter!B2101</f>
        <v/>
      </c>
      <c r="C2101" t="str">
        <f t="shared" si="160"/>
        <v/>
      </c>
      <c r="D2101" t="str">
        <f t="shared" si="161"/>
        <v/>
      </c>
      <c r="E2101" t="str">
        <f t="shared" si="162"/>
        <v/>
      </c>
      <c r="F2101" t="str">
        <f>IF(D2101="","",INDEX(Knutepunkter!$B:$B,D2101+1))</f>
        <v/>
      </c>
      <c r="G2101" t="str">
        <f>IF(D2101="","",INDEX(Knutepunkter!$C:$C,D2101+1))</f>
        <v/>
      </c>
      <c r="H2101" t="str">
        <f>IF(D2101="","",INDEX(Knutepunkter!$D:$D,D2101+1))</f>
        <v/>
      </c>
      <c r="I2101" t="str">
        <f>IF(E2101="","",INDEX(Knutepunkter!$B:$B,E2101+1))</f>
        <v/>
      </c>
      <c r="J2101" t="str">
        <f>IF(E2101="","",INDEX(Knutepunkter!$C:$C,E2101+1))</f>
        <v/>
      </c>
      <c r="K2101" t="str">
        <f>IF(E2101="","",INDEX(Knutepunkter!$D:$D,E2101+1))</f>
        <v/>
      </c>
      <c r="L2101" t="str">
        <f t="shared" si="163"/>
        <v/>
      </c>
      <c r="M2101" t="str">
        <f t="shared" si="164"/>
        <v/>
      </c>
    </row>
    <row r="2102" spans="1:13" x14ac:dyDescent="0.3">
      <c r="A2102" t="str">
        <f>Segmenter!A2102</f>
        <v/>
      </c>
      <c r="B2102" t="str">
        <f>Segmenter!B2102</f>
        <v/>
      </c>
      <c r="C2102" t="str">
        <f t="shared" si="160"/>
        <v/>
      </c>
      <c r="D2102" t="str">
        <f t="shared" si="161"/>
        <v/>
      </c>
      <c r="E2102" t="str">
        <f t="shared" si="162"/>
        <v/>
      </c>
      <c r="F2102" t="str">
        <f>IF(D2102="","",INDEX(Knutepunkter!$B:$B,D2102+1))</f>
        <v/>
      </c>
      <c r="G2102" t="str">
        <f>IF(D2102="","",INDEX(Knutepunkter!$C:$C,D2102+1))</f>
        <v/>
      </c>
      <c r="H2102" t="str">
        <f>IF(D2102="","",INDEX(Knutepunkter!$D:$D,D2102+1))</f>
        <v/>
      </c>
      <c r="I2102" t="str">
        <f>IF(E2102="","",INDEX(Knutepunkter!$B:$B,E2102+1))</f>
        <v/>
      </c>
      <c r="J2102" t="str">
        <f>IF(E2102="","",INDEX(Knutepunkter!$C:$C,E2102+1))</f>
        <v/>
      </c>
      <c r="K2102" t="str">
        <f>IF(E2102="","",INDEX(Knutepunkter!$D:$D,E2102+1))</f>
        <v/>
      </c>
      <c r="L2102" t="str">
        <f t="shared" si="163"/>
        <v/>
      </c>
      <c r="M2102" t="str">
        <f t="shared" si="164"/>
        <v/>
      </c>
    </row>
    <row r="2103" spans="1:13" x14ac:dyDescent="0.3">
      <c r="A2103" t="str">
        <f>Segmenter!A2103</f>
        <v/>
      </c>
      <c r="B2103" t="str">
        <f>Segmenter!B2103</f>
        <v/>
      </c>
      <c r="C2103" t="str">
        <f t="shared" si="160"/>
        <v/>
      </c>
      <c r="D2103" t="str">
        <f t="shared" si="161"/>
        <v/>
      </c>
      <c r="E2103" t="str">
        <f t="shared" si="162"/>
        <v/>
      </c>
      <c r="F2103" t="str">
        <f>IF(D2103="","",INDEX(Knutepunkter!$B:$B,D2103+1))</f>
        <v/>
      </c>
      <c r="G2103" t="str">
        <f>IF(D2103="","",INDEX(Knutepunkter!$C:$C,D2103+1))</f>
        <v/>
      </c>
      <c r="H2103" t="str">
        <f>IF(D2103="","",INDEX(Knutepunkter!$D:$D,D2103+1))</f>
        <v/>
      </c>
      <c r="I2103" t="str">
        <f>IF(E2103="","",INDEX(Knutepunkter!$B:$B,E2103+1))</f>
        <v/>
      </c>
      <c r="J2103" t="str">
        <f>IF(E2103="","",INDEX(Knutepunkter!$C:$C,E2103+1))</f>
        <v/>
      </c>
      <c r="K2103" t="str">
        <f>IF(E2103="","",INDEX(Knutepunkter!$D:$D,E2103+1))</f>
        <v/>
      </c>
      <c r="L2103" t="str">
        <f t="shared" si="163"/>
        <v/>
      </c>
      <c r="M2103" t="str">
        <f t="shared" si="164"/>
        <v/>
      </c>
    </row>
    <row r="2104" spans="1:13" x14ac:dyDescent="0.3">
      <c r="A2104" t="str">
        <f>Segmenter!A2104</f>
        <v/>
      </c>
      <c r="B2104" t="str">
        <f>Segmenter!B2104</f>
        <v/>
      </c>
      <c r="C2104" t="str">
        <f t="shared" si="160"/>
        <v/>
      </c>
      <c r="D2104" t="str">
        <f t="shared" si="161"/>
        <v/>
      </c>
      <c r="E2104" t="str">
        <f t="shared" si="162"/>
        <v/>
      </c>
      <c r="F2104" t="str">
        <f>IF(D2104="","",INDEX(Knutepunkter!$B:$B,D2104+1))</f>
        <v/>
      </c>
      <c r="G2104" t="str">
        <f>IF(D2104="","",INDEX(Knutepunkter!$C:$C,D2104+1))</f>
        <v/>
      </c>
      <c r="H2104" t="str">
        <f>IF(D2104="","",INDEX(Knutepunkter!$D:$D,D2104+1))</f>
        <v/>
      </c>
      <c r="I2104" t="str">
        <f>IF(E2104="","",INDEX(Knutepunkter!$B:$B,E2104+1))</f>
        <v/>
      </c>
      <c r="J2104" t="str">
        <f>IF(E2104="","",INDEX(Knutepunkter!$C:$C,E2104+1))</f>
        <v/>
      </c>
      <c r="K2104" t="str">
        <f>IF(E2104="","",INDEX(Knutepunkter!$D:$D,E2104+1))</f>
        <v/>
      </c>
      <c r="L2104" t="str">
        <f t="shared" si="163"/>
        <v/>
      </c>
      <c r="M2104" t="str">
        <f t="shared" si="164"/>
        <v/>
      </c>
    </row>
    <row r="2105" spans="1:13" x14ac:dyDescent="0.3">
      <c r="A2105" t="str">
        <f>Segmenter!A2105</f>
        <v/>
      </c>
      <c r="B2105" t="str">
        <f>Segmenter!B2105</f>
        <v/>
      </c>
      <c r="C2105" t="str">
        <f t="shared" si="160"/>
        <v/>
      </c>
      <c r="D2105" t="str">
        <f t="shared" si="161"/>
        <v/>
      </c>
      <c r="E2105" t="str">
        <f t="shared" si="162"/>
        <v/>
      </c>
      <c r="F2105" t="str">
        <f>IF(D2105="","",INDEX(Knutepunkter!$B:$B,D2105+1))</f>
        <v/>
      </c>
      <c r="G2105" t="str">
        <f>IF(D2105="","",INDEX(Knutepunkter!$C:$C,D2105+1))</f>
        <v/>
      </c>
      <c r="H2105" t="str">
        <f>IF(D2105="","",INDEX(Knutepunkter!$D:$D,D2105+1))</f>
        <v/>
      </c>
      <c r="I2105" t="str">
        <f>IF(E2105="","",INDEX(Knutepunkter!$B:$B,E2105+1))</f>
        <v/>
      </c>
      <c r="J2105" t="str">
        <f>IF(E2105="","",INDEX(Knutepunkter!$C:$C,E2105+1))</f>
        <v/>
      </c>
      <c r="K2105" t="str">
        <f>IF(E2105="","",INDEX(Knutepunkter!$D:$D,E2105+1))</f>
        <v/>
      </c>
      <c r="L2105" t="str">
        <f t="shared" si="163"/>
        <v/>
      </c>
      <c r="M2105" t="str">
        <f t="shared" si="164"/>
        <v/>
      </c>
    </row>
    <row r="2106" spans="1:13" x14ac:dyDescent="0.3">
      <c r="A2106" t="str">
        <f>Segmenter!A2106</f>
        <v/>
      </c>
      <c r="B2106" t="str">
        <f>Segmenter!B2106</f>
        <v/>
      </c>
      <c r="C2106" t="str">
        <f t="shared" si="160"/>
        <v/>
      </c>
      <c r="D2106" t="str">
        <f t="shared" si="161"/>
        <v/>
      </c>
      <c r="E2106" t="str">
        <f t="shared" si="162"/>
        <v/>
      </c>
      <c r="F2106" t="str">
        <f>IF(D2106="","",INDEX(Knutepunkter!$B:$B,D2106+1))</f>
        <v/>
      </c>
      <c r="G2106" t="str">
        <f>IF(D2106="","",INDEX(Knutepunkter!$C:$C,D2106+1))</f>
        <v/>
      </c>
      <c r="H2106" t="str">
        <f>IF(D2106="","",INDEX(Knutepunkter!$D:$D,D2106+1))</f>
        <v/>
      </c>
      <c r="I2106" t="str">
        <f>IF(E2106="","",INDEX(Knutepunkter!$B:$B,E2106+1))</f>
        <v/>
      </c>
      <c r="J2106" t="str">
        <f>IF(E2106="","",INDEX(Knutepunkter!$C:$C,E2106+1))</f>
        <v/>
      </c>
      <c r="K2106" t="str">
        <f>IF(E2106="","",INDEX(Knutepunkter!$D:$D,E2106+1))</f>
        <v/>
      </c>
      <c r="L2106" t="str">
        <f t="shared" si="163"/>
        <v/>
      </c>
      <c r="M2106" t="str">
        <f t="shared" si="164"/>
        <v/>
      </c>
    </row>
    <row r="2107" spans="1:13" x14ac:dyDescent="0.3">
      <c r="A2107" t="str">
        <f>Segmenter!A2107</f>
        <v/>
      </c>
      <c r="B2107" t="str">
        <f>Segmenter!B2107</f>
        <v/>
      </c>
      <c r="C2107" t="str">
        <f t="shared" si="160"/>
        <v/>
      </c>
      <c r="D2107" t="str">
        <f t="shared" si="161"/>
        <v/>
      </c>
      <c r="E2107" t="str">
        <f t="shared" si="162"/>
        <v/>
      </c>
      <c r="F2107" t="str">
        <f>IF(D2107="","",INDEX(Knutepunkter!$B:$B,D2107+1))</f>
        <v/>
      </c>
      <c r="G2107" t="str">
        <f>IF(D2107="","",INDEX(Knutepunkter!$C:$C,D2107+1))</f>
        <v/>
      </c>
      <c r="H2107" t="str">
        <f>IF(D2107="","",INDEX(Knutepunkter!$D:$D,D2107+1))</f>
        <v/>
      </c>
      <c r="I2107" t="str">
        <f>IF(E2107="","",INDEX(Knutepunkter!$B:$B,E2107+1))</f>
        <v/>
      </c>
      <c r="J2107" t="str">
        <f>IF(E2107="","",INDEX(Knutepunkter!$C:$C,E2107+1))</f>
        <v/>
      </c>
      <c r="K2107" t="str">
        <f>IF(E2107="","",INDEX(Knutepunkter!$D:$D,E2107+1))</f>
        <v/>
      </c>
      <c r="L2107" t="str">
        <f t="shared" si="163"/>
        <v/>
      </c>
      <c r="M2107" t="str">
        <f t="shared" si="164"/>
        <v/>
      </c>
    </row>
    <row r="2108" spans="1:13" x14ac:dyDescent="0.3">
      <c r="A2108" t="str">
        <f>Segmenter!A2108</f>
        <v/>
      </c>
      <c r="B2108" t="str">
        <f>Segmenter!B2108</f>
        <v/>
      </c>
      <c r="C2108" t="str">
        <f t="shared" si="160"/>
        <v/>
      </c>
      <c r="D2108" t="str">
        <f t="shared" si="161"/>
        <v/>
      </c>
      <c r="E2108" t="str">
        <f t="shared" si="162"/>
        <v/>
      </c>
      <c r="F2108" t="str">
        <f>IF(D2108="","",INDEX(Knutepunkter!$B:$B,D2108+1))</f>
        <v/>
      </c>
      <c r="G2108" t="str">
        <f>IF(D2108="","",INDEX(Knutepunkter!$C:$C,D2108+1))</f>
        <v/>
      </c>
      <c r="H2108" t="str">
        <f>IF(D2108="","",INDEX(Knutepunkter!$D:$D,D2108+1))</f>
        <v/>
      </c>
      <c r="I2108" t="str">
        <f>IF(E2108="","",INDEX(Knutepunkter!$B:$B,E2108+1))</f>
        <v/>
      </c>
      <c r="J2108" t="str">
        <f>IF(E2108="","",INDEX(Knutepunkter!$C:$C,E2108+1))</f>
        <v/>
      </c>
      <c r="K2108" t="str">
        <f>IF(E2108="","",INDEX(Knutepunkter!$D:$D,E2108+1))</f>
        <v/>
      </c>
      <c r="L2108" t="str">
        <f t="shared" si="163"/>
        <v/>
      </c>
      <c r="M2108" t="str">
        <f t="shared" si="164"/>
        <v/>
      </c>
    </row>
    <row r="2109" spans="1:13" x14ac:dyDescent="0.3">
      <c r="A2109" t="str">
        <f>Segmenter!A2109</f>
        <v/>
      </c>
      <c r="B2109" t="str">
        <f>Segmenter!B2109</f>
        <v/>
      </c>
      <c r="C2109" t="str">
        <f t="shared" si="160"/>
        <v/>
      </c>
      <c r="D2109" t="str">
        <f t="shared" si="161"/>
        <v/>
      </c>
      <c r="E2109" t="str">
        <f t="shared" si="162"/>
        <v/>
      </c>
      <c r="F2109" t="str">
        <f>IF(D2109="","",INDEX(Knutepunkter!$B:$B,D2109+1))</f>
        <v/>
      </c>
      <c r="G2109" t="str">
        <f>IF(D2109="","",INDEX(Knutepunkter!$C:$C,D2109+1))</f>
        <v/>
      </c>
      <c r="H2109" t="str">
        <f>IF(D2109="","",INDEX(Knutepunkter!$D:$D,D2109+1))</f>
        <v/>
      </c>
      <c r="I2109" t="str">
        <f>IF(E2109="","",INDEX(Knutepunkter!$B:$B,E2109+1))</f>
        <v/>
      </c>
      <c r="J2109" t="str">
        <f>IF(E2109="","",INDEX(Knutepunkter!$C:$C,E2109+1))</f>
        <v/>
      </c>
      <c r="K2109" t="str">
        <f>IF(E2109="","",INDEX(Knutepunkter!$D:$D,E2109+1))</f>
        <v/>
      </c>
      <c r="L2109" t="str">
        <f t="shared" si="163"/>
        <v/>
      </c>
      <c r="M2109" t="str">
        <f t="shared" si="164"/>
        <v/>
      </c>
    </row>
    <row r="2110" spans="1:13" x14ac:dyDescent="0.3">
      <c r="A2110" t="str">
        <f>Segmenter!A2110</f>
        <v/>
      </c>
      <c r="B2110" t="str">
        <f>Segmenter!B2110</f>
        <v/>
      </c>
      <c r="C2110" t="str">
        <f t="shared" si="160"/>
        <v/>
      </c>
      <c r="D2110" t="str">
        <f t="shared" si="161"/>
        <v/>
      </c>
      <c r="E2110" t="str">
        <f t="shared" si="162"/>
        <v/>
      </c>
      <c r="F2110" t="str">
        <f>IF(D2110="","",INDEX(Knutepunkter!$B:$B,D2110+1))</f>
        <v/>
      </c>
      <c r="G2110" t="str">
        <f>IF(D2110="","",INDEX(Knutepunkter!$C:$C,D2110+1))</f>
        <v/>
      </c>
      <c r="H2110" t="str">
        <f>IF(D2110="","",INDEX(Knutepunkter!$D:$D,D2110+1))</f>
        <v/>
      </c>
      <c r="I2110" t="str">
        <f>IF(E2110="","",INDEX(Knutepunkter!$B:$B,E2110+1))</f>
        <v/>
      </c>
      <c r="J2110" t="str">
        <f>IF(E2110="","",INDEX(Knutepunkter!$C:$C,E2110+1))</f>
        <v/>
      </c>
      <c r="K2110" t="str">
        <f>IF(E2110="","",INDEX(Knutepunkter!$D:$D,E2110+1))</f>
        <v/>
      </c>
      <c r="L2110" t="str">
        <f t="shared" si="163"/>
        <v/>
      </c>
      <c r="M2110" t="str">
        <f t="shared" si="164"/>
        <v/>
      </c>
    </row>
    <row r="2111" spans="1:13" x14ac:dyDescent="0.3">
      <c r="A2111" t="str">
        <f>Segmenter!A2111</f>
        <v/>
      </c>
      <c r="B2111" t="str">
        <f>Segmenter!B2111</f>
        <v/>
      </c>
      <c r="C2111" t="str">
        <f t="shared" si="160"/>
        <v/>
      </c>
      <c r="D2111" t="str">
        <f t="shared" si="161"/>
        <v/>
      </c>
      <c r="E2111" t="str">
        <f t="shared" si="162"/>
        <v/>
      </c>
      <c r="F2111" t="str">
        <f>IF(D2111="","",INDEX(Knutepunkter!$B:$B,D2111+1))</f>
        <v/>
      </c>
      <c r="G2111" t="str">
        <f>IF(D2111="","",INDEX(Knutepunkter!$C:$C,D2111+1))</f>
        <v/>
      </c>
      <c r="H2111" t="str">
        <f>IF(D2111="","",INDEX(Knutepunkter!$D:$D,D2111+1))</f>
        <v/>
      </c>
      <c r="I2111" t="str">
        <f>IF(E2111="","",INDEX(Knutepunkter!$B:$B,E2111+1))</f>
        <v/>
      </c>
      <c r="J2111" t="str">
        <f>IF(E2111="","",INDEX(Knutepunkter!$C:$C,E2111+1))</f>
        <v/>
      </c>
      <c r="K2111" t="str">
        <f>IF(E2111="","",INDEX(Knutepunkter!$D:$D,E2111+1))</f>
        <v/>
      </c>
      <c r="L2111" t="str">
        <f t="shared" si="163"/>
        <v/>
      </c>
      <c r="M2111" t="str">
        <f t="shared" si="164"/>
        <v/>
      </c>
    </row>
    <row r="2112" spans="1:13" x14ac:dyDescent="0.3">
      <c r="A2112" t="str">
        <f>Segmenter!A2112</f>
        <v/>
      </c>
      <c r="B2112" t="str">
        <f>Segmenter!B2112</f>
        <v/>
      </c>
      <c r="C2112" t="str">
        <f t="shared" si="160"/>
        <v/>
      </c>
      <c r="D2112" t="str">
        <f t="shared" si="161"/>
        <v/>
      </c>
      <c r="E2112" t="str">
        <f t="shared" si="162"/>
        <v/>
      </c>
      <c r="F2112" t="str">
        <f>IF(D2112="","",INDEX(Knutepunkter!$B:$B,D2112+1))</f>
        <v/>
      </c>
      <c r="G2112" t="str">
        <f>IF(D2112="","",INDEX(Knutepunkter!$C:$C,D2112+1))</f>
        <v/>
      </c>
      <c r="H2112" t="str">
        <f>IF(D2112="","",INDEX(Knutepunkter!$D:$D,D2112+1))</f>
        <v/>
      </c>
      <c r="I2112" t="str">
        <f>IF(E2112="","",INDEX(Knutepunkter!$B:$B,E2112+1))</f>
        <v/>
      </c>
      <c r="J2112" t="str">
        <f>IF(E2112="","",INDEX(Knutepunkter!$C:$C,E2112+1))</f>
        <v/>
      </c>
      <c r="K2112" t="str">
        <f>IF(E2112="","",INDEX(Knutepunkter!$D:$D,E2112+1))</f>
        <v/>
      </c>
      <c r="L2112" t="str">
        <f t="shared" si="163"/>
        <v/>
      </c>
      <c r="M2112" t="str">
        <f t="shared" si="164"/>
        <v/>
      </c>
    </row>
    <row r="2113" spans="1:13" x14ac:dyDescent="0.3">
      <c r="A2113" t="str">
        <f>Segmenter!A2113</f>
        <v/>
      </c>
      <c r="B2113" t="str">
        <f>Segmenter!B2113</f>
        <v/>
      </c>
      <c r="C2113" t="str">
        <f t="shared" si="160"/>
        <v/>
      </c>
      <c r="D2113" t="str">
        <f t="shared" si="161"/>
        <v/>
      </c>
      <c r="E2113" t="str">
        <f t="shared" si="162"/>
        <v/>
      </c>
      <c r="F2113" t="str">
        <f>IF(D2113="","",INDEX(Knutepunkter!$B:$B,D2113+1))</f>
        <v/>
      </c>
      <c r="G2113" t="str">
        <f>IF(D2113="","",INDEX(Knutepunkter!$C:$C,D2113+1))</f>
        <v/>
      </c>
      <c r="H2113" t="str">
        <f>IF(D2113="","",INDEX(Knutepunkter!$D:$D,D2113+1))</f>
        <v/>
      </c>
      <c r="I2113" t="str">
        <f>IF(E2113="","",INDEX(Knutepunkter!$B:$B,E2113+1))</f>
        <v/>
      </c>
      <c r="J2113" t="str">
        <f>IF(E2113="","",INDEX(Knutepunkter!$C:$C,E2113+1))</f>
        <v/>
      </c>
      <c r="K2113" t="str">
        <f>IF(E2113="","",INDEX(Knutepunkter!$D:$D,E2113+1))</f>
        <v/>
      </c>
      <c r="L2113" t="str">
        <f t="shared" si="163"/>
        <v/>
      </c>
      <c r="M2113" t="str">
        <f t="shared" si="164"/>
        <v/>
      </c>
    </row>
    <row r="2114" spans="1:13" x14ac:dyDescent="0.3">
      <c r="A2114" t="str">
        <f>Segmenter!A2114</f>
        <v/>
      </c>
      <c r="B2114" t="str">
        <f>Segmenter!B2114</f>
        <v/>
      </c>
      <c r="C2114" t="str">
        <f t="shared" ref="C2114:C2177" si="165">IF(B2114="","",IF(AND(F2114=I2114,G2114=J2114,H2114&lt;&gt;K2114),"Søyle","Bjelke"))</f>
        <v/>
      </c>
      <c r="D2114" t="str">
        <f t="shared" ref="D2114:D2177" si="166">IF(B2114="","",VALUE(LEFT(B2114,FIND(" -&gt; ",B2114)-1)))</f>
        <v/>
      </c>
      <c r="E2114" t="str">
        <f t="shared" ref="E2114:E2177" si="167">IF(B2114="","",VALUE(MID(B2114,FIND(" -&gt; ",B2114)+4,99)))</f>
        <v/>
      </c>
      <c r="F2114" t="str">
        <f>IF(D2114="","",INDEX(Knutepunkter!$B:$B,D2114+1))</f>
        <v/>
      </c>
      <c r="G2114" t="str">
        <f>IF(D2114="","",INDEX(Knutepunkter!$C:$C,D2114+1))</f>
        <v/>
      </c>
      <c r="H2114" t="str">
        <f>IF(D2114="","",INDEX(Knutepunkter!$D:$D,D2114+1))</f>
        <v/>
      </c>
      <c r="I2114" t="str">
        <f>IF(E2114="","",INDEX(Knutepunkter!$B:$B,E2114+1))</f>
        <v/>
      </c>
      <c r="J2114" t="str">
        <f>IF(E2114="","",INDEX(Knutepunkter!$C:$C,E2114+1))</f>
        <v/>
      </c>
      <c r="K2114" t="str">
        <f>IF(E2114="","",INDEX(Knutepunkter!$D:$D,E2114+1))</f>
        <v/>
      </c>
      <c r="L2114" t="str">
        <f t="shared" ref="L2114:L2177" si="168">IF(B2114="","",SQRT((I2114-F2114)^2+(J2114-G2114)^2+(K2114-H2114)^2))</f>
        <v/>
      </c>
      <c r="M2114" t="str">
        <f t="shared" ref="M2114:M2177" si="169">IF(L2114="","",L2114/1000)</f>
        <v/>
      </c>
    </row>
    <row r="2115" spans="1:13" x14ac:dyDescent="0.3">
      <c r="A2115" t="str">
        <f>Segmenter!A2115</f>
        <v/>
      </c>
      <c r="B2115" t="str">
        <f>Segmenter!B2115</f>
        <v/>
      </c>
      <c r="C2115" t="str">
        <f t="shared" si="165"/>
        <v/>
      </c>
      <c r="D2115" t="str">
        <f t="shared" si="166"/>
        <v/>
      </c>
      <c r="E2115" t="str">
        <f t="shared" si="167"/>
        <v/>
      </c>
      <c r="F2115" t="str">
        <f>IF(D2115="","",INDEX(Knutepunkter!$B:$B,D2115+1))</f>
        <v/>
      </c>
      <c r="G2115" t="str">
        <f>IF(D2115="","",INDEX(Knutepunkter!$C:$C,D2115+1))</f>
        <v/>
      </c>
      <c r="H2115" t="str">
        <f>IF(D2115="","",INDEX(Knutepunkter!$D:$D,D2115+1))</f>
        <v/>
      </c>
      <c r="I2115" t="str">
        <f>IF(E2115="","",INDEX(Knutepunkter!$B:$B,E2115+1))</f>
        <v/>
      </c>
      <c r="J2115" t="str">
        <f>IF(E2115="","",INDEX(Knutepunkter!$C:$C,E2115+1))</f>
        <v/>
      </c>
      <c r="K2115" t="str">
        <f>IF(E2115="","",INDEX(Knutepunkter!$D:$D,E2115+1))</f>
        <v/>
      </c>
      <c r="L2115" t="str">
        <f t="shared" si="168"/>
        <v/>
      </c>
      <c r="M2115" t="str">
        <f t="shared" si="169"/>
        <v/>
      </c>
    </row>
    <row r="2116" spans="1:13" x14ac:dyDescent="0.3">
      <c r="A2116" t="str">
        <f>Segmenter!A2116</f>
        <v/>
      </c>
      <c r="B2116" t="str">
        <f>Segmenter!B2116</f>
        <v/>
      </c>
      <c r="C2116" t="str">
        <f t="shared" si="165"/>
        <v/>
      </c>
      <c r="D2116" t="str">
        <f t="shared" si="166"/>
        <v/>
      </c>
      <c r="E2116" t="str">
        <f t="shared" si="167"/>
        <v/>
      </c>
      <c r="F2116" t="str">
        <f>IF(D2116="","",INDEX(Knutepunkter!$B:$B,D2116+1))</f>
        <v/>
      </c>
      <c r="G2116" t="str">
        <f>IF(D2116="","",INDEX(Knutepunkter!$C:$C,D2116+1))</f>
        <v/>
      </c>
      <c r="H2116" t="str">
        <f>IF(D2116="","",INDEX(Knutepunkter!$D:$D,D2116+1))</f>
        <v/>
      </c>
      <c r="I2116" t="str">
        <f>IF(E2116="","",INDEX(Knutepunkter!$B:$B,E2116+1))</f>
        <v/>
      </c>
      <c r="J2116" t="str">
        <f>IF(E2116="","",INDEX(Knutepunkter!$C:$C,E2116+1))</f>
        <v/>
      </c>
      <c r="K2116" t="str">
        <f>IF(E2116="","",INDEX(Knutepunkter!$D:$D,E2116+1))</f>
        <v/>
      </c>
      <c r="L2116" t="str">
        <f t="shared" si="168"/>
        <v/>
      </c>
      <c r="M2116" t="str">
        <f t="shared" si="169"/>
        <v/>
      </c>
    </row>
    <row r="2117" spans="1:13" x14ac:dyDescent="0.3">
      <c r="A2117" t="str">
        <f>Segmenter!A2117</f>
        <v/>
      </c>
      <c r="B2117" t="str">
        <f>Segmenter!B2117</f>
        <v/>
      </c>
      <c r="C2117" t="str">
        <f t="shared" si="165"/>
        <v/>
      </c>
      <c r="D2117" t="str">
        <f t="shared" si="166"/>
        <v/>
      </c>
      <c r="E2117" t="str">
        <f t="shared" si="167"/>
        <v/>
      </c>
      <c r="F2117" t="str">
        <f>IF(D2117="","",INDEX(Knutepunkter!$B:$B,D2117+1))</f>
        <v/>
      </c>
      <c r="G2117" t="str">
        <f>IF(D2117="","",INDEX(Knutepunkter!$C:$C,D2117+1))</f>
        <v/>
      </c>
      <c r="H2117" t="str">
        <f>IF(D2117="","",INDEX(Knutepunkter!$D:$D,D2117+1))</f>
        <v/>
      </c>
      <c r="I2117" t="str">
        <f>IF(E2117="","",INDEX(Knutepunkter!$B:$B,E2117+1))</f>
        <v/>
      </c>
      <c r="J2117" t="str">
        <f>IF(E2117="","",INDEX(Knutepunkter!$C:$C,E2117+1))</f>
        <v/>
      </c>
      <c r="K2117" t="str">
        <f>IF(E2117="","",INDEX(Knutepunkter!$D:$D,E2117+1))</f>
        <v/>
      </c>
      <c r="L2117" t="str">
        <f t="shared" si="168"/>
        <v/>
      </c>
      <c r="M2117" t="str">
        <f t="shared" si="169"/>
        <v/>
      </c>
    </row>
    <row r="2118" spans="1:13" x14ac:dyDescent="0.3">
      <c r="A2118" t="str">
        <f>Segmenter!A2118</f>
        <v/>
      </c>
      <c r="B2118" t="str">
        <f>Segmenter!B2118</f>
        <v/>
      </c>
      <c r="C2118" t="str">
        <f t="shared" si="165"/>
        <v/>
      </c>
      <c r="D2118" t="str">
        <f t="shared" si="166"/>
        <v/>
      </c>
      <c r="E2118" t="str">
        <f t="shared" si="167"/>
        <v/>
      </c>
      <c r="F2118" t="str">
        <f>IF(D2118="","",INDEX(Knutepunkter!$B:$B,D2118+1))</f>
        <v/>
      </c>
      <c r="G2118" t="str">
        <f>IF(D2118="","",INDEX(Knutepunkter!$C:$C,D2118+1))</f>
        <v/>
      </c>
      <c r="H2118" t="str">
        <f>IF(D2118="","",INDEX(Knutepunkter!$D:$D,D2118+1))</f>
        <v/>
      </c>
      <c r="I2118" t="str">
        <f>IF(E2118="","",INDEX(Knutepunkter!$B:$B,E2118+1))</f>
        <v/>
      </c>
      <c r="J2118" t="str">
        <f>IF(E2118="","",INDEX(Knutepunkter!$C:$C,E2118+1))</f>
        <v/>
      </c>
      <c r="K2118" t="str">
        <f>IF(E2118="","",INDEX(Knutepunkter!$D:$D,E2118+1))</f>
        <v/>
      </c>
      <c r="L2118" t="str">
        <f t="shared" si="168"/>
        <v/>
      </c>
      <c r="M2118" t="str">
        <f t="shared" si="169"/>
        <v/>
      </c>
    </row>
    <row r="2119" spans="1:13" x14ac:dyDescent="0.3">
      <c r="A2119" t="str">
        <f>Segmenter!A2119</f>
        <v/>
      </c>
      <c r="B2119" t="str">
        <f>Segmenter!B2119</f>
        <v/>
      </c>
      <c r="C2119" t="str">
        <f t="shared" si="165"/>
        <v/>
      </c>
      <c r="D2119" t="str">
        <f t="shared" si="166"/>
        <v/>
      </c>
      <c r="E2119" t="str">
        <f t="shared" si="167"/>
        <v/>
      </c>
      <c r="F2119" t="str">
        <f>IF(D2119="","",INDEX(Knutepunkter!$B:$B,D2119+1))</f>
        <v/>
      </c>
      <c r="G2119" t="str">
        <f>IF(D2119="","",INDEX(Knutepunkter!$C:$C,D2119+1))</f>
        <v/>
      </c>
      <c r="H2119" t="str">
        <f>IF(D2119="","",INDEX(Knutepunkter!$D:$D,D2119+1))</f>
        <v/>
      </c>
      <c r="I2119" t="str">
        <f>IF(E2119="","",INDEX(Knutepunkter!$B:$B,E2119+1))</f>
        <v/>
      </c>
      <c r="J2119" t="str">
        <f>IF(E2119="","",INDEX(Knutepunkter!$C:$C,E2119+1))</f>
        <v/>
      </c>
      <c r="K2119" t="str">
        <f>IF(E2119="","",INDEX(Knutepunkter!$D:$D,E2119+1))</f>
        <v/>
      </c>
      <c r="L2119" t="str">
        <f t="shared" si="168"/>
        <v/>
      </c>
      <c r="M2119" t="str">
        <f t="shared" si="169"/>
        <v/>
      </c>
    </row>
    <row r="2120" spans="1:13" x14ac:dyDescent="0.3">
      <c r="A2120" t="str">
        <f>Segmenter!A2120</f>
        <v/>
      </c>
      <c r="B2120" t="str">
        <f>Segmenter!B2120</f>
        <v/>
      </c>
      <c r="C2120" t="str">
        <f t="shared" si="165"/>
        <v/>
      </c>
      <c r="D2120" t="str">
        <f t="shared" si="166"/>
        <v/>
      </c>
      <c r="E2120" t="str">
        <f t="shared" si="167"/>
        <v/>
      </c>
      <c r="F2120" t="str">
        <f>IF(D2120="","",INDEX(Knutepunkter!$B:$B,D2120+1))</f>
        <v/>
      </c>
      <c r="G2120" t="str">
        <f>IF(D2120="","",INDEX(Knutepunkter!$C:$C,D2120+1))</f>
        <v/>
      </c>
      <c r="H2120" t="str">
        <f>IF(D2120="","",INDEX(Knutepunkter!$D:$D,D2120+1))</f>
        <v/>
      </c>
      <c r="I2120" t="str">
        <f>IF(E2120="","",INDEX(Knutepunkter!$B:$B,E2120+1))</f>
        <v/>
      </c>
      <c r="J2120" t="str">
        <f>IF(E2120="","",INDEX(Knutepunkter!$C:$C,E2120+1))</f>
        <v/>
      </c>
      <c r="K2120" t="str">
        <f>IF(E2120="","",INDEX(Knutepunkter!$D:$D,E2120+1))</f>
        <v/>
      </c>
      <c r="L2120" t="str">
        <f t="shared" si="168"/>
        <v/>
      </c>
      <c r="M2120" t="str">
        <f t="shared" si="169"/>
        <v/>
      </c>
    </row>
    <row r="2121" spans="1:13" x14ac:dyDescent="0.3">
      <c r="A2121" t="str">
        <f>Segmenter!A2121</f>
        <v/>
      </c>
      <c r="B2121" t="str">
        <f>Segmenter!B2121</f>
        <v/>
      </c>
      <c r="C2121" t="str">
        <f t="shared" si="165"/>
        <v/>
      </c>
      <c r="D2121" t="str">
        <f t="shared" si="166"/>
        <v/>
      </c>
      <c r="E2121" t="str">
        <f t="shared" si="167"/>
        <v/>
      </c>
      <c r="F2121" t="str">
        <f>IF(D2121="","",INDEX(Knutepunkter!$B:$B,D2121+1))</f>
        <v/>
      </c>
      <c r="G2121" t="str">
        <f>IF(D2121="","",INDEX(Knutepunkter!$C:$C,D2121+1))</f>
        <v/>
      </c>
      <c r="H2121" t="str">
        <f>IF(D2121="","",INDEX(Knutepunkter!$D:$D,D2121+1))</f>
        <v/>
      </c>
      <c r="I2121" t="str">
        <f>IF(E2121="","",INDEX(Knutepunkter!$B:$B,E2121+1))</f>
        <v/>
      </c>
      <c r="J2121" t="str">
        <f>IF(E2121="","",INDEX(Knutepunkter!$C:$C,E2121+1))</f>
        <v/>
      </c>
      <c r="K2121" t="str">
        <f>IF(E2121="","",INDEX(Knutepunkter!$D:$D,E2121+1))</f>
        <v/>
      </c>
      <c r="L2121" t="str">
        <f t="shared" si="168"/>
        <v/>
      </c>
      <c r="M2121" t="str">
        <f t="shared" si="169"/>
        <v/>
      </c>
    </row>
    <row r="2122" spans="1:13" x14ac:dyDescent="0.3">
      <c r="A2122" t="str">
        <f>Segmenter!A2122</f>
        <v/>
      </c>
      <c r="B2122" t="str">
        <f>Segmenter!B2122</f>
        <v/>
      </c>
      <c r="C2122" t="str">
        <f t="shared" si="165"/>
        <v/>
      </c>
      <c r="D2122" t="str">
        <f t="shared" si="166"/>
        <v/>
      </c>
      <c r="E2122" t="str">
        <f t="shared" si="167"/>
        <v/>
      </c>
      <c r="F2122" t="str">
        <f>IF(D2122="","",INDEX(Knutepunkter!$B:$B,D2122+1))</f>
        <v/>
      </c>
      <c r="G2122" t="str">
        <f>IF(D2122="","",INDEX(Knutepunkter!$C:$C,D2122+1))</f>
        <v/>
      </c>
      <c r="H2122" t="str">
        <f>IF(D2122="","",INDEX(Knutepunkter!$D:$D,D2122+1))</f>
        <v/>
      </c>
      <c r="I2122" t="str">
        <f>IF(E2122="","",INDEX(Knutepunkter!$B:$B,E2122+1))</f>
        <v/>
      </c>
      <c r="J2122" t="str">
        <f>IF(E2122="","",INDEX(Knutepunkter!$C:$C,E2122+1))</f>
        <v/>
      </c>
      <c r="K2122" t="str">
        <f>IF(E2122="","",INDEX(Knutepunkter!$D:$D,E2122+1))</f>
        <v/>
      </c>
      <c r="L2122" t="str">
        <f t="shared" si="168"/>
        <v/>
      </c>
      <c r="M2122" t="str">
        <f t="shared" si="169"/>
        <v/>
      </c>
    </row>
    <row r="2123" spans="1:13" x14ac:dyDescent="0.3">
      <c r="A2123" t="str">
        <f>Segmenter!A2123</f>
        <v/>
      </c>
      <c r="B2123" t="str">
        <f>Segmenter!B2123</f>
        <v/>
      </c>
      <c r="C2123" t="str">
        <f t="shared" si="165"/>
        <v/>
      </c>
      <c r="D2123" t="str">
        <f t="shared" si="166"/>
        <v/>
      </c>
      <c r="E2123" t="str">
        <f t="shared" si="167"/>
        <v/>
      </c>
      <c r="F2123" t="str">
        <f>IF(D2123="","",INDEX(Knutepunkter!$B:$B,D2123+1))</f>
        <v/>
      </c>
      <c r="G2123" t="str">
        <f>IF(D2123="","",INDEX(Knutepunkter!$C:$C,D2123+1))</f>
        <v/>
      </c>
      <c r="H2123" t="str">
        <f>IF(D2123="","",INDEX(Knutepunkter!$D:$D,D2123+1))</f>
        <v/>
      </c>
      <c r="I2123" t="str">
        <f>IF(E2123="","",INDEX(Knutepunkter!$B:$B,E2123+1))</f>
        <v/>
      </c>
      <c r="J2123" t="str">
        <f>IF(E2123="","",INDEX(Knutepunkter!$C:$C,E2123+1))</f>
        <v/>
      </c>
      <c r="K2123" t="str">
        <f>IF(E2123="","",INDEX(Knutepunkter!$D:$D,E2123+1))</f>
        <v/>
      </c>
      <c r="L2123" t="str">
        <f t="shared" si="168"/>
        <v/>
      </c>
      <c r="M2123" t="str">
        <f t="shared" si="169"/>
        <v/>
      </c>
    </row>
    <row r="2124" spans="1:13" x14ac:dyDescent="0.3">
      <c r="A2124" t="str">
        <f>Segmenter!A2124</f>
        <v/>
      </c>
      <c r="B2124" t="str">
        <f>Segmenter!B2124</f>
        <v/>
      </c>
      <c r="C2124" t="str">
        <f t="shared" si="165"/>
        <v/>
      </c>
      <c r="D2124" t="str">
        <f t="shared" si="166"/>
        <v/>
      </c>
      <c r="E2124" t="str">
        <f t="shared" si="167"/>
        <v/>
      </c>
      <c r="F2124" t="str">
        <f>IF(D2124="","",INDEX(Knutepunkter!$B:$B,D2124+1))</f>
        <v/>
      </c>
      <c r="G2124" t="str">
        <f>IF(D2124="","",INDEX(Knutepunkter!$C:$C,D2124+1))</f>
        <v/>
      </c>
      <c r="H2124" t="str">
        <f>IF(D2124="","",INDEX(Knutepunkter!$D:$D,D2124+1))</f>
        <v/>
      </c>
      <c r="I2124" t="str">
        <f>IF(E2124="","",INDEX(Knutepunkter!$B:$B,E2124+1))</f>
        <v/>
      </c>
      <c r="J2124" t="str">
        <f>IF(E2124="","",INDEX(Knutepunkter!$C:$C,E2124+1))</f>
        <v/>
      </c>
      <c r="K2124" t="str">
        <f>IF(E2124="","",INDEX(Knutepunkter!$D:$D,E2124+1))</f>
        <v/>
      </c>
      <c r="L2124" t="str">
        <f t="shared" si="168"/>
        <v/>
      </c>
      <c r="M2124" t="str">
        <f t="shared" si="169"/>
        <v/>
      </c>
    </row>
    <row r="2125" spans="1:13" x14ac:dyDescent="0.3">
      <c r="A2125" t="str">
        <f>Segmenter!A2125</f>
        <v/>
      </c>
      <c r="B2125" t="str">
        <f>Segmenter!B2125</f>
        <v/>
      </c>
      <c r="C2125" t="str">
        <f t="shared" si="165"/>
        <v/>
      </c>
      <c r="D2125" t="str">
        <f t="shared" si="166"/>
        <v/>
      </c>
      <c r="E2125" t="str">
        <f t="shared" si="167"/>
        <v/>
      </c>
      <c r="F2125" t="str">
        <f>IF(D2125="","",INDEX(Knutepunkter!$B:$B,D2125+1))</f>
        <v/>
      </c>
      <c r="G2125" t="str">
        <f>IF(D2125="","",INDEX(Knutepunkter!$C:$C,D2125+1))</f>
        <v/>
      </c>
      <c r="H2125" t="str">
        <f>IF(D2125="","",INDEX(Knutepunkter!$D:$D,D2125+1))</f>
        <v/>
      </c>
      <c r="I2125" t="str">
        <f>IF(E2125="","",INDEX(Knutepunkter!$B:$B,E2125+1))</f>
        <v/>
      </c>
      <c r="J2125" t="str">
        <f>IF(E2125="","",INDEX(Knutepunkter!$C:$C,E2125+1))</f>
        <v/>
      </c>
      <c r="K2125" t="str">
        <f>IF(E2125="","",INDEX(Knutepunkter!$D:$D,E2125+1))</f>
        <v/>
      </c>
      <c r="L2125" t="str">
        <f t="shared" si="168"/>
        <v/>
      </c>
      <c r="M2125" t="str">
        <f t="shared" si="169"/>
        <v/>
      </c>
    </row>
    <row r="2126" spans="1:13" x14ac:dyDescent="0.3">
      <c r="A2126" t="str">
        <f>Segmenter!A2126</f>
        <v/>
      </c>
      <c r="B2126" t="str">
        <f>Segmenter!B2126</f>
        <v/>
      </c>
      <c r="C2126" t="str">
        <f t="shared" si="165"/>
        <v/>
      </c>
      <c r="D2126" t="str">
        <f t="shared" si="166"/>
        <v/>
      </c>
      <c r="E2126" t="str">
        <f t="shared" si="167"/>
        <v/>
      </c>
      <c r="F2126" t="str">
        <f>IF(D2126="","",INDEX(Knutepunkter!$B:$B,D2126+1))</f>
        <v/>
      </c>
      <c r="G2126" t="str">
        <f>IF(D2126="","",INDEX(Knutepunkter!$C:$C,D2126+1))</f>
        <v/>
      </c>
      <c r="H2126" t="str">
        <f>IF(D2126="","",INDEX(Knutepunkter!$D:$D,D2126+1))</f>
        <v/>
      </c>
      <c r="I2126" t="str">
        <f>IF(E2126="","",INDEX(Knutepunkter!$B:$B,E2126+1))</f>
        <v/>
      </c>
      <c r="J2126" t="str">
        <f>IF(E2126="","",INDEX(Knutepunkter!$C:$C,E2126+1))</f>
        <v/>
      </c>
      <c r="K2126" t="str">
        <f>IF(E2126="","",INDEX(Knutepunkter!$D:$D,E2126+1))</f>
        <v/>
      </c>
      <c r="L2126" t="str">
        <f t="shared" si="168"/>
        <v/>
      </c>
      <c r="M2126" t="str">
        <f t="shared" si="169"/>
        <v/>
      </c>
    </row>
    <row r="2127" spans="1:13" x14ac:dyDescent="0.3">
      <c r="A2127" t="str">
        <f>Segmenter!A2127</f>
        <v/>
      </c>
      <c r="B2127" t="str">
        <f>Segmenter!B2127</f>
        <v/>
      </c>
      <c r="C2127" t="str">
        <f t="shared" si="165"/>
        <v/>
      </c>
      <c r="D2127" t="str">
        <f t="shared" si="166"/>
        <v/>
      </c>
      <c r="E2127" t="str">
        <f t="shared" si="167"/>
        <v/>
      </c>
      <c r="F2127" t="str">
        <f>IF(D2127="","",INDEX(Knutepunkter!$B:$B,D2127+1))</f>
        <v/>
      </c>
      <c r="G2127" t="str">
        <f>IF(D2127="","",INDEX(Knutepunkter!$C:$C,D2127+1))</f>
        <v/>
      </c>
      <c r="H2127" t="str">
        <f>IF(D2127="","",INDEX(Knutepunkter!$D:$D,D2127+1))</f>
        <v/>
      </c>
      <c r="I2127" t="str">
        <f>IF(E2127="","",INDEX(Knutepunkter!$B:$B,E2127+1))</f>
        <v/>
      </c>
      <c r="J2127" t="str">
        <f>IF(E2127="","",INDEX(Knutepunkter!$C:$C,E2127+1))</f>
        <v/>
      </c>
      <c r="K2127" t="str">
        <f>IF(E2127="","",INDEX(Knutepunkter!$D:$D,E2127+1))</f>
        <v/>
      </c>
      <c r="L2127" t="str">
        <f t="shared" si="168"/>
        <v/>
      </c>
      <c r="M2127" t="str">
        <f t="shared" si="169"/>
        <v/>
      </c>
    </row>
    <row r="2128" spans="1:13" x14ac:dyDescent="0.3">
      <c r="A2128" t="str">
        <f>Segmenter!A2128</f>
        <v/>
      </c>
      <c r="B2128" t="str">
        <f>Segmenter!B2128</f>
        <v/>
      </c>
      <c r="C2128" t="str">
        <f t="shared" si="165"/>
        <v/>
      </c>
      <c r="D2128" t="str">
        <f t="shared" si="166"/>
        <v/>
      </c>
      <c r="E2128" t="str">
        <f t="shared" si="167"/>
        <v/>
      </c>
      <c r="F2128" t="str">
        <f>IF(D2128="","",INDEX(Knutepunkter!$B:$B,D2128+1))</f>
        <v/>
      </c>
      <c r="G2128" t="str">
        <f>IF(D2128="","",INDEX(Knutepunkter!$C:$C,D2128+1))</f>
        <v/>
      </c>
      <c r="H2128" t="str">
        <f>IF(D2128="","",INDEX(Knutepunkter!$D:$D,D2128+1))</f>
        <v/>
      </c>
      <c r="I2128" t="str">
        <f>IF(E2128="","",INDEX(Knutepunkter!$B:$B,E2128+1))</f>
        <v/>
      </c>
      <c r="J2128" t="str">
        <f>IF(E2128="","",INDEX(Knutepunkter!$C:$C,E2128+1))</f>
        <v/>
      </c>
      <c r="K2128" t="str">
        <f>IF(E2128="","",INDEX(Knutepunkter!$D:$D,E2128+1))</f>
        <v/>
      </c>
      <c r="L2128" t="str">
        <f t="shared" si="168"/>
        <v/>
      </c>
      <c r="M2128" t="str">
        <f t="shared" si="169"/>
        <v/>
      </c>
    </row>
    <row r="2129" spans="1:13" x14ac:dyDescent="0.3">
      <c r="A2129" t="str">
        <f>Segmenter!A2129</f>
        <v/>
      </c>
      <c r="B2129" t="str">
        <f>Segmenter!B2129</f>
        <v/>
      </c>
      <c r="C2129" t="str">
        <f t="shared" si="165"/>
        <v/>
      </c>
      <c r="D2129" t="str">
        <f t="shared" si="166"/>
        <v/>
      </c>
      <c r="E2129" t="str">
        <f t="shared" si="167"/>
        <v/>
      </c>
      <c r="F2129" t="str">
        <f>IF(D2129="","",INDEX(Knutepunkter!$B:$B,D2129+1))</f>
        <v/>
      </c>
      <c r="G2129" t="str">
        <f>IF(D2129="","",INDEX(Knutepunkter!$C:$C,D2129+1))</f>
        <v/>
      </c>
      <c r="H2129" t="str">
        <f>IF(D2129="","",INDEX(Knutepunkter!$D:$D,D2129+1))</f>
        <v/>
      </c>
      <c r="I2129" t="str">
        <f>IF(E2129="","",INDEX(Knutepunkter!$B:$B,E2129+1))</f>
        <v/>
      </c>
      <c r="J2129" t="str">
        <f>IF(E2129="","",INDEX(Knutepunkter!$C:$C,E2129+1))</f>
        <v/>
      </c>
      <c r="K2129" t="str">
        <f>IF(E2129="","",INDEX(Knutepunkter!$D:$D,E2129+1))</f>
        <v/>
      </c>
      <c r="L2129" t="str">
        <f t="shared" si="168"/>
        <v/>
      </c>
      <c r="M2129" t="str">
        <f t="shared" si="169"/>
        <v/>
      </c>
    </row>
    <row r="2130" spans="1:13" x14ac:dyDescent="0.3">
      <c r="A2130" t="str">
        <f>Segmenter!A2130</f>
        <v/>
      </c>
      <c r="B2130" t="str">
        <f>Segmenter!B2130</f>
        <v/>
      </c>
      <c r="C2130" t="str">
        <f t="shared" si="165"/>
        <v/>
      </c>
      <c r="D2130" t="str">
        <f t="shared" si="166"/>
        <v/>
      </c>
      <c r="E2130" t="str">
        <f t="shared" si="167"/>
        <v/>
      </c>
      <c r="F2130" t="str">
        <f>IF(D2130="","",INDEX(Knutepunkter!$B:$B,D2130+1))</f>
        <v/>
      </c>
      <c r="G2130" t="str">
        <f>IF(D2130="","",INDEX(Knutepunkter!$C:$C,D2130+1))</f>
        <v/>
      </c>
      <c r="H2130" t="str">
        <f>IF(D2130="","",INDEX(Knutepunkter!$D:$D,D2130+1))</f>
        <v/>
      </c>
      <c r="I2130" t="str">
        <f>IF(E2130="","",INDEX(Knutepunkter!$B:$B,E2130+1))</f>
        <v/>
      </c>
      <c r="J2130" t="str">
        <f>IF(E2130="","",INDEX(Knutepunkter!$C:$C,E2130+1))</f>
        <v/>
      </c>
      <c r="K2130" t="str">
        <f>IF(E2130="","",INDEX(Knutepunkter!$D:$D,E2130+1))</f>
        <v/>
      </c>
      <c r="L2130" t="str">
        <f t="shared" si="168"/>
        <v/>
      </c>
      <c r="M2130" t="str">
        <f t="shared" si="169"/>
        <v/>
      </c>
    </row>
    <row r="2131" spans="1:13" x14ac:dyDescent="0.3">
      <c r="A2131" t="str">
        <f>Segmenter!A2131</f>
        <v/>
      </c>
      <c r="B2131" t="str">
        <f>Segmenter!B2131</f>
        <v/>
      </c>
      <c r="C2131" t="str">
        <f t="shared" si="165"/>
        <v/>
      </c>
      <c r="D2131" t="str">
        <f t="shared" si="166"/>
        <v/>
      </c>
      <c r="E2131" t="str">
        <f t="shared" si="167"/>
        <v/>
      </c>
      <c r="F2131" t="str">
        <f>IF(D2131="","",INDEX(Knutepunkter!$B:$B,D2131+1))</f>
        <v/>
      </c>
      <c r="G2131" t="str">
        <f>IF(D2131="","",INDEX(Knutepunkter!$C:$C,D2131+1))</f>
        <v/>
      </c>
      <c r="H2131" t="str">
        <f>IF(D2131="","",INDEX(Knutepunkter!$D:$D,D2131+1))</f>
        <v/>
      </c>
      <c r="I2131" t="str">
        <f>IF(E2131="","",INDEX(Knutepunkter!$B:$B,E2131+1))</f>
        <v/>
      </c>
      <c r="J2131" t="str">
        <f>IF(E2131="","",INDEX(Knutepunkter!$C:$C,E2131+1))</f>
        <v/>
      </c>
      <c r="K2131" t="str">
        <f>IF(E2131="","",INDEX(Knutepunkter!$D:$D,E2131+1))</f>
        <v/>
      </c>
      <c r="L2131" t="str">
        <f t="shared" si="168"/>
        <v/>
      </c>
      <c r="M2131" t="str">
        <f t="shared" si="169"/>
        <v/>
      </c>
    </row>
    <row r="2132" spans="1:13" x14ac:dyDescent="0.3">
      <c r="A2132" t="str">
        <f>Segmenter!A2132</f>
        <v/>
      </c>
      <c r="B2132" t="str">
        <f>Segmenter!B2132</f>
        <v/>
      </c>
      <c r="C2132" t="str">
        <f t="shared" si="165"/>
        <v/>
      </c>
      <c r="D2132" t="str">
        <f t="shared" si="166"/>
        <v/>
      </c>
      <c r="E2132" t="str">
        <f t="shared" si="167"/>
        <v/>
      </c>
      <c r="F2132" t="str">
        <f>IF(D2132="","",INDEX(Knutepunkter!$B:$B,D2132+1))</f>
        <v/>
      </c>
      <c r="G2132" t="str">
        <f>IF(D2132="","",INDEX(Knutepunkter!$C:$C,D2132+1))</f>
        <v/>
      </c>
      <c r="H2132" t="str">
        <f>IF(D2132="","",INDEX(Knutepunkter!$D:$D,D2132+1))</f>
        <v/>
      </c>
      <c r="I2132" t="str">
        <f>IF(E2132="","",INDEX(Knutepunkter!$B:$B,E2132+1))</f>
        <v/>
      </c>
      <c r="J2132" t="str">
        <f>IF(E2132="","",INDEX(Knutepunkter!$C:$C,E2132+1))</f>
        <v/>
      </c>
      <c r="K2132" t="str">
        <f>IF(E2132="","",INDEX(Knutepunkter!$D:$D,E2132+1))</f>
        <v/>
      </c>
      <c r="L2132" t="str">
        <f t="shared" si="168"/>
        <v/>
      </c>
      <c r="M2132" t="str">
        <f t="shared" si="169"/>
        <v/>
      </c>
    </row>
    <row r="2133" spans="1:13" x14ac:dyDescent="0.3">
      <c r="A2133" t="str">
        <f>Segmenter!A2133</f>
        <v/>
      </c>
      <c r="B2133" t="str">
        <f>Segmenter!B2133</f>
        <v/>
      </c>
      <c r="C2133" t="str">
        <f t="shared" si="165"/>
        <v/>
      </c>
      <c r="D2133" t="str">
        <f t="shared" si="166"/>
        <v/>
      </c>
      <c r="E2133" t="str">
        <f t="shared" si="167"/>
        <v/>
      </c>
      <c r="F2133" t="str">
        <f>IF(D2133="","",INDEX(Knutepunkter!$B:$B,D2133+1))</f>
        <v/>
      </c>
      <c r="G2133" t="str">
        <f>IF(D2133="","",INDEX(Knutepunkter!$C:$C,D2133+1))</f>
        <v/>
      </c>
      <c r="H2133" t="str">
        <f>IF(D2133="","",INDEX(Knutepunkter!$D:$D,D2133+1))</f>
        <v/>
      </c>
      <c r="I2133" t="str">
        <f>IF(E2133="","",INDEX(Knutepunkter!$B:$B,E2133+1))</f>
        <v/>
      </c>
      <c r="J2133" t="str">
        <f>IF(E2133="","",INDEX(Knutepunkter!$C:$C,E2133+1))</f>
        <v/>
      </c>
      <c r="K2133" t="str">
        <f>IF(E2133="","",INDEX(Knutepunkter!$D:$D,E2133+1))</f>
        <v/>
      </c>
      <c r="L2133" t="str">
        <f t="shared" si="168"/>
        <v/>
      </c>
      <c r="M2133" t="str">
        <f t="shared" si="169"/>
        <v/>
      </c>
    </row>
    <row r="2134" spans="1:13" x14ac:dyDescent="0.3">
      <c r="A2134" t="str">
        <f>Segmenter!A2134</f>
        <v/>
      </c>
      <c r="B2134" t="str">
        <f>Segmenter!B2134</f>
        <v/>
      </c>
      <c r="C2134" t="str">
        <f t="shared" si="165"/>
        <v/>
      </c>
      <c r="D2134" t="str">
        <f t="shared" si="166"/>
        <v/>
      </c>
      <c r="E2134" t="str">
        <f t="shared" si="167"/>
        <v/>
      </c>
      <c r="F2134" t="str">
        <f>IF(D2134="","",INDEX(Knutepunkter!$B:$B,D2134+1))</f>
        <v/>
      </c>
      <c r="G2134" t="str">
        <f>IF(D2134="","",INDEX(Knutepunkter!$C:$C,D2134+1))</f>
        <v/>
      </c>
      <c r="H2134" t="str">
        <f>IF(D2134="","",INDEX(Knutepunkter!$D:$D,D2134+1))</f>
        <v/>
      </c>
      <c r="I2134" t="str">
        <f>IF(E2134="","",INDEX(Knutepunkter!$B:$B,E2134+1))</f>
        <v/>
      </c>
      <c r="J2134" t="str">
        <f>IF(E2134="","",INDEX(Knutepunkter!$C:$C,E2134+1))</f>
        <v/>
      </c>
      <c r="K2134" t="str">
        <f>IF(E2134="","",INDEX(Knutepunkter!$D:$D,E2134+1))</f>
        <v/>
      </c>
      <c r="L2134" t="str">
        <f t="shared" si="168"/>
        <v/>
      </c>
      <c r="M2134" t="str">
        <f t="shared" si="169"/>
        <v/>
      </c>
    </row>
    <row r="2135" spans="1:13" x14ac:dyDescent="0.3">
      <c r="A2135" t="str">
        <f>Segmenter!A2135</f>
        <v/>
      </c>
      <c r="B2135" t="str">
        <f>Segmenter!B2135</f>
        <v/>
      </c>
      <c r="C2135" t="str">
        <f t="shared" si="165"/>
        <v/>
      </c>
      <c r="D2135" t="str">
        <f t="shared" si="166"/>
        <v/>
      </c>
      <c r="E2135" t="str">
        <f t="shared" si="167"/>
        <v/>
      </c>
      <c r="F2135" t="str">
        <f>IF(D2135="","",INDEX(Knutepunkter!$B:$B,D2135+1))</f>
        <v/>
      </c>
      <c r="G2135" t="str">
        <f>IF(D2135="","",INDEX(Knutepunkter!$C:$C,D2135+1))</f>
        <v/>
      </c>
      <c r="H2135" t="str">
        <f>IF(D2135="","",INDEX(Knutepunkter!$D:$D,D2135+1))</f>
        <v/>
      </c>
      <c r="I2135" t="str">
        <f>IF(E2135="","",INDEX(Knutepunkter!$B:$B,E2135+1))</f>
        <v/>
      </c>
      <c r="J2135" t="str">
        <f>IF(E2135="","",INDEX(Knutepunkter!$C:$C,E2135+1))</f>
        <v/>
      </c>
      <c r="K2135" t="str">
        <f>IF(E2135="","",INDEX(Knutepunkter!$D:$D,E2135+1))</f>
        <v/>
      </c>
      <c r="L2135" t="str">
        <f t="shared" si="168"/>
        <v/>
      </c>
      <c r="M2135" t="str">
        <f t="shared" si="169"/>
        <v/>
      </c>
    </row>
    <row r="2136" spans="1:13" x14ac:dyDescent="0.3">
      <c r="A2136" t="str">
        <f>Segmenter!A2136</f>
        <v/>
      </c>
      <c r="B2136" t="str">
        <f>Segmenter!B2136</f>
        <v/>
      </c>
      <c r="C2136" t="str">
        <f t="shared" si="165"/>
        <v/>
      </c>
      <c r="D2136" t="str">
        <f t="shared" si="166"/>
        <v/>
      </c>
      <c r="E2136" t="str">
        <f t="shared" si="167"/>
        <v/>
      </c>
      <c r="F2136" t="str">
        <f>IF(D2136="","",INDEX(Knutepunkter!$B:$B,D2136+1))</f>
        <v/>
      </c>
      <c r="G2136" t="str">
        <f>IF(D2136="","",INDEX(Knutepunkter!$C:$C,D2136+1))</f>
        <v/>
      </c>
      <c r="H2136" t="str">
        <f>IF(D2136="","",INDEX(Knutepunkter!$D:$D,D2136+1))</f>
        <v/>
      </c>
      <c r="I2136" t="str">
        <f>IF(E2136="","",INDEX(Knutepunkter!$B:$B,E2136+1))</f>
        <v/>
      </c>
      <c r="J2136" t="str">
        <f>IF(E2136="","",INDEX(Knutepunkter!$C:$C,E2136+1))</f>
        <v/>
      </c>
      <c r="K2136" t="str">
        <f>IF(E2136="","",INDEX(Knutepunkter!$D:$D,E2136+1))</f>
        <v/>
      </c>
      <c r="L2136" t="str">
        <f t="shared" si="168"/>
        <v/>
      </c>
      <c r="M2136" t="str">
        <f t="shared" si="169"/>
        <v/>
      </c>
    </row>
    <row r="2137" spans="1:13" x14ac:dyDescent="0.3">
      <c r="A2137" t="str">
        <f>Segmenter!A2137</f>
        <v/>
      </c>
      <c r="B2137" t="str">
        <f>Segmenter!B2137</f>
        <v/>
      </c>
      <c r="C2137" t="str">
        <f t="shared" si="165"/>
        <v/>
      </c>
      <c r="D2137" t="str">
        <f t="shared" si="166"/>
        <v/>
      </c>
      <c r="E2137" t="str">
        <f t="shared" si="167"/>
        <v/>
      </c>
      <c r="F2137" t="str">
        <f>IF(D2137="","",INDEX(Knutepunkter!$B:$B,D2137+1))</f>
        <v/>
      </c>
      <c r="G2137" t="str">
        <f>IF(D2137="","",INDEX(Knutepunkter!$C:$C,D2137+1))</f>
        <v/>
      </c>
      <c r="H2137" t="str">
        <f>IF(D2137="","",INDEX(Knutepunkter!$D:$D,D2137+1))</f>
        <v/>
      </c>
      <c r="I2137" t="str">
        <f>IF(E2137="","",INDEX(Knutepunkter!$B:$B,E2137+1))</f>
        <v/>
      </c>
      <c r="J2137" t="str">
        <f>IF(E2137="","",INDEX(Knutepunkter!$C:$C,E2137+1))</f>
        <v/>
      </c>
      <c r="K2137" t="str">
        <f>IF(E2137="","",INDEX(Knutepunkter!$D:$D,E2137+1))</f>
        <v/>
      </c>
      <c r="L2137" t="str">
        <f t="shared" si="168"/>
        <v/>
      </c>
      <c r="M2137" t="str">
        <f t="shared" si="169"/>
        <v/>
      </c>
    </row>
    <row r="2138" spans="1:13" x14ac:dyDescent="0.3">
      <c r="A2138" t="str">
        <f>Segmenter!A2138</f>
        <v/>
      </c>
      <c r="B2138" t="str">
        <f>Segmenter!B2138</f>
        <v/>
      </c>
      <c r="C2138" t="str">
        <f t="shared" si="165"/>
        <v/>
      </c>
      <c r="D2138" t="str">
        <f t="shared" si="166"/>
        <v/>
      </c>
      <c r="E2138" t="str">
        <f t="shared" si="167"/>
        <v/>
      </c>
      <c r="F2138" t="str">
        <f>IF(D2138="","",INDEX(Knutepunkter!$B:$B,D2138+1))</f>
        <v/>
      </c>
      <c r="G2138" t="str">
        <f>IF(D2138="","",INDEX(Knutepunkter!$C:$C,D2138+1))</f>
        <v/>
      </c>
      <c r="H2138" t="str">
        <f>IF(D2138="","",INDEX(Knutepunkter!$D:$D,D2138+1))</f>
        <v/>
      </c>
      <c r="I2138" t="str">
        <f>IF(E2138="","",INDEX(Knutepunkter!$B:$B,E2138+1))</f>
        <v/>
      </c>
      <c r="J2138" t="str">
        <f>IF(E2138="","",INDEX(Knutepunkter!$C:$C,E2138+1))</f>
        <v/>
      </c>
      <c r="K2138" t="str">
        <f>IF(E2138="","",INDEX(Knutepunkter!$D:$D,E2138+1))</f>
        <v/>
      </c>
      <c r="L2138" t="str">
        <f t="shared" si="168"/>
        <v/>
      </c>
      <c r="M2138" t="str">
        <f t="shared" si="169"/>
        <v/>
      </c>
    </row>
    <row r="2139" spans="1:13" x14ac:dyDescent="0.3">
      <c r="A2139" t="str">
        <f>Segmenter!A2139</f>
        <v/>
      </c>
      <c r="B2139" t="str">
        <f>Segmenter!B2139</f>
        <v/>
      </c>
      <c r="C2139" t="str">
        <f t="shared" si="165"/>
        <v/>
      </c>
      <c r="D2139" t="str">
        <f t="shared" si="166"/>
        <v/>
      </c>
      <c r="E2139" t="str">
        <f t="shared" si="167"/>
        <v/>
      </c>
      <c r="F2139" t="str">
        <f>IF(D2139="","",INDEX(Knutepunkter!$B:$B,D2139+1))</f>
        <v/>
      </c>
      <c r="G2139" t="str">
        <f>IF(D2139="","",INDEX(Knutepunkter!$C:$C,D2139+1))</f>
        <v/>
      </c>
      <c r="H2139" t="str">
        <f>IF(D2139="","",INDEX(Knutepunkter!$D:$D,D2139+1))</f>
        <v/>
      </c>
      <c r="I2139" t="str">
        <f>IF(E2139="","",INDEX(Knutepunkter!$B:$B,E2139+1))</f>
        <v/>
      </c>
      <c r="J2139" t="str">
        <f>IF(E2139="","",INDEX(Knutepunkter!$C:$C,E2139+1))</f>
        <v/>
      </c>
      <c r="K2139" t="str">
        <f>IF(E2139="","",INDEX(Knutepunkter!$D:$D,E2139+1))</f>
        <v/>
      </c>
      <c r="L2139" t="str">
        <f t="shared" si="168"/>
        <v/>
      </c>
      <c r="M2139" t="str">
        <f t="shared" si="169"/>
        <v/>
      </c>
    </row>
    <row r="2140" spans="1:13" x14ac:dyDescent="0.3">
      <c r="A2140" t="str">
        <f>Segmenter!A2140</f>
        <v/>
      </c>
      <c r="B2140" t="str">
        <f>Segmenter!B2140</f>
        <v/>
      </c>
      <c r="C2140" t="str">
        <f t="shared" si="165"/>
        <v/>
      </c>
      <c r="D2140" t="str">
        <f t="shared" si="166"/>
        <v/>
      </c>
      <c r="E2140" t="str">
        <f t="shared" si="167"/>
        <v/>
      </c>
      <c r="F2140" t="str">
        <f>IF(D2140="","",INDEX(Knutepunkter!$B:$B,D2140+1))</f>
        <v/>
      </c>
      <c r="G2140" t="str">
        <f>IF(D2140="","",INDEX(Knutepunkter!$C:$C,D2140+1))</f>
        <v/>
      </c>
      <c r="H2140" t="str">
        <f>IF(D2140="","",INDEX(Knutepunkter!$D:$D,D2140+1))</f>
        <v/>
      </c>
      <c r="I2140" t="str">
        <f>IF(E2140="","",INDEX(Knutepunkter!$B:$B,E2140+1))</f>
        <v/>
      </c>
      <c r="J2140" t="str">
        <f>IF(E2140="","",INDEX(Knutepunkter!$C:$C,E2140+1))</f>
        <v/>
      </c>
      <c r="K2140" t="str">
        <f>IF(E2140="","",INDEX(Knutepunkter!$D:$D,E2140+1))</f>
        <v/>
      </c>
      <c r="L2140" t="str">
        <f t="shared" si="168"/>
        <v/>
      </c>
      <c r="M2140" t="str">
        <f t="shared" si="169"/>
        <v/>
      </c>
    </row>
    <row r="2141" spans="1:13" x14ac:dyDescent="0.3">
      <c r="A2141" t="str">
        <f>Segmenter!A2141</f>
        <v/>
      </c>
      <c r="B2141" t="str">
        <f>Segmenter!B2141</f>
        <v/>
      </c>
      <c r="C2141" t="str">
        <f t="shared" si="165"/>
        <v/>
      </c>
      <c r="D2141" t="str">
        <f t="shared" si="166"/>
        <v/>
      </c>
      <c r="E2141" t="str">
        <f t="shared" si="167"/>
        <v/>
      </c>
      <c r="F2141" t="str">
        <f>IF(D2141="","",INDEX(Knutepunkter!$B:$B,D2141+1))</f>
        <v/>
      </c>
      <c r="G2141" t="str">
        <f>IF(D2141="","",INDEX(Knutepunkter!$C:$C,D2141+1))</f>
        <v/>
      </c>
      <c r="H2141" t="str">
        <f>IF(D2141="","",INDEX(Knutepunkter!$D:$D,D2141+1))</f>
        <v/>
      </c>
      <c r="I2141" t="str">
        <f>IF(E2141="","",INDEX(Knutepunkter!$B:$B,E2141+1))</f>
        <v/>
      </c>
      <c r="J2141" t="str">
        <f>IF(E2141="","",INDEX(Knutepunkter!$C:$C,E2141+1))</f>
        <v/>
      </c>
      <c r="K2141" t="str">
        <f>IF(E2141="","",INDEX(Knutepunkter!$D:$D,E2141+1))</f>
        <v/>
      </c>
      <c r="L2141" t="str">
        <f t="shared" si="168"/>
        <v/>
      </c>
      <c r="M2141" t="str">
        <f t="shared" si="169"/>
        <v/>
      </c>
    </row>
    <row r="2142" spans="1:13" x14ac:dyDescent="0.3">
      <c r="A2142" t="str">
        <f>Segmenter!A2142</f>
        <v/>
      </c>
      <c r="B2142" t="str">
        <f>Segmenter!B2142</f>
        <v/>
      </c>
      <c r="C2142" t="str">
        <f t="shared" si="165"/>
        <v/>
      </c>
      <c r="D2142" t="str">
        <f t="shared" si="166"/>
        <v/>
      </c>
      <c r="E2142" t="str">
        <f t="shared" si="167"/>
        <v/>
      </c>
      <c r="F2142" t="str">
        <f>IF(D2142="","",INDEX(Knutepunkter!$B:$B,D2142+1))</f>
        <v/>
      </c>
      <c r="G2142" t="str">
        <f>IF(D2142="","",INDEX(Knutepunkter!$C:$C,D2142+1))</f>
        <v/>
      </c>
      <c r="H2142" t="str">
        <f>IF(D2142="","",INDEX(Knutepunkter!$D:$D,D2142+1))</f>
        <v/>
      </c>
      <c r="I2142" t="str">
        <f>IF(E2142="","",INDEX(Knutepunkter!$B:$B,E2142+1))</f>
        <v/>
      </c>
      <c r="J2142" t="str">
        <f>IF(E2142="","",INDEX(Knutepunkter!$C:$C,E2142+1))</f>
        <v/>
      </c>
      <c r="K2142" t="str">
        <f>IF(E2142="","",INDEX(Knutepunkter!$D:$D,E2142+1))</f>
        <v/>
      </c>
      <c r="L2142" t="str">
        <f t="shared" si="168"/>
        <v/>
      </c>
      <c r="M2142" t="str">
        <f t="shared" si="169"/>
        <v/>
      </c>
    </row>
    <row r="2143" spans="1:13" x14ac:dyDescent="0.3">
      <c r="A2143" t="str">
        <f>Segmenter!A2143</f>
        <v/>
      </c>
      <c r="B2143" t="str">
        <f>Segmenter!B2143</f>
        <v/>
      </c>
      <c r="C2143" t="str">
        <f t="shared" si="165"/>
        <v/>
      </c>
      <c r="D2143" t="str">
        <f t="shared" si="166"/>
        <v/>
      </c>
      <c r="E2143" t="str">
        <f t="shared" si="167"/>
        <v/>
      </c>
      <c r="F2143" t="str">
        <f>IF(D2143="","",INDEX(Knutepunkter!$B:$B,D2143+1))</f>
        <v/>
      </c>
      <c r="G2143" t="str">
        <f>IF(D2143="","",INDEX(Knutepunkter!$C:$C,D2143+1))</f>
        <v/>
      </c>
      <c r="H2143" t="str">
        <f>IF(D2143="","",INDEX(Knutepunkter!$D:$D,D2143+1))</f>
        <v/>
      </c>
      <c r="I2143" t="str">
        <f>IF(E2143="","",INDEX(Knutepunkter!$B:$B,E2143+1))</f>
        <v/>
      </c>
      <c r="J2143" t="str">
        <f>IF(E2143="","",INDEX(Knutepunkter!$C:$C,E2143+1))</f>
        <v/>
      </c>
      <c r="K2143" t="str">
        <f>IF(E2143="","",INDEX(Knutepunkter!$D:$D,E2143+1))</f>
        <v/>
      </c>
      <c r="L2143" t="str">
        <f t="shared" si="168"/>
        <v/>
      </c>
      <c r="M2143" t="str">
        <f t="shared" si="169"/>
        <v/>
      </c>
    </row>
    <row r="2144" spans="1:13" x14ac:dyDescent="0.3">
      <c r="A2144" t="str">
        <f>Segmenter!A2144</f>
        <v/>
      </c>
      <c r="B2144" t="str">
        <f>Segmenter!B2144</f>
        <v/>
      </c>
      <c r="C2144" t="str">
        <f t="shared" si="165"/>
        <v/>
      </c>
      <c r="D2144" t="str">
        <f t="shared" si="166"/>
        <v/>
      </c>
      <c r="E2144" t="str">
        <f t="shared" si="167"/>
        <v/>
      </c>
      <c r="F2144" t="str">
        <f>IF(D2144="","",INDEX(Knutepunkter!$B:$B,D2144+1))</f>
        <v/>
      </c>
      <c r="G2144" t="str">
        <f>IF(D2144="","",INDEX(Knutepunkter!$C:$C,D2144+1))</f>
        <v/>
      </c>
      <c r="H2144" t="str">
        <f>IF(D2144="","",INDEX(Knutepunkter!$D:$D,D2144+1))</f>
        <v/>
      </c>
      <c r="I2144" t="str">
        <f>IF(E2144="","",INDEX(Knutepunkter!$B:$B,E2144+1))</f>
        <v/>
      </c>
      <c r="J2144" t="str">
        <f>IF(E2144="","",INDEX(Knutepunkter!$C:$C,E2144+1))</f>
        <v/>
      </c>
      <c r="K2144" t="str">
        <f>IF(E2144="","",INDEX(Knutepunkter!$D:$D,E2144+1))</f>
        <v/>
      </c>
      <c r="L2144" t="str">
        <f t="shared" si="168"/>
        <v/>
      </c>
      <c r="M2144" t="str">
        <f t="shared" si="169"/>
        <v/>
      </c>
    </row>
    <row r="2145" spans="1:13" x14ac:dyDescent="0.3">
      <c r="A2145" t="str">
        <f>Segmenter!A2145</f>
        <v/>
      </c>
      <c r="B2145" t="str">
        <f>Segmenter!B2145</f>
        <v/>
      </c>
      <c r="C2145" t="str">
        <f t="shared" si="165"/>
        <v/>
      </c>
      <c r="D2145" t="str">
        <f t="shared" si="166"/>
        <v/>
      </c>
      <c r="E2145" t="str">
        <f t="shared" si="167"/>
        <v/>
      </c>
      <c r="F2145" t="str">
        <f>IF(D2145="","",INDEX(Knutepunkter!$B:$B,D2145+1))</f>
        <v/>
      </c>
      <c r="G2145" t="str">
        <f>IF(D2145="","",INDEX(Knutepunkter!$C:$C,D2145+1))</f>
        <v/>
      </c>
      <c r="H2145" t="str">
        <f>IF(D2145="","",INDEX(Knutepunkter!$D:$D,D2145+1))</f>
        <v/>
      </c>
      <c r="I2145" t="str">
        <f>IF(E2145="","",INDEX(Knutepunkter!$B:$B,E2145+1))</f>
        <v/>
      </c>
      <c r="J2145" t="str">
        <f>IF(E2145="","",INDEX(Knutepunkter!$C:$C,E2145+1))</f>
        <v/>
      </c>
      <c r="K2145" t="str">
        <f>IF(E2145="","",INDEX(Knutepunkter!$D:$D,E2145+1))</f>
        <v/>
      </c>
      <c r="L2145" t="str">
        <f t="shared" si="168"/>
        <v/>
      </c>
      <c r="M2145" t="str">
        <f t="shared" si="169"/>
        <v/>
      </c>
    </row>
    <row r="2146" spans="1:13" x14ac:dyDescent="0.3">
      <c r="A2146" t="str">
        <f>Segmenter!A2146</f>
        <v/>
      </c>
      <c r="B2146" t="str">
        <f>Segmenter!B2146</f>
        <v/>
      </c>
      <c r="C2146" t="str">
        <f t="shared" si="165"/>
        <v/>
      </c>
      <c r="D2146" t="str">
        <f t="shared" si="166"/>
        <v/>
      </c>
      <c r="E2146" t="str">
        <f t="shared" si="167"/>
        <v/>
      </c>
      <c r="F2146" t="str">
        <f>IF(D2146="","",INDEX(Knutepunkter!$B:$B,D2146+1))</f>
        <v/>
      </c>
      <c r="G2146" t="str">
        <f>IF(D2146="","",INDEX(Knutepunkter!$C:$C,D2146+1))</f>
        <v/>
      </c>
      <c r="H2146" t="str">
        <f>IF(D2146="","",INDEX(Knutepunkter!$D:$D,D2146+1))</f>
        <v/>
      </c>
      <c r="I2146" t="str">
        <f>IF(E2146="","",INDEX(Knutepunkter!$B:$B,E2146+1))</f>
        <v/>
      </c>
      <c r="J2146" t="str">
        <f>IF(E2146="","",INDEX(Knutepunkter!$C:$C,E2146+1))</f>
        <v/>
      </c>
      <c r="K2146" t="str">
        <f>IF(E2146="","",INDEX(Knutepunkter!$D:$D,E2146+1))</f>
        <v/>
      </c>
      <c r="L2146" t="str">
        <f t="shared" si="168"/>
        <v/>
      </c>
      <c r="M2146" t="str">
        <f t="shared" si="169"/>
        <v/>
      </c>
    </row>
    <row r="2147" spans="1:13" x14ac:dyDescent="0.3">
      <c r="A2147" t="str">
        <f>Segmenter!A2147</f>
        <v/>
      </c>
      <c r="B2147" t="str">
        <f>Segmenter!B2147</f>
        <v/>
      </c>
      <c r="C2147" t="str">
        <f t="shared" si="165"/>
        <v/>
      </c>
      <c r="D2147" t="str">
        <f t="shared" si="166"/>
        <v/>
      </c>
      <c r="E2147" t="str">
        <f t="shared" si="167"/>
        <v/>
      </c>
      <c r="F2147" t="str">
        <f>IF(D2147="","",INDEX(Knutepunkter!$B:$B,D2147+1))</f>
        <v/>
      </c>
      <c r="G2147" t="str">
        <f>IF(D2147="","",INDEX(Knutepunkter!$C:$C,D2147+1))</f>
        <v/>
      </c>
      <c r="H2147" t="str">
        <f>IF(D2147="","",INDEX(Knutepunkter!$D:$D,D2147+1))</f>
        <v/>
      </c>
      <c r="I2147" t="str">
        <f>IF(E2147="","",INDEX(Knutepunkter!$B:$B,E2147+1))</f>
        <v/>
      </c>
      <c r="J2147" t="str">
        <f>IF(E2147="","",INDEX(Knutepunkter!$C:$C,E2147+1))</f>
        <v/>
      </c>
      <c r="K2147" t="str">
        <f>IF(E2147="","",INDEX(Knutepunkter!$D:$D,E2147+1))</f>
        <v/>
      </c>
      <c r="L2147" t="str">
        <f t="shared" si="168"/>
        <v/>
      </c>
      <c r="M2147" t="str">
        <f t="shared" si="169"/>
        <v/>
      </c>
    </row>
    <row r="2148" spans="1:13" x14ac:dyDescent="0.3">
      <c r="A2148" t="str">
        <f>Segmenter!A2148</f>
        <v/>
      </c>
      <c r="B2148" t="str">
        <f>Segmenter!B2148</f>
        <v/>
      </c>
      <c r="C2148" t="str">
        <f t="shared" si="165"/>
        <v/>
      </c>
      <c r="D2148" t="str">
        <f t="shared" si="166"/>
        <v/>
      </c>
      <c r="E2148" t="str">
        <f t="shared" si="167"/>
        <v/>
      </c>
      <c r="F2148" t="str">
        <f>IF(D2148="","",INDEX(Knutepunkter!$B:$B,D2148+1))</f>
        <v/>
      </c>
      <c r="G2148" t="str">
        <f>IF(D2148="","",INDEX(Knutepunkter!$C:$C,D2148+1))</f>
        <v/>
      </c>
      <c r="H2148" t="str">
        <f>IF(D2148="","",INDEX(Knutepunkter!$D:$D,D2148+1))</f>
        <v/>
      </c>
      <c r="I2148" t="str">
        <f>IF(E2148="","",INDEX(Knutepunkter!$B:$B,E2148+1))</f>
        <v/>
      </c>
      <c r="J2148" t="str">
        <f>IF(E2148="","",INDEX(Knutepunkter!$C:$C,E2148+1))</f>
        <v/>
      </c>
      <c r="K2148" t="str">
        <f>IF(E2148="","",INDEX(Knutepunkter!$D:$D,E2148+1))</f>
        <v/>
      </c>
      <c r="L2148" t="str">
        <f t="shared" si="168"/>
        <v/>
      </c>
      <c r="M2148" t="str">
        <f t="shared" si="169"/>
        <v/>
      </c>
    </row>
    <row r="2149" spans="1:13" x14ac:dyDescent="0.3">
      <c r="A2149" t="str">
        <f>Segmenter!A2149</f>
        <v/>
      </c>
      <c r="B2149" t="str">
        <f>Segmenter!B2149</f>
        <v/>
      </c>
      <c r="C2149" t="str">
        <f t="shared" si="165"/>
        <v/>
      </c>
      <c r="D2149" t="str">
        <f t="shared" si="166"/>
        <v/>
      </c>
      <c r="E2149" t="str">
        <f t="shared" si="167"/>
        <v/>
      </c>
      <c r="F2149" t="str">
        <f>IF(D2149="","",INDEX(Knutepunkter!$B:$B,D2149+1))</f>
        <v/>
      </c>
      <c r="G2149" t="str">
        <f>IF(D2149="","",INDEX(Knutepunkter!$C:$C,D2149+1))</f>
        <v/>
      </c>
      <c r="H2149" t="str">
        <f>IF(D2149="","",INDEX(Knutepunkter!$D:$D,D2149+1))</f>
        <v/>
      </c>
      <c r="I2149" t="str">
        <f>IF(E2149="","",INDEX(Knutepunkter!$B:$B,E2149+1))</f>
        <v/>
      </c>
      <c r="J2149" t="str">
        <f>IF(E2149="","",INDEX(Knutepunkter!$C:$C,E2149+1))</f>
        <v/>
      </c>
      <c r="K2149" t="str">
        <f>IF(E2149="","",INDEX(Knutepunkter!$D:$D,E2149+1))</f>
        <v/>
      </c>
      <c r="L2149" t="str">
        <f t="shared" si="168"/>
        <v/>
      </c>
      <c r="M2149" t="str">
        <f t="shared" si="169"/>
        <v/>
      </c>
    </row>
    <row r="2150" spans="1:13" x14ac:dyDescent="0.3">
      <c r="A2150" t="str">
        <f>Segmenter!A2150</f>
        <v/>
      </c>
      <c r="B2150" t="str">
        <f>Segmenter!B2150</f>
        <v/>
      </c>
      <c r="C2150" t="str">
        <f t="shared" si="165"/>
        <v/>
      </c>
      <c r="D2150" t="str">
        <f t="shared" si="166"/>
        <v/>
      </c>
      <c r="E2150" t="str">
        <f t="shared" si="167"/>
        <v/>
      </c>
      <c r="F2150" t="str">
        <f>IF(D2150="","",INDEX(Knutepunkter!$B:$B,D2150+1))</f>
        <v/>
      </c>
      <c r="G2150" t="str">
        <f>IF(D2150="","",INDEX(Knutepunkter!$C:$C,D2150+1))</f>
        <v/>
      </c>
      <c r="H2150" t="str">
        <f>IF(D2150="","",INDEX(Knutepunkter!$D:$D,D2150+1))</f>
        <v/>
      </c>
      <c r="I2150" t="str">
        <f>IF(E2150="","",INDEX(Knutepunkter!$B:$B,E2150+1))</f>
        <v/>
      </c>
      <c r="J2150" t="str">
        <f>IF(E2150="","",INDEX(Knutepunkter!$C:$C,E2150+1))</f>
        <v/>
      </c>
      <c r="K2150" t="str">
        <f>IF(E2150="","",INDEX(Knutepunkter!$D:$D,E2150+1))</f>
        <v/>
      </c>
      <c r="L2150" t="str">
        <f t="shared" si="168"/>
        <v/>
      </c>
      <c r="M2150" t="str">
        <f t="shared" si="169"/>
        <v/>
      </c>
    </row>
    <row r="2151" spans="1:13" x14ac:dyDescent="0.3">
      <c r="A2151" t="str">
        <f>Segmenter!A2151</f>
        <v/>
      </c>
      <c r="B2151" t="str">
        <f>Segmenter!B2151</f>
        <v/>
      </c>
      <c r="C2151" t="str">
        <f t="shared" si="165"/>
        <v/>
      </c>
      <c r="D2151" t="str">
        <f t="shared" si="166"/>
        <v/>
      </c>
      <c r="E2151" t="str">
        <f t="shared" si="167"/>
        <v/>
      </c>
      <c r="F2151" t="str">
        <f>IF(D2151="","",INDEX(Knutepunkter!$B:$B,D2151+1))</f>
        <v/>
      </c>
      <c r="G2151" t="str">
        <f>IF(D2151="","",INDEX(Knutepunkter!$C:$C,D2151+1))</f>
        <v/>
      </c>
      <c r="H2151" t="str">
        <f>IF(D2151="","",INDEX(Knutepunkter!$D:$D,D2151+1))</f>
        <v/>
      </c>
      <c r="I2151" t="str">
        <f>IF(E2151="","",INDEX(Knutepunkter!$B:$B,E2151+1))</f>
        <v/>
      </c>
      <c r="J2151" t="str">
        <f>IF(E2151="","",INDEX(Knutepunkter!$C:$C,E2151+1))</f>
        <v/>
      </c>
      <c r="K2151" t="str">
        <f>IF(E2151="","",INDEX(Knutepunkter!$D:$D,E2151+1))</f>
        <v/>
      </c>
      <c r="L2151" t="str">
        <f t="shared" si="168"/>
        <v/>
      </c>
      <c r="M2151" t="str">
        <f t="shared" si="169"/>
        <v/>
      </c>
    </row>
    <row r="2152" spans="1:13" x14ac:dyDescent="0.3">
      <c r="A2152" t="str">
        <f>Segmenter!A2152</f>
        <v/>
      </c>
      <c r="B2152" t="str">
        <f>Segmenter!B2152</f>
        <v/>
      </c>
      <c r="C2152" t="str">
        <f t="shared" si="165"/>
        <v/>
      </c>
      <c r="D2152" t="str">
        <f t="shared" si="166"/>
        <v/>
      </c>
      <c r="E2152" t="str">
        <f t="shared" si="167"/>
        <v/>
      </c>
      <c r="F2152" t="str">
        <f>IF(D2152="","",INDEX(Knutepunkter!$B:$B,D2152+1))</f>
        <v/>
      </c>
      <c r="G2152" t="str">
        <f>IF(D2152="","",INDEX(Knutepunkter!$C:$C,D2152+1))</f>
        <v/>
      </c>
      <c r="H2152" t="str">
        <f>IF(D2152="","",INDEX(Knutepunkter!$D:$D,D2152+1))</f>
        <v/>
      </c>
      <c r="I2152" t="str">
        <f>IF(E2152="","",INDEX(Knutepunkter!$B:$B,E2152+1))</f>
        <v/>
      </c>
      <c r="J2152" t="str">
        <f>IF(E2152="","",INDEX(Knutepunkter!$C:$C,E2152+1))</f>
        <v/>
      </c>
      <c r="K2152" t="str">
        <f>IF(E2152="","",INDEX(Knutepunkter!$D:$D,E2152+1))</f>
        <v/>
      </c>
      <c r="L2152" t="str">
        <f t="shared" si="168"/>
        <v/>
      </c>
      <c r="M2152" t="str">
        <f t="shared" si="169"/>
        <v/>
      </c>
    </row>
    <row r="2153" spans="1:13" x14ac:dyDescent="0.3">
      <c r="A2153" t="str">
        <f>Segmenter!A2153</f>
        <v/>
      </c>
      <c r="B2153" t="str">
        <f>Segmenter!B2153</f>
        <v/>
      </c>
      <c r="C2153" t="str">
        <f t="shared" si="165"/>
        <v/>
      </c>
      <c r="D2153" t="str">
        <f t="shared" si="166"/>
        <v/>
      </c>
      <c r="E2153" t="str">
        <f t="shared" si="167"/>
        <v/>
      </c>
      <c r="F2153" t="str">
        <f>IF(D2153="","",INDEX(Knutepunkter!$B:$B,D2153+1))</f>
        <v/>
      </c>
      <c r="G2153" t="str">
        <f>IF(D2153="","",INDEX(Knutepunkter!$C:$C,D2153+1))</f>
        <v/>
      </c>
      <c r="H2153" t="str">
        <f>IF(D2153="","",INDEX(Knutepunkter!$D:$D,D2153+1))</f>
        <v/>
      </c>
      <c r="I2153" t="str">
        <f>IF(E2153="","",INDEX(Knutepunkter!$B:$B,E2153+1))</f>
        <v/>
      </c>
      <c r="J2153" t="str">
        <f>IF(E2153="","",INDEX(Knutepunkter!$C:$C,E2153+1))</f>
        <v/>
      </c>
      <c r="K2153" t="str">
        <f>IF(E2153="","",INDEX(Knutepunkter!$D:$D,E2153+1))</f>
        <v/>
      </c>
      <c r="L2153" t="str">
        <f t="shared" si="168"/>
        <v/>
      </c>
      <c r="M2153" t="str">
        <f t="shared" si="169"/>
        <v/>
      </c>
    </row>
    <row r="2154" spans="1:13" x14ac:dyDescent="0.3">
      <c r="A2154" t="str">
        <f>Segmenter!A2154</f>
        <v/>
      </c>
      <c r="B2154" t="str">
        <f>Segmenter!B2154</f>
        <v/>
      </c>
      <c r="C2154" t="str">
        <f t="shared" si="165"/>
        <v/>
      </c>
      <c r="D2154" t="str">
        <f t="shared" si="166"/>
        <v/>
      </c>
      <c r="E2154" t="str">
        <f t="shared" si="167"/>
        <v/>
      </c>
      <c r="F2154" t="str">
        <f>IF(D2154="","",INDEX(Knutepunkter!$B:$B,D2154+1))</f>
        <v/>
      </c>
      <c r="G2154" t="str">
        <f>IF(D2154="","",INDEX(Knutepunkter!$C:$C,D2154+1))</f>
        <v/>
      </c>
      <c r="H2154" t="str">
        <f>IF(D2154="","",INDEX(Knutepunkter!$D:$D,D2154+1))</f>
        <v/>
      </c>
      <c r="I2154" t="str">
        <f>IF(E2154="","",INDEX(Knutepunkter!$B:$B,E2154+1))</f>
        <v/>
      </c>
      <c r="J2154" t="str">
        <f>IF(E2154="","",INDEX(Knutepunkter!$C:$C,E2154+1))</f>
        <v/>
      </c>
      <c r="K2154" t="str">
        <f>IF(E2154="","",INDEX(Knutepunkter!$D:$D,E2154+1))</f>
        <v/>
      </c>
      <c r="L2154" t="str">
        <f t="shared" si="168"/>
        <v/>
      </c>
      <c r="M2154" t="str">
        <f t="shared" si="169"/>
        <v/>
      </c>
    </row>
    <row r="2155" spans="1:13" x14ac:dyDescent="0.3">
      <c r="A2155" t="str">
        <f>Segmenter!A2155</f>
        <v/>
      </c>
      <c r="B2155" t="str">
        <f>Segmenter!B2155</f>
        <v/>
      </c>
      <c r="C2155" t="str">
        <f t="shared" si="165"/>
        <v/>
      </c>
      <c r="D2155" t="str">
        <f t="shared" si="166"/>
        <v/>
      </c>
      <c r="E2155" t="str">
        <f t="shared" si="167"/>
        <v/>
      </c>
      <c r="F2155" t="str">
        <f>IF(D2155="","",INDEX(Knutepunkter!$B:$B,D2155+1))</f>
        <v/>
      </c>
      <c r="G2155" t="str">
        <f>IF(D2155="","",INDEX(Knutepunkter!$C:$C,D2155+1))</f>
        <v/>
      </c>
      <c r="H2155" t="str">
        <f>IF(D2155="","",INDEX(Knutepunkter!$D:$D,D2155+1))</f>
        <v/>
      </c>
      <c r="I2155" t="str">
        <f>IF(E2155="","",INDEX(Knutepunkter!$B:$B,E2155+1))</f>
        <v/>
      </c>
      <c r="J2155" t="str">
        <f>IF(E2155="","",INDEX(Knutepunkter!$C:$C,E2155+1))</f>
        <v/>
      </c>
      <c r="K2155" t="str">
        <f>IF(E2155="","",INDEX(Knutepunkter!$D:$D,E2155+1))</f>
        <v/>
      </c>
      <c r="L2155" t="str">
        <f t="shared" si="168"/>
        <v/>
      </c>
      <c r="M2155" t="str">
        <f t="shared" si="169"/>
        <v/>
      </c>
    </row>
    <row r="2156" spans="1:13" x14ac:dyDescent="0.3">
      <c r="A2156" t="str">
        <f>Segmenter!A2156</f>
        <v/>
      </c>
      <c r="B2156" t="str">
        <f>Segmenter!B2156</f>
        <v/>
      </c>
      <c r="C2156" t="str">
        <f t="shared" si="165"/>
        <v/>
      </c>
      <c r="D2156" t="str">
        <f t="shared" si="166"/>
        <v/>
      </c>
      <c r="E2156" t="str">
        <f t="shared" si="167"/>
        <v/>
      </c>
      <c r="F2156" t="str">
        <f>IF(D2156="","",INDEX(Knutepunkter!$B:$B,D2156+1))</f>
        <v/>
      </c>
      <c r="G2156" t="str">
        <f>IF(D2156="","",INDEX(Knutepunkter!$C:$C,D2156+1))</f>
        <v/>
      </c>
      <c r="H2156" t="str">
        <f>IF(D2156="","",INDEX(Knutepunkter!$D:$D,D2156+1))</f>
        <v/>
      </c>
      <c r="I2156" t="str">
        <f>IF(E2156="","",INDEX(Knutepunkter!$B:$B,E2156+1))</f>
        <v/>
      </c>
      <c r="J2156" t="str">
        <f>IF(E2156="","",INDEX(Knutepunkter!$C:$C,E2156+1))</f>
        <v/>
      </c>
      <c r="K2156" t="str">
        <f>IF(E2156="","",INDEX(Knutepunkter!$D:$D,E2156+1))</f>
        <v/>
      </c>
      <c r="L2156" t="str">
        <f t="shared" si="168"/>
        <v/>
      </c>
      <c r="M2156" t="str">
        <f t="shared" si="169"/>
        <v/>
      </c>
    </row>
    <row r="2157" spans="1:13" x14ac:dyDescent="0.3">
      <c r="A2157" t="str">
        <f>Segmenter!A2157</f>
        <v/>
      </c>
      <c r="B2157" t="str">
        <f>Segmenter!B2157</f>
        <v/>
      </c>
      <c r="C2157" t="str">
        <f t="shared" si="165"/>
        <v/>
      </c>
      <c r="D2157" t="str">
        <f t="shared" si="166"/>
        <v/>
      </c>
      <c r="E2157" t="str">
        <f t="shared" si="167"/>
        <v/>
      </c>
      <c r="F2157" t="str">
        <f>IF(D2157="","",INDEX(Knutepunkter!$B:$B,D2157+1))</f>
        <v/>
      </c>
      <c r="G2157" t="str">
        <f>IF(D2157="","",INDEX(Knutepunkter!$C:$C,D2157+1))</f>
        <v/>
      </c>
      <c r="H2157" t="str">
        <f>IF(D2157="","",INDEX(Knutepunkter!$D:$D,D2157+1))</f>
        <v/>
      </c>
      <c r="I2157" t="str">
        <f>IF(E2157="","",INDEX(Knutepunkter!$B:$B,E2157+1))</f>
        <v/>
      </c>
      <c r="J2157" t="str">
        <f>IF(E2157="","",INDEX(Knutepunkter!$C:$C,E2157+1))</f>
        <v/>
      </c>
      <c r="K2157" t="str">
        <f>IF(E2157="","",INDEX(Knutepunkter!$D:$D,E2157+1))</f>
        <v/>
      </c>
      <c r="L2157" t="str">
        <f t="shared" si="168"/>
        <v/>
      </c>
      <c r="M2157" t="str">
        <f t="shared" si="169"/>
        <v/>
      </c>
    </row>
    <row r="2158" spans="1:13" x14ac:dyDescent="0.3">
      <c r="A2158" t="str">
        <f>Segmenter!A2158</f>
        <v/>
      </c>
      <c r="B2158" t="str">
        <f>Segmenter!B2158</f>
        <v/>
      </c>
      <c r="C2158" t="str">
        <f t="shared" si="165"/>
        <v/>
      </c>
      <c r="D2158" t="str">
        <f t="shared" si="166"/>
        <v/>
      </c>
      <c r="E2158" t="str">
        <f t="shared" si="167"/>
        <v/>
      </c>
      <c r="F2158" t="str">
        <f>IF(D2158="","",INDEX(Knutepunkter!$B:$B,D2158+1))</f>
        <v/>
      </c>
      <c r="G2158" t="str">
        <f>IF(D2158="","",INDEX(Knutepunkter!$C:$C,D2158+1))</f>
        <v/>
      </c>
      <c r="H2158" t="str">
        <f>IF(D2158="","",INDEX(Knutepunkter!$D:$D,D2158+1))</f>
        <v/>
      </c>
      <c r="I2158" t="str">
        <f>IF(E2158="","",INDEX(Knutepunkter!$B:$B,E2158+1))</f>
        <v/>
      </c>
      <c r="J2158" t="str">
        <f>IF(E2158="","",INDEX(Knutepunkter!$C:$C,E2158+1))</f>
        <v/>
      </c>
      <c r="K2158" t="str">
        <f>IF(E2158="","",INDEX(Knutepunkter!$D:$D,E2158+1))</f>
        <v/>
      </c>
      <c r="L2158" t="str">
        <f t="shared" si="168"/>
        <v/>
      </c>
      <c r="M2158" t="str">
        <f t="shared" si="169"/>
        <v/>
      </c>
    </row>
    <row r="2159" spans="1:13" x14ac:dyDescent="0.3">
      <c r="A2159" t="str">
        <f>Segmenter!A2159</f>
        <v/>
      </c>
      <c r="B2159" t="str">
        <f>Segmenter!B2159</f>
        <v/>
      </c>
      <c r="C2159" t="str">
        <f t="shared" si="165"/>
        <v/>
      </c>
      <c r="D2159" t="str">
        <f t="shared" si="166"/>
        <v/>
      </c>
      <c r="E2159" t="str">
        <f t="shared" si="167"/>
        <v/>
      </c>
      <c r="F2159" t="str">
        <f>IF(D2159="","",INDEX(Knutepunkter!$B:$B,D2159+1))</f>
        <v/>
      </c>
      <c r="G2159" t="str">
        <f>IF(D2159="","",INDEX(Knutepunkter!$C:$C,D2159+1))</f>
        <v/>
      </c>
      <c r="H2159" t="str">
        <f>IF(D2159="","",INDEX(Knutepunkter!$D:$D,D2159+1))</f>
        <v/>
      </c>
      <c r="I2159" t="str">
        <f>IF(E2159="","",INDEX(Knutepunkter!$B:$B,E2159+1))</f>
        <v/>
      </c>
      <c r="J2159" t="str">
        <f>IF(E2159="","",INDEX(Knutepunkter!$C:$C,E2159+1))</f>
        <v/>
      </c>
      <c r="K2159" t="str">
        <f>IF(E2159="","",INDEX(Knutepunkter!$D:$D,E2159+1))</f>
        <v/>
      </c>
      <c r="L2159" t="str">
        <f t="shared" si="168"/>
        <v/>
      </c>
      <c r="M2159" t="str">
        <f t="shared" si="169"/>
        <v/>
      </c>
    </row>
    <row r="2160" spans="1:13" x14ac:dyDescent="0.3">
      <c r="A2160" t="str">
        <f>Segmenter!A2160</f>
        <v/>
      </c>
      <c r="B2160" t="str">
        <f>Segmenter!B2160</f>
        <v/>
      </c>
      <c r="C2160" t="str">
        <f t="shared" si="165"/>
        <v/>
      </c>
      <c r="D2160" t="str">
        <f t="shared" si="166"/>
        <v/>
      </c>
      <c r="E2160" t="str">
        <f t="shared" si="167"/>
        <v/>
      </c>
      <c r="F2160" t="str">
        <f>IF(D2160="","",INDEX(Knutepunkter!$B:$B,D2160+1))</f>
        <v/>
      </c>
      <c r="G2160" t="str">
        <f>IF(D2160="","",INDEX(Knutepunkter!$C:$C,D2160+1))</f>
        <v/>
      </c>
      <c r="H2160" t="str">
        <f>IF(D2160="","",INDEX(Knutepunkter!$D:$D,D2160+1))</f>
        <v/>
      </c>
      <c r="I2160" t="str">
        <f>IF(E2160="","",INDEX(Knutepunkter!$B:$B,E2160+1))</f>
        <v/>
      </c>
      <c r="J2160" t="str">
        <f>IF(E2160="","",INDEX(Knutepunkter!$C:$C,E2160+1))</f>
        <v/>
      </c>
      <c r="K2160" t="str">
        <f>IF(E2160="","",INDEX(Knutepunkter!$D:$D,E2160+1))</f>
        <v/>
      </c>
      <c r="L2160" t="str">
        <f t="shared" si="168"/>
        <v/>
      </c>
      <c r="M2160" t="str">
        <f t="shared" si="169"/>
        <v/>
      </c>
    </row>
    <row r="2161" spans="1:13" x14ac:dyDescent="0.3">
      <c r="A2161" t="str">
        <f>Segmenter!A2161</f>
        <v/>
      </c>
      <c r="B2161" t="str">
        <f>Segmenter!B2161</f>
        <v/>
      </c>
      <c r="C2161" t="str">
        <f t="shared" si="165"/>
        <v/>
      </c>
      <c r="D2161" t="str">
        <f t="shared" si="166"/>
        <v/>
      </c>
      <c r="E2161" t="str">
        <f t="shared" si="167"/>
        <v/>
      </c>
      <c r="F2161" t="str">
        <f>IF(D2161="","",INDEX(Knutepunkter!$B:$B,D2161+1))</f>
        <v/>
      </c>
      <c r="G2161" t="str">
        <f>IF(D2161="","",INDEX(Knutepunkter!$C:$C,D2161+1))</f>
        <v/>
      </c>
      <c r="H2161" t="str">
        <f>IF(D2161="","",INDEX(Knutepunkter!$D:$D,D2161+1))</f>
        <v/>
      </c>
      <c r="I2161" t="str">
        <f>IF(E2161="","",INDEX(Knutepunkter!$B:$B,E2161+1))</f>
        <v/>
      </c>
      <c r="J2161" t="str">
        <f>IF(E2161="","",INDEX(Knutepunkter!$C:$C,E2161+1))</f>
        <v/>
      </c>
      <c r="K2161" t="str">
        <f>IF(E2161="","",INDEX(Knutepunkter!$D:$D,E2161+1))</f>
        <v/>
      </c>
      <c r="L2161" t="str">
        <f t="shared" si="168"/>
        <v/>
      </c>
      <c r="M2161" t="str">
        <f t="shared" si="169"/>
        <v/>
      </c>
    </row>
    <row r="2162" spans="1:13" x14ac:dyDescent="0.3">
      <c r="A2162" t="str">
        <f>Segmenter!A2162</f>
        <v/>
      </c>
      <c r="B2162" t="str">
        <f>Segmenter!B2162</f>
        <v/>
      </c>
      <c r="C2162" t="str">
        <f t="shared" si="165"/>
        <v/>
      </c>
      <c r="D2162" t="str">
        <f t="shared" si="166"/>
        <v/>
      </c>
      <c r="E2162" t="str">
        <f t="shared" si="167"/>
        <v/>
      </c>
      <c r="F2162" t="str">
        <f>IF(D2162="","",INDEX(Knutepunkter!$B:$B,D2162+1))</f>
        <v/>
      </c>
      <c r="G2162" t="str">
        <f>IF(D2162="","",INDEX(Knutepunkter!$C:$C,D2162+1))</f>
        <v/>
      </c>
      <c r="H2162" t="str">
        <f>IF(D2162="","",INDEX(Knutepunkter!$D:$D,D2162+1))</f>
        <v/>
      </c>
      <c r="I2162" t="str">
        <f>IF(E2162="","",INDEX(Knutepunkter!$B:$B,E2162+1))</f>
        <v/>
      </c>
      <c r="J2162" t="str">
        <f>IF(E2162="","",INDEX(Knutepunkter!$C:$C,E2162+1))</f>
        <v/>
      </c>
      <c r="K2162" t="str">
        <f>IF(E2162="","",INDEX(Knutepunkter!$D:$D,E2162+1))</f>
        <v/>
      </c>
      <c r="L2162" t="str">
        <f t="shared" si="168"/>
        <v/>
      </c>
      <c r="M2162" t="str">
        <f t="shared" si="169"/>
        <v/>
      </c>
    </row>
    <row r="2163" spans="1:13" x14ac:dyDescent="0.3">
      <c r="A2163" t="str">
        <f>Segmenter!A2163</f>
        <v/>
      </c>
      <c r="B2163" t="str">
        <f>Segmenter!B2163</f>
        <v/>
      </c>
      <c r="C2163" t="str">
        <f t="shared" si="165"/>
        <v/>
      </c>
      <c r="D2163" t="str">
        <f t="shared" si="166"/>
        <v/>
      </c>
      <c r="E2163" t="str">
        <f t="shared" si="167"/>
        <v/>
      </c>
      <c r="F2163" t="str">
        <f>IF(D2163="","",INDEX(Knutepunkter!$B:$B,D2163+1))</f>
        <v/>
      </c>
      <c r="G2163" t="str">
        <f>IF(D2163="","",INDEX(Knutepunkter!$C:$C,D2163+1))</f>
        <v/>
      </c>
      <c r="H2163" t="str">
        <f>IF(D2163="","",INDEX(Knutepunkter!$D:$D,D2163+1))</f>
        <v/>
      </c>
      <c r="I2163" t="str">
        <f>IF(E2163="","",INDEX(Knutepunkter!$B:$B,E2163+1))</f>
        <v/>
      </c>
      <c r="J2163" t="str">
        <f>IF(E2163="","",INDEX(Knutepunkter!$C:$C,E2163+1))</f>
        <v/>
      </c>
      <c r="K2163" t="str">
        <f>IF(E2163="","",INDEX(Knutepunkter!$D:$D,E2163+1))</f>
        <v/>
      </c>
      <c r="L2163" t="str">
        <f t="shared" si="168"/>
        <v/>
      </c>
      <c r="M2163" t="str">
        <f t="shared" si="169"/>
        <v/>
      </c>
    </row>
    <row r="2164" spans="1:13" x14ac:dyDescent="0.3">
      <c r="A2164" t="str">
        <f>Segmenter!A2164</f>
        <v/>
      </c>
      <c r="B2164" t="str">
        <f>Segmenter!B2164</f>
        <v/>
      </c>
      <c r="C2164" t="str">
        <f t="shared" si="165"/>
        <v/>
      </c>
      <c r="D2164" t="str">
        <f t="shared" si="166"/>
        <v/>
      </c>
      <c r="E2164" t="str">
        <f t="shared" si="167"/>
        <v/>
      </c>
      <c r="F2164" t="str">
        <f>IF(D2164="","",INDEX(Knutepunkter!$B:$B,D2164+1))</f>
        <v/>
      </c>
      <c r="G2164" t="str">
        <f>IF(D2164="","",INDEX(Knutepunkter!$C:$C,D2164+1))</f>
        <v/>
      </c>
      <c r="H2164" t="str">
        <f>IF(D2164="","",INDEX(Knutepunkter!$D:$D,D2164+1))</f>
        <v/>
      </c>
      <c r="I2164" t="str">
        <f>IF(E2164="","",INDEX(Knutepunkter!$B:$B,E2164+1))</f>
        <v/>
      </c>
      <c r="J2164" t="str">
        <f>IF(E2164="","",INDEX(Knutepunkter!$C:$C,E2164+1))</f>
        <v/>
      </c>
      <c r="K2164" t="str">
        <f>IF(E2164="","",INDEX(Knutepunkter!$D:$D,E2164+1))</f>
        <v/>
      </c>
      <c r="L2164" t="str">
        <f t="shared" si="168"/>
        <v/>
      </c>
      <c r="M2164" t="str">
        <f t="shared" si="169"/>
        <v/>
      </c>
    </row>
    <row r="2165" spans="1:13" x14ac:dyDescent="0.3">
      <c r="A2165" t="str">
        <f>Segmenter!A2165</f>
        <v/>
      </c>
      <c r="B2165" t="str">
        <f>Segmenter!B2165</f>
        <v/>
      </c>
      <c r="C2165" t="str">
        <f t="shared" si="165"/>
        <v/>
      </c>
      <c r="D2165" t="str">
        <f t="shared" si="166"/>
        <v/>
      </c>
      <c r="E2165" t="str">
        <f t="shared" si="167"/>
        <v/>
      </c>
      <c r="F2165" t="str">
        <f>IF(D2165="","",INDEX(Knutepunkter!$B:$B,D2165+1))</f>
        <v/>
      </c>
      <c r="G2165" t="str">
        <f>IF(D2165="","",INDEX(Knutepunkter!$C:$C,D2165+1))</f>
        <v/>
      </c>
      <c r="H2165" t="str">
        <f>IF(D2165="","",INDEX(Knutepunkter!$D:$D,D2165+1))</f>
        <v/>
      </c>
      <c r="I2165" t="str">
        <f>IF(E2165="","",INDEX(Knutepunkter!$B:$B,E2165+1))</f>
        <v/>
      </c>
      <c r="J2165" t="str">
        <f>IF(E2165="","",INDEX(Knutepunkter!$C:$C,E2165+1))</f>
        <v/>
      </c>
      <c r="K2165" t="str">
        <f>IF(E2165="","",INDEX(Knutepunkter!$D:$D,E2165+1))</f>
        <v/>
      </c>
      <c r="L2165" t="str">
        <f t="shared" si="168"/>
        <v/>
      </c>
      <c r="M2165" t="str">
        <f t="shared" si="169"/>
        <v/>
      </c>
    </row>
    <row r="2166" spans="1:13" x14ac:dyDescent="0.3">
      <c r="A2166" t="str">
        <f>Segmenter!A2166</f>
        <v/>
      </c>
      <c r="B2166" t="str">
        <f>Segmenter!B2166</f>
        <v/>
      </c>
      <c r="C2166" t="str">
        <f t="shared" si="165"/>
        <v/>
      </c>
      <c r="D2166" t="str">
        <f t="shared" si="166"/>
        <v/>
      </c>
      <c r="E2166" t="str">
        <f t="shared" si="167"/>
        <v/>
      </c>
      <c r="F2166" t="str">
        <f>IF(D2166="","",INDEX(Knutepunkter!$B:$B,D2166+1))</f>
        <v/>
      </c>
      <c r="G2166" t="str">
        <f>IF(D2166="","",INDEX(Knutepunkter!$C:$C,D2166+1))</f>
        <v/>
      </c>
      <c r="H2166" t="str">
        <f>IF(D2166="","",INDEX(Knutepunkter!$D:$D,D2166+1))</f>
        <v/>
      </c>
      <c r="I2166" t="str">
        <f>IF(E2166="","",INDEX(Knutepunkter!$B:$B,E2166+1))</f>
        <v/>
      </c>
      <c r="J2166" t="str">
        <f>IF(E2166="","",INDEX(Knutepunkter!$C:$C,E2166+1))</f>
        <v/>
      </c>
      <c r="K2166" t="str">
        <f>IF(E2166="","",INDEX(Knutepunkter!$D:$D,E2166+1))</f>
        <v/>
      </c>
      <c r="L2166" t="str">
        <f t="shared" si="168"/>
        <v/>
      </c>
      <c r="M2166" t="str">
        <f t="shared" si="169"/>
        <v/>
      </c>
    </row>
    <row r="2167" spans="1:13" x14ac:dyDescent="0.3">
      <c r="A2167" t="str">
        <f>Segmenter!A2167</f>
        <v/>
      </c>
      <c r="B2167" t="str">
        <f>Segmenter!B2167</f>
        <v/>
      </c>
      <c r="C2167" t="str">
        <f t="shared" si="165"/>
        <v/>
      </c>
      <c r="D2167" t="str">
        <f t="shared" si="166"/>
        <v/>
      </c>
      <c r="E2167" t="str">
        <f t="shared" si="167"/>
        <v/>
      </c>
      <c r="F2167" t="str">
        <f>IF(D2167="","",INDEX(Knutepunkter!$B:$B,D2167+1))</f>
        <v/>
      </c>
      <c r="G2167" t="str">
        <f>IF(D2167="","",INDEX(Knutepunkter!$C:$C,D2167+1))</f>
        <v/>
      </c>
      <c r="H2167" t="str">
        <f>IF(D2167="","",INDEX(Knutepunkter!$D:$D,D2167+1))</f>
        <v/>
      </c>
      <c r="I2167" t="str">
        <f>IF(E2167="","",INDEX(Knutepunkter!$B:$B,E2167+1))</f>
        <v/>
      </c>
      <c r="J2167" t="str">
        <f>IF(E2167="","",INDEX(Knutepunkter!$C:$C,E2167+1))</f>
        <v/>
      </c>
      <c r="K2167" t="str">
        <f>IF(E2167="","",INDEX(Knutepunkter!$D:$D,E2167+1))</f>
        <v/>
      </c>
      <c r="L2167" t="str">
        <f t="shared" si="168"/>
        <v/>
      </c>
      <c r="M2167" t="str">
        <f t="shared" si="169"/>
        <v/>
      </c>
    </row>
    <row r="2168" spans="1:13" x14ac:dyDescent="0.3">
      <c r="A2168" t="str">
        <f>Segmenter!A2168</f>
        <v/>
      </c>
      <c r="B2168" t="str">
        <f>Segmenter!B2168</f>
        <v/>
      </c>
      <c r="C2168" t="str">
        <f t="shared" si="165"/>
        <v/>
      </c>
      <c r="D2168" t="str">
        <f t="shared" si="166"/>
        <v/>
      </c>
      <c r="E2168" t="str">
        <f t="shared" si="167"/>
        <v/>
      </c>
      <c r="F2168" t="str">
        <f>IF(D2168="","",INDEX(Knutepunkter!$B:$B,D2168+1))</f>
        <v/>
      </c>
      <c r="G2168" t="str">
        <f>IF(D2168="","",INDEX(Knutepunkter!$C:$C,D2168+1))</f>
        <v/>
      </c>
      <c r="H2168" t="str">
        <f>IF(D2168="","",INDEX(Knutepunkter!$D:$D,D2168+1))</f>
        <v/>
      </c>
      <c r="I2168" t="str">
        <f>IF(E2168="","",INDEX(Knutepunkter!$B:$B,E2168+1))</f>
        <v/>
      </c>
      <c r="J2168" t="str">
        <f>IF(E2168="","",INDEX(Knutepunkter!$C:$C,E2168+1))</f>
        <v/>
      </c>
      <c r="K2168" t="str">
        <f>IF(E2168="","",INDEX(Knutepunkter!$D:$D,E2168+1))</f>
        <v/>
      </c>
      <c r="L2168" t="str">
        <f t="shared" si="168"/>
        <v/>
      </c>
      <c r="M2168" t="str">
        <f t="shared" si="169"/>
        <v/>
      </c>
    </row>
    <row r="2169" spans="1:13" x14ac:dyDescent="0.3">
      <c r="A2169" t="str">
        <f>Segmenter!A2169</f>
        <v/>
      </c>
      <c r="B2169" t="str">
        <f>Segmenter!B2169</f>
        <v/>
      </c>
      <c r="C2169" t="str">
        <f t="shared" si="165"/>
        <v/>
      </c>
      <c r="D2169" t="str">
        <f t="shared" si="166"/>
        <v/>
      </c>
      <c r="E2169" t="str">
        <f t="shared" si="167"/>
        <v/>
      </c>
      <c r="F2169" t="str">
        <f>IF(D2169="","",INDEX(Knutepunkter!$B:$B,D2169+1))</f>
        <v/>
      </c>
      <c r="G2169" t="str">
        <f>IF(D2169="","",INDEX(Knutepunkter!$C:$C,D2169+1))</f>
        <v/>
      </c>
      <c r="H2169" t="str">
        <f>IF(D2169="","",INDEX(Knutepunkter!$D:$D,D2169+1))</f>
        <v/>
      </c>
      <c r="I2169" t="str">
        <f>IF(E2169="","",INDEX(Knutepunkter!$B:$B,E2169+1))</f>
        <v/>
      </c>
      <c r="J2169" t="str">
        <f>IF(E2169="","",INDEX(Knutepunkter!$C:$C,E2169+1))</f>
        <v/>
      </c>
      <c r="K2169" t="str">
        <f>IF(E2169="","",INDEX(Knutepunkter!$D:$D,E2169+1))</f>
        <v/>
      </c>
      <c r="L2169" t="str">
        <f t="shared" si="168"/>
        <v/>
      </c>
      <c r="M2169" t="str">
        <f t="shared" si="169"/>
        <v/>
      </c>
    </row>
    <row r="2170" spans="1:13" x14ac:dyDescent="0.3">
      <c r="A2170" t="str">
        <f>Segmenter!A2170</f>
        <v/>
      </c>
      <c r="B2170" t="str">
        <f>Segmenter!B2170</f>
        <v/>
      </c>
      <c r="C2170" t="str">
        <f t="shared" si="165"/>
        <v/>
      </c>
      <c r="D2170" t="str">
        <f t="shared" si="166"/>
        <v/>
      </c>
      <c r="E2170" t="str">
        <f t="shared" si="167"/>
        <v/>
      </c>
      <c r="F2170" t="str">
        <f>IF(D2170="","",INDEX(Knutepunkter!$B:$B,D2170+1))</f>
        <v/>
      </c>
      <c r="G2170" t="str">
        <f>IF(D2170="","",INDEX(Knutepunkter!$C:$C,D2170+1))</f>
        <v/>
      </c>
      <c r="H2170" t="str">
        <f>IF(D2170="","",INDEX(Knutepunkter!$D:$D,D2170+1))</f>
        <v/>
      </c>
      <c r="I2170" t="str">
        <f>IF(E2170="","",INDEX(Knutepunkter!$B:$B,E2170+1))</f>
        <v/>
      </c>
      <c r="J2170" t="str">
        <f>IF(E2170="","",INDEX(Knutepunkter!$C:$C,E2170+1))</f>
        <v/>
      </c>
      <c r="K2170" t="str">
        <f>IF(E2170="","",INDEX(Knutepunkter!$D:$D,E2170+1))</f>
        <v/>
      </c>
      <c r="L2170" t="str">
        <f t="shared" si="168"/>
        <v/>
      </c>
      <c r="M2170" t="str">
        <f t="shared" si="169"/>
        <v/>
      </c>
    </row>
    <row r="2171" spans="1:13" x14ac:dyDescent="0.3">
      <c r="A2171" t="str">
        <f>Segmenter!A2171</f>
        <v/>
      </c>
      <c r="B2171" t="str">
        <f>Segmenter!B2171</f>
        <v/>
      </c>
      <c r="C2171" t="str">
        <f t="shared" si="165"/>
        <v/>
      </c>
      <c r="D2171" t="str">
        <f t="shared" si="166"/>
        <v/>
      </c>
      <c r="E2171" t="str">
        <f t="shared" si="167"/>
        <v/>
      </c>
      <c r="F2171" t="str">
        <f>IF(D2171="","",INDEX(Knutepunkter!$B:$B,D2171+1))</f>
        <v/>
      </c>
      <c r="G2171" t="str">
        <f>IF(D2171="","",INDEX(Knutepunkter!$C:$C,D2171+1))</f>
        <v/>
      </c>
      <c r="H2171" t="str">
        <f>IF(D2171="","",INDEX(Knutepunkter!$D:$D,D2171+1))</f>
        <v/>
      </c>
      <c r="I2171" t="str">
        <f>IF(E2171="","",INDEX(Knutepunkter!$B:$B,E2171+1))</f>
        <v/>
      </c>
      <c r="J2171" t="str">
        <f>IF(E2171="","",INDEX(Knutepunkter!$C:$C,E2171+1))</f>
        <v/>
      </c>
      <c r="K2171" t="str">
        <f>IF(E2171="","",INDEX(Knutepunkter!$D:$D,E2171+1))</f>
        <v/>
      </c>
      <c r="L2171" t="str">
        <f t="shared" si="168"/>
        <v/>
      </c>
      <c r="M2171" t="str">
        <f t="shared" si="169"/>
        <v/>
      </c>
    </row>
    <row r="2172" spans="1:13" x14ac:dyDescent="0.3">
      <c r="A2172" t="str">
        <f>Segmenter!A2172</f>
        <v/>
      </c>
      <c r="B2172" t="str">
        <f>Segmenter!B2172</f>
        <v/>
      </c>
      <c r="C2172" t="str">
        <f t="shared" si="165"/>
        <v/>
      </c>
      <c r="D2172" t="str">
        <f t="shared" si="166"/>
        <v/>
      </c>
      <c r="E2172" t="str">
        <f t="shared" si="167"/>
        <v/>
      </c>
      <c r="F2172" t="str">
        <f>IF(D2172="","",INDEX(Knutepunkter!$B:$B,D2172+1))</f>
        <v/>
      </c>
      <c r="G2172" t="str">
        <f>IF(D2172="","",INDEX(Knutepunkter!$C:$C,D2172+1))</f>
        <v/>
      </c>
      <c r="H2172" t="str">
        <f>IF(D2172="","",INDEX(Knutepunkter!$D:$D,D2172+1))</f>
        <v/>
      </c>
      <c r="I2172" t="str">
        <f>IF(E2172="","",INDEX(Knutepunkter!$B:$B,E2172+1))</f>
        <v/>
      </c>
      <c r="J2172" t="str">
        <f>IF(E2172="","",INDEX(Knutepunkter!$C:$C,E2172+1))</f>
        <v/>
      </c>
      <c r="K2172" t="str">
        <f>IF(E2172="","",INDEX(Knutepunkter!$D:$D,E2172+1))</f>
        <v/>
      </c>
      <c r="L2172" t="str">
        <f t="shared" si="168"/>
        <v/>
      </c>
      <c r="M2172" t="str">
        <f t="shared" si="169"/>
        <v/>
      </c>
    </row>
    <row r="2173" spans="1:13" x14ac:dyDescent="0.3">
      <c r="A2173" t="str">
        <f>Segmenter!A2173</f>
        <v/>
      </c>
      <c r="B2173" t="str">
        <f>Segmenter!B2173</f>
        <v/>
      </c>
      <c r="C2173" t="str">
        <f t="shared" si="165"/>
        <v/>
      </c>
      <c r="D2173" t="str">
        <f t="shared" si="166"/>
        <v/>
      </c>
      <c r="E2173" t="str">
        <f t="shared" si="167"/>
        <v/>
      </c>
      <c r="F2173" t="str">
        <f>IF(D2173="","",INDEX(Knutepunkter!$B:$B,D2173+1))</f>
        <v/>
      </c>
      <c r="G2173" t="str">
        <f>IF(D2173="","",INDEX(Knutepunkter!$C:$C,D2173+1))</f>
        <v/>
      </c>
      <c r="H2173" t="str">
        <f>IF(D2173="","",INDEX(Knutepunkter!$D:$D,D2173+1))</f>
        <v/>
      </c>
      <c r="I2173" t="str">
        <f>IF(E2173="","",INDEX(Knutepunkter!$B:$B,E2173+1))</f>
        <v/>
      </c>
      <c r="J2173" t="str">
        <f>IF(E2173="","",INDEX(Knutepunkter!$C:$C,E2173+1))</f>
        <v/>
      </c>
      <c r="K2173" t="str">
        <f>IF(E2173="","",INDEX(Knutepunkter!$D:$D,E2173+1))</f>
        <v/>
      </c>
      <c r="L2173" t="str">
        <f t="shared" si="168"/>
        <v/>
      </c>
      <c r="M2173" t="str">
        <f t="shared" si="169"/>
        <v/>
      </c>
    </row>
    <row r="2174" spans="1:13" x14ac:dyDescent="0.3">
      <c r="A2174" t="str">
        <f>Segmenter!A2174</f>
        <v/>
      </c>
      <c r="B2174" t="str">
        <f>Segmenter!B2174</f>
        <v/>
      </c>
      <c r="C2174" t="str">
        <f t="shared" si="165"/>
        <v/>
      </c>
      <c r="D2174" t="str">
        <f t="shared" si="166"/>
        <v/>
      </c>
      <c r="E2174" t="str">
        <f t="shared" si="167"/>
        <v/>
      </c>
      <c r="F2174" t="str">
        <f>IF(D2174="","",INDEX(Knutepunkter!$B:$B,D2174+1))</f>
        <v/>
      </c>
      <c r="G2174" t="str">
        <f>IF(D2174="","",INDEX(Knutepunkter!$C:$C,D2174+1))</f>
        <v/>
      </c>
      <c r="H2174" t="str">
        <f>IF(D2174="","",INDEX(Knutepunkter!$D:$D,D2174+1))</f>
        <v/>
      </c>
      <c r="I2174" t="str">
        <f>IF(E2174="","",INDEX(Knutepunkter!$B:$B,E2174+1))</f>
        <v/>
      </c>
      <c r="J2174" t="str">
        <f>IF(E2174="","",INDEX(Knutepunkter!$C:$C,E2174+1))</f>
        <v/>
      </c>
      <c r="K2174" t="str">
        <f>IF(E2174="","",INDEX(Knutepunkter!$D:$D,E2174+1))</f>
        <v/>
      </c>
      <c r="L2174" t="str">
        <f t="shared" si="168"/>
        <v/>
      </c>
      <c r="M2174" t="str">
        <f t="shared" si="169"/>
        <v/>
      </c>
    </row>
    <row r="2175" spans="1:13" x14ac:dyDescent="0.3">
      <c r="A2175" t="str">
        <f>Segmenter!A2175</f>
        <v/>
      </c>
      <c r="B2175" t="str">
        <f>Segmenter!B2175</f>
        <v/>
      </c>
      <c r="C2175" t="str">
        <f t="shared" si="165"/>
        <v/>
      </c>
      <c r="D2175" t="str">
        <f t="shared" si="166"/>
        <v/>
      </c>
      <c r="E2175" t="str">
        <f t="shared" si="167"/>
        <v/>
      </c>
      <c r="F2175" t="str">
        <f>IF(D2175="","",INDEX(Knutepunkter!$B:$B,D2175+1))</f>
        <v/>
      </c>
      <c r="G2175" t="str">
        <f>IF(D2175="","",INDEX(Knutepunkter!$C:$C,D2175+1))</f>
        <v/>
      </c>
      <c r="H2175" t="str">
        <f>IF(D2175="","",INDEX(Knutepunkter!$D:$D,D2175+1))</f>
        <v/>
      </c>
      <c r="I2175" t="str">
        <f>IF(E2175="","",INDEX(Knutepunkter!$B:$B,E2175+1))</f>
        <v/>
      </c>
      <c r="J2175" t="str">
        <f>IF(E2175="","",INDEX(Knutepunkter!$C:$C,E2175+1))</f>
        <v/>
      </c>
      <c r="K2175" t="str">
        <f>IF(E2175="","",INDEX(Knutepunkter!$D:$D,E2175+1))</f>
        <v/>
      </c>
      <c r="L2175" t="str">
        <f t="shared" si="168"/>
        <v/>
      </c>
      <c r="M2175" t="str">
        <f t="shared" si="169"/>
        <v/>
      </c>
    </row>
    <row r="2176" spans="1:13" x14ac:dyDescent="0.3">
      <c r="A2176" t="str">
        <f>Segmenter!A2176</f>
        <v/>
      </c>
      <c r="B2176" t="str">
        <f>Segmenter!B2176</f>
        <v/>
      </c>
      <c r="C2176" t="str">
        <f t="shared" si="165"/>
        <v/>
      </c>
      <c r="D2176" t="str">
        <f t="shared" si="166"/>
        <v/>
      </c>
      <c r="E2176" t="str">
        <f t="shared" si="167"/>
        <v/>
      </c>
      <c r="F2176" t="str">
        <f>IF(D2176="","",INDEX(Knutepunkter!$B:$B,D2176+1))</f>
        <v/>
      </c>
      <c r="G2176" t="str">
        <f>IF(D2176="","",INDEX(Knutepunkter!$C:$C,D2176+1))</f>
        <v/>
      </c>
      <c r="H2176" t="str">
        <f>IF(D2176="","",INDEX(Knutepunkter!$D:$D,D2176+1))</f>
        <v/>
      </c>
      <c r="I2176" t="str">
        <f>IF(E2176="","",INDEX(Knutepunkter!$B:$B,E2176+1))</f>
        <v/>
      </c>
      <c r="J2176" t="str">
        <f>IF(E2176="","",INDEX(Knutepunkter!$C:$C,E2176+1))</f>
        <v/>
      </c>
      <c r="K2176" t="str">
        <f>IF(E2176="","",INDEX(Knutepunkter!$D:$D,E2176+1))</f>
        <v/>
      </c>
      <c r="L2176" t="str">
        <f t="shared" si="168"/>
        <v/>
      </c>
      <c r="M2176" t="str">
        <f t="shared" si="169"/>
        <v/>
      </c>
    </row>
    <row r="2177" spans="1:13" x14ac:dyDescent="0.3">
      <c r="A2177" t="str">
        <f>Segmenter!A2177</f>
        <v/>
      </c>
      <c r="B2177" t="str">
        <f>Segmenter!B2177</f>
        <v/>
      </c>
      <c r="C2177" t="str">
        <f t="shared" si="165"/>
        <v/>
      </c>
      <c r="D2177" t="str">
        <f t="shared" si="166"/>
        <v/>
      </c>
      <c r="E2177" t="str">
        <f t="shared" si="167"/>
        <v/>
      </c>
      <c r="F2177" t="str">
        <f>IF(D2177="","",INDEX(Knutepunkter!$B:$B,D2177+1))</f>
        <v/>
      </c>
      <c r="G2177" t="str">
        <f>IF(D2177="","",INDEX(Knutepunkter!$C:$C,D2177+1))</f>
        <v/>
      </c>
      <c r="H2177" t="str">
        <f>IF(D2177="","",INDEX(Knutepunkter!$D:$D,D2177+1))</f>
        <v/>
      </c>
      <c r="I2177" t="str">
        <f>IF(E2177="","",INDEX(Knutepunkter!$B:$B,E2177+1))</f>
        <v/>
      </c>
      <c r="J2177" t="str">
        <f>IF(E2177="","",INDEX(Knutepunkter!$C:$C,E2177+1))</f>
        <v/>
      </c>
      <c r="K2177" t="str">
        <f>IF(E2177="","",INDEX(Knutepunkter!$D:$D,E2177+1))</f>
        <v/>
      </c>
      <c r="L2177" t="str">
        <f t="shared" si="168"/>
        <v/>
      </c>
      <c r="M2177" t="str">
        <f t="shared" si="169"/>
        <v/>
      </c>
    </row>
    <row r="2178" spans="1:13" x14ac:dyDescent="0.3">
      <c r="A2178" t="str">
        <f>Segmenter!A2178</f>
        <v/>
      </c>
      <c r="B2178" t="str">
        <f>Segmenter!B2178</f>
        <v/>
      </c>
      <c r="C2178" t="str">
        <f t="shared" ref="C2178:C2241" si="170">IF(B2178="","",IF(AND(F2178=I2178,G2178=J2178,H2178&lt;&gt;K2178),"Søyle","Bjelke"))</f>
        <v/>
      </c>
      <c r="D2178" t="str">
        <f t="shared" ref="D2178:D2241" si="171">IF(B2178="","",VALUE(LEFT(B2178,FIND(" -&gt; ",B2178)-1)))</f>
        <v/>
      </c>
      <c r="E2178" t="str">
        <f t="shared" ref="E2178:E2241" si="172">IF(B2178="","",VALUE(MID(B2178,FIND(" -&gt; ",B2178)+4,99)))</f>
        <v/>
      </c>
      <c r="F2178" t="str">
        <f>IF(D2178="","",INDEX(Knutepunkter!$B:$B,D2178+1))</f>
        <v/>
      </c>
      <c r="G2178" t="str">
        <f>IF(D2178="","",INDEX(Knutepunkter!$C:$C,D2178+1))</f>
        <v/>
      </c>
      <c r="H2178" t="str">
        <f>IF(D2178="","",INDEX(Knutepunkter!$D:$D,D2178+1))</f>
        <v/>
      </c>
      <c r="I2178" t="str">
        <f>IF(E2178="","",INDEX(Knutepunkter!$B:$B,E2178+1))</f>
        <v/>
      </c>
      <c r="J2178" t="str">
        <f>IF(E2178="","",INDEX(Knutepunkter!$C:$C,E2178+1))</f>
        <v/>
      </c>
      <c r="K2178" t="str">
        <f>IF(E2178="","",INDEX(Knutepunkter!$D:$D,E2178+1))</f>
        <v/>
      </c>
      <c r="L2178" t="str">
        <f t="shared" ref="L2178:L2241" si="173">IF(B2178="","",SQRT((I2178-F2178)^2+(J2178-G2178)^2+(K2178-H2178)^2))</f>
        <v/>
      </c>
      <c r="M2178" t="str">
        <f t="shared" ref="M2178:M2241" si="174">IF(L2178="","",L2178/1000)</f>
        <v/>
      </c>
    </row>
    <row r="2179" spans="1:13" x14ac:dyDescent="0.3">
      <c r="A2179" t="str">
        <f>Segmenter!A2179</f>
        <v/>
      </c>
      <c r="B2179" t="str">
        <f>Segmenter!B2179</f>
        <v/>
      </c>
      <c r="C2179" t="str">
        <f t="shared" si="170"/>
        <v/>
      </c>
      <c r="D2179" t="str">
        <f t="shared" si="171"/>
        <v/>
      </c>
      <c r="E2179" t="str">
        <f t="shared" si="172"/>
        <v/>
      </c>
      <c r="F2179" t="str">
        <f>IF(D2179="","",INDEX(Knutepunkter!$B:$B,D2179+1))</f>
        <v/>
      </c>
      <c r="G2179" t="str">
        <f>IF(D2179="","",INDEX(Knutepunkter!$C:$C,D2179+1))</f>
        <v/>
      </c>
      <c r="H2179" t="str">
        <f>IF(D2179="","",INDEX(Knutepunkter!$D:$D,D2179+1))</f>
        <v/>
      </c>
      <c r="I2179" t="str">
        <f>IF(E2179="","",INDEX(Knutepunkter!$B:$B,E2179+1))</f>
        <v/>
      </c>
      <c r="J2179" t="str">
        <f>IF(E2179="","",INDEX(Knutepunkter!$C:$C,E2179+1))</f>
        <v/>
      </c>
      <c r="K2179" t="str">
        <f>IF(E2179="","",INDEX(Knutepunkter!$D:$D,E2179+1))</f>
        <v/>
      </c>
      <c r="L2179" t="str">
        <f t="shared" si="173"/>
        <v/>
      </c>
      <c r="M2179" t="str">
        <f t="shared" si="174"/>
        <v/>
      </c>
    </row>
    <row r="2180" spans="1:13" x14ac:dyDescent="0.3">
      <c r="A2180" t="str">
        <f>Segmenter!A2180</f>
        <v/>
      </c>
      <c r="B2180" t="str">
        <f>Segmenter!B2180</f>
        <v/>
      </c>
      <c r="C2180" t="str">
        <f t="shared" si="170"/>
        <v/>
      </c>
      <c r="D2180" t="str">
        <f t="shared" si="171"/>
        <v/>
      </c>
      <c r="E2180" t="str">
        <f t="shared" si="172"/>
        <v/>
      </c>
      <c r="F2180" t="str">
        <f>IF(D2180="","",INDEX(Knutepunkter!$B:$B,D2180+1))</f>
        <v/>
      </c>
      <c r="G2180" t="str">
        <f>IF(D2180="","",INDEX(Knutepunkter!$C:$C,D2180+1))</f>
        <v/>
      </c>
      <c r="H2180" t="str">
        <f>IF(D2180="","",INDEX(Knutepunkter!$D:$D,D2180+1))</f>
        <v/>
      </c>
      <c r="I2180" t="str">
        <f>IF(E2180="","",INDEX(Knutepunkter!$B:$B,E2180+1))</f>
        <v/>
      </c>
      <c r="J2180" t="str">
        <f>IF(E2180="","",INDEX(Knutepunkter!$C:$C,E2180+1))</f>
        <v/>
      </c>
      <c r="K2180" t="str">
        <f>IF(E2180="","",INDEX(Knutepunkter!$D:$D,E2180+1))</f>
        <v/>
      </c>
      <c r="L2180" t="str">
        <f t="shared" si="173"/>
        <v/>
      </c>
      <c r="M2180" t="str">
        <f t="shared" si="174"/>
        <v/>
      </c>
    </row>
    <row r="2181" spans="1:13" x14ac:dyDescent="0.3">
      <c r="A2181" t="str">
        <f>Segmenter!A2181</f>
        <v/>
      </c>
      <c r="B2181" t="str">
        <f>Segmenter!B2181</f>
        <v/>
      </c>
      <c r="C2181" t="str">
        <f t="shared" si="170"/>
        <v/>
      </c>
      <c r="D2181" t="str">
        <f t="shared" si="171"/>
        <v/>
      </c>
      <c r="E2181" t="str">
        <f t="shared" si="172"/>
        <v/>
      </c>
      <c r="F2181" t="str">
        <f>IF(D2181="","",INDEX(Knutepunkter!$B:$B,D2181+1))</f>
        <v/>
      </c>
      <c r="G2181" t="str">
        <f>IF(D2181="","",INDEX(Knutepunkter!$C:$C,D2181+1))</f>
        <v/>
      </c>
      <c r="H2181" t="str">
        <f>IF(D2181="","",INDEX(Knutepunkter!$D:$D,D2181+1))</f>
        <v/>
      </c>
      <c r="I2181" t="str">
        <f>IF(E2181="","",INDEX(Knutepunkter!$B:$B,E2181+1))</f>
        <v/>
      </c>
      <c r="J2181" t="str">
        <f>IF(E2181="","",INDEX(Knutepunkter!$C:$C,E2181+1))</f>
        <v/>
      </c>
      <c r="K2181" t="str">
        <f>IF(E2181="","",INDEX(Knutepunkter!$D:$D,E2181+1))</f>
        <v/>
      </c>
      <c r="L2181" t="str">
        <f t="shared" si="173"/>
        <v/>
      </c>
      <c r="M2181" t="str">
        <f t="shared" si="174"/>
        <v/>
      </c>
    </row>
    <row r="2182" spans="1:13" x14ac:dyDescent="0.3">
      <c r="A2182" t="str">
        <f>Segmenter!A2182</f>
        <v/>
      </c>
      <c r="B2182" t="str">
        <f>Segmenter!B2182</f>
        <v/>
      </c>
      <c r="C2182" t="str">
        <f t="shared" si="170"/>
        <v/>
      </c>
      <c r="D2182" t="str">
        <f t="shared" si="171"/>
        <v/>
      </c>
      <c r="E2182" t="str">
        <f t="shared" si="172"/>
        <v/>
      </c>
      <c r="F2182" t="str">
        <f>IF(D2182="","",INDEX(Knutepunkter!$B:$B,D2182+1))</f>
        <v/>
      </c>
      <c r="G2182" t="str">
        <f>IF(D2182="","",INDEX(Knutepunkter!$C:$C,D2182+1))</f>
        <v/>
      </c>
      <c r="H2182" t="str">
        <f>IF(D2182="","",INDEX(Knutepunkter!$D:$D,D2182+1))</f>
        <v/>
      </c>
      <c r="I2182" t="str">
        <f>IF(E2182="","",INDEX(Knutepunkter!$B:$B,E2182+1))</f>
        <v/>
      </c>
      <c r="J2182" t="str">
        <f>IF(E2182="","",INDEX(Knutepunkter!$C:$C,E2182+1))</f>
        <v/>
      </c>
      <c r="K2182" t="str">
        <f>IF(E2182="","",INDEX(Knutepunkter!$D:$D,E2182+1))</f>
        <v/>
      </c>
      <c r="L2182" t="str">
        <f t="shared" si="173"/>
        <v/>
      </c>
      <c r="M2182" t="str">
        <f t="shared" si="174"/>
        <v/>
      </c>
    </row>
    <row r="2183" spans="1:13" x14ac:dyDescent="0.3">
      <c r="A2183" t="str">
        <f>Segmenter!A2183</f>
        <v/>
      </c>
      <c r="B2183" t="str">
        <f>Segmenter!B2183</f>
        <v/>
      </c>
      <c r="C2183" t="str">
        <f t="shared" si="170"/>
        <v/>
      </c>
      <c r="D2183" t="str">
        <f t="shared" si="171"/>
        <v/>
      </c>
      <c r="E2183" t="str">
        <f t="shared" si="172"/>
        <v/>
      </c>
      <c r="F2183" t="str">
        <f>IF(D2183="","",INDEX(Knutepunkter!$B:$B,D2183+1))</f>
        <v/>
      </c>
      <c r="G2183" t="str">
        <f>IF(D2183="","",INDEX(Knutepunkter!$C:$C,D2183+1))</f>
        <v/>
      </c>
      <c r="H2183" t="str">
        <f>IF(D2183="","",INDEX(Knutepunkter!$D:$D,D2183+1))</f>
        <v/>
      </c>
      <c r="I2183" t="str">
        <f>IF(E2183="","",INDEX(Knutepunkter!$B:$B,E2183+1))</f>
        <v/>
      </c>
      <c r="J2183" t="str">
        <f>IF(E2183="","",INDEX(Knutepunkter!$C:$C,E2183+1))</f>
        <v/>
      </c>
      <c r="K2183" t="str">
        <f>IF(E2183="","",INDEX(Knutepunkter!$D:$D,E2183+1))</f>
        <v/>
      </c>
      <c r="L2183" t="str">
        <f t="shared" si="173"/>
        <v/>
      </c>
      <c r="M2183" t="str">
        <f t="shared" si="174"/>
        <v/>
      </c>
    </row>
    <row r="2184" spans="1:13" x14ac:dyDescent="0.3">
      <c r="A2184" t="str">
        <f>Segmenter!A2184</f>
        <v/>
      </c>
      <c r="B2184" t="str">
        <f>Segmenter!B2184</f>
        <v/>
      </c>
      <c r="C2184" t="str">
        <f t="shared" si="170"/>
        <v/>
      </c>
      <c r="D2184" t="str">
        <f t="shared" si="171"/>
        <v/>
      </c>
      <c r="E2184" t="str">
        <f t="shared" si="172"/>
        <v/>
      </c>
      <c r="F2184" t="str">
        <f>IF(D2184="","",INDEX(Knutepunkter!$B:$B,D2184+1))</f>
        <v/>
      </c>
      <c r="G2184" t="str">
        <f>IF(D2184="","",INDEX(Knutepunkter!$C:$C,D2184+1))</f>
        <v/>
      </c>
      <c r="H2184" t="str">
        <f>IF(D2184="","",INDEX(Knutepunkter!$D:$D,D2184+1))</f>
        <v/>
      </c>
      <c r="I2184" t="str">
        <f>IF(E2184="","",INDEX(Knutepunkter!$B:$B,E2184+1))</f>
        <v/>
      </c>
      <c r="J2184" t="str">
        <f>IF(E2184="","",INDEX(Knutepunkter!$C:$C,E2184+1))</f>
        <v/>
      </c>
      <c r="K2184" t="str">
        <f>IF(E2184="","",INDEX(Knutepunkter!$D:$D,E2184+1))</f>
        <v/>
      </c>
      <c r="L2184" t="str">
        <f t="shared" si="173"/>
        <v/>
      </c>
      <c r="M2184" t="str">
        <f t="shared" si="174"/>
        <v/>
      </c>
    </row>
    <row r="2185" spans="1:13" x14ac:dyDescent="0.3">
      <c r="A2185" t="str">
        <f>Segmenter!A2185</f>
        <v/>
      </c>
      <c r="B2185" t="str">
        <f>Segmenter!B2185</f>
        <v/>
      </c>
      <c r="C2185" t="str">
        <f t="shared" si="170"/>
        <v/>
      </c>
      <c r="D2185" t="str">
        <f t="shared" si="171"/>
        <v/>
      </c>
      <c r="E2185" t="str">
        <f t="shared" si="172"/>
        <v/>
      </c>
      <c r="F2185" t="str">
        <f>IF(D2185="","",INDEX(Knutepunkter!$B:$B,D2185+1))</f>
        <v/>
      </c>
      <c r="G2185" t="str">
        <f>IF(D2185="","",INDEX(Knutepunkter!$C:$C,D2185+1))</f>
        <v/>
      </c>
      <c r="H2185" t="str">
        <f>IF(D2185="","",INDEX(Knutepunkter!$D:$D,D2185+1))</f>
        <v/>
      </c>
      <c r="I2185" t="str">
        <f>IF(E2185="","",INDEX(Knutepunkter!$B:$B,E2185+1))</f>
        <v/>
      </c>
      <c r="J2185" t="str">
        <f>IF(E2185="","",INDEX(Knutepunkter!$C:$C,E2185+1))</f>
        <v/>
      </c>
      <c r="K2185" t="str">
        <f>IF(E2185="","",INDEX(Knutepunkter!$D:$D,E2185+1))</f>
        <v/>
      </c>
      <c r="L2185" t="str">
        <f t="shared" si="173"/>
        <v/>
      </c>
      <c r="M2185" t="str">
        <f t="shared" si="174"/>
        <v/>
      </c>
    </row>
    <row r="2186" spans="1:13" x14ac:dyDescent="0.3">
      <c r="A2186" t="str">
        <f>Segmenter!A2186</f>
        <v/>
      </c>
      <c r="B2186" t="str">
        <f>Segmenter!B2186</f>
        <v/>
      </c>
      <c r="C2186" t="str">
        <f t="shared" si="170"/>
        <v/>
      </c>
      <c r="D2186" t="str">
        <f t="shared" si="171"/>
        <v/>
      </c>
      <c r="E2186" t="str">
        <f t="shared" si="172"/>
        <v/>
      </c>
      <c r="F2186" t="str">
        <f>IF(D2186="","",INDEX(Knutepunkter!$B:$B,D2186+1))</f>
        <v/>
      </c>
      <c r="G2186" t="str">
        <f>IF(D2186="","",INDEX(Knutepunkter!$C:$C,D2186+1))</f>
        <v/>
      </c>
      <c r="H2186" t="str">
        <f>IF(D2186="","",INDEX(Knutepunkter!$D:$D,D2186+1))</f>
        <v/>
      </c>
      <c r="I2186" t="str">
        <f>IF(E2186="","",INDEX(Knutepunkter!$B:$B,E2186+1))</f>
        <v/>
      </c>
      <c r="J2186" t="str">
        <f>IF(E2186="","",INDEX(Knutepunkter!$C:$C,E2186+1))</f>
        <v/>
      </c>
      <c r="K2186" t="str">
        <f>IF(E2186="","",INDEX(Knutepunkter!$D:$D,E2186+1))</f>
        <v/>
      </c>
      <c r="L2186" t="str">
        <f t="shared" si="173"/>
        <v/>
      </c>
      <c r="M2186" t="str">
        <f t="shared" si="174"/>
        <v/>
      </c>
    </row>
    <row r="2187" spans="1:13" x14ac:dyDescent="0.3">
      <c r="A2187" t="str">
        <f>Segmenter!A2187</f>
        <v/>
      </c>
      <c r="B2187" t="str">
        <f>Segmenter!B2187</f>
        <v/>
      </c>
      <c r="C2187" t="str">
        <f t="shared" si="170"/>
        <v/>
      </c>
      <c r="D2187" t="str">
        <f t="shared" si="171"/>
        <v/>
      </c>
      <c r="E2187" t="str">
        <f t="shared" si="172"/>
        <v/>
      </c>
      <c r="F2187" t="str">
        <f>IF(D2187="","",INDEX(Knutepunkter!$B:$B,D2187+1))</f>
        <v/>
      </c>
      <c r="G2187" t="str">
        <f>IF(D2187="","",INDEX(Knutepunkter!$C:$C,D2187+1))</f>
        <v/>
      </c>
      <c r="H2187" t="str">
        <f>IF(D2187="","",INDEX(Knutepunkter!$D:$D,D2187+1))</f>
        <v/>
      </c>
      <c r="I2187" t="str">
        <f>IF(E2187="","",INDEX(Knutepunkter!$B:$B,E2187+1))</f>
        <v/>
      </c>
      <c r="J2187" t="str">
        <f>IF(E2187="","",INDEX(Knutepunkter!$C:$C,E2187+1))</f>
        <v/>
      </c>
      <c r="K2187" t="str">
        <f>IF(E2187="","",INDEX(Knutepunkter!$D:$D,E2187+1))</f>
        <v/>
      </c>
      <c r="L2187" t="str">
        <f t="shared" si="173"/>
        <v/>
      </c>
      <c r="M2187" t="str">
        <f t="shared" si="174"/>
        <v/>
      </c>
    </row>
    <row r="2188" spans="1:13" x14ac:dyDescent="0.3">
      <c r="A2188" t="str">
        <f>Segmenter!A2188</f>
        <v/>
      </c>
      <c r="B2188" t="str">
        <f>Segmenter!B2188</f>
        <v/>
      </c>
      <c r="C2188" t="str">
        <f t="shared" si="170"/>
        <v/>
      </c>
      <c r="D2188" t="str">
        <f t="shared" si="171"/>
        <v/>
      </c>
      <c r="E2188" t="str">
        <f t="shared" si="172"/>
        <v/>
      </c>
      <c r="F2188" t="str">
        <f>IF(D2188="","",INDEX(Knutepunkter!$B:$B,D2188+1))</f>
        <v/>
      </c>
      <c r="G2188" t="str">
        <f>IF(D2188="","",INDEX(Knutepunkter!$C:$C,D2188+1))</f>
        <v/>
      </c>
      <c r="H2188" t="str">
        <f>IF(D2188="","",INDEX(Knutepunkter!$D:$D,D2188+1))</f>
        <v/>
      </c>
      <c r="I2188" t="str">
        <f>IF(E2188="","",INDEX(Knutepunkter!$B:$B,E2188+1))</f>
        <v/>
      </c>
      <c r="J2188" t="str">
        <f>IF(E2188="","",INDEX(Knutepunkter!$C:$C,E2188+1))</f>
        <v/>
      </c>
      <c r="K2188" t="str">
        <f>IF(E2188="","",INDEX(Knutepunkter!$D:$D,E2188+1))</f>
        <v/>
      </c>
      <c r="L2188" t="str">
        <f t="shared" si="173"/>
        <v/>
      </c>
      <c r="M2188" t="str">
        <f t="shared" si="174"/>
        <v/>
      </c>
    </row>
    <row r="2189" spans="1:13" x14ac:dyDescent="0.3">
      <c r="A2189" t="str">
        <f>Segmenter!A2189</f>
        <v/>
      </c>
      <c r="B2189" t="str">
        <f>Segmenter!B2189</f>
        <v/>
      </c>
      <c r="C2189" t="str">
        <f t="shared" si="170"/>
        <v/>
      </c>
      <c r="D2189" t="str">
        <f t="shared" si="171"/>
        <v/>
      </c>
      <c r="E2189" t="str">
        <f t="shared" si="172"/>
        <v/>
      </c>
      <c r="F2189" t="str">
        <f>IF(D2189="","",INDEX(Knutepunkter!$B:$B,D2189+1))</f>
        <v/>
      </c>
      <c r="G2189" t="str">
        <f>IF(D2189="","",INDEX(Knutepunkter!$C:$C,D2189+1))</f>
        <v/>
      </c>
      <c r="H2189" t="str">
        <f>IF(D2189="","",INDEX(Knutepunkter!$D:$D,D2189+1))</f>
        <v/>
      </c>
      <c r="I2189" t="str">
        <f>IF(E2189="","",INDEX(Knutepunkter!$B:$B,E2189+1))</f>
        <v/>
      </c>
      <c r="J2189" t="str">
        <f>IF(E2189="","",INDEX(Knutepunkter!$C:$C,E2189+1))</f>
        <v/>
      </c>
      <c r="K2189" t="str">
        <f>IF(E2189="","",INDEX(Knutepunkter!$D:$D,E2189+1))</f>
        <v/>
      </c>
      <c r="L2189" t="str">
        <f t="shared" si="173"/>
        <v/>
      </c>
      <c r="M2189" t="str">
        <f t="shared" si="174"/>
        <v/>
      </c>
    </row>
    <row r="2190" spans="1:13" x14ac:dyDescent="0.3">
      <c r="A2190" t="str">
        <f>Segmenter!A2190</f>
        <v/>
      </c>
      <c r="B2190" t="str">
        <f>Segmenter!B2190</f>
        <v/>
      </c>
      <c r="C2190" t="str">
        <f t="shared" si="170"/>
        <v/>
      </c>
      <c r="D2190" t="str">
        <f t="shared" si="171"/>
        <v/>
      </c>
      <c r="E2190" t="str">
        <f t="shared" si="172"/>
        <v/>
      </c>
      <c r="F2190" t="str">
        <f>IF(D2190="","",INDEX(Knutepunkter!$B:$B,D2190+1))</f>
        <v/>
      </c>
      <c r="G2190" t="str">
        <f>IF(D2190="","",INDEX(Knutepunkter!$C:$C,D2190+1))</f>
        <v/>
      </c>
      <c r="H2190" t="str">
        <f>IF(D2190="","",INDEX(Knutepunkter!$D:$D,D2190+1))</f>
        <v/>
      </c>
      <c r="I2190" t="str">
        <f>IF(E2190="","",INDEX(Knutepunkter!$B:$B,E2190+1))</f>
        <v/>
      </c>
      <c r="J2190" t="str">
        <f>IF(E2190="","",INDEX(Knutepunkter!$C:$C,E2190+1))</f>
        <v/>
      </c>
      <c r="K2190" t="str">
        <f>IF(E2190="","",INDEX(Knutepunkter!$D:$D,E2190+1))</f>
        <v/>
      </c>
      <c r="L2190" t="str">
        <f t="shared" si="173"/>
        <v/>
      </c>
      <c r="M2190" t="str">
        <f t="shared" si="174"/>
        <v/>
      </c>
    </row>
    <row r="2191" spans="1:13" x14ac:dyDescent="0.3">
      <c r="A2191" t="str">
        <f>Segmenter!A2191</f>
        <v/>
      </c>
      <c r="B2191" t="str">
        <f>Segmenter!B2191</f>
        <v/>
      </c>
      <c r="C2191" t="str">
        <f t="shared" si="170"/>
        <v/>
      </c>
      <c r="D2191" t="str">
        <f t="shared" si="171"/>
        <v/>
      </c>
      <c r="E2191" t="str">
        <f t="shared" si="172"/>
        <v/>
      </c>
      <c r="F2191" t="str">
        <f>IF(D2191="","",INDEX(Knutepunkter!$B:$B,D2191+1))</f>
        <v/>
      </c>
      <c r="G2191" t="str">
        <f>IF(D2191="","",INDEX(Knutepunkter!$C:$C,D2191+1))</f>
        <v/>
      </c>
      <c r="H2191" t="str">
        <f>IF(D2191="","",INDEX(Knutepunkter!$D:$D,D2191+1))</f>
        <v/>
      </c>
      <c r="I2191" t="str">
        <f>IF(E2191="","",INDEX(Knutepunkter!$B:$B,E2191+1))</f>
        <v/>
      </c>
      <c r="J2191" t="str">
        <f>IF(E2191="","",INDEX(Knutepunkter!$C:$C,E2191+1))</f>
        <v/>
      </c>
      <c r="K2191" t="str">
        <f>IF(E2191="","",INDEX(Knutepunkter!$D:$D,E2191+1))</f>
        <v/>
      </c>
      <c r="L2191" t="str">
        <f t="shared" si="173"/>
        <v/>
      </c>
      <c r="M2191" t="str">
        <f t="shared" si="174"/>
        <v/>
      </c>
    </row>
    <row r="2192" spans="1:13" x14ac:dyDescent="0.3">
      <c r="A2192" t="str">
        <f>Segmenter!A2192</f>
        <v/>
      </c>
      <c r="B2192" t="str">
        <f>Segmenter!B2192</f>
        <v/>
      </c>
      <c r="C2192" t="str">
        <f t="shared" si="170"/>
        <v/>
      </c>
      <c r="D2192" t="str">
        <f t="shared" si="171"/>
        <v/>
      </c>
      <c r="E2192" t="str">
        <f t="shared" si="172"/>
        <v/>
      </c>
      <c r="F2192" t="str">
        <f>IF(D2192="","",INDEX(Knutepunkter!$B:$B,D2192+1))</f>
        <v/>
      </c>
      <c r="G2192" t="str">
        <f>IF(D2192="","",INDEX(Knutepunkter!$C:$C,D2192+1))</f>
        <v/>
      </c>
      <c r="H2192" t="str">
        <f>IF(D2192="","",INDEX(Knutepunkter!$D:$D,D2192+1))</f>
        <v/>
      </c>
      <c r="I2192" t="str">
        <f>IF(E2192="","",INDEX(Knutepunkter!$B:$B,E2192+1))</f>
        <v/>
      </c>
      <c r="J2192" t="str">
        <f>IF(E2192="","",INDEX(Knutepunkter!$C:$C,E2192+1))</f>
        <v/>
      </c>
      <c r="K2192" t="str">
        <f>IF(E2192="","",INDEX(Knutepunkter!$D:$D,E2192+1))</f>
        <v/>
      </c>
      <c r="L2192" t="str">
        <f t="shared" si="173"/>
        <v/>
      </c>
      <c r="M2192" t="str">
        <f t="shared" si="174"/>
        <v/>
      </c>
    </row>
    <row r="2193" spans="1:13" x14ac:dyDescent="0.3">
      <c r="A2193" t="str">
        <f>Segmenter!A2193</f>
        <v/>
      </c>
      <c r="B2193" t="str">
        <f>Segmenter!B2193</f>
        <v/>
      </c>
      <c r="C2193" t="str">
        <f t="shared" si="170"/>
        <v/>
      </c>
      <c r="D2193" t="str">
        <f t="shared" si="171"/>
        <v/>
      </c>
      <c r="E2193" t="str">
        <f t="shared" si="172"/>
        <v/>
      </c>
      <c r="F2193" t="str">
        <f>IF(D2193="","",INDEX(Knutepunkter!$B:$B,D2193+1))</f>
        <v/>
      </c>
      <c r="G2193" t="str">
        <f>IF(D2193="","",INDEX(Knutepunkter!$C:$C,D2193+1))</f>
        <v/>
      </c>
      <c r="H2193" t="str">
        <f>IF(D2193="","",INDEX(Knutepunkter!$D:$D,D2193+1))</f>
        <v/>
      </c>
      <c r="I2193" t="str">
        <f>IF(E2193="","",INDEX(Knutepunkter!$B:$B,E2193+1))</f>
        <v/>
      </c>
      <c r="J2193" t="str">
        <f>IF(E2193="","",INDEX(Knutepunkter!$C:$C,E2193+1))</f>
        <v/>
      </c>
      <c r="K2193" t="str">
        <f>IF(E2193="","",INDEX(Knutepunkter!$D:$D,E2193+1))</f>
        <v/>
      </c>
      <c r="L2193" t="str">
        <f t="shared" si="173"/>
        <v/>
      </c>
      <c r="M2193" t="str">
        <f t="shared" si="174"/>
        <v/>
      </c>
    </row>
    <row r="2194" spans="1:13" x14ac:dyDescent="0.3">
      <c r="A2194" t="str">
        <f>Segmenter!A2194</f>
        <v/>
      </c>
      <c r="B2194" t="str">
        <f>Segmenter!B2194</f>
        <v/>
      </c>
      <c r="C2194" t="str">
        <f t="shared" si="170"/>
        <v/>
      </c>
      <c r="D2194" t="str">
        <f t="shared" si="171"/>
        <v/>
      </c>
      <c r="E2194" t="str">
        <f t="shared" si="172"/>
        <v/>
      </c>
      <c r="F2194" t="str">
        <f>IF(D2194="","",INDEX(Knutepunkter!$B:$B,D2194+1))</f>
        <v/>
      </c>
      <c r="G2194" t="str">
        <f>IF(D2194="","",INDEX(Knutepunkter!$C:$C,D2194+1))</f>
        <v/>
      </c>
      <c r="H2194" t="str">
        <f>IF(D2194="","",INDEX(Knutepunkter!$D:$D,D2194+1))</f>
        <v/>
      </c>
      <c r="I2194" t="str">
        <f>IF(E2194="","",INDEX(Knutepunkter!$B:$B,E2194+1))</f>
        <v/>
      </c>
      <c r="J2194" t="str">
        <f>IF(E2194="","",INDEX(Knutepunkter!$C:$C,E2194+1))</f>
        <v/>
      </c>
      <c r="K2194" t="str">
        <f>IF(E2194="","",INDEX(Knutepunkter!$D:$D,E2194+1))</f>
        <v/>
      </c>
      <c r="L2194" t="str">
        <f t="shared" si="173"/>
        <v/>
      </c>
      <c r="M2194" t="str">
        <f t="shared" si="174"/>
        <v/>
      </c>
    </row>
    <row r="2195" spans="1:13" x14ac:dyDescent="0.3">
      <c r="A2195" t="str">
        <f>Segmenter!A2195</f>
        <v/>
      </c>
      <c r="B2195" t="str">
        <f>Segmenter!B2195</f>
        <v/>
      </c>
      <c r="C2195" t="str">
        <f t="shared" si="170"/>
        <v/>
      </c>
      <c r="D2195" t="str">
        <f t="shared" si="171"/>
        <v/>
      </c>
      <c r="E2195" t="str">
        <f t="shared" si="172"/>
        <v/>
      </c>
      <c r="F2195" t="str">
        <f>IF(D2195="","",INDEX(Knutepunkter!$B:$B,D2195+1))</f>
        <v/>
      </c>
      <c r="G2195" t="str">
        <f>IF(D2195="","",INDEX(Knutepunkter!$C:$C,D2195+1))</f>
        <v/>
      </c>
      <c r="H2195" t="str">
        <f>IF(D2195="","",INDEX(Knutepunkter!$D:$D,D2195+1))</f>
        <v/>
      </c>
      <c r="I2195" t="str">
        <f>IF(E2195="","",INDEX(Knutepunkter!$B:$B,E2195+1))</f>
        <v/>
      </c>
      <c r="J2195" t="str">
        <f>IF(E2195="","",INDEX(Knutepunkter!$C:$C,E2195+1))</f>
        <v/>
      </c>
      <c r="K2195" t="str">
        <f>IF(E2195="","",INDEX(Knutepunkter!$D:$D,E2195+1))</f>
        <v/>
      </c>
      <c r="L2195" t="str">
        <f t="shared" si="173"/>
        <v/>
      </c>
      <c r="M2195" t="str">
        <f t="shared" si="174"/>
        <v/>
      </c>
    </row>
    <row r="2196" spans="1:13" x14ac:dyDescent="0.3">
      <c r="A2196" t="str">
        <f>Segmenter!A2196</f>
        <v/>
      </c>
      <c r="B2196" t="str">
        <f>Segmenter!B2196</f>
        <v/>
      </c>
      <c r="C2196" t="str">
        <f t="shared" si="170"/>
        <v/>
      </c>
      <c r="D2196" t="str">
        <f t="shared" si="171"/>
        <v/>
      </c>
      <c r="E2196" t="str">
        <f t="shared" si="172"/>
        <v/>
      </c>
      <c r="F2196" t="str">
        <f>IF(D2196="","",INDEX(Knutepunkter!$B:$B,D2196+1))</f>
        <v/>
      </c>
      <c r="G2196" t="str">
        <f>IF(D2196="","",INDEX(Knutepunkter!$C:$C,D2196+1))</f>
        <v/>
      </c>
      <c r="H2196" t="str">
        <f>IF(D2196="","",INDEX(Knutepunkter!$D:$D,D2196+1))</f>
        <v/>
      </c>
      <c r="I2196" t="str">
        <f>IF(E2196="","",INDEX(Knutepunkter!$B:$B,E2196+1))</f>
        <v/>
      </c>
      <c r="J2196" t="str">
        <f>IF(E2196="","",INDEX(Knutepunkter!$C:$C,E2196+1))</f>
        <v/>
      </c>
      <c r="K2196" t="str">
        <f>IF(E2196="","",INDEX(Knutepunkter!$D:$D,E2196+1))</f>
        <v/>
      </c>
      <c r="L2196" t="str">
        <f t="shared" si="173"/>
        <v/>
      </c>
      <c r="M2196" t="str">
        <f t="shared" si="174"/>
        <v/>
      </c>
    </row>
    <row r="2197" spans="1:13" x14ac:dyDescent="0.3">
      <c r="A2197" t="str">
        <f>Segmenter!A2197</f>
        <v/>
      </c>
      <c r="B2197" t="str">
        <f>Segmenter!B2197</f>
        <v/>
      </c>
      <c r="C2197" t="str">
        <f t="shared" si="170"/>
        <v/>
      </c>
      <c r="D2197" t="str">
        <f t="shared" si="171"/>
        <v/>
      </c>
      <c r="E2197" t="str">
        <f t="shared" si="172"/>
        <v/>
      </c>
      <c r="F2197" t="str">
        <f>IF(D2197="","",INDEX(Knutepunkter!$B:$B,D2197+1))</f>
        <v/>
      </c>
      <c r="G2197" t="str">
        <f>IF(D2197="","",INDEX(Knutepunkter!$C:$C,D2197+1))</f>
        <v/>
      </c>
      <c r="H2197" t="str">
        <f>IF(D2197="","",INDEX(Knutepunkter!$D:$D,D2197+1))</f>
        <v/>
      </c>
      <c r="I2197" t="str">
        <f>IF(E2197="","",INDEX(Knutepunkter!$B:$B,E2197+1))</f>
        <v/>
      </c>
      <c r="J2197" t="str">
        <f>IF(E2197="","",INDEX(Knutepunkter!$C:$C,E2197+1))</f>
        <v/>
      </c>
      <c r="K2197" t="str">
        <f>IF(E2197="","",INDEX(Knutepunkter!$D:$D,E2197+1))</f>
        <v/>
      </c>
      <c r="L2197" t="str">
        <f t="shared" si="173"/>
        <v/>
      </c>
      <c r="M2197" t="str">
        <f t="shared" si="174"/>
        <v/>
      </c>
    </row>
    <row r="2198" spans="1:13" x14ac:dyDescent="0.3">
      <c r="A2198" t="str">
        <f>Segmenter!A2198</f>
        <v/>
      </c>
      <c r="B2198" t="str">
        <f>Segmenter!B2198</f>
        <v/>
      </c>
      <c r="C2198" t="str">
        <f t="shared" si="170"/>
        <v/>
      </c>
      <c r="D2198" t="str">
        <f t="shared" si="171"/>
        <v/>
      </c>
      <c r="E2198" t="str">
        <f t="shared" si="172"/>
        <v/>
      </c>
      <c r="F2198" t="str">
        <f>IF(D2198="","",INDEX(Knutepunkter!$B:$B,D2198+1))</f>
        <v/>
      </c>
      <c r="G2198" t="str">
        <f>IF(D2198="","",INDEX(Knutepunkter!$C:$C,D2198+1))</f>
        <v/>
      </c>
      <c r="H2198" t="str">
        <f>IF(D2198="","",INDEX(Knutepunkter!$D:$D,D2198+1))</f>
        <v/>
      </c>
      <c r="I2198" t="str">
        <f>IF(E2198="","",INDEX(Knutepunkter!$B:$B,E2198+1))</f>
        <v/>
      </c>
      <c r="J2198" t="str">
        <f>IF(E2198="","",INDEX(Knutepunkter!$C:$C,E2198+1))</f>
        <v/>
      </c>
      <c r="K2198" t="str">
        <f>IF(E2198="","",INDEX(Knutepunkter!$D:$D,E2198+1))</f>
        <v/>
      </c>
      <c r="L2198" t="str">
        <f t="shared" si="173"/>
        <v/>
      </c>
      <c r="M2198" t="str">
        <f t="shared" si="174"/>
        <v/>
      </c>
    </row>
    <row r="2199" spans="1:13" x14ac:dyDescent="0.3">
      <c r="A2199" t="str">
        <f>Segmenter!A2199</f>
        <v/>
      </c>
      <c r="B2199" t="str">
        <f>Segmenter!B2199</f>
        <v/>
      </c>
      <c r="C2199" t="str">
        <f t="shared" si="170"/>
        <v/>
      </c>
      <c r="D2199" t="str">
        <f t="shared" si="171"/>
        <v/>
      </c>
      <c r="E2199" t="str">
        <f t="shared" si="172"/>
        <v/>
      </c>
      <c r="F2199" t="str">
        <f>IF(D2199="","",INDEX(Knutepunkter!$B:$B,D2199+1))</f>
        <v/>
      </c>
      <c r="G2199" t="str">
        <f>IF(D2199="","",INDEX(Knutepunkter!$C:$C,D2199+1))</f>
        <v/>
      </c>
      <c r="H2199" t="str">
        <f>IF(D2199="","",INDEX(Knutepunkter!$D:$D,D2199+1))</f>
        <v/>
      </c>
      <c r="I2199" t="str">
        <f>IF(E2199="","",INDEX(Knutepunkter!$B:$B,E2199+1))</f>
        <v/>
      </c>
      <c r="J2199" t="str">
        <f>IF(E2199="","",INDEX(Knutepunkter!$C:$C,E2199+1))</f>
        <v/>
      </c>
      <c r="K2199" t="str">
        <f>IF(E2199="","",INDEX(Knutepunkter!$D:$D,E2199+1))</f>
        <v/>
      </c>
      <c r="L2199" t="str">
        <f t="shared" si="173"/>
        <v/>
      </c>
      <c r="M2199" t="str">
        <f t="shared" si="174"/>
        <v/>
      </c>
    </row>
    <row r="2200" spans="1:13" x14ac:dyDescent="0.3">
      <c r="A2200" t="str">
        <f>Segmenter!A2200</f>
        <v/>
      </c>
      <c r="B2200" t="str">
        <f>Segmenter!B2200</f>
        <v/>
      </c>
      <c r="C2200" t="str">
        <f t="shared" si="170"/>
        <v/>
      </c>
      <c r="D2200" t="str">
        <f t="shared" si="171"/>
        <v/>
      </c>
      <c r="E2200" t="str">
        <f t="shared" si="172"/>
        <v/>
      </c>
      <c r="F2200" t="str">
        <f>IF(D2200="","",INDEX(Knutepunkter!$B:$B,D2200+1))</f>
        <v/>
      </c>
      <c r="G2200" t="str">
        <f>IF(D2200="","",INDEX(Knutepunkter!$C:$C,D2200+1))</f>
        <v/>
      </c>
      <c r="H2200" t="str">
        <f>IF(D2200="","",INDEX(Knutepunkter!$D:$D,D2200+1))</f>
        <v/>
      </c>
      <c r="I2200" t="str">
        <f>IF(E2200="","",INDEX(Knutepunkter!$B:$B,E2200+1))</f>
        <v/>
      </c>
      <c r="J2200" t="str">
        <f>IF(E2200="","",INDEX(Knutepunkter!$C:$C,E2200+1))</f>
        <v/>
      </c>
      <c r="K2200" t="str">
        <f>IF(E2200="","",INDEX(Knutepunkter!$D:$D,E2200+1))</f>
        <v/>
      </c>
      <c r="L2200" t="str">
        <f t="shared" si="173"/>
        <v/>
      </c>
      <c r="M2200" t="str">
        <f t="shared" si="174"/>
        <v/>
      </c>
    </row>
    <row r="2201" spans="1:13" x14ac:dyDescent="0.3">
      <c r="A2201" t="str">
        <f>Segmenter!A2201</f>
        <v/>
      </c>
      <c r="B2201" t="str">
        <f>Segmenter!B2201</f>
        <v/>
      </c>
      <c r="C2201" t="str">
        <f t="shared" si="170"/>
        <v/>
      </c>
      <c r="D2201" t="str">
        <f t="shared" si="171"/>
        <v/>
      </c>
      <c r="E2201" t="str">
        <f t="shared" si="172"/>
        <v/>
      </c>
      <c r="F2201" t="str">
        <f>IF(D2201="","",INDEX(Knutepunkter!$B:$B,D2201+1))</f>
        <v/>
      </c>
      <c r="G2201" t="str">
        <f>IF(D2201="","",INDEX(Knutepunkter!$C:$C,D2201+1))</f>
        <v/>
      </c>
      <c r="H2201" t="str">
        <f>IF(D2201="","",INDEX(Knutepunkter!$D:$D,D2201+1))</f>
        <v/>
      </c>
      <c r="I2201" t="str">
        <f>IF(E2201="","",INDEX(Knutepunkter!$B:$B,E2201+1))</f>
        <v/>
      </c>
      <c r="J2201" t="str">
        <f>IF(E2201="","",INDEX(Knutepunkter!$C:$C,E2201+1))</f>
        <v/>
      </c>
      <c r="K2201" t="str">
        <f>IF(E2201="","",INDEX(Knutepunkter!$D:$D,E2201+1))</f>
        <v/>
      </c>
      <c r="L2201" t="str">
        <f t="shared" si="173"/>
        <v/>
      </c>
      <c r="M2201" t="str">
        <f t="shared" si="174"/>
        <v/>
      </c>
    </row>
    <row r="2202" spans="1:13" x14ac:dyDescent="0.3">
      <c r="A2202" t="str">
        <f>Segmenter!A2202</f>
        <v/>
      </c>
      <c r="B2202" t="str">
        <f>Segmenter!B2202</f>
        <v/>
      </c>
      <c r="C2202" t="str">
        <f t="shared" si="170"/>
        <v/>
      </c>
      <c r="D2202" t="str">
        <f t="shared" si="171"/>
        <v/>
      </c>
      <c r="E2202" t="str">
        <f t="shared" si="172"/>
        <v/>
      </c>
      <c r="F2202" t="str">
        <f>IF(D2202="","",INDEX(Knutepunkter!$B:$B,D2202+1))</f>
        <v/>
      </c>
      <c r="G2202" t="str">
        <f>IF(D2202="","",INDEX(Knutepunkter!$C:$C,D2202+1))</f>
        <v/>
      </c>
      <c r="H2202" t="str">
        <f>IF(D2202="","",INDEX(Knutepunkter!$D:$D,D2202+1))</f>
        <v/>
      </c>
      <c r="I2202" t="str">
        <f>IF(E2202="","",INDEX(Knutepunkter!$B:$B,E2202+1))</f>
        <v/>
      </c>
      <c r="J2202" t="str">
        <f>IF(E2202="","",INDEX(Knutepunkter!$C:$C,E2202+1))</f>
        <v/>
      </c>
      <c r="K2202" t="str">
        <f>IF(E2202="","",INDEX(Knutepunkter!$D:$D,E2202+1))</f>
        <v/>
      </c>
      <c r="L2202" t="str">
        <f t="shared" si="173"/>
        <v/>
      </c>
      <c r="M2202" t="str">
        <f t="shared" si="174"/>
        <v/>
      </c>
    </row>
    <row r="2203" spans="1:13" x14ac:dyDescent="0.3">
      <c r="A2203" t="str">
        <f>Segmenter!A2203</f>
        <v/>
      </c>
      <c r="B2203" t="str">
        <f>Segmenter!B2203</f>
        <v/>
      </c>
      <c r="C2203" t="str">
        <f t="shared" si="170"/>
        <v/>
      </c>
      <c r="D2203" t="str">
        <f t="shared" si="171"/>
        <v/>
      </c>
      <c r="E2203" t="str">
        <f t="shared" si="172"/>
        <v/>
      </c>
      <c r="F2203" t="str">
        <f>IF(D2203="","",INDEX(Knutepunkter!$B:$B,D2203+1))</f>
        <v/>
      </c>
      <c r="G2203" t="str">
        <f>IF(D2203="","",INDEX(Knutepunkter!$C:$C,D2203+1))</f>
        <v/>
      </c>
      <c r="H2203" t="str">
        <f>IF(D2203="","",INDEX(Knutepunkter!$D:$D,D2203+1))</f>
        <v/>
      </c>
      <c r="I2203" t="str">
        <f>IF(E2203="","",INDEX(Knutepunkter!$B:$B,E2203+1))</f>
        <v/>
      </c>
      <c r="J2203" t="str">
        <f>IF(E2203="","",INDEX(Knutepunkter!$C:$C,E2203+1))</f>
        <v/>
      </c>
      <c r="K2203" t="str">
        <f>IF(E2203="","",INDEX(Knutepunkter!$D:$D,E2203+1))</f>
        <v/>
      </c>
      <c r="L2203" t="str">
        <f t="shared" si="173"/>
        <v/>
      </c>
      <c r="M2203" t="str">
        <f t="shared" si="174"/>
        <v/>
      </c>
    </row>
    <row r="2204" spans="1:13" x14ac:dyDescent="0.3">
      <c r="A2204" t="str">
        <f>Segmenter!A2204</f>
        <v/>
      </c>
      <c r="B2204" t="str">
        <f>Segmenter!B2204</f>
        <v/>
      </c>
      <c r="C2204" t="str">
        <f t="shared" si="170"/>
        <v/>
      </c>
      <c r="D2204" t="str">
        <f t="shared" si="171"/>
        <v/>
      </c>
      <c r="E2204" t="str">
        <f t="shared" si="172"/>
        <v/>
      </c>
      <c r="F2204" t="str">
        <f>IF(D2204="","",INDEX(Knutepunkter!$B:$B,D2204+1))</f>
        <v/>
      </c>
      <c r="G2204" t="str">
        <f>IF(D2204="","",INDEX(Knutepunkter!$C:$C,D2204+1))</f>
        <v/>
      </c>
      <c r="H2204" t="str">
        <f>IF(D2204="","",INDEX(Knutepunkter!$D:$D,D2204+1))</f>
        <v/>
      </c>
      <c r="I2204" t="str">
        <f>IF(E2204="","",INDEX(Knutepunkter!$B:$B,E2204+1))</f>
        <v/>
      </c>
      <c r="J2204" t="str">
        <f>IF(E2204="","",INDEX(Knutepunkter!$C:$C,E2204+1))</f>
        <v/>
      </c>
      <c r="K2204" t="str">
        <f>IF(E2204="","",INDEX(Knutepunkter!$D:$D,E2204+1))</f>
        <v/>
      </c>
      <c r="L2204" t="str">
        <f t="shared" si="173"/>
        <v/>
      </c>
      <c r="M2204" t="str">
        <f t="shared" si="174"/>
        <v/>
      </c>
    </row>
    <row r="2205" spans="1:13" x14ac:dyDescent="0.3">
      <c r="A2205" t="str">
        <f>Segmenter!A2205</f>
        <v/>
      </c>
      <c r="B2205" t="str">
        <f>Segmenter!B2205</f>
        <v/>
      </c>
      <c r="C2205" t="str">
        <f t="shared" si="170"/>
        <v/>
      </c>
      <c r="D2205" t="str">
        <f t="shared" si="171"/>
        <v/>
      </c>
      <c r="E2205" t="str">
        <f t="shared" si="172"/>
        <v/>
      </c>
      <c r="F2205" t="str">
        <f>IF(D2205="","",INDEX(Knutepunkter!$B:$B,D2205+1))</f>
        <v/>
      </c>
      <c r="G2205" t="str">
        <f>IF(D2205="","",INDEX(Knutepunkter!$C:$C,D2205+1))</f>
        <v/>
      </c>
      <c r="H2205" t="str">
        <f>IF(D2205="","",INDEX(Knutepunkter!$D:$D,D2205+1))</f>
        <v/>
      </c>
      <c r="I2205" t="str">
        <f>IF(E2205="","",INDEX(Knutepunkter!$B:$B,E2205+1))</f>
        <v/>
      </c>
      <c r="J2205" t="str">
        <f>IF(E2205="","",INDEX(Knutepunkter!$C:$C,E2205+1))</f>
        <v/>
      </c>
      <c r="K2205" t="str">
        <f>IF(E2205="","",INDEX(Knutepunkter!$D:$D,E2205+1))</f>
        <v/>
      </c>
      <c r="L2205" t="str">
        <f t="shared" si="173"/>
        <v/>
      </c>
      <c r="M2205" t="str">
        <f t="shared" si="174"/>
        <v/>
      </c>
    </row>
    <row r="2206" spans="1:13" x14ac:dyDescent="0.3">
      <c r="A2206" t="str">
        <f>Segmenter!A2206</f>
        <v/>
      </c>
      <c r="B2206" t="str">
        <f>Segmenter!B2206</f>
        <v/>
      </c>
      <c r="C2206" t="str">
        <f t="shared" si="170"/>
        <v/>
      </c>
      <c r="D2206" t="str">
        <f t="shared" si="171"/>
        <v/>
      </c>
      <c r="E2206" t="str">
        <f t="shared" si="172"/>
        <v/>
      </c>
      <c r="F2206" t="str">
        <f>IF(D2206="","",INDEX(Knutepunkter!$B:$B,D2206+1))</f>
        <v/>
      </c>
      <c r="G2206" t="str">
        <f>IF(D2206="","",INDEX(Knutepunkter!$C:$C,D2206+1))</f>
        <v/>
      </c>
      <c r="H2206" t="str">
        <f>IF(D2206="","",INDEX(Knutepunkter!$D:$D,D2206+1))</f>
        <v/>
      </c>
      <c r="I2206" t="str">
        <f>IF(E2206="","",INDEX(Knutepunkter!$B:$B,E2206+1))</f>
        <v/>
      </c>
      <c r="J2206" t="str">
        <f>IF(E2206="","",INDEX(Knutepunkter!$C:$C,E2206+1))</f>
        <v/>
      </c>
      <c r="K2206" t="str">
        <f>IF(E2206="","",INDEX(Knutepunkter!$D:$D,E2206+1))</f>
        <v/>
      </c>
      <c r="L2206" t="str">
        <f t="shared" si="173"/>
        <v/>
      </c>
      <c r="M2206" t="str">
        <f t="shared" si="174"/>
        <v/>
      </c>
    </row>
    <row r="2207" spans="1:13" x14ac:dyDescent="0.3">
      <c r="A2207" t="str">
        <f>Segmenter!A2207</f>
        <v/>
      </c>
      <c r="B2207" t="str">
        <f>Segmenter!B2207</f>
        <v/>
      </c>
      <c r="C2207" t="str">
        <f t="shared" si="170"/>
        <v/>
      </c>
      <c r="D2207" t="str">
        <f t="shared" si="171"/>
        <v/>
      </c>
      <c r="E2207" t="str">
        <f t="shared" si="172"/>
        <v/>
      </c>
      <c r="F2207" t="str">
        <f>IF(D2207="","",INDEX(Knutepunkter!$B:$B,D2207+1))</f>
        <v/>
      </c>
      <c r="G2207" t="str">
        <f>IF(D2207="","",INDEX(Knutepunkter!$C:$C,D2207+1))</f>
        <v/>
      </c>
      <c r="H2207" t="str">
        <f>IF(D2207="","",INDEX(Knutepunkter!$D:$D,D2207+1))</f>
        <v/>
      </c>
      <c r="I2207" t="str">
        <f>IF(E2207="","",INDEX(Knutepunkter!$B:$B,E2207+1))</f>
        <v/>
      </c>
      <c r="J2207" t="str">
        <f>IF(E2207="","",INDEX(Knutepunkter!$C:$C,E2207+1))</f>
        <v/>
      </c>
      <c r="K2207" t="str">
        <f>IF(E2207="","",INDEX(Knutepunkter!$D:$D,E2207+1))</f>
        <v/>
      </c>
      <c r="L2207" t="str">
        <f t="shared" si="173"/>
        <v/>
      </c>
      <c r="M2207" t="str">
        <f t="shared" si="174"/>
        <v/>
      </c>
    </row>
    <row r="2208" spans="1:13" x14ac:dyDescent="0.3">
      <c r="A2208" t="str">
        <f>Segmenter!A2208</f>
        <v/>
      </c>
      <c r="B2208" t="str">
        <f>Segmenter!B2208</f>
        <v/>
      </c>
      <c r="C2208" t="str">
        <f t="shared" si="170"/>
        <v/>
      </c>
      <c r="D2208" t="str">
        <f t="shared" si="171"/>
        <v/>
      </c>
      <c r="E2208" t="str">
        <f t="shared" si="172"/>
        <v/>
      </c>
      <c r="F2208" t="str">
        <f>IF(D2208="","",INDEX(Knutepunkter!$B:$B,D2208+1))</f>
        <v/>
      </c>
      <c r="G2208" t="str">
        <f>IF(D2208="","",INDEX(Knutepunkter!$C:$C,D2208+1))</f>
        <v/>
      </c>
      <c r="H2208" t="str">
        <f>IF(D2208="","",INDEX(Knutepunkter!$D:$D,D2208+1))</f>
        <v/>
      </c>
      <c r="I2208" t="str">
        <f>IF(E2208="","",INDEX(Knutepunkter!$B:$B,E2208+1))</f>
        <v/>
      </c>
      <c r="J2208" t="str">
        <f>IF(E2208="","",INDEX(Knutepunkter!$C:$C,E2208+1))</f>
        <v/>
      </c>
      <c r="K2208" t="str">
        <f>IF(E2208="","",INDEX(Knutepunkter!$D:$D,E2208+1))</f>
        <v/>
      </c>
      <c r="L2208" t="str">
        <f t="shared" si="173"/>
        <v/>
      </c>
      <c r="M2208" t="str">
        <f t="shared" si="174"/>
        <v/>
      </c>
    </row>
    <row r="2209" spans="1:13" x14ac:dyDescent="0.3">
      <c r="A2209" t="str">
        <f>Segmenter!A2209</f>
        <v/>
      </c>
      <c r="B2209" t="str">
        <f>Segmenter!B2209</f>
        <v/>
      </c>
      <c r="C2209" t="str">
        <f t="shared" si="170"/>
        <v/>
      </c>
      <c r="D2209" t="str">
        <f t="shared" si="171"/>
        <v/>
      </c>
      <c r="E2209" t="str">
        <f t="shared" si="172"/>
        <v/>
      </c>
      <c r="F2209" t="str">
        <f>IF(D2209="","",INDEX(Knutepunkter!$B:$B,D2209+1))</f>
        <v/>
      </c>
      <c r="G2209" t="str">
        <f>IF(D2209="","",INDEX(Knutepunkter!$C:$C,D2209+1))</f>
        <v/>
      </c>
      <c r="H2209" t="str">
        <f>IF(D2209="","",INDEX(Knutepunkter!$D:$D,D2209+1))</f>
        <v/>
      </c>
      <c r="I2209" t="str">
        <f>IF(E2209="","",INDEX(Knutepunkter!$B:$B,E2209+1))</f>
        <v/>
      </c>
      <c r="J2209" t="str">
        <f>IF(E2209="","",INDEX(Knutepunkter!$C:$C,E2209+1))</f>
        <v/>
      </c>
      <c r="K2209" t="str">
        <f>IF(E2209="","",INDEX(Knutepunkter!$D:$D,E2209+1))</f>
        <v/>
      </c>
      <c r="L2209" t="str">
        <f t="shared" si="173"/>
        <v/>
      </c>
      <c r="M2209" t="str">
        <f t="shared" si="174"/>
        <v/>
      </c>
    </row>
    <row r="2210" spans="1:13" x14ac:dyDescent="0.3">
      <c r="A2210" t="str">
        <f>Segmenter!A2210</f>
        <v/>
      </c>
      <c r="B2210" t="str">
        <f>Segmenter!B2210</f>
        <v/>
      </c>
      <c r="C2210" t="str">
        <f t="shared" si="170"/>
        <v/>
      </c>
      <c r="D2210" t="str">
        <f t="shared" si="171"/>
        <v/>
      </c>
      <c r="E2210" t="str">
        <f t="shared" si="172"/>
        <v/>
      </c>
      <c r="F2210" t="str">
        <f>IF(D2210="","",INDEX(Knutepunkter!$B:$B,D2210+1))</f>
        <v/>
      </c>
      <c r="G2210" t="str">
        <f>IF(D2210="","",INDEX(Knutepunkter!$C:$C,D2210+1))</f>
        <v/>
      </c>
      <c r="H2210" t="str">
        <f>IF(D2210="","",INDEX(Knutepunkter!$D:$D,D2210+1))</f>
        <v/>
      </c>
      <c r="I2210" t="str">
        <f>IF(E2210="","",INDEX(Knutepunkter!$B:$B,E2210+1))</f>
        <v/>
      </c>
      <c r="J2210" t="str">
        <f>IF(E2210="","",INDEX(Knutepunkter!$C:$C,E2210+1))</f>
        <v/>
      </c>
      <c r="K2210" t="str">
        <f>IF(E2210="","",INDEX(Knutepunkter!$D:$D,E2210+1))</f>
        <v/>
      </c>
      <c r="L2210" t="str">
        <f t="shared" si="173"/>
        <v/>
      </c>
      <c r="M2210" t="str">
        <f t="shared" si="174"/>
        <v/>
      </c>
    </row>
    <row r="2211" spans="1:13" x14ac:dyDescent="0.3">
      <c r="A2211" t="str">
        <f>Segmenter!A2211</f>
        <v/>
      </c>
      <c r="B2211" t="str">
        <f>Segmenter!B2211</f>
        <v/>
      </c>
      <c r="C2211" t="str">
        <f t="shared" si="170"/>
        <v/>
      </c>
      <c r="D2211" t="str">
        <f t="shared" si="171"/>
        <v/>
      </c>
      <c r="E2211" t="str">
        <f t="shared" si="172"/>
        <v/>
      </c>
      <c r="F2211" t="str">
        <f>IF(D2211="","",INDEX(Knutepunkter!$B:$B,D2211+1))</f>
        <v/>
      </c>
      <c r="G2211" t="str">
        <f>IF(D2211="","",INDEX(Knutepunkter!$C:$C,D2211+1))</f>
        <v/>
      </c>
      <c r="H2211" t="str">
        <f>IF(D2211="","",INDEX(Knutepunkter!$D:$D,D2211+1))</f>
        <v/>
      </c>
      <c r="I2211" t="str">
        <f>IF(E2211="","",INDEX(Knutepunkter!$B:$B,E2211+1))</f>
        <v/>
      </c>
      <c r="J2211" t="str">
        <f>IF(E2211="","",INDEX(Knutepunkter!$C:$C,E2211+1))</f>
        <v/>
      </c>
      <c r="K2211" t="str">
        <f>IF(E2211="","",INDEX(Knutepunkter!$D:$D,E2211+1))</f>
        <v/>
      </c>
      <c r="L2211" t="str">
        <f t="shared" si="173"/>
        <v/>
      </c>
      <c r="M2211" t="str">
        <f t="shared" si="174"/>
        <v/>
      </c>
    </row>
    <row r="2212" spans="1:13" x14ac:dyDescent="0.3">
      <c r="A2212" t="str">
        <f>Segmenter!A2212</f>
        <v/>
      </c>
      <c r="B2212" t="str">
        <f>Segmenter!B2212</f>
        <v/>
      </c>
      <c r="C2212" t="str">
        <f t="shared" si="170"/>
        <v/>
      </c>
      <c r="D2212" t="str">
        <f t="shared" si="171"/>
        <v/>
      </c>
      <c r="E2212" t="str">
        <f t="shared" si="172"/>
        <v/>
      </c>
      <c r="F2212" t="str">
        <f>IF(D2212="","",INDEX(Knutepunkter!$B:$B,D2212+1))</f>
        <v/>
      </c>
      <c r="G2212" t="str">
        <f>IF(D2212="","",INDEX(Knutepunkter!$C:$C,D2212+1))</f>
        <v/>
      </c>
      <c r="H2212" t="str">
        <f>IF(D2212="","",INDEX(Knutepunkter!$D:$D,D2212+1))</f>
        <v/>
      </c>
      <c r="I2212" t="str">
        <f>IF(E2212="","",INDEX(Knutepunkter!$B:$B,E2212+1))</f>
        <v/>
      </c>
      <c r="J2212" t="str">
        <f>IF(E2212="","",INDEX(Knutepunkter!$C:$C,E2212+1))</f>
        <v/>
      </c>
      <c r="K2212" t="str">
        <f>IF(E2212="","",INDEX(Knutepunkter!$D:$D,E2212+1))</f>
        <v/>
      </c>
      <c r="L2212" t="str">
        <f t="shared" si="173"/>
        <v/>
      </c>
      <c r="M2212" t="str">
        <f t="shared" si="174"/>
        <v/>
      </c>
    </row>
    <row r="2213" spans="1:13" x14ac:dyDescent="0.3">
      <c r="A2213" t="str">
        <f>Segmenter!A2213</f>
        <v/>
      </c>
      <c r="B2213" t="str">
        <f>Segmenter!B2213</f>
        <v/>
      </c>
      <c r="C2213" t="str">
        <f t="shared" si="170"/>
        <v/>
      </c>
      <c r="D2213" t="str">
        <f t="shared" si="171"/>
        <v/>
      </c>
      <c r="E2213" t="str">
        <f t="shared" si="172"/>
        <v/>
      </c>
      <c r="F2213" t="str">
        <f>IF(D2213="","",INDEX(Knutepunkter!$B:$B,D2213+1))</f>
        <v/>
      </c>
      <c r="G2213" t="str">
        <f>IF(D2213="","",INDEX(Knutepunkter!$C:$C,D2213+1))</f>
        <v/>
      </c>
      <c r="H2213" t="str">
        <f>IF(D2213="","",INDEX(Knutepunkter!$D:$D,D2213+1))</f>
        <v/>
      </c>
      <c r="I2213" t="str">
        <f>IF(E2213="","",INDEX(Knutepunkter!$B:$B,E2213+1))</f>
        <v/>
      </c>
      <c r="J2213" t="str">
        <f>IF(E2213="","",INDEX(Knutepunkter!$C:$C,E2213+1))</f>
        <v/>
      </c>
      <c r="K2213" t="str">
        <f>IF(E2213="","",INDEX(Knutepunkter!$D:$D,E2213+1))</f>
        <v/>
      </c>
      <c r="L2213" t="str">
        <f t="shared" si="173"/>
        <v/>
      </c>
      <c r="M2213" t="str">
        <f t="shared" si="174"/>
        <v/>
      </c>
    </row>
    <row r="2214" spans="1:13" x14ac:dyDescent="0.3">
      <c r="A2214" t="str">
        <f>Segmenter!A2214</f>
        <v/>
      </c>
      <c r="B2214" t="str">
        <f>Segmenter!B2214</f>
        <v/>
      </c>
      <c r="C2214" t="str">
        <f t="shared" si="170"/>
        <v/>
      </c>
      <c r="D2214" t="str">
        <f t="shared" si="171"/>
        <v/>
      </c>
      <c r="E2214" t="str">
        <f t="shared" si="172"/>
        <v/>
      </c>
      <c r="F2214" t="str">
        <f>IF(D2214="","",INDEX(Knutepunkter!$B:$B,D2214+1))</f>
        <v/>
      </c>
      <c r="G2214" t="str">
        <f>IF(D2214="","",INDEX(Knutepunkter!$C:$C,D2214+1))</f>
        <v/>
      </c>
      <c r="H2214" t="str">
        <f>IF(D2214="","",INDEX(Knutepunkter!$D:$D,D2214+1))</f>
        <v/>
      </c>
      <c r="I2214" t="str">
        <f>IF(E2214="","",INDEX(Knutepunkter!$B:$B,E2214+1))</f>
        <v/>
      </c>
      <c r="J2214" t="str">
        <f>IF(E2214="","",INDEX(Knutepunkter!$C:$C,E2214+1))</f>
        <v/>
      </c>
      <c r="K2214" t="str">
        <f>IF(E2214="","",INDEX(Knutepunkter!$D:$D,E2214+1))</f>
        <v/>
      </c>
      <c r="L2214" t="str">
        <f t="shared" si="173"/>
        <v/>
      </c>
      <c r="M2214" t="str">
        <f t="shared" si="174"/>
        <v/>
      </c>
    </row>
    <row r="2215" spans="1:13" x14ac:dyDescent="0.3">
      <c r="A2215" t="str">
        <f>Segmenter!A2215</f>
        <v/>
      </c>
      <c r="B2215" t="str">
        <f>Segmenter!B2215</f>
        <v/>
      </c>
      <c r="C2215" t="str">
        <f t="shared" si="170"/>
        <v/>
      </c>
      <c r="D2215" t="str">
        <f t="shared" si="171"/>
        <v/>
      </c>
      <c r="E2215" t="str">
        <f t="shared" si="172"/>
        <v/>
      </c>
      <c r="F2215" t="str">
        <f>IF(D2215="","",INDEX(Knutepunkter!$B:$B,D2215+1))</f>
        <v/>
      </c>
      <c r="G2215" t="str">
        <f>IF(D2215="","",INDEX(Knutepunkter!$C:$C,D2215+1))</f>
        <v/>
      </c>
      <c r="H2215" t="str">
        <f>IF(D2215="","",INDEX(Knutepunkter!$D:$D,D2215+1))</f>
        <v/>
      </c>
      <c r="I2215" t="str">
        <f>IF(E2215="","",INDEX(Knutepunkter!$B:$B,E2215+1))</f>
        <v/>
      </c>
      <c r="J2215" t="str">
        <f>IF(E2215="","",INDEX(Knutepunkter!$C:$C,E2215+1))</f>
        <v/>
      </c>
      <c r="K2215" t="str">
        <f>IF(E2215="","",INDEX(Knutepunkter!$D:$D,E2215+1))</f>
        <v/>
      </c>
      <c r="L2215" t="str">
        <f t="shared" si="173"/>
        <v/>
      </c>
      <c r="M2215" t="str">
        <f t="shared" si="174"/>
        <v/>
      </c>
    </row>
    <row r="2216" spans="1:13" x14ac:dyDescent="0.3">
      <c r="A2216" t="str">
        <f>Segmenter!A2216</f>
        <v/>
      </c>
      <c r="B2216" t="str">
        <f>Segmenter!B2216</f>
        <v/>
      </c>
      <c r="C2216" t="str">
        <f t="shared" si="170"/>
        <v/>
      </c>
      <c r="D2216" t="str">
        <f t="shared" si="171"/>
        <v/>
      </c>
      <c r="E2216" t="str">
        <f t="shared" si="172"/>
        <v/>
      </c>
      <c r="F2216" t="str">
        <f>IF(D2216="","",INDEX(Knutepunkter!$B:$B,D2216+1))</f>
        <v/>
      </c>
      <c r="G2216" t="str">
        <f>IF(D2216="","",INDEX(Knutepunkter!$C:$C,D2216+1))</f>
        <v/>
      </c>
      <c r="H2216" t="str">
        <f>IF(D2216="","",INDEX(Knutepunkter!$D:$D,D2216+1))</f>
        <v/>
      </c>
      <c r="I2216" t="str">
        <f>IF(E2216="","",INDEX(Knutepunkter!$B:$B,E2216+1))</f>
        <v/>
      </c>
      <c r="J2216" t="str">
        <f>IF(E2216="","",INDEX(Knutepunkter!$C:$C,E2216+1))</f>
        <v/>
      </c>
      <c r="K2216" t="str">
        <f>IF(E2216="","",INDEX(Knutepunkter!$D:$D,E2216+1))</f>
        <v/>
      </c>
      <c r="L2216" t="str">
        <f t="shared" si="173"/>
        <v/>
      </c>
      <c r="M2216" t="str">
        <f t="shared" si="174"/>
        <v/>
      </c>
    </row>
    <row r="2217" spans="1:13" x14ac:dyDescent="0.3">
      <c r="A2217" t="str">
        <f>Segmenter!A2217</f>
        <v/>
      </c>
      <c r="B2217" t="str">
        <f>Segmenter!B2217</f>
        <v/>
      </c>
      <c r="C2217" t="str">
        <f t="shared" si="170"/>
        <v/>
      </c>
      <c r="D2217" t="str">
        <f t="shared" si="171"/>
        <v/>
      </c>
      <c r="E2217" t="str">
        <f t="shared" si="172"/>
        <v/>
      </c>
      <c r="F2217" t="str">
        <f>IF(D2217="","",INDEX(Knutepunkter!$B:$B,D2217+1))</f>
        <v/>
      </c>
      <c r="G2217" t="str">
        <f>IF(D2217="","",INDEX(Knutepunkter!$C:$C,D2217+1))</f>
        <v/>
      </c>
      <c r="H2217" t="str">
        <f>IF(D2217="","",INDEX(Knutepunkter!$D:$D,D2217+1))</f>
        <v/>
      </c>
      <c r="I2217" t="str">
        <f>IF(E2217="","",INDEX(Knutepunkter!$B:$B,E2217+1))</f>
        <v/>
      </c>
      <c r="J2217" t="str">
        <f>IF(E2217="","",INDEX(Knutepunkter!$C:$C,E2217+1))</f>
        <v/>
      </c>
      <c r="K2217" t="str">
        <f>IF(E2217="","",INDEX(Knutepunkter!$D:$D,E2217+1))</f>
        <v/>
      </c>
      <c r="L2217" t="str">
        <f t="shared" si="173"/>
        <v/>
      </c>
      <c r="M2217" t="str">
        <f t="shared" si="174"/>
        <v/>
      </c>
    </row>
    <row r="2218" spans="1:13" x14ac:dyDescent="0.3">
      <c r="A2218" t="str">
        <f>Segmenter!A2218</f>
        <v/>
      </c>
      <c r="B2218" t="str">
        <f>Segmenter!B2218</f>
        <v/>
      </c>
      <c r="C2218" t="str">
        <f t="shared" si="170"/>
        <v/>
      </c>
      <c r="D2218" t="str">
        <f t="shared" si="171"/>
        <v/>
      </c>
      <c r="E2218" t="str">
        <f t="shared" si="172"/>
        <v/>
      </c>
      <c r="F2218" t="str">
        <f>IF(D2218="","",INDEX(Knutepunkter!$B:$B,D2218+1))</f>
        <v/>
      </c>
      <c r="G2218" t="str">
        <f>IF(D2218="","",INDEX(Knutepunkter!$C:$C,D2218+1))</f>
        <v/>
      </c>
      <c r="H2218" t="str">
        <f>IF(D2218="","",INDEX(Knutepunkter!$D:$D,D2218+1))</f>
        <v/>
      </c>
      <c r="I2218" t="str">
        <f>IF(E2218="","",INDEX(Knutepunkter!$B:$B,E2218+1))</f>
        <v/>
      </c>
      <c r="J2218" t="str">
        <f>IF(E2218="","",INDEX(Knutepunkter!$C:$C,E2218+1))</f>
        <v/>
      </c>
      <c r="K2218" t="str">
        <f>IF(E2218="","",INDEX(Knutepunkter!$D:$D,E2218+1))</f>
        <v/>
      </c>
      <c r="L2218" t="str">
        <f t="shared" si="173"/>
        <v/>
      </c>
      <c r="M2218" t="str">
        <f t="shared" si="174"/>
        <v/>
      </c>
    </row>
    <row r="2219" spans="1:13" x14ac:dyDescent="0.3">
      <c r="A2219" t="str">
        <f>Segmenter!A2219</f>
        <v/>
      </c>
      <c r="B2219" t="str">
        <f>Segmenter!B2219</f>
        <v/>
      </c>
      <c r="C2219" t="str">
        <f t="shared" si="170"/>
        <v/>
      </c>
      <c r="D2219" t="str">
        <f t="shared" si="171"/>
        <v/>
      </c>
      <c r="E2219" t="str">
        <f t="shared" si="172"/>
        <v/>
      </c>
      <c r="F2219" t="str">
        <f>IF(D2219="","",INDEX(Knutepunkter!$B:$B,D2219+1))</f>
        <v/>
      </c>
      <c r="G2219" t="str">
        <f>IF(D2219="","",INDEX(Knutepunkter!$C:$C,D2219+1))</f>
        <v/>
      </c>
      <c r="H2219" t="str">
        <f>IF(D2219="","",INDEX(Knutepunkter!$D:$D,D2219+1))</f>
        <v/>
      </c>
      <c r="I2219" t="str">
        <f>IF(E2219="","",INDEX(Knutepunkter!$B:$B,E2219+1))</f>
        <v/>
      </c>
      <c r="J2219" t="str">
        <f>IF(E2219="","",INDEX(Knutepunkter!$C:$C,E2219+1))</f>
        <v/>
      </c>
      <c r="K2219" t="str">
        <f>IF(E2219="","",INDEX(Knutepunkter!$D:$D,E2219+1))</f>
        <v/>
      </c>
      <c r="L2219" t="str">
        <f t="shared" si="173"/>
        <v/>
      </c>
      <c r="M2219" t="str">
        <f t="shared" si="174"/>
        <v/>
      </c>
    </row>
    <row r="2220" spans="1:13" x14ac:dyDescent="0.3">
      <c r="A2220" t="str">
        <f>Segmenter!A2220</f>
        <v/>
      </c>
      <c r="B2220" t="str">
        <f>Segmenter!B2220</f>
        <v/>
      </c>
      <c r="C2220" t="str">
        <f t="shared" si="170"/>
        <v/>
      </c>
      <c r="D2220" t="str">
        <f t="shared" si="171"/>
        <v/>
      </c>
      <c r="E2220" t="str">
        <f t="shared" si="172"/>
        <v/>
      </c>
      <c r="F2220" t="str">
        <f>IF(D2220="","",INDEX(Knutepunkter!$B:$B,D2220+1))</f>
        <v/>
      </c>
      <c r="G2220" t="str">
        <f>IF(D2220="","",INDEX(Knutepunkter!$C:$C,D2220+1))</f>
        <v/>
      </c>
      <c r="H2220" t="str">
        <f>IF(D2220="","",INDEX(Knutepunkter!$D:$D,D2220+1))</f>
        <v/>
      </c>
      <c r="I2220" t="str">
        <f>IF(E2220="","",INDEX(Knutepunkter!$B:$B,E2220+1))</f>
        <v/>
      </c>
      <c r="J2220" t="str">
        <f>IF(E2220="","",INDEX(Knutepunkter!$C:$C,E2220+1))</f>
        <v/>
      </c>
      <c r="K2220" t="str">
        <f>IF(E2220="","",INDEX(Knutepunkter!$D:$D,E2220+1))</f>
        <v/>
      </c>
      <c r="L2220" t="str">
        <f t="shared" si="173"/>
        <v/>
      </c>
      <c r="M2220" t="str">
        <f t="shared" si="174"/>
        <v/>
      </c>
    </row>
    <row r="2221" spans="1:13" x14ac:dyDescent="0.3">
      <c r="A2221" t="str">
        <f>Segmenter!A2221</f>
        <v/>
      </c>
      <c r="B2221" t="str">
        <f>Segmenter!B2221</f>
        <v/>
      </c>
      <c r="C2221" t="str">
        <f t="shared" si="170"/>
        <v/>
      </c>
      <c r="D2221" t="str">
        <f t="shared" si="171"/>
        <v/>
      </c>
      <c r="E2221" t="str">
        <f t="shared" si="172"/>
        <v/>
      </c>
      <c r="F2221" t="str">
        <f>IF(D2221="","",INDEX(Knutepunkter!$B:$B,D2221+1))</f>
        <v/>
      </c>
      <c r="G2221" t="str">
        <f>IF(D2221="","",INDEX(Knutepunkter!$C:$C,D2221+1))</f>
        <v/>
      </c>
      <c r="H2221" t="str">
        <f>IF(D2221="","",INDEX(Knutepunkter!$D:$D,D2221+1))</f>
        <v/>
      </c>
      <c r="I2221" t="str">
        <f>IF(E2221="","",INDEX(Knutepunkter!$B:$B,E2221+1))</f>
        <v/>
      </c>
      <c r="J2221" t="str">
        <f>IF(E2221="","",INDEX(Knutepunkter!$C:$C,E2221+1))</f>
        <v/>
      </c>
      <c r="K2221" t="str">
        <f>IF(E2221="","",INDEX(Knutepunkter!$D:$D,E2221+1))</f>
        <v/>
      </c>
      <c r="L2221" t="str">
        <f t="shared" si="173"/>
        <v/>
      </c>
      <c r="M2221" t="str">
        <f t="shared" si="174"/>
        <v/>
      </c>
    </row>
    <row r="2222" spans="1:13" x14ac:dyDescent="0.3">
      <c r="A2222" t="str">
        <f>Segmenter!A2222</f>
        <v/>
      </c>
      <c r="B2222" t="str">
        <f>Segmenter!B2222</f>
        <v/>
      </c>
      <c r="C2222" t="str">
        <f t="shared" si="170"/>
        <v/>
      </c>
      <c r="D2222" t="str">
        <f t="shared" si="171"/>
        <v/>
      </c>
      <c r="E2222" t="str">
        <f t="shared" si="172"/>
        <v/>
      </c>
      <c r="F2222" t="str">
        <f>IF(D2222="","",INDEX(Knutepunkter!$B:$B,D2222+1))</f>
        <v/>
      </c>
      <c r="G2222" t="str">
        <f>IF(D2222="","",INDEX(Knutepunkter!$C:$C,D2222+1))</f>
        <v/>
      </c>
      <c r="H2222" t="str">
        <f>IF(D2222="","",INDEX(Knutepunkter!$D:$D,D2222+1))</f>
        <v/>
      </c>
      <c r="I2222" t="str">
        <f>IF(E2222="","",INDEX(Knutepunkter!$B:$B,E2222+1))</f>
        <v/>
      </c>
      <c r="J2222" t="str">
        <f>IF(E2222="","",INDEX(Knutepunkter!$C:$C,E2222+1))</f>
        <v/>
      </c>
      <c r="K2222" t="str">
        <f>IF(E2222="","",INDEX(Knutepunkter!$D:$D,E2222+1))</f>
        <v/>
      </c>
      <c r="L2222" t="str">
        <f t="shared" si="173"/>
        <v/>
      </c>
      <c r="M2222" t="str">
        <f t="shared" si="174"/>
        <v/>
      </c>
    </row>
    <row r="2223" spans="1:13" x14ac:dyDescent="0.3">
      <c r="A2223" t="str">
        <f>Segmenter!A2223</f>
        <v/>
      </c>
      <c r="B2223" t="str">
        <f>Segmenter!B2223</f>
        <v/>
      </c>
      <c r="C2223" t="str">
        <f t="shared" si="170"/>
        <v/>
      </c>
      <c r="D2223" t="str">
        <f t="shared" si="171"/>
        <v/>
      </c>
      <c r="E2223" t="str">
        <f t="shared" si="172"/>
        <v/>
      </c>
      <c r="F2223" t="str">
        <f>IF(D2223="","",INDEX(Knutepunkter!$B:$B,D2223+1))</f>
        <v/>
      </c>
      <c r="G2223" t="str">
        <f>IF(D2223="","",INDEX(Knutepunkter!$C:$C,D2223+1))</f>
        <v/>
      </c>
      <c r="H2223" t="str">
        <f>IF(D2223="","",INDEX(Knutepunkter!$D:$D,D2223+1))</f>
        <v/>
      </c>
      <c r="I2223" t="str">
        <f>IF(E2223="","",INDEX(Knutepunkter!$B:$B,E2223+1))</f>
        <v/>
      </c>
      <c r="J2223" t="str">
        <f>IF(E2223="","",INDEX(Knutepunkter!$C:$C,E2223+1))</f>
        <v/>
      </c>
      <c r="K2223" t="str">
        <f>IF(E2223="","",INDEX(Knutepunkter!$D:$D,E2223+1))</f>
        <v/>
      </c>
      <c r="L2223" t="str">
        <f t="shared" si="173"/>
        <v/>
      </c>
      <c r="M2223" t="str">
        <f t="shared" si="174"/>
        <v/>
      </c>
    </row>
    <row r="2224" spans="1:13" x14ac:dyDescent="0.3">
      <c r="A2224" t="str">
        <f>Segmenter!A2224</f>
        <v/>
      </c>
      <c r="B2224" t="str">
        <f>Segmenter!B2224</f>
        <v/>
      </c>
      <c r="C2224" t="str">
        <f t="shared" si="170"/>
        <v/>
      </c>
      <c r="D2224" t="str">
        <f t="shared" si="171"/>
        <v/>
      </c>
      <c r="E2224" t="str">
        <f t="shared" si="172"/>
        <v/>
      </c>
      <c r="F2224" t="str">
        <f>IF(D2224="","",INDEX(Knutepunkter!$B:$B,D2224+1))</f>
        <v/>
      </c>
      <c r="G2224" t="str">
        <f>IF(D2224="","",INDEX(Knutepunkter!$C:$C,D2224+1))</f>
        <v/>
      </c>
      <c r="H2224" t="str">
        <f>IF(D2224="","",INDEX(Knutepunkter!$D:$D,D2224+1))</f>
        <v/>
      </c>
      <c r="I2224" t="str">
        <f>IF(E2224="","",INDEX(Knutepunkter!$B:$B,E2224+1))</f>
        <v/>
      </c>
      <c r="J2224" t="str">
        <f>IF(E2224="","",INDEX(Knutepunkter!$C:$C,E2224+1))</f>
        <v/>
      </c>
      <c r="K2224" t="str">
        <f>IF(E2224="","",INDEX(Knutepunkter!$D:$D,E2224+1))</f>
        <v/>
      </c>
      <c r="L2224" t="str">
        <f t="shared" si="173"/>
        <v/>
      </c>
      <c r="M2224" t="str">
        <f t="shared" si="174"/>
        <v/>
      </c>
    </row>
    <row r="2225" spans="1:13" x14ac:dyDescent="0.3">
      <c r="A2225" t="str">
        <f>Segmenter!A2225</f>
        <v/>
      </c>
      <c r="B2225" t="str">
        <f>Segmenter!B2225</f>
        <v/>
      </c>
      <c r="C2225" t="str">
        <f t="shared" si="170"/>
        <v/>
      </c>
      <c r="D2225" t="str">
        <f t="shared" si="171"/>
        <v/>
      </c>
      <c r="E2225" t="str">
        <f t="shared" si="172"/>
        <v/>
      </c>
      <c r="F2225" t="str">
        <f>IF(D2225="","",INDEX(Knutepunkter!$B:$B,D2225+1))</f>
        <v/>
      </c>
      <c r="G2225" t="str">
        <f>IF(D2225="","",INDEX(Knutepunkter!$C:$C,D2225+1))</f>
        <v/>
      </c>
      <c r="H2225" t="str">
        <f>IF(D2225="","",INDEX(Knutepunkter!$D:$D,D2225+1))</f>
        <v/>
      </c>
      <c r="I2225" t="str">
        <f>IF(E2225="","",INDEX(Knutepunkter!$B:$B,E2225+1))</f>
        <v/>
      </c>
      <c r="J2225" t="str">
        <f>IF(E2225="","",INDEX(Knutepunkter!$C:$C,E2225+1))</f>
        <v/>
      </c>
      <c r="K2225" t="str">
        <f>IF(E2225="","",INDEX(Knutepunkter!$D:$D,E2225+1))</f>
        <v/>
      </c>
      <c r="L2225" t="str">
        <f t="shared" si="173"/>
        <v/>
      </c>
      <c r="M2225" t="str">
        <f t="shared" si="174"/>
        <v/>
      </c>
    </row>
    <row r="2226" spans="1:13" x14ac:dyDescent="0.3">
      <c r="A2226" t="str">
        <f>Segmenter!A2226</f>
        <v/>
      </c>
      <c r="B2226" t="str">
        <f>Segmenter!B2226</f>
        <v/>
      </c>
      <c r="C2226" t="str">
        <f t="shared" si="170"/>
        <v/>
      </c>
      <c r="D2226" t="str">
        <f t="shared" si="171"/>
        <v/>
      </c>
      <c r="E2226" t="str">
        <f t="shared" si="172"/>
        <v/>
      </c>
      <c r="F2226" t="str">
        <f>IF(D2226="","",INDEX(Knutepunkter!$B:$B,D2226+1))</f>
        <v/>
      </c>
      <c r="G2226" t="str">
        <f>IF(D2226="","",INDEX(Knutepunkter!$C:$C,D2226+1))</f>
        <v/>
      </c>
      <c r="H2226" t="str">
        <f>IF(D2226="","",INDEX(Knutepunkter!$D:$D,D2226+1))</f>
        <v/>
      </c>
      <c r="I2226" t="str">
        <f>IF(E2226="","",INDEX(Knutepunkter!$B:$B,E2226+1))</f>
        <v/>
      </c>
      <c r="J2226" t="str">
        <f>IF(E2226="","",INDEX(Knutepunkter!$C:$C,E2226+1))</f>
        <v/>
      </c>
      <c r="K2226" t="str">
        <f>IF(E2226="","",INDEX(Knutepunkter!$D:$D,E2226+1))</f>
        <v/>
      </c>
      <c r="L2226" t="str">
        <f t="shared" si="173"/>
        <v/>
      </c>
      <c r="M2226" t="str">
        <f t="shared" si="174"/>
        <v/>
      </c>
    </row>
    <row r="2227" spans="1:13" x14ac:dyDescent="0.3">
      <c r="A2227" t="str">
        <f>Segmenter!A2227</f>
        <v/>
      </c>
      <c r="B2227" t="str">
        <f>Segmenter!B2227</f>
        <v/>
      </c>
      <c r="C2227" t="str">
        <f t="shared" si="170"/>
        <v/>
      </c>
      <c r="D2227" t="str">
        <f t="shared" si="171"/>
        <v/>
      </c>
      <c r="E2227" t="str">
        <f t="shared" si="172"/>
        <v/>
      </c>
      <c r="F2227" t="str">
        <f>IF(D2227="","",INDEX(Knutepunkter!$B:$B,D2227+1))</f>
        <v/>
      </c>
      <c r="G2227" t="str">
        <f>IF(D2227="","",INDEX(Knutepunkter!$C:$C,D2227+1))</f>
        <v/>
      </c>
      <c r="H2227" t="str">
        <f>IF(D2227="","",INDEX(Knutepunkter!$D:$D,D2227+1))</f>
        <v/>
      </c>
      <c r="I2227" t="str">
        <f>IF(E2227="","",INDEX(Knutepunkter!$B:$B,E2227+1))</f>
        <v/>
      </c>
      <c r="J2227" t="str">
        <f>IF(E2227="","",INDEX(Knutepunkter!$C:$C,E2227+1))</f>
        <v/>
      </c>
      <c r="K2227" t="str">
        <f>IF(E2227="","",INDEX(Knutepunkter!$D:$D,E2227+1))</f>
        <v/>
      </c>
      <c r="L2227" t="str">
        <f t="shared" si="173"/>
        <v/>
      </c>
      <c r="M2227" t="str">
        <f t="shared" si="174"/>
        <v/>
      </c>
    </row>
    <row r="2228" spans="1:13" x14ac:dyDescent="0.3">
      <c r="A2228" t="str">
        <f>Segmenter!A2228</f>
        <v/>
      </c>
      <c r="B2228" t="str">
        <f>Segmenter!B2228</f>
        <v/>
      </c>
      <c r="C2228" t="str">
        <f t="shared" si="170"/>
        <v/>
      </c>
      <c r="D2228" t="str">
        <f t="shared" si="171"/>
        <v/>
      </c>
      <c r="E2228" t="str">
        <f t="shared" si="172"/>
        <v/>
      </c>
      <c r="F2228" t="str">
        <f>IF(D2228="","",INDEX(Knutepunkter!$B:$B,D2228+1))</f>
        <v/>
      </c>
      <c r="G2228" t="str">
        <f>IF(D2228="","",INDEX(Knutepunkter!$C:$C,D2228+1))</f>
        <v/>
      </c>
      <c r="H2228" t="str">
        <f>IF(D2228="","",INDEX(Knutepunkter!$D:$D,D2228+1))</f>
        <v/>
      </c>
      <c r="I2228" t="str">
        <f>IF(E2228="","",INDEX(Knutepunkter!$B:$B,E2228+1))</f>
        <v/>
      </c>
      <c r="J2228" t="str">
        <f>IF(E2228="","",INDEX(Knutepunkter!$C:$C,E2228+1))</f>
        <v/>
      </c>
      <c r="K2228" t="str">
        <f>IF(E2228="","",INDEX(Knutepunkter!$D:$D,E2228+1))</f>
        <v/>
      </c>
      <c r="L2228" t="str">
        <f t="shared" si="173"/>
        <v/>
      </c>
      <c r="M2228" t="str">
        <f t="shared" si="174"/>
        <v/>
      </c>
    </row>
    <row r="2229" spans="1:13" x14ac:dyDescent="0.3">
      <c r="A2229" t="str">
        <f>Segmenter!A2229</f>
        <v/>
      </c>
      <c r="B2229" t="str">
        <f>Segmenter!B2229</f>
        <v/>
      </c>
      <c r="C2229" t="str">
        <f t="shared" si="170"/>
        <v/>
      </c>
      <c r="D2229" t="str">
        <f t="shared" si="171"/>
        <v/>
      </c>
      <c r="E2229" t="str">
        <f t="shared" si="172"/>
        <v/>
      </c>
      <c r="F2229" t="str">
        <f>IF(D2229="","",INDEX(Knutepunkter!$B:$B,D2229+1))</f>
        <v/>
      </c>
      <c r="G2229" t="str">
        <f>IF(D2229="","",INDEX(Knutepunkter!$C:$C,D2229+1))</f>
        <v/>
      </c>
      <c r="H2229" t="str">
        <f>IF(D2229="","",INDEX(Knutepunkter!$D:$D,D2229+1))</f>
        <v/>
      </c>
      <c r="I2229" t="str">
        <f>IF(E2229="","",INDEX(Knutepunkter!$B:$B,E2229+1))</f>
        <v/>
      </c>
      <c r="J2229" t="str">
        <f>IF(E2229="","",INDEX(Knutepunkter!$C:$C,E2229+1))</f>
        <v/>
      </c>
      <c r="K2229" t="str">
        <f>IF(E2229="","",INDEX(Knutepunkter!$D:$D,E2229+1))</f>
        <v/>
      </c>
      <c r="L2229" t="str">
        <f t="shared" si="173"/>
        <v/>
      </c>
      <c r="M2229" t="str">
        <f t="shared" si="174"/>
        <v/>
      </c>
    </row>
    <row r="2230" spans="1:13" x14ac:dyDescent="0.3">
      <c r="A2230" t="str">
        <f>Segmenter!A2230</f>
        <v/>
      </c>
      <c r="B2230" t="str">
        <f>Segmenter!B2230</f>
        <v/>
      </c>
      <c r="C2230" t="str">
        <f t="shared" si="170"/>
        <v/>
      </c>
      <c r="D2230" t="str">
        <f t="shared" si="171"/>
        <v/>
      </c>
      <c r="E2230" t="str">
        <f t="shared" si="172"/>
        <v/>
      </c>
      <c r="F2230" t="str">
        <f>IF(D2230="","",INDEX(Knutepunkter!$B:$B,D2230+1))</f>
        <v/>
      </c>
      <c r="G2230" t="str">
        <f>IF(D2230="","",INDEX(Knutepunkter!$C:$C,D2230+1))</f>
        <v/>
      </c>
      <c r="H2230" t="str">
        <f>IF(D2230="","",INDEX(Knutepunkter!$D:$D,D2230+1))</f>
        <v/>
      </c>
      <c r="I2230" t="str">
        <f>IF(E2230="","",INDEX(Knutepunkter!$B:$B,E2230+1))</f>
        <v/>
      </c>
      <c r="J2230" t="str">
        <f>IF(E2230="","",INDEX(Knutepunkter!$C:$C,E2230+1))</f>
        <v/>
      </c>
      <c r="K2230" t="str">
        <f>IF(E2230="","",INDEX(Knutepunkter!$D:$D,E2230+1))</f>
        <v/>
      </c>
      <c r="L2230" t="str">
        <f t="shared" si="173"/>
        <v/>
      </c>
      <c r="M2230" t="str">
        <f t="shared" si="174"/>
        <v/>
      </c>
    </row>
    <row r="2231" spans="1:13" x14ac:dyDescent="0.3">
      <c r="A2231" t="str">
        <f>Segmenter!A2231</f>
        <v/>
      </c>
      <c r="B2231" t="str">
        <f>Segmenter!B2231</f>
        <v/>
      </c>
      <c r="C2231" t="str">
        <f t="shared" si="170"/>
        <v/>
      </c>
      <c r="D2231" t="str">
        <f t="shared" si="171"/>
        <v/>
      </c>
      <c r="E2231" t="str">
        <f t="shared" si="172"/>
        <v/>
      </c>
      <c r="F2231" t="str">
        <f>IF(D2231="","",INDEX(Knutepunkter!$B:$B,D2231+1))</f>
        <v/>
      </c>
      <c r="G2231" t="str">
        <f>IF(D2231="","",INDEX(Knutepunkter!$C:$C,D2231+1))</f>
        <v/>
      </c>
      <c r="H2231" t="str">
        <f>IF(D2231="","",INDEX(Knutepunkter!$D:$D,D2231+1))</f>
        <v/>
      </c>
      <c r="I2231" t="str">
        <f>IF(E2231="","",INDEX(Knutepunkter!$B:$B,E2231+1))</f>
        <v/>
      </c>
      <c r="J2231" t="str">
        <f>IF(E2231="","",INDEX(Knutepunkter!$C:$C,E2231+1))</f>
        <v/>
      </c>
      <c r="K2231" t="str">
        <f>IF(E2231="","",INDEX(Knutepunkter!$D:$D,E2231+1))</f>
        <v/>
      </c>
      <c r="L2231" t="str">
        <f t="shared" si="173"/>
        <v/>
      </c>
      <c r="M2231" t="str">
        <f t="shared" si="174"/>
        <v/>
      </c>
    </row>
    <row r="2232" spans="1:13" x14ac:dyDescent="0.3">
      <c r="A2232" t="str">
        <f>Segmenter!A2232</f>
        <v/>
      </c>
      <c r="B2232" t="str">
        <f>Segmenter!B2232</f>
        <v/>
      </c>
      <c r="C2232" t="str">
        <f t="shared" si="170"/>
        <v/>
      </c>
      <c r="D2232" t="str">
        <f t="shared" si="171"/>
        <v/>
      </c>
      <c r="E2232" t="str">
        <f t="shared" si="172"/>
        <v/>
      </c>
      <c r="F2232" t="str">
        <f>IF(D2232="","",INDEX(Knutepunkter!$B:$B,D2232+1))</f>
        <v/>
      </c>
      <c r="G2232" t="str">
        <f>IF(D2232="","",INDEX(Knutepunkter!$C:$C,D2232+1))</f>
        <v/>
      </c>
      <c r="H2232" t="str">
        <f>IF(D2232="","",INDEX(Knutepunkter!$D:$D,D2232+1))</f>
        <v/>
      </c>
      <c r="I2232" t="str">
        <f>IF(E2232="","",INDEX(Knutepunkter!$B:$B,E2232+1))</f>
        <v/>
      </c>
      <c r="J2232" t="str">
        <f>IF(E2232="","",INDEX(Knutepunkter!$C:$C,E2232+1))</f>
        <v/>
      </c>
      <c r="K2232" t="str">
        <f>IF(E2232="","",INDEX(Knutepunkter!$D:$D,E2232+1))</f>
        <v/>
      </c>
      <c r="L2232" t="str">
        <f t="shared" si="173"/>
        <v/>
      </c>
      <c r="M2232" t="str">
        <f t="shared" si="174"/>
        <v/>
      </c>
    </row>
    <row r="2233" spans="1:13" x14ac:dyDescent="0.3">
      <c r="A2233" t="str">
        <f>Segmenter!A2233</f>
        <v/>
      </c>
      <c r="B2233" t="str">
        <f>Segmenter!B2233</f>
        <v/>
      </c>
      <c r="C2233" t="str">
        <f t="shared" si="170"/>
        <v/>
      </c>
      <c r="D2233" t="str">
        <f t="shared" si="171"/>
        <v/>
      </c>
      <c r="E2233" t="str">
        <f t="shared" si="172"/>
        <v/>
      </c>
      <c r="F2233" t="str">
        <f>IF(D2233="","",INDEX(Knutepunkter!$B:$B,D2233+1))</f>
        <v/>
      </c>
      <c r="G2233" t="str">
        <f>IF(D2233="","",INDEX(Knutepunkter!$C:$C,D2233+1))</f>
        <v/>
      </c>
      <c r="H2233" t="str">
        <f>IF(D2233="","",INDEX(Knutepunkter!$D:$D,D2233+1))</f>
        <v/>
      </c>
      <c r="I2233" t="str">
        <f>IF(E2233="","",INDEX(Knutepunkter!$B:$B,E2233+1))</f>
        <v/>
      </c>
      <c r="J2233" t="str">
        <f>IF(E2233="","",INDEX(Knutepunkter!$C:$C,E2233+1))</f>
        <v/>
      </c>
      <c r="K2233" t="str">
        <f>IF(E2233="","",INDEX(Knutepunkter!$D:$D,E2233+1))</f>
        <v/>
      </c>
      <c r="L2233" t="str">
        <f t="shared" si="173"/>
        <v/>
      </c>
      <c r="M2233" t="str">
        <f t="shared" si="174"/>
        <v/>
      </c>
    </row>
    <row r="2234" spans="1:13" x14ac:dyDescent="0.3">
      <c r="A2234" t="str">
        <f>Segmenter!A2234</f>
        <v/>
      </c>
      <c r="B2234" t="str">
        <f>Segmenter!B2234</f>
        <v/>
      </c>
      <c r="C2234" t="str">
        <f t="shared" si="170"/>
        <v/>
      </c>
      <c r="D2234" t="str">
        <f t="shared" si="171"/>
        <v/>
      </c>
      <c r="E2234" t="str">
        <f t="shared" si="172"/>
        <v/>
      </c>
      <c r="F2234" t="str">
        <f>IF(D2234="","",INDEX(Knutepunkter!$B:$B,D2234+1))</f>
        <v/>
      </c>
      <c r="G2234" t="str">
        <f>IF(D2234="","",INDEX(Knutepunkter!$C:$C,D2234+1))</f>
        <v/>
      </c>
      <c r="H2234" t="str">
        <f>IF(D2234="","",INDEX(Knutepunkter!$D:$D,D2234+1))</f>
        <v/>
      </c>
      <c r="I2234" t="str">
        <f>IF(E2234="","",INDEX(Knutepunkter!$B:$B,E2234+1))</f>
        <v/>
      </c>
      <c r="J2234" t="str">
        <f>IF(E2234="","",INDEX(Knutepunkter!$C:$C,E2234+1))</f>
        <v/>
      </c>
      <c r="K2234" t="str">
        <f>IF(E2234="","",INDEX(Knutepunkter!$D:$D,E2234+1))</f>
        <v/>
      </c>
      <c r="L2234" t="str">
        <f t="shared" si="173"/>
        <v/>
      </c>
      <c r="M2234" t="str">
        <f t="shared" si="174"/>
        <v/>
      </c>
    </row>
    <row r="2235" spans="1:13" x14ac:dyDescent="0.3">
      <c r="A2235" t="str">
        <f>Segmenter!A2235</f>
        <v/>
      </c>
      <c r="B2235" t="str">
        <f>Segmenter!B2235</f>
        <v/>
      </c>
      <c r="C2235" t="str">
        <f t="shared" si="170"/>
        <v/>
      </c>
      <c r="D2235" t="str">
        <f t="shared" si="171"/>
        <v/>
      </c>
      <c r="E2235" t="str">
        <f t="shared" si="172"/>
        <v/>
      </c>
      <c r="F2235" t="str">
        <f>IF(D2235="","",INDEX(Knutepunkter!$B:$B,D2235+1))</f>
        <v/>
      </c>
      <c r="G2235" t="str">
        <f>IF(D2235="","",INDEX(Knutepunkter!$C:$C,D2235+1))</f>
        <v/>
      </c>
      <c r="H2235" t="str">
        <f>IF(D2235="","",INDEX(Knutepunkter!$D:$D,D2235+1))</f>
        <v/>
      </c>
      <c r="I2235" t="str">
        <f>IF(E2235="","",INDEX(Knutepunkter!$B:$B,E2235+1))</f>
        <v/>
      </c>
      <c r="J2235" t="str">
        <f>IF(E2235="","",INDEX(Knutepunkter!$C:$C,E2235+1))</f>
        <v/>
      </c>
      <c r="K2235" t="str">
        <f>IF(E2235="","",INDEX(Knutepunkter!$D:$D,E2235+1))</f>
        <v/>
      </c>
      <c r="L2235" t="str">
        <f t="shared" si="173"/>
        <v/>
      </c>
      <c r="M2235" t="str">
        <f t="shared" si="174"/>
        <v/>
      </c>
    </row>
    <row r="2236" spans="1:13" x14ac:dyDescent="0.3">
      <c r="A2236" t="str">
        <f>Segmenter!A2236</f>
        <v/>
      </c>
      <c r="B2236" t="str">
        <f>Segmenter!B2236</f>
        <v/>
      </c>
      <c r="C2236" t="str">
        <f t="shared" si="170"/>
        <v/>
      </c>
      <c r="D2236" t="str">
        <f t="shared" si="171"/>
        <v/>
      </c>
      <c r="E2236" t="str">
        <f t="shared" si="172"/>
        <v/>
      </c>
      <c r="F2236" t="str">
        <f>IF(D2236="","",INDEX(Knutepunkter!$B:$B,D2236+1))</f>
        <v/>
      </c>
      <c r="G2236" t="str">
        <f>IF(D2236="","",INDEX(Knutepunkter!$C:$C,D2236+1))</f>
        <v/>
      </c>
      <c r="H2236" t="str">
        <f>IF(D2236="","",INDEX(Knutepunkter!$D:$D,D2236+1))</f>
        <v/>
      </c>
      <c r="I2236" t="str">
        <f>IF(E2236="","",INDEX(Knutepunkter!$B:$B,E2236+1))</f>
        <v/>
      </c>
      <c r="J2236" t="str">
        <f>IF(E2236="","",INDEX(Knutepunkter!$C:$C,E2236+1))</f>
        <v/>
      </c>
      <c r="K2236" t="str">
        <f>IF(E2236="","",INDEX(Knutepunkter!$D:$D,E2236+1))</f>
        <v/>
      </c>
      <c r="L2236" t="str">
        <f t="shared" si="173"/>
        <v/>
      </c>
      <c r="M2236" t="str">
        <f t="shared" si="174"/>
        <v/>
      </c>
    </row>
    <row r="2237" spans="1:13" x14ac:dyDescent="0.3">
      <c r="A2237" t="str">
        <f>Segmenter!A2237</f>
        <v/>
      </c>
      <c r="B2237" t="str">
        <f>Segmenter!B2237</f>
        <v/>
      </c>
      <c r="C2237" t="str">
        <f t="shared" si="170"/>
        <v/>
      </c>
      <c r="D2237" t="str">
        <f t="shared" si="171"/>
        <v/>
      </c>
      <c r="E2237" t="str">
        <f t="shared" si="172"/>
        <v/>
      </c>
      <c r="F2237" t="str">
        <f>IF(D2237="","",INDEX(Knutepunkter!$B:$B,D2237+1))</f>
        <v/>
      </c>
      <c r="G2237" t="str">
        <f>IF(D2237="","",INDEX(Knutepunkter!$C:$C,D2237+1))</f>
        <v/>
      </c>
      <c r="H2237" t="str">
        <f>IF(D2237="","",INDEX(Knutepunkter!$D:$D,D2237+1))</f>
        <v/>
      </c>
      <c r="I2237" t="str">
        <f>IF(E2237="","",INDEX(Knutepunkter!$B:$B,E2237+1))</f>
        <v/>
      </c>
      <c r="J2237" t="str">
        <f>IF(E2237="","",INDEX(Knutepunkter!$C:$C,E2237+1))</f>
        <v/>
      </c>
      <c r="K2237" t="str">
        <f>IF(E2237="","",INDEX(Knutepunkter!$D:$D,E2237+1))</f>
        <v/>
      </c>
      <c r="L2237" t="str">
        <f t="shared" si="173"/>
        <v/>
      </c>
      <c r="M2237" t="str">
        <f t="shared" si="174"/>
        <v/>
      </c>
    </row>
    <row r="2238" spans="1:13" x14ac:dyDescent="0.3">
      <c r="A2238" t="str">
        <f>Segmenter!A2238</f>
        <v/>
      </c>
      <c r="B2238" t="str">
        <f>Segmenter!B2238</f>
        <v/>
      </c>
      <c r="C2238" t="str">
        <f t="shared" si="170"/>
        <v/>
      </c>
      <c r="D2238" t="str">
        <f t="shared" si="171"/>
        <v/>
      </c>
      <c r="E2238" t="str">
        <f t="shared" si="172"/>
        <v/>
      </c>
      <c r="F2238" t="str">
        <f>IF(D2238="","",INDEX(Knutepunkter!$B:$B,D2238+1))</f>
        <v/>
      </c>
      <c r="G2238" t="str">
        <f>IF(D2238="","",INDEX(Knutepunkter!$C:$C,D2238+1))</f>
        <v/>
      </c>
      <c r="H2238" t="str">
        <f>IF(D2238="","",INDEX(Knutepunkter!$D:$D,D2238+1))</f>
        <v/>
      </c>
      <c r="I2238" t="str">
        <f>IF(E2238="","",INDEX(Knutepunkter!$B:$B,E2238+1))</f>
        <v/>
      </c>
      <c r="J2238" t="str">
        <f>IF(E2238="","",INDEX(Knutepunkter!$C:$C,E2238+1))</f>
        <v/>
      </c>
      <c r="K2238" t="str">
        <f>IF(E2238="","",INDEX(Knutepunkter!$D:$D,E2238+1))</f>
        <v/>
      </c>
      <c r="L2238" t="str">
        <f t="shared" si="173"/>
        <v/>
      </c>
      <c r="M2238" t="str">
        <f t="shared" si="174"/>
        <v/>
      </c>
    </row>
    <row r="2239" spans="1:13" x14ac:dyDescent="0.3">
      <c r="A2239" t="str">
        <f>Segmenter!A2239</f>
        <v/>
      </c>
      <c r="B2239" t="str">
        <f>Segmenter!B2239</f>
        <v/>
      </c>
      <c r="C2239" t="str">
        <f t="shared" si="170"/>
        <v/>
      </c>
      <c r="D2239" t="str">
        <f t="shared" si="171"/>
        <v/>
      </c>
      <c r="E2239" t="str">
        <f t="shared" si="172"/>
        <v/>
      </c>
      <c r="F2239" t="str">
        <f>IF(D2239="","",INDEX(Knutepunkter!$B:$B,D2239+1))</f>
        <v/>
      </c>
      <c r="G2239" t="str">
        <f>IF(D2239="","",INDEX(Knutepunkter!$C:$C,D2239+1))</f>
        <v/>
      </c>
      <c r="H2239" t="str">
        <f>IF(D2239="","",INDEX(Knutepunkter!$D:$D,D2239+1))</f>
        <v/>
      </c>
      <c r="I2239" t="str">
        <f>IF(E2239="","",INDEX(Knutepunkter!$B:$B,E2239+1))</f>
        <v/>
      </c>
      <c r="J2239" t="str">
        <f>IF(E2239="","",INDEX(Knutepunkter!$C:$C,E2239+1))</f>
        <v/>
      </c>
      <c r="K2239" t="str">
        <f>IF(E2239="","",INDEX(Knutepunkter!$D:$D,E2239+1))</f>
        <v/>
      </c>
      <c r="L2239" t="str">
        <f t="shared" si="173"/>
        <v/>
      </c>
      <c r="M2239" t="str">
        <f t="shared" si="174"/>
        <v/>
      </c>
    </row>
    <row r="2240" spans="1:13" x14ac:dyDescent="0.3">
      <c r="A2240" t="str">
        <f>Segmenter!A2240</f>
        <v/>
      </c>
      <c r="B2240" t="str">
        <f>Segmenter!B2240</f>
        <v/>
      </c>
      <c r="C2240" t="str">
        <f t="shared" si="170"/>
        <v/>
      </c>
      <c r="D2240" t="str">
        <f t="shared" si="171"/>
        <v/>
      </c>
      <c r="E2240" t="str">
        <f t="shared" si="172"/>
        <v/>
      </c>
      <c r="F2240" t="str">
        <f>IF(D2240="","",INDEX(Knutepunkter!$B:$B,D2240+1))</f>
        <v/>
      </c>
      <c r="G2240" t="str">
        <f>IF(D2240="","",INDEX(Knutepunkter!$C:$C,D2240+1))</f>
        <v/>
      </c>
      <c r="H2240" t="str">
        <f>IF(D2240="","",INDEX(Knutepunkter!$D:$D,D2240+1))</f>
        <v/>
      </c>
      <c r="I2240" t="str">
        <f>IF(E2240="","",INDEX(Knutepunkter!$B:$B,E2240+1))</f>
        <v/>
      </c>
      <c r="J2240" t="str">
        <f>IF(E2240="","",INDEX(Knutepunkter!$C:$C,E2240+1))</f>
        <v/>
      </c>
      <c r="K2240" t="str">
        <f>IF(E2240="","",INDEX(Knutepunkter!$D:$D,E2240+1))</f>
        <v/>
      </c>
      <c r="L2240" t="str">
        <f t="shared" si="173"/>
        <v/>
      </c>
      <c r="M2240" t="str">
        <f t="shared" si="174"/>
        <v/>
      </c>
    </row>
    <row r="2241" spans="1:13" x14ac:dyDescent="0.3">
      <c r="A2241" t="str">
        <f>Segmenter!A2241</f>
        <v/>
      </c>
      <c r="B2241" t="str">
        <f>Segmenter!B2241</f>
        <v/>
      </c>
      <c r="C2241" t="str">
        <f t="shared" si="170"/>
        <v/>
      </c>
      <c r="D2241" t="str">
        <f t="shared" si="171"/>
        <v/>
      </c>
      <c r="E2241" t="str">
        <f t="shared" si="172"/>
        <v/>
      </c>
      <c r="F2241" t="str">
        <f>IF(D2241="","",INDEX(Knutepunkter!$B:$B,D2241+1))</f>
        <v/>
      </c>
      <c r="G2241" t="str">
        <f>IF(D2241="","",INDEX(Knutepunkter!$C:$C,D2241+1))</f>
        <v/>
      </c>
      <c r="H2241" t="str">
        <f>IF(D2241="","",INDEX(Knutepunkter!$D:$D,D2241+1))</f>
        <v/>
      </c>
      <c r="I2241" t="str">
        <f>IF(E2241="","",INDEX(Knutepunkter!$B:$B,E2241+1))</f>
        <v/>
      </c>
      <c r="J2241" t="str">
        <f>IF(E2241="","",INDEX(Knutepunkter!$C:$C,E2241+1))</f>
        <v/>
      </c>
      <c r="K2241" t="str">
        <f>IF(E2241="","",INDEX(Knutepunkter!$D:$D,E2241+1))</f>
        <v/>
      </c>
      <c r="L2241" t="str">
        <f t="shared" si="173"/>
        <v/>
      </c>
      <c r="M2241" t="str">
        <f t="shared" si="174"/>
        <v/>
      </c>
    </row>
    <row r="2242" spans="1:13" x14ac:dyDescent="0.3">
      <c r="A2242" t="str">
        <f>Segmenter!A2242</f>
        <v/>
      </c>
      <c r="B2242" t="str">
        <f>Segmenter!B2242</f>
        <v/>
      </c>
      <c r="C2242" t="str">
        <f t="shared" ref="C2242:C2305" si="175">IF(B2242="","",IF(AND(F2242=I2242,G2242=J2242,H2242&lt;&gt;K2242),"Søyle","Bjelke"))</f>
        <v/>
      </c>
      <c r="D2242" t="str">
        <f t="shared" ref="D2242:D2305" si="176">IF(B2242="","",VALUE(LEFT(B2242,FIND(" -&gt; ",B2242)-1)))</f>
        <v/>
      </c>
      <c r="E2242" t="str">
        <f t="shared" ref="E2242:E2305" si="177">IF(B2242="","",VALUE(MID(B2242,FIND(" -&gt; ",B2242)+4,99)))</f>
        <v/>
      </c>
      <c r="F2242" t="str">
        <f>IF(D2242="","",INDEX(Knutepunkter!$B:$B,D2242+1))</f>
        <v/>
      </c>
      <c r="G2242" t="str">
        <f>IF(D2242="","",INDEX(Knutepunkter!$C:$C,D2242+1))</f>
        <v/>
      </c>
      <c r="H2242" t="str">
        <f>IF(D2242="","",INDEX(Knutepunkter!$D:$D,D2242+1))</f>
        <v/>
      </c>
      <c r="I2242" t="str">
        <f>IF(E2242="","",INDEX(Knutepunkter!$B:$B,E2242+1))</f>
        <v/>
      </c>
      <c r="J2242" t="str">
        <f>IF(E2242="","",INDEX(Knutepunkter!$C:$C,E2242+1))</f>
        <v/>
      </c>
      <c r="K2242" t="str">
        <f>IF(E2242="","",INDEX(Knutepunkter!$D:$D,E2242+1))</f>
        <v/>
      </c>
      <c r="L2242" t="str">
        <f t="shared" ref="L2242:L2305" si="178">IF(B2242="","",SQRT((I2242-F2242)^2+(J2242-G2242)^2+(K2242-H2242)^2))</f>
        <v/>
      </c>
      <c r="M2242" t="str">
        <f t="shared" ref="M2242:M2305" si="179">IF(L2242="","",L2242/1000)</f>
        <v/>
      </c>
    </row>
    <row r="2243" spans="1:13" x14ac:dyDescent="0.3">
      <c r="A2243" t="str">
        <f>Segmenter!A2243</f>
        <v/>
      </c>
      <c r="B2243" t="str">
        <f>Segmenter!B2243</f>
        <v/>
      </c>
      <c r="C2243" t="str">
        <f t="shared" si="175"/>
        <v/>
      </c>
      <c r="D2243" t="str">
        <f t="shared" si="176"/>
        <v/>
      </c>
      <c r="E2243" t="str">
        <f t="shared" si="177"/>
        <v/>
      </c>
      <c r="F2243" t="str">
        <f>IF(D2243="","",INDEX(Knutepunkter!$B:$B,D2243+1))</f>
        <v/>
      </c>
      <c r="G2243" t="str">
        <f>IF(D2243="","",INDEX(Knutepunkter!$C:$C,D2243+1))</f>
        <v/>
      </c>
      <c r="H2243" t="str">
        <f>IF(D2243="","",INDEX(Knutepunkter!$D:$D,D2243+1))</f>
        <v/>
      </c>
      <c r="I2243" t="str">
        <f>IF(E2243="","",INDEX(Knutepunkter!$B:$B,E2243+1))</f>
        <v/>
      </c>
      <c r="J2243" t="str">
        <f>IF(E2243="","",INDEX(Knutepunkter!$C:$C,E2243+1))</f>
        <v/>
      </c>
      <c r="K2243" t="str">
        <f>IF(E2243="","",INDEX(Knutepunkter!$D:$D,E2243+1))</f>
        <v/>
      </c>
      <c r="L2243" t="str">
        <f t="shared" si="178"/>
        <v/>
      </c>
      <c r="M2243" t="str">
        <f t="shared" si="179"/>
        <v/>
      </c>
    </row>
    <row r="2244" spans="1:13" x14ac:dyDescent="0.3">
      <c r="A2244" t="str">
        <f>Segmenter!A2244</f>
        <v/>
      </c>
      <c r="B2244" t="str">
        <f>Segmenter!B2244</f>
        <v/>
      </c>
      <c r="C2244" t="str">
        <f t="shared" si="175"/>
        <v/>
      </c>
      <c r="D2244" t="str">
        <f t="shared" si="176"/>
        <v/>
      </c>
      <c r="E2244" t="str">
        <f t="shared" si="177"/>
        <v/>
      </c>
      <c r="F2244" t="str">
        <f>IF(D2244="","",INDEX(Knutepunkter!$B:$B,D2244+1))</f>
        <v/>
      </c>
      <c r="G2244" t="str">
        <f>IF(D2244="","",INDEX(Knutepunkter!$C:$C,D2244+1))</f>
        <v/>
      </c>
      <c r="H2244" t="str">
        <f>IF(D2244="","",INDEX(Knutepunkter!$D:$D,D2244+1))</f>
        <v/>
      </c>
      <c r="I2244" t="str">
        <f>IF(E2244="","",INDEX(Knutepunkter!$B:$B,E2244+1))</f>
        <v/>
      </c>
      <c r="J2244" t="str">
        <f>IF(E2244="","",INDEX(Knutepunkter!$C:$C,E2244+1))</f>
        <v/>
      </c>
      <c r="K2244" t="str">
        <f>IF(E2244="","",INDEX(Knutepunkter!$D:$D,E2244+1))</f>
        <v/>
      </c>
      <c r="L2244" t="str">
        <f t="shared" si="178"/>
        <v/>
      </c>
      <c r="M2244" t="str">
        <f t="shared" si="179"/>
        <v/>
      </c>
    </row>
    <row r="2245" spans="1:13" x14ac:dyDescent="0.3">
      <c r="A2245" t="str">
        <f>Segmenter!A2245</f>
        <v/>
      </c>
      <c r="B2245" t="str">
        <f>Segmenter!B2245</f>
        <v/>
      </c>
      <c r="C2245" t="str">
        <f t="shared" si="175"/>
        <v/>
      </c>
      <c r="D2245" t="str">
        <f t="shared" si="176"/>
        <v/>
      </c>
      <c r="E2245" t="str">
        <f t="shared" si="177"/>
        <v/>
      </c>
      <c r="F2245" t="str">
        <f>IF(D2245="","",INDEX(Knutepunkter!$B:$B,D2245+1))</f>
        <v/>
      </c>
      <c r="G2245" t="str">
        <f>IF(D2245="","",INDEX(Knutepunkter!$C:$C,D2245+1))</f>
        <v/>
      </c>
      <c r="H2245" t="str">
        <f>IF(D2245="","",INDEX(Knutepunkter!$D:$D,D2245+1))</f>
        <v/>
      </c>
      <c r="I2245" t="str">
        <f>IF(E2245="","",INDEX(Knutepunkter!$B:$B,E2245+1))</f>
        <v/>
      </c>
      <c r="J2245" t="str">
        <f>IF(E2245="","",INDEX(Knutepunkter!$C:$C,E2245+1))</f>
        <v/>
      </c>
      <c r="K2245" t="str">
        <f>IF(E2245="","",INDEX(Knutepunkter!$D:$D,E2245+1))</f>
        <v/>
      </c>
      <c r="L2245" t="str">
        <f t="shared" si="178"/>
        <v/>
      </c>
      <c r="M2245" t="str">
        <f t="shared" si="179"/>
        <v/>
      </c>
    </row>
    <row r="2246" spans="1:13" x14ac:dyDescent="0.3">
      <c r="A2246" t="str">
        <f>Segmenter!A2246</f>
        <v/>
      </c>
      <c r="B2246" t="str">
        <f>Segmenter!B2246</f>
        <v/>
      </c>
      <c r="C2246" t="str">
        <f t="shared" si="175"/>
        <v/>
      </c>
      <c r="D2246" t="str">
        <f t="shared" si="176"/>
        <v/>
      </c>
      <c r="E2246" t="str">
        <f t="shared" si="177"/>
        <v/>
      </c>
      <c r="F2246" t="str">
        <f>IF(D2246="","",INDEX(Knutepunkter!$B:$B,D2246+1))</f>
        <v/>
      </c>
      <c r="G2246" t="str">
        <f>IF(D2246="","",INDEX(Knutepunkter!$C:$C,D2246+1))</f>
        <v/>
      </c>
      <c r="H2246" t="str">
        <f>IF(D2246="","",INDEX(Knutepunkter!$D:$D,D2246+1))</f>
        <v/>
      </c>
      <c r="I2246" t="str">
        <f>IF(E2246="","",INDEX(Knutepunkter!$B:$B,E2246+1))</f>
        <v/>
      </c>
      <c r="J2246" t="str">
        <f>IF(E2246="","",INDEX(Knutepunkter!$C:$C,E2246+1))</f>
        <v/>
      </c>
      <c r="K2246" t="str">
        <f>IF(E2246="","",INDEX(Knutepunkter!$D:$D,E2246+1))</f>
        <v/>
      </c>
      <c r="L2246" t="str">
        <f t="shared" si="178"/>
        <v/>
      </c>
      <c r="M2246" t="str">
        <f t="shared" si="179"/>
        <v/>
      </c>
    </row>
    <row r="2247" spans="1:13" x14ac:dyDescent="0.3">
      <c r="A2247" t="str">
        <f>Segmenter!A2247</f>
        <v/>
      </c>
      <c r="B2247" t="str">
        <f>Segmenter!B2247</f>
        <v/>
      </c>
      <c r="C2247" t="str">
        <f t="shared" si="175"/>
        <v/>
      </c>
      <c r="D2247" t="str">
        <f t="shared" si="176"/>
        <v/>
      </c>
      <c r="E2247" t="str">
        <f t="shared" si="177"/>
        <v/>
      </c>
      <c r="F2247" t="str">
        <f>IF(D2247="","",INDEX(Knutepunkter!$B:$B,D2247+1))</f>
        <v/>
      </c>
      <c r="G2247" t="str">
        <f>IF(D2247="","",INDEX(Knutepunkter!$C:$C,D2247+1))</f>
        <v/>
      </c>
      <c r="H2247" t="str">
        <f>IF(D2247="","",INDEX(Knutepunkter!$D:$D,D2247+1))</f>
        <v/>
      </c>
      <c r="I2247" t="str">
        <f>IF(E2247="","",INDEX(Knutepunkter!$B:$B,E2247+1))</f>
        <v/>
      </c>
      <c r="J2247" t="str">
        <f>IF(E2247="","",INDEX(Knutepunkter!$C:$C,E2247+1))</f>
        <v/>
      </c>
      <c r="K2247" t="str">
        <f>IF(E2247="","",INDEX(Knutepunkter!$D:$D,E2247+1))</f>
        <v/>
      </c>
      <c r="L2247" t="str">
        <f t="shared" si="178"/>
        <v/>
      </c>
      <c r="M2247" t="str">
        <f t="shared" si="179"/>
        <v/>
      </c>
    </row>
    <row r="2248" spans="1:13" x14ac:dyDescent="0.3">
      <c r="A2248" t="str">
        <f>Segmenter!A2248</f>
        <v/>
      </c>
      <c r="B2248" t="str">
        <f>Segmenter!B2248</f>
        <v/>
      </c>
      <c r="C2248" t="str">
        <f t="shared" si="175"/>
        <v/>
      </c>
      <c r="D2248" t="str">
        <f t="shared" si="176"/>
        <v/>
      </c>
      <c r="E2248" t="str">
        <f t="shared" si="177"/>
        <v/>
      </c>
      <c r="F2248" t="str">
        <f>IF(D2248="","",INDEX(Knutepunkter!$B:$B,D2248+1))</f>
        <v/>
      </c>
      <c r="G2248" t="str">
        <f>IF(D2248="","",INDEX(Knutepunkter!$C:$C,D2248+1))</f>
        <v/>
      </c>
      <c r="H2248" t="str">
        <f>IF(D2248="","",INDEX(Knutepunkter!$D:$D,D2248+1))</f>
        <v/>
      </c>
      <c r="I2248" t="str">
        <f>IF(E2248="","",INDEX(Knutepunkter!$B:$B,E2248+1))</f>
        <v/>
      </c>
      <c r="J2248" t="str">
        <f>IF(E2248="","",INDEX(Knutepunkter!$C:$C,E2248+1))</f>
        <v/>
      </c>
      <c r="K2248" t="str">
        <f>IF(E2248="","",INDEX(Knutepunkter!$D:$D,E2248+1))</f>
        <v/>
      </c>
      <c r="L2248" t="str">
        <f t="shared" si="178"/>
        <v/>
      </c>
      <c r="M2248" t="str">
        <f t="shared" si="179"/>
        <v/>
      </c>
    </row>
    <row r="2249" spans="1:13" x14ac:dyDescent="0.3">
      <c r="A2249" t="str">
        <f>Segmenter!A2249</f>
        <v/>
      </c>
      <c r="B2249" t="str">
        <f>Segmenter!B2249</f>
        <v/>
      </c>
      <c r="C2249" t="str">
        <f t="shared" si="175"/>
        <v/>
      </c>
      <c r="D2249" t="str">
        <f t="shared" si="176"/>
        <v/>
      </c>
      <c r="E2249" t="str">
        <f t="shared" si="177"/>
        <v/>
      </c>
      <c r="F2249" t="str">
        <f>IF(D2249="","",INDEX(Knutepunkter!$B:$B,D2249+1))</f>
        <v/>
      </c>
      <c r="G2249" t="str">
        <f>IF(D2249="","",INDEX(Knutepunkter!$C:$C,D2249+1))</f>
        <v/>
      </c>
      <c r="H2249" t="str">
        <f>IF(D2249="","",INDEX(Knutepunkter!$D:$D,D2249+1))</f>
        <v/>
      </c>
      <c r="I2249" t="str">
        <f>IF(E2249="","",INDEX(Knutepunkter!$B:$B,E2249+1))</f>
        <v/>
      </c>
      <c r="J2249" t="str">
        <f>IF(E2249="","",INDEX(Knutepunkter!$C:$C,E2249+1))</f>
        <v/>
      </c>
      <c r="K2249" t="str">
        <f>IF(E2249="","",INDEX(Knutepunkter!$D:$D,E2249+1))</f>
        <v/>
      </c>
      <c r="L2249" t="str">
        <f t="shared" si="178"/>
        <v/>
      </c>
      <c r="M2249" t="str">
        <f t="shared" si="179"/>
        <v/>
      </c>
    </row>
    <row r="2250" spans="1:13" x14ac:dyDescent="0.3">
      <c r="A2250" t="str">
        <f>Segmenter!A2250</f>
        <v/>
      </c>
      <c r="B2250" t="str">
        <f>Segmenter!B2250</f>
        <v/>
      </c>
      <c r="C2250" t="str">
        <f t="shared" si="175"/>
        <v/>
      </c>
      <c r="D2250" t="str">
        <f t="shared" si="176"/>
        <v/>
      </c>
      <c r="E2250" t="str">
        <f t="shared" si="177"/>
        <v/>
      </c>
      <c r="F2250" t="str">
        <f>IF(D2250="","",INDEX(Knutepunkter!$B:$B,D2250+1))</f>
        <v/>
      </c>
      <c r="G2250" t="str">
        <f>IF(D2250="","",INDEX(Knutepunkter!$C:$C,D2250+1))</f>
        <v/>
      </c>
      <c r="H2250" t="str">
        <f>IF(D2250="","",INDEX(Knutepunkter!$D:$D,D2250+1))</f>
        <v/>
      </c>
      <c r="I2250" t="str">
        <f>IF(E2250="","",INDEX(Knutepunkter!$B:$B,E2250+1))</f>
        <v/>
      </c>
      <c r="J2250" t="str">
        <f>IF(E2250="","",INDEX(Knutepunkter!$C:$C,E2250+1))</f>
        <v/>
      </c>
      <c r="K2250" t="str">
        <f>IF(E2250="","",INDEX(Knutepunkter!$D:$D,E2250+1))</f>
        <v/>
      </c>
      <c r="L2250" t="str">
        <f t="shared" si="178"/>
        <v/>
      </c>
      <c r="M2250" t="str">
        <f t="shared" si="179"/>
        <v/>
      </c>
    </row>
    <row r="2251" spans="1:13" x14ac:dyDescent="0.3">
      <c r="A2251" t="str">
        <f>Segmenter!A2251</f>
        <v/>
      </c>
      <c r="B2251" t="str">
        <f>Segmenter!B2251</f>
        <v/>
      </c>
      <c r="C2251" t="str">
        <f t="shared" si="175"/>
        <v/>
      </c>
      <c r="D2251" t="str">
        <f t="shared" si="176"/>
        <v/>
      </c>
      <c r="E2251" t="str">
        <f t="shared" si="177"/>
        <v/>
      </c>
      <c r="F2251" t="str">
        <f>IF(D2251="","",INDEX(Knutepunkter!$B:$B,D2251+1))</f>
        <v/>
      </c>
      <c r="G2251" t="str">
        <f>IF(D2251="","",INDEX(Knutepunkter!$C:$C,D2251+1))</f>
        <v/>
      </c>
      <c r="H2251" t="str">
        <f>IF(D2251="","",INDEX(Knutepunkter!$D:$D,D2251+1))</f>
        <v/>
      </c>
      <c r="I2251" t="str">
        <f>IF(E2251="","",INDEX(Knutepunkter!$B:$B,E2251+1))</f>
        <v/>
      </c>
      <c r="J2251" t="str">
        <f>IF(E2251="","",INDEX(Knutepunkter!$C:$C,E2251+1))</f>
        <v/>
      </c>
      <c r="K2251" t="str">
        <f>IF(E2251="","",INDEX(Knutepunkter!$D:$D,E2251+1))</f>
        <v/>
      </c>
      <c r="L2251" t="str">
        <f t="shared" si="178"/>
        <v/>
      </c>
      <c r="M2251" t="str">
        <f t="shared" si="179"/>
        <v/>
      </c>
    </row>
    <row r="2252" spans="1:13" x14ac:dyDescent="0.3">
      <c r="A2252" t="str">
        <f>Segmenter!A2252</f>
        <v/>
      </c>
      <c r="B2252" t="str">
        <f>Segmenter!B2252</f>
        <v/>
      </c>
      <c r="C2252" t="str">
        <f t="shared" si="175"/>
        <v/>
      </c>
      <c r="D2252" t="str">
        <f t="shared" si="176"/>
        <v/>
      </c>
      <c r="E2252" t="str">
        <f t="shared" si="177"/>
        <v/>
      </c>
      <c r="F2252" t="str">
        <f>IF(D2252="","",INDEX(Knutepunkter!$B:$B,D2252+1))</f>
        <v/>
      </c>
      <c r="G2252" t="str">
        <f>IF(D2252="","",INDEX(Knutepunkter!$C:$C,D2252+1))</f>
        <v/>
      </c>
      <c r="H2252" t="str">
        <f>IF(D2252="","",INDEX(Knutepunkter!$D:$D,D2252+1))</f>
        <v/>
      </c>
      <c r="I2252" t="str">
        <f>IF(E2252="","",INDEX(Knutepunkter!$B:$B,E2252+1))</f>
        <v/>
      </c>
      <c r="J2252" t="str">
        <f>IF(E2252="","",INDEX(Knutepunkter!$C:$C,E2252+1))</f>
        <v/>
      </c>
      <c r="K2252" t="str">
        <f>IF(E2252="","",INDEX(Knutepunkter!$D:$D,E2252+1))</f>
        <v/>
      </c>
      <c r="L2252" t="str">
        <f t="shared" si="178"/>
        <v/>
      </c>
      <c r="M2252" t="str">
        <f t="shared" si="179"/>
        <v/>
      </c>
    </row>
    <row r="2253" spans="1:13" x14ac:dyDescent="0.3">
      <c r="A2253" t="str">
        <f>Segmenter!A2253</f>
        <v/>
      </c>
      <c r="B2253" t="str">
        <f>Segmenter!B2253</f>
        <v/>
      </c>
      <c r="C2253" t="str">
        <f t="shared" si="175"/>
        <v/>
      </c>
      <c r="D2253" t="str">
        <f t="shared" si="176"/>
        <v/>
      </c>
      <c r="E2253" t="str">
        <f t="shared" si="177"/>
        <v/>
      </c>
      <c r="F2253" t="str">
        <f>IF(D2253="","",INDEX(Knutepunkter!$B:$B,D2253+1))</f>
        <v/>
      </c>
      <c r="G2253" t="str">
        <f>IF(D2253="","",INDEX(Knutepunkter!$C:$C,D2253+1))</f>
        <v/>
      </c>
      <c r="H2253" t="str">
        <f>IF(D2253="","",INDEX(Knutepunkter!$D:$D,D2253+1))</f>
        <v/>
      </c>
      <c r="I2253" t="str">
        <f>IF(E2253="","",INDEX(Knutepunkter!$B:$B,E2253+1))</f>
        <v/>
      </c>
      <c r="J2253" t="str">
        <f>IF(E2253="","",INDEX(Knutepunkter!$C:$C,E2253+1))</f>
        <v/>
      </c>
      <c r="K2253" t="str">
        <f>IF(E2253="","",INDEX(Knutepunkter!$D:$D,E2253+1))</f>
        <v/>
      </c>
      <c r="L2253" t="str">
        <f t="shared" si="178"/>
        <v/>
      </c>
      <c r="M2253" t="str">
        <f t="shared" si="179"/>
        <v/>
      </c>
    </row>
    <row r="2254" spans="1:13" x14ac:dyDescent="0.3">
      <c r="A2254" t="str">
        <f>Segmenter!A2254</f>
        <v/>
      </c>
      <c r="B2254" t="str">
        <f>Segmenter!B2254</f>
        <v/>
      </c>
      <c r="C2254" t="str">
        <f t="shared" si="175"/>
        <v/>
      </c>
      <c r="D2254" t="str">
        <f t="shared" si="176"/>
        <v/>
      </c>
      <c r="E2254" t="str">
        <f t="shared" si="177"/>
        <v/>
      </c>
      <c r="F2254" t="str">
        <f>IF(D2254="","",INDEX(Knutepunkter!$B:$B,D2254+1))</f>
        <v/>
      </c>
      <c r="G2254" t="str">
        <f>IF(D2254="","",INDEX(Knutepunkter!$C:$C,D2254+1))</f>
        <v/>
      </c>
      <c r="H2254" t="str">
        <f>IF(D2254="","",INDEX(Knutepunkter!$D:$D,D2254+1))</f>
        <v/>
      </c>
      <c r="I2254" t="str">
        <f>IF(E2254="","",INDEX(Knutepunkter!$B:$B,E2254+1))</f>
        <v/>
      </c>
      <c r="J2254" t="str">
        <f>IF(E2254="","",INDEX(Knutepunkter!$C:$C,E2254+1))</f>
        <v/>
      </c>
      <c r="K2254" t="str">
        <f>IF(E2254="","",INDEX(Knutepunkter!$D:$D,E2254+1))</f>
        <v/>
      </c>
      <c r="L2254" t="str">
        <f t="shared" si="178"/>
        <v/>
      </c>
      <c r="M2254" t="str">
        <f t="shared" si="179"/>
        <v/>
      </c>
    </row>
    <row r="2255" spans="1:13" x14ac:dyDescent="0.3">
      <c r="A2255" t="str">
        <f>Segmenter!A2255</f>
        <v/>
      </c>
      <c r="B2255" t="str">
        <f>Segmenter!B2255</f>
        <v/>
      </c>
      <c r="C2255" t="str">
        <f t="shared" si="175"/>
        <v/>
      </c>
      <c r="D2255" t="str">
        <f t="shared" si="176"/>
        <v/>
      </c>
      <c r="E2255" t="str">
        <f t="shared" si="177"/>
        <v/>
      </c>
      <c r="F2255" t="str">
        <f>IF(D2255="","",INDEX(Knutepunkter!$B:$B,D2255+1))</f>
        <v/>
      </c>
      <c r="G2255" t="str">
        <f>IF(D2255="","",INDEX(Knutepunkter!$C:$C,D2255+1))</f>
        <v/>
      </c>
      <c r="H2255" t="str">
        <f>IF(D2255="","",INDEX(Knutepunkter!$D:$D,D2255+1))</f>
        <v/>
      </c>
      <c r="I2255" t="str">
        <f>IF(E2255="","",INDEX(Knutepunkter!$B:$B,E2255+1))</f>
        <v/>
      </c>
      <c r="J2255" t="str">
        <f>IF(E2255="","",INDEX(Knutepunkter!$C:$C,E2255+1))</f>
        <v/>
      </c>
      <c r="K2255" t="str">
        <f>IF(E2255="","",INDEX(Knutepunkter!$D:$D,E2255+1))</f>
        <v/>
      </c>
      <c r="L2255" t="str">
        <f t="shared" si="178"/>
        <v/>
      </c>
      <c r="M2255" t="str">
        <f t="shared" si="179"/>
        <v/>
      </c>
    </row>
    <row r="2256" spans="1:13" x14ac:dyDescent="0.3">
      <c r="A2256" t="str">
        <f>Segmenter!A2256</f>
        <v/>
      </c>
      <c r="B2256" t="str">
        <f>Segmenter!B2256</f>
        <v/>
      </c>
      <c r="C2256" t="str">
        <f t="shared" si="175"/>
        <v/>
      </c>
      <c r="D2256" t="str">
        <f t="shared" si="176"/>
        <v/>
      </c>
      <c r="E2256" t="str">
        <f t="shared" si="177"/>
        <v/>
      </c>
      <c r="F2256" t="str">
        <f>IF(D2256="","",INDEX(Knutepunkter!$B:$B,D2256+1))</f>
        <v/>
      </c>
      <c r="G2256" t="str">
        <f>IF(D2256="","",INDEX(Knutepunkter!$C:$C,D2256+1))</f>
        <v/>
      </c>
      <c r="H2256" t="str">
        <f>IF(D2256="","",INDEX(Knutepunkter!$D:$D,D2256+1))</f>
        <v/>
      </c>
      <c r="I2256" t="str">
        <f>IF(E2256="","",INDEX(Knutepunkter!$B:$B,E2256+1))</f>
        <v/>
      </c>
      <c r="J2256" t="str">
        <f>IF(E2256="","",INDEX(Knutepunkter!$C:$C,E2256+1))</f>
        <v/>
      </c>
      <c r="K2256" t="str">
        <f>IF(E2256="","",INDEX(Knutepunkter!$D:$D,E2256+1))</f>
        <v/>
      </c>
      <c r="L2256" t="str">
        <f t="shared" si="178"/>
        <v/>
      </c>
      <c r="M2256" t="str">
        <f t="shared" si="179"/>
        <v/>
      </c>
    </row>
    <row r="2257" spans="1:13" x14ac:dyDescent="0.3">
      <c r="A2257" t="str">
        <f>Segmenter!A2257</f>
        <v/>
      </c>
      <c r="B2257" t="str">
        <f>Segmenter!B2257</f>
        <v/>
      </c>
      <c r="C2257" t="str">
        <f t="shared" si="175"/>
        <v/>
      </c>
      <c r="D2257" t="str">
        <f t="shared" si="176"/>
        <v/>
      </c>
      <c r="E2257" t="str">
        <f t="shared" si="177"/>
        <v/>
      </c>
      <c r="F2257" t="str">
        <f>IF(D2257="","",INDEX(Knutepunkter!$B:$B,D2257+1))</f>
        <v/>
      </c>
      <c r="G2257" t="str">
        <f>IF(D2257="","",INDEX(Knutepunkter!$C:$C,D2257+1))</f>
        <v/>
      </c>
      <c r="H2257" t="str">
        <f>IF(D2257="","",INDEX(Knutepunkter!$D:$D,D2257+1))</f>
        <v/>
      </c>
      <c r="I2257" t="str">
        <f>IF(E2257="","",INDEX(Knutepunkter!$B:$B,E2257+1))</f>
        <v/>
      </c>
      <c r="J2257" t="str">
        <f>IF(E2257="","",INDEX(Knutepunkter!$C:$C,E2257+1))</f>
        <v/>
      </c>
      <c r="K2257" t="str">
        <f>IF(E2257="","",INDEX(Knutepunkter!$D:$D,E2257+1))</f>
        <v/>
      </c>
      <c r="L2257" t="str">
        <f t="shared" si="178"/>
        <v/>
      </c>
      <c r="M2257" t="str">
        <f t="shared" si="179"/>
        <v/>
      </c>
    </row>
    <row r="2258" spans="1:13" x14ac:dyDescent="0.3">
      <c r="A2258" t="str">
        <f>Segmenter!A2258</f>
        <v/>
      </c>
      <c r="B2258" t="str">
        <f>Segmenter!B2258</f>
        <v/>
      </c>
      <c r="C2258" t="str">
        <f t="shared" si="175"/>
        <v/>
      </c>
      <c r="D2258" t="str">
        <f t="shared" si="176"/>
        <v/>
      </c>
      <c r="E2258" t="str">
        <f t="shared" si="177"/>
        <v/>
      </c>
      <c r="F2258" t="str">
        <f>IF(D2258="","",INDEX(Knutepunkter!$B:$B,D2258+1))</f>
        <v/>
      </c>
      <c r="G2258" t="str">
        <f>IF(D2258="","",INDEX(Knutepunkter!$C:$C,D2258+1))</f>
        <v/>
      </c>
      <c r="H2258" t="str">
        <f>IF(D2258="","",INDEX(Knutepunkter!$D:$D,D2258+1))</f>
        <v/>
      </c>
      <c r="I2258" t="str">
        <f>IF(E2258="","",INDEX(Knutepunkter!$B:$B,E2258+1))</f>
        <v/>
      </c>
      <c r="J2258" t="str">
        <f>IF(E2258="","",INDEX(Knutepunkter!$C:$C,E2258+1))</f>
        <v/>
      </c>
      <c r="K2258" t="str">
        <f>IF(E2258="","",INDEX(Knutepunkter!$D:$D,E2258+1))</f>
        <v/>
      </c>
      <c r="L2258" t="str">
        <f t="shared" si="178"/>
        <v/>
      </c>
      <c r="M2258" t="str">
        <f t="shared" si="179"/>
        <v/>
      </c>
    </row>
    <row r="2259" spans="1:13" x14ac:dyDescent="0.3">
      <c r="A2259" t="str">
        <f>Segmenter!A2259</f>
        <v/>
      </c>
      <c r="B2259" t="str">
        <f>Segmenter!B2259</f>
        <v/>
      </c>
      <c r="C2259" t="str">
        <f t="shared" si="175"/>
        <v/>
      </c>
      <c r="D2259" t="str">
        <f t="shared" si="176"/>
        <v/>
      </c>
      <c r="E2259" t="str">
        <f t="shared" si="177"/>
        <v/>
      </c>
      <c r="F2259" t="str">
        <f>IF(D2259="","",INDEX(Knutepunkter!$B:$B,D2259+1))</f>
        <v/>
      </c>
      <c r="G2259" t="str">
        <f>IF(D2259="","",INDEX(Knutepunkter!$C:$C,D2259+1))</f>
        <v/>
      </c>
      <c r="H2259" t="str">
        <f>IF(D2259="","",INDEX(Knutepunkter!$D:$D,D2259+1))</f>
        <v/>
      </c>
      <c r="I2259" t="str">
        <f>IF(E2259="","",INDEX(Knutepunkter!$B:$B,E2259+1))</f>
        <v/>
      </c>
      <c r="J2259" t="str">
        <f>IF(E2259="","",INDEX(Knutepunkter!$C:$C,E2259+1))</f>
        <v/>
      </c>
      <c r="K2259" t="str">
        <f>IF(E2259="","",INDEX(Knutepunkter!$D:$D,E2259+1))</f>
        <v/>
      </c>
      <c r="L2259" t="str">
        <f t="shared" si="178"/>
        <v/>
      </c>
      <c r="M2259" t="str">
        <f t="shared" si="179"/>
        <v/>
      </c>
    </row>
    <row r="2260" spans="1:13" x14ac:dyDescent="0.3">
      <c r="A2260" t="str">
        <f>Segmenter!A2260</f>
        <v/>
      </c>
      <c r="B2260" t="str">
        <f>Segmenter!B2260</f>
        <v/>
      </c>
      <c r="C2260" t="str">
        <f t="shared" si="175"/>
        <v/>
      </c>
      <c r="D2260" t="str">
        <f t="shared" si="176"/>
        <v/>
      </c>
      <c r="E2260" t="str">
        <f t="shared" si="177"/>
        <v/>
      </c>
      <c r="F2260" t="str">
        <f>IF(D2260="","",INDEX(Knutepunkter!$B:$B,D2260+1))</f>
        <v/>
      </c>
      <c r="G2260" t="str">
        <f>IF(D2260="","",INDEX(Knutepunkter!$C:$C,D2260+1))</f>
        <v/>
      </c>
      <c r="H2260" t="str">
        <f>IF(D2260="","",INDEX(Knutepunkter!$D:$D,D2260+1))</f>
        <v/>
      </c>
      <c r="I2260" t="str">
        <f>IF(E2260="","",INDEX(Knutepunkter!$B:$B,E2260+1))</f>
        <v/>
      </c>
      <c r="J2260" t="str">
        <f>IF(E2260="","",INDEX(Knutepunkter!$C:$C,E2260+1))</f>
        <v/>
      </c>
      <c r="K2260" t="str">
        <f>IF(E2260="","",INDEX(Knutepunkter!$D:$D,E2260+1))</f>
        <v/>
      </c>
      <c r="L2260" t="str">
        <f t="shared" si="178"/>
        <v/>
      </c>
      <c r="M2260" t="str">
        <f t="shared" si="179"/>
        <v/>
      </c>
    </row>
    <row r="2261" spans="1:13" x14ac:dyDescent="0.3">
      <c r="A2261" t="str">
        <f>Segmenter!A2261</f>
        <v/>
      </c>
      <c r="B2261" t="str">
        <f>Segmenter!B2261</f>
        <v/>
      </c>
      <c r="C2261" t="str">
        <f t="shared" si="175"/>
        <v/>
      </c>
      <c r="D2261" t="str">
        <f t="shared" si="176"/>
        <v/>
      </c>
      <c r="E2261" t="str">
        <f t="shared" si="177"/>
        <v/>
      </c>
      <c r="F2261" t="str">
        <f>IF(D2261="","",INDEX(Knutepunkter!$B:$B,D2261+1))</f>
        <v/>
      </c>
      <c r="G2261" t="str">
        <f>IF(D2261="","",INDEX(Knutepunkter!$C:$C,D2261+1))</f>
        <v/>
      </c>
      <c r="H2261" t="str">
        <f>IF(D2261="","",INDEX(Knutepunkter!$D:$D,D2261+1))</f>
        <v/>
      </c>
      <c r="I2261" t="str">
        <f>IF(E2261="","",INDEX(Knutepunkter!$B:$B,E2261+1))</f>
        <v/>
      </c>
      <c r="J2261" t="str">
        <f>IF(E2261="","",INDEX(Knutepunkter!$C:$C,E2261+1))</f>
        <v/>
      </c>
      <c r="K2261" t="str">
        <f>IF(E2261="","",INDEX(Knutepunkter!$D:$D,E2261+1))</f>
        <v/>
      </c>
      <c r="L2261" t="str">
        <f t="shared" si="178"/>
        <v/>
      </c>
      <c r="M2261" t="str">
        <f t="shared" si="179"/>
        <v/>
      </c>
    </row>
    <row r="2262" spans="1:13" x14ac:dyDescent="0.3">
      <c r="A2262" t="str">
        <f>Segmenter!A2262</f>
        <v/>
      </c>
      <c r="B2262" t="str">
        <f>Segmenter!B2262</f>
        <v/>
      </c>
      <c r="C2262" t="str">
        <f t="shared" si="175"/>
        <v/>
      </c>
      <c r="D2262" t="str">
        <f t="shared" si="176"/>
        <v/>
      </c>
      <c r="E2262" t="str">
        <f t="shared" si="177"/>
        <v/>
      </c>
      <c r="F2262" t="str">
        <f>IF(D2262="","",INDEX(Knutepunkter!$B:$B,D2262+1))</f>
        <v/>
      </c>
      <c r="G2262" t="str">
        <f>IF(D2262="","",INDEX(Knutepunkter!$C:$C,D2262+1))</f>
        <v/>
      </c>
      <c r="H2262" t="str">
        <f>IF(D2262="","",INDEX(Knutepunkter!$D:$D,D2262+1))</f>
        <v/>
      </c>
      <c r="I2262" t="str">
        <f>IF(E2262="","",INDEX(Knutepunkter!$B:$B,E2262+1))</f>
        <v/>
      </c>
      <c r="J2262" t="str">
        <f>IF(E2262="","",INDEX(Knutepunkter!$C:$C,E2262+1))</f>
        <v/>
      </c>
      <c r="K2262" t="str">
        <f>IF(E2262="","",INDEX(Knutepunkter!$D:$D,E2262+1))</f>
        <v/>
      </c>
      <c r="L2262" t="str">
        <f t="shared" si="178"/>
        <v/>
      </c>
      <c r="M2262" t="str">
        <f t="shared" si="179"/>
        <v/>
      </c>
    </row>
    <row r="2263" spans="1:13" x14ac:dyDescent="0.3">
      <c r="A2263" t="str">
        <f>Segmenter!A2263</f>
        <v/>
      </c>
      <c r="B2263" t="str">
        <f>Segmenter!B2263</f>
        <v/>
      </c>
      <c r="C2263" t="str">
        <f t="shared" si="175"/>
        <v/>
      </c>
      <c r="D2263" t="str">
        <f t="shared" si="176"/>
        <v/>
      </c>
      <c r="E2263" t="str">
        <f t="shared" si="177"/>
        <v/>
      </c>
      <c r="F2263" t="str">
        <f>IF(D2263="","",INDEX(Knutepunkter!$B:$B,D2263+1))</f>
        <v/>
      </c>
      <c r="G2263" t="str">
        <f>IF(D2263="","",INDEX(Knutepunkter!$C:$C,D2263+1))</f>
        <v/>
      </c>
      <c r="H2263" t="str">
        <f>IF(D2263="","",INDEX(Knutepunkter!$D:$D,D2263+1))</f>
        <v/>
      </c>
      <c r="I2263" t="str">
        <f>IF(E2263="","",INDEX(Knutepunkter!$B:$B,E2263+1))</f>
        <v/>
      </c>
      <c r="J2263" t="str">
        <f>IF(E2263="","",INDEX(Knutepunkter!$C:$C,E2263+1))</f>
        <v/>
      </c>
      <c r="K2263" t="str">
        <f>IF(E2263="","",INDEX(Knutepunkter!$D:$D,E2263+1))</f>
        <v/>
      </c>
      <c r="L2263" t="str">
        <f t="shared" si="178"/>
        <v/>
      </c>
      <c r="M2263" t="str">
        <f t="shared" si="179"/>
        <v/>
      </c>
    </row>
    <row r="2264" spans="1:13" x14ac:dyDescent="0.3">
      <c r="A2264" t="str">
        <f>Segmenter!A2264</f>
        <v/>
      </c>
      <c r="B2264" t="str">
        <f>Segmenter!B2264</f>
        <v/>
      </c>
      <c r="C2264" t="str">
        <f t="shared" si="175"/>
        <v/>
      </c>
      <c r="D2264" t="str">
        <f t="shared" si="176"/>
        <v/>
      </c>
      <c r="E2264" t="str">
        <f t="shared" si="177"/>
        <v/>
      </c>
      <c r="F2264" t="str">
        <f>IF(D2264="","",INDEX(Knutepunkter!$B:$B,D2264+1))</f>
        <v/>
      </c>
      <c r="G2264" t="str">
        <f>IF(D2264="","",INDEX(Knutepunkter!$C:$C,D2264+1))</f>
        <v/>
      </c>
      <c r="H2264" t="str">
        <f>IF(D2264="","",INDEX(Knutepunkter!$D:$D,D2264+1))</f>
        <v/>
      </c>
      <c r="I2264" t="str">
        <f>IF(E2264="","",INDEX(Knutepunkter!$B:$B,E2264+1))</f>
        <v/>
      </c>
      <c r="J2264" t="str">
        <f>IF(E2264="","",INDEX(Knutepunkter!$C:$C,E2264+1))</f>
        <v/>
      </c>
      <c r="K2264" t="str">
        <f>IF(E2264="","",INDEX(Knutepunkter!$D:$D,E2264+1))</f>
        <v/>
      </c>
      <c r="L2264" t="str">
        <f t="shared" si="178"/>
        <v/>
      </c>
      <c r="M2264" t="str">
        <f t="shared" si="179"/>
        <v/>
      </c>
    </row>
    <row r="2265" spans="1:13" x14ac:dyDescent="0.3">
      <c r="A2265" t="str">
        <f>Segmenter!A2265</f>
        <v/>
      </c>
      <c r="B2265" t="str">
        <f>Segmenter!B2265</f>
        <v/>
      </c>
      <c r="C2265" t="str">
        <f t="shared" si="175"/>
        <v/>
      </c>
      <c r="D2265" t="str">
        <f t="shared" si="176"/>
        <v/>
      </c>
      <c r="E2265" t="str">
        <f t="shared" si="177"/>
        <v/>
      </c>
      <c r="F2265" t="str">
        <f>IF(D2265="","",INDEX(Knutepunkter!$B:$B,D2265+1))</f>
        <v/>
      </c>
      <c r="G2265" t="str">
        <f>IF(D2265="","",INDEX(Knutepunkter!$C:$C,D2265+1))</f>
        <v/>
      </c>
      <c r="H2265" t="str">
        <f>IF(D2265="","",INDEX(Knutepunkter!$D:$D,D2265+1))</f>
        <v/>
      </c>
      <c r="I2265" t="str">
        <f>IF(E2265="","",INDEX(Knutepunkter!$B:$B,E2265+1))</f>
        <v/>
      </c>
      <c r="J2265" t="str">
        <f>IF(E2265="","",INDEX(Knutepunkter!$C:$C,E2265+1))</f>
        <v/>
      </c>
      <c r="K2265" t="str">
        <f>IF(E2265="","",INDEX(Knutepunkter!$D:$D,E2265+1))</f>
        <v/>
      </c>
      <c r="L2265" t="str">
        <f t="shared" si="178"/>
        <v/>
      </c>
      <c r="M2265" t="str">
        <f t="shared" si="179"/>
        <v/>
      </c>
    </row>
    <row r="2266" spans="1:13" x14ac:dyDescent="0.3">
      <c r="A2266" t="str">
        <f>Segmenter!A2266</f>
        <v/>
      </c>
      <c r="B2266" t="str">
        <f>Segmenter!B2266</f>
        <v/>
      </c>
      <c r="C2266" t="str">
        <f t="shared" si="175"/>
        <v/>
      </c>
      <c r="D2266" t="str">
        <f t="shared" si="176"/>
        <v/>
      </c>
      <c r="E2266" t="str">
        <f t="shared" si="177"/>
        <v/>
      </c>
      <c r="F2266" t="str">
        <f>IF(D2266="","",INDEX(Knutepunkter!$B:$B,D2266+1))</f>
        <v/>
      </c>
      <c r="G2266" t="str">
        <f>IF(D2266="","",INDEX(Knutepunkter!$C:$C,D2266+1))</f>
        <v/>
      </c>
      <c r="H2266" t="str">
        <f>IF(D2266="","",INDEX(Knutepunkter!$D:$D,D2266+1))</f>
        <v/>
      </c>
      <c r="I2266" t="str">
        <f>IF(E2266="","",INDEX(Knutepunkter!$B:$B,E2266+1))</f>
        <v/>
      </c>
      <c r="J2266" t="str">
        <f>IF(E2266="","",INDEX(Knutepunkter!$C:$C,E2266+1))</f>
        <v/>
      </c>
      <c r="K2266" t="str">
        <f>IF(E2266="","",INDEX(Knutepunkter!$D:$D,E2266+1))</f>
        <v/>
      </c>
      <c r="L2266" t="str">
        <f t="shared" si="178"/>
        <v/>
      </c>
      <c r="M2266" t="str">
        <f t="shared" si="179"/>
        <v/>
      </c>
    </row>
    <row r="2267" spans="1:13" x14ac:dyDescent="0.3">
      <c r="A2267" t="str">
        <f>Segmenter!A2267</f>
        <v/>
      </c>
      <c r="B2267" t="str">
        <f>Segmenter!B2267</f>
        <v/>
      </c>
      <c r="C2267" t="str">
        <f t="shared" si="175"/>
        <v/>
      </c>
      <c r="D2267" t="str">
        <f t="shared" si="176"/>
        <v/>
      </c>
      <c r="E2267" t="str">
        <f t="shared" si="177"/>
        <v/>
      </c>
      <c r="F2267" t="str">
        <f>IF(D2267="","",INDEX(Knutepunkter!$B:$B,D2267+1))</f>
        <v/>
      </c>
      <c r="G2267" t="str">
        <f>IF(D2267="","",INDEX(Knutepunkter!$C:$C,D2267+1))</f>
        <v/>
      </c>
      <c r="H2267" t="str">
        <f>IF(D2267="","",INDEX(Knutepunkter!$D:$D,D2267+1))</f>
        <v/>
      </c>
      <c r="I2267" t="str">
        <f>IF(E2267="","",INDEX(Knutepunkter!$B:$B,E2267+1))</f>
        <v/>
      </c>
      <c r="J2267" t="str">
        <f>IF(E2267="","",INDEX(Knutepunkter!$C:$C,E2267+1))</f>
        <v/>
      </c>
      <c r="K2267" t="str">
        <f>IF(E2267="","",INDEX(Knutepunkter!$D:$D,E2267+1))</f>
        <v/>
      </c>
      <c r="L2267" t="str">
        <f t="shared" si="178"/>
        <v/>
      </c>
      <c r="M2267" t="str">
        <f t="shared" si="179"/>
        <v/>
      </c>
    </row>
    <row r="2268" spans="1:13" x14ac:dyDescent="0.3">
      <c r="A2268" t="str">
        <f>Segmenter!A2268</f>
        <v/>
      </c>
      <c r="B2268" t="str">
        <f>Segmenter!B2268</f>
        <v/>
      </c>
      <c r="C2268" t="str">
        <f t="shared" si="175"/>
        <v/>
      </c>
      <c r="D2268" t="str">
        <f t="shared" si="176"/>
        <v/>
      </c>
      <c r="E2268" t="str">
        <f t="shared" si="177"/>
        <v/>
      </c>
      <c r="F2268" t="str">
        <f>IF(D2268="","",INDEX(Knutepunkter!$B:$B,D2268+1))</f>
        <v/>
      </c>
      <c r="G2268" t="str">
        <f>IF(D2268="","",INDEX(Knutepunkter!$C:$C,D2268+1))</f>
        <v/>
      </c>
      <c r="H2268" t="str">
        <f>IF(D2268="","",INDEX(Knutepunkter!$D:$D,D2268+1))</f>
        <v/>
      </c>
      <c r="I2268" t="str">
        <f>IF(E2268="","",INDEX(Knutepunkter!$B:$B,E2268+1))</f>
        <v/>
      </c>
      <c r="J2268" t="str">
        <f>IF(E2268="","",INDEX(Knutepunkter!$C:$C,E2268+1))</f>
        <v/>
      </c>
      <c r="K2268" t="str">
        <f>IF(E2268="","",INDEX(Knutepunkter!$D:$D,E2268+1))</f>
        <v/>
      </c>
      <c r="L2268" t="str">
        <f t="shared" si="178"/>
        <v/>
      </c>
      <c r="M2268" t="str">
        <f t="shared" si="179"/>
        <v/>
      </c>
    </row>
    <row r="2269" spans="1:13" x14ac:dyDescent="0.3">
      <c r="A2269" t="str">
        <f>Segmenter!A2269</f>
        <v/>
      </c>
      <c r="B2269" t="str">
        <f>Segmenter!B2269</f>
        <v/>
      </c>
      <c r="C2269" t="str">
        <f t="shared" si="175"/>
        <v/>
      </c>
      <c r="D2269" t="str">
        <f t="shared" si="176"/>
        <v/>
      </c>
      <c r="E2269" t="str">
        <f t="shared" si="177"/>
        <v/>
      </c>
      <c r="F2269" t="str">
        <f>IF(D2269="","",INDEX(Knutepunkter!$B:$B,D2269+1))</f>
        <v/>
      </c>
      <c r="G2269" t="str">
        <f>IF(D2269="","",INDEX(Knutepunkter!$C:$C,D2269+1))</f>
        <v/>
      </c>
      <c r="H2269" t="str">
        <f>IF(D2269="","",INDEX(Knutepunkter!$D:$D,D2269+1))</f>
        <v/>
      </c>
      <c r="I2269" t="str">
        <f>IF(E2269="","",INDEX(Knutepunkter!$B:$B,E2269+1))</f>
        <v/>
      </c>
      <c r="J2269" t="str">
        <f>IF(E2269="","",INDEX(Knutepunkter!$C:$C,E2269+1))</f>
        <v/>
      </c>
      <c r="K2269" t="str">
        <f>IF(E2269="","",INDEX(Knutepunkter!$D:$D,E2269+1))</f>
        <v/>
      </c>
      <c r="L2269" t="str">
        <f t="shared" si="178"/>
        <v/>
      </c>
      <c r="M2269" t="str">
        <f t="shared" si="179"/>
        <v/>
      </c>
    </row>
    <row r="2270" spans="1:13" x14ac:dyDescent="0.3">
      <c r="A2270" t="str">
        <f>Segmenter!A2270</f>
        <v/>
      </c>
      <c r="B2270" t="str">
        <f>Segmenter!B2270</f>
        <v/>
      </c>
      <c r="C2270" t="str">
        <f t="shared" si="175"/>
        <v/>
      </c>
      <c r="D2270" t="str">
        <f t="shared" si="176"/>
        <v/>
      </c>
      <c r="E2270" t="str">
        <f t="shared" si="177"/>
        <v/>
      </c>
      <c r="F2270" t="str">
        <f>IF(D2270="","",INDEX(Knutepunkter!$B:$B,D2270+1))</f>
        <v/>
      </c>
      <c r="G2270" t="str">
        <f>IF(D2270="","",INDEX(Knutepunkter!$C:$C,D2270+1))</f>
        <v/>
      </c>
      <c r="H2270" t="str">
        <f>IF(D2270="","",INDEX(Knutepunkter!$D:$D,D2270+1))</f>
        <v/>
      </c>
      <c r="I2270" t="str">
        <f>IF(E2270="","",INDEX(Knutepunkter!$B:$B,E2270+1))</f>
        <v/>
      </c>
      <c r="J2270" t="str">
        <f>IF(E2270="","",INDEX(Knutepunkter!$C:$C,E2270+1))</f>
        <v/>
      </c>
      <c r="K2270" t="str">
        <f>IF(E2270="","",INDEX(Knutepunkter!$D:$D,E2270+1))</f>
        <v/>
      </c>
      <c r="L2270" t="str">
        <f t="shared" si="178"/>
        <v/>
      </c>
      <c r="M2270" t="str">
        <f t="shared" si="179"/>
        <v/>
      </c>
    </row>
    <row r="2271" spans="1:13" x14ac:dyDescent="0.3">
      <c r="A2271" t="str">
        <f>Segmenter!A2271</f>
        <v/>
      </c>
      <c r="B2271" t="str">
        <f>Segmenter!B2271</f>
        <v/>
      </c>
      <c r="C2271" t="str">
        <f t="shared" si="175"/>
        <v/>
      </c>
      <c r="D2271" t="str">
        <f t="shared" si="176"/>
        <v/>
      </c>
      <c r="E2271" t="str">
        <f t="shared" si="177"/>
        <v/>
      </c>
      <c r="F2271" t="str">
        <f>IF(D2271="","",INDEX(Knutepunkter!$B:$B,D2271+1))</f>
        <v/>
      </c>
      <c r="G2271" t="str">
        <f>IF(D2271="","",INDEX(Knutepunkter!$C:$C,D2271+1))</f>
        <v/>
      </c>
      <c r="H2271" t="str">
        <f>IF(D2271="","",INDEX(Knutepunkter!$D:$D,D2271+1))</f>
        <v/>
      </c>
      <c r="I2271" t="str">
        <f>IF(E2271="","",INDEX(Knutepunkter!$B:$B,E2271+1))</f>
        <v/>
      </c>
      <c r="J2271" t="str">
        <f>IF(E2271="","",INDEX(Knutepunkter!$C:$C,E2271+1))</f>
        <v/>
      </c>
      <c r="K2271" t="str">
        <f>IF(E2271="","",INDEX(Knutepunkter!$D:$D,E2271+1))</f>
        <v/>
      </c>
      <c r="L2271" t="str">
        <f t="shared" si="178"/>
        <v/>
      </c>
      <c r="M2271" t="str">
        <f t="shared" si="179"/>
        <v/>
      </c>
    </row>
    <row r="2272" spans="1:13" x14ac:dyDescent="0.3">
      <c r="A2272" t="str">
        <f>Segmenter!A2272</f>
        <v/>
      </c>
      <c r="B2272" t="str">
        <f>Segmenter!B2272</f>
        <v/>
      </c>
      <c r="C2272" t="str">
        <f t="shared" si="175"/>
        <v/>
      </c>
      <c r="D2272" t="str">
        <f t="shared" si="176"/>
        <v/>
      </c>
      <c r="E2272" t="str">
        <f t="shared" si="177"/>
        <v/>
      </c>
      <c r="F2272" t="str">
        <f>IF(D2272="","",INDEX(Knutepunkter!$B:$B,D2272+1))</f>
        <v/>
      </c>
      <c r="G2272" t="str">
        <f>IF(D2272="","",INDEX(Knutepunkter!$C:$C,D2272+1))</f>
        <v/>
      </c>
      <c r="H2272" t="str">
        <f>IF(D2272="","",INDEX(Knutepunkter!$D:$D,D2272+1))</f>
        <v/>
      </c>
      <c r="I2272" t="str">
        <f>IF(E2272="","",INDEX(Knutepunkter!$B:$B,E2272+1))</f>
        <v/>
      </c>
      <c r="J2272" t="str">
        <f>IF(E2272="","",INDEX(Knutepunkter!$C:$C,E2272+1))</f>
        <v/>
      </c>
      <c r="K2272" t="str">
        <f>IF(E2272="","",INDEX(Knutepunkter!$D:$D,E2272+1))</f>
        <v/>
      </c>
      <c r="L2272" t="str">
        <f t="shared" si="178"/>
        <v/>
      </c>
      <c r="M2272" t="str">
        <f t="shared" si="179"/>
        <v/>
      </c>
    </row>
    <row r="2273" spans="1:13" x14ac:dyDescent="0.3">
      <c r="A2273" t="str">
        <f>Segmenter!A2273</f>
        <v/>
      </c>
      <c r="B2273" t="str">
        <f>Segmenter!B2273</f>
        <v/>
      </c>
      <c r="C2273" t="str">
        <f t="shared" si="175"/>
        <v/>
      </c>
      <c r="D2273" t="str">
        <f t="shared" si="176"/>
        <v/>
      </c>
      <c r="E2273" t="str">
        <f t="shared" si="177"/>
        <v/>
      </c>
      <c r="F2273" t="str">
        <f>IF(D2273="","",INDEX(Knutepunkter!$B:$B,D2273+1))</f>
        <v/>
      </c>
      <c r="G2273" t="str">
        <f>IF(D2273="","",INDEX(Knutepunkter!$C:$C,D2273+1))</f>
        <v/>
      </c>
      <c r="H2273" t="str">
        <f>IF(D2273="","",INDEX(Knutepunkter!$D:$D,D2273+1))</f>
        <v/>
      </c>
      <c r="I2273" t="str">
        <f>IF(E2273="","",INDEX(Knutepunkter!$B:$B,E2273+1))</f>
        <v/>
      </c>
      <c r="J2273" t="str">
        <f>IF(E2273="","",INDEX(Knutepunkter!$C:$C,E2273+1))</f>
        <v/>
      </c>
      <c r="K2273" t="str">
        <f>IF(E2273="","",INDEX(Knutepunkter!$D:$D,E2273+1))</f>
        <v/>
      </c>
      <c r="L2273" t="str">
        <f t="shared" si="178"/>
        <v/>
      </c>
      <c r="M2273" t="str">
        <f t="shared" si="179"/>
        <v/>
      </c>
    </row>
    <row r="2274" spans="1:13" x14ac:dyDescent="0.3">
      <c r="A2274" t="str">
        <f>Segmenter!A2274</f>
        <v/>
      </c>
      <c r="B2274" t="str">
        <f>Segmenter!B2274</f>
        <v/>
      </c>
      <c r="C2274" t="str">
        <f t="shared" si="175"/>
        <v/>
      </c>
      <c r="D2274" t="str">
        <f t="shared" si="176"/>
        <v/>
      </c>
      <c r="E2274" t="str">
        <f t="shared" si="177"/>
        <v/>
      </c>
      <c r="F2274" t="str">
        <f>IF(D2274="","",INDEX(Knutepunkter!$B:$B,D2274+1))</f>
        <v/>
      </c>
      <c r="G2274" t="str">
        <f>IF(D2274="","",INDEX(Knutepunkter!$C:$C,D2274+1))</f>
        <v/>
      </c>
      <c r="H2274" t="str">
        <f>IF(D2274="","",INDEX(Knutepunkter!$D:$D,D2274+1))</f>
        <v/>
      </c>
      <c r="I2274" t="str">
        <f>IF(E2274="","",INDEX(Knutepunkter!$B:$B,E2274+1))</f>
        <v/>
      </c>
      <c r="J2274" t="str">
        <f>IF(E2274="","",INDEX(Knutepunkter!$C:$C,E2274+1))</f>
        <v/>
      </c>
      <c r="K2274" t="str">
        <f>IF(E2274="","",INDEX(Knutepunkter!$D:$D,E2274+1))</f>
        <v/>
      </c>
      <c r="L2274" t="str">
        <f t="shared" si="178"/>
        <v/>
      </c>
      <c r="M2274" t="str">
        <f t="shared" si="179"/>
        <v/>
      </c>
    </row>
    <row r="2275" spans="1:13" x14ac:dyDescent="0.3">
      <c r="A2275" t="str">
        <f>Segmenter!A2275</f>
        <v/>
      </c>
      <c r="B2275" t="str">
        <f>Segmenter!B2275</f>
        <v/>
      </c>
      <c r="C2275" t="str">
        <f t="shared" si="175"/>
        <v/>
      </c>
      <c r="D2275" t="str">
        <f t="shared" si="176"/>
        <v/>
      </c>
      <c r="E2275" t="str">
        <f t="shared" si="177"/>
        <v/>
      </c>
      <c r="F2275" t="str">
        <f>IF(D2275="","",INDEX(Knutepunkter!$B:$B,D2275+1))</f>
        <v/>
      </c>
      <c r="G2275" t="str">
        <f>IF(D2275="","",INDEX(Knutepunkter!$C:$C,D2275+1))</f>
        <v/>
      </c>
      <c r="H2275" t="str">
        <f>IF(D2275="","",INDEX(Knutepunkter!$D:$D,D2275+1))</f>
        <v/>
      </c>
      <c r="I2275" t="str">
        <f>IF(E2275="","",INDEX(Knutepunkter!$B:$B,E2275+1))</f>
        <v/>
      </c>
      <c r="J2275" t="str">
        <f>IF(E2275="","",INDEX(Knutepunkter!$C:$C,E2275+1))</f>
        <v/>
      </c>
      <c r="K2275" t="str">
        <f>IF(E2275="","",INDEX(Knutepunkter!$D:$D,E2275+1))</f>
        <v/>
      </c>
      <c r="L2275" t="str">
        <f t="shared" si="178"/>
        <v/>
      </c>
      <c r="M2275" t="str">
        <f t="shared" si="179"/>
        <v/>
      </c>
    </row>
    <row r="2276" spans="1:13" x14ac:dyDescent="0.3">
      <c r="A2276" t="str">
        <f>Segmenter!A2276</f>
        <v/>
      </c>
      <c r="B2276" t="str">
        <f>Segmenter!B2276</f>
        <v/>
      </c>
      <c r="C2276" t="str">
        <f t="shared" si="175"/>
        <v/>
      </c>
      <c r="D2276" t="str">
        <f t="shared" si="176"/>
        <v/>
      </c>
      <c r="E2276" t="str">
        <f t="shared" si="177"/>
        <v/>
      </c>
      <c r="F2276" t="str">
        <f>IF(D2276="","",INDEX(Knutepunkter!$B:$B,D2276+1))</f>
        <v/>
      </c>
      <c r="G2276" t="str">
        <f>IF(D2276="","",INDEX(Knutepunkter!$C:$C,D2276+1))</f>
        <v/>
      </c>
      <c r="H2276" t="str">
        <f>IF(D2276="","",INDEX(Knutepunkter!$D:$D,D2276+1))</f>
        <v/>
      </c>
      <c r="I2276" t="str">
        <f>IF(E2276="","",INDEX(Knutepunkter!$B:$B,E2276+1))</f>
        <v/>
      </c>
      <c r="J2276" t="str">
        <f>IF(E2276="","",INDEX(Knutepunkter!$C:$C,E2276+1))</f>
        <v/>
      </c>
      <c r="K2276" t="str">
        <f>IF(E2276="","",INDEX(Knutepunkter!$D:$D,E2276+1))</f>
        <v/>
      </c>
      <c r="L2276" t="str">
        <f t="shared" si="178"/>
        <v/>
      </c>
      <c r="M2276" t="str">
        <f t="shared" si="179"/>
        <v/>
      </c>
    </row>
    <row r="2277" spans="1:13" x14ac:dyDescent="0.3">
      <c r="A2277" t="str">
        <f>Segmenter!A2277</f>
        <v/>
      </c>
      <c r="B2277" t="str">
        <f>Segmenter!B2277</f>
        <v/>
      </c>
      <c r="C2277" t="str">
        <f t="shared" si="175"/>
        <v/>
      </c>
      <c r="D2277" t="str">
        <f t="shared" si="176"/>
        <v/>
      </c>
      <c r="E2277" t="str">
        <f t="shared" si="177"/>
        <v/>
      </c>
      <c r="F2277" t="str">
        <f>IF(D2277="","",INDEX(Knutepunkter!$B:$B,D2277+1))</f>
        <v/>
      </c>
      <c r="G2277" t="str">
        <f>IF(D2277="","",INDEX(Knutepunkter!$C:$C,D2277+1))</f>
        <v/>
      </c>
      <c r="H2277" t="str">
        <f>IF(D2277="","",INDEX(Knutepunkter!$D:$D,D2277+1))</f>
        <v/>
      </c>
      <c r="I2277" t="str">
        <f>IF(E2277="","",INDEX(Knutepunkter!$B:$B,E2277+1))</f>
        <v/>
      </c>
      <c r="J2277" t="str">
        <f>IF(E2277="","",INDEX(Knutepunkter!$C:$C,E2277+1))</f>
        <v/>
      </c>
      <c r="K2277" t="str">
        <f>IF(E2277="","",INDEX(Knutepunkter!$D:$D,E2277+1))</f>
        <v/>
      </c>
      <c r="L2277" t="str">
        <f t="shared" si="178"/>
        <v/>
      </c>
      <c r="M2277" t="str">
        <f t="shared" si="179"/>
        <v/>
      </c>
    </row>
    <row r="2278" spans="1:13" x14ac:dyDescent="0.3">
      <c r="A2278" t="str">
        <f>Segmenter!A2278</f>
        <v/>
      </c>
      <c r="B2278" t="str">
        <f>Segmenter!B2278</f>
        <v/>
      </c>
      <c r="C2278" t="str">
        <f t="shared" si="175"/>
        <v/>
      </c>
      <c r="D2278" t="str">
        <f t="shared" si="176"/>
        <v/>
      </c>
      <c r="E2278" t="str">
        <f t="shared" si="177"/>
        <v/>
      </c>
      <c r="F2278" t="str">
        <f>IF(D2278="","",INDEX(Knutepunkter!$B:$B,D2278+1))</f>
        <v/>
      </c>
      <c r="G2278" t="str">
        <f>IF(D2278="","",INDEX(Knutepunkter!$C:$C,D2278+1))</f>
        <v/>
      </c>
      <c r="H2278" t="str">
        <f>IF(D2278="","",INDEX(Knutepunkter!$D:$D,D2278+1))</f>
        <v/>
      </c>
      <c r="I2278" t="str">
        <f>IF(E2278="","",INDEX(Knutepunkter!$B:$B,E2278+1))</f>
        <v/>
      </c>
      <c r="J2278" t="str">
        <f>IF(E2278="","",INDEX(Knutepunkter!$C:$C,E2278+1))</f>
        <v/>
      </c>
      <c r="K2278" t="str">
        <f>IF(E2278="","",INDEX(Knutepunkter!$D:$D,E2278+1))</f>
        <v/>
      </c>
      <c r="L2278" t="str">
        <f t="shared" si="178"/>
        <v/>
      </c>
      <c r="M2278" t="str">
        <f t="shared" si="179"/>
        <v/>
      </c>
    </row>
    <row r="2279" spans="1:13" x14ac:dyDescent="0.3">
      <c r="A2279" t="str">
        <f>Segmenter!A2279</f>
        <v/>
      </c>
      <c r="B2279" t="str">
        <f>Segmenter!B2279</f>
        <v/>
      </c>
      <c r="C2279" t="str">
        <f t="shared" si="175"/>
        <v/>
      </c>
      <c r="D2279" t="str">
        <f t="shared" si="176"/>
        <v/>
      </c>
      <c r="E2279" t="str">
        <f t="shared" si="177"/>
        <v/>
      </c>
      <c r="F2279" t="str">
        <f>IF(D2279="","",INDEX(Knutepunkter!$B:$B,D2279+1))</f>
        <v/>
      </c>
      <c r="G2279" t="str">
        <f>IF(D2279="","",INDEX(Knutepunkter!$C:$C,D2279+1))</f>
        <v/>
      </c>
      <c r="H2279" t="str">
        <f>IF(D2279="","",INDEX(Knutepunkter!$D:$D,D2279+1))</f>
        <v/>
      </c>
      <c r="I2279" t="str">
        <f>IF(E2279="","",INDEX(Knutepunkter!$B:$B,E2279+1))</f>
        <v/>
      </c>
      <c r="J2279" t="str">
        <f>IF(E2279="","",INDEX(Knutepunkter!$C:$C,E2279+1))</f>
        <v/>
      </c>
      <c r="K2279" t="str">
        <f>IF(E2279="","",INDEX(Knutepunkter!$D:$D,E2279+1))</f>
        <v/>
      </c>
      <c r="L2279" t="str">
        <f t="shared" si="178"/>
        <v/>
      </c>
      <c r="M2279" t="str">
        <f t="shared" si="179"/>
        <v/>
      </c>
    </row>
    <row r="2280" spans="1:13" x14ac:dyDescent="0.3">
      <c r="A2280" t="str">
        <f>Segmenter!A2280</f>
        <v/>
      </c>
      <c r="B2280" t="str">
        <f>Segmenter!B2280</f>
        <v/>
      </c>
      <c r="C2280" t="str">
        <f t="shared" si="175"/>
        <v/>
      </c>
      <c r="D2280" t="str">
        <f t="shared" si="176"/>
        <v/>
      </c>
      <c r="E2280" t="str">
        <f t="shared" si="177"/>
        <v/>
      </c>
      <c r="F2280" t="str">
        <f>IF(D2280="","",INDEX(Knutepunkter!$B:$B,D2280+1))</f>
        <v/>
      </c>
      <c r="G2280" t="str">
        <f>IF(D2280="","",INDEX(Knutepunkter!$C:$C,D2280+1))</f>
        <v/>
      </c>
      <c r="H2280" t="str">
        <f>IF(D2280="","",INDEX(Knutepunkter!$D:$D,D2280+1))</f>
        <v/>
      </c>
      <c r="I2280" t="str">
        <f>IF(E2280="","",INDEX(Knutepunkter!$B:$B,E2280+1))</f>
        <v/>
      </c>
      <c r="J2280" t="str">
        <f>IF(E2280="","",INDEX(Knutepunkter!$C:$C,E2280+1))</f>
        <v/>
      </c>
      <c r="K2280" t="str">
        <f>IF(E2280="","",INDEX(Knutepunkter!$D:$D,E2280+1))</f>
        <v/>
      </c>
      <c r="L2280" t="str">
        <f t="shared" si="178"/>
        <v/>
      </c>
      <c r="M2280" t="str">
        <f t="shared" si="179"/>
        <v/>
      </c>
    </row>
    <row r="2281" spans="1:13" x14ac:dyDescent="0.3">
      <c r="A2281" t="str">
        <f>Segmenter!A2281</f>
        <v/>
      </c>
      <c r="B2281" t="str">
        <f>Segmenter!B2281</f>
        <v/>
      </c>
      <c r="C2281" t="str">
        <f t="shared" si="175"/>
        <v/>
      </c>
      <c r="D2281" t="str">
        <f t="shared" si="176"/>
        <v/>
      </c>
      <c r="E2281" t="str">
        <f t="shared" si="177"/>
        <v/>
      </c>
      <c r="F2281" t="str">
        <f>IF(D2281="","",INDEX(Knutepunkter!$B:$B,D2281+1))</f>
        <v/>
      </c>
      <c r="G2281" t="str">
        <f>IF(D2281="","",INDEX(Knutepunkter!$C:$C,D2281+1))</f>
        <v/>
      </c>
      <c r="H2281" t="str">
        <f>IF(D2281="","",INDEX(Knutepunkter!$D:$D,D2281+1))</f>
        <v/>
      </c>
      <c r="I2281" t="str">
        <f>IF(E2281="","",INDEX(Knutepunkter!$B:$B,E2281+1))</f>
        <v/>
      </c>
      <c r="J2281" t="str">
        <f>IF(E2281="","",INDEX(Knutepunkter!$C:$C,E2281+1))</f>
        <v/>
      </c>
      <c r="K2281" t="str">
        <f>IF(E2281="","",INDEX(Knutepunkter!$D:$D,E2281+1))</f>
        <v/>
      </c>
      <c r="L2281" t="str">
        <f t="shared" si="178"/>
        <v/>
      </c>
      <c r="M2281" t="str">
        <f t="shared" si="179"/>
        <v/>
      </c>
    </row>
    <row r="2282" spans="1:13" x14ac:dyDescent="0.3">
      <c r="A2282" t="str">
        <f>Segmenter!A2282</f>
        <v/>
      </c>
      <c r="B2282" t="str">
        <f>Segmenter!B2282</f>
        <v/>
      </c>
      <c r="C2282" t="str">
        <f t="shared" si="175"/>
        <v/>
      </c>
      <c r="D2282" t="str">
        <f t="shared" si="176"/>
        <v/>
      </c>
      <c r="E2282" t="str">
        <f t="shared" si="177"/>
        <v/>
      </c>
      <c r="F2282" t="str">
        <f>IF(D2282="","",INDEX(Knutepunkter!$B:$B,D2282+1))</f>
        <v/>
      </c>
      <c r="G2282" t="str">
        <f>IF(D2282="","",INDEX(Knutepunkter!$C:$C,D2282+1))</f>
        <v/>
      </c>
      <c r="H2282" t="str">
        <f>IF(D2282="","",INDEX(Knutepunkter!$D:$D,D2282+1))</f>
        <v/>
      </c>
      <c r="I2282" t="str">
        <f>IF(E2282="","",INDEX(Knutepunkter!$B:$B,E2282+1))</f>
        <v/>
      </c>
      <c r="J2282" t="str">
        <f>IF(E2282="","",INDEX(Knutepunkter!$C:$C,E2282+1))</f>
        <v/>
      </c>
      <c r="K2282" t="str">
        <f>IF(E2282="","",INDEX(Knutepunkter!$D:$D,E2282+1))</f>
        <v/>
      </c>
      <c r="L2282" t="str">
        <f t="shared" si="178"/>
        <v/>
      </c>
      <c r="M2282" t="str">
        <f t="shared" si="179"/>
        <v/>
      </c>
    </row>
    <row r="2283" spans="1:13" x14ac:dyDescent="0.3">
      <c r="A2283" t="str">
        <f>Segmenter!A2283</f>
        <v/>
      </c>
      <c r="B2283" t="str">
        <f>Segmenter!B2283</f>
        <v/>
      </c>
      <c r="C2283" t="str">
        <f t="shared" si="175"/>
        <v/>
      </c>
      <c r="D2283" t="str">
        <f t="shared" si="176"/>
        <v/>
      </c>
      <c r="E2283" t="str">
        <f t="shared" si="177"/>
        <v/>
      </c>
      <c r="F2283" t="str">
        <f>IF(D2283="","",INDEX(Knutepunkter!$B:$B,D2283+1))</f>
        <v/>
      </c>
      <c r="G2283" t="str">
        <f>IF(D2283="","",INDEX(Knutepunkter!$C:$C,D2283+1))</f>
        <v/>
      </c>
      <c r="H2283" t="str">
        <f>IF(D2283="","",INDEX(Knutepunkter!$D:$D,D2283+1))</f>
        <v/>
      </c>
      <c r="I2283" t="str">
        <f>IF(E2283="","",INDEX(Knutepunkter!$B:$B,E2283+1))</f>
        <v/>
      </c>
      <c r="J2283" t="str">
        <f>IF(E2283="","",INDEX(Knutepunkter!$C:$C,E2283+1))</f>
        <v/>
      </c>
      <c r="K2283" t="str">
        <f>IF(E2283="","",INDEX(Knutepunkter!$D:$D,E2283+1))</f>
        <v/>
      </c>
      <c r="L2283" t="str">
        <f t="shared" si="178"/>
        <v/>
      </c>
      <c r="M2283" t="str">
        <f t="shared" si="179"/>
        <v/>
      </c>
    </row>
    <row r="2284" spans="1:13" x14ac:dyDescent="0.3">
      <c r="A2284" t="str">
        <f>Segmenter!A2284</f>
        <v/>
      </c>
      <c r="B2284" t="str">
        <f>Segmenter!B2284</f>
        <v/>
      </c>
      <c r="C2284" t="str">
        <f t="shared" si="175"/>
        <v/>
      </c>
      <c r="D2284" t="str">
        <f t="shared" si="176"/>
        <v/>
      </c>
      <c r="E2284" t="str">
        <f t="shared" si="177"/>
        <v/>
      </c>
      <c r="F2284" t="str">
        <f>IF(D2284="","",INDEX(Knutepunkter!$B:$B,D2284+1))</f>
        <v/>
      </c>
      <c r="G2284" t="str">
        <f>IF(D2284="","",INDEX(Knutepunkter!$C:$C,D2284+1))</f>
        <v/>
      </c>
      <c r="H2284" t="str">
        <f>IF(D2284="","",INDEX(Knutepunkter!$D:$D,D2284+1))</f>
        <v/>
      </c>
      <c r="I2284" t="str">
        <f>IF(E2284="","",INDEX(Knutepunkter!$B:$B,E2284+1))</f>
        <v/>
      </c>
      <c r="J2284" t="str">
        <f>IF(E2284="","",INDEX(Knutepunkter!$C:$C,E2284+1))</f>
        <v/>
      </c>
      <c r="K2284" t="str">
        <f>IF(E2284="","",INDEX(Knutepunkter!$D:$D,E2284+1))</f>
        <v/>
      </c>
      <c r="L2284" t="str">
        <f t="shared" si="178"/>
        <v/>
      </c>
      <c r="M2284" t="str">
        <f t="shared" si="179"/>
        <v/>
      </c>
    </row>
    <row r="2285" spans="1:13" x14ac:dyDescent="0.3">
      <c r="A2285" t="str">
        <f>Segmenter!A2285</f>
        <v/>
      </c>
      <c r="B2285" t="str">
        <f>Segmenter!B2285</f>
        <v/>
      </c>
      <c r="C2285" t="str">
        <f t="shared" si="175"/>
        <v/>
      </c>
      <c r="D2285" t="str">
        <f t="shared" si="176"/>
        <v/>
      </c>
      <c r="E2285" t="str">
        <f t="shared" si="177"/>
        <v/>
      </c>
      <c r="F2285" t="str">
        <f>IF(D2285="","",INDEX(Knutepunkter!$B:$B,D2285+1))</f>
        <v/>
      </c>
      <c r="G2285" t="str">
        <f>IF(D2285="","",INDEX(Knutepunkter!$C:$C,D2285+1))</f>
        <v/>
      </c>
      <c r="H2285" t="str">
        <f>IF(D2285="","",INDEX(Knutepunkter!$D:$D,D2285+1))</f>
        <v/>
      </c>
      <c r="I2285" t="str">
        <f>IF(E2285="","",INDEX(Knutepunkter!$B:$B,E2285+1))</f>
        <v/>
      </c>
      <c r="J2285" t="str">
        <f>IF(E2285="","",INDEX(Knutepunkter!$C:$C,E2285+1))</f>
        <v/>
      </c>
      <c r="K2285" t="str">
        <f>IF(E2285="","",INDEX(Knutepunkter!$D:$D,E2285+1))</f>
        <v/>
      </c>
      <c r="L2285" t="str">
        <f t="shared" si="178"/>
        <v/>
      </c>
      <c r="M2285" t="str">
        <f t="shared" si="179"/>
        <v/>
      </c>
    </row>
    <row r="2286" spans="1:13" x14ac:dyDescent="0.3">
      <c r="A2286" t="str">
        <f>Segmenter!A2286</f>
        <v/>
      </c>
      <c r="B2286" t="str">
        <f>Segmenter!B2286</f>
        <v/>
      </c>
      <c r="C2286" t="str">
        <f t="shared" si="175"/>
        <v/>
      </c>
      <c r="D2286" t="str">
        <f t="shared" si="176"/>
        <v/>
      </c>
      <c r="E2286" t="str">
        <f t="shared" si="177"/>
        <v/>
      </c>
      <c r="F2286" t="str">
        <f>IF(D2286="","",INDEX(Knutepunkter!$B:$B,D2286+1))</f>
        <v/>
      </c>
      <c r="G2286" t="str">
        <f>IF(D2286="","",INDEX(Knutepunkter!$C:$C,D2286+1))</f>
        <v/>
      </c>
      <c r="H2286" t="str">
        <f>IF(D2286="","",INDEX(Knutepunkter!$D:$D,D2286+1))</f>
        <v/>
      </c>
      <c r="I2286" t="str">
        <f>IF(E2286="","",INDEX(Knutepunkter!$B:$B,E2286+1))</f>
        <v/>
      </c>
      <c r="J2286" t="str">
        <f>IF(E2286="","",INDEX(Knutepunkter!$C:$C,E2286+1))</f>
        <v/>
      </c>
      <c r="K2286" t="str">
        <f>IF(E2286="","",INDEX(Knutepunkter!$D:$D,E2286+1))</f>
        <v/>
      </c>
      <c r="L2286" t="str">
        <f t="shared" si="178"/>
        <v/>
      </c>
      <c r="M2286" t="str">
        <f t="shared" si="179"/>
        <v/>
      </c>
    </row>
    <row r="2287" spans="1:13" x14ac:dyDescent="0.3">
      <c r="A2287" t="str">
        <f>Segmenter!A2287</f>
        <v/>
      </c>
      <c r="B2287" t="str">
        <f>Segmenter!B2287</f>
        <v/>
      </c>
      <c r="C2287" t="str">
        <f t="shared" si="175"/>
        <v/>
      </c>
      <c r="D2287" t="str">
        <f t="shared" si="176"/>
        <v/>
      </c>
      <c r="E2287" t="str">
        <f t="shared" si="177"/>
        <v/>
      </c>
      <c r="F2287" t="str">
        <f>IF(D2287="","",INDEX(Knutepunkter!$B:$B,D2287+1))</f>
        <v/>
      </c>
      <c r="G2287" t="str">
        <f>IF(D2287="","",INDEX(Knutepunkter!$C:$C,D2287+1))</f>
        <v/>
      </c>
      <c r="H2287" t="str">
        <f>IF(D2287="","",INDEX(Knutepunkter!$D:$D,D2287+1))</f>
        <v/>
      </c>
      <c r="I2287" t="str">
        <f>IF(E2287="","",INDEX(Knutepunkter!$B:$B,E2287+1))</f>
        <v/>
      </c>
      <c r="J2287" t="str">
        <f>IF(E2287="","",INDEX(Knutepunkter!$C:$C,E2287+1))</f>
        <v/>
      </c>
      <c r="K2287" t="str">
        <f>IF(E2287="","",INDEX(Knutepunkter!$D:$D,E2287+1))</f>
        <v/>
      </c>
      <c r="L2287" t="str">
        <f t="shared" si="178"/>
        <v/>
      </c>
      <c r="M2287" t="str">
        <f t="shared" si="179"/>
        <v/>
      </c>
    </row>
    <row r="2288" spans="1:13" x14ac:dyDescent="0.3">
      <c r="A2288" t="str">
        <f>Segmenter!A2288</f>
        <v/>
      </c>
      <c r="B2288" t="str">
        <f>Segmenter!B2288</f>
        <v/>
      </c>
      <c r="C2288" t="str">
        <f t="shared" si="175"/>
        <v/>
      </c>
      <c r="D2288" t="str">
        <f t="shared" si="176"/>
        <v/>
      </c>
      <c r="E2288" t="str">
        <f t="shared" si="177"/>
        <v/>
      </c>
      <c r="F2288" t="str">
        <f>IF(D2288="","",INDEX(Knutepunkter!$B:$B,D2288+1))</f>
        <v/>
      </c>
      <c r="G2288" t="str">
        <f>IF(D2288="","",INDEX(Knutepunkter!$C:$C,D2288+1))</f>
        <v/>
      </c>
      <c r="H2288" t="str">
        <f>IF(D2288="","",INDEX(Knutepunkter!$D:$D,D2288+1))</f>
        <v/>
      </c>
      <c r="I2288" t="str">
        <f>IF(E2288="","",INDEX(Knutepunkter!$B:$B,E2288+1))</f>
        <v/>
      </c>
      <c r="J2288" t="str">
        <f>IF(E2288="","",INDEX(Knutepunkter!$C:$C,E2288+1))</f>
        <v/>
      </c>
      <c r="K2288" t="str">
        <f>IF(E2288="","",INDEX(Knutepunkter!$D:$D,E2288+1))</f>
        <v/>
      </c>
      <c r="L2288" t="str">
        <f t="shared" si="178"/>
        <v/>
      </c>
      <c r="M2288" t="str">
        <f t="shared" si="179"/>
        <v/>
      </c>
    </row>
    <row r="2289" spans="1:13" x14ac:dyDescent="0.3">
      <c r="A2289" t="str">
        <f>Segmenter!A2289</f>
        <v/>
      </c>
      <c r="B2289" t="str">
        <f>Segmenter!B2289</f>
        <v/>
      </c>
      <c r="C2289" t="str">
        <f t="shared" si="175"/>
        <v/>
      </c>
      <c r="D2289" t="str">
        <f t="shared" si="176"/>
        <v/>
      </c>
      <c r="E2289" t="str">
        <f t="shared" si="177"/>
        <v/>
      </c>
      <c r="F2289" t="str">
        <f>IF(D2289="","",INDEX(Knutepunkter!$B:$B,D2289+1))</f>
        <v/>
      </c>
      <c r="G2289" t="str">
        <f>IF(D2289="","",INDEX(Knutepunkter!$C:$C,D2289+1))</f>
        <v/>
      </c>
      <c r="H2289" t="str">
        <f>IF(D2289="","",INDEX(Knutepunkter!$D:$D,D2289+1))</f>
        <v/>
      </c>
      <c r="I2289" t="str">
        <f>IF(E2289="","",INDEX(Knutepunkter!$B:$B,E2289+1))</f>
        <v/>
      </c>
      <c r="J2289" t="str">
        <f>IF(E2289="","",INDEX(Knutepunkter!$C:$C,E2289+1))</f>
        <v/>
      </c>
      <c r="K2289" t="str">
        <f>IF(E2289="","",INDEX(Knutepunkter!$D:$D,E2289+1))</f>
        <v/>
      </c>
      <c r="L2289" t="str">
        <f t="shared" si="178"/>
        <v/>
      </c>
      <c r="M2289" t="str">
        <f t="shared" si="179"/>
        <v/>
      </c>
    </row>
    <row r="2290" spans="1:13" x14ac:dyDescent="0.3">
      <c r="A2290" t="str">
        <f>Segmenter!A2290</f>
        <v/>
      </c>
      <c r="B2290" t="str">
        <f>Segmenter!B2290</f>
        <v/>
      </c>
      <c r="C2290" t="str">
        <f t="shared" si="175"/>
        <v/>
      </c>
      <c r="D2290" t="str">
        <f t="shared" si="176"/>
        <v/>
      </c>
      <c r="E2290" t="str">
        <f t="shared" si="177"/>
        <v/>
      </c>
      <c r="F2290" t="str">
        <f>IF(D2290="","",INDEX(Knutepunkter!$B:$B,D2290+1))</f>
        <v/>
      </c>
      <c r="G2290" t="str">
        <f>IF(D2290="","",INDEX(Knutepunkter!$C:$C,D2290+1))</f>
        <v/>
      </c>
      <c r="H2290" t="str">
        <f>IF(D2290="","",INDEX(Knutepunkter!$D:$D,D2290+1))</f>
        <v/>
      </c>
      <c r="I2290" t="str">
        <f>IF(E2290="","",INDEX(Knutepunkter!$B:$B,E2290+1))</f>
        <v/>
      </c>
      <c r="J2290" t="str">
        <f>IF(E2290="","",INDEX(Knutepunkter!$C:$C,E2290+1))</f>
        <v/>
      </c>
      <c r="K2290" t="str">
        <f>IF(E2290="","",INDEX(Knutepunkter!$D:$D,E2290+1))</f>
        <v/>
      </c>
      <c r="L2290" t="str">
        <f t="shared" si="178"/>
        <v/>
      </c>
      <c r="M2290" t="str">
        <f t="shared" si="179"/>
        <v/>
      </c>
    </row>
    <row r="2291" spans="1:13" x14ac:dyDescent="0.3">
      <c r="A2291" t="str">
        <f>Segmenter!A2291</f>
        <v/>
      </c>
      <c r="B2291" t="str">
        <f>Segmenter!B2291</f>
        <v/>
      </c>
      <c r="C2291" t="str">
        <f t="shared" si="175"/>
        <v/>
      </c>
      <c r="D2291" t="str">
        <f t="shared" si="176"/>
        <v/>
      </c>
      <c r="E2291" t="str">
        <f t="shared" si="177"/>
        <v/>
      </c>
      <c r="F2291" t="str">
        <f>IF(D2291="","",INDEX(Knutepunkter!$B:$B,D2291+1))</f>
        <v/>
      </c>
      <c r="G2291" t="str">
        <f>IF(D2291="","",INDEX(Knutepunkter!$C:$C,D2291+1))</f>
        <v/>
      </c>
      <c r="H2291" t="str">
        <f>IF(D2291="","",INDEX(Knutepunkter!$D:$D,D2291+1))</f>
        <v/>
      </c>
      <c r="I2291" t="str">
        <f>IF(E2291="","",INDEX(Knutepunkter!$B:$B,E2291+1))</f>
        <v/>
      </c>
      <c r="J2291" t="str">
        <f>IF(E2291="","",INDEX(Knutepunkter!$C:$C,E2291+1))</f>
        <v/>
      </c>
      <c r="K2291" t="str">
        <f>IF(E2291="","",INDEX(Knutepunkter!$D:$D,E2291+1))</f>
        <v/>
      </c>
      <c r="L2291" t="str">
        <f t="shared" si="178"/>
        <v/>
      </c>
      <c r="M2291" t="str">
        <f t="shared" si="179"/>
        <v/>
      </c>
    </row>
    <row r="2292" spans="1:13" x14ac:dyDescent="0.3">
      <c r="A2292" t="str">
        <f>Segmenter!A2292</f>
        <v/>
      </c>
      <c r="B2292" t="str">
        <f>Segmenter!B2292</f>
        <v/>
      </c>
      <c r="C2292" t="str">
        <f t="shared" si="175"/>
        <v/>
      </c>
      <c r="D2292" t="str">
        <f t="shared" si="176"/>
        <v/>
      </c>
      <c r="E2292" t="str">
        <f t="shared" si="177"/>
        <v/>
      </c>
      <c r="F2292" t="str">
        <f>IF(D2292="","",INDEX(Knutepunkter!$B:$B,D2292+1))</f>
        <v/>
      </c>
      <c r="G2292" t="str">
        <f>IF(D2292="","",INDEX(Knutepunkter!$C:$C,D2292+1))</f>
        <v/>
      </c>
      <c r="H2292" t="str">
        <f>IF(D2292="","",INDEX(Knutepunkter!$D:$D,D2292+1))</f>
        <v/>
      </c>
      <c r="I2292" t="str">
        <f>IF(E2292="","",INDEX(Knutepunkter!$B:$B,E2292+1))</f>
        <v/>
      </c>
      <c r="J2292" t="str">
        <f>IF(E2292="","",INDEX(Knutepunkter!$C:$C,E2292+1))</f>
        <v/>
      </c>
      <c r="K2292" t="str">
        <f>IF(E2292="","",INDEX(Knutepunkter!$D:$D,E2292+1))</f>
        <v/>
      </c>
      <c r="L2292" t="str">
        <f t="shared" si="178"/>
        <v/>
      </c>
      <c r="M2292" t="str">
        <f t="shared" si="179"/>
        <v/>
      </c>
    </row>
    <row r="2293" spans="1:13" x14ac:dyDescent="0.3">
      <c r="A2293" t="str">
        <f>Segmenter!A2293</f>
        <v/>
      </c>
      <c r="B2293" t="str">
        <f>Segmenter!B2293</f>
        <v/>
      </c>
      <c r="C2293" t="str">
        <f t="shared" si="175"/>
        <v/>
      </c>
      <c r="D2293" t="str">
        <f t="shared" si="176"/>
        <v/>
      </c>
      <c r="E2293" t="str">
        <f t="shared" si="177"/>
        <v/>
      </c>
      <c r="F2293" t="str">
        <f>IF(D2293="","",INDEX(Knutepunkter!$B:$B,D2293+1))</f>
        <v/>
      </c>
      <c r="G2293" t="str">
        <f>IF(D2293="","",INDEX(Knutepunkter!$C:$C,D2293+1))</f>
        <v/>
      </c>
      <c r="H2293" t="str">
        <f>IF(D2293="","",INDEX(Knutepunkter!$D:$D,D2293+1))</f>
        <v/>
      </c>
      <c r="I2293" t="str">
        <f>IF(E2293="","",INDEX(Knutepunkter!$B:$B,E2293+1))</f>
        <v/>
      </c>
      <c r="J2293" t="str">
        <f>IF(E2293="","",INDEX(Knutepunkter!$C:$C,E2293+1))</f>
        <v/>
      </c>
      <c r="K2293" t="str">
        <f>IF(E2293="","",INDEX(Knutepunkter!$D:$D,E2293+1))</f>
        <v/>
      </c>
      <c r="L2293" t="str">
        <f t="shared" si="178"/>
        <v/>
      </c>
      <c r="M2293" t="str">
        <f t="shared" si="179"/>
        <v/>
      </c>
    </row>
    <row r="2294" spans="1:13" x14ac:dyDescent="0.3">
      <c r="A2294" t="str">
        <f>Segmenter!A2294</f>
        <v/>
      </c>
      <c r="B2294" t="str">
        <f>Segmenter!B2294</f>
        <v/>
      </c>
      <c r="C2294" t="str">
        <f t="shared" si="175"/>
        <v/>
      </c>
      <c r="D2294" t="str">
        <f t="shared" si="176"/>
        <v/>
      </c>
      <c r="E2294" t="str">
        <f t="shared" si="177"/>
        <v/>
      </c>
      <c r="F2294" t="str">
        <f>IF(D2294="","",INDEX(Knutepunkter!$B:$B,D2294+1))</f>
        <v/>
      </c>
      <c r="G2294" t="str">
        <f>IF(D2294="","",INDEX(Knutepunkter!$C:$C,D2294+1))</f>
        <v/>
      </c>
      <c r="H2294" t="str">
        <f>IF(D2294="","",INDEX(Knutepunkter!$D:$D,D2294+1))</f>
        <v/>
      </c>
      <c r="I2294" t="str">
        <f>IF(E2294="","",INDEX(Knutepunkter!$B:$B,E2294+1))</f>
        <v/>
      </c>
      <c r="J2294" t="str">
        <f>IF(E2294="","",INDEX(Knutepunkter!$C:$C,E2294+1))</f>
        <v/>
      </c>
      <c r="K2294" t="str">
        <f>IF(E2294="","",INDEX(Knutepunkter!$D:$D,E2294+1))</f>
        <v/>
      </c>
      <c r="L2294" t="str">
        <f t="shared" si="178"/>
        <v/>
      </c>
      <c r="M2294" t="str">
        <f t="shared" si="179"/>
        <v/>
      </c>
    </row>
    <row r="2295" spans="1:13" x14ac:dyDescent="0.3">
      <c r="A2295" t="str">
        <f>Segmenter!A2295</f>
        <v/>
      </c>
      <c r="B2295" t="str">
        <f>Segmenter!B2295</f>
        <v/>
      </c>
      <c r="C2295" t="str">
        <f t="shared" si="175"/>
        <v/>
      </c>
      <c r="D2295" t="str">
        <f t="shared" si="176"/>
        <v/>
      </c>
      <c r="E2295" t="str">
        <f t="shared" si="177"/>
        <v/>
      </c>
      <c r="F2295" t="str">
        <f>IF(D2295="","",INDEX(Knutepunkter!$B:$B,D2295+1))</f>
        <v/>
      </c>
      <c r="G2295" t="str">
        <f>IF(D2295="","",INDEX(Knutepunkter!$C:$C,D2295+1))</f>
        <v/>
      </c>
      <c r="H2295" t="str">
        <f>IF(D2295="","",INDEX(Knutepunkter!$D:$D,D2295+1))</f>
        <v/>
      </c>
      <c r="I2295" t="str">
        <f>IF(E2295="","",INDEX(Knutepunkter!$B:$B,E2295+1))</f>
        <v/>
      </c>
      <c r="J2295" t="str">
        <f>IF(E2295="","",INDEX(Knutepunkter!$C:$C,E2295+1))</f>
        <v/>
      </c>
      <c r="K2295" t="str">
        <f>IF(E2295="","",INDEX(Knutepunkter!$D:$D,E2295+1))</f>
        <v/>
      </c>
      <c r="L2295" t="str">
        <f t="shared" si="178"/>
        <v/>
      </c>
      <c r="M2295" t="str">
        <f t="shared" si="179"/>
        <v/>
      </c>
    </row>
    <row r="2296" spans="1:13" x14ac:dyDescent="0.3">
      <c r="A2296" t="str">
        <f>Segmenter!A2296</f>
        <v/>
      </c>
      <c r="B2296" t="str">
        <f>Segmenter!B2296</f>
        <v/>
      </c>
      <c r="C2296" t="str">
        <f t="shared" si="175"/>
        <v/>
      </c>
      <c r="D2296" t="str">
        <f t="shared" si="176"/>
        <v/>
      </c>
      <c r="E2296" t="str">
        <f t="shared" si="177"/>
        <v/>
      </c>
      <c r="F2296" t="str">
        <f>IF(D2296="","",INDEX(Knutepunkter!$B:$B,D2296+1))</f>
        <v/>
      </c>
      <c r="G2296" t="str">
        <f>IF(D2296="","",INDEX(Knutepunkter!$C:$C,D2296+1))</f>
        <v/>
      </c>
      <c r="H2296" t="str">
        <f>IF(D2296="","",INDEX(Knutepunkter!$D:$D,D2296+1))</f>
        <v/>
      </c>
      <c r="I2296" t="str">
        <f>IF(E2296="","",INDEX(Knutepunkter!$B:$B,E2296+1))</f>
        <v/>
      </c>
      <c r="J2296" t="str">
        <f>IF(E2296="","",INDEX(Knutepunkter!$C:$C,E2296+1))</f>
        <v/>
      </c>
      <c r="K2296" t="str">
        <f>IF(E2296="","",INDEX(Knutepunkter!$D:$D,E2296+1))</f>
        <v/>
      </c>
      <c r="L2296" t="str">
        <f t="shared" si="178"/>
        <v/>
      </c>
      <c r="M2296" t="str">
        <f t="shared" si="179"/>
        <v/>
      </c>
    </row>
    <row r="2297" spans="1:13" x14ac:dyDescent="0.3">
      <c r="A2297" t="str">
        <f>Segmenter!A2297</f>
        <v/>
      </c>
      <c r="B2297" t="str">
        <f>Segmenter!B2297</f>
        <v/>
      </c>
      <c r="C2297" t="str">
        <f t="shared" si="175"/>
        <v/>
      </c>
      <c r="D2297" t="str">
        <f t="shared" si="176"/>
        <v/>
      </c>
      <c r="E2297" t="str">
        <f t="shared" si="177"/>
        <v/>
      </c>
      <c r="F2297" t="str">
        <f>IF(D2297="","",INDEX(Knutepunkter!$B:$B,D2297+1))</f>
        <v/>
      </c>
      <c r="G2297" t="str">
        <f>IF(D2297="","",INDEX(Knutepunkter!$C:$C,D2297+1))</f>
        <v/>
      </c>
      <c r="H2297" t="str">
        <f>IF(D2297="","",INDEX(Knutepunkter!$D:$D,D2297+1))</f>
        <v/>
      </c>
      <c r="I2297" t="str">
        <f>IF(E2297="","",INDEX(Knutepunkter!$B:$B,E2297+1))</f>
        <v/>
      </c>
      <c r="J2297" t="str">
        <f>IF(E2297="","",INDEX(Knutepunkter!$C:$C,E2297+1))</f>
        <v/>
      </c>
      <c r="K2297" t="str">
        <f>IF(E2297="","",INDEX(Knutepunkter!$D:$D,E2297+1))</f>
        <v/>
      </c>
      <c r="L2297" t="str">
        <f t="shared" si="178"/>
        <v/>
      </c>
      <c r="M2297" t="str">
        <f t="shared" si="179"/>
        <v/>
      </c>
    </row>
    <row r="2298" spans="1:13" x14ac:dyDescent="0.3">
      <c r="A2298" t="str">
        <f>Segmenter!A2298</f>
        <v/>
      </c>
      <c r="B2298" t="str">
        <f>Segmenter!B2298</f>
        <v/>
      </c>
      <c r="C2298" t="str">
        <f t="shared" si="175"/>
        <v/>
      </c>
      <c r="D2298" t="str">
        <f t="shared" si="176"/>
        <v/>
      </c>
      <c r="E2298" t="str">
        <f t="shared" si="177"/>
        <v/>
      </c>
      <c r="F2298" t="str">
        <f>IF(D2298="","",INDEX(Knutepunkter!$B:$B,D2298+1))</f>
        <v/>
      </c>
      <c r="G2298" t="str">
        <f>IF(D2298="","",INDEX(Knutepunkter!$C:$C,D2298+1))</f>
        <v/>
      </c>
      <c r="H2298" t="str">
        <f>IF(D2298="","",INDEX(Knutepunkter!$D:$D,D2298+1))</f>
        <v/>
      </c>
      <c r="I2298" t="str">
        <f>IF(E2298="","",INDEX(Knutepunkter!$B:$B,E2298+1))</f>
        <v/>
      </c>
      <c r="J2298" t="str">
        <f>IF(E2298="","",INDEX(Knutepunkter!$C:$C,E2298+1))</f>
        <v/>
      </c>
      <c r="K2298" t="str">
        <f>IF(E2298="","",INDEX(Knutepunkter!$D:$D,E2298+1))</f>
        <v/>
      </c>
      <c r="L2298" t="str">
        <f t="shared" si="178"/>
        <v/>
      </c>
      <c r="M2298" t="str">
        <f t="shared" si="179"/>
        <v/>
      </c>
    </row>
    <row r="2299" spans="1:13" x14ac:dyDescent="0.3">
      <c r="A2299" t="str">
        <f>Segmenter!A2299</f>
        <v/>
      </c>
      <c r="B2299" t="str">
        <f>Segmenter!B2299</f>
        <v/>
      </c>
      <c r="C2299" t="str">
        <f t="shared" si="175"/>
        <v/>
      </c>
      <c r="D2299" t="str">
        <f t="shared" si="176"/>
        <v/>
      </c>
      <c r="E2299" t="str">
        <f t="shared" si="177"/>
        <v/>
      </c>
      <c r="F2299" t="str">
        <f>IF(D2299="","",INDEX(Knutepunkter!$B:$B,D2299+1))</f>
        <v/>
      </c>
      <c r="G2299" t="str">
        <f>IF(D2299="","",INDEX(Knutepunkter!$C:$C,D2299+1))</f>
        <v/>
      </c>
      <c r="H2299" t="str">
        <f>IF(D2299="","",INDEX(Knutepunkter!$D:$D,D2299+1))</f>
        <v/>
      </c>
      <c r="I2299" t="str">
        <f>IF(E2299="","",INDEX(Knutepunkter!$B:$B,E2299+1))</f>
        <v/>
      </c>
      <c r="J2299" t="str">
        <f>IF(E2299="","",INDEX(Knutepunkter!$C:$C,E2299+1))</f>
        <v/>
      </c>
      <c r="K2299" t="str">
        <f>IF(E2299="","",INDEX(Knutepunkter!$D:$D,E2299+1))</f>
        <v/>
      </c>
      <c r="L2299" t="str">
        <f t="shared" si="178"/>
        <v/>
      </c>
      <c r="M2299" t="str">
        <f t="shared" si="179"/>
        <v/>
      </c>
    </row>
    <row r="2300" spans="1:13" x14ac:dyDescent="0.3">
      <c r="A2300" t="str">
        <f>Segmenter!A2300</f>
        <v/>
      </c>
      <c r="B2300" t="str">
        <f>Segmenter!B2300</f>
        <v/>
      </c>
      <c r="C2300" t="str">
        <f t="shared" si="175"/>
        <v/>
      </c>
      <c r="D2300" t="str">
        <f t="shared" si="176"/>
        <v/>
      </c>
      <c r="E2300" t="str">
        <f t="shared" si="177"/>
        <v/>
      </c>
      <c r="F2300" t="str">
        <f>IF(D2300="","",INDEX(Knutepunkter!$B:$B,D2300+1))</f>
        <v/>
      </c>
      <c r="G2300" t="str">
        <f>IF(D2300="","",INDEX(Knutepunkter!$C:$C,D2300+1))</f>
        <v/>
      </c>
      <c r="H2300" t="str">
        <f>IF(D2300="","",INDEX(Knutepunkter!$D:$D,D2300+1))</f>
        <v/>
      </c>
      <c r="I2300" t="str">
        <f>IF(E2300="","",INDEX(Knutepunkter!$B:$B,E2300+1))</f>
        <v/>
      </c>
      <c r="J2300" t="str">
        <f>IF(E2300="","",INDEX(Knutepunkter!$C:$C,E2300+1))</f>
        <v/>
      </c>
      <c r="K2300" t="str">
        <f>IF(E2300="","",INDEX(Knutepunkter!$D:$D,E2300+1))</f>
        <v/>
      </c>
      <c r="L2300" t="str">
        <f t="shared" si="178"/>
        <v/>
      </c>
      <c r="M2300" t="str">
        <f t="shared" si="179"/>
        <v/>
      </c>
    </row>
    <row r="2301" spans="1:13" x14ac:dyDescent="0.3">
      <c r="A2301" t="str">
        <f>Segmenter!A2301</f>
        <v/>
      </c>
      <c r="B2301" t="str">
        <f>Segmenter!B2301</f>
        <v/>
      </c>
      <c r="C2301" t="str">
        <f t="shared" si="175"/>
        <v/>
      </c>
      <c r="D2301" t="str">
        <f t="shared" si="176"/>
        <v/>
      </c>
      <c r="E2301" t="str">
        <f t="shared" si="177"/>
        <v/>
      </c>
      <c r="F2301" t="str">
        <f>IF(D2301="","",INDEX(Knutepunkter!$B:$B,D2301+1))</f>
        <v/>
      </c>
      <c r="G2301" t="str">
        <f>IF(D2301="","",INDEX(Knutepunkter!$C:$C,D2301+1))</f>
        <v/>
      </c>
      <c r="H2301" t="str">
        <f>IF(D2301="","",INDEX(Knutepunkter!$D:$D,D2301+1))</f>
        <v/>
      </c>
      <c r="I2301" t="str">
        <f>IF(E2301="","",INDEX(Knutepunkter!$B:$B,E2301+1))</f>
        <v/>
      </c>
      <c r="J2301" t="str">
        <f>IF(E2301="","",INDEX(Knutepunkter!$C:$C,E2301+1))</f>
        <v/>
      </c>
      <c r="K2301" t="str">
        <f>IF(E2301="","",INDEX(Knutepunkter!$D:$D,E2301+1))</f>
        <v/>
      </c>
      <c r="L2301" t="str">
        <f t="shared" si="178"/>
        <v/>
      </c>
      <c r="M2301" t="str">
        <f t="shared" si="179"/>
        <v/>
      </c>
    </row>
    <row r="2302" spans="1:13" x14ac:dyDescent="0.3">
      <c r="A2302" t="str">
        <f>Segmenter!A2302</f>
        <v/>
      </c>
      <c r="B2302" t="str">
        <f>Segmenter!B2302</f>
        <v/>
      </c>
      <c r="C2302" t="str">
        <f t="shared" si="175"/>
        <v/>
      </c>
      <c r="D2302" t="str">
        <f t="shared" si="176"/>
        <v/>
      </c>
      <c r="E2302" t="str">
        <f t="shared" si="177"/>
        <v/>
      </c>
      <c r="F2302" t="str">
        <f>IF(D2302="","",INDEX(Knutepunkter!$B:$B,D2302+1))</f>
        <v/>
      </c>
      <c r="G2302" t="str">
        <f>IF(D2302="","",INDEX(Knutepunkter!$C:$C,D2302+1))</f>
        <v/>
      </c>
      <c r="H2302" t="str">
        <f>IF(D2302="","",INDEX(Knutepunkter!$D:$D,D2302+1))</f>
        <v/>
      </c>
      <c r="I2302" t="str">
        <f>IF(E2302="","",INDEX(Knutepunkter!$B:$B,E2302+1))</f>
        <v/>
      </c>
      <c r="J2302" t="str">
        <f>IF(E2302="","",INDEX(Knutepunkter!$C:$C,E2302+1))</f>
        <v/>
      </c>
      <c r="K2302" t="str">
        <f>IF(E2302="","",INDEX(Knutepunkter!$D:$D,E2302+1))</f>
        <v/>
      </c>
      <c r="L2302" t="str">
        <f t="shared" si="178"/>
        <v/>
      </c>
      <c r="M2302" t="str">
        <f t="shared" si="179"/>
        <v/>
      </c>
    </row>
    <row r="2303" spans="1:13" x14ac:dyDescent="0.3">
      <c r="A2303" t="str">
        <f>Segmenter!A2303</f>
        <v/>
      </c>
      <c r="B2303" t="str">
        <f>Segmenter!B2303</f>
        <v/>
      </c>
      <c r="C2303" t="str">
        <f t="shared" si="175"/>
        <v/>
      </c>
      <c r="D2303" t="str">
        <f t="shared" si="176"/>
        <v/>
      </c>
      <c r="E2303" t="str">
        <f t="shared" si="177"/>
        <v/>
      </c>
      <c r="F2303" t="str">
        <f>IF(D2303="","",INDEX(Knutepunkter!$B:$B,D2303+1))</f>
        <v/>
      </c>
      <c r="G2303" t="str">
        <f>IF(D2303="","",INDEX(Knutepunkter!$C:$C,D2303+1))</f>
        <v/>
      </c>
      <c r="H2303" t="str">
        <f>IF(D2303="","",INDEX(Knutepunkter!$D:$D,D2303+1))</f>
        <v/>
      </c>
      <c r="I2303" t="str">
        <f>IF(E2303="","",INDEX(Knutepunkter!$B:$B,E2303+1))</f>
        <v/>
      </c>
      <c r="J2303" t="str">
        <f>IF(E2303="","",INDEX(Knutepunkter!$C:$C,E2303+1))</f>
        <v/>
      </c>
      <c r="K2303" t="str">
        <f>IF(E2303="","",INDEX(Knutepunkter!$D:$D,E2303+1))</f>
        <v/>
      </c>
      <c r="L2303" t="str">
        <f t="shared" si="178"/>
        <v/>
      </c>
      <c r="M2303" t="str">
        <f t="shared" si="179"/>
        <v/>
      </c>
    </row>
    <row r="2304" spans="1:13" x14ac:dyDescent="0.3">
      <c r="A2304" t="str">
        <f>Segmenter!A2304</f>
        <v/>
      </c>
      <c r="B2304" t="str">
        <f>Segmenter!B2304</f>
        <v/>
      </c>
      <c r="C2304" t="str">
        <f t="shared" si="175"/>
        <v/>
      </c>
      <c r="D2304" t="str">
        <f t="shared" si="176"/>
        <v/>
      </c>
      <c r="E2304" t="str">
        <f t="shared" si="177"/>
        <v/>
      </c>
      <c r="F2304" t="str">
        <f>IF(D2304="","",INDEX(Knutepunkter!$B:$B,D2304+1))</f>
        <v/>
      </c>
      <c r="G2304" t="str">
        <f>IF(D2304="","",INDEX(Knutepunkter!$C:$C,D2304+1))</f>
        <v/>
      </c>
      <c r="H2304" t="str">
        <f>IF(D2304="","",INDEX(Knutepunkter!$D:$D,D2304+1))</f>
        <v/>
      </c>
      <c r="I2304" t="str">
        <f>IF(E2304="","",INDEX(Knutepunkter!$B:$B,E2304+1))</f>
        <v/>
      </c>
      <c r="J2304" t="str">
        <f>IF(E2304="","",INDEX(Knutepunkter!$C:$C,E2304+1))</f>
        <v/>
      </c>
      <c r="K2304" t="str">
        <f>IF(E2304="","",INDEX(Knutepunkter!$D:$D,E2304+1))</f>
        <v/>
      </c>
      <c r="L2304" t="str">
        <f t="shared" si="178"/>
        <v/>
      </c>
      <c r="M2304" t="str">
        <f t="shared" si="179"/>
        <v/>
      </c>
    </row>
    <row r="2305" spans="1:13" x14ac:dyDescent="0.3">
      <c r="A2305" t="str">
        <f>Segmenter!A2305</f>
        <v/>
      </c>
      <c r="B2305" t="str">
        <f>Segmenter!B2305</f>
        <v/>
      </c>
      <c r="C2305" t="str">
        <f t="shared" si="175"/>
        <v/>
      </c>
      <c r="D2305" t="str">
        <f t="shared" si="176"/>
        <v/>
      </c>
      <c r="E2305" t="str">
        <f t="shared" si="177"/>
        <v/>
      </c>
      <c r="F2305" t="str">
        <f>IF(D2305="","",INDEX(Knutepunkter!$B:$B,D2305+1))</f>
        <v/>
      </c>
      <c r="G2305" t="str">
        <f>IF(D2305="","",INDEX(Knutepunkter!$C:$C,D2305+1))</f>
        <v/>
      </c>
      <c r="H2305" t="str">
        <f>IF(D2305="","",INDEX(Knutepunkter!$D:$D,D2305+1))</f>
        <v/>
      </c>
      <c r="I2305" t="str">
        <f>IF(E2305="","",INDEX(Knutepunkter!$B:$B,E2305+1))</f>
        <v/>
      </c>
      <c r="J2305" t="str">
        <f>IF(E2305="","",INDEX(Knutepunkter!$C:$C,E2305+1))</f>
        <v/>
      </c>
      <c r="K2305" t="str">
        <f>IF(E2305="","",INDEX(Knutepunkter!$D:$D,E2305+1))</f>
        <v/>
      </c>
      <c r="L2305" t="str">
        <f t="shared" si="178"/>
        <v/>
      </c>
      <c r="M2305" t="str">
        <f t="shared" si="179"/>
        <v/>
      </c>
    </row>
    <row r="2306" spans="1:13" x14ac:dyDescent="0.3">
      <c r="A2306" t="str">
        <f>Segmenter!A2306</f>
        <v/>
      </c>
      <c r="B2306" t="str">
        <f>Segmenter!B2306</f>
        <v/>
      </c>
      <c r="C2306" t="str">
        <f t="shared" ref="C2306:C2369" si="180">IF(B2306="","",IF(AND(F2306=I2306,G2306=J2306,H2306&lt;&gt;K2306),"Søyle","Bjelke"))</f>
        <v/>
      </c>
      <c r="D2306" t="str">
        <f t="shared" ref="D2306:D2369" si="181">IF(B2306="","",VALUE(LEFT(B2306,FIND(" -&gt; ",B2306)-1)))</f>
        <v/>
      </c>
      <c r="E2306" t="str">
        <f t="shared" ref="E2306:E2369" si="182">IF(B2306="","",VALUE(MID(B2306,FIND(" -&gt; ",B2306)+4,99)))</f>
        <v/>
      </c>
      <c r="F2306" t="str">
        <f>IF(D2306="","",INDEX(Knutepunkter!$B:$B,D2306+1))</f>
        <v/>
      </c>
      <c r="G2306" t="str">
        <f>IF(D2306="","",INDEX(Knutepunkter!$C:$C,D2306+1))</f>
        <v/>
      </c>
      <c r="H2306" t="str">
        <f>IF(D2306="","",INDEX(Knutepunkter!$D:$D,D2306+1))</f>
        <v/>
      </c>
      <c r="I2306" t="str">
        <f>IF(E2306="","",INDEX(Knutepunkter!$B:$B,E2306+1))</f>
        <v/>
      </c>
      <c r="J2306" t="str">
        <f>IF(E2306="","",INDEX(Knutepunkter!$C:$C,E2306+1))</f>
        <v/>
      </c>
      <c r="K2306" t="str">
        <f>IF(E2306="","",INDEX(Knutepunkter!$D:$D,E2306+1))</f>
        <v/>
      </c>
      <c r="L2306" t="str">
        <f t="shared" ref="L2306:L2369" si="183">IF(B2306="","",SQRT((I2306-F2306)^2+(J2306-G2306)^2+(K2306-H2306)^2))</f>
        <v/>
      </c>
      <c r="M2306" t="str">
        <f t="shared" ref="M2306:M2369" si="184">IF(L2306="","",L2306/1000)</f>
        <v/>
      </c>
    </row>
    <row r="2307" spans="1:13" x14ac:dyDescent="0.3">
      <c r="A2307" t="str">
        <f>Segmenter!A2307</f>
        <v/>
      </c>
      <c r="B2307" t="str">
        <f>Segmenter!B2307</f>
        <v/>
      </c>
      <c r="C2307" t="str">
        <f t="shared" si="180"/>
        <v/>
      </c>
      <c r="D2307" t="str">
        <f t="shared" si="181"/>
        <v/>
      </c>
      <c r="E2307" t="str">
        <f t="shared" si="182"/>
        <v/>
      </c>
      <c r="F2307" t="str">
        <f>IF(D2307="","",INDEX(Knutepunkter!$B:$B,D2307+1))</f>
        <v/>
      </c>
      <c r="G2307" t="str">
        <f>IF(D2307="","",INDEX(Knutepunkter!$C:$C,D2307+1))</f>
        <v/>
      </c>
      <c r="H2307" t="str">
        <f>IF(D2307="","",INDEX(Knutepunkter!$D:$D,D2307+1))</f>
        <v/>
      </c>
      <c r="I2307" t="str">
        <f>IF(E2307="","",INDEX(Knutepunkter!$B:$B,E2307+1))</f>
        <v/>
      </c>
      <c r="J2307" t="str">
        <f>IF(E2307="","",INDEX(Knutepunkter!$C:$C,E2307+1))</f>
        <v/>
      </c>
      <c r="K2307" t="str">
        <f>IF(E2307="","",INDEX(Knutepunkter!$D:$D,E2307+1))</f>
        <v/>
      </c>
      <c r="L2307" t="str">
        <f t="shared" si="183"/>
        <v/>
      </c>
      <c r="M2307" t="str">
        <f t="shared" si="184"/>
        <v/>
      </c>
    </row>
    <row r="2308" spans="1:13" x14ac:dyDescent="0.3">
      <c r="A2308" t="str">
        <f>Segmenter!A2308</f>
        <v/>
      </c>
      <c r="B2308" t="str">
        <f>Segmenter!B2308</f>
        <v/>
      </c>
      <c r="C2308" t="str">
        <f t="shared" si="180"/>
        <v/>
      </c>
      <c r="D2308" t="str">
        <f t="shared" si="181"/>
        <v/>
      </c>
      <c r="E2308" t="str">
        <f t="shared" si="182"/>
        <v/>
      </c>
      <c r="F2308" t="str">
        <f>IF(D2308="","",INDEX(Knutepunkter!$B:$B,D2308+1))</f>
        <v/>
      </c>
      <c r="G2308" t="str">
        <f>IF(D2308="","",INDEX(Knutepunkter!$C:$C,D2308+1))</f>
        <v/>
      </c>
      <c r="H2308" t="str">
        <f>IF(D2308="","",INDEX(Knutepunkter!$D:$D,D2308+1))</f>
        <v/>
      </c>
      <c r="I2308" t="str">
        <f>IF(E2308="","",INDEX(Knutepunkter!$B:$B,E2308+1))</f>
        <v/>
      </c>
      <c r="J2308" t="str">
        <f>IF(E2308="","",INDEX(Knutepunkter!$C:$C,E2308+1))</f>
        <v/>
      </c>
      <c r="K2308" t="str">
        <f>IF(E2308="","",INDEX(Knutepunkter!$D:$D,E2308+1))</f>
        <v/>
      </c>
      <c r="L2308" t="str">
        <f t="shared" si="183"/>
        <v/>
      </c>
      <c r="M2308" t="str">
        <f t="shared" si="184"/>
        <v/>
      </c>
    </row>
    <row r="2309" spans="1:13" x14ac:dyDescent="0.3">
      <c r="A2309" t="str">
        <f>Segmenter!A2309</f>
        <v/>
      </c>
      <c r="B2309" t="str">
        <f>Segmenter!B2309</f>
        <v/>
      </c>
      <c r="C2309" t="str">
        <f t="shared" si="180"/>
        <v/>
      </c>
      <c r="D2309" t="str">
        <f t="shared" si="181"/>
        <v/>
      </c>
      <c r="E2309" t="str">
        <f t="shared" si="182"/>
        <v/>
      </c>
      <c r="F2309" t="str">
        <f>IF(D2309="","",INDEX(Knutepunkter!$B:$B,D2309+1))</f>
        <v/>
      </c>
      <c r="G2309" t="str">
        <f>IF(D2309="","",INDEX(Knutepunkter!$C:$C,D2309+1))</f>
        <v/>
      </c>
      <c r="H2309" t="str">
        <f>IF(D2309="","",INDEX(Knutepunkter!$D:$D,D2309+1))</f>
        <v/>
      </c>
      <c r="I2309" t="str">
        <f>IF(E2309="","",INDEX(Knutepunkter!$B:$B,E2309+1))</f>
        <v/>
      </c>
      <c r="J2309" t="str">
        <f>IF(E2309="","",INDEX(Knutepunkter!$C:$C,E2309+1))</f>
        <v/>
      </c>
      <c r="K2309" t="str">
        <f>IF(E2309="","",INDEX(Knutepunkter!$D:$D,E2309+1))</f>
        <v/>
      </c>
      <c r="L2309" t="str">
        <f t="shared" si="183"/>
        <v/>
      </c>
      <c r="M2309" t="str">
        <f t="shared" si="184"/>
        <v/>
      </c>
    </row>
    <row r="2310" spans="1:13" x14ac:dyDescent="0.3">
      <c r="A2310" t="str">
        <f>Segmenter!A2310</f>
        <v/>
      </c>
      <c r="B2310" t="str">
        <f>Segmenter!B2310</f>
        <v/>
      </c>
      <c r="C2310" t="str">
        <f t="shared" si="180"/>
        <v/>
      </c>
      <c r="D2310" t="str">
        <f t="shared" si="181"/>
        <v/>
      </c>
      <c r="E2310" t="str">
        <f t="shared" si="182"/>
        <v/>
      </c>
      <c r="F2310" t="str">
        <f>IF(D2310="","",INDEX(Knutepunkter!$B:$B,D2310+1))</f>
        <v/>
      </c>
      <c r="G2310" t="str">
        <f>IF(D2310="","",INDEX(Knutepunkter!$C:$C,D2310+1))</f>
        <v/>
      </c>
      <c r="H2310" t="str">
        <f>IF(D2310="","",INDEX(Knutepunkter!$D:$D,D2310+1))</f>
        <v/>
      </c>
      <c r="I2310" t="str">
        <f>IF(E2310="","",INDEX(Knutepunkter!$B:$B,E2310+1))</f>
        <v/>
      </c>
      <c r="J2310" t="str">
        <f>IF(E2310="","",INDEX(Knutepunkter!$C:$C,E2310+1))</f>
        <v/>
      </c>
      <c r="K2310" t="str">
        <f>IF(E2310="","",INDEX(Knutepunkter!$D:$D,E2310+1))</f>
        <v/>
      </c>
      <c r="L2310" t="str">
        <f t="shared" si="183"/>
        <v/>
      </c>
      <c r="M2310" t="str">
        <f t="shared" si="184"/>
        <v/>
      </c>
    </row>
    <row r="2311" spans="1:13" x14ac:dyDescent="0.3">
      <c r="A2311" t="str">
        <f>Segmenter!A2311</f>
        <v/>
      </c>
      <c r="B2311" t="str">
        <f>Segmenter!B2311</f>
        <v/>
      </c>
      <c r="C2311" t="str">
        <f t="shared" si="180"/>
        <v/>
      </c>
      <c r="D2311" t="str">
        <f t="shared" si="181"/>
        <v/>
      </c>
      <c r="E2311" t="str">
        <f t="shared" si="182"/>
        <v/>
      </c>
      <c r="F2311" t="str">
        <f>IF(D2311="","",INDEX(Knutepunkter!$B:$B,D2311+1))</f>
        <v/>
      </c>
      <c r="G2311" t="str">
        <f>IF(D2311="","",INDEX(Knutepunkter!$C:$C,D2311+1))</f>
        <v/>
      </c>
      <c r="H2311" t="str">
        <f>IF(D2311="","",INDEX(Knutepunkter!$D:$D,D2311+1))</f>
        <v/>
      </c>
      <c r="I2311" t="str">
        <f>IF(E2311="","",INDEX(Knutepunkter!$B:$B,E2311+1))</f>
        <v/>
      </c>
      <c r="J2311" t="str">
        <f>IF(E2311="","",INDEX(Knutepunkter!$C:$C,E2311+1))</f>
        <v/>
      </c>
      <c r="K2311" t="str">
        <f>IF(E2311="","",INDEX(Knutepunkter!$D:$D,E2311+1))</f>
        <v/>
      </c>
      <c r="L2311" t="str">
        <f t="shared" si="183"/>
        <v/>
      </c>
      <c r="M2311" t="str">
        <f t="shared" si="184"/>
        <v/>
      </c>
    </row>
    <row r="2312" spans="1:13" x14ac:dyDescent="0.3">
      <c r="A2312" t="str">
        <f>Segmenter!A2312</f>
        <v>S2311</v>
      </c>
      <c r="B2312" t="str">
        <f>Segmenter!B2312</f>
        <v>2 -&gt; 13</v>
      </c>
      <c r="C2312" t="str">
        <f t="shared" si="180"/>
        <v>Bjelke</v>
      </c>
      <c r="D2312">
        <f t="shared" si="181"/>
        <v>2</v>
      </c>
      <c r="E2312">
        <f t="shared" si="182"/>
        <v>13</v>
      </c>
      <c r="F2312">
        <f>IF(D2312="","",INDEX(Knutepunkter!$B:$B,D2312+1))</f>
        <v>354</v>
      </c>
      <c r="G2312">
        <f>IF(D2312="","",INDEX(Knutepunkter!$C:$C,D2312+1))</f>
        <v>0</v>
      </c>
      <c r="H2312">
        <f>IF(D2312="","",INDEX(Knutepunkter!$D:$D,D2312+1))</f>
        <v>3000</v>
      </c>
      <c r="I2312">
        <f>IF(E2312="","",INDEX(Knutepunkter!$B:$B,E2312+1))</f>
        <v>354</v>
      </c>
      <c r="J2312">
        <f>IF(E2312="","",INDEX(Knutepunkter!$C:$C,E2312+1))</f>
        <v>8000</v>
      </c>
      <c r="K2312">
        <f>IF(E2312="","",INDEX(Knutepunkter!$D:$D,E2312+1))</f>
        <v>3000</v>
      </c>
      <c r="L2312">
        <f t="shared" si="183"/>
        <v>8000</v>
      </c>
      <c r="M2312">
        <f t="shared" si="184"/>
        <v>8</v>
      </c>
    </row>
    <row r="2313" spans="1:13" x14ac:dyDescent="0.3">
      <c r="A2313" t="str">
        <f>Segmenter!A2313</f>
        <v>S2312</v>
      </c>
      <c r="B2313" t="str">
        <f>Segmenter!B2313</f>
        <v>3 -&gt; 14</v>
      </c>
      <c r="C2313" t="str">
        <f t="shared" si="180"/>
        <v>Bjelke</v>
      </c>
      <c r="D2313">
        <f t="shared" si="181"/>
        <v>3</v>
      </c>
      <c r="E2313">
        <f t="shared" si="182"/>
        <v>14</v>
      </c>
      <c r="F2313">
        <f>IF(D2313="","",INDEX(Knutepunkter!$B:$B,D2313+1))</f>
        <v>354</v>
      </c>
      <c r="G2313">
        <f>IF(D2313="","",INDEX(Knutepunkter!$C:$C,D2313+1))</f>
        <v>0</v>
      </c>
      <c r="H2313">
        <f>IF(D2313="","",INDEX(Knutepunkter!$D:$D,D2313+1))</f>
        <v>6000</v>
      </c>
      <c r="I2313">
        <f>IF(E2313="","",INDEX(Knutepunkter!$B:$B,E2313+1))</f>
        <v>354</v>
      </c>
      <c r="J2313">
        <f>IF(E2313="","",INDEX(Knutepunkter!$C:$C,E2313+1))</f>
        <v>8000</v>
      </c>
      <c r="K2313">
        <f>IF(E2313="","",INDEX(Knutepunkter!$D:$D,E2313+1))</f>
        <v>6000</v>
      </c>
      <c r="L2313">
        <f t="shared" si="183"/>
        <v>8000</v>
      </c>
      <c r="M2313">
        <f t="shared" si="184"/>
        <v>8</v>
      </c>
    </row>
    <row r="2314" spans="1:13" x14ac:dyDescent="0.3">
      <c r="A2314" t="str">
        <f>Segmenter!A2314</f>
        <v>S2313</v>
      </c>
      <c r="B2314" t="str">
        <f>Segmenter!B2314</f>
        <v>4 -&gt; 15</v>
      </c>
      <c r="C2314" t="str">
        <f t="shared" si="180"/>
        <v>Bjelke</v>
      </c>
      <c r="D2314">
        <f t="shared" si="181"/>
        <v>4</v>
      </c>
      <c r="E2314">
        <f t="shared" si="182"/>
        <v>15</v>
      </c>
      <c r="F2314">
        <f>IF(D2314="","",INDEX(Knutepunkter!$B:$B,D2314+1))</f>
        <v>354</v>
      </c>
      <c r="G2314">
        <f>IF(D2314="","",INDEX(Knutepunkter!$C:$C,D2314+1))</f>
        <v>0</v>
      </c>
      <c r="H2314">
        <f>IF(D2314="","",INDEX(Knutepunkter!$D:$D,D2314+1))</f>
        <v>9000</v>
      </c>
      <c r="I2314">
        <f>IF(E2314="","",INDEX(Knutepunkter!$B:$B,E2314+1))</f>
        <v>354</v>
      </c>
      <c r="J2314">
        <f>IF(E2314="","",INDEX(Knutepunkter!$C:$C,E2314+1))</f>
        <v>8000</v>
      </c>
      <c r="K2314">
        <f>IF(E2314="","",INDEX(Knutepunkter!$D:$D,E2314+1))</f>
        <v>9000</v>
      </c>
      <c r="L2314">
        <f t="shared" si="183"/>
        <v>8000</v>
      </c>
      <c r="M2314">
        <f t="shared" si="184"/>
        <v>8</v>
      </c>
    </row>
    <row r="2315" spans="1:13" x14ac:dyDescent="0.3">
      <c r="A2315" t="str">
        <f>Segmenter!A2315</f>
        <v>S2314</v>
      </c>
      <c r="B2315" t="str">
        <f>Segmenter!B2315</f>
        <v>5 -&gt; 16</v>
      </c>
      <c r="C2315" t="str">
        <f t="shared" si="180"/>
        <v>Bjelke</v>
      </c>
      <c r="D2315">
        <f t="shared" si="181"/>
        <v>5</v>
      </c>
      <c r="E2315">
        <f t="shared" si="182"/>
        <v>16</v>
      </c>
      <c r="F2315">
        <f>IF(D2315="","",INDEX(Knutepunkter!$B:$B,D2315+1))</f>
        <v>354</v>
      </c>
      <c r="G2315">
        <f>IF(D2315="","",INDEX(Knutepunkter!$C:$C,D2315+1))</f>
        <v>0</v>
      </c>
      <c r="H2315">
        <f>IF(D2315="","",INDEX(Knutepunkter!$D:$D,D2315+1))</f>
        <v>12000</v>
      </c>
      <c r="I2315">
        <f>IF(E2315="","",INDEX(Knutepunkter!$B:$B,E2315+1))</f>
        <v>354</v>
      </c>
      <c r="J2315">
        <f>IF(E2315="","",INDEX(Knutepunkter!$C:$C,E2315+1))</f>
        <v>8000</v>
      </c>
      <c r="K2315">
        <f>IF(E2315="","",INDEX(Knutepunkter!$D:$D,E2315+1))</f>
        <v>12000</v>
      </c>
      <c r="L2315">
        <f t="shared" si="183"/>
        <v>8000</v>
      </c>
      <c r="M2315">
        <f t="shared" si="184"/>
        <v>8</v>
      </c>
    </row>
    <row r="2316" spans="1:13" x14ac:dyDescent="0.3">
      <c r="A2316" t="str">
        <f>Segmenter!A2316</f>
        <v>S2315</v>
      </c>
      <c r="B2316" t="str">
        <f>Segmenter!B2316</f>
        <v>6 -&gt; 17</v>
      </c>
      <c r="C2316" t="str">
        <f t="shared" si="180"/>
        <v>Bjelke</v>
      </c>
      <c r="D2316">
        <f t="shared" si="181"/>
        <v>6</v>
      </c>
      <c r="E2316">
        <f t="shared" si="182"/>
        <v>17</v>
      </c>
      <c r="F2316">
        <f>IF(D2316="","",INDEX(Knutepunkter!$B:$B,D2316+1))</f>
        <v>354</v>
      </c>
      <c r="G2316">
        <f>IF(D2316="","",INDEX(Knutepunkter!$C:$C,D2316+1))</f>
        <v>0</v>
      </c>
      <c r="H2316">
        <f>IF(D2316="","",INDEX(Knutepunkter!$D:$D,D2316+1))</f>
        <v>15000</v>
      </c>
      <c r="I2316">
        <f>IF(E2316="","",INDEX(Knutepunkter!$B:$B,E2316+1))</f>
        <v>354</v>
      </c>
      <c r="J2316">
        <f>IF(E2316="","",INDEX(Knutepunkter!$C:$C,E2316+1))</f>
        <v>8000</v>
      </c>
      <c r="K2316">
        <f>IF(E2316="","",INDEX(Knutepunkter!$D:$D,E2316+1))</f>
        <v>15000</v>
      </c>
      <c r="L2316">
        <f t="shared" si="183"/>
        <v>8000</v>
      </c>
      <c r="M2316">
        <f t="shared" si="184"/>
        <v>8</v>
      </c>
    </row>
    <row r="2317" spans="1:13" x14ac:dyDescent="0.3">
      <c r="A2317" t="str">
        <f>Segmenter!A2317</f>
        <v>S2316</v>
      </c>
      <c r="B2317" t="str">
        <f>Segmenter!B2317</f>
        <v>7 -&gt; 18</v>
      </c>
      <c r="C2317" t="str">
        <f t="shared" si="180"/>
        <v>Bjelke</v>
      </c>
      <c r="D2317">
        <f t="shared" si="181"/>
        <v>7</v>
      </c>
      <c r="E2317">
        <f t="shared" si="182"/>
        <v>18</v>
      </c>
      <c r="F2317">
        <f>IF(D2317="","",INDEX(Knutepunkter!$B:$B,D2317+1))</f>
        <v>354</v>
      </c>
      <c r="G2317">
        <f>IF(D2317="","",INDEX(Knutepunkter!$C:$C,D2317+1))</f>
        <v>0</v>
      </c>
      <c r="H2317">
        <f>IF(D2317="","",INDEX(Knutepunkter!$D:$D,D2317+1))</f>
        <v>18000</v>
      </c>
      <c r="I2317">
        <f>IF(E2317="","",INDEX(Knutepunkter!$B:$B,E2317+1))</f>
        <v>354</v>
      </c>
      <c r="J2317">
        <f>IF(E2317="","",INDEX(Knutepunkter!$C:$C,E2317+1))</f>
        <v>8000</v>
      </c>
      <c r="K2317">
        <f>IF(E2317="","",INDEX(Knutepunkter!$D:$D,E2317+1))</f>
        <v>18000</v>
      </c>
      <c r="L2317">
        <f t="shared" si="183"/>
        <v>8000</v>
      </c>
      <c r="M2317">
        <f t="shared" si="184"/>
        <v>8</v>
      </c>
    </row>
    <row r="2318" spans="1:13" x14ac:dyDescent="0.3">
      <c r="A2318" t="str">
        <f>Segmenter!A2318</f>
        <v/>
      </c>
      <c r="B2318" t="str">
        <f>Segmenter!B2318</f>
        <v/>
      </c>
      <c r="C2318" t="str">
        <f t="shared" si="180"/>
        <v/>
      </c>
      <c r="D2318" t="str">
        <f t="shared" si="181"/>
        <v/>
      </c>
      <c r="E2318" t="str">
        <f t="shared" si="182"/>
        <v/>
      </c>
      <c r="F2318" t="str">
        <f>IF(D2318="","",INDEX(Knutepunkter!$B:$B,D2318+1))</f>
        <v/>
      </c>
      <c r="G2318" t="str">
        <f>IF(D2318="","",INDEX(Knutepunkter!$C:$C,D2318+1))</f>
        <v/>
      </c>
      <c r="H2318" t="str">
        <f>IF(D2318="","",INDEX(Knutepunkter!$D:$D,D2318+1))</f>
        <v/>
      </c>
      <c r="I2318" t="str">
        <f>IF(E2318="","",INDEX(Knutepunkter!$B:$B,E2318+1))</f>
        <v/>
      </c>
      <c r="J2318" t="str">
        <f>IF(E2318="","",INDEX(Knutepunkter!$C:$C,E2318+1))</f>
        <v/>
      </c>
      <c r="K2318" t="str">
        <f>IF(E2318="","",INDEX(Knutepunkter!$D:$D,E2318+1))</f>
        <v/>
      </c>
      <c r="L2318" t="str">
        <f t="shared" si="183"/>
        <v/>
      </c>
      <c r="M2318" t="str">
        <f t="shared" si="184"/>
        <v/>
      </c>
    </row>
    <row r="2319" spans="1:13" x14ac:dyDescent="0.3">
      <c r="A2319" t="str">
        <f>Segmenter!A2319</f>
        <v/>
      </c>
      <c r="B2319" t="str">
        <f>Segmenter!B2319</f>
        <v/>
      </c>
      <c r="C2319" t="str">
        <f t="shared" si="180"/>
        <v/>
      </c>
      <c r="D2319" t="str">
        <f t="shared" si="181"/>
        <v/>
      </c>
      <c r="E2319" t="str">
        <f t="shared" si="182"/>
        <v/>
      </c>
      <c r="F2319" t="str">
        <f>IF(D2319="","",INDEX(Knutepunkter!$B:$B,D2319+1))</f>
        <v/>
      </c>
      <c r="G2319" t="str">
        <f>IF(D2319="","",INDEX(Knutepunkter!$C:$C,D2319+1))</f>
        <v/>
      </c>
      <c r="H2319" t="str">
        <f>IF(D2319="","",INDEX(Knutepunkter!$D:$D,D2319+1))</f>
        <v/>
      </c>
      <c r="I2319" t="str">
        <f>IF(E2319="","",INDEX(Knutepunkter!$B:$B,E2319+1))</f>
        <v/>
      </c>
      <c r="J2319" t="str">
        <f>IF(E2319="","",INDEX(Knutepunkter!$C:$C,E2319+1))</f>
        <v/>
      </c>
      <c r="K2319" t="str">
        <f>IF(E2319="","",INDEX(Knutepunkter!$D:$D,E2319+1))</f>
        <v/>
      </c>
      <c r="L2319" t="str">
        <f t="shared" si="183"/>
        <v/>
      </c>
      <c r="M2319" t="str">
        <f t="shared" si="184"/>
        <v/>
      </c>
    </row>
    <row r="2320" spans="1:13" x14ac:dyDescent="0.3">
      <c r="A2320" t="str">
        <f>Segmenter!A2320</f>
        <v/>
      </c>
      <c r="B2320" t="str">
        <f>Segmenter!B2320</f>
        <v/>
      </c>
      <c r="C2320" t="str">
        <f t="shared" si="180"/>
        <v/>
      </c>
      <c r="D2320" t="str">
        <f t="shared" si="181"/>
        <v/>
      </c>
      <c r="E2320" t="str">
        <f t="shared" si="182"/>
        <v/>
      </c>
      <c r="F2320" t="str">
        <f>IF(D2320="","",INDEX(Knutepunkter!$B:$B,D2320+1))</f>
        <v/>
      </c>
      <c r="G2320" t="str">
        <f>IF(D2320="","",INDEX(Knutepunkter!$C:$C,D2320+1))</f>
        <v/>
      </c>
      <c r="H2320" t="str">
        <f>IF(D2320="","",INDEX(Knutepunkter!$D:$D,D2320+1))</f>
        <v/>
      </c>
      <c r="I2320" t="str">
        <f>IF(E2320="","",INDEX(Knutepunkter!$B:$B,E2320+1))</f>
        <v/>
      </c>
      <c r="J2320" t="str">
        <f>IF(E2320="","",INDEX(Knutepunkter!$C:$C,E2320+1))</f>
        <v/>
      </c>
      <c r="K2320" t="str">
        <f>IF(E2320="","",INDEX(Knutepunkter!$D:$D,E2320+1))</f>
        <v/>
      </c>
      <c r="L2320" t="str">
        <f t="shared" si="183"/>
        <v/>
      </c>
      <c r="M2320" t="str">
        <f t="shared" si="184"/>
        <v/>
      </c>
    </row>
    <row r="2321" spans="1:13" x14ac:dyDescent="0.3">
      <c r="A2321" t="str">
        <f>Segmenter!A2321</f>
        <v/>
      </c>
      <c r="B2321" t="str">
        <f>Segmenter!B2321</f>
        <v/>
      </c>
      <c r="C2321" t="str">
        <f t="shared" si="180"/>
        <v/>
      </c>
      <c r="D2321" t="str">
        <f t="shared" si="181"/>
        <v/>
      </c>
      <c r="E2321" t="str">
        <f t="shared" si="182"/>
        <v/>
      </c>
      <c r="F2321" t="str">
        <f>IF(D2321="","",INDEX(Knutepunkter!$B:$B,D2321+1))</f>
        <v/>
      </c>
      <c r="G2321" t="str">
        <f>IF(D2321="","",INDEX(Knutepunkter!$C:$C,D2321+1))</f>
        <v/>
      </c>
      <c r="H2321" t="str">
        <f>IF(D2321="","",INDEX(Knutepunkter!$D:$D,D2321+1))</f>
        <v/>
      </c>
      <c r="I2321" t="str">
        <f>IF(E2321="","",INDEX(Knutepunkter!$B:$B,E2321+1))</f>
        <v/>
      </c>
      <c r="J2321" t="str">
        <f>IF(E2321="","",INDEX(Knutepunkter!$C:$C,E2321+1))</f>
        <v/>
      </c>
      <c r="K2321" t="str">
        <f>IF(E2321="","",INDEX(Knutepunkter!$D:$D,E2321+1))</f>
        <v/>
      </c>
      <c r="L2321" t="str">
        <f t="shared" si="183"/>
        <v/>
      </c>
      <c r="M2321" t="str">
        <f t="shared" si="184"/>
        <v/>
      </c>
    </row>
    <row r="2322" spans="1:13" x14ac:dyDescent="0.3">
      <c r="A2322" t="str">
        <f>Segmenter!A2322</f>
        <v>S2321</v>
      </c>
      <c r="B2322" t="str">
        <f>Segmenter!B2322</f>
        <v>13 -&gt; 24</v>
      </c>
      <c r="C2322" t="str">
        <f t="shared" si="180"/>
        <v>Bjelke</v>
      </c>
      <c r="D2322">
        <f t="shared" si="181"/>
        <v>13</v>
      </c>
      <c r="E2322">
        <f t="shared" si="182"/>
        <v>24</v>
      </c>
      <c r="F2322">
        <f>IF(D2322="","",INDEX(Knutepunkter!$B:$B,D2322+1))</f>
        <v>354</v>
      </c>
      <c r="G2322">
        <f>IF(D2322="","",INDEX(Knutepunkter!$C:$C,D2322+1))</f>
        <v>8000</v>
      </c>
      <c r="H2322">
        <f>IF(D2322="","",INDEX(Knutepunkter!$D:$D,D2322+1))</f>
        <v>3000</v>
      </c>
      <c r="I2322">
        <f>IF(E2322="","",INDEX(Knutepunkter!$B:$B,E2322+1))</f>
        <v>354</v>
      </c>
      <c r="J2322">
        <f>IF(E2322="","",INDEX(Knutepunkter!$C:$C,E2322+1))</f>
        <v>16000</v>
      </c>
      <c r="K2322">
        <f>IF(E2322="","",INDEX(Knutepunkter!$D:$D,E2322+1))</f>
        <v>3000</v>
      </c>
      <c r="L2322">
        <f t="shared" si="183"/>
        <v>8000</v>
      </c>
      <c r="M2322">
        <f t="shared" si="184"/>
        <v>8</v>
      </c>
    </row>
    <row r="2323" spans="1:13" x14ac:dyDescent="0.3">
      <c r="A2323" t="str">
        <f>Segmenter!A2323</f>
        <v>S2322</v>
      </c>
      <c r="B2323" t="str">
        <f>Segmenter!B2323</f>
        <v>14 -&gt; 25</v>
      </c>
      <c r="C2323" t="str">
        <f t="shared" si="180"/>
        <v>Bjelke</v>
      </c>
      <c r="D2323">
        <f t="shared" si="181"/>
        <v>14</v>
      </c>
      <c r="E2323">
        <f t="shared" si="182"/>
        <v>25</v>
      </c>
      <c r="F2323">
        <f>IF(D2323="","",INDEX(Knutepunkter!$B:$B,D2323+1))</f>
        <v>354</v>
      </c>
      <c r="G2323">
        <f>IF(D2323="","",INDEX(Knutepunkter!$C:$C,D2323+1))</f>
        <v>8000</v>
      </c>
      <c r="H2323">
        <f>IF(D2323="","",INDEX(Knutepunkter!$D:$D,D2323+1))</f>
        <v>6000</v>
      </c>
      <c r="I2323">
        <f>IF(E2323="","",INDEX(Knutepunkter!$B:$B,E2323+1))</f>
        <v>354</v>
      </c>
      <c r="J2323">
        <f>IF(E2323="","",INDEX(Knutepunkter!$C:$C,E2323+1))</f>
        <v>16000</v>
      </c>
      <c r="K2323">
        <f>IF(E2323="","",INDEX(Knutepunkter!$D:$D,E2323+1))</f>
        <v>6000</v>
      </c>
      <c r="L2323">
        <f t="shared" si="183"/>
        <v>8000</v>
      </c>
      <c r="M2323">
        <f t="shared" si="184"/>
        <v>8</v>
      </c>
    </row>
    <row r="2324" spans="1:13" x14ac:dyDescent="0.3">
      <c r="A2324" t="str">
        <f>Segmenter!A2324</f>
        <v>S2323</v>
      </c>
      <c r="B2324" t="str">
        <f>Segmenter!B2324</f>
        <v>15 -&gt; 26</v>
      </c>
      <c r="C2324" t="str">
        <f t="shared" si="180"/>
        <v>Bjelke</v>
      </c>
      <c r="D2324">
        <f t="shared" si="181"/>
        <v>15</v>
      </c>
      <c r="E2324">
        <f t="shared" si="182"/>
        <v>26</v>
      </c>
      <c r="F2324">
        <f>IF(D2324="","",INDEX(Knutepunkter!$B:$B,D2324+1))</f>
        <v>354</v>
      </c>
      <c r="G2324">
        <f>IF(D2324="","",INDEX(Knutepunkter!$C:$C,D2324+1))</f>
        <v>8000</v>
      </c>
      <c r="H2324">
        <f>IF(D2324="","",INDEX(Knutepunkter!$D:$D,D2324+1))</f>
        <v>9000</v>
      </c>
      <c r="I2324">
        <f>IF(E2324="","",INDEX(Knutepunkter!$B:$B,E2324+1))</f>
        <v>354</v>
      </c>
      <c r="J2324">
        <f>IF(E2324="","",INDEX(Knutepunkter!$C:$C,E2324+1))</f>
        <v>16000</v>
      </c>
      <c r="K2324">
        <f>IF(E2324="","",INDEX(Knutepunkter!$D:$D,E2324+1))</f>
        <v>9000</v>
      </c>
      <c r="L2324">
        <f t="shared" si="183"/>
        <v>8000</v>
      </c>
      <c r="M2324">
        <f t="shared" si="184"/>
        <v>8</v>
      </c>
    </row>
    <row r="2325" spans="1:13" x14ac:dyDescent="0.3">
      <c r="A2325" t="str">
        <f>Segmenter!A2325</f>
        <v>S2324</v>
      </c>
      <c r="B2325" t="str">
        <f>Segmenter!B2325</f>
        <v>16 -&gt; 27</v>
      </c>
      <c r="C2325" t="str">
        <f t="shared" si="180"/>
        <v>Bjelke</v>
      </c>
      <c r="D2325">
        <f t="shared" si="181"/>
        <v>16</v>
      </c>
      <c r="E2325">
        <f t="shared" si="182"/>
        <v>27</v>
      </c>
      <c r="F2325">
        <f>IF(D2325="","",INDEX(Knutepunkter!$B:$B,D2325+1))</f>
        <v>354</v>
      </c>
      <c r="G2325">
        <f>IF(D2325="","",INDEX(Knutepunkter!$C:$C,D2325+1))</f>
        <v>8000</v>
      </c>
      <c r="H2325">
        <f>IF(D2325="","",INDEX(Knutepunkter!$D:$D,D2325+1))</f>
        <v>12000</v>
      </c>
      <c r="I2325">
        <f>IF(E2325="","",INDEX(Knutepunkter!$B:$B,E2325+1))</f>
        <v>354</v>
      </c>
      <c r="J2325">
        <f>IF(E2325="","",INDEX(Knutepunkter!$C:$C,E2325+1))</f>
        <v>16000</v>
      </c>
      <c r="K2325">
        <f>IF(E2325="","",INDEX(Knutepunkter!$D:$D,E2325+1))</f>
        <v>12000</v>
      </c>
      <c r="L2325">
        <f t="shared" si="183"/>
        <v>8000</v>
      </c>
      <c r="M2325">
        <f t="shared" si="184"/>
        <v>8</v>
      </c>
    </row>
    <row r="2326" spans="1:13" x14ac:dyDescent="0.3">
      <c r="A2326" t="str">
        <f>Segmenter!A2326</f>
        <v>S2325</v>
      </c>
      <c r="B2326" t="str">
        <f>Segmenter!B2326</f>
        <v>17 -&gt; 28</v>
      </c>
      <c r="C2326" t="str">
        <f t="shared" si="180"/>
        <v>Bjelke</v>
      </c>
      <c r="D2326">
        <f t="shared" si="181"/>
        <v>17</v>
      </c>
      <c r="E2326">
        <f t="shared" si="182"/>
        <v>28</v>
      </c>
      <c r="F2326">
        <f>IF(D2326="","",INDEX(Knutepunkter!$B:$B,D2326+1))</f>
        <v>354</v>
      </c>
      <c r="G2326">
        <f>IF(D2326="","",INDEX(Knutepunkter!$C:$C,D2326+1))</f>
        <v>8000</v>
      </c>
      <c r="H2326">
        <f>IF(D2326="","",INDEX(Knutepunkter!$D:$D,D2326+1))</f>
        <v>15000</v>
      </c>
      <c r="I2326">
        <f>IF(E2326="","",INDEX(Knutepunkter!$B:$B,E2326+1))</f>
        <v>354</v>
      </c>
      <c r="J2326">
        <f>IF(E2326="","",INDEX(Knutepunkter!$C:$C,E2326+1))</f>
        <v>16000</v>
      </c>
      <c r="K2326">
        <f>IF(E2326="","",INDEX(Knutepunkter!$D:$D,E2326+1))</f>
        <v>15000</v>
      </c>
      <c r="L2326">
        <f t="shared" si="183"/>
        <v>8000</v>
      </c>
      <c r="M2326">
        <f t="shared" si="184"/>
        <v>8</v>
      </c>
    </row>
    <row r="2327" spans="1:13" x14ac:dyDescent="0.3">
      <c r="A2327" t="str">
        <f>Segmenter!A2327</f>
        <v>S2326</v>
      </c>
      <c r="B2327" t="str">
        <f>Segmenter!B2327</f>
        <v>18 -&gt; 29</v>
      </c>
      <c r="C2327" t="str">
        <f t="shared" si="180"/>
        <v>Bjelke</v>
      </c>
      <c r="D2327">
        <f t="shared" si="181"/>
        <v>18</v>
      </c>
      <c r="E2327">
        <f t="shared" si="182"/>
        <v>29</v>
      </c>
      <c r="F2327">
        <f>IF(D2327="","",INDEX(Knutepunkter!$B:$B,D2327+1))</f>
        <v>354</v>
      </c>
      <c r="G2327">
        <f>IF(D2327="","",INDEX(Knutepunkter!$C:$C,D2327+1))</f>
        <v>8000</v>
      </c>
      <c r="H2327">
        <f>IF(D2327="","",INDEX(Knutepunkter!$D:$D,D2327+1))</f>
        <v>18000</v>
      </c>
      <c r="I2327">
        <f>IF(E2327="","",INDEX(Knutepunkter!$B:$B,E2327+1))</f>
        <v>354</v>
      </c>
      <c r="J2327">
        <f>IF(E2327="","",INDEX(Knutepunkter!$C:$C,E2327+1))</f>
        <v>16000</v>
      </c>
      <c r="K2327">
        <f>IF(E2327="","",INDEX(Knutepunkter!$D:$D,E2327+1))</f>
        <v>18000</v>
      </c>
      <c r="L2327">
        <f t="shared" si="183"/>
        <v>8000</v>
      </c>
      <c r="M2327">
        <f t="shared" si="184"/>
        <v>8</v>
      </c>
    </row>
    <row r="2328" spans="1:13" x14ac:dyDescent="0.3">
      <c r="A2328" t="str">
        <f>Segmenter!A2328</f>
        <v/>
      </c>
      <c r="B2328" t="str">
        <f>Segmenter!B2328</f>
        <v/>
      </c>
      <c r="C2328" t="str">
        <f t="shared" si="180"/>
        <v/>
      </c>
      <c r="D2328" t="str">
        <f t="shared" si="181"/>
        <v/>
      </c>
      <c r="E2328" t="str">
        <f t="shared" si="182"/>
        <v/>
      </c>
      <c r="F2328" t="str">
        <f>IF(D2328="","",INDEX(Knutepunkter!$B:$B,D2328+1))</f>
        <v/>
      </c>
      <c r="G2328" t="str">
        <f>IF(D2328="","",INDEX(Knutepunkter!$C:$C,D2328+1))</f>
        <v/>
      </c>
      <c r="H2328" t="str">
        <f>IF(D2328="","",INDEX(Knutepunkter!$D:$D,D2328+1))</f>
        <v/>
      </c>
      <c r="I2328" t="str">
        <f>IF(E2328="","",INDEX(Knutepunkter!$B:$B,E2328+1))</f>
        <v/>
      </c>
      <c r="J2328" t="str">
        <f>IF(E2328="","",INDEX(Knutepunkter!$C:$C,E2328+1))</f>
        <v/>
      </c>
      <c r="K2328" t="str">
        <f>IF(E2328="","",INDEX(Knutepunkter!$D:$D,E2328+1))</f>
        <v/>
      </c>
      <c r="L2328" t="str">
        <f t="shared" si="183"/>
        <v/>
      </c>
      <c r="M2328" t="str">
        <f t="shared" si="184"/>
        <v/>
      </c>
    </row>
    <row r="2329" spans="1:13" x14ac:dyDescent="0.3">
      <c r="A2329" t="str">
        <f>Segmenter!A2329</f>
        <v/>
      </c>
      <c r="B2329" t="str">
        <f>Segmenter!B2329</f>
        <v/>
      </c>
      <c r="C2329" t="str">
        <f t="shared" si="180"/>
        <v/>
      </c>
      <c r="D2329" t="str">
        <f t="shared" si="181"/>
        <v/>
      </c>
      <c r="E2329" t="str">
        <f t="shared" si="182"/>
        <v/>
      </c>
      <c r="F2329" t="str">
        <f>IF(D2329="","",INDEX(Knutepunkter!$B:$B,D2329+1))</f>
        <v/>
      </c>
      <c r="G2329" t="str">
        <f>IF(D2329="","",INDEX(Knutepunkter!$C:$C,D2329+1))</f>
        <v/>
      </c>
      <c r="H2329" t="str">
        <f>IF(D2329="","",INDEX(Knutepunkter!$D:$D,D2329+1))</f>
        <v/>
      </c>
      <c r="I2329" t="str">
        <f>IF(E2329="","",INDEX(Knutepunkter!$B:$B,E2329+1))</f>
        <v/>
      </c>
      <c r="J2329" t="str">
        <f>IF(E2329="","",INDEX(Knutepunkter!$C:$C,E2329+1))</f>
        <v/>
      </c>
      <c r="K2329" t="str">
        <f>IF(E2329="","",INDEX(Knutepunkter!$D:$D,E2329+1))</f>
        <v/>
      </c>
      <c r="L2329" t="str">
        <f t="shared" si="183"/>
        <v/>
      </c>
      <c r="M2329" t="str">
        <f t="shared" si="184"/>
        <v/>
      </c>
    </row>
    <row r="2330" spans="1:13" x14ac:dyDescent="0.3">
      <c r="A2330" t="str">
        <f>Segmenter!A2330</f>
        <v/>
      </c>
      <c r="B2330" t="str">
        <f>Segmenter!B2330</f>
        <v/>
      </c>
      <c r="C2330" t="str">
        <f t="shared" si="180"/>
        <v/>
      </c>
      <c r="D2330" t="str">
        <f t="shared" si="181"/>
        <v/>
      </c>
      <c r="E2330" t="str">
        <f t="shared" si="182"/>
        <v/>
      </c>
      <c r="F2330" t="str">
        <f>IF(D2330="","",INDEX(Knutepunkter!$B:$B,D2330+1))</f>
        <v/>
      </c>
      <c r="G2330" t="str">
        <f>IF(D2330="","",INDEX(Knutepunkter!$C:$C,D2330+1))</f>
        <v/>
      </c>
      <c r="H2330" t="str">
        <f>IF(D2330="","",INDEX(Knutepunkter!$D:$D,D2330+1))</f>
        <v/>
      </c>
      <c r="I2330" t="str">
        <f>IF(E2330="","",INDEX(Knutepunkter!$B:$B,E2330+1))</f>
        <v/>
      </c>
      <c r="J2330" t="str">
        <f>IF(E2330="","",INDEX(Knutepunkter!$C:$C,E2330+1))</f>
        <v/>
      </c>
      <c r="K2330" t="str">
        <f>IF(E2330="","",INDEX(Knutepunkter!$D:$D,E2330+1))</f>
        <v/>
      </c>
      <c r="L2330" t="str">
        <f t="shared" si="183"/>
        <v/>
      </c>
      <c r="M2330" t="str">
        <f t="shared" si="184"/>
        <v/>
      </c>
    </row>
    <row r="2331" spans="1:13" x14ac:dyDescent="0.3">
      <c r="A2331" t="str">
        <f>Segmenter!A2331</f>
        <v/>
      </c>
      <c r="B2331" t="str">
        <f>Segmenter!B2331</f>
        <v/>
      </c>
      <c r="C2331" t="str">
        <f t="shared" si="180"/>
        <v/>
      </c>
      <c r="D2331" t="str">
        <f t="shared" si="181"/>
        <v/>
      </c>
      <c r="E2331" t="str">
        <f t="shared" si="182"/>
        <v/>
      </c>
      <c r="F2331" t="str">
        <f>IF(D2331="","",INDEX(Knutepunkter!$B:$B,D2331+1))</f>
        <v/>
      </c>
      <c r="G2331" t="str">
        <f>IF(D2331="","",INDEX(Knutepunkter!$C:$C,D2331+1))</f>
        <v/>
      </c>
      <c r="H2331" t="str">
        <f>IF(D2331="","",INDEX(Knutepunkter!$D:$D,D2331+1))</f>
        <v/>
      </c>
      <c r="I2331" t="str">
        <f>IF(E2331="","",INDEX(Knutepunkter!$B:$B,E2331+1))</f>
        <v/>
      </c>
      <c r="J2331" t="str">
        <f>IF(E2331="","",INDEX(Knutepunkter!$C:$C,E2331+1))</f>
        <v/>
      </c>
      <c r="K2331" t="str">
        <f>IF(E2331="","",INDEX(Knutepunkter!$D:$D,E2331+1))</f>
        <v/>
      </c>
      <c r="L2331" t="str">
        <f t="shared" si="183"/>
        <v/>
      </c>
      <c r="M2331" t="str">
        <f t="shared" si="184"/>
        <v/>
      </c>
    </row>
    <row r="2332" spans="1:13" x14ac:dyDescent="0.3">
      <c r="A2332" t="str">
        <f>Segmenter!A2332</f>
        <v>S2331</v>
      </c>
      <c r="B2332" t="str">
        <f>Segmenter!B2332</f>
        <v>24 -&gt; 35</v>
      </c>
      <c r="C2332" t="str">
        <f t="shared" si="180"/>
        <v>Bjelke</v>
      </c>
      <c r="D2332">
        <f t="shared" si="181"/>
        <v>24</v>
      </c>
      <c r="E2332">
        <f t="shared" si="182"/>
        <v>35</v>
      </c>
      <c r="F2332">
        <f>IF(D2332="","",INDEX(Knutepunkter!$B:$B,D2332+1))</f>
        <v>354</v>
      </c>
      <c r="G2332">
        <f>IF(D2332="","",INDEX(Knutepunkter!$C:$C,D2332+1))</f>
        <v>16000</v>
      </c>
      <c r="H2332">
        <f>IF(D2332="","",INDEX(Knutepunkter!$D:$D,D2332+1))</f>
        <v>3000</v>
      </c>
      <c r="I2332">
        <f>IF(E2332="","",INDEX(Knutepunkter!$B:$B,E2332+1))</f>
        <v>354</v>
      </c>
      <c r="J2332">
        <f>IF(E2332="","",INDEX(Knutepunkter!$C:$C,E2332+1))</f>
        <v>24000</v>
      </c>
      <c r="K2332">
        <f>IF(E2332="","",INDEX(Knutepunkter!$D:$D,E2332+1))</f>
        <v>3000</v>
      </c>
      <c r="L2332">
        <f t="shared" si="183"/>
        <v>8000</v>
      </c>
      <c r="M2332">
        <f t="shared" si="184"/>
        <v>8</v>
      </c>
    </row>
    <row r="2333" spans="1:13" x14ac:dyDescent="0.3">
      <c r="A2333" t="str">
        <f>Segmenter!A2333</f>
        <v>S2332</v>
      </c>
      <c r="B2333" t="str">
        <f>Segmenter!B2333</f>
        <v>25 -&gt; 36</v>
      </c>
      <c r="C2333" t="str">
        <f t="shared" si="180"/>
        <v>Bjelke</v>
      </c>
      <c r="D2333">
        <f t="shared" si="181"/>
        <v>25</v>
      </c>
      <c r="E2333">
        <f t="shared" si="182"/>
        <v>36</v>
      </c>
      <c r="F2333">
        <f>IF(D2333="","",INDEX(Knutepunkter!$B:$B,D2333+1))</f>
        <v>354</v>
      </c>
      <c r="G2333">
        <f>IF(D2333="","",INDEX(Knutepunkter!$C:$C,D2333+1))</f>
        <v>16000</v>
      </c>
      <c r="H2333">
        <f>IF(D2333="","",INDEX(Knutepunkter!$D:$D,D2333+1))</f>
        <v>6000</v>
      </c>
      <c r="I2333">
        <f>IF(E2333="","",INDEX(Knutepunkter!$B:$B,E2333+1))</f>
        <v>354</v>
      </c>
      <c r="J2333">
        <f>IF(E2333="","",INDEX(Knutepunkter!$C:$C,E2333+1))</f>
        <v>24000</v>
      </c>
      <c r="K2333">
        <f>IF(E2333="","",INDEX(Knutepunkter!$D:$D,E2333+1))</f>
        <v>6000</v>
      </c>
      <c r="L2333">
        <f t="shared" si="183"/>
        <v>8000</v>
      </c>
      <c r="M2333">
        <f t="shared" si="184"/>
        <v>8</v>
      </c>
    </row>
    <row r="2334" spans="1:13" x14ac:dyDescent="0.3">
      <c r="A2334" t="str">
        <f>Segmenter!A2334</f>
        <v>S2333</v>
      </c>
      <c r="B2334" t="str">
        <f>Segmenter!B2334</f>
        <v>26 -&gt; 37</v>
      </c>
      <c r="C2334" t="str">
        <f t="shared" si="180"/>
        <v>Bjelke</v>
      </c>
      <c r="D2334">
        <f t="shared" si="181"/>
        <v>26</v>
      </c>
      <c r="E2334">
        <f t="shared" si="182"/>
        <v>37</v>
      </c>
      <c r="F2334">
        <f>IF(D2334="","",INDEX(Knutepunkter!$B:$B,D2334+1))</f>
        <v>354</v>
      </c>
      <c r="G2334">
        <f>IF(D2334="","",INDEX(Knutepunkter!$C:$C,D2334+1))</f>
        <v>16000</v>
      </c>
      <c r="H2334">
        <f>IF(D2334="","",INDEX(Knutepunkter!$D:$D,D2334+1))</f>
        <v>9000</v>
      </c>
      <c r="I2334">
        <f>IF(E2334="","",INDEX(Knutepunkter!$B:$B,E2334+1))</f>
        <v>354</v>
      </c>
      <c r="J2334">
        <f>IF(E2334="","",INDEX(Knutepunkter!$C:$C,E2334+1))</f>
        <v>24000</v>
      </c>
      <c r="K2334">
        <f>IF(E2334="","",INDEX(Knutepunkter!$D:$D,E2334+1))</f>
        <v>9000</v>
      </c>
      <c r="L2334">
        <f t="shared" si="183"/>
        <v>8000</v>
      </c>
      <c r="M2334">
        <f t="shared" si="184"/>
        <v>8</v>
      </c>
    </row>
    <row r="2335" spans="1:13" x14ac:dyDescent="0.3">
      <c r="A2335" t="str">
        <f>Segmenter!A2335</f>
        <v>S2334</v>
      </c>
      <c r="B2335" t="str">
        <f>Segmenter!B2335</f>
        <v>27 -&gt; 38</v>
      </c>
      <c r="C2335" t="str">
        <f t="shared" si="180"/>
        <v>Bjelke</v>
      </c>
      <c r="D2335">
        <f t="shared" si="181"/>
        <v>27</v>
      </c>
      <c r="E2335">
        <f t="shared" si="182"/>
        <v>38</v>
      </c>
      <c r="F2335">
        <f>IF(D2335="","",INDEX(Knutepunkter!$B:$B,D2335+1))</f>
        <v>354</v>
      </c>
      <c r="G2335">
        <f>IF(D2335="","",INDEX(Knutepunkter!$C:$C,D2335+1))</f>
        <v>16000</v>
      </c>
      <c r="H2335">
        <f>IF(D2335="","",INDEX(Knutepunkter!$D:$D,D2335+1))</f>
        <v>12000</v>
      </c>
      <c r="I2335">
        <f>IF(E2335="","",INDEX(Knutepunkter!$B:$B,E2335+1))</f>
        <v>354</v>
      </c>
      <c r="J2335">
        <f>IF(E2335="","",INDEX(Knutepunkter!$C:$C,E2335+1))</f>
        <v>24000</v>
      </c>
      <c r="K2335">
        <f>IF(E2335="","",INDEX(Knutepunkter!$D:$D,E2335+1))</f>
        <v>12000</v>
      </c>
      <c r="L2335">
        <f t="shared" si="183"/>
        <v>8000</v>
      </c>
      <c r="M2335">
        <f t="shared" si="184"/>
        <v>8</v>
      </c>
    </row>
    <row r="2336" spans="1:13" x14ac:dyDescent="0.3">
      <c r="A2336" t="str">
        <f>Segmenter!A2336</f>
        <v>S2335</v>
      </c>
      <c r="B2336" t="str">
        <f>Segmenter!B2336</f>
        <v>28 -&gt; 39</v>
      </c>
      <c r="C2336" t="str">
        <f t="shared" si="180"/>
        <v>Bjelke</v>
      </c>
      <c r="D2336">
        <f t="shared" si="181"/>
        <v>28</v>
      </c>
      <c r="E2336">
        <f t="shared" si="182"/>
        <v>39</v>
      </c>
      <c r="F2336">
        <f>IF(D2336="","",INDEX(Knutepunkter!$B:$B,D2336+1))</f>
        <v>354</v>
      </c>
      <c r="G2336">
        <f>IF(D2336="","",INDEX(Knutepunkter!$C:$C,D2336+1))</f>
        <v>16000</v>
      </c>
      <c r="H2336">
        <f>IF(D2336="","",INDEX(Knutepunkter!$D:$D,D2336+1))</f>
        <v>15000</v>
      </c>
      <c r="I2336">
        <f>IF(E2336="","",INDEX(Knutepunkter!$B:$B,E2336+1))</f>
        <v>354</v>
      </c>
      <c r="J2336">
        <f>IF(E2336="","",INDEX(Knutepunkter!$C:$C,E2336+1))</f>
        <v>24000</v>
      </c>
      <c r="K2336">
        <f>IF(E2336="","",INDEX(Knutepunkter!$D:$D,E2336+1))</f>
        <v>15000</v>
      </c>
      <c r="L2336">
        <f t="shared" si="183"/>
        <v>8000</v>
      </c>
      <c r="M2336">
        <f t="shared" si="184"/>
        <v>8</v>
      </c>
    </row>
    <row r="2337" spans="1:13" x14ac:dyDescent="0.3">
      <c r="A2337" t="str">
        <f>Segmenter!A2337</f>
        <v>S2336</v>
      </c>
      <c r="B2337" t="str">
        <f>Segmenter!B2337</f>
        <v>29 -&gt; 40</v>
      </c>
      <c r="C2337" t="str">
        <f t="shared" si="180"/>
        <v>Bjelke</v>
      </c>
      <c r="D2337">
        <f t="shared" si="181"/>
        <v>29</v>
      </c>
      <c r="E2337">
        <f t="shared" si="182"/>
        <v>40</v>
      </c>
      <c r="F2337">
        <f>IF(D2337="","",INDEX(Knutepunkter!$B:$B,D2337+1))</f>
        <v>354</v>
      </c>
      <c r="G2337">
        <f>IF(D2337="","",INDEX(Knutepunkter!$C:$C,D2337+1))</f>
        <v>16000</v>
      </c>
      <c r="H2337">
        <f>IF(D2337="","",INDEX(Knutepunkter!$D:$D,D2337+1))</f>
        <v>18000</v>
      </c>
      <c r="I2337">
        <f>IF(E2337="","",INDEX(Knutepunkter!$B:$B,E2337+1))</f>
        <v>354</v>
      </c>
      <c r="J2337">
        <f>IF(E2337="","",INDEX(Knutepunkter!$C:$C,E2337+1))</f>
        <v>24000</v>
      </c>
      <c r="K2337">
        <f>IF(E2337="","",INDEX(Knutepunkter!$D:$D,E2337+1))</f>
        <v>18000</v>
      </c>
      <c r="L2337">
        <f t="shared" si="183"/>
        <v>8000</v>
      </c>
      <c r="M2337">
        <f t="shared" si="184"/>
        <v>8</v>
      </c>
    </row>
    <row r="2338" spans="1:13" x14ac:dyDescent="0.3">
      <c r="A2338" t="str">
        <f>Segmenter!A2338</f>
        <v/>
      </c>
      <c r="B2338" t="str">
        <f>Segmenter!B2338</f>
        <v/>
      </c>
      <c r="C2338" t="str">
        <f t="shared" si="180"/>
        <v/>
      </c>
      <c r="D2338" t="str">
        <f t="shared" si="181"/>
        <v/>
      </c>
      <c r="E2338" t="str">
        <f t="shared" si="182"/>
        <v/>
      </c>
      <c r="F2338" t="str">
        <f>IF(D2338="","",INDEX(Knutepunkter!$B:$B,D2338+1))</f>
        <v/>
      </c>
      <c r="G2338" t="str">
        <f>IF(D2338="","",INDEX(Knutepunkter!$C:$C,D2338+1))</f>
        <v/>
      </c>
      <c r="H2338" t="str">
        <f>IF(D2338="","",INDEX(Knutepunkter!$D:$D,D2338+1))</f>
        <v/>
      </c>
      <c r="I2338" t="str">
        <f>IF(E2338="","",INDEX(Knutepunkter!$B:$B,E2338+1))</f>
        <v/>
      </c>
      <c r="J2338" t="str">
        <f>IF(E2338="","",INDEX(Knutepunkter!$C:$C,E2338+1))</f>
        <v/>
      </c>
      <c r="K2338" t="str">
        <f>IF(E2338="","",INDEX(Knutepunkter!$D:$D,E2338+1))</f>
        <v/>
      </c>
      <c r="L2338" t="str">
        <f t="shared" si="183"/>
        <v/>
      </c>
      <c r="M2338" t="str">
        <f t="shared" si="184"/>
        <v/>
      </c>
    </row>
    <row r="2339" spans="1:13" x14ac:dyDescent="0.3">
      <c r="A2339" t="str">
        <f>Segmenter!A2339</f>
        <v/>
      </c>
      <c r="B2339" t="str">
        <f>Segmenter!B2339</f>
        <v/>
      </c>
      <c r="C2339" t="str">
        <f t="shared" si="180"/>
        <v/>
      </c>
      <c r="D2339" t="str">
        <f t="shared" si="181"/>
        <v/>
      </c>
      <c r="E2339" t="str">
        <f t="shared" si="182"/>
        <v/>
      </c>
      <c r="F2339" t="str">
        <f>IF(D2339="","",INDEX(Knutepunkter!$B:$B,D2339+1))</f>
        <v/>
      </c>
      <c r="G2339" t="str">
        <f>IF(D2339="","",INDEX(Knutepunkter!$C:$C,D2339+1))</f>
        <v/>
      </c>
      <c r="H2339" t="str">
        <f>IF(D2339="","",INDEX(Knutepunkter!$D:$D,D2339+1))</f>
        <v/>
      </c>
      <c r="I2339" t="str">
        <f>IF(E2339="","",INDEX(Knutepunkter!$B:$B,E2339+1))</f>
        <v/>
      </c>
      <c r="J2339" t="str">
        <f>IF(E2339="","",INDEX(Knutepunkter!$C:$C,E2339+1))</f>
        <v/>
      </c>
      <c r="K2339" t="str">
        <f>IF(E2339="","",INDEX(Knutepunkter!$D:$D,E2339+1))</f>
        <v/>
      </c>
      <c r="L2339" t="str">
        <f t="shared" si="183"/>
        <v/>
      </c>
      <c r="M2339" t="str">
        <f t="shared" si="184"/>
        <v/>
      </c>
    </row>
    <row r="2340" spans="1:13" x14ac:dyDescent="0.3">
      <c r="A2340" t="str">
        <f>Segmenter!A2340</f>
        <v/>
      </c>
      <c r="B2340" t="str">
        <f>Segmenter!B2340</f>
        <v/>
      </c>
      <c r="C2340" t="str">
        <f t="shared" si="180"/>
        <v/>
      </c>
      <c r="D2340" t="str">
        <f t="shared" si="181"/>
        <v/>
      </c>
      <c r="E2340" t="str">
        <f t="shared" si="182"/>
        <v/>
      </c>
      <c r="F2340" t="str">
        <f>IF(D2340="","",INDEX(Knutepunkter!$B:$B,D2340+1))</f>
        <v/>
      </c>
      <c r="G2340" t="str">
        <f>IF(D2340="","",INDEX(Knutepunkter!$C:$C,D2340+1))</f>
        <v/>
      </c>
      <c r="H2340" t="str">
        <f>IF(D2340="","",INDEX(Knutepunkter!$D:$D,D2340+1))</f>
        <v/>
      </c>
      <c r="I2340" t="str">
        <f>IF(E2340="","",INDEX(Knutepunkter!$B:$B,E2340+1))</f>
        <v/>
      </c>
      <c r="J2340" t="str">
        <f>IF(E2340="","",INDEX(Knutepunkter!$C:$C,E2340+1))</f>
        <v/>
      </c>
      <c r="K2340" t="str">
        <f>IF(E2340="","",INDEX(Knutepunkter!$D:$D,E2340+1))</f>
        <v/>
      </c>
      <c r="L2340" t="str">
        <f t="shared" si="183"/>
        <v/>
      </c>
      <c r="M2340" t="str">
        <f t="shared" si="184"/>
        <v/>
      </c>
    </row>
    <row r="2341" spans="1:13" x14ac:dyDescent="0.3">
      <c r="A2341" t="str">
        <f>Segmenter!A2341</f>
        <v/>
      </c>
      <c r="B2341" t="str">
        <f>Segmenter!B2341</f>
        <v/>
      </c>
      <c r="C2341" t="str">
        <f t="shared" si="180"/>
        <v/>
      </c>
      <c r="D2341" t="str">
        <f t="shared" si="181"/>
        <v/>
      </c>
      <c r="E2341" t="str">
        <f t="shared" si="182"/>
        <v/>
      </c>
      <c r="F2341" t="str">
        <f>IF(D2341="","",INDEX(Knutepunkter!$B:$B,D2341+1))</f>
        <v/>
      </c>
      <c r="G2341" t="str">
        <f>IF(D2341="","",INDEX(Knutepunkter!$C:$C,D2341+1))</f>
        <v/>
      </c>
      <c r="H2341" t="str">
        <f>IF(D2341="","",INDEX(Knutepunkter!$D:$D,D2341+1))</f>
        <v/>
      </c>
      <c r="I2341" t="str">
        <f>IF(E2341="","",INDEX(Knutepunkter!$B:$B,E2341+1))</f>
        <v/>
      </c>
      <c r="J2341" t="str">
        <f>IF(E2341="","",INDEX(Knutepunkter!$C:$C,E2341+1))</f>
        <v/>
      </c>
      <c r="K2341" t="str">
        <f>IF(E2341="","",INDEX(Knutepunkter!$D:$D,E2341+1))</f>
        <v/>
      </c>
      <c r="L2341" t="str">
        <f t="shared" si="183"/>
        <v/>
      </c>
      <c r="M2341" t="str">
        <f t="shared" si="184"/>
        <v/>
      </c>
    </row>
    <row r="2342" spans="1:13" x14ac:dyDescent="0.3">
      <c r="A2342" t="str">
        <f>Segmenter!A2342</f>
        <v>S2341</v>
      </c>
      <c r="B2342" t="str">
        <f>Segmenter!B2342</f>
        <v>35 -&gt; 46</v>
      </c>
      <c r="C2342" t="str">
        <f t="shared" si="180"/>
        <v>Bjelke</v>
      </c>
      <c r="D2342">
        <f t="shared" si="181"/>
        <v>35</v>
      </c>
      <c r="E2342">
        <f t="shared" si="182"/>
        <v>46</v>
      </c>
      <c r="F2342">
        <f>IF(D2342="","",INDEX(Knutepunkter!$B:$B,D2342+1))</f>
        <v>354</v>
      </c>
      <c r="G2342">
        <f>IF(D2342="","",INDEX(Knutepunkter!$C:$C,D2342+1))</f>
        <v>24000</v>
      </c>
      <c r="H2342">
        <f>IF(D2342="","",INDEX(Knutepunkter!$D:$D,D2342+1))</f>
        <v>3000</v>
      </c>
      <c r="I2342">
        <f>IF(E2342="","",INDEX(Knutepunkter!$B:$B,E2342+1))</f>
        <v>354</v>
      </c>
      <c r="J2342">
        <f>IF(E2342="","",INDEX(Knutepunkter!$C:$C,E2342+1))</f>
        <v>32000</v>
      </c>
      <c r="K2342">
        <f>IF(E2342="","",INDEX(Knutepunkter!$D:$D,E2342+1))</f>
        <v>3000</v>
      </c>
      <c r="L2342">
        <f t="shared" si="183"/>
        <v>8000</v>
      </c>
      <c r="M2342">
        <f t="shared" si="184"/>
        <v>8</v>
      </c>
    </row>
    <row r="2343" spans="1:13" x14ac:dyDescent="0.3">
      <c r="A2343" t="str">
        <f>Segmenter!A2343</f>
        <v>S2342</v>
      </c>
      <c r="B2343" t="str">
        <f>Segmenter!B2343</f>
        <v>36 -&gt; 47</v>
      </c>
      <c r="C2343" t="str">
        <f t="shared" si="180"/>
        <v>Bjelke</v>
      </c>
      <c r="D2343">
        <f t="shared" si="181"/>
        <v>36</v>
      </c>
      <c r="E2343">
        <f t="shared" si="182"/>
        <v>47</v>
      </c>
      <c r="F2343">
        <f>IF(D2343="","",INDEX(Knutepunkter!$B:$B,D2343+1))</f>
        <v>354</v>
      </c>
      <c r="G2343">
        <f>IF(D2343="","",INDEX(Knutepunkter!$C:$C,D2343+1))</f>
        <v>24000</v>
      </c>
      <c r="H2343">
        <f>IF(D2343="","",INDEX(Knutepunkter!$D:$D,D2343+1))</f>
        <v>6000</v>
      </c>
      <c r="I2343">
        <f>IF(E2343="","",INDEX(Knutepunkter!$B:$B,E2343+1))</f>
        <v>354</v>
      </c>
      <c r="J2343">
        <f>IF(E2343="","",INDEX(Knutepunkter!$C:$C,E2343+1))</f>
        <v>32000</v>
      </c>
      <c r="K2343">
        <f>IF(E2343="","",INDEX(Knutepunkter!$D:$D,E2343+1))</f>
        <v>6000</v>
      </c>
      <c r="L2343">
        <f t="shared" si="183"/>
        <v>8000</v>
      </c>
      <c r="M2343">
        <f t="shared" si="184"/>
        <v>8</v>
      </c>
    </row>
    <row r="2344" spans="1:13" x14ac:dyDescent="0.3">
      <c r="A2344" t="str">
        <f>Segmenter!A2344</f>
        <v>S2343</v>
      </c>
      <c r="B2344" t="str">
        <f>Segmenter!B2344</f>
        <v>37 -&gt; 48</v>
      </c>
      <c r="C2344" t="str">
        <f t="shared" si="180"/>
        <v>Bjelke</v>
      </c>
      <c r="D2344">
        <f t="shared" si="181"/>
        <v>37</v>
      </c>
      <c r="E2344">
        <f t="shared" si="182"/>
        <v>48</v>
      </c>
      <c r="F2344">
        <f>IF(D2344="","",INDEX(Knutepunkter!$B:$B,D2344+1))</f>
        <v>354</v>
      </c>
      <c r="G2344">
        <f>IF(D2344="","",INDEX(Knutepunkter!$C:$C,D2344+1))</f>
        <v>24000</v>
      </c>
      <c r="H2344">
        <f>IF(D2344="","",INDEX(Knutepunkter!$D:$D,D2344+1))</f>
        <v>9000</v>
      </c>
      <c r="I2344">
        <f>IF(E2344="","",INDEX(Knutepunkter!$B:$B,E2344+1))</f>
        <v>354</v>
      </c>
      <c r="J2344">
        <f>IF(E2344="","",INDEX(Knutepunkter!$C:$C,E2344+1))</f>
        <v>32000</v>
      </c>
      <c r="K2344">
        <f>IF(E2344="","",INDEX(Knutepunkter!$D:$D,E2344+1))</f>
        <v>9000</v>
      </c>
      <c r="L2344">
        <f t="shared" si="183"/>
        <v>8000</v>
      </c>
      <c r="M2344">
        <f t="shared" si="184"/>
        <v>8</v>
      </c>
    </row>
    <row r="2345" spans="1:13" x14ac:dyDescent="0.3">
      <c r="A2345" t="str">
        <f>Segmenter!A2345</f>
        <v>S2344</v>
      </c>
      <c r="B2345" t="str">
        <f>Segmenter!B2345</f>
        <v>38 -&gt; 49</v>
      </c>
      <c r="C2345" t="str">
        <f t="shared" si="180"/>
        <v>Bjelke</v>
      </c>
      <c r="D2345">
        <f t="shared" si="181"/>
        <v>38</v>
      </c>
      <c r="E2345">
        <f t="shared" si="182"/>
        <v>49</v>
      </c>
      <c r="F2345">
        <f>IF(D2345="","",INDEX(Knutepunkter!$B:$B,D2345+1))</f>
        <v>354</v>
      </c>
      <c r="G2345">
        <f>IF(D2345="","",INDEX(Knutepunkter!$C:$C,D2345+1))</f>
        <v>24000</v>
      </c>
      <c r="H2345">
        <f>IF(D2345="","",INDEX(Knutepunkter!$D:$D,D2345+1))</f>
        <v>12000</v>
      </c>
      <c r="I2345">
        <f>IF(E2345="","",INDEX(Knutepunkter!$B:$B,E2345+1))</f>
        <v>354</v>
      </c>
      <c r="J2345">
        <f>IF(E2345="","",INDEX(Knutepunkter!$C:$C,E2345+1))</f>
        <v>32000</v>
      </c>
      <c r="K2345">
        <f>IF(E2345="","",INDEX(Knutepunkter!$D:$D,E2345+1))</f>
        <v>12000</v>
      </c>
      <c r="L2345">
        <f t="shared" si="183"/>
        <v>8000</v>
      </c>
      <c r="M2345">
        <f t="shared" si="184"/>
        <v>8</v>
      </c>
    </row>
    <row r="2346" spans="1:13" x14ac:dyDescent="0.3">
      <c r="A2346" t="str">
        <f>Segmenter!A2346</f>
        <v>S2345</v>
      </c>
      <c r="B2346" t="str">
        <f>Segmenter!B2346</f>
        <v>39 -&gt; 50</v>
      </c>
      <c r="C2346" t="str">
        <f t="shared" si="180"/>
        <v>Bjelke</v>
      </c>
      <c r="D2346">
        <f t="shared" si="181"/>
        <v>39</v>
      </c>
      <c r="E2346">
        <f t="shared" si="182"/>
        <v>50</v>
      </c>
      <c r="F2346">
        <f>IF(D2346="","",INDEX(Knutepunkter!$B:$B,D2346+1))</f>
        <v>354</v>
      </c>
      <c r="G2346">
        <f>IF(D2346="","",INDEX(Knutepunkter!$C:$C,D2346+1))</f>
        <v>24000</v>
      </c>
      <c r="H2346">
        <f>IF(D2346="","",INDEX(Knutepunkter!$D:$D,D2346+1))</f>
        <v>15000</v>
      </c>
      <c r="I2346">
        <f>IF(E2346="","",INDEX(Knutepunkter!$B:$B,E2346+1))</f>
        <v>354</v>
      </c>
      <c r="J2346">
        <f>IF(E2346="","",INDEX(Knutepunkter!$C:$C,E2346+1))</f>
        <v>32000</v>
      </c>
      <c r="K2346">
        <f>IF(E2346="","",INDEX(Knutepunkter!$D:$D,E2346+1))</f>
        <v>15000</v>
      </c>
      <c r="L2346">
        <f t="shared" si="183"/>
        <v>8000</v>
      </c>
      <c r="M2346">
        <f t="shared" si="184"/>
        <v>8</v>
      </c>
    </row>
    <row r="2347" spans="1:13" x14ac:dyDescent="0.3">
      <c r="A2347" t="str">
        <f>Segmenter!A2347</f>
        <v>S2346</v>
      </c>
      <c r="B2347" t="str">
        <f>Segmenter!B2347</f>
        <v>40 -&gt; 51</v>
      </c>
      <c r="C2347" t="str">
        <f t="shared" si="180"/>
        <v>Bjelke</v>
      </c>
      <c r="D2347">
        <f t="shared" si="181"/>
        <v>40</v>
      </c>
      <c r="E2347">
        <f t="shared" si="182"/>
        <v>51</v>
      </c>
      <c r="F2347">
        <f>IF(D2347="","",INDEX(Knutepunkter!$B:$B,D2347+1))</f>
        <v>354</v>
      </c>
      <c r="G2347">
        <f>IF(D2347="","",INDEX(Knutepunkter!$C:$C,D2347+1))</f>
        <v>24000</v>
      </c>
      <c r="H2347">
        <f>IF(D2347="","",INDEX(Knutepunkter!$D:$D,D2347+1))</f>
        <v>18000</v>
      </c>
      <c r="I2347">
        <f>IF(E2347="","",INDEX(Knutepunkter!$B:$B,E2347+1))</f>
        <v>354</v>
      </c>
      <c r="J2347">
        <f>IF(E2347="","",INDEX(Knutepunkter!$C:$C,E2347+1))</f>
        <v>32000</v>
      </c>
      <c r="K2347">
        <f>IF(E2347="","",INDEX(Knutepunkter!$D:$D,E2347+1))</f>
        <v>18000</v>
      </c>
      <c r="L2347">
        <f t="shared" si="183"/>
        <v>8000</v>
      </c>
      <c r="M2347">
        <f t="shared" si="184"/>
        <v>8</v>
      </c>
    </row>
    <row r="2348" spans="1:13" x14ac:dyDescent="0.3">
      <c r="A2348" t="str">
        <f>Segmenter!A2348</f>
        <v/>
      </c>
      <c r="B2348" t="str">
        <f>Segmenter!B2348</f>
        <v/>
      </c>
      <c r="C2348" t="str">
        <f t="shared" si="180"/>
        <v/>
      </c>
      <c r="D2348" t="str">
        <f t="shared" si="181"/>
        <v/>
      </c>
      <c r="E2348" t="str">
        <f t="shared" si="182"/>
        <v/>
      </c>
      <c r="F2348" t="str">
        <f>IF(D2348="","",INDEX(Knutepunkter!$B:$B,D2348+1))</f>
        <v/>
      </c>
      <c r="G2348" t="str">
        <f>IF(D2348="","",INDEX(Knutepunkter!$C:$C,D2348+1))</f>
        <v/>
      </c>
      <c r="H2348" t="str">
        <f>IF(D2348="","",INDEX(Knutepunkter!$D:$D,D2348+1))</f>
        <v/>
      </c>
      <c r="I2348" t="str">
        <f>IF(E2348="","",INDEX(Knutepunkter!$B:$B,E2348+1))</f>
        <v/>
      </c>
      <c r="J2348" t="str">
        <f>IF(E2348="","",INDEX(Knutepunkter!$C:$C,E2348+1))</f>
        <v/>
      </c>
      <c r="K2348" t="str">
        <f>IF(E2348="","",INDEX(Knutepunkter!$D:$D,E2348+1))</f>
        <v/>
      </c>
      <c r="L2348" t="str">
        <f t="shared" si="183"/>
        <v/>
      </c>
      <c r="M2348" t="str">
        <f t="shared" si="184"/>
        <v/>
      </c>
    </row>
    <row r="2349" spans="1:13" x14ac:dyDescent="0.3">
      <c r="A2349" t="str">
        <f>Segmenter!A2349</f>
        <v/>
      </c>
      <c r="B2349" t="str">
        <f>Segmenter!B2349</f>
        <v/>
      </c>
      <c r="C2349" t="str">
        <f t="shared" si="180"/>
        <v/>
      </c>
      <c r="D2349" t="str">
        <f t="shared" si="181"/>
        <v/>
      </c>
      <c r="E2349" t="str">
        <f t="shared" si="182"/>
        <v/>
      </c>
      <c r="F2349" t="str">
        <f>IF(D2349="","",INDEX(Knutepunkter!$B:$B,D2349+1))</f>
        <v/>
      </c>
      <c r="G2349" t="str">
        <f>IF(D2349="","",INDEX(Knutepunkter!$C:$C,D2349+1))</f>
        <v/>
      </c>
      <c r="H2349" t="str">
        <f>IF(D2349="","",INDEX(Knutepunkter!$D:$D,D2349+1))</f>
        <v/>
      </c>
      <c r="I2349" t="str">
        <f>IF(E2349="","",INDEX(Knutepunkter!$B:$B,E2349+1))</f>
        <v/>
      </c>
      <c r="J2349" t="str">
        <f>IF(E2349="","",INDEX(Knutepunkter!$C:$C,E2349+1))</f>
        <v/>
      </c>
      <c r="K2349" t="str">
        <f>IF(E2349="","",INDEX(Knutepunkter!$D:$D,E2349+1))</f>
        <v/>
      </c>
      <c r="L2349" t="str">
        <f t="shared" si="183"/>
        <v/>
      </c>
      <c r="M2349" t="str">
        <f t="shared" si="184"/>
        <v/>
      </c>
    </row>
    <row r="2350" spans="1:13" x14ac:dyDescent="0.3">
      <c r="A2350" t="str">
        <f>Segmenter!A2350</f>
        <v/>
      </c>
      <c r="B2350" t="str">
        <f>Segmenter!B2350</f>
        <v/>
      </c>
      <c r="C2350" t="str">
        <f t="shared" si="180"/>
        <v/>
      </c>
      <c r="D2350" t="str">
        <f t="shared" si="181"/>
        <v/>
      </c>
      <c r="E2350" t="str">
        <f t="shared" si="182"/>
        <v/>
      </c>
      <c r="F2350" t="str">
        <f>IF(D2350="","",INDEX(Knutepunkter!$B:$B,D2350+1))</f>
        <v/>
      </c>
      <c r="G2350" t="str">
        <f>IF(D2350="","",INDEX(Knutepunkter!$C:$C,D2350+1))</f>
        <v/>
      </c>
      <c r="H2350" t="str">
        <f>IF(D2350="","",INDEX(Knutepunkter!$D:$D,D2350+1))</f>
        <v/>
      </c>
      <c r="I2350" t="str">
        <f>IF(E2350="","",INDEX(Knutepunkter!$B:$B,E2350+1))</f>
        <v/>
      </c>
      <c r="J2350" t="str">
        <f>IF(E2350="","",INDEX(Knutepunkter!$C:$C,E2350+1))</f>
        <v/>
      </c>
      <c r="K2350" t="str">
        <f>IF(E2350="","",INDEX(Knutepunkter!$D:$D,E2350+1))</f>
        <v/>
      </c>
      <c r="L2350" t="str">
        <f t="shared" si="183"/>
        <v/>
      </c>
      <c r="M2350" t="str">
        <f t="shared" si="184"/>
        <v/>
      </c>
    </row>
    <row r="2351" spans="1:13" x14ac:dyDescent="0.3">
      <c r="A2351" t="str">
        <f>Segmenter!A2351</f>
        <v/>
      </c>
      <c r="B2351" t="str">
        <f>Segmenter!B2351</f>
        <v/>
      </c>
      <c r="C2351" t="str">
        <f t="shared" si="180"/>
        <v/>
      </c>
      <c r="D2351" t="str">
        <f t="shared" si="181"/>
        <v/>
      </c>
      <c r="E2351" t="str">
        <f t="shared" si="182"/>
        <v/>
      </c>
      <c r="F2351" t="str">
        <f>IF(D2351="","",INDEX(Knutepunkter!$B:$B,D2351+1))</f>
        <v/>
      </c>
      <c r="G2351" t="str">
        <f>IF(D2351="","",INDEX(Knutepunkter!$C:$C,D2351+1))</f>
        <v/>
      </c>
      <c r="H2351" t="str">
        <f>IF(D2351="","",INDEX(Knutepunkter!$D:$D,D2351+1))</f>
        <v/>
      </c>
      <c r="I2351" t="str">
        <f>IF(E2351="","",INDEX(Knutepunkter!$B:$B,E2351+1))</f>
        <v/>
      </c>
      <c r="J2351" t="str">
        <f>IF(E2351="","",INDEX(Knutepunkter!$C:$C,E2351+1))</f>
        <v/>
      </c>
      <c r="K2351" t="str">
        <f>IF(E2351="","",INDEX(Knutepunkter!$D:$D,E2351+1))</f>
        <v/>
      </c>
      <c r="L2351" t="str">
        <f t="shared" si="183"/>
        <v/>
      </c>
      <c r="M2351" t="str">
        <f t="shared" si="184"/>
        <v/>
      </c>
    </row>
    <row r="2352" spans="1:13" x14ac:dyDescent="0.3">
      <c r="A2352" t="str">
        <f>Segmenter!A2352</f>
        <v/>
      </c>
      <c r="B2352" t="str">
        <f>Segmenter!B2352</f>
        <v/>
      </c>
      <c r="C2352" t="str">
        <f t="shared" si="180"/>
        <v/>
      </c>
      <c r="D2352" t="str">
        <f t="shared" si="181"/>
        <v/>
      </c>
      <c r="E2352" t="str">
        <f t="shared" si="182"/>
        <v/>
      </c>
      <c r="F2352" t="str">
        <f>IF(D2352="","",INDEX(Knutepunkter!$B:$B,D2352+1))</f>
        <v/>
      </c>
      <c r="G2352" t="str">
        <f>IF(D2352="","",INDEX(Knutepunkter!$C:$C,D2352+1))</f>
        <v/>
      </c>
      <c r="H2352" t="str">
        <f>IF(D2352="","",INDEX(Knutepunkter!$D:$D,D2352+1))</f>
        <v/>
      </c>
      <c r="I2352" t="str">
        <f>IF(E2352="","",INDEX(Knutepunkter!$B:$B,E2352+1))</f>
        <v/>
      </c>
      <c r="J2352" t="str">
        <f>IF(E2352="","",INDEX(Knutepunkter!$C:$C,E2352+1))</f>
        <v/>
      </c>
      <c r="K2352" t="str">
        <f>IF(E2352="","",INDEX(Knutepunkter!$D:$D,E2352+1))</f>
        <v/>
      </c>
      <c r="L2352" t="str">
        <f t="shared" si="183"/>
        <v/>
      </c>
      <c r="M2352" t="str">
        <f t="shared" si="184"/>
        <v/>
      </c>
    </row>
    <row r="2353" spans="1:13" x14ac:dyDescent="0.3">
      <c r="A2353" t="str">
        <f>Segmenter!A2353</f>
        <v/>
      </c>
      <c r="B2353" t="str">
        <f>Segmenter!B2353</f>
        <v/>
      </c>
      <c r="C2353" t="str">
        <f t="shared" si="180"/>
        <v/>
      </c>
      <c r="D2353" t="str">
        <f t="shared" si="181"/>
        <v/>
      </c>
      <c r="E2353" t="str">
        <f t="shared" si="182"/>
        <v/>
      </c>
      <c r="F2353" t="str">
        <f>IF(D2353="","",INDEX(Knutepunkter!$B:$B,D2353+1))</f>
        <v/>
      </c>
      <c r="G2353" t="str">
        <f>IF(D2353="","",INDEX(Knutepunkter!$C:$C,D2353+1))</f>
        <v/>
      </c>
      <c r="H2353" t="str">
        <f>IF(D2353="","",INDEX(Knutepunkter!$D:$D,D2353+1))</f>
        <v/>
      </c>
      <c r="I2353" t="str">
        <f>IF(E2353="","",INDEX(Knutepunkter!$B:$B,E2353+1))</f>
        <v/>
      </c>
      <c r="J2353" t="str">
        <f>IF(E2353="","",INDEX(Knutepunkter!$C:$C,E2353+1))</f>
        <v/>
      </c>
      <c r="K2353" t="str">
        <f>IF(E2353="","",INDEX(Knutepunkter!$D:$D,E2353+1))</f>
        <v/>
      </c>
      <c r="L2353" t="str">
        <f t="shared" si="183"/>
        <v/>
      </c>
      <c r="M2353" t="str">
        <f t="shared" si="184"/>
        <v/>
      </c>
    </row>
    <row r="2354" spans="1:13" x14ac:dyDescent="0.3">
      <c r="A2354" t="str">
        <f>Segmenter!A2354</f>
        <v/>
      </c>
      <c r="B2354" t="str">
        <f>Segmenter!B2354</f>
        <v/>
      </c>
      <c r="C2354" t="str">
        <f t="shared" si="180"/>
        <v/>
      </c>
      <c r="D2354" t="str">
        <f t="shared" si="181"/>
        <v/>
      </c>
      <c r="E2354" t="str">
        <f t="shared" si="182"/>
        <v/>
      </c>
      <c r="F2354" t="str">
        <f>IF(D2354="","",INDEX(Knutepunkter!$B:$B,D2354+1))</f>
        <v/>
      </c>
      <c r="G2354" t="str">
        <f>IF(D2354="","",INDEX(Knutepunkter!$C:$C,D2354+1))</f>
        <v/>
      </c>
      <c r="H2354" t="str">
        <f>IF(D2354="","",INDEX(Knutepunkter!$D:$D,D2354+1))</f>
        <v/>
      </c>
      <c r="I2354" t="str">
        <f>IF(E2354="","",INDEX(Knutepunkter!$B:$B,E2354+1))</f>
        <v/>
      </c>
      <c r="J2354" t="str">
        <f>IF(E2354="","",INDEX(Knutepunkter!$C:$C,E2354+1))</f>
        <v/>
      </c>
      <c r="K2354" t="str">
        <f>IF(E2354="","",INDEX(Knutepunkter!$D:$D,E2354+1))</f>
        <v/>
      </c>
      <c r="L2354" t="str">
        <f t="shared" si="183"/>
        <v/>
      </c>
      <c r="M2354" t="str">
        <f t="shared" si="184"/>
        <v/>
      </c>
    </row>
    <row r="2355" spans="1:13" x14ac:dyDescent="0.3">
      <c r="A2355" t="str">
        <f>Segmenter!A2355</f>
        <v/>
      </c>
      <c r="B2355" t="str">
        <f>Segmenter!B2355</f>
        <v/>
      </c>
      <c r="C2355" t="str">
        <f t="shared" si="180"/>
        <v/>
      </c>
      <c r="D2355" t="str">
        <f t="shared" si="181"/>
        <v/>
      </c>
      <c r="E2355" t="str">
        <f t="shared" si="182"/>
        <v/>
      </c>
      <c r="F2355" t="str">
        <f>IF(D2355="","",INDEX(Knutepunkter!$B:$B,D2355+1))</f>
        <v/>
      </c>
      <c r="G2355" t="str">
        <f>IF(D2355="","",INDEX(Knutepunkter!$C:$C,D2355+1))</f>
        <v/>
      </c>
      <c r="H2355" t="str">
        <f>IF(D2355="","",INDEX(Knutepunkter!$D:$D,D2355+1))</f>
        <v/>
      </c>
      <c r="I2355" t="str">
        <f>IF(E2355="","",INDEX(Knutepunkter!$B:$B,E2355+1))</f>
        <v/>
      </c>
      <c r="J2355" t="str">
        <f>IF(E2355="","",INDEX(Knutepunkter!$C:$C,E2355+1))</f>
        <v/>
      </c>
      <c r="K2355" t="str">
        <f>IF(E2355="","",INDEX(Knutepunkter!$D:$D,E2355+1))</f>
        <v/>
      </c>
      <c r="L2355" t="str">
        <f t="shared" si="183"/>
        <v/>
      </c>
      <c r="M2355" t="str">
        <f t="shared" si="184"/>
        <v/>
      </c>
    </row>
    <row r="2356" spans="1:13" x14ac:dyDescent="0.3">
      <c r="A2356" t="str">
        <f>Segmenter!A2356</f>
        <v/>
      </c>
      <c r="B2356" t="str">
        <f>Segmenter!B2356</f>
        <v/>
      </c>
      <c r="C2356" t="str">
        <f t="shared" si="180"/>
        <v/>
      </c>
      <c r="D2356" t="str">
        <f t="shared" si="181"/>
        <v/>
      </c>
      <c r="E2356" t="str">
        <f t="shared" si="182"/>
        <v/>
      </c>
      <c r="F2356" t="str">
        <f>IF(D2356="","",INDEX(Knutepunkter!$B:$B,D2356+1))</f>
        <v/>
      </c>
      <c r="G2356" t="str">
        <f>IF(D2356="","",INDEX(Knutepunkter!$C:$C,D2356+1))</f>
        <v/>
      </c>
      <c r="H2356" t="str">
        <f>IF(D2356="","",INDEX(Knutepunkter!$D:$D,D2356+1))</f>
        <v/>
      </c>
      <c r="I2356" t="str">
        <f>IF(E2356="","",INDEX(Knutepunkter!$B:$B,E2356+1))</f>
        <v/>
      </c>
      <c r="J2356" t="str">
        <f>IF(E2356="","",INDEX(Knutepunkter!$C:$C,E2356+1))</f>
        <v/>
      </c>
      <c r="K2356" t="str">
        <f>IF(E2356="","",INDEX(Knutepunkter!$D:$D,E2356+1))</f>
        <v/>
      </c>
      <c r="L2356" t="str">
        <f t="shared" si="183"/>
        <v/>
      </c>
      <c r="M2356" t="str">
        <f t="shared" si="184"/>
        <v/>
      </c>
    </row>
    <row r="2357" spans="1:13" x14ac:dyDescent="0.3">
      <c r="A2357" t="str">
        <f>Segmenter!A2357</f>
        <v/>
      </c>
      <c r="B2357" t="str">
        <f>Segmenter!B2357</f>
        <v/>
      </c>
      <c r="C2357" t="str">
        <f t="shared" si="180"/>
        <v/>
      </c>
      <c r="D2357" t="str">
        <f t="shared" si="181"/>
        <v/>
      </c>
      <c r="E2357" t="str">
        <f t="shared" si="182"/>
        <v/>
      </c>
      <c r="F2357" t="str">
        <f>IF(D2357="","",INDEX(Knutepunkter!$B:$B,D2357+1))</f>
        <v/>
      </c>
      <c r="G2357" t="str">
        <f>IF(D2357="","",INDEX(Knutepunkter!$C:$C,D2357+1))</f>
        <v/>
      </c>
      <c r="H2357" t="str">
        <f>IF(D2357="","",INDEX(Knutepunkter!$D:$D,D2357+1))</f>
        <v/>
      </c>
      <c r="I2357" t="str">
        <f>IF(E2357="","",INDEX(Knutepunkter!$B:$B,E2357+1))</f>
        <v/>
      </c>
      <c r="J2357" t="str">
        <f>IF(E2357="","",INDEX(Knutepunkter!$C:$C,E2357+1))</f>
        <v/>
      </c>
      <c r="K2357" t="str">
        <f>IF(E2357="","",INDEX(Knutepunkter!$D:$D,E2357+1))</f>
        <v/>
      </c>
      <c r="L2357" t="str">
        <f t="shared" si="183"/>
        <v/>
      </c>
      <c r="M2357" t="str">
        <f t="shared" si="184"/>
        <v/>
      </c>
    </row>
    <row r="2358" spans="1:13" x14ac:dyDescent="0.3">
      <c r="A2358" t="str">
        <f>Segmenter!A2358</f>
        <v/>
      </c>
      <c r="B2358" t="str">
        <f>Segmenter!B2358</f>
        <v/>
      </c>
      <c r="C2358" t="str">
        <f t="shared" si="180"/>
        <v/>
      </c>
      <c r="D2358" t="str">
        <f t="shared" si="181"/>
        <v/>
      </c>
      <c r="E2358" t="str">
        <f t="shared" si="182"/>
        <v/>
      </c>
      <c r="F2358" t="str">
        <f>IF(D2358="","",INDEX(Knutepunkter!$B:$B,D2358+1))</f>
        <v/>
      </c>
      <c r="G2358" t="str">
        <f>IF(D2358="","",INDEX(Knutepunkter!$C:$C,D2358+1))</f>
        <v/>
      </c>
      <c r="H2358" t="str">
        <f>IF(D2358="","",INDEX(Knutepunkter!$D:$D,D2358+1))</f>
        <v/>
      </c>
      <c r="I2358" t="str">
        <f>IF(E2358="","",INDEX(Knutepunkter!$B:$B,E2358+1))</f>
        <v/>
      </c>
      <c r="J2358" t="str">
        <f>IF(E2358="","",INDEX(Knutepunkter!$C:$C,E2358+1))</f>
        <v/>
      </c>
      <c r="K2358" t="str">
        <f>IF(E2358="","",INDEX(Knutepunkter!$D:$D,E2358+1))</f>
        <v/>
      </c>
      <c r="L2358" t="str">
        <f t="shared" si="183"/>
        <v/>
      </c>
      <c r="M2358" t="str">
        <f t="shared" si="184"/>
        <v/>
      </c>
    </row>
    <row r="2359" spans="1:13" x14ac:dyDescent="0.3">
      <c r="A2359" t="str">
        <f>Segmenter!A2359</f>
        <v/>
      </c>
      <c r="B2359" t="str">
        <f>Segmenter!B2359</f>
        <v/>
      </c>
      <c r="C2359" t="str">
        <f t="shared" si="180"/>
        <v/>
      </c>
      <c r="D2359" t="str">
        <f t="shared" si="181"/>
        <v/>
      </c>
      <c r="E2359" t="str">
        <f t="shared" si="182"/>
        <v/>
      </c>
      <c r="F2359" t="str">
        <f>IF(D2359="","",INDEX(Knutepunkter!$B:$B,D2359+1))</f>
        <v/>
      </c>
      <c r="G2359" t="str">
        <f>IF(D2359="","",INDEX(Knutepunkter!$C:$C,D2359+1))</f>
        <v/>
      </c>
      <c r="H2359" t="str">
        <f>IF(D2359="","",INDEX(Knutepunkter!$D:$D,D2359+1))</f>
        <v/>
      </c>
      <c r="I2359" t="str">
        <f>IF(E2359="","",INDEX(Knutepunkter!$B:$B,E2359+1))</f>
        <v/>
      </c>
      <c r="J2359" t="str">
        <f>IF(E2359="","",INDEX(Knutepunkter!$C:$C,E2359+1))</f>
        <v/>
      </c>
      <c r="K2359" t="str">
        <f>IF(E2359="","",INDEX(Knutepunkter!$D:$D,E2359+1))</f>
        <v/>
      </c>
      <c r="L2359" t="str">
        <f t="shared" si="183"/>
        <v/>
      </c>
      <c r="M2359" t="str">
        <f t="shared" si="184"/>
        <v/>
      </c>
    </row>
    <row r="2360" spans="1:13" x14ac:dyDescent="0.3">
      <c r="A2360" t="str">
        <f>Segmenter!A2360</f>
        <v/>
      </c>
      <c r="B2360" t="str">
        <f>Segmenter!B2360</f>
        <v/>
      </c>
      <c r="C2360" t="str">
        <f t="shared" si="180"/>
        <v/>
      </c>
      <c r="D2360" t="str">
        <f t="shared" si="181"/>
        <v/>
      </c>
      <c r="E2360" t="str">
        <f t="shared" si="182"/>
        <v/>
      </c>
      <c r="F2360" t="str">
        <f>IF(D2360="","",INDEX(Knutepunkter!$B:$B,D2360+1))</f>
        <v/>
      </c>
      <c r="G2360" t="str">
        <f>IF(D2360="","",INDEX(Knutepunkter!$C:$C,D2360+1))</f>
        <v/>
      </c>
      <c r="H2360" t="str">
        <f>IF(D2360="","",INDEX(Knutepunkter!$D:$D,D2360+1))</f>
        <v/>
      </c>
      <c r="I2360" t="str">
        <f>IF(E2360="","",INDEX(Knutepunkter!$B:$B,E2360+1))</f>
        <v/>
      </c>
      <c r="J2360" t="str">
        <f>IF(E2360="","",INDEX(Knutepunkter!$C:$C,E2360+1))</f>
        <v/>
      </c>
      <c r="K2360" t="str">
        <f>IF(E2360="","",INDEX(Knutepunkter!$D:$D,E2360+1))</f>
        <v/>
      </c>
      <c r="L2360" t="str">
        <f t="shared" si="183"/>
        <v/>
      </c>
      <c r="M2360" t="str">
        <f t="shared" si="184"/>
        <v/>
      </c>
    </row>
    <row r="2361" spans="1:13" x14ac:dyDescent="0.3">
      <c r="A2361" t="str">
        <f>Segmenter!A2361</f>
        <v/>
      </c>
      <c r="B2361" t="str">
        <f>Segmenter!B2361</f>
        <v/>
      </c>
      <c r="C2361" t="str">
        <f t="shared" si="180"/>
        <v/>
      </c>
      <c r="D2361" t="str">
        <f t="shared" si="181"/>
        <v/>
      </c>
      <c r="E2361" t="str">
        <f t="shared" si="182"/>
        <v/>
      </c>
      <c r="F2361" t="str">
        <f>IF(D2361="","",INDEX(Knutepunkter!$B:$B,D2361+1))</f>
        <v/>
      </c>
      <c r="G2361" t="str">
        <f>IF(D2361="","",INDEX(Knutepunkter!$C:$C,D2361+1))</f>
        <v/>
      </c>
      <c r="H2361" t="str">
        <f>IF(D2361="","",INDEX(Knutepunkter!$D:$D,D2361+1))</f>
        <v/>
      </c>
      <c r="I2361" t="str">
        <f>IF(E2361="","",INDEX(Knutepunkter!$B:$B,E2361+1))</f>
        <v/>
      </c>
      <c r="J2361" t="str">
        <f>IF(E2361="","",INDEX(Knutepunkter!$C:$C,E2361+1))</f>
        <v/>
      </c>
      <c r="K2361" t="str">
        <f>IF(E2361="","",INDEX(Knutepunkter!$D:$D,E2361+1))</f>
        <v/>
      </c>
      <c r="L2361" t="str">
        <f t="shared" si="183"/>
        <v/>
      </c>
      <c r="M2361" t="str">
        <f t="shared" si="184"/>
        <v/>
      </c>
    </row>
    <row r="2362" spans="1:13" x14ac:dyDescent="0.3">
      <c r="A2362" t="str">
        <f>Segmenter!A2362</f>
        <v/>
      </c>
      <c r="B2362" t="str">
        <f>Segmenter!B2362</f>
        <v/>
      </c>
      <c r="C2362" t="str">
        <f t="shared" si="180"/>
        <v/>
      </c>
      <c r="D2362" t="str">
        <f t="shared" si="181"/>
        <v/>
      </c>
      <c r="E2362" t="str">
        <f t="shared" si="182"/>
        <v/>
      </c>
      <c r="F2362" t="str">
        <f>IF(D2362="","",INDEX(Knutepunkter!$B:$B,D2362+1))</f>
        <v/>
      </c>
      <c r="G2362" t="str">
        <f>IF(D2362="","",INDEX(Knutepunkter!$C:$C,D2362+1))</f>
        <v/>
      </c>
      <c r="H2362" t="str">
        <f>IF(D2362="","",INDEX(Knutepunkter!$D:$D,D2362+1))</f>
        <v/>
      </c>
      <c r="I2362" t="str">
        <f>IF(E2362="","",INDEX(Knutepunkter!$B:$B,E2362+1))</f>
        <v/>
      </c>
      <c r="J2362" t="str">
        <f>IF(E2362="","",INDEX(Knutepunkter!$C:$C,E2362+1))</f>
        <v/>
      </c>
      <c r="K2362" t="str">
        <f>IF(E2362="","",INDEX(Knutepunkter!$D:$D,E2362+1))</f>
        <v/>
      </c>
      <c r="L2362" t="str">
        <f t="shared" si="183"/>
        <v/>
      </c>
      <c r="M2362" t="str">
        <f t="shared" si="184"/>
        <v/>
      </c>
    </row>
    <row r="2363" spans="1:13" x14ac:dyDescent="0.3">
      <c r="A2363" t="str">
        <f>Segmenter!A2363</f>
        <v/>
      </c>
      <c r="B2363" t="str">
        <f>Segmenter!B2363</f>
        <v/>
      </c>
      <c r="C2363" t="str">
        <f t="shared" si="180"/>
        <v/>
      </c>
      <c r="D2363" t="str">
        <f t="shared" si="181"/>
        <v/>
      </c>
      <c r="E2363" t="str">
        <f t="shared" si="182"/>
        <v/>
      </c>
      <c r="F2363" t="str">
        <f>IF(D2363="","",INDEX(Knutepunkter!$B:$B,D2363+1))</f>
        <v/>
      </c>
      <c r="G2363" t="str">
        <f>IF(D2363="","",INDEX(Knutepunkter!$C:$C,D2363+1))</f>
        <v/>
      </c>
      <c r="H2363" t="str">
        <f>IF(D2363="","",INDEX(Knutepunkter!$D:$D,D2363+1))</f>
        <v/>
      </c>
      <c r="I2363" t="str">
        <f>IF(E2363="","",INDEX(Knutepunkter!$B:$B,E2363+1))</f>
        <v/>
      </c>
      <c r="J2363" t="str">
        <f>IF(E2363="","",INDEX(Knutepunkter!$C:$C,E2363+1))</f>
        <v/>
      </c>
      <c r="K2363" t="str">
        <f>IF(E2363="","",INDEX(Knutepunkter!$D:$D,E2363+1))</f>
        <v/>
      </c>
      <c r="L2363" t="str">
        <f t="shared" si="183"/>
        <v/>
      </c>
      <c r="M2363" t="str">
        <f t="shared" si="184"/>
        <v/>
      </c>
    </row>
    <row r="2364" spans="1:13" x14ac:dyDescent="0.3">
      <c r="A2364" t="str">
        <f>Segmenter!A2364</f>
        <v/>
      </c>
      <c r="B2364" t="str">
        <f>Segmenter!B2364</f>
        <v/>
      </c>
      <c r="C2364" t="str">
        <f t="shared" si="180"/>
        <v/>
      </c>
      <c r="D2364" t="str">
        <f t="shared" si="181"/>
        <v/>
      </c>
      <c r="E2364" t="str">
        <f t="shared" si="182"/>
        <v/>
      </c>
      <c r="F2364" t="str">
        <f>IF(D2364="","",INDEX(Knutepunkter!$B:$B,D2364+1))</f>
        <v/>
      </c>
      <c r="G2364" t="str">
        <f>IF(D2364="","",INDEX(Knutepunkter!$C:$C,D2364+1))</f>
        <v/>
      </c>
      <c r="H2364" t="str">
        <f>IF(D2364="","",INDEX(Knutepunkter!$D:$D,D2364+1))</f>
        <v/>
      </c>
      <c r="I2364" t="str">
        <f>IF(E2364="","",INDEX(Knutepunkter!$B:$B,E2364+1))</f>
        <v/>
      </c>
      <c r="J2364" t="str">
        <f>IF(E2364="","",INDEX(Knutepunkter!$C:$C,E2364+1))</f>
        <v/>
      </c>
      <c r="K2364" t="str">
        <f>IF(E2364="","",INDEX(Knutepunkter!$D:$D,E2364+1))</f>
        <v/>
      </c>
      <c r="L2364" t="str">
        <f t="shared" si="183"/>
        <v/>
      </c>
      <c r="M2364" t="str">
        <f t="shared" si="184"/>
        <v/>
      </c>
    </row>
    <row r="2365" spans="1:13" x14ac:dyDescent="0.3">
      <c r="A2365" t="str">
        <f>Segmenter!A2365</f>
        <v/>
      </c>
      <c r="B2365" t="str">
        <f>Segmenter!B2365</f>
        <v/>
      </c>
      <c r="C2365" t="str">
        <f t="shared" si="180"/>
        <v/>
      </c>
      <c r="D2365" t="str">
        <f t="shared" si="181"/>
        <v/>
      </c>
      <c r="E2365" t="str">
        <f t="shared" si="182"/>
        <v/>
      </c>
      <c r="F2365" t="str">
        <f>IF(D2365="","",INDEX(Knutepunkter!$B:$B,D2365+1))</f>
        <v/>
      </c>
      <c r="G2365" t="str">
        <f>IF(D2365="","",INDEX(Knutepunkter!$C:$C,D2365+1))</f>
        <v/>
      </c>
      <c r="H2365" t="str">
        <f>IF(D2365="","",INDEX(Knutepunkter!$D:$D,D2365+1))</f>
        <v/>
      </c>
      <c r="I2365" t="str">
        <f>IF(E2365="","",INDEX(Knutepunkter!$B:$B,E2365+1))</f>
        <v/>
      </c>
      <c r="J2365" t="str">
        <f>IF(E2365="","",INDEX(Knutepunkter!$C:$C,E2365+1))</f>
        <v/>
      </c>
      <c r="K2365" t="str">
        <f>IF(E2365="","",INDEX(Knutepunkter!$D:$D,E2365+1))</f>
        <v/>
      </c>
      <c r="L2365" t="str">
        <f t="shared" si="183"/>
        <v/>
      </c>
      <c r="M2365" t="str">
        <f t="shared" si="184"/>
        <v/>
      </c>
    </row>
    <row r="2366" spans="1:13" x14ac:dyDescent="0.3">
      <c r="A2366" t="str">
        <f>Segmenter!A2366</f>
        <v/>
      </c>
      <c r="B2366" t="str">
        <f>Segmenter!B2366</f>
        <v/>
      </c>
      <c r="C2366" t="str">
        <f t="shared" si="180"/>
        <v/>
      </c>
      <c r="D2366" t="str">
        <f t="shared" si="181"/>
        <v/>
      </c>
      <c r="E2366" t="str">
        <f t="shared" si="182"/>
        <v/>
      </c>
      <c r="F2366" t="str">
        <f>IF(D2366="","",INDEX(Knutepunkter!$B:$B,D2366+1))</f>
        <v/>
      </c>
      <c r="G2366" t="str">
        <f>IF(D2366="","",INDEX(Knutepunkter!$C:$C,D2366+1))</f>
        <v/>
      </c>
      <c r="H2366" t="str">
        <f>IF(D2366="","",INDEX(Knutepunkter!$D:$D,D2366+1))</f>
        <v/>
      </c>
      <c r="I2366" t="str">
        <f>IF(E2366="","",INDEX(Knutepunkter!$B:$B,E2366+1))</f>
        <v/>
      </c>
      <c r="J2366" t="str">
        <f>IF(E2366="","",INDEX(Knutepunkter!$C:$C,E2366+1))</f>
        <v/>
      </c>
      <c r="K2366" t="str">
        <f>IF(E2366="","",INDEX(Knutepunkter!$D:$D,E2366+1))</f>
        <v/>
      </c>
      <c r="L2366" t="str">
        <f t="shared" si="183"/>
        <v/>
      </c>
      <c r="M2366" t="str">
        <f t="shared" si="184"/>
        <v/>
      </c>
    </row>
    <row r="2367" spans="1:13" x14ac:dyDescent="0.3">
      <c r="A2367" t="str">
        <f>Segmenter!A2367</f>
        <v/>
      </c>
      <c r="B2367" t="str">
        <f>Segmenter!B2367</f>
        <v/>
      </c>
      <c r="C2367" t="str">
        <f t="shared" si="180"/>
        <v/>
      </c>
      <c r="D2367" t="str">
        <f t="shared" si="181"/>
        <v/>
      </c>
      <c r="E2367" t="str">
        <f t="shared" si="182"/>
        <v/>
      </c>
      <c r="F2367" t="str">
        <f>IF(D2367="","",INDEX(Knutepunkter!$B:$B,D2367+1))</f>
        <v/>
      </c>
      <c r="G2367" t="str">
        <f>IF(D2367="","",INDEX(Knutepunkter!$C:$C,D2367+1))</f>
        <v/>
      </c>
      <c r="H2367" t="str">
        <f>IF(D2367="","",INDEX(Knutepunkter!$D:$D,D2367+1))</f>
        <v/>
      </c>
      <c r="I2367" t="str">
        <f>IF(E2367="","",INDEX(Knutepunkter!$B:$B,E2367+1))</f>
        <v/>
      </c>
      <c r="J2367" t="str">
        <f>IF(E2367="","",INDEX(Knutepunkter!$C:$C,E2367+1))</f>
        <v/>
      </c>
      <c r="K2367" t="str">
        <f>IF(E2367="","",INDEX(Knutepunkter!$D:$D,E2367+1))</f>
        <v/>
      </c>
      <c r="L2367" t="str">
        <f t="shared" si="183"/>
        <v/>
      </c>
      <c r="M2367" t="str">
        <f t="shared" si="184"/>
        <v/>
      </c>
    </row>
    <row r="2368" spans="1:13" x14ac:dyDescent="0.3">
      <c r="A2368" t="str">
        <f>Segmenter!A2368</f>
        <v/>
      </c>
      <c r="B2368" t="str">
        <f>Segmenter!B2368</f>
        <v/>
      </c>
      <c r="C2368" t="str">
        <f t="shared" si="180"/>
        <v/>
      </c>
      <c r="D2368" t="str">
        <f t="shared" si="181"/>
        <v/>
      </c>
      <c r="E2368" t="str">
        <f t="shared" si="182"/>
        <v/>
      </c>
      <c r="F2368" t="str">
        <f>IF(D2368="","",INDEX(Knutepunkter!$B:$B,D2368+1))</f>
        <v/>
      </c>
      <c r="G2368" t="str">
        <f>IF(D2368="","",INDEX(Knutepunkter!$C:$C,D2368+1))</f>
        <v/>
      </c>
      <c r="H2368" t="str">
        <f>IF(D2368="","",INDEX(Knutepunkter!$D:$D,D2368+1))</f>
        <v/>
      </c>
      <c r="I2368" t="str">
        <f>IF(E2368="","",INDEX(Knutepunkter!$B:$B,E2368+1))</f>
        <v/>
      </c>
      <c r="J2368" t="str">
        <f>IF(E2368="","",INDEX(Knutepunkter!$C:$C,E2368+1))</f>
        <v/>
      </c>
      <c r="K2368" t="str">
        <f>IF(E2368="","",INDEX(Knutepunkter!$D:$D,E2368+1))</f>
        <v/>
      </c>
      <c r="L2368" t="str">
        <f t="shared" si="183"/>
        <v/>
      </c>
      <c r="M2368" t="str">
        <f t="shared" si="184"/>
        <v/>
      </c>
    </row>
    <row r="2369" spans="1:13" x14ac:dyDescent="0.3">
      <c r="A2369" t="str">
        <f>Segmenter!A2369</f>
        <v/>
      </c>
      <c r="B2369" t="str">
        <f>Segmenter!B2369</f>
        <v/>
      </c>
      <c r="C2369" t="str">
        <f t="shared" si="180"/>
        <v/>
      </c>
      <c r="D2369" t="str">
        <f t="shared" si="181"/>
        <v/>
      </c>
      <c r="E2369" t="str">
        <f t="shared" si="182"/>
        <v/>
      </c>
      <c r="F2369" t="str">
        <f>IF(D2369="","",INDEX(Knutepunkter!$B:$B,D2369+1))</f>
        <v/>
      </c>
      <c r="G2369" t="str">
        <f>IF(D2369="","",INDEX(Knutepunkter!$C:$C,D2369+1))</f>
        <v/>
      </c>
      <c r="H2369" t="str">
        <f>IF(D2369="","",INDEX(Knutepunkter!$D:$D,D2369+1))</f>
        <v/>
      </c>
      <c r="I2369" t="str">
        <f>IF(E2369="","",INDEX(Knutepunkter!$B:$B,E2369+1))</f>
        <v/>
      </c>
      <c r="J2369" t="str">
        <f>IF(E2369="","",INDEX(Knutepunkter!$C:$C,E2369+1))</f>
        <v/>
      </c>
      <c r="K2369" t="str">
        <f>IF(E2369="","",INDEX(Knutepunkter!$D:$D,E2369+1))</f>
        <v/>
      </c>
      <c r="L2369" t="str">
        <f t="shared" si="183"/>
        <v/>
      </c>
      <c r="M2369" t="str">
        <f t="shared" si="184"/>
        <v/>
      </c>
    </row>
    <row r="2370" spans="1:13" x14ac:dyDescent="0.3">
      <c r="A2370" t="str">
        <f>Segmenter!A2370</f>
        <v/>
      </c>
      <c r="B2370" t="str">
        <f>Segmenter!B2370</f>
        <v/>
      </c>
      <c r="C2370" t="str">
        <f t="shared" ref="C2370:C2433" si="185">IF(B2370="","",IF(AND(F2370=I2370,G2370=J2370,H2370&lt;&gt;K2370),"Søyle","Bjelke"))</f>
        <v/>
      </c>
      <c r="D2370" t="str">
        <f t="shared" ref="D2370:D2433" si="186">IF(B2370="","",VALUE(LEFT(B2370,FIND(" -&gt; ",B2370)-1)))</f>
        <v/>
      </c>
      <c r="E2370" t="str">
        <f t="shared" ref="E2370:E2433" si="187">IF(B2370="","",VALUE(MID(B2370,FIND(" -&gt; ",B2370)+4,99)))</f>
        <v/>
      </c>
      <c r="F2370" t="str">
        <f>IF(D2370="","",INDEX(Knutepunkter!$B:$B,D2370+1))</f>
        <v/>
      </c>
      <c r="G2370" t="str">
        <f>IF(D2370="","",INDEX(Knutepunkter!$C:$C,D2370+1))</f>
        <v/>
      </c>
      <c r="H2370" t="str">
        <f>IF(D2370="","",INDEX(Knutepunkter!$D:$D,D2370+1))</f>
        <v/>
      </c>
      <c r="I2370" t="str">
        <f>IF(E2370="","",INDEX(Knutepunkter!$B:$B,E2370+1))</f>
        <v/>
      </c>
      <c r="J2370" t="str">
        <f>IF(E2370="","",INDEX(Knutepunkter!$C:$C,E2370+1))</f>
        <v/>
      </c>
      <c r="K2370" t="str">
        <f>IF(E2370="","",INDEX(Knutepunkter!$D:$D,E2370+1))</f>
        <v/>
      </c>
      <c r="L2370" t="str">
        <f t="shared" ref="L2370:L2433" si="188">IF(B2370="","",SQRT((I2370-F2370)^2+(J2370-G2370)^2+(K2370-H2370)^2))</f>
        <v/>
      </c>
      <c r="M2370" t="str">
        <f t="shared" ref="M2370:M2433" si="189">IF(L2370="","",L2370/1000)</f>
        <v/>
      </c>
    </row>
    <row r="2371" spans="1:13" x14ac:dyDescent="0.3">
      <c r="A2371" t="str">
        <f>Segmenter!A2371</f>
        <v/>
      </c>
      <c r="B2371" t="str">
        <f>Segmenter!B2371</f>
        <v/>
      </c>
      <c r="C2371" t="str">
        <f t="shared" si="185"/>
        <v/>
      </c>
      <c r="D2371" t="str">
        <f t="shared" si="186"/>
        <v/>
      </c>
      <c r="E2371" t="str">
        <f t="shared" si="187"/>
        <v/>
      </c>
      <c r="F2371" t="str">
        <f>IF(D2371="","",INDEX(Knutepunkter!$B:$B,D2371+1))</f>
        <v/>
      </c>
      <c r="G2371" t="str">
        <f>IF(D2371="","",INDEX(Knutepunkter!$C:$C,D2371+1))</f>
        <v/>
      </c>
      <c r="H2371" t="str">
        <f>IF(D2371="","",INDEX(Knutepunkter!$D:$D,D2371+1))</f>
        <v/>
      </c>
      <c r="I2371" t="str">
        <f>IF(E2371="","",INDEX(Knutepunkter!$B:$B,E2371+1))</f>
        <v/>
      </c>
      <c r="J2371" t="str">
        <f>IF(E2371="","",INDEX(Knutepunkter!$C:$C,E2371+1))</f>
        <v/>
      </c>
      <c r="K2371" t="str">
        <f>IF(E2371="","",INDEX(Knutepunkter!$D:$D,E2371+1))</f>
        <v/>
      </c>
      <c r="L2371" t="str">
        <f t="shared" si="188"/>
        <v/>
      </c>
      <c r="M2371" t="str">
        <f t="shared" si="189"/>
        <v/>
      </c>
    </row>
    <row r="2372" spans="1:13" x14ac:dyDescent="0.3">
      <c r="A2372" t="str">
        <f>Segmenter!A2372</f>
        <v/>
      </c>
      <c r="B2372" t="str">
        <f>Segmenter!B2372</f>
        <v/>
      </c>
      <c r="C2372" t="str">
        <f t="shared" si="185"/>
        <v/>
      </c>
      <c r="D2372" t="str">
        <f t="shared" si="186"/>
        <v/>
      </c>
      <c r="E2372" t="str">
        <f t="shared" si="187"/>
        <v/>
      </c>
      <c r="F2372" t="str">
        <f>IF(D2372="","",INDEX(Knutepunkter!$B:$B,D2372+1))</f>
        <v/>
      </c>
      <c r="G2372" t="str">
        <f>IF(D2372="","",INDEX(Knutepunkter!$C:$C,D2372+1))</f>
        <v/>
      </c>
      <c r="H2372" t="str">
        <f>IF(D2372="","",INDEX(Knutepunkter!$D:$D,D2372+1))</f>
        <v/>
      </c>
      <c r="I2372" t="str">
        <f>IF(E2372="","",INDEX(Knutepunkter!$B:$B,E2372+1))</f>
        <v/>
      </c>
      <c r="J2372" t="str">
        <f>IF(E2372="","",INDEX(Knutepunkter!$C:$C,E2372+1))</f>
        <v/>
      </c>
      <c r="K2372" t="str">
        <f>IF(E2372="","",INDEX(Knutepunkter!$D:$D,E2372+1))</f>
        <v/>
      </c>
      <c r="L2372" t="str">
        <f t="shared" si="188"/>
        <v/>
      </c>
      <c r="M2372" t="str">
        <f t="shared" si="189"/>
        <v/>
      </c>
    </row>
    <row r="2373" spans="1:13" x14ac:dyDescent="0.3">
      <c r="A2373" t="str">
        <f>Segmenter!A2373</f>
        <v/>
      </c>
      <c r="B2373" t="str">
        <f>Segmenter!B2373</f>
        <v/>
      </c>
      <c r="C2373" t="str">
        <f t="shared" si="185"/>
        <v/>
      </c>
      <c r="D2373" t="str">
        <f t="shared" si="186"/>
        <v/>
      </c>
      <c r="E2373" t="str">
        <f t="shared" si="187"/>
        <v/>
      </c>
      <c r="F2373" t="str">
        <f>IF(D2373="","",INDEX(Knutepunkter!$B:$B,D2373+1))</f>
        <v/>
      </c>
      <c r="G2373" t="str">
        <f>IF(D2373="","",INDEX(Knutepunkter!$C:$C,D2373+1))</f>
        <v/>
      </c>
      <c r="H2373" t="str">
        <f>IF(D2373="","",INDEX(Knutepunkter!$D:$D,D2373+1))</f>
        <v/>
      </c>
      <c r="I2373" t="str">
        <f>IF(E2373="","",INDEX(Knutepunkter!$B:$B,E2373+1))</f>
        <v/>
      </c>
      <c r="J2373" t="str">
        <f>IF(E2373="","",INDEX(Knutepunkter!$C:$C,E2373+1))</f>
        <v/>
      </c>
      <c r="K2373" t="str">
        <f>IF(E2373="","",INDEX(Knutepunkter!$D:$D,E2373+1))</f>
        <v/>
      </c>
      <c r="L2373" t="str">
        <f t="shared" si="188"/>
        <v/>
      </c>
      <c r="M2373" t="str">
        <f t="shared" si="189"/>
        <v/>
      </c>
    </row>
    <row r="2374" spans="1:13" x14ac:dyDescent="0.3">
      <c r="A2374" t="str">
        <f>Segmenter!A2374</f>
        <v/>
      </c>
      <c r="B2374" t="str">
        <f>Segmenter!B2374</f>
        <v/>
      </c>
      <c r="C2374" t="str">
        <f t="shared" si="185"/>
        <v/>
      </c>
      <c r="D2374" t="str">
        <f t="shared" si="186"/>
        <v/>
      </c>
      <c r="E2374" t="str">
        <f t="shared" si="187"/>
        <v/>
      </c>
      <c r="F2374" t="str">
        <f>IF(D2374="","",INDEX(Knutepunkter!$B:$B,D2374+1))</f>
        <v/>
      </c>
      <c r="G2374" t="str">
        <f>IF(D2374="","",INDEX(Knutepunkter!$C:$C,D2374+1))</f>
        <v/>
      </c>
      <c r="H2374" t="str">
        <f>IF(D2374="","",INDEX(Knutepunkter!$D:$D,D2374+1))</f>
        <v/>
      </c>
      <c r="I2374" t="str">
        <f>IF(E2374="","",INDEX(Knutepunkter!$B:$B,E2374+1))</f>
        <v/>
      </c>
      <c r="J2374" t="str">
        <f>IF(E2374="","",INDEX(Knutepunkter!$C:$C,E2374+1))</f>
        <v/>
      </c>
      <c r="K2374" t="str">
        <f>IF(E2374="","",INDEX(Knutepunkter!$D:$D,E2374+1))</f>
        <v/>
      </c>
      <c r="L2374" t="str">
        <f t="shared" si="188"/>
        <v/>
      </c>
      <c r="M2374" t="str">
        <f t="shared" si="189"/>
        <v/>
      </c>
    </row>
    <row r="2375" spans="1:13" x14ac:dyDescent="0.3">
      <c r="A2375" t="str">
        <f>Segmenter!A2375</f>
        <v/>
      </c>
      <c r="B2375" t="str">
        <f>Segmenter!B2375</f>
        <v/>
      </c>
      <c r="C2375" t="str">
        <f t="shared" si="185"/>
        <v/>
      </c>
      <c r="D2375" t="str">
        <f t="shared" si="186"/>
        <v/>
      </c>
      <c r="E2375" t="str">
        <f t="shared" si="187"/>
        <v/>
      </c>
      <c r="F2375" t="str">
        <f>IF(D2375="","",INDEX(Knutepunkter!$B:$B,D2375+1))</f>
        <v/>
      </c>
      <c r="G2375" t="str">
        <f>IF(D2375="","",INDEX(Knutepunkter!$C:$C,D2375+1))</f>
        <v/>
      </c>
      <c r="H2375" t="str">
        <f>IF(D2375="","",INDEX(Knutepunkter!$D:$D,D2375+1))</f>
        <v/>
      </c>
      <c r="I2375" t="str">
        <f>IF(E2375="","",INDEX(Knutepunkter!$B:$B,E2375+1))</f>
        <v/>
      </c>
      <c r="J2375" t="str">
        <f>IF(E2375="","",INDEX(Knutepunkter!$C:$C,E2375+1))</f>
        <v/>
      </c>
      <c r="K2375" t="str">
        <f>IF(E2375="","",INDEX(Knutepunkter!$D:$D,E2375+1))</f>
        <v/>
      </c>
      <c r="L2375" t="str">
        <f t="shared" si="188"/>
        <v/>
      </c>
      <c r="M2375" t="str">
        <f t="shared" si="189"/>
        <v/>
      </c>
    </row>
    <row r="2376" spans="1:13" x14ac:dyDescent="0.3">
      <c r="A2376" t="str">
        <f>Segmenter!A2376</f>
        <v/>
      </c>
      <c r="B2376" t="str">
        <f>Segmenter!B2376</f>
        <v/>
      </c>
      <c r="C2376" t="str">
        <f t="shared" si="185"/>
        <v/>
      </c>
      <c r="D2376" t="str">
        <f t="shared" si="186"/>
        <v/>
      </c>
      <c r="E2376" t="str">
        <f t="shared" si="187"/>
        <v/>
      </c>
      <c r="F2376" t="str">
        <f>IF(D2376="","",INDEX(Knutepunkter!$B:$B,D2376+1))</f>
        <v/>
      </c>
      <c r="G2376" t="str">
        <f>IF(D2376="","",INDEX(Knutepunkter!$C:$C,D2376+1))</f>
        <v/>
      </c>
      <c r="H2376" t="str">
        <f>IF(D2376="","",INDEX(Knutepunkter!$D:$D,D2376+1))</f>
        <v/>
      </c>
      <c r="I2376" t="str">
        <f>IF(E2376="","",INDEX(Knutepunkter!$B:$B,E2376+1))</f>
        <v/>
      </c>
      <c r="J2376" t="str">
        <f>IF(E2376="","",INDEX(Knutepunkter!$C:$C,E2376+1))</f>
        <v/>
      </c>
      <c r="K2376" t="str">
        <f>IF(E2376="","",INDEX(Knutepunkter!$D:$D,E2376+1))</f>
        <v/>
      </c>
      <c r="L2376" t="str">
        <f t="shared" si="188"/>
        <v/>
      </c>
      <c r="M2376" t="str">
        <f t="shared" si="189"/>
        <v/>
      </c>
    </row>
    <row r="2377" spans="1:13" x14ac:dyDescent="0.3">
      <c r="A2377" t="str">
        <f>Segmenter!A2377</f>
        <v/>
      </c>
      <c r="B2377" t="str">
        <f>Segmenter!B2377</f>
        <v/>
      </c>
      <c r="C2377" t="str">
        <f t="shared" si="185"/>
        <v/>
      </c>
      <c r="D2377" t="str">
        <f t="shared" si="186"/>
        <v/>
      </c>
      <c r="E2377" t="str">
        <f t="shared" si="187"/>
        <v/>
      </c>
      <c r="F2377" t="str">
        <f>IF(D2377="","",INDEX(Knutepunkter!$B:$B,D2377+1))</f>
        <v/>
      </c>
      <c r="G2377" t="str">
        <f>IF(D2377="","",INDEX(Knutepunkter!$C:$C,D2377+1))</f>
        <v/>
      </c>
      <c r="H2377" t="str">
        <f>IF(D2377="","",INDEX(Knutepunkter!$D:$D,D2377+1))</f>
        <v/>
      </c>
      <c r="I2377" t="str">
        <f>IF(E2377="","",INDEX(Knutepunkter!$B:$B,E2377+1))</f>
        <v/>
      </c>
      <c r="J2377" t="str">
        <f>IF(E2377="","",INDEX(Knutepunkter!$C:$C,E2377+1))</f>
        <v/>
      </c>
      <c r="K2377" t="str">
        <f>IF(E2377="","",INDEX(Knutepunkter!$D:$D,E2377+1))</f>
        <v/>
      </c>
      <c r="L2377" t="str">
        <f t="shared" si="188"/>
        <v/>
      </c>
      <c r="M2377" t="str">
        <f t="shared" si="189"/>
        <v/>
      </c>
    </row>
    <row r="2378" spans="1:13" x14ac:dyDescent="0.3">
      <c r="A2378" t="str">
        <f>Segmenter!A2378</f>
        <v/>
      </c>
      <c r="B2378" t="str">
        <f>Segmenter!B2378</f>
        <v/>
      </c>
      <c r="C2378" t="str">
        <f t="shared" si="185"/>
        <v/>
      </c>
      <c r="D2378" t="str">
        <f t="shared" si="186"/>
        <v/>
      </c>
      <c r="E2378" t="str">
        <f t="shared" si="187"/>
        <v/>
      </c>
      <c r="F2378" t="str">
        <f>IF(D2378="","",INDEX(Knutepunkter!$B:$B,D2378+1))</f>
        <v/>
      </c>
      <c r="G2378" t="str">
        <f>IF(D2378="","",INDEX(Knutepunkter!$C:$C,D2378+1))</f>
        <v/>
      </c>
      <c r="H2378" t="str">
        <f>IF(D2378="","",INDEX(Knutepunkter!$D:$D,D2378+1))</f>
        <v/>
      </c>
      <c r="I2378" t="str">
        <f>IF(E2378="","",INDEX(Knutepunkter!$B:$B,E2378+1))</f>
        <v/>
      </c>
      <c r="J2378" t="str">
        <f>IF(E2378="","",INDEX(Knutepunkter!$C:$C,E2378+1))</f>
        <v/>
      </c>
      <c r="K2378" t="str">
        <f>IF(E2378="","",INDEX(Knutepunkter!$D:$D,E2378+1))</f>
        <v/>
      </c>
      <c r="L2378" t="str">
        <f t="shared" si="188"/>
        <v/>
      </c>
      <c r="M2378" t="str">
        <f t="shared" si="189"/>
        <v/>
      </c>
    </row>
    <row r="2379" spans="1:13" x14ac:dyDescent="0.3">
      <c r="A2379" t="str">
        <f>Segmenter!A2379</f>
        <v/>
      </c>
      <c r="B2379" t="str">
        <f>Segmenter!B2379</f>
        <v/>
      </c>
      <c r="C2379" t="str">
        <f t="shared" si="185"/>
        <v/>
      </c>
      <c r="D2379" t="str">
        <f t="shared" si="186"/>
        <v/>
      </c>
      <c r="E2379" t="str">
        <f t="shared" si="187"/>
        <v/>
      </c>
      <c r="F2379" t="str">
        <f>IF(D2379="","",INDEX(Knutepunkter!$B:$B,D2379+1))</f>
        <v/>
      </c>
      <c r="G2379" t="str">
        <f>IF(D2379="","",INDEX(Knutepunkter!$C:$C,D2379+1))</f>
        <v/>
      </c>
      <c r="H2379" t="str">
        <f>IF(D2379="","",INDEX(Knutepunkter!$D:$D,D2379+1))</f>
        <v/>
      </c>
      <c r="I2379" t="str">
        <f>IF(E2379="","",INDEX(Knutepunkter!$B:$B,E2379+1))</f>
        <v/>
      </c>
      <c r="J2379" t="str">
        <f>IF(E2379="","",INDEX(Knutepunkter!$C:$C,E2379+1))</f>
        <v/>
      </c>
      <c r="K2379" t="str">
        <f>IF(E2379="","",INDEX(Knutepunkter!$D:$D,E2379+1))</f>
        <v/>
      </c>
      <c r="L2379" t="str">
        <f t="shared" si="188"/>
        <v/>
      </c>
      <c r="M2379" t="str">
        <f t="shared" si="189"/>
        <v/>
      </c>
    </row>
    <row r="2380" spans="1:13" x14ac:dyDescent="0.3">
      <c r="A2380" t="str">
        <f>Segmenter!A2380</f>
        <v/>
      </c>
      <c r="B2380" t="str">
        <f>Segmenter!B2380</f>
        <v/>
      </c>
      <c r="C2380" t="str">
        <f t="shared" si="185"/>
        <v/>
      </c>
      <c r="D2380" t="str">
        <f t="shared" si="186"/>
        <v/>
      </c>
      <c r="E2380" t="str">
        <f t="shared" si="187"/>
        <v/>
      </c>
      <c r="F2380" t="str">
        <f>IF(D2380="","",INDEX(Knutepunkter!$B:$B,D2380+1))</f>
        <v/>
      </c>
      <c r="G2380" t="str">
        <f>IF(D2380="","",INDEX(Knutepunkter!$C:$C,D2380+1))</f>
        <v/>
      </c>
      <c r="H2380" t="str">
        <f>IF(D2380="","",INDEX(Knutepunkter!$D:$D,D2380+1))</f>
        <v/>
      </c>
      <c r="I2380" t="str">
        <f>IF(E2380="","",INDEX(Knutepunkter!$B:$B,E2380+1))</f>
        <v/>
      </c>
      <c r="J2380" t="str">
        <f>IF(E2380="","",INDEX(Knutepunkter!$C:$C,E2380+1))</f>
        <v/>
      </c>
      <c r="K2380" t="str">
        <f>IF(E2380="","",INDEX(Knutepunkter!$D:$D,E2380+1))</f>
        <v/>
      </c>
      <c r="L2380" t="str">
        <f t="shared" si="188"/>
        <v/>
      </c>
      <c r="M2380" t="str">
        <f t="shared" si="189"/>
        <v/>
      </c>
    </row>
    <row r="2381" spans="1:13" x14ac:dyDescent="0.3">
      <c r="A2381" t="str">
        <f>Segmenter!A2381</f>
        <v/>
      </c>
      <c r="B2381" t="str">
        <f>Segmenter!B2381</f>
        <v/>
      </c>
      <c r="C2381" t="str">
        <f t="shared" si="185"/>
        <v/>
      </c>
      <c r="D2381" t="str">
        <f t="shared" si="186"/>
        <v/>
      </c>
      <c r="E2381" t="str">
        <f t="shared" si="187"/>
        <v/>
      </c>
      <c r="F2381" t="str">
        <f>IF(D2381="","",INDEX(Knutepunkter!$B:$B,D2381+1))</f>
        <v/>
      </c>
      <c r="G2381" t="str">
        <f>IF(D2381="","",INDEX(Knutepunkter!$C:$C,D2381+1))</f>
        <v/>
      </c>
      <c r="H2381" t="str">
        <f>IF(D2381="","",INDEX(Knutepunkter!$D:$D,D2381+1))</f>
        <v/>
      </c>
      <c r="I2381" t="str">
        <f>IF(E2381="","",INDEX(Knutepunkter!$B:$B,E2381+1))</f>
        <v/>
      </c>
      <c r="J2381" t="str">
        <f>IF(E2381="","",INDEX(Knutepunkter!$C:$C,E2381+1))</f>
        <v/>
      </c>
      <c r="K2381" t="str">
        <f>IF(E2381="","",INDEX(Knutepunkter!$D:$D,E2381+1))</f>
        <v/>
      </c>
      <c r="L2381" t="str">
        <f t="shared" si="188"/>
        <v/>
      </c>
      <c r="M2381" t="str">
        <f t="shared" si="189"/>
        <v/>
      </c>
    </row>
    <row r="2382" spans="1:13" x14ac:dyDescent="0.3">
      <c r="A2382" t="str">
        <f>Segmenter!A2382</f>
        <v/>
      </c>
      <c r="B2382" t="str">
        <f>Segmenter!B2382</f>
        <v/>
      </c>
      <c r="C2382" t="str">
        <f t="shared" si="185"/>
        <v/>
      </c>
      <c r="D2382" t="str">
        <f t="shared" si="186"/>
        <v/>
      </c>
      <c r="E2382" t="str">
        <f t="shared" si="187"/>
        <v/>
      </c>
      <c r="F2382" t="str">
        <f>IF(D2382="","",INDEX(Knutepunkter!$B:$B,D2382+1))</f>
        <v/>
      </c>
      <c r="G2382" t="str">
        <f>IF(D2382="","",INDEX(Knutepunkter!$C:$C,D2382+1))</f>
        <v/>
      </c>
      <c r="H2382" t="str">
        <f>IF(D2382="","",INDEX(Knutepunkter!$D:$D,D2382+1))</f>
        <v/>
      </c>
      <c r="I2382" t="str">
        <f>IF(E2382="","",INDEX(Knutepunkter!$B:$B,E2382+1))</f>
        <v/>
      </c>
      <c r="J2382" t="str">
        <f>IF(E2382="","",INDEX(Knutepunkter!$C:$C,E2382+1))</f>
        <v/>
      </c>
      <c r="K2382" t="str">
        <f>IF(E2382="","",INDEX(Knutepunkter!$D:$D,E2382+1))</f>
        <v/>
      </c>
      <c r="L2382" t="str">
        <f t="shared" si="188"/>
        <v/>
      </c>
      <c r="M2382" t="str">
        <f t="shared" si="189"/>
        <v/>
      </c>
    </row>
    <row r="2383" spans="1:13" x14ac:dyDescent="0.3">
      <c r="A2383" t="str">
        <f>Segmenter!A2383</f>
        <v/>
      </c>
      <c r="B2383" t="str">
        <f>Segmenter!B2383</f>
        <v/>
      </c>
      <c r="C2383" t="str">
        <f t="shared" si="185"/>
        <v/>
      </c>
      <c r="D2383" t="str">
        <f t="shared" si="186"/>
        <v/>
      </c>
      <c r="E2383" t="str">
        <f t="shared" si="187"/>
        <v/>
      </c>
      <c r="F2383" t="str">
        <f>IF(D2383="","",INDEX(Knutepunkter!$B:$B,D2383+1))</f>
        <v/>
      </c>
      <c r="G2383" t="str">
        <f>IF(D2383="","",INDEX(Knutepunkter!$C:$C,D2383+1))</f>
        <v/>
      </c>
      <c r="H2383" t="str">
        <f>IF(D2383="","",INDEX(Knutepunkter!$D:$D,D2383+1))</f>
        <v/>
      </c>
      <c r="I2383" t="str">
        <f>IF(E2383="","",INDEX(Knutepunkter!$B:$B,E2383+1))</f>
        <v/>
      </c>
      <c r="J2383" t="str">
        <f>IF(E2383="","",INDEX(Knutepunkter!$C:$C,E2383+1))</f>
        <v/>
      </c>
      <c r="K2383" t="str">
        <f>IF(E2383="","",INDEX(Knutepunkter!$D:$D,E2383+1))</f>
        <v/>
      </c>
      <c r="L2383" t="str">
        <f t="shared" si="188"/>
        <v/>
      </c>
      <c r="M2383" t="str">
        <f t="shared" si="189"/>
        <v/>
      </c>
    </row>
    <row r="2384" spans="1:13" x14ac:dyDescent="0.3">
      <c r="A2384" t="str">
        <f>Segmenter!A2384</f>
        <v/>
      </c>
      <c r="B2384" t="str">
        <f>Segmenter!B2384</f>
        <v/>
      </c>
      <c r="C2384" t="str">
        <f t="shared" si="185"/>
        <v/>
      </c>
      <c r="D2384" t="str">
        <f t="shared" si="186"/>
        <v/>
      </c>
      <c r="E2384" t="str">
        <f t="shared" si="187"/>
        <v/>
      </c>
      <c r="F2384" t="str">
        <f>IF(D2384="","",INDEX(Knutepunkter!$B:$B,D2384+1))</f>
        <v/>
      </c>
      <c r="G2384" t="str">
        <f>IF(D2384="","",INDEX(Knutepunkter!$C:$C,D2384+1))</f>
        <v/>
      </c>
      <c r="H2384" t="str">
        <f>IF(D2384="","",INDEX(Knutepunkter!$D:$D,D2384+1))</f>
        <v/>
      </c>
      <c r="I2384" t="str">
        <f>IF(E2384="","",INDEX(Knutepunkter!$B:$B,E2384+1))</f>
        <v/>
      </c>
      <c r="J2384" t="str">
        <f>IF(E2384="","",INDEX(Knutepunkter!$C:$C,E2384+1))</f>
        <v/>
      </c>
      <c r="K2384" t="str">
        <f>IF(E2384="","",INDEX(Knutepunkter!$D:$D,E2384+1))</f>
        <v/>
      </c>
      <c r="L2384" t="str">
        <f t="shared" si="188"/>
        <v/>
      </c>
      <c r="M2384" t="str">
        <f t="shared" si="189"/>
        <v/>
      </c>
    </row>
    <row r="2385" spans="1:13" x14ac:dyDescent="0.3">
      <c r="A2385" t="str">
        <f>Segmenter!A2385</f>
        <v/>
      </c>
      <c r="B2385" t="str">
        <f>Segmenter!B2385</f>
        <v/>
      </c>
      <c r="C2385" t="str">
        <f t="shared" si="185"/>
        <v/>
      </c>
      <c r="D2385" t="str">
        <f t="shared" si="186"/>
        <v/>
      </c>
      <c r="E2385" t="str">
        <f t="shared" si="187"/>
        <v/>
      </c>
      <c r="F2385" t="str">
        <f>IF(D2385="","",INDEX(Knutepunkter!$B:$B,D2385+1))</f>
        <v/>
      </c>
      <c r="G2385" t="str">
        <f>IF(D2385="","",INDEX(Knutepunkter!$C:$C,D2385+1))</f>
        <v/>
      </c>
      <c r="H2385" t="str">
        <f>IF(D2385="","",INDEX(Knutepunkter!$D:$D,D2385+1))</f>
        <v/>
      </c>
      <c r="I2385" t="str">
        <f>IF(E2385="","",INDEX(Knutepunkter!$B:$B,E2385+1))</f>
        <v/>
      </c>
      <c r="J2385" t="str">
        <f>IF(E2385="","",INDEX(Knutepunkter!$C:$C,E2385+1))</f>
        <v/>
      </c>
      <c r="K2385" t="str">
        <f>IF(E2385="","",INDEX(Knutepunkter!$D:$D,E2385+1))</f>
        <v/>
      </c>
      <c r="L2385" t="str">
        <f t="shared" si="188"/>
        <v/>
      </c>
      <c r="M2385" t="str">
        <f t="shared" si="189"/>
        <v/>
      </c>
    </row>
    <row r="2386" spans="1:13" x14ac:dyDescent="0.3">
      <c r="A2386" t="str">
        <f>Segmenter!A2386</f>
        <v/>
      </c>
      <c r="B2386" t="str">
        <f>Segmenter!B2386</f>
        <v/>
      </c>
      <c r="C2386" t="str">
        <f t="shared" si="185"/>
        <v/>
      </c>
      <c r="D2386" t="str">
        <f t="shared" si="186"/>
        <v/>
      </c>
      <c r="E2386" t="str">
        <f t="shared" si="187"/>
        <v/>
      </c>
      <c r="F2386" t="str">
        <f>IF(D2386="","",INDEX(Knutepunkter!$B:$B,D2386+1))</f>
        <v/>
      </c>
      <c r="G2386" t="str">
        <f>IF(D2386="","",INDEX(Knutepunkter!$C:$C,D2386+1))</f>
        <v/>
      </c>
      <c r="H2386" t="str">
        <f>IF(D2386="","",INDEX(Knutepunkter!$D:$D,D2386+1))</f>
        <v/>
      </c>
      <c r="I2386" t="str">
        <f>IF(E2386="","",INDEX(Knutepunkter!$B:$B,E2386+1))</f>
        <v/>
      </c>
      <c r="J2386" t="str">
        <f>IF(E2386="","",INDEX(Knutepunkter!$C:$C,E2386+1))</f>
        <v/>
      </c>
      <c r="K2386" t="str">
        <f>IF(E2386="","",INDEX(Knutepunkter!$D:$D,E2386+1))</f>
        <v/>
      </c>
      <c r="L2386" t="str">
        <f t="shared" si="188"/>
        <v/>
      </c>
      <c r="M2386" t="str">
        <f t="shared" si="189"/>
        <v/>
      </c>
    </row>
    <row r="2387" spans="1:13" x14ac:dyDescent="0.3">
      <c r="A2387" t="str">
        <f>Segmenter!A2387</f>
        <v/>
      </c>
      <c r="B2387" t="str">
        <f>Segmenter!B2387</f>
        <v/>
      </c>
      <c r="C2387" t="str">
        <f t="shared" si="185"/>
        <v/>
      </c>
      <c r="D2387" t="str">
        <f t="shared" si="186"/>
        <v/>
      </c>
      <c r="E2387" t="str">
        <f t="shared" si="187"/>
        <v/>
      </c>
      <c r="F2387" t="str">
        <f>IF(D2387="","",INDEX(Knutepunkter!$B:$B,D2387+1))</f>
        <v/>
      </c>
      <c r="G2387" t="str">
        <f>IF(D2387="","",INDEX(Knutepunkter!$C:$C,D2387+1))</f>
        <v/>
      </c>
      <c r="H2387" t="str">
        <f>IF(D2387="","",INDEX(Knutepunkter!$D:$D,D2387+1))</f>
        <v/>
      </c>
      <c r="I2387" t="str">
        <f>IF(E2387="","",INDEX(Knutepunkter!$B:$B,E2387+1))</f>
        <v/>
      </c>
      <c r="J2387" t="str">
        <f>IF(E2387="","",INDEX(Knutepunkter!$C:$C,E2387+1))</f>
        <v/>
      </c>
      <c r="K2387" t="str">
        <f>IF(E2387="","",INDEX(Knutepunkter!$D:$D,E2387+1))</f>
        <v/>
      </c>
      <c r="L2387" t="str">
        <f t="shared" si="188"/>
        <v/>
      </c>
      <c r="M2387" t="str">
        <f t="shared" si="189"/>
        <v/>
      </c>
    </row>
    <row r="2388" spans="1:13" x14ac:dyDescent="0.3">
      <c r="A2388" t="str">
        <f>Segmenter!A2388</f>
        <v/>
      </c>
      <c r="B2388" t="str">
        <f>Segmenter!B2388</f>
        <v/>
      </c>
      <c r="C2388" t="str">
        <f t="shared" si="185"/>
        <v/>
      </c>
      <c r="D2388" t="str">
        <f t="shared" si="186"/>
        <v/>
      </c>
      <c r="E2388" t="str">
        <f t="shared" si="187"/>
        <v/>
      </c>
      <c r="F2388" t="str">
        <f>IF(D2388="","",INDEX(Knutepunkter!$B:$B,D2388+1))</f>
        <v/>
      </c>
      <c r="G2388" t="str">
        <f>IF(D2388="","",INDEX(Knutepunkter!$C:$C,D2388+1))</f>
        <v/>
      </c>
      <c r="H2388" t="str">
        <f>IF(D2388="","",INDEX(Knutepunkter!$D:$D,D2388+1))</f>
        <v/>
      </c>
      <c r="I2388" t="str">
        <f>IF(E2388="","",INDEX(Knutepunkter!$B:$B,E2388+1))</f>
        <v/>
      </c>
      <c r="J2388" t="str">
        <f>IF(E2388="","",INDEX(Knutepunkter!$C:$C,E2388+1))</f>
        <v/>
      </c>
      <c r="K2388" t="str">
        <f>IF(E2388="","",INDEX(Knutepunkter!$D:$D,E2388+1))</f>
        <v/>
      </c>
      <c r="L2388" t="str">
        <f t="shared" si="188"/>
        <v/>
      </c>
      <c r="M2388" t="str">
        <f t="shared" si="189"/>
        <v/>
      </c>
    </row>
    <row r="2389" spans="1:13" x14ac:dyDescent="0.3">
      <c r="A2389" t="str">
        <f>Segmenter!A2389</f>
        <v/>
      </c>
      <c r="B2389" t="str">
        <f>Segmenter!B2389</f>
        <v/>
      </c>
      <c r="C2389" t="str">
        <f t="shared" si="185"/>
        <v/>
      </c>
      <c r="D2389" t="str">
        <f t="shared" si="186"/>
        <v/>
      </c>
      <c r="E2389" t="str">
        <f t="shared" si="187"/>
        <v/>
      </c>
      <c r="F2389" t="str">
        <f>IF(D2389="","",INDEX(Knutepunkter!$B:$B,D2389+1))</f>
        <v/>
      </c>
      <c r="G2389" t="str">
        <f>IF(D2389="","",INDEX(Knutepunkter!$C:$C,D2389+1))</f>
        <v/>
      </c>
      <c r="H2389" t="str">
        <f>IF(D2389="","",INDEX(Knutepunkter!$D:$D,D2389+1))</f>
        <v/>
      </c>
      <c r="I2389" t="str">
        <f>IF(E2389="","",INDEX(Knutepunkter!$B:$B,E2389+1))</f>
        <v/>
      </c>
      <c r="J2389" t="str">
        <f>IF(E2389="","",INDEX(Knutepunkter!$C:$C,E2389+1))</f>
        <v/>
      </c>
      <c r="K2389" t="str">
        <f>IF(E2389="","",INDEX(Knutepunkter!$D:$D,E2389+1))</f>
        <v/>
      </c>
      <c r="L2389" t="str">
        <f t="shared" si="188"/>
        <v/>
      </c>
      <c r="M2389" t="str">
        <f t="shared" si="189"/>
        <v/>
      </c>
    </row>
    <row r="2390" spans="1:13" x14ac:dyDescent="0.3">
      <c r="A2390" t="str">
        <f>Segmenter!A2390</f>
        <v/>
      </c>
      <c r="B2390" t="str">
        <f>Segmenter!B2390</f>
        <v/>
      </c>
      <c r="C2390" t="str">
        <f t="shared" si="185"/>
        <v/>
      </c>
      <c r="D2390" t="str">
        <f t="shared" si="186"/>
        <v/>
      </c>
      <c r="E2390" t="str">
        <f t="shared" si="187"/>
        <v/>
      </c>
      <c r="F2390" t="str">
        <f>IF(D2390="","",INDEX(Knutepunkter!$B:$B,D2390+1))</f>
        <v/>
      </c>
      <c r="G2390" t="str">
        <f>IF(D2390="","",INDEX(Knutepunkter!$C:$C,D2390+1))</f>
        <v/>
      </c>
      <c r="H2390" t="str">
        <f>IF(D2390="","",INDEX(Knutepunkter!$D:$D,D2390+1))</f>
        <v/>
      </c>
      <c r="I2390" t="str">
        <f>IF(E2390="","",INDEX(Knutepunkter!$B:$B,E2390+1))</f>
        <v/>
      </c>
      <c r="J2390" t="str">
        <f>IF(E2390="","",INDEX(Knutepunkter!$C:$C,E2390+1))</f>
        <v/>
      </c>
      <c r="K2390" t="str">
        <f>IF(E2390="","",INDEX(Knutepunkter!$D:$D,E2390+1))</f>
        <v/>
      </c>
      <c r="L2390" t="str">
        <f t="shared" si="188"/>
        <v/>
      </c>
      <c r="M2390" t="str">
        <f t="shared" si="189"/>
        <v/>
      </c>
    </row>
    <row r="2391" spans="1:13" x14ac:dyDescent="0.3">
      <c r="A2391" t="str">
        <f>Segmenter!A2391</f>
        <v/>
      </c>
      <c r="B2391" t="str">
        <f>Segmenter!B2391</f>
        <v/>
      </c>
      <c r="C2391" t="str">
        <f t="shared" si="185"/>
        <v/>
      </c>
      <c r="D2391" t="str">
        <f t="shared" si="186"/>
        <v/>
      </c>
      <c r="E2391" t="str">
        <f t="shared" si="187"/>
        <v/>
      </c>
      <c r="F2391" t="str">
        <f>IF(D2391="","",INDEX(Knutepunkter!$B:$B,D2391+1))</f>
        <v/>
      </c>
      <c r="G2391" t="str">
        <f>IF(D2391="","",INDEX(Knutepunkter!$C:$C,D2391+1))</f>
        <v/>
      </c>
      <c r="H2391" t="str">
        <f>IF(D2391="","",INDEX(Knutepunkter!$D:$D,D2391+1))</f>
        <v/>
      </c>
      <c r="I2391" t="str">
        <f>IF(E2391="","",INDEX(Knutepunkter!$B:$B,E2391+1))</f>
        <v/>
      </c>
      <c r="J2391" t="str">
        <f>IF(E2391="","",INDEX(Knutepunkter!$C:$C,E2391+1))</f>
        <v/>
      </c>
      <c r="K2391" t="str">
        <f>IF(E2391="","",INDEX(Knutepunkter!$D:$D,E2391+1))</f>
        <v/>
      </c>
      <c r="L2391" t="str">
        <f t="shared" si="188"/>
        <v/>
      </c>
      <c r="M2391" t="str">
        <f t="shared" si="189"/>
        <v/>
      </c>
    </row>
    <row r="2392" spans="1:13" x14ac:dyDescent="0.3">
      <c r="A2392" t="str">
        <f>Segmenter!A2392</f>
        <v/>
      </c>
      <c r="B2392" t="str">
        <f>Segmenter!B2392</f>
        <v/>
      </c>
      <c r="C2392" t="str">
        <f t="shared" si="185"/>
        <v/>
      </c>
      <c r="D2392" t="str">
        <f t="shared" si="186"/>
        <v/>
      </c>
      <c r="E2392" t="str">
        <f t="shared" si="187"/>
        <v/>
      </c>
      <c r="F2392" t="str">
        <f>IF(D2392="","",INDEX(Knutepunkter!$B:$B,D2392+1))</f>
        <v/>
      </c>
      <c r="G2392" t="str">
        <f>IF(D2392="","",INDEX(Knutepunkter!$C:$C,D2392+1))</f>
        <v/>
      </c>
      <c r="H2392" t="str">
        <f>IF(D2392="","",INDEX(Knutepunkter!$D:$D,D2392+1))</f>
        <v/>
      </c>
      <c r="I2392" t="str">
        <f>IF(E2392="","",INDEX(Knutepunkter!$B:$B,E2392+1))</f>
        <v/>
      </c>
      <c r="J2392" t="str">
        <f>IF(E2392="","",INDEX(Knutepunkter!$C:$C,E2392+1))</f>
        <v/>
      </c>
      <c r="K2392" t="str">
        <f>IF(E2392="","",INDEX(Knutepunkter!$D:$D,E2392+1))</f>
        <v/>
      </c>
      <c r="L2392" t="str">
        <f t="shared" si="188"/>
        <v/>
      </c>
      <c r="M2392" t="str">
        <f t="shared" si="189"/>
        <v/>
      </c>
    </row>
    <row r="2393" spans="1:13" x14ac:dyDescent="0.3">
      <c r="A2393" t="str">
        <f>Segmenter!A2393</f>
        <v/>
      </c>
      <c r="B2393" t="str">
        <f>Segmenter!B2393</f>
        <v/>
      </c>
      <c r="C2393" t="str">
        <f t="shared" si="185"/>
        <v/>
      </c>
      <c r="D2393" t="str">
        <f t="shared" si="186"/>
        <v/>
      </c>
      <c r="E2393" t="str">
        <f t="shared" si="187"/>
        <v/>
      </c>
      <c r="F2393" t="str">
        <f>IF(D2393="","",INDEX(Knutepunkter!$B:$B,D2393+1))</f>
        <v/>
      </c>
      <c r="G2393" t="str">
        <f>IF(D2393="","",INDEX(Knutepunkter!$C:$C,D2393+1))</f>
        <v/>
      </c>
      <c r="H2393" t="str">
        <f>IF(D2393="","",INDEX(Knutepunkter!$D:$D,D2393+1))</f>
        <v/>
      </c>
      <c r="I2393" t="str">
        <f>IF(E2393="","",INDEX(Knutepunkter!$B:$B,E2393+1))</f>
        <v/>
      </c>
      <c r="J2393" t="str">
        <f>IF(E2393="","",INDEX(Knutepunkter!$C:$C,E2393+1))</f>
        <v/>
      </c>
      <c r="K2393" t="str">
        <f>IF(E2393="","",INDEX(Knutepunkter!$D:$D,E2393+1))</f>
        <v/>
      </c>
      <c r="L2393" t="str">
        <f t="shared" si="188"/>
        <v/>
      </c>
      <c r="M2393" t="str">
        <f t="shared" si="189"/>
        <v/>
      </c>
    </row>
    <row r="2394" spans="1:13" x14ac:dyDescent="0.3">
      <c r="A2394" t="str">
        <f>Segmenter!A2394</f>
        <v/>
      </c>
      <c r="B2394" t="str">
        <f>Segmenter!B2394</f>
        <v/>
      </c>
      <c r="C2394" t="str">
        <f t="shared" si="185"/>
        <v/>
      </c>
      <c r="D2394" t="str">
        <f t="shared" si="186"/>
        <v/>
      </c>
      <c r="E2394" t="str">
        <f t="shared" si="187"/>
        <v/>
      </c>
      <c r="F2394" t="str">
        <f>IF(D2394="","",INDEX(Knutepunkter!$B:$B,D2394+1))</f>
        <v/>
      </c>
      <c r="G2394" t="str">
        <f>IF(D2394="","",INDEX(Knutepunkter!$C:$C,D2394+1))</f>
        <v/>
      </c>
      <c r="H2394" t="str">
        <f>IF(D2394="","",INDEX(Knutepunkter!$D:$D,D2394+1))</f>
        <v/>
      </c>
      <c r="I2394" t="str">
        <f>IF(E2394="","",INDEX(Knutepunkter!$B:$B,E2394+1))</f>
        <v/>
      </c>
      <c r="J2394" t="str">
        <f>IF(E2394="","",INDEX(Knutepunkter!$C:$C,E2394+1))</f>
        <v/>
      </c>
      <c r="K2394" t="str">
        <f>IF(E2394="","",INDEX(Knutepunkter!$D:$D,E2394+1))</f>
        <v/>
      </c>
      <c r="L2394" t="str">
        <f t="shared" si="188"/>
        <v/>
      </c>
      <c r="M2394" t="str">
        <f t="shared" si="189"/>
        <v/>
      </c>
    </row>
    <row r="2395" spans="1:13" x14ac:dyDescent="0.3">
      <c r="A2395" t="str">
        <f>Segmenter!A2395</f>
        <v/>
      </c>
      <c r="B2395" t="str">
        <f>Segmenter!B2395</f>
        <v/>
      </c>
      <c r="C2395" t="str">
        <f t="shared" si="185"/>
        <v/>
      </c>
      <c r="D2395" t="str">
        <f t="shared" si="186"/>
        <v/>
      </c>
      <c r="E2395" t="str">
        <f t="shared" si="187"/>
        <v/>
      </c>
      <c r="F2395" t="str">
        <f>IF(D2395="","",INDEX(Knutepunkter!$B:$B,D2395+1))</f>
        <v/>
      </c>
      <c r="G2395" t="str">
        <f>IF(D2395="","",INDEX(Knutepunkter!$C:$C,D2395+1))</f>
        <v/>
      </c>
      <c r="H2395" t="str">
        <f>IF(D2395="","",INDEX(Knutepunkter!$D:$D,D2395+1))</f>
        <v/>
      </c>
      <c r="I2395" t="str">
        <f>IF(E2395="","",INDEX(Knutepunkter!$B:$B,E2395+1))</f>
        <v/>
      </c>
      <c r="J2395" t="str">
        <f>IF(E2395="","",INDEX(Knutepunkter!$C:$C,E2395+1))</f>
        <v/>
      </c>
      <c r="K2395" t="str">
        <f>IF(E2395="","",INDEX(Knutepunkter!$D:$D,E2395+1))</f>
        <v/>
      </c>
      <c r="L2395" t="str">
        <f t="shared" si="188"/>
        <v/>
      </c>
      <c r="M2395" t="str">
        <f t="shared" si="189"/>
        <v/>
      </c>
    </row>
    <row r="2396" spans="1:13" x14ac:dyDescent="0.3">
      <c r="A2396" t="str">
        <f>Segmenter!A2396</f>
        <v/>
      </c>
      <c r="B2396" t="str">
        <f>Segmenter!B2396</f>
        <v/>
      </c>
      <c r="C2396" t="str">
        <f t="shared" si="185"/>
        <v/>
      </c>
      <c r="D2396" t="str">
        <f t="shared" si="186"/>
        <v/>
      </c>
      <c r="E2396" t="str">
        <f t="shared" si="187"/>
        <v/>
      </c>
      <c r="F2396" t="str">
        <f>IF(D2396="","",INDEX(Knutepunkter!$B:$B,D2396+1))</f>
        <v/>
      </c>
      <c r="G2396" t="str">
        <f>IF(D2396="","",INDEX(Knutepunkter!$C:$C,D2396+1))</f>
        <v/>
      </c>
      <c r="H2396" t="str">
        <f>IF(D2396="","",INDEX(Knutepunkter!$D:$D,D2396+1))</f>
        <v/>
      </c>
      <c r="I2396" t="str">
        <f>IF(E2396="","",INDEX(Knutepunkter!$B:$B,E2396+1))</f>
        <v/>
      </c>
      <c r="J2396" t="str">
        <f>IF(E2396="","",INDEX(Knutepunkter!$C:$C,E2396+1))</f>
        <v/>
      </c>
      <c r="K2396" t="str">
        <f>IF(E2396="","",INDEX(Knutepunkter!$D:$D,E2396+1))</f>
        <v/>
      </c>
      <c r="L2396" t="str">
        <f t="shared" si="188"/>
        <v/>
      </c>
      <c r="M2396" t="str">
        <f t="shared" si="189"/>
        <v/>
      </c>
    </row>
    <row r="2397" spans="1:13" x14ac:dyDescent="0.3">
      <c r="A2397" t="str">
        <f>Segmenter!A2397</f>
        <v/>
      </c>
      <c r="B2397" t="str">
        <f>Segmenter!B2397</f>
        <v/>
      </c>
      <c r="C2397" t="str">
        <f t="shared" si="185"/>
        <v/>
      </c>
      <c r="D2397" t="str">
        <f t="shared" si="186"/>
        <v/>
      </c>
      <c r="E2397" t="str">
        <f t="shared" si="187"/>
        <v/>
      </c>
      <c r="F2397" t="str">
        <f>IF(D2397="","",INDEX(Knutepunkter!$B:$B,D2397+1))</f>
        <v/>
      </c>
      <c r="G2397" t="str">
        <f>IF(D2397="","",INDEX(Knutepunkter!$C:$C,D2397+1))</f>
        <v/>
      </c>
      <c r="H2397" t="str">
        <f>IF(D2397="","",INDEX(Knutepunkter!$D:$D,D2397+1))</f>
        <v/>
      </c>
      <c r="I2397" t="str">
        <f>IF(E2397="","",INDEX(Knutepunkter!$B:$B,E2397+1))</f>
        <v/>
      </c>
      <c r="J2397" t="str">
        <f>IF(E2397="","",INDEX(Knutepunkter!$C:$C,E2397+1))</f>
        <v/>
      </c>
      <c r="K2397" t="str">
        <f>IF(E2397="","",INDEX(Knutepunkter!$D:$D,E2397+1))</f>
        <v/>
      </c>
      <c r="L2397" t="str">
        <f t="shared" si="188"/>
        <v/>
      </c>
      <c r="M2397" t="str">
        <f t="shared" si="189"/>
        <v/>
      </c>
    </row>
    <row r="2398" spans="1:13" x14ac:dyDescent="0.3">
      <c r="A2398" t="str">
        <f>Segmenter!A2398</f>
        <v/>
      </c>
      <c r="B2398" t="str">
        <f>Segmenter!B2398</f>
        <v/>
      </c>
      <c r="C2398" t="str">
        <f t="shared" si="185"/>
        <v/>
      </c>
      <c r="D2398" t="str">
        <f t="shared" si="186"/>
        <v/>
      </c>
      <c r="E2398" t="str">
        <f t="shared" si="187"/>
        <v/>
      </c>
      <c r="F2398" t="str">
        <f>IF(D2398="","",INDEX(Knutepunkter!$B:$B,D2398+1))</f>
        <v/>
      </c>
      <c r="G2398" t="str">
        <f>IF(D2398="","",INDEX(Knutepunkter!$C:$C,D2398+1))</f>
        <v/>
      </c>
      <c r="H2398" t="str">
        <f>IF(D2398="","",INDEX(Knutepunkter!$D:$D,D2398+1))</f>
        <v/>
      </c>
      <c r="I2398" t="str">
        <f>IF(E2398="","",INDEX(Knutepunkter!$B:$B,E2398+1))</f>
        <v/>
      </c>
      <c r="J2398" t="str">
        <f>IF(E2398="","",INDEX(Knutepunkter!$C:$C,E2398+1))</f>
        <v/>
      </c>
      <c r="K2398" t="str">
        <f>IF(E2398="","",INDEX(Knutepunkter!$D:$D,E2398+1))</f>
        <v/>
      </c>
      <c r="L2398" t="str">
        <f t="shared" si="188"/>
        <v/>
      </c>
      <c r="M2398" t="str">
        <f t="shared" si="189"/>
        <v/>
      </c>
    </row>
    <row r="2399" spans="1:13" x14ac:dyDescent="0.3">
      <c r="A2399" t="str">
        <f>Segmenter!A2399</f>
        <v/>
      </c>
      <c r="B2399" t="str">
        <f>Segmenter!B2399</f>
        <v/>
      </c>
      <c r="C2399" t="str">
        <f t="shared" si="185"/>
        <v/>
      </c>
      <c r="D2399" t="str">
        <f t="shared" si="186"/>
        <v/>
      </c>
      <c r="E2399" t="str">
        <f t="shared" si="187"/>
        <v/>
      </c>
      <c r="F2399" t="str">
        <f>IF(D2399="","",INDEX(Knutepunkter!$B:$B,D2399+1))</f>
        <v/>
      </c>
      <c r="G2399" t="str">
        <f>IF(D2399="","",INDEX(Knutepunkter!$C:$C,D2399+1))</f>
        <v/>
      </c>
      <c r="H2399" t="str">
        <f>IF(D2399="","",INDEX(Knutepunkter!$D:$D,D2399+1))</f>
        <v/>
      </c>
      <c r="I2399" t="str">
        <f>IF(E2399="","",INDEX(Knutepunkter!$B:$B,E2399+1))</f>
        <v/>
      </c>
      <c r="J2399" t="str">
        <f>IF(E2399="","",INDEX(Knutepunkter!$C:$C,E2399+1))</f>
        <v/>
      </c>
      <c r="K2399" t="str">
        <f>IF(E2399="","",INDEX(Knutepunkter!$D:$D,E2399+1))</f>
        <v/>
      </c>
      <c r="L2399" t="str">
        <f t="shared" si="188"/>
        <v/>
      </c>
      <c r="M2399" t="str">
        <f t="shared" si="189"/>
        <v/>
      </c>
    </row>
    <row r="2400" spans="1:13" x14ac:dyDescent="0.3">
      <c r="A2400" t="str">
        <f>Segmenter!A2400</f>
        <v/>
      </c>
      <c r="B2400" t="str">
        <f>Segmenter!B2400</f>
        <v/>
      </c>
      <c r="C2400" t="str">
        <f t="shared" si="185"/>
        <v/>
      </c>
      <c r="D2400" t="str">
        <f t="shared" si="186"/>
        <v/>
      </c>
      <c r="E2400" t="str">
        <f t="shared" si="187"/>
        <v/>
      </c>
      <c r="F2400" t="str">
        <f>IF(D2400="","",INDEX(Knutepunkter!$B:$B,D2400+1))</f>
        <v/>
      </c>
      <c r="G2400" t="str">
        <f>IF(D2400="","",INDEX(Knutepunkter!$C:$C,D2400+1))</f>
        <v/>
      </c>
      <c r="H2400" t="str">
        <f>IF(D2400="","",INDEX(Knutepunkter!$D:$D,D2400+1))</f>
        <v/>
      </c>
      <c r="I2400" t="str">
        <f>IF(E2400="","",INDEX(Knutepunkter!$B:$B,E2400+1))</f>
        <v/>
      </c>
      <c r="J2400" t="str">
        <f>IF(E2400="","",INDEX(Knutepunkter!$C:$C,E2400+1))</f>
        <v/>
      </c>
      <c r="K2400" t="str">
        <f>IF(E2400="","",INDEX(Knutepunkter!$D:$D,E2400+1))</f>
        <v/>
      </c>
      <c r="L2400" t="str">
        <f t="shared" si="188"/>
        <v/>
      </c>
      <c r="M2400" t="str">
        <f t="shared" si="189"/>
        <v/>
      </c>
    </row>
    <row r="2401" spans="1:13" x14ac:dyDescent="0.3">
      <c r="A2401" t="str">
        <f>Segmenter!A2401</f>
        <v/>
      </c>
      <c r="B2401" t="str">
        <f>Segmenter!B2401</f>
        <v/>
      </c>
      <c r="C2401" t="str">
        <f t="shared" si="185"/>
        <v/>
      </c>
      <c r="D2401" t="str">
        <f t="shared" si="186"/>
        <v/>
      </c>
      <c r="E2401" t="str">
        <f t="shared" si="187"/>
        <v/>
      </c>
      <c r="F2401" t="str">
        <f>IF(D2401="","",INDEX(Knutepunkter!$B:$B,D2401+1))</f>
        <v/>
      </c>
      <c r="G2401" t="str">
        <f>IF(D2401="","",INDEX(Knutepunkter!$C:$C,D2401+1))</f>
        <v/>
      </c>
      <c r="H2401" t="str">
        <f>IF(D2401="","",INDEX(Knutepunkter!$D:$D,D2401+1))</f>
        <v/>
      </c>
      <c r="I2401" t="str">
        <f>IF(E2401="","",INDEX(Knutepunkter!$B:$B,E2401+1))</f>
        <v/>
      </c>
      <c r="J2401" t="str">
        <f>IF(E2401="","",INDEX(Knutepunkter!$C:$C,E2401+1))</f>
        <v/>
      </c>
      <c r="K2401" t="str">
        <f>IF(E2401="","",INDEX(Knutepunkter!$D:$D,E2401+1))</f>
        <v/>
      </c>
      <c r="L2401" t="str">
        <f t="shared" si="188"/>
        <v/>
      </c>
      <c r="M2401" t="str">
        <f t="shared" si="189"/>
        <v/>
      </c>
    </row>
    <row r="2402" spans="1:13" x14ac:dyDescent="0.3">
      <c r="A2402" t="str">
        <f>Segmenter!A2402</f>
        <v/>
      </c>
      <c r="B2402" t="str">
        <f>Segmenter!B2402</f>
        <v/>
      </c>
      <c r="C2402" t="str">
        <f t="shared" si="185"/>
        <v/>
      </c>
      <c r="D2402" t="str">
        <f t="shared" si="186"/>
        <v/>
      </c>
      <c r="E2402" t="str">
        <f t="shared" si="187"/>
        <v/>
      </c>
      <c r="F2402" t="str">
        <f>IF(D2402="","",INDEX(Knutepunkter!$B:$B,D2402+1))</f>
        <v/>
      </c>
      <c r="G2402" t="str">
        <f>IF(D2402="","",INDEX(Knutepunkter!$C:$C,D2402+1))</f>
        <v/>
      </c>
      <c r="H2402" t="str">
        <f>IF(D2402="","",INDEX(Knutepunkter!$D:$D,D2402+1))</f>
        <v/>
      </c>
      <c r="I2402" t="str">
        <f>IF(E2402="","",INDEX(Knutepunkter!$B:$B,E2402+1))</f>
        <v/>
      </c>
      <c r="J2402" t="str">
        <f>IF(E2402="","",INDEX(Knutepunkter!$C:$C,E2402+1))</f>
        <v/>
      </c>
      <c r="K2402" t="str">
        <f>IF(E2402="","",INDEX(Knutepunkter!$D:$D,E2402+1))</f>
        <v/>
      </c>
      <c r="L2402" t="str">
        <f t="shared" si="188"/>
        <v/>
      </c>
      <c r="M2402" t="str">
        <f t="shared" si="189"/>
        <v/>
      </c>
    </row>
    <row r="2403" spans="1:13" x14ac:dyDescent="0.3">
      <c r="A2403" t="str">
        <f>Segmenter!A2403</f>
        <v/>
      </c>
      <c r="B2403" t="str">
        <f>Segmenter!B2403</f>
        <v/>
      </c>
      <c r="C2403" t="str">
        <f t="shared" si="185"/>
        <v/>
      </c>
      <c r="D2403" t="str">
        <f t="shared" si="186"/>
        <v/>
      </c>
      <c r="E2403" t="str">
        <f t="shared" si="187"/>
        <v/>
      </c>
      <c r="F2403" t="str">
        <f>IF(D2403="","",INDEX(Knutepunkter!$B:$B,D2403+1))</f>
        <v/>
      </c>
      <c r="G2403" t="str">
        <f>IF(D2403="","",INDEX(Knutepunkter!$C:$C,D2403+1))</f>
        <v/>
      </c>
      <c r="H2403" t="str">
        <f>IF(D2403="","",INDEX(Knutepunkter!$D:$D,D2403+1))</f>
        <v/>
      </c>
      <c r="I2403" t="str">
        <f>IF(E2403="","",INDEX(Knutepunkter!$B:$B,E2403+1))</f>
        <v/>
      </c>
      <c r="J2403" t="str">
        <f>IF(E2403="","",INDEX(Knutepunkter!$C:$C,E2403+1))</f>
        <v/>
      </c>
      <c r="K2403" t="str">
        <f>IF(E2403="","",INDEX(Knutepunkter!$D:$D,E2403+1))</f>
        <v/>
      </c>
      <c r="L2403" t="str">
        <f t="shared" si="188"/>
        <v/>
      </c>
      <c r="M2403" t="str">
        <f t="shared" si="189"/>
        <v/>
      </c>
    </row>
    <row r="2404" spans="1:13" x14ac:dyDescent="0.3">
      <c r="A2404" t="str">
        <f>Segmenter!A2404</f>
        <v/>
      </c>
      <c r="B2404" t="str">
        <f>Segmenter!B2404</f>
        <v/>
      </c>
      <c r="C2404" t="str">
        <f t="shared" si="185"/>
        <v/>
      </c>
      <c r="D2404" t="str">
        <f t="shared" si="186"/>
        <v/>
      </c>
      <c r="E2404" t="str">
        <f t="shared" si="187"/>
        <v/>
      </c>
      <c r="F2404" t="str">
        <f>IF(D2404="","",INDEX(Knutepunkter!$B:$B,D2404+1))</f>
        <v/>
      </c>
      <c r="G2404" t="str">
        <f>IF(D2404="","",INDEX(Knutepunkter!$C:$C,D2404+1))</f>
        <v/>
      </c>
      <c r="H2404" t="str">
        <f>IF(D2404="","",INDEX(Knutepunkter!$D:$D,D2404+1))</f>
        <v/>
      </c>
      <c r="I2404" t="str">
        <f>IF(E2404="","",INDEX(Knutepunkter!$B:$B,E2404+1))</f>
        <v/>
      </c>
      <c r="J2404" t="str">
        <f>IF(E2404="","",INDEX(Knutepunkter!$C:$C,E2404+1))</f>
        <v/>
      </c>
      <c r="K2404" t="str">
        <f>IF(E2404="","",INDEX(Knutepunkter!$D:$D,E2404+1))</f>
        <v/>
      </c>
      <c r="L2404" t="str">
        <f t="shared" si="188"/>
        <v/>
      </c>
      <c r="M2404" t="str">
        <f t="shared" si="189"/>
        <v/>
      </c>
    </row>
    <row r="2405" spans="1:13" x14ac:dyDescent="0.3">
      <c r="A2405" t="str">
        <f>Segmenter!A2405</f>
        <v/>
      </c>
      <c r="B2405" t="str">
        <f>Segmenter!B2405</f>
        <v/>
      </c>
      <c r="C2405" t="str">
        <f t="shared" si="185"/>
        <v/>
      </c>
      <c r="D2405" t="str">
        <f t="shared" si="186"/>
        <v/>
      </c>
      <c r="E2405" t="str">
        <f t="shared" si="187"/>
        <v/>
      </c>
      <c r="F2405" t="str">
        <f>IF(D2405="","",INDEX(Knutepunkter!$B:$B,D2405+1))</f>
        <v/>
      </c>
      <c r="G2405" t="str">
        <f>IF(D2405="","",INDEX(Knutepunkter!$C:$C,D2405+1))</f>
        <v/>
      </c>
      <c r="H2405" t="str">
        <f>IF(D2405="","",INDEX(Knutepunkter!$D:$D,D2405+1))</f>
        <v/>
      </c>
      <c r="I2405" t="str">
        <f>IF(E2405="","",INDEX(Knutepunkter!$B:$B,E2405+1))</f>
        <v/>
      </c>
      <c r="J2405" t="str">
        <f>IF(E2405="","",INDEX(Knutepunkter!$C:$C,E2405+1))</f>
        <v/>
      </c>
      <c r="K2405" t="str">
        <f>IF(E2405="","",INDEX(Knutepunkter!$D:$D,E2405+1))</f>
        <v/>
      </c>
      <c r="L2405" t="str">
        <f t="shared" si="188"/>
        <v/>
      </c>
      <c r="M2405" t="str">
        <f t="shared" si="189"/>
        <v/>
      </c>
    </row>
    <row r="2406" spans="1:13" x14ac:dyDescent="0.3">
      <c r="A2406" t="str">
        <f>Segmenter!A2406</f>
        <v/>
      </c>
      <c r="B2406" t="str">
        <f>Segmenter!B2406</f>
        <v/>
      </c>
      <c r="C2406" t="str">
        <f t="shared" si="185"/>
        <v/>
      </c>
      <c r="D2406" t="str">
        <f t="shared" si="186"/>
        <v/>
      </c>
      <c r="E2406" t="str">
        <f t="shared" si="187"/>
        <v/>
      </c>
      <c r="F2406" t="str">
        <f>IF(D2406="","",INDEX(Knutepunkter!$B:$B,D2406+1))</f>
        <v/>
      </c>
      <c r="G2406" t="str">
        <f>IF(D2406="","",INDEX(Knutepunkter!$C:$C,D2406+1))</f>
        <v/>
      </c>
      <c r="H2406" t="str">
        <f>IF(D2406="","",INDEX(Knutepunkter!$D:$D,D2406+1))</f>
        <v/>
      </c>
      <c r="I2406" t="str">
        <f>IF(E2406="","",INDEX(Knutepunkter!$B:$B,E2406+1))</f>
        <v/>
      </c>
      <c r="J2406" t="str">
        <f>IF(E2406="","",INDEX(Knutepunkter!$C:$C,E2406+1))</f>
        <v/>
      </c>
      <c r="K2406" t="str">
        <f>IF(E2406="","",INDEX(Knutepunkter!$D:$D,E2406+1))</f>
        <v/>
      </c>
      <c r="L2406" t="str">
        <f t="shared" si="188"/>
        <v/>
      </c>
      <c r="M2406" t="str">
        <f t="shared" si="189"/>
        <v/>
      </c>
    </row>
    <row r="2407" spans="1:13" x14ac:dyDescent="0.3">
      <c r="A2407" t="str">
        <f>Segmenter!A2407</f>
        <v/>
      </c>
      <c r="B2407" t="str">
        <f>Segmenter!B2407</f>
        <v/>
      </c>
      <c r="C2407" t="str">
        <f t="shared" si="185"/>
        <v/>
      </c>
      <c r="D2407" t="str">
        <f t="shared" si="186"/>
        <v/>
      </c>
      <c r="E2407" t="str">
        <f t="shared" si="187"/>
        <v/>
      </c>
      <c r="F2407" t="str">
        <f>IF(D2407="","",INDEX(Knutepunkter!$B:$B,D2407+1))</f>
        <v/>
      </c>
      <c r="G2407" t="str">
        <f>IF(D2407="","",INDEX(Knutepunkter!$C:$C,D2407+1))</f>
        <v/>
      </c>
      <c r="H2407" t="str">
        <f>IF(D2407="","",INDEX(Knutepunkter!$D:$D,D2407+1))</f>
        <v/>
      </c>
      <c r="I2407" t="str">
        <f>IF(E2407="","",INDEX(Knutepunkter!$B:$B,E2407+1))</f>
        <v/>
      </c>
      <c r="J2407" t="str">
        <f>IF(E2407="","",INDEX(Knutepunkter!$C:$C,E2407+1))</f>
        <v/>
      </c>
      <c r="K2407" t="str">
        <f>IF(E2407="","",INDEX(Knutepunkter!$D:$D,E2407+1))</f>
        <v/>
      </c>
      <c r="L2407" t="str">
        <f t="shared" si="188"/>
        <v/>
      </c>
      <c r="M2407" t="str">
        <f t="shared" si="189"/>
        <v/>
      </c>
    </row>
    <row r="2408" spans="1:13" x14ac:dyDescent="0.3">
      <c r="A2408" t="str">
        <f>Segmenter!A2408</f>
        <v/>
      </c>
      <c r="B2408" t="str">
        <f>Segmenter!B2408</f>
        <v/>
      </c>
      <c r="C2408" t="str">
        <f t="shared" si="185"/>
        <v/>
      </c>
      <c r="D2408" t="str">
        <f t="shared" si="186"/>
        <v/>
      </c>
      <c r="E2408" t="str">
        <f t="shared" si="187"/>
        <v/>
      </c>
      <c r="F2408" t="str">
        <f>IF(D2408="","",INDEX(Knutepunkter!$B:$B,D2408+1))</f>
        <v/>
      </c>
      <c r="G2408" t="str">
        <f>IF(D2408="","",INDEX(Knutepunkter!$C:$C,D2408+1))</f>
        <v/>
      </c>
      <c r="H2408" t="str">
        <f>IF(D2408="","",INDEX(Knutepunkter!$D:$D,D2408+1))</f>
        <v/>
      </c>
      <c r="I2408" t="str">
        <f>IF(E2408="","",INDEX(Knutepunkter!$B:$B,E2408+1))</f>
        <v/>
      </c>
      <c r="J2408" t="str">
        <f>IF(E2408="","",INDEX(Knutepunkter!$C:$C,E2408+1))</f>
        <v/>
      </c>
      <c r="K2408" t="str">
        <f>IF(E2408="","",INDEX(Knutepunkter!$D:$D,E2408+1))</f>
        <v/>
      </c>
      <c r="L2408" t="str">
        <f t="shared" si="188"/>
        <v/>
      </c>
      <c r="M2408" t="str">
        <f t="shared" si="189"/>
        <v/>
      </c>
    </row>
    <row r="2409" spans="1:13" x14ac:dyDescent="0.3">
      <c r="A2409" t="str">
        <f>Segmenter!A2409</f>
        <v/>
      </c>
      <c r="B2409" t="str">
        <f>Segmenter!B2409</f>
        <v/>
      </c>
      <c r="C2409" t="str">
        <f t="shared" si="185"/>
        <v/>
      </c>
      <c r="D2409" t="str">
        <f t="shared" si="186"/>
        <v/>
      </c>
      <c r="E2409" t="str">
        <f t="shared" si="187"/>
        <v/>
      </c>
      <c r="F2409" t="str">
        <f>IF(D2409="","",INDEX(Knutepunkter!$B:$B,D2409+1))</f>
        <v/>
      </c>
      <c r="G2409" t="str">
        <f>IF(D2409="","",INDEX(Knutepunkter!$C:$C,D2409+1))</f>
        <v/>
      </c>
      <c r="H2409" t="str">
        <f>IF(D2409="","",INDEX(Knutepunkter!$D:$D,D2409+1))</f>
        <v/>
      </c>
      <c r="I2409" t="str">
        <f>IF(E2409="","",INDEX(Knutepunkter!$B:$B,E2409+1))</f>
        <v/>
      </c>
      <c r="J2409" t="str">
        <f>IF(E2409="","",INDEX(Knutepunkter!$C:$C,E2409+1))</f>
        <v/>
      </c>
      <c r="K2409" t="str">
        <f>IF(E2409="","",INDEX(Knutepunkter!$D:$D,E2409+1))</f>
        <v/>
      </c>
      <c r="L2409" t="str">
        <f t="shared" si="188"/>
        <v/>
      </c>
      <c r="M2409" t="str">
        <f t="shared" si="189"/>
        <v/>
      </c>
    </row>
    <row r="2410" spans="1:13" x14ac:dyDescent="0.3">
      <c r="A2410" t="str">
        <f>Segmenter!A2410</f>
        <v/>
      </c>
      <c r="B2410" t="str">
        <f>Segmenter!B2410</f>
        <v/>
      </c>
      <c r="C2410" t="str">
        <f t="shared" si="185"/>
        <v/>
      </c>
      <c r="D2410" t="str">
        <f t="shared" si="186"/>
        <v/>
      </c>
      <c r="E2410" t="str">
        <f t="shared" si="187"/>
        <v/>
      </c>
      <c r="F2410" t="str">
        <f>IF(D2410="","",INDEX(Knutepunkter!$B:$B,D2410+1))</f>
        <v/>
      </c>
      <c r="G2410" t="str">
        <f>IF(D2410="","",INDEX(Knutepunkter!$C:$C,D2410+1))</f>
        <v/>
      </c>
      <c r="H2410" t="str">
        <f>IF(D2410="","",INDEX(Knutepunkter!$D:$D,D2410+1))</f>
        <v/>
      </c>
      <c r="I2410" t="str">
        <f>IF(E2410="","",INDEX(Knutepunkter!$B:$B,E2410+1))</f>
        <v/>
      </c>
      <c r="J2410" t="str">
        <f>IF(E2410="","",INDEX(Knutepunkter!$C:$C,E2410+1))</f>
        <v/>
      </c>
      <c r="K2410" t="str">
        <f>IF(E2410="","",INDEX(Knutepunkter!$D:$D,E2410+1))</f>
        <v/>
      </c>
      <c r="L2410" t="str">
        <f t="shared" si="188"/>
        <v/>
      </c>
      <c r="M2410" t="str">
        <f t="shared" si="189"/>
        <v/>
      </c>
    </row>
    <row r="2411" spans="1:13" x14ac:dyDescent="0.3">
      <c r="A2411" t="str">
        <f>Segmenter!A2411</f>
        <v/>
      </c>
      <c r="B2411" t="str">
        <f>Segmenter!B2411</f>
        <v/>
      </c>
      <c r="C2411" t="str">
        <f t="shared" si="185"/>
        <v/>
      </c>
      <c r="D2411" t="str">
        <f t="shared" si="186"/>
        <v/>
      </c>
      <c r="E2411" t="str">
        <f t="shared" si="187"/>
        <v/>
      </c>
      <c r="F2411" t="str">
        <f>IF(D2411="","",INDEX(Knutepunkter!$B:$B,D2411+1))</f>
        <v/>
      </c>
      <c r="G2411" t="str">
        <f>IF(D2411="","",INDEX(Knutepunkter!$C:$C,D2411+1))</f>
        <v/>
      </c>
      <c r="H2411" t="str">
        <f>IF(D2411="","",INDEX(Knutepunkter!$D:$D,D2411+1))</f>
        <v/>
      </c>
      <c r="I2411" t="str">
        <f>IF(E2411="","",INDEX(Knutepunkter!$B:$B,E2411+1))</f>
        <v/>
      </c>
      <c r="J2411" t="str">
        <f>IF(E2411="","",INDEX(Knutepunkter!$C:$C,E2411+1))</f>
        <v/>
      </c>
      <c r="K2411" t="str">
        <f>IF(E2411="","",INDEX(Knutepunkter!$D:$D,E2411+1))</f>
        <v/>
      </c>
      <c r="L2411" t="str">
        <f t="shared" si="188"/>
        <v/>
      </c>
      <c r="M2411" t="str">
        <f t="shared" si="189"/>
        <v/>
      </c>
    </row>
    <row r="2412" spans="1:13" x14ac:dyDescent="0.3">
      <c r="A2412" t="str">
        <f>Segmenter!A2412</f>
        <v/>
      </c>
      <c r="B2412" t="str">
        <f>Segmenter!B2412</f>
        <v/>
      </c>
      <c r="C2412" t="str">
        <f t="shared" si="185"/>
        <v/>
      </c>
      <c r="D2412" t="str">
        <f t="shared" si="186"/>
        <v/>
      </c>
      <c r="E2412" t="str">
        <f t="shared" si="187"/>
        <v/>
      </c>
      <c r="F2412" t="str">
        <f>IF(D2412="","",INDEX(Knutepunkter!$B:$B,D2412+1))</f>
        <v/>
      </c>
      <c r="G2412" t="str">
        <f>IF(D2412="","",INDEX(Knutepunkter!$C:$C,D2412+1))</f>
        <v/>
      </c>
      <c r="H2412" t="str">
        <f>IF(D2412="","",INDEX(Knutepunkter!$D:$D,D2412+1))</f>
        <v/>
      </c>
      <c r="I2412" t="str">
        <f>IF(E2412="","",INDEX(Knutepunkter!$B:$B,E2412+1))</f>
        <v/>
      </c>
      <c r="J2412" t="str">
        <f>IF(E2412="","",INDEX(Knutepunkter!$C:$C,E2412+1))</f>
        <v/>
      </c>
      <c r="K2412" t="str">
        <f>IF(E2412="","",INDEX(Knutepunkter!$D:$D,E2412+1))</f>
        <v/>
      </c>
      <c r="L2412" t="str">
        <f t="shared" si="188"/>
        <v/>
      </c>
      <c r="M2412" t="str">
        <f t="shared" si="189"/>
        <v/>
      </c>
    </row>
    <row r="2413" spans="1:13" x14ac:dyDescent="0.3">
      <c r="A2413" t="str">
        <f>Segmenter!A2413</f>
        <v/>
      </c>
      <c r="B2413" t="str">
        <f>Segmenter!B2413</f>
        <v/>
      </c>
      <c r="C2413" t="str">
        <f t="shared" si="185"/>
        <v/>
      </c>
      <c r="D2413" t="str">
        <f t="shared" si="186"/>
        <v/>
      </c>
      <c r="E2413" t="str">
        <f t="shared" si="187"/>
        <v/>
      </c>
      <c r="F2413" t="str">
        <f>IF(D2413="","",INDEX(Knutepunkter!$B:$B,D2413+1))</f>
        <v/>
      </c>
      <c r="G2413" t="str">
        <f>IF(D2413="","",INDEX(Knutepunkter!$C:$C,D2413+1))</f>
        <v/>
      </c>
      <c r="H2413" t="str">
        <f>IF(D2413="","",INDEX(Knutepunkter!$D:$D,D2413+1))</f>
        <v/>
      </c>
      <c r="I2413" t="str">
        <f>IF(E2413="","",INDEX(Knutepunkter!$B:$B,E2413+1))</f>
        <v/>
      </c>
      <c r="J2413" t="str">
        <f>IF(E2413="","",INDEX(Knutepunkter!$C:$C,E2413+1))</f>
        <v/>
      </c>
      <c r="K2413" t="str">
        <f>IF(E2413="","",INDEX(Knutepunkter!$D:$D,E2413+1))</f>
        <v/>
      </c>
      <c r="L2413" t="str">
        <f t="shared" si="188"/>
        <v/>
      </c>
      <c r="M2413" t="str">
        <f t="shared" si="189"/>
        <v/>
      </c>
    </row>
    <row r="2414" spans="1:13" x14ac:dyDescent="0.3">
      <c r="A2414" t="str">
        <f>Segmenter!A2414</f>
        <v/>
      </c>
      <c r="B2414" t="str">
        <f>Segmenter!B2414</f>
        <v/>
      </c>
      <c r="C2414" t="str">
        <f t="shared" si="185"/>
        <v/>
      </c>
      <c r="D2414" t="str">
        <f t="shared" si="186"/>
        <v/>
      </c>
      <c r="E2414" t="str">
        <f t="shared" si="187"/>
        <v/>
      </c>
      <c r="F2414" t="str">
        <f>IF(D2414="","",INDEX(Knutepunkter!$B:$B,D2414+1))</f>
        <v/>
      </c>
      <c r="G2414" t="str">
        <f>IF(D2414="","",INDEX(Knutepunkter!$C:$C,D2414+1))</f>
        <v/>
      </c>
      <c r="H2414" t="str">
        <f>IF(D2414="","",INDEX(Knutepunkter!$D:$D,D2414+1))</f>
        <v/>
      </c>
      <c r="I2414" t="str">
        <f>IF(E2414="","",INDEX(Knutepunkter!$B:$B,E2414+1))</f>
        <v/>
      </c>
      <c r="J2414" t="str">
        <f>IF(E2414="","",INDEX(Knutepunkter!$C:$C,E2414+1))</f>
        <v/>
      </c>
      <c r="K2414" t="str">
        <f>IF(E2414="","",INDEX(Knutepunkter!$D:$D,E2414+1))</f>
        <v/>
      </c>
      <c r="L2414" t="str">
        <f t="shared" si="188"/>
        <v/>
      </c>
      <c r="M2414" t="str">
        <f t="shared" si="189"/>
        <v/>
      </c>
    </row>
    <row r="2415" spans="1:13" x14ac:dyDescent="0.3">
      <c r="A2415" t="str">
        <f>Segmenter!A2415</f>
        <v/>
      </c>
      <c r="B2415" t="str">
        <f>Segmenter!B2415</f>
        <v/>
      </c>
      <c r="C2415" t="str">
        <f t="shared" si="185"/>
        <v/>
      </c>
      <c r="D2415" t="str">
        <f t="shared" si="186"/>
        <v/>
      </c>
      <c r="E2415" t="str">
        <f t="shared" si="187"/>
        <v/>
      </c>
      <c r="F2415" t="str">
        <f>IF(D2415="","",INDEX(Knutepunkter!$B:$B,D2415+1))</f>
        <v/>
      </c>
      <c r="G2415" t="str">
        <f>IF(D2415="","",INDEX(Knutepunkter!$C:$C,D2415+1))</f>
        <v/>
      </c>
      <c r="H2415" t="str">
        <f>IF(D2415="","",INDEX(Knutepunkter!$D:$D,D2415+1))</f>
        <v/>
      </c>
      <c r="I2415" t="str">
        <f>IF(E2415="","",INDEX(Knutepunkter!$B:$B,E2415+1))</f>
        <v/>
      </c>
      <c r="J2415" t="str">
        <f>IF(E2415="","",INDEX(Knutepunkter!$C:$C,E2415+1))</f>
        <v/>
      </c>
      <c r="K2415" t="str">
        <f>IF(E2415="","",INDEX(Knutepunkter!$D:$D,E2415+1))</f>
        <v/>
      </c>
      <c r="L2415" t="str">
        <f t="shared" si="188"/>
        <v/>
      </c>
      <c r="M2415" t="str">
        <f t="shared" si="189"/>
        <v/>
      </c>
    </row>
    <row r="2416" spans="1:13" x14ac:dyDescent="0.3">
      <c r="A2416" t="str">
        <f>Segmenter!A2416</f>
        <v/>
      </c>
      <c r="B2416" t="str">
        <f>Segmenter!B2416</f>
        <v/>
      </c>
      <c r="C2416" t="str">
        <f t="shared" si="185"/>
        <v/>
      </c>
      <c r="D2416" t="str">
        <f t="shared" si="186"/>
        <v/>
      </c>
      <c r="E2416" t="str">
        <f t="shared" si="187"/>
        <v/>
      </c>
      <c r="F2416" t="str">
        <f>IF(D2416="","",INDEX(Knutepunkter!$B:$B,D2416+1))</f>
        <v/>
      </c>
      <c r="G2416" t="str">
        <f>IF(D2416="","",INDEX(Knutepunkter!$C:$C,D2416+1))</f>
        <v/>
      </c>
      <c r="H2416" t="str">
        <f>IF(D2416="","",INDEX(Knutepunkter!$D:$D,D2416+1))</f>
        <v/>
      </c>
      <c r="I2416" t="str">
        <f>IF(E2416="","",INDEX(Knutepunkter!$B:$B,E2416+1))</f>
        <v/>
      </c>
      <c r="J2416" t="str">
        <f>IF(E2416="","",INDEX(Knutepunkter!$C:$C,E2416+1))</f>
        <v/>
      </c>
      <c r="K2416" t="str">
        <f>IF(E2416="","",INDEX(Knutepunkter!$D:$D,E2416+1))</f>
        <v/>
      </c>
      <c r="L2416" t="str">
        <f t="shared" si="188"/>
        <v/>
      </c>
      <c r="M2416" t="str">
        <f t="shared" si="189"/>
        <v/>
      </c>
    </row>
    <row r="2417" spans="1:13" x14ac:dyDescent="0.3">
      <c r="A2417" t="str">
        <f>Segmenter!A2417</f>
        <v/>
      </c>
      <c r="B2417" t="str">
        <f>Segmenter!B2417</f>
        <v/>
      </c>
      <c r="C2417" t="str">
        <f t="shared" si="185"/>
        <v/>
      </c>
      <c r="D2417" t="str">
        <f t="shared" si="186"/>
        <v/>
      </c>
      <c r="E2417" t="str">
        <f t="shared" si="187"/>
        <v/>
      </c>
      <c r="F2417" t="str">
        <f>IF(D2417="","",INDEX(Knutepunkter!$B:$B,D2417+1))</f>
        <v/>
      </c>
      <c r="G2417" t="str">
        <f>IF(D2417="","",INDEX(Knutepunkter!$C:$C,D2417+1))</f>
        <v/>
      </c>
      <c r="H2417" t="str">
        <f>IF(D2417="","",INDEX(Knutepunkter!$D:$D,D2417+1))</f>
        <v/>
      </c>
      <c r="I2417" t="str">
        <f>IF(E2417="","",INDEX(Knutepunkter!$B:$B,E2417+1))</f>
        <v/>
      </c>
      <c r="J2417" t="str">
        <f>IF(E2417="","",INDEX(Knutepunkter!$C:$C,E2417+1))</f>
        <v/>
      </c>
      <c r="K2417" t="str">
        <f>IF(E2417="","",INDEX(Knutepunkter!$D:$D,E2417+1))</f>
        <v/>
      </c>
      <c r="L2417" t="str">
        <f t="shared" si="188"/>
        <v/>
      </c>
      <c r="M2417" t="str">
        <f t="shared" si="189"/>
        <v/>
      </c>
    </row>
    <row r="2418" spans="1:13" x14ac:dyDescent="0.3">
      <c r="A2418" t="str">
        <f>Segmenter!A2418</f>
        <v/>
      </c>
      <c r="B2418" t="str">
        <f>Segmenter!B2418</f>
        <v/>
      </c>
      <c r="C2418" t="str">
        <f t="shared" si="185"/>
        <v/>
      </c>
      <c r="D2418" t="str">
        <f t="shared" si="186"/>
        <v/>
      </c>
      <c r="E2418" t="str">
        <f t="shared" si="187"/>
        <v/>
      </c>
      <c r="F2418" t="str">
        <f>IF(D2418="","",INDEX(Knutepunkter!$B:$B,D2418+1))</f>
        <v/>
      </c>
      <c r="G2418" t="str">
        <f>IF(D2418="","",INDEX(Knutepunkter!$C:$C,D2418+1))</f>
        <v/>
      </c>
      <c r="H2418" t="str">
        <f>IF(D2418="","",INDEX(Knutepunkter!$D:$D,D2418+1))</f>
        <v/>
      </c>
      <c r="I2418" t="str">
        <f>IF(E2418="","",INDEX(Knutepunkter!$B:$B,E2418+1))</f>
        <v/>
      </c>
      <c r="J2418" t="str">
        <f>IF(E2418="","",INDEX(Knutepunkter!$C:$C,E2418+1))</f>
        <v/>
      </c>
      <c r="K2418" t="str">
        <f>IF(E2418="","",INDEX(Knutepunkter!$D:$D,E2418+1))</f>
        <v/>
      </c>
      <c r="L2418" t="str">
        <f t="shared" si="188"/>
        <v/>
      </c>
      <c r="M2418" t="str">
        <f t="shared" si="189"/>
        <v/>
      </c>
    </row>
    <row r="2419" spans="1:13" x14ac:dyDescent="0.3">
      <c r="A2419" t="str">
        <f>Segmenter!A2419</f>
        <v/>
      </c>
      <c r="B2419" t="str">
        <f>Segmenter!B2419</f>
        <v/>
      </c>
      <c r="C2419" t="str">
        <f t="shared" si="185"/>
        <v/>
      </c>
      <c r="D2419" t="str">
        <f t="shared" si="186"/>
        <v/>
      </c>
      <c r="E2419" t="str">
        <f t="shared" si="187"/>
        <v/>
      </c>
      <c r="F2419" t="str">
        <f>IF(D2419="","",INDEX(Knutepunkter!$B:$B,D2419+1))</f>
        <v/>
      </c>
      <c r="G2419" t="str">
        <f>IF(D2419="","",INDEX(Knutepunkter!$C:$C,D2419+1))</f>
        <v/>
      </c>
      <c r="H2419" t="str">
        <f>IF(D2419="","",INDEX(Knutepunkter!$D:$D,D2419+1))</f>
        <v/>
      </c>
      <c r="I2419" t="str">
        <f>IF(E2419="","",INDEX(Knutepunkter!$B:$B,E2419+1))</f>
        <v/>
      </c>
      <c r="J2419" t="str">
        <f>IF(E2419="","",INDEX(Knutepunkter!$C:$C,E2419+1))</f>
        <v/>
      </c>
      <c r="K2419" t="str">
        <f>IF(E2419="","",INDEX(Knutepunkter!$D:$D,E2419+1))</f>
        <v/>
      </c>
      <c r="L2419" t="str">
        <f t="shared" si="188"/>
        <v/>
      </c>
      <c r="M2419" t="str">
        <f t="shared" si="189"/>
        <v/>
      </c>
    </row>
    <row r="2420" spans="1:13" x14ac:dyDescent="0.3">
      <c r="A2420" t="str">
        <f>Segmenter!A2420</f>
        <v/>
      </c>
      <c r="B2420" t="str">
        <f>Segmenter!B2420</f>
        <v/>
      </c>
      <c r="C2420" t="str">
        <f t="shared" si="185"/>
        <v/>
      </c>
      <c r="D2420" t="str">
        <f t="shared" si="186"/>
        <v/>
      </c>
      <c r="E2420" t="str">
        <f t="shared" si="187"/>
        <v/>
      </c>
      <c r="F2420" t="str">
        <f>IF(D2420="","",INDEX(Knutepunkter!$B:$B,D2420+1))</f>
        <v/>
      </c>
      <c r="G2420" t="str">
        <f>IF(D2420="","",INDEX(Knutepunkter!$C:$C,D2420+1))</f>
        <v/>
      </c>
      <c r="H2420" t="str">
        <f>IF(D2420="","",INDEX(Knutepunkter!$D:$D,D2420+1))</f>
        <v/>
      </c>
      <c r="I2420" t="str">
        <f>IF(E2420="","",INDEX(Knutepunkter!$B:$B,E2420+1))</f>
        <v/>
      </c>
      <c r="J2420" t="str">
        <f>IF(E2420="","",INDEX(Knutepunkter!$C:$C,E2420+1))</f>
        <v/>
      </c>
      <c r="K2420" t="str">
        <f>IF(E2420="","",INDEX(Knutepunkter!$D:$D,E2420+1))</f>
        <v/>
      </c>
      <c r="L2420" t="str">
        <f t="shared" si="188"/>
        <v/>
      </c>
      <c r="M2420" t="str">
        <f t="shared" si="189"/>
        <v/>
      </c>
    </row>
    <row r="2421" spans="1:13" x14ac:dyDescent="0.3">
      <c r="A2421" t="str">
        <f>Segmenter!A2421</f>
        <v/>
      </c>
      <c r="B2421" t="str">
        <f>Segmenter!B2421</f>
        <v/>
      </c>
      <c r="C2421" t="str">
        <f t="shared" si="185"/>
        <v/>
      </c>
      <c r="D2421" t="str">
        <f t="shared" si="186"/>
        <v/>
      </c>
      <c r="E2421" t="str">
        <f t="shared" si="187"/>
        <v/>
      </c>
      <c r="F2421" t="str">
        <f>IF(D2421="","",INDEX(Knutepunkter!$B:$B,D2421+1))</f>
        <v/>
      </c>
      <c r="G2421" t="str">
        <f>IF(D2421="","",INDEX(Knutepunkter!$C:$C,D2421+1))</f>
        <v/>
      </c>
      <c r="H2421" t="str">
        <f>IF(D2421="","",INDEX(Knutepunkter!$D:$D,D2421+1))</f>
        <v/>
      </c>
      <c r="I2421" t="str">
        <f>IF(E2421="","",INDEX(Knutepunkter!$B:$B,E2421+1))</f>
        <v/>
      </c>
      <c r="J2421" t="str">
        <f>IF(E2421="","",INDEX(Knutepunkter!$C:$C,E2421+1))</f>
        <v/>
      </c>
      <c r="K2421" t="str">
        <f>IF(E2421="","",INDEX(Knutepunkter!$D:$D,E2421+1))</f>
        <v/>
      </c>
      <c r="L2421" t="str">
        <f t="shared" si="188"/>
        <v/>
      </c>
      <c r="M2421" t="str">
        <f t="shared" si="189"/>
        <v/>
      </c>
    </row>
    <row r="2422" spans="1:13" x14ac:dyDescent="0.3">
      <c r="A2422" t="str">
        <f>Segmenter!A2422</f>
        <v/>
      </c>
      <c r="B2422" t="str">
        <f>Segmenter!B2422</f>
        <v/>
      </c>
      <c r="C2422" t="str">
        <f t="shared" si="185"/>
        <v/>
      </c>
      <c r="D2422" t="str">
        <f t="shared" si="186"/>
        <v/>
      </c>
      <c r="E2422" t="str">
        <f t="shared" si="187"/>
        <v/>
      </c>
      <c r="F2422" t="str">
        <f>IF(D2422="","",INDEX(Knutepunkter!$B:$B,D2422+1))</f>
        <v/>
      </c>
      <c r="G2422" t="str">
        <f>IF(D2422="","",INDEX(Knutepunkter!$C:$C,D2422+1))</f>
        <v/>
      </c>
      <c r="H2422" t="str">
        <f>IF(D2422="","",INDEX(Knutepunkter!$D:$D,D2422+1))</f>
        <v/>
      </c>
      <c r="I2422" t="str">
        <f>IF(E2422="","",INDEX(Knutepunkter!$B:$B,E2422+1))</f>
        <v/>
      </c>
      <c r="J2422" t="str">
        <f>IF(E2422="","",INDEX(Knutepunkter!$C:$C,E2422+1))</f>
        <v/>
      </c>
      <c r="K2422" t="str">
        <f>IF(E2422="","",INDEX(Knutepunkter!$D:$D,E2422+1))</f>
        <v/>
      </c>
      <c r="L2422" t="str">
        <f t="shared" si="188"/>
        <v/>
      </c>
      <c r="M2422" t="str">
        <f t="shared" si="189"/>
        <v/>
      </c>
    </row>
    <row r="2423" spans="1:13" x14ac:dyDescent="0.3">
      <c r="A2423" t="str">
        <f>Segmenter!A2423</f>
        <v/>
      </c>
      <c r="B2423" t="str">
        <f>Segmenter!B2423</f>
        <v/>
      </c>
      <c r="C2423" t="str">
        <f t="shared" si="185"/>
        <v/>
      </c>
      <c r="D2423" t="str">
        <f t="shared" si="186"/>
        <v/>
      </c>
      <c r="E2423" t="str">
        <f t="shared" si="187"/>
        <v/>
      </c>
      <c r="F2423" t="str">
        <f>IF(D2423="","",INDEX(Knutepunkter!$B:$B,D2423+1))</f>
        <v/>
      </c>
      <c r="G2423" t="str">
        <f>IF(D2423="","",INDEX(Knutepunkter!$C:$C,D2423+1))</f>
        <v/>
      </c>
      <c r="H2423" t="str">
        <f>IF(D2423="","",INDEX(Knutepunkter!$D:$D,D2423+1))</f>
        <v/>
      </c>
      <c r="I2423" t="str">
        <f>IF(E2423="","",INDEX(Knutepunkter!$B:$B,E2423+1))</f>
        <v/>
      </c>
      <c r="J2423" t="str">
        <f>IF(E2423="","",INDEX(Knutepunkter!$C:$C,E2423+1))</f>
        <v/>
      </c>
      <c r="K2423" t="str">
        <f>IF(E2423="","",INDEX(Knutepunkter!$D:$D,E2423+1))</f>
        <v/>
      </c>
      <c r="L2423" t="str">
        <f t="shared" si="188"/>
        <v/>
      </c>
      <c r="M2423" t="str">
        <f t="shared" si="189"/>
        <v/>
      </c>
    </row>
    <row r="2424" spans="1:13" x14ac:dyDescent="0.3">
      <c r="A2424" t="str">
        <f>Segmenter!A2424</f>
        <v/>
      </c>
      <c r="B2424" t="str">
        <f>Segmenter!B2424</f>
        <v/>
      </c>
      <c r="C2424" t="str">
        <f t="shared" si="185"/>
        <v/>
      </c>
      <c r="D2424" t="str">
        <f t="shared" si="186"/>
        <v/>
      </c>
      <c r="E2424" t="str">
        <f t="shared" si="187"/>
        <v/>
      </c>
      <c r="F2424" t="str">
        <f>IF(D2424="","",INDEX(Knutepunkter!$B:$B,D2424+1))</f>
        <v/>
      </c>
      <c r="G2424" t="str">
        <f>IF(D2424="","",INDEX(Knutepunkter!$C:$C,D2424+1))</f>
        <v/>
      </c>
      <c r="H2424" t="str">
        <f>IF(D2424="","",INDEX(Knutepunkter!$D:$D,D2424+1))</f>
        <v/>
      </c>
      <c r="I2424" t="str">
        <f>IF(E2424="","",INDEX(Knutepunkter!$B:$B,E2424+1))</f>
        <v/>
      </c>
      <c r="J2424" t="str">
        <f>IF(E2424="","",INDEX(Knutepunkter!$C:$C,E2424+1))</f>
        <v/>
      </c>
      <c r="K2424" t="str">
        <f>IF(E2424="","",INDEX(Knutepunkter!$D:$D,E2424+1))</f>
        <v/>
      </c>
      <c r="L2424" t="str">
        <f t="shared" si="188"/>
        <v/>
      </c>
      <c r="M2424" t="str">
        <f t="shared" si="189"/>
        <v/>
      </c>
    </row>
    <row r="2425" spans="1:13" x14ac:dyDescent="0.3">
      <c r="A2425" t="str">
        <f>Segmenter!A2425</f>
        <v/>
      </c>
      <c r="B2425" t="str">
        <f>Segmenter!B2425</f>
        <v/>
      </c>
      <c r="C2425" t="str">
        <f t="shared" si="185"/>
        <v/>
      </c>
      <c r="D2425" t="str">
        <f t="shared" si="186"/>
        <v/>
      </c>
      <c r="E2425" t="str">
        <f t="shared" si="187"/>
        <v/>
      </c>
      <c r="F2425" t="str">
        <f>IF(D2425="","",INDEX(Knutepunkter!$B:$B,D2425+1))</f>
        <v/>
      </c>
      <c r="G2425" t="str">
        <f>IF(D2425="","",INDEX(Knutepunkter!$C:$C,D2425+1))</f>
        <v/>
      </c>
      <c r="H2425" t="str">
        <f>IF(D2425="","",INDEX(Knutepunkter!$D:$D,D2425+1))</f>
        <v/>
      </c>
      <c r="I2425" t="str">
        <f>IF(E2425="","",INDEX(Knutepunkter!$B:$B,E2425+1))</f>
        <v/>
      </c>
      <c r="J2425" t="str">
        <f>IF(E2425="","",INDEX(Knutepunkter!$C:$C,E2425+1))</f>
        <v/>
      </c>
      <c r="K2425" t="str">
        <f>IF(E2425="","",INDEX(Knutepunkter!$D:$D,E2425+1))</f>
        <v/>
      </c>
      <c r="L2425" t="str">
        <f t="shared" si="188"/>
        <v/>
      </c>
      <c r="M2425" t="str">
        <f t="shared" si="189"/>
        <v/>
      </c>
    </row>
    <row r="2426" spans="1:13" x14ac:dyDescent="0.3">
      <c r="A2426" t="str">
        <f>Segmenter!A2426</f>
        <v/>
      </c>
      <c r="B2426" t="str">
        <f>Segmenter!B2426</f>
        <v/>
      </c>
      <c r="C2426" t="str">
        <f t="shared" si="185"/>
        <v/>
      </c>
      <c r="D2426" t="str">
        <f t="shared" si="186"/>
        <v/>
      </c>
      <c r="E2426" t="str">
        <f t="shared" si="187"/>
        <v/>
      </c>
      <c r="F2426" t="str">
        <f>IF(D2426="","",INDEX(Knutepunkter!$B:$B,D2426+1))</f>
        <v/>
      </c>
      <c r="G2426" t="str">
        <f>IF(D2426="","",INDEX(Knutepunkter!$C:$C,D2426+1))</f>
        <v/>
      </c>
      <c r="H2426" t="str">
        <f>IF(D2426="","",INDEX(Knutepunkter!$D:$D,D2426+1))</f>
        <v/>
      </c>
      <c r="I2426" t="str">
        <f>IF(E2426="","",INDEX(Knutepunkter!$B:$B,E2426+1))</f>
        <v/>
      </c>
      <c r="J2426" t="str">
        <f>IF(E2426="","",INDEX(Knutepunkter!$C:$C,E2426+1))</f>
        <v/>
      </c>
      <c r="K2426" t="str">
        <f>IF(E2426="","",INDEX(Knutepunkter!$D:$D,E2426+1))</f>
        <v/>
      </c>
      <c r="L2426" t="str">
        <f t="shared" si="188"/>
        <v/>
      </c>
      <c r="M2426" t="str">
        <f t="shared" si="189"/>
        <v/>
      </c>
    </row>
    <row r="2427" spans="1:13" x14ac:dyDescent="0.3">
      <c r="A2427" t="str">
        <f>Segmenter!A2427</f>
        <v/>
      </c>
      <c r="B2427" t="str">
        <f>Segmenter!B2427</f>
        <v/>
      </c>
      <c r="C2427" t="str">
        <f t="shared" si="185"/>
        <v/>
      </c>
      <c r="D2427" t="str">
        <f t="shared" si="186"/>
        <v/>
      </c>
      <c r="E2427" t="str">
        <f t="shared" si="187"/>
        <v/>
      </c>
      <c r="F2427" t="str">
        <f>IF(D2427="","",INDEX(Knutepunkter!$B:$B,D2427+1))</f>
        <v/>
      </c>
      <c r="G2427" t="str">
        <f>IF(D2427="","",INDEX(Knutepunkter!$C:$C,D2427+1))</f>
        <v/>
      </c>
      <c r="H2427" t="str">
        <f>IF(D2427="","",INDEX(Knutepunkter!$D:$D,D2427+1))</f>
        <v/>
      </c>
      <c r="I2427" t="str">
        <f>IF(E2427="","",INDEX(Knutepunkter!$B:$B,E2427+1))</f>
        <v/>
      </c>
      <c r="J2427" t="str">
        <f>IF(E2427="","",INDEX(Knutepunkter!$C:$C,E2427+1))</f>
        <v/>
      </c>
      <c r="K2427" t="str">
        <f>IF(E2427="","",INDEX(Knutepunkter!$D:$D,E2427+1))</f>
        <v/>
      </c>
      <c r="L2427" t="str">
        <f t="shared" si="188"/>
        <v/>
      </c>
      <c r="M2427" t="str">
        <f t="shared" si="189"/>
        <v/>
      </c>
    </row>
    <row r="2428" spans="1:13" x14ac:dyDescent="0.3">
      <c r="A2428" t="str">
        <f>Segmenter!A2428</f>
        <v/>
      </c>
      <c r="B2428" t="str">
        <f>Segmenter!B2428</f>
        <v/>
      </c>
      <c r="C2428" t="str">
        <f t="shared" si="185"/>
        <v/>
      </c>
      <c r="D2428" t="str">
        <f t="shared" si="186"/>
        <v/>
      </c>
      <c r="E2428" t="str">
        <f t="shared" si="187"/>
        <v/>
      </c>
      <c r="F2428" t="str">
        <f>IF(D2428="","",INDEX(Knutepunkter!$B:$B,D2428+1))</f>
        <v/>
      </c>
      <c r="G2428" t="str">
        <f>IF(D2428="","",INDEX(Knutepunkter!$C:$C,D2428+1))</f>
        <v/>
      </c>
      <c r="H2428" t="str">
        <f>IF(D2428="","",INDEX(Knutepunkter!$D:$D,D2428+1))</f>
        <v/>
      </c>
      <c r="I2428" t="str">
        <f>IF(E2428="","",INDEX(Knutepunkter!$B:$B,E2428+1))</f>
        <v/>
      </c>
      <c r="J2428" t="str">
        <f>IF(E2428="","",INDEX(Knutepunkter!$C:$C,E2428+1))</f>
        <v/>
      </c>
      <c r="K2428" t="str">
        <f>IF(E2428="","",INDEX(Knutepunkter!$D:$D,E2428+1))</f>
        <v/>
      </c>
      <c r="L2428" t="str">
        <f t="shared" si="188"/>
        <v/>
      </c>
      <c r="M2428" t="str">
        <f t="shared" si="189"/>
        <v/>
      </c>
    </row>
    <row r="2429" spans="1:13" x14ac:dyDescent="0.3">
      <c r="A2429" t="str">
        <f>Segmenter!A2429</f>
        <v/>
      </c>
      <c r="B2429" t="str">
        <f>Segmenter!B2429</f>
        <v/>
      </c>
      <c r="C2429" t="str">
        <f t="shared" si="185"/>
        <v/>
      </c>
      <c r="D2429" t="str">
        <f t="shared" si="186"/>
        <v/>
      </c>
      <c r="E2429" t="str">
        <f t="shared" si="187"/>
        <v/>
      </c>
      <c r="F2429" t="str">
        <f>IF(D2429="","",INDEX(Knutepunkter!$B:$B,D2429+1))</f>
        <v/>
      </c>
      <c r="G2429" t="str">
        <f>IF(D2429="","",INDEX(Knutepunkter!$C:$C,D2429+1))</f>
        <v/>
      </c>
      <c r="H2429" t="str">
        <f>IF(D2429="","",INDEX(Knutepunkter!$D:$D,D2429+1))</f>
        <v/>
      </c>
      <c r="I2429" t="str">
        <f>IF(E2429="","",INDEX(Knutepunkter!$B:$B,E2429+1))</f>
        <v/>
      </c>
      <c r="J2429" t="str">
        <f>IF(E2429="","",INDEX(Knutepunkter!$C:$C,E2429+1))</f>
        <v/>
      </c>
      <c r="K2429" t="str">
        <f>IF(E2429="","",INDEX(Knutepunkter!$D:$D,E2429+1))</f>
        <v/>
      </c>
      <c r="L2429" t="str">
        <f t="shared" si="188"/>
        <v/>
      </c>
      <c r="M2429" t="str">
        <f t="shared" si="189"/>
        <v/>
      </c>
    </row>
    <row r="2430" spans="1:13" x14ac:dyDescent="0.3">
      <c r="A2430" t="str">
        <f>Segmenter!A2430</f>
        <v/>
      </c>
      <c r="B2430" t="str">
        <f>Segmenter!B2430</f>
        <v/>
      </c>
      <c r="C2430" t="str">
        <f t="shared" si="185"/>
        <v/>
      </c>
      <c r="D2430" t="str">
        <f t="shared" si="186"/>
        <v/>
      </c>
      <c r="E2430" t="str">
        <f t="shared" si="187"/>
        <v/>
      </c>
      <c r="F2430" t="str">
        <f>IF(D2430="","",INDEX(Knutepunkter!$B:$B,D2430+1))</f>
        <v/>
      </c>
      <c r="G2430" t="str">
        <f>IF(D2430="","",INDEX(Knutepunkter!$C:$C,D2430+1))</f>
        <v/>
      </c>
      <c r="H2430" t="str">
        <f>IF(D2430="","",INDEX(Knutepunkter!$D:$D,D2430+1))</f>
        <v/>
      </c>
      <c r="I2430" t="str">
        <f>IF(E2430="","",INDEX(Knutepunkter!$B:$B,E2430+1))</f>
        <v/>
      </c>
      <c r="J2430" t="str">
        <f>IF(E2430="","",INDEX(Knutepunkter!$C:$C,E2430+1))</f>
        <v/>
      </c>
      <c r="K2430" t="str">
        <f>IF(E2430="","",INDEX(Knutepunkter!$D:$D,E2430+1))</f>
        <v/>
      </c>
      <c r="L2430" t="str">
        <f t="shared" si="188"/>
        <v/>
      </c>
      <c r="M2430" t="str">
        <f t="shared" si="189"/>
        <v/>
      </c>
    </row>
    <row r="2431" spans="1:13" x14ac:dyDescent="0.3">
      <c r="A2431" t="str">
        <f>Segmenter!A2431</f>
        <v/>
      </c>
      <c r="B2431" t="str">
        <f>Segmenter!B2431</f>
        <v/>
      </c>
      <c r="C2431" t="str">
        <f t="shared" si="185"/>
        <v/>
      </c>
      <c r="D2431" t="str">
        <f t="shared" si="186"/>
        <v/>
      </c>
      <c r="E2431" t="str">
        <f t="shared" si="187"/>
        <v/>
      </c>
      <c r="F2431" t="str">
        <f>IF(D2431="","",INDEX(Knutepunkter!$B:$B,D2431+1))</f>
        <v/>
      </c>
      <c r="G2431" t="str">
        <f>IF(D2431="","",INDEX(Knutepunkter!$C:$C,D2431+1))</f>
        <v/>
      </c>
      <c r="H2431" t="str">
        <f>IF(D2431="","",INDEX(Knutepunkter!$D:$D,D2431+1))</f>
        <v/>
      </c>
      <c r="I2431" t="str">
        <f>IF(E2431="","",INDEX(Knutepunkter!$B:$B,E2431+1))</f>
        <v/>
      </c>
      <c r="J2431" t="str">
        <f>IF(E2431="","",INDEX(Knutepunkter!$C:$C,E2431+1))</f>
        <v/>
      </c>
      <c r="K2431" t="str">
        <f>IF(E2431="","",INDEX(Knutepunkter!$D:$D,E2431+1))</f>
        <v/>
      </c>
      <c r="L2431" t="str">
        <f t="shared" si="188"/>
        <v/>
      </c>
      <c r="M2431" t="str">
        <f t="shared" si="189"/>
        <v/>
      </c>
    </row>
    <row r="2432" spans="1:13" x14ac:dyDescent="0.3">
      <c r="A2432" t="str">
        <f>Segmenter!A2432</f>
        <v/>
      </c>
      <c r="B2432" t="str">
        <f>Segmenter!B2432</f>
        <v/>
      </c>
      <c r="C2432" t="str">
        <f t="shared" si="185"/>
        <v/>
      </c>
      <c r="D2432" t="str">
        <f t="shared" si="186"/>
        <v/>
      </c>
      <c r="E2432" t="str">
        <f t="shared" si="187"/>
        <v/>
      </c>
      <c r="F2432" t="str">
        <f>IF(D2432="","",INDEX(Knutepunkter!$B:$B,D2432+1))</f>
        <v/>
      </c>
      <c r="G2432" t="str">
        <f>IF(D2432="","",INDEX(Knutepunkter!$C:$C,D2432+1))</f>
        <v/>
      </c>
      <c r="H2432" t="str">
        <f>IF(D2432="","",INDEX(Knutepunkter!$D:$D,D2432+1))</f>
        <v/>
      </c>
      <c r="I2432" t="str">
        <f>IF(E2432="","",INDEX(Knutepunkter!$B:$B,E2432+1))</f>
        <v/>
      </c>
      <c r="J2432" t="str">
        <f>IF(E2432="","",INDEX(Knutepunkter!$C:$C,E2432+1))</f>
        <v/>
      </c>
      <c r="K2432" t="str">
        <f>IF(E2432="","",INDEX(Knutepunkter!$D:$D,E2432+1))</f>
        <v/>
      </c>
      <c r="L2432" t="str">
        <f t="shared" si="188"/>
        <v/>
      </c>
      <c r="M2432" t="str">
        <f t="shared" si="189"/>
        <v/>
      </c>
    </row>
    <row r="2433" spans="1:13" x14ac:dyDescent="0.3">
      <c r="A2433" t="str">
        <f>Segmenter!A2433</f>
        <v/>
      </c>
      <c r="B2433" t="str">
        <f>Segmenter!B2433</f>
        <v/>
      </c>
      <c r="C2433" t="str">
        <f t="shared" si="185"/>
        <v/>
      </c>
      <c r="D2433" t="str">
        <f t="shared" si="186"/>
        <v/>
      </c>
      <c r="E2433" t="str">
        <f t="shared" si="187"/>
        <v/>
      </c>
      <c r="F2433" t="str">
        <f>IF(D2433="","",INDEX(Knutepunkter!$B:$B,D2433+1))</f>
        <v/>
      </c>
      <c r="G2433" t="str">
        <f>IF(D2433="","",INDEX(Knutepunkter!$C:$C,D2433+1))</f>
        <v/>
      </c>
      <c r="H2433" t="str">
        <f>IF(D2433="","",INDEX(Knutepunkter!$D:$D,D2433+1))</f>
        <v/>
      </c>
      <c r="I2433" t="str">
        <f>IF(E2433="","",INDEX(Knutepunkter!$B:$B,E2433+1))</f>
        <v/>
      </c>
      <c r="J2433" t="str">
        <f>IF(E2433="","",INDEX(Knutepunkter!$C:$C,E2433+1))</f>
        <v/>
      </c>
      <c r="K2433" t="str">
        <f>IF(E2433="","",INDEX(Knutepunkter!$D:$D,E2433+1))</f>
        <v/>
      </c>
      <c r="L2433" t="str">
        <f t="shared" si="188"/>
        <v/>
      </c>
      <c r="M2433" t="str">
        <f t="shared" si="189"/>
        <v/>
      </c>
    </row>
    <row r="2434" spans="1:13" x14ac:dyDescent="0.3">
      <c r="A2434" t="str">
        <f>Segmenter!A2434</f>
        <v/>
      </c>
      <c r="B2434" t="str">
        <f>Segmenter!B2434</f>
        <v/>
      </c>
      <c r="C2434" t="str">
        <f t="shared" ref="C2434:C2497" si="190">IF(B2434="","",IF(AND(F2434=I2434,G2434=J2434,H2434&lt;&gt;K2434),"Søyle","Bjelke"))</f>
        <v/>
      </c>
      <c r="D2434" t="str">
        <f t="shared" ref="D2434:D2497" si="191">IF(B2434="","",VALUE(LEFT(B2434,FIND(" -&gt; ",B2434)-1)))</f>
        <v/>
      </c>
      <c r="E2434" t="str">
        <f t="shared" ref="E2434:E2497" si="192">IF(B2434="","",VALUE(MID(B2434,FIND(" -&gt; ",B2434)+4,99)))</f>
        <v/>
      </c>
      <c r="F2434" t="str">
        <f>IF(D2434="","",INDEX(Knutepunkter!$B:$B,D2434+1))</f>
        <v/>
      </c>
      <c r="G2434" t="str">
        <f>IF(D2434="","",INDEX(Knutepunkter!$C:$C,D2434+1))</f>
        <v/>
      </c>
      <c r="H2434" t="str">
        <f>IF(D2434="","",INDEX(Knutepunkter!$D:$D,D2434+1))</f>
        <v/>
      </c>
      <c r="I2434" t="str">
        <f>IF(E2434="","",INDEX(Knutepunkter!$B:$B,E2434+1))</f>
        <v/>
      </c>
      <c r="J2434" t="str">
        <f>IF(E2434="","",INDEX(Knutepunkter!$C:$C,E2434+1))</f>
        <v/>
      </c>
      <c r="K2434" t="str">
        <f>IF(E2434="","",INDEX(Knutepunkter!$D:$D,E2434+1))</f>
        <v/>
      </c>
      <c r="L2434" t="str">
        <f t="shared" ref="L2434:L2497" si="193">IF(B2434="","",SQRT((I2434-F2434)^2+(J2434-G2434)^2+(K2434-H2434)^2))</f>
        <v/>
      </c>
      <c r="M2434" t="str">
        <f t="shared" ref="M2434:M2497" si="194">IF(L2434="","",L2434/1000)</f>
        <v/>
      </c>
    </row>
    <row r="2435" spans="1:13" x14ac:dyDescent="0.3">
      <c r="A2435" t="str">
        <f>Segmenter!A2435</f>
        <v/>
      </c>
      <c r="B2435" t="str">
        <f>Segmenter!B2435</f>
        <v/>
      </c>
      <c r="C2435" t="str">
        <f t="shared" si="190"/>
        <v/>
      </c>
      <c r="D2435" t="str">
        <f t="shared" si="191"/>
        <v/>
      </c>
      <c r="E2435" t="str">
        <f t="shared" si="192"/>
        <v/>
      </c>
      <c r="F2435" t="str">
        <f>IF(D2435="","",INDEX(Knutepunkter!$B:$B,D2435+1))</f>
        <v/>
      </c>
      <c r="G2435" t="str">
        <f>IF(D2435="","",INDEX(Knutepunkter!$C:$C,D2435+1))</f>
        <v/>
      </c>
      <c r="H2435" t="str">
        <f>IF(D2435="","",INDEX(Knutepunkter!$D:$D,D2435+1))</f>
        <v/>
      </c>
      <c r="I2435" t="str">
        <f>IF(E2435="","",INDEX(Knutepunkter!$B:$B,E2435+1))</f>
        <v/>
      </c>
      <c r="J2435" t="str">
        <f>IF(E2435="","",INDEX(Knutepunkter!$C:$C,E2435+1))</f>
        <v/>
      </c>
      <c r="K2435" t="str">
        <f>IF(E2435="","",INDEX(Knutepunkter!$D:$D,E2435+1))</f>
        <v/>
      </c>
      <c r="L2435" t="str">
        <f t="shared" si="193"/>
        <v/>
      </c>
      <c r="M2435" t="str">
        <f t="shared" si="194"/>
        <v/>
      </c>
    </row>
    <row r="2436" spans="1:13" x14ac:dyDescent="0.3">
      <c r="A2436" t="str">
        <f>Segmenter!A2436</f>
        <v/>
      </c>
      <c r="B2436" t="str">
        <f>Segmenter!B2436</f>
        <v/>
      </c>
      <c r="C2436" t="str">
        <f t="shared" si="190"/>
        <v/>
      </c>
      <c r="D2436" t="str">
        <f t="shared" si="191"/>
        <v/>
      </c>
      <c r="E2436" t="str">
        <f t="shared" si="192"/>
        <v/>
      </c>
      <c r="F2436" t="str">
        <f>IF(D2436="","",INDEX(Knutepunkter!$B:$B,D2436+1))</f>
        <v/>
      </c>
      <c r="G2436" t="str">
        <f>IF(D2436="","",INDEX(Knutepunkter!$C:$C,D2436+1))</f>
        <v/>
      </c>
      <c r="H2436" t="str">
        <f>IF(D2436="","",INDEX(Knutepunkter!$D:$D,D2436+1))</f>
        <v/>
      </c>
      <c r="I2436" t="str">
        <f>IF(E2436="","",INDEX(Knutepunkter!$B:$B,E2436+1))</f>
        <v/>
      </c>
      <c r="J2436" t="str">
        <f>IF(E2436="","",INDEX(Knutepunkter!$C:$C,E2436+1))</f>
        <v/>
      </c>
      <c r="K2436" t="str">
        <f>IF(E2436="","",INDEX(Knutepunkter!$D:$D,E2436+1))</f>
        <v/>
      </c>
      <c r="L2436" t="str">
        <f t="shared" si="193"/>
        <v/>
      </c>
      <c r="M2436" t="str">
        <f t="shared" si="194"/>
        <v/>
      </c>
    </row>
    <row r="2437" spans="1:13" x14ac:dyDescent="0.3">
      <c r="A2437" t="str">
        <f>Segmenter!A2437</f>
        <v/>
      </c>
      <c r="B2437" t="str">
        <f>Segmenter!B2437</f>
        <v/>
      </c>
      <c r="C2437" t="str">
        <f t="shared" si="190"/>
        <v/>
      </c>
      <c r="D2437" t="str">
        <f t="shared" si="191"/>
        <v/>
      </c>
      <c r="E2437" t="str">
        <f t="shared" si="192"/>
        <v/>
      </c>
      <c r="F2437" t="str">
        <f>IF(D2437="","",INDEX(Knutepunkter!$B:$B,D2437+1))</f>
        <v/>
      </c>
      <c r="G2437" t="str">
        <f>IF(D2437="","",INDEX(Knutepunkter!$C:$C,D2437+1))</f>
        <v/>
      </c>
      <c r="H2437" t="str">
        <f>IF(D2437="","",INDEX(Knutepunkter!$D:$D,D2437+1))</f>
        <v/>
      </c>
      <c r="I2437" t="str">
        <f>IF(E2437="","",INDEX(Knutepunkter!$B:$B,E2437+1))</f>
        <v/>
      </c>
      <c r="J2437" t="str">
        <f>IF(E2437="","",INDEX(Knutepunkter!$C:$C,E2437+1))</f>
        <v/>
      </c>
      <c r="K2437" t="str">
        <f>IF(E2437="","",INDEX(Knutepunkter!$D:$D,E2437+1))</f>
        <v/>
      </c>
      <c r="L2437" t="str">
        <f t="shared" si="193"/>
        <v/>
      </c>
      <c r="M2437" t="str">
        <f t="shared" si="194"/>
        <v/>
      </c>
    </row>
    <row r="2438" spans="1:13" x14ac:dyDescent="0.3">
      <c r="A2438" t="str">
        <f>Segmenter!A2438</f>
        <v/>
      </c>
      <c r="B2438" t="str">
        <f>Segmenter!B2438</f>
        <v/>
      </c>
      <c r="C2438" t="str">
        <f t="shared" si="190"/>
        <v/>
      </c>
      <c r="D2438" t="str">
        <f t="shared" si="191"/>
        <v/>
      </c>
      <c r="E2438" t="str">
        <f t="shared" si="192"/>
        <v/>
      </c>
      <c r="F2438" t="str">
        <f>IF(D2438="","",INDEX(Knutepunkter!$B:$B,D2438+1))</f>
        <v/>
      </c>
      <c r="G2438" t="str">
        <f>IF(D2438="","",INDEX(Knutepunkter!$C:$C,D2438+1))</f>
        <v/>
      </c>
      <c r="H2438" t="str">
        <f>IF(D2438="","",INDEX(Knutepunkter!$D:$D,D2438+1))</f>
        <v/>
      </c>
      <c r="I2438" t="str">
        <f>IF(E2438="","",INDEX(Knutepunkter!$B:$B,E2438+1))</f>
        <v/>
      </c>
      <c r="J2438" t="str">
        <f>IF(E2438="","",INDEX(Knutepunkter!$C:$C,E2438+1))</f>
        <v/>
      </c>
      <c r="K2438" t="str">
        <f>IF(E2438="","",INDEX(Knutepunkter!$D:$D,E2438+1))</f>
        <v/>
      </c>
      <c r="L2438" t="str">
        <f t="shared" si="193"/>
        <v/>
      </c>
      <c r="M2438" t="str">
        <f t="shared" si="194"/>
        <v/>
      </c>
    </row>
    <row r="2439" spans="1:13" x14ac:dyDescent="0.3">
      <c r="A2439" t="str">
        <f>Segmenter!A2439</f>
        <v/>
      </c>
      <c r="B2439" t="str">
        <f>Segmenter!B2439</f>
        <v/>
      </c>
      <c r="C2439" t="str">
        <f t="shared" si="190"/>
        <v/>
      </c>
      <c r="D2439" t="str">
        <f t="shared" si="191"/>
        <v/>
      </c>
      <c r="E2439" t="str">
        <f t="shared" si="192"/>
        <v/>
      </c>
      <c r="F2439" t="str">
        <f>IF(D2439="","",INDEX(Knutepunkter!$B:$B,D2439+1))</f>
        <v/>
      </c>
      <c r="G2439" t="str">
        <f>IF(D2439="","",INDEX(Knutepunkter!$C:$C,D2439+1))</f>
        <v/>
      </c>
      <c r="H2439" t="str">
        <f>IF(D2439="","",INDEX(Knutepunkter!$D:$D,D2439+1))</f>
        <v/>
      </c>
      <c r="I2439" t="str">
        <f>IF(E2439="","",INDEX(Knutepunkter!$B:$B,E2439+1))</f>
        <v/>
      </c>
      <c r="J2439" t="str">
        <f>IF(E2439="","",INDEX(Knutepunkter!$C:$C,E2439+1))</f>
        <v/>
      </c>
      <c r="K2439" t="str">
        <f>IF(E2439="","",INDEX(Knutepunkter!$D:$D,E2439+1))</f>
        <v/>
      </c>
      <c r="L2439" t="str">
        <f t="shared" si="193"/>
        <v/>
      </c>
      <c r="M2439" t="str">
        <f t="shared" si="194"/>
        <v/>
      </c>
    </row>
    <row r="2440" spans="1:13" x14ac:dyDescent="0.3">
      <c r="A2440" t="str">
        <f>Segmenter!A2440</f>
        <v/>
      </c>
      <c r="B2440" t="str">
        <f>Segmenter!B2440</f>
        <v/>
      </c>
      <c r="C2440" t="str">
        <f t="shared" si="190"/>
        <v/>
      </c>
      <c r="D2440" t="str">
        <f t="shared" si="191"/>
        <v/>
      </c>
      <c r="E2440" t="str">
        <f t="shared" si="192"/>
        <v/>
      </c>
      <c r="F2440" t="str">
        <f>IF(D2440="","",INDEX(Knutepunkter!$B:$B,D2440+1))</f>
        <v/>
      </c>
      <c r="G2440" t="str">
        <f>IF(D2440="","",INDEX(Knutepunkter!$C:$C,D2440+1))</f>
        <v/>
      </c>
      <c r="H2440" t="str">
        <f>IF(D2440="","",INDEX(Knutepunkter!$D:$D,D2440+1))</f>
        <v/>
      </c>
      <c r="I2440" t="str">
        <f>IF(E2440="","",INDEX(Knutepunkter!$B:$B,E2440+1))</f>
        <v/>
      </c>
      <c r="J2440" t="str">
        <f>IF(E2440="","",INDEX(Knutepunkter!$C:$C,E2440+1))</f>
        <v/>
      </c>
      <c r="K2440" t="str">
        <f>IF(E2440="","",INDEX(Knutepunkter!$D:$D,E2440+1))</f>
        <v/>
      </c>
      <c r="L2440" t="str">
        <f t="shared" si="193"/>
        <v/>
      </c>
      <c r="M2440" t="str">
        <f t="shared" si="194"/>
        <v/>
      </c>
    </row>
    <row r="2441" spans="1:13" x14ac:dyDescent="0.3">
      <c r="A2441" t="str">
        <f>Segmenter!A2441</f>
        <v/>
      </c>
      <c r="B2441" t="str">
        <f>Segmenter!B2441</f>
        <v/>
      </c>
      <c r="C2441" t="str">
        <f t="shared" si="190"/>
        <v/>
      </c>
      <c r="D2441" t="str">
        <f t="shared" si="191"/>
        <v/>
      </c>
      <c r="E2441" t="str">
        <f t="shared" si="192"/>
        <v/>
      </c>
      <c r="F2441" t="str">
        <f>IF(D2441="","",INDEX(Knutepunkter!$B:$B,D2441+1))</f>
        <v/>
      </c>
      <c r="G2441" t="str">
        <f>IF(D2441="","",INDEX(Knutepunkter!$C:$C,D2441+1))</f>
        <v/>
      </c>
      <c r="H2441" t="str">
        <f>IF(D2441="","",INDEX(Knutepunkter!$D:$D,D2441+1))</f>
        <v/>
      </c>
      <c r="I2441" t="str">
        <f>IF(E2441="","",INDEX(Knutepunkter!$B:$B,E2441+1))</f>
        <v/>
      </c>
      <c r="J2441" t="str">
        <f>IF(E2441="","",INDEX(Knutepunkter!$C:$C,E2441+1))</f>
        <v/>
      </c>
      <c r="K2441" t="str">
        <f>IF(E2441="","",INDEX(Knutepunkter!$D:$D,E2441+1))</f>
        <v/>
      </c>
      <c r="L2441" t="str">
        <f t="shared" si="193"/>
        <v/>
      </c>
      <c r="M2441" t="str">
        <f t="shared" si="194"/>
        <v/>
      </c>
    </row>
    <row r="2442" spans="1:13" x14ac:dyDescent="0.3">
      <c r="A2442" t="str">
        <f>Segmenter!A2442</f>
        <v/>
      </c>
      <c r="B2442" t="str">
        <f>Segmenter!B2442</f>
        <v/>
      </c>
      <c r="C2442" t="str">
        <f t="shared" si="190"/>
        <v/>
      </c>
      <c r="D2442" t="str">
        <f t="shared" si="191"/>
        <v/>
      </c>
      <c r="E2442" t="str">
        <f t="shared" si="192"/>
        <v/>
      </c>
      <c r="F2442" t="str">
        <f>IF(D2442="","",INDEX(Knutepunkter!$B:$B,D2442+1))</f>
        <v/>
      </c>
      <c r="G2442" t="str">
        <f>IF(D2442="","",INDEX(Knutepunkter!$C:$C,D2442+1))</f>
        <v/>
      </c>
      <c r="H2442" t="str">
        <f>IF(D2442="","",INDEX(Knutepunkter!$D:$D,D2442+1))</f>
        <v/>
      </c>
      <c r="I2442" t="str">
        <f>IF(E2442="","",INDEX(Knutepunkter!$B:$B,E2442+1))</f>
        <v/>
      </c>
      <c r="J2442" t="str">
        <f>IF(E2442="","",INDEX(Knutepunkter!$C:$C,E2442+1))</f>
        <v/>
      </c>
      <c r="K2442" t="str">
        <f>IF(E2442="","",INDEX(Knutepunkter!$D:$D,E2442+1))</f>
        <v/>
      </c>
      <c r="L2442" t="str">
        <f t="shared" si="193"/>
        <v/>
      </c>
      <c r="M2442" t="str">
        <f t="shared" si="194"/>
        <v/>
      </c>
    </row>
    <row r="2443" spans="1:13" x14ac:dyDescent="0.3">
      <c r="A2443" t="str">
        <f>Segmenter!A2443</f>
        <v/>
      </c>
      <c r="B2443" t="str">
        <f>Segmenter!B2443</f>
        <v/>
      </c>
      <c r="C2443" t="str">
        <f t="shared" si="190"/>
        <v/>
      </c>
      <c r="D2443" t="str">
        <f t="shared" si="191"/>
        <v/>
      </c>
      <c r="E2443" t="str">
        <f t="shared" si="192"/>
        <v/>
      </c>
      <c r="F2443" t="str">
        <f>IF(D2443="","",INDEX(Knutepunkter!$B:$B,D2443+1))</f>
        <v/>
      </c>
      <c r="G2443" t="str">
        <f>IF(D2443="","",INDEX(Knutepunkter!$C:$C,D2443+1))</f>
        <v/>
      </c>
      <c r="H2443" t="str">
        <f>IF(D2443="","",INDEX(Knutepunkter!$D:$D,D2443+1))</f>
        <v/>
      </c>
      <c r="I2443" t="str">
        <f>IF(E2443="","",INDEX(Knutepunkter!$B:$B,E2443+1))</f>
        <v/>
      </c>
      <c r="J2443" t="str">
        <f>IF(E2443="","",INDEX(Knutepunkter!$C:$C,E2443+1))</f>
        <v/>
      </c>
      <c r="K2443" t="str">
        <f>IF(E2443="","",INDEX(Knutepunkter!$D:$D,E2443+1))</f>
        <v/>
      </c>
      <c r="L2443" t="str">
        <f t="shared" si="193"/>
        <v/>
      </c>
      <c r="M2443" t="str">
        <f t="shared" si="194"/>
        <v/>
      </c>
    </row>
    <row r="2444" spans="1:13" x14ac:dyDescent="0.3">
      <c r="A2444" t="str">
        <f>Segmenter!A2444</f>
        <v/>
      </c>
      <c r="B2444" t="str">
        <f>Segmenter!B2444</f>
        <v/>
      </c>
      <c r="C2444" t="str">
        <f t="shared" si="190"/>
        <v/>
      </c>
      <c r="D2444" t="str">
        <f t="shared" si="191"/>
        <v/>
      </c>
      <c r="E2444" t="str">
        <f t="shared" si="192"/>
        <v/>
      </c>
      <c r="F2444" t="str">
        <f>IF(D2444="","",INDEX(Knutepunkter!$B:$B,D2444+1))</f>
        <v/>
      </c>
      <c r="G2444" t="str">
        <f>IF(D2444="","",INDEX(Knutepunkter!$C:$C,D2444+1))</f>
        <v/>
      </c>
      <c r="H2444" t="str">
        <f>IF(D2444="","",INDEX(Knutepunkter!$D:$D,D2444+1))</f>
        <v/>
      </c>
      <c r="I2444" t="str">
        <f>IF(E2444="","",INDEX(Knutepunkter!$B:$B,E2444+1))</f>
        <v/>
      </c>
      <c r="J2444" t="str">
        <f>IF(E2444="","",INDEX(Knutepunkter!$C:$C,E2444+1))</f>
        <v/>
      </c>
      <c r="K2444" t="str">
        <f>IF(E2444="","",INDEX(Knutepunkter!$D:$D,E2444+1))</f>
        <v/>
      </c>
      <c r="L2444" t="str">
        <f t="shared" si="193"/>
        <v/>
      </c>
      <c r="M2444" t="str">
        <f t="shared" si="194"/>
        <v/>
      </c>
    </row>
    <row r="2445" spans="1:13" x14ac:dyDescent="0.3">
      <c r="A2445" t="str">
        <f>Segmenter!A2445</f>
        <v/>
      </c>
      <c r="B2445" t="str">
        <f>Segmenter!B2445</f>
        <v/>
      </c>
      <c r="C2445" t="str">
        <f t="shared" si="190"/>
        <v/>
      </c>
      <c r="D2445" t="str">
        <f t="shared" si="191"/>
        <v/>
      </c>
      <c r="E2445" t="str">
        <f t="shared" si="192"/>
        <v/>
      </c>
      <c r="F2445" t="str">
        <f>IF(D2445="","",INDEX(Knutepunkter!$B:$B,D2445+1))</f>
        <v/>
      </c>
      <c r="G2445" t="str">
        <f>IF(D2445="","",INDEX(Knutepunkter!$C:$C,D2445+1))</f>
        <v/>
      </c>
      <c r="H2445" t="str">
        <f>IF(D2445="","",INDEX(Knutepunkter!$D:$D,D2445+1))</f>
        <v/>
      </c>
      <c r="I2445" t="str">
        <f>IF(E2445="","",INDEX(Knutepunkter!$B:$B,E2445+1))</f>
        <v/>
      </c>
      <c r="J2445" t="str">
        <f>IF(E2445="","",INDEX(Knutepunkter!$C:$C,E2445+1))</f>
        <v/>
      </c>
      <c r="K2445" t="str">
        <f>IF(E2445="","",INDEX(Knutepunkter!$D:$D,E2445+1))</f>
        <v/>
      </c>
      <c r="L2445" t="str">
        <f t="shared" si="193"/>
        <v/>
      </c>
      <c r="M2445" t="str">
        <f t="shared" si="194"/>
        <v/>
      </c>
    </row>
    <row r="2446" spans="1:13" x14ac:dyDescent="0.3">
      <c r="A2446" t="str">
        <f>Segmenter!A2446</f>
        <v/>
      </c>
      <c r="B2446" t="str">
        <f>Segmenter!B2446</f>
        <v/>
      </c>
      <c r="C2446" t="str">
        <f t="shared" si="190"/>
        <v/>
      </c>
      <c r="D2446" t="str">
        <f t="shared" si="191"/>
        <v/>
      </c>
      <c r="E2446" t="str">
        <f t="shared" si="192"/>
        <v/>
      </c>
      <c r="F2446" t="str">
        <f>IF(D2446="","",INDEX(Knutepunkter!$B:$B,D2446+1))</f>
        <v/>
      </c>
      <c r="G2446" t="str">
        <f>IF(D2446="","",INDEX(Knutepunkter!$C:$C,D2446+1))</f>
        <v/>
      </c>
      <c r="H2446" t="str">
        <f>IF(D2446="","",INDEX(Knutepunkter!$D:$D,D2446+1))</f>
        <v/>
      </c>
      <c r="I2446" t="str">
        <f>IF(E2446="","",INDEX(Knutepunkter!$B:$B,E2446+1))</f>
        <v/>
      </c>
      <c r="J2446" t="str">
        <f>IF(E2446="","",INDEX(Knutepunkter!$C:$C,E2446+1))</f>
        <v/>
      </c>
      <c r="K2446" t="str">
        <f>IF(E2446="","",INDEX(Knutepunkter!$D:$D,E2446+1))</f>
        <v/>
      </c>
      <c r="L2446" t="str">
        <f t="shared" si="193"/>
        <v/>
      </c>
      <c r="M2446" t="str">
        <f t="shared" si="194"/>
        <v/>
      </c>
    </row>
    <row r="2447" spans="1:13" x14ac:dyDescent="0.3">
      <c r="A2447" t="str">
        <f>Segmenter!A2447</f>
        <v/>
      </c>
      <c r="B2447" t="str">
        <f>Segmenter!B2447</f>
        <v/>
      </c>
      <c r="C2447" t="str">
        <f t="shared" si="190"/>
        <v/>
      </c>
      <c r="D2447" t="str">
        <f t="shared" si="191"/>
        <v/>
      </c>
      <c r="E2447" t="str">
        <f t="shared" si="192"/>
        <v/>
      </c>
      <c r="F2447" t="str">
        <f>IF(D2447="","",INDEX(Knutepunkter!$B:$B,D2447+1))</f>
        <v/>
      </c>
      <c r="G2447" t="str">
        <f>IF(D2447="","",INDEX(Knutepunkter!$C:$C,D2447+1))</f>
        <v/>
      </c>
      <c r="H2447" t="str">
        <f>IF(D2447="","",INDEX(Knutepunkter!$D:$D,D2447+1))</f>
        <v/>
      </c>
      <c r="I2447" t="str">
        <f>IF(E2447="","",INDEX(Knutepunkter!$B:$B,E2447+1))</f>
        <v/>
      </c>
      <c r="J2447" t="str">
        <f>IF(E2447="","",INDEX(Knutepunkter!$C:$C,E2447+1))</f>
        <v/>
      </c>
      <c r="K2447" t="str">
        <f>IF(E2447="","",INDEX(Knutepunkter!$D:$D,E2447+1))</f>
        <v/>
      </c>
      <c r="L2447" t="str">
        <f t="shared" si="193"/>
        <v/>
      </c>
      <c r="M2447" t="str">
        <f t="shared" si="194"/>
        <v/>
      </c>
    </row>
    <row r="2448" spans="1:13" x14ac:dyDescent="0.3">
      <c r="A2448" t="str">
        <f>Segmenter!A2448</f>
        <v/>
      </c>
      <c r="B2448" t="str">
        <f>Segmenter!B2448</f>
        <v/>
      </c>
      <c r="C2448" t="str">
        <f t="shared" si="190"/>
        <v/>
      </c>
      <c r="D2448" t="str">
        <f t="shared" si="191"/>
        <v/>
      </c>
      <c r="E2448" t="str">
        <f t="shared" si="192"/>
        <v/>
      </c>
      <c r="F2448" t="str">
        <f>IF(D2448="","",INDEX(Knutepunkter!$B:$B,D2448+1))</f>
        <v/>
      </c>
      <c r="G2448" t="str">
        <f>IF(D2448="","",INDEX(Knutepunkter!$C:$C,D2448+1))</f>
        <v/>
      </c>
      <c r="H2448" t="str">
        <f>IF(D2448="","",INDEX(Knutepunkter!$D:$D,D2448+1))</f>
        <v/>
      </c>
      <c r="I2448" t="str">
        <f>IF(E2448="","",INDEX(Knutepunkter!$B:$B,E2448+1))</f>
        <v/>
      </c>
      <c r="J2448" t="str">
        <f>IF(E2448="","",INDEX(Knutepunkter!$C:$C,E2448+1))</f>
        <v/>
      </c>
      <c r="K2448" t="str">
        <f>IF(E2448="","",INDEX(Knutepunkter!$D:$D,E2448+1))</f>
        <v/>
      </c>
      <c r="L2448" t="str">
        <f t="shared" si="193"/>
        <v/>
      </c>
      <c r="M2448" t="str">
        <f t="shared" si="194"/>
        <v/>
      </c>
    </row>
    <row r="2449" spans="1:13" x14ac:dyDescent="0.3">
      <c r="A2449" t="str">
        <f>Segmenter!A2449</f>
        <v/>
      </c>
      <c r="B2449" t="str">
        <f>Segmenter!B2449</f>
        <v/>
      </c>
      <c r="C2449" t="str">
        <f t="shared" si="190"/>
        <v/>
      </c>
      <c r="D2449" t="str">
        <f t="shared" si="191"/>
        <v/>
      </c>
      <c r="E2449" t="str">
        <f t="shared" si="192"/>
        <v/>
      </c>
      <c r="F2449" t="str">
        <f>IF(D2449="","",INDEX(Knutepunkter!$B:$B,D2449+1))</f>
        <v/>
      </c>
      <c r="G2449" t="str">
        <f>IF(D2449="","",INDEX(Knutepunkter!$C:$C,D2449+1))</f>
        <v/>
      </c>
      <c r="H2449" t="str">
        <f>IF(D2449="","",INDEX(Knutepunkter!$D:$D,D2449+1))</f>
        <v/>
      </c>
      <c r="I2449" t="str">
        <f>IF(E2449="","",INDEX(Knutepunkter!$B:$B,E2449+1))</f>
        <v/>
      </c>
      <c r="J2449" t="str">
        <f>IF(E2449="","",INDEX(Knutepunkter!$C:$C,E2449+1))</f>
        <v/>
      </c>
      <c r="K2449" t="str">
        <f>IF(E2449="","",INDEX(Knutepunkter!$D:$D,E2449+1))</f>
        <v/>
      </c>
      <c r="L2449" t="str">
        <f t="shared" si="193"/>
        <v/>
      </c>
      <c r="M2449" t="str">
        <f t="shared" si="194"/>
        <v/>
      </c>
    </row>
    <row r="2450" spans="1:13" x14ac:dyDescent="0.3">
      <c r="A2450" t="str">
        <f>Segmenter!A2450</f>
        <v/>
      </c>
      <c r="B2450" t="str">
        <f>Segmenter!B2450</f>
        <v/>
      </c>
      <c r="C2450" t="str">
        <f t="shared" si="190"/>
        <v/>
      </c>
      <c r="D2450" t="str">
        <f t="shared" si="191"/>
        <v/>
      </c>
      <c r="E2450" t="str">
        <f t="shared" si="192"/>
        <v/>
      </c>
      <c r="F2450" t="str">
        <f>IF(D2450="","",INDEX(Knutepunkter!$B:$B,D2450+1))</f>
        <v/>
      </c>
      <c r="G2450" t="str">
        <f>IF(D2450="","",INDEX(Knutepunkter!$C:$C,D2450+1))</f>
        <v/>
      </c>
      <c r="H2450" t="str">
        <f>IF(D2450="","",INDEX(Knutepunkter!$D:$D,D2450+1))</f>
        <v/>
      </c>
      <c r="I2450" t="str">
        <f>IF(E2450="","",INDEX(Knutepunkter!$B:$B,E2450+1))</f>
        <v/>
      </c>
      <c r="J2450" t="str">
        <f>IF(E2450="","",INDEX(Knutepunkter!$C:$C,E2450+1))</f>
        <v/>
      </c>
      <c r="K2450" t="str">
        <f>IF(E2450="","",INDEX(Knutepunkter!$D:$D,E2450+1))</f>
        <v/>
      </c>
      <c r="L2450" t="str">
        <f t="shared" si="193"/>
        <v/>
      </c>
      <c r="M2450" t="str">
        <f t="shared" si="194"/>
        <v/>
      </c>
    </row>
    <row r="2451" spans="1:13" x14ac:dyDescent="0.3">
      <c r="A2451" t="str">
        <f>Segmenter!A2451</f>
        <v/>
      </c>
      <c r="B2451" t="str">
        <f>Segmenter!B2451</f>
        <v/>
      </c>
      <c r="C2451" t="str">
        <f t="shared" si="190"/>
        <v/>
      </c>
      <c r="D2451" t="str">
        <f t="shared" si="191"/>
        <v/>
      </c>
      <c r="E2451" t="str">
        <f t="shared" si="192"/>
        <v/>
      </c>
      <c r="F2451" t="str">
        <f>IF(D2451="","",INDEX(Knutepunkter!$B:$B,D2451+1))</f>
        <v/>
      </c>
      <c r="G2451" t="str">
        <f>IF(D2451="","",INDEX(Knutepunkter!$C:$C,D2451+1))</f>
        <v/>
      </c>
      <c r="H2451" t="str">
        <f>IF(D2451="","",INDEX(Knutepunkter!$D:$D,D2451+1))</f>
        <v/>
      </c>
      <c r="I2451" t="str">
        <f>IF(E2451="","",INDEX(Knutepunkter!$B:$B,E2451+1))</f>
        <v/>
      </c>
      <c r="J2451" t="str">
        <f>IF(E2451="","",INDEX(Knutepunkter!$C:$C,E2451+1))</f>
        <v/>
      </c>
      <c r="K2451" t="str">
        <f>IF(E2451="","",INDEX(Knutepunkter!$D:$D,E2451+1))</f>
        <v/>
      </c>
      <c r="L2451" t="str">
        <f t="shared" si="193"/>
        <v/>
      </c>
      <c r="M2451" t="str">
        <f t="shared" si="194"/>
        <v/>
      </c>
    </row>
    <row r="2452" spans="1:13" x14ac:dyDescent="0.3">
      <c r="A2452" t="str">
        <f>Segmenter!A2452</f>
        <v/>
      </c>
      <c r="B2452" t="str">
        <f>Segmenter!B2452</f>
        <v/>
      </c>
      <c r="C2452" t="str">
        <f t="shared" si="190"/>
        <v/>
      </c>
      <c r="D2452" t="str">
        <f t="shared" si="191"/>
        <v/>
      </c>
      <c r="E2452" t="str">
        <f t="shared" si="192"/>
        <v/>
      </c>
      <c r="F2452" t="str">
        <f>IF(D2452="","",INDEX(Knutepunkter!$B:$B,D2452+1))</f>
        <v/>
      </c>
      <c r="G2452" t="str">
        <f>IF(D2452="","",INDEX(Knutepunkter!$C:$C,D2452+1))</f>
        <v/>
      </c>
      <c r="H2452" t="str">
        <f>IF(D2452="","",INDEX(Knutepunkter!$D:$D,D2452+1))</f>
        <v/>
      </c>
      <c r="I2452" t="str">
        <f>IF(E2452="","",INDEX(Knutepunkter!$B:$B,E2452+1))</f>
        <v/>
      </c>
      <c r="J2452" t="str">
        <f>IF(E2452="","",INDEX(Knutepunkter!$C:$C,E2452+1))</f>
        <v/>
      </c>
      <c r="K2452" t="str">
        <f>IF(E2452="","",INDEX(Knutepunkter!$D:$D,E2452+1))</f>
        <v/>
      </c>
      <c r="L2452" t="str">
        <f t="shared" si="193"/>
        <v/>
      </c>
      <c r="M2452" t="str">
        <f t="shared" si="194"/>
        <v/>
      </c>
    </row>
    <row r="2453" spans="1:13" x14ac:dyDescent="0.3">
      <c r="A2453" t="str">
        <f>Segmenter!A2453</f>
        <v/>
      </c>
      <c r="B2453" t="str">
        <f>Segmenter!B2453</f>
        <v/>
      </c>
      <c r="C2453" t="str">
        <f t="shared" si="190"/>
        <v/>
      </c>
      <c r="D2453" t="str">
        <f t="shared" si="191"/>
        <v/>
      </c>
      <c r="E2453" t="str">
        <f t="shared" si="192"/>
        <v/>
      </c>
      <c r="F2453" t="str">
        <f>IF(D2453="","",INDEX(Knutepunkter!$B:$B,D2453+1))</f>
        <v/>
      </c>
      <c r="G2453" t="str">
        <f>IF(D2453="","",INDEX(Knutepunkter!$C:$C,D2453+1))</f>
        <v/>
      </c>
      <c r="H2453" t="str">
        <f>IF(D2453="","",INDEX(Knutepunkter!$D:$D,D2453+1))</f>
        <v/>
      </c>
      <c r="I2453" t="str">
        <f>IF(E2453="","",INDEX(Knutepunkter!$B:$B,E2453+1))</f>
        <v/>
      </c>
      <c r="J2453" t="str">
        <f>IF(E2453="","",INDEX(Knutepunkter!$C:$C,E2453+1))</f>
        <v/>
      </c>
      <c r="K2453" t="str">
        <f>IF(E2453="","",INDEX(Knutepunkter!$D:$D,E2453+1))</f>
        <v/>
      </c>
      <c r="L2453" t="str">
        <f t="shared" si="193"/>
        <v/>
      </c>
      <c r="M2453" t="str">
        <f t="shared" si="194"/>
        <v/>
      </c>
    </row>
    <row r="2454" spans="1:13" x14ac:dyDescent="0.3">
      <c r="A2454" t="str">
        <f>Segmenter!A2454</f>
        <v/>
      </c>
      <c r="B2454" t="str">
        <f>Segmenter!B2454</f>
        <v/>
      </c>
      <c r="C2454" t="str">
        <f t="shared" si="190"/>
        <v/>
      </c>
      <c r="D2454" t="str">
        <f t="shared" si="191"/>
        <v/>
      </c>
      <c r="E2454" t="str">
        <f t="shared" si="192"/>
        <v/>
      </c>
      <c r="F2454" t="str">
        <f>IF(D2454="","",INDEX(Knutepunkter!$B:$B,D2454+1))</f>
        <v/>
      </c>
      <c r="G2454" t="str">
        <f>IF(D2454="","",INDEX(Knutepunkter!$C:$C,D2454+1))</f>
        <v/>
      </c>
      <c r="H2454" t="str">
        <f>IF(D2454="","",INDEX(Knutepunkter!$D:$D,D2454+1))</f>
        <v/>
      </c>
      <c r="I2454" t="str">
        <f>IF(E2454="","",INDEX(Knutepunkter!$B:$B,E2454+1))</f>
        <v/>
      </c>
      <c r="J2454" t="str">
        <f>IF(E2454="","",INDEX(Knutepunkter!$C:$C,E2454+1))</f>
        <v/>
      </c>
      <c r="K2454" t="str">
        <f>IF(E2454="","",INDEX(Knutepunkter!$D:$D,E2454+1))</f>
        <v/>
      </c>
      <c r="L2454" t="str">
        <f t="shared" si="193"/>
        <v/>
      </c>
      <c r="M2454" t="str">
        <f t="shared" si="194"/>
        <v/>
      </c>
    </row>
    <row r="2455" spans="1:13" x14ac:dyDescent="0.3">
      <c r="A2455" t="str">
        <f>Segmenter!A2455</f>
        <v/>
      </c>
      <c r="B2455" t="str">
        <f>Segmenter!B2455</f>
        <v/>
      </c>
      <c r="C2455" t="str">
        <f t="shared" si="190"/>
        <v/>
      </c>
      <c r="D2455" t="str">
        <f t="shared" si="191"/>
        <v/>
      </c>
      <c r="E2455" t="str">
        <f t="shared" si="192"/>
        <v/>
      </c>
      <c r="F2455" t="str">
        <f>IF(D2455="","",INDEX(Knutepunkter!$B:$B,D2455+1))</f>
        <v/>
      </c>
      <c r="G2455" t="str">
        <f>IF(D2455="","",INDEX(Knutepunkter!$C:$C,D2455+1))</f>
        <v/>
      </c>
      <c r="H2455" t="str">
        <f>IF(D2455="","",INDEX(Knutepunkter!$D:$D,D2455+1))</f>
        <v/>
      </c>
      <c r="I2455" t="str">
        <f>IF(E2455="","",INDEX(Knutepunkter!$B:$B,E2455+1))</f>
        <v/>
      </c>
      <c r="J2455" t="str">
        <f>IF(E2455="","",INDEX(Knutepunkter!$C:$C,E2455+1))</f>
        <v/>
      </c>
      <c r="K2455" t="str">
        <f>IF(E2455="","",INDEX(Knutepunkter!$D:$D,E2455+1))</f>
        <v/>
      </c>
      <c r="L2455" t="str">
        <f t="shared" si="193"/>
        <v/>
      </c>
      <c r="M2455" t="str">
        <f t="shared" si="194"/>
        <v/>
      </c>
    </row>
    <row r="2456" spans="1:13" x14ac:dyDescent="0.3">
      <c r="A2456" t="str">
        <f>Segmenter!A2456</f>
        <v/>
      </c>
      <c r="B2456" t="str">
        <f>Segmenter!B2456</f>
        <v/>
      </c>
      <c r="C2456" t="str">
        <f t="shared" si="190"/>
        <v/>
      </c>
      <c r="D2456" t="str">
        <f t="shared" si="191"/>
        <v/>
      </c>
      <c r="E2456" t="str">
        <f t="shared" si="192"/>
        <v/>
      </c>
      <c r="F2456" t="str">
        <f>IF(D2456="","",INDEX(Knutepunkter!$B:$B,D2456+1))</f>
        <v/>
      </c>
      <c r="G2456" t="str">
        <f>IF(D2456="","",INDEX(Knutepunkter!$C:$C,D2456+1))</f>
        <v/>
      </c>
      <c r="H2456" t="str">
        <f>IF(D2456="","",INDEX(Knutepunkter!$D:$D,D2456+1))</f>
        <v/>
      </c>
      <c r="I2456" t="str">
        <f>IF(E2456="","",INDEX(Knutepunkter!$B:$B,E2456+1))</f>
        <v/>
      </c>
      <c r="J2456" t="str">
        <f>IF(E2456="","",INDEX(Knutepunkter!$C:$C,E2456+1))</f>
        <v/>
      </c>
      <c r="K2456" t="str">
        <f>IF(E2456="","",INDEX(Knutepunkter!$D:$D,E2456+1))</f>
        <v/>
      </c>
      <c r="L2456" t="str">
        <f t="shared" si="193"/>
        <v/>
      </c>
      <c r="M2456" t="str">
        <f t="shared" si="194"/>
        <v/>
      </c>
    </row>
    <row r="2457" spans="1:13" x14ac:dyDescent="0.3">
      <c r="A2457" t="str">
        <f>Segmenter!A2457</f>
        <v/>
      </c>
      <c r="B2457" t="str">
        <f>Segmenter!B2457</f>
        <v/>
      </c>
      <c r="C2457" t="str">
        <f t="shared" si="190"/>
        <v/>
      </c>
      <c r="D2457" t="str">
        <f t="shared" si="191"/>
        <v/>
      </c>
      <c r="E2457" t="str">
        <f t="shared" si="192"/>
        <v/>
      </c>
      <c r="F2457" t="str">
        <f>IF(D2457="","",INDEX(Knutepunkter!$B:$B,D2457+1))</f>
        <v/>
      </c>
      <c r="G2457" t="str">
        <f>IF(D2457="","",INDEX(Knutepunkter!$C:$C,D2457+1))</f>
        <v/>
      </c>
      <c r="H2457" t="str">
        <f>IF(D2457="","",INDEX(Knutepunkter!$D:$D,D2457+1))</f>
        <v/>
      </c>
      <c r="I2457" t="str">
        <f>IF(E2457="","",INDEX(Knutepunkter!$B:$B,E2457+1))</f>
        <v/>
      </c>
      <c r="J2457" t="str">
        <f>IF(E2457="","",INDEX(Knutepunkter!$C:$C,E2457+1))</f>
        <v/>
      </c>
      <c r="K2457" t="str">
        <f>IF(E2457="","",INDEX(Knutepunkter!$D:$D,E2457+1))</f>
        <v/>
      </c>
      <c r="L2457" t="str">
        <f t="shared" si="193"/>
        <v/>
      </c>
      <c r="M2457" t="str">
        <f t="shared" si="194"/>
        <v/>
      </c>
    </row>
    <row r="2458" spans="1:13" x14ac:dyDescent="0.3">
      <c r="A2458" t="str">
        <f>Segmenter!A2458</f>
        <v/>
      </c>
      <c r="B2458" t="str">
        <f>Segmenter!B2458</f>
        <v/>
      </c>
      <c r="C2458" t="str">
        <f t="shared" si="190"/>
        <v/>
      </c>
      <c r="D2458" t="str">
        <f t="shared" si="191"/>
        <v/>
      </c>
      <c r="E2458" t="str">
        <f t="shared" si="192"/>
        <v/>
      </c>
      <c r="F2458" t="str">
        <f>IF(D2458="","",INDEX(Knutepunkter!$B:$B,D2458+1))</f>
        <v/>
      </c>
      <c r="G2458" t="str">
        <f>IF(D2458="","",INDEX(Knutepunkter!$C:$C,D2458+1))</f>
        <v/>
      </c>
      <c r="H2458" t="str">
        <f>IF(D2458="","",INDEX(Knutepunkter!$D:$D,D2458+1))</f>
        <v/>
      </c>
      <c r="I2458" t="str">
        <f>IF(E2458="","",INDEX(Knutepunkter!$B:$B,E2458+1))</f>
        <v/>
      </c>
      <c r="J2458" t="str">
        <f>IF(E2458="","",INDEX(Knutepunkter!$C:$C,E2458+1))</f>
        <v/>
      </c>
      <c r="K2458" t="str">
        <f>IF(E2458="","",INDEX(Knutepunkter!$D:$D,E2458+1))</f>
        <v/>
      </c>
      <c r="L2458" t="str">
        <f t="shared" si="193"/>
        <v/>
      </c>
      <c r="M2458" t="str">
        <f t="shared" si="194"/>
        <v/>
      </c>
    </row>
    <row r="2459" spans="1:13" x14ac:dyDescent="0.3">
      <c r="A2459" t="str">
        <f>Segmenter!A2459</f>
        <v/>
      </c>
      <c r="B2459" t="str">
        <f>Segmenter!B2459</f>
        <v/>
      </c>
      <c r="C2459" t="str">
        <f t="shared" si="190"/>
        <v/>
      </c>
      <c r="D2459" t="str">
        <f t="shared" si="191"/>
        <v/>
      </c>
      <c r="E2459" t="str">
        <f t="shared" si="192"/>
        <v/>
      </c>
      <c r="F2459" t="str">
        <f>IF(D2459="","",INDEX(Knutepunkter!$B:$B,D2459+1))</f>
        <v/>
      </c>
      <c r="G2459" t="str">
        <f>IF(D2459="","",INDEX(Knutepunkter!$C:$C,D2459+1))</f>
        <v/>
      </c>
      <c r="H2459" t="str">
        <f>IF(D2459="","",INDEX(Knutepunkter!$D:$D,D2459+1))</f>
        <v/>
      </c>
      <c r="I2459" t="str">
        <f>IF(E2459="","",INDEX(Knutepunkter!$B:$B,E2459+1))</f>
        <v/>
      </c>
      <c r="J2459" t="str">
        <f>IF(E2459="","",INDEX(Knutepunkter!$C:$C,E2459+1))</f>
        <v/>
      </c>
      <c r="K2459" t="str">
        <f>IF(E2459="","",INDEX(Knutepunkter!$D:$D,E2459+1))</f>
        <v/>
      </c>
      <c r="L2459" t="str">
        <f t="shared" si="193"/>
        <v/>
      </c>
      <c r="M2459" t="str">
        <f t="shared" si="194"/>
        <v/>
      </c>
    </row>
    <row r="2460" spans="1:13" x14ac:dyDescent="0.3">
      <c r="A2460" t="str">
        <f>Segmenter!A2460</f>
        <v/>
      </c>
      <c r="B2460" t="str">
        <f>Segmenter!B2460</f>
        <v/>
      </c>
      <c r="C2460" t="str">
        <f t="shared" si="190"/>
        <v/>
      </c>
      <c r="D2460" t="str">
        <f t="shared" si="191"/>
        <v/>
      </c>
      <c r="E2460" t="str">
        <f t="shared" si="192"/>
        <v/>
      </c>
      <c r="F2460" t="str">
        <f>IF(D2460="","",INDEX(Knutepunkter!$B:$B,D2460+1))</f>
        <v/>
      </c>
      <c r="G2460" t="str">
        <f>IF(D2460="","",INDEX(Knutepunkter!$C:$C,D2460+1))</f>
        <v/>
      </c>
      <c r="H2460" t="str">
        <f>IF(D2460="","",INDEX(Knutepunkter!$D:$D,D2460+1))</f>
        <v/>
      </c>
      <c r="I2460" t="str">
        <f>IF(E2460="","",INDEX(Knutepunkter!$B:$B,E2460+1))</f>
        <v/>
      </c>
      <c r="J2460" t="str">
        <f>IF(E2460="","",INDEX(Knutepunkter!$C:$C,E2460+1))</f>
        <v/>
      </c>
      <c r="K2460" t="str">
        <f>IF(E2460="","",INDEX(Knutepunkter!$D:$D,E2460+1))</f>
        <v/>
      </c>
      <c r="L2460" t="str">
        <f t="shared" si="193"/>
        <v/>
      </c>
      <c r="M2460" t="str">
        <f t="shared" si="194"/>
        <v/>
      </c>
    </row>
    <row r="2461" spans="1:13" x14ac:dyDescent="0.3">
      <c r="A2461" t="str">
        <f>Segmenter!A2461</f>
        <v/>
      </c>
      <c r="B2461" t="str">
        <f>Segmenter!B2461</f>
        <v/>
      </c>
      <c r="C2461" t="str">
        <f t="shared" si="190"/>
        <v/>
      </c>
      <c r="D2461" t="str">
        <f t="shared" si="191"/>
        <v/>
      </c>
      <c r="E2461" t="str">
        <f t="shared" si="192"/>
        <v/>
      </c>
      <c r="F2461" t="str">
        <f>IF(D2461="","",INDEX(Knutepunkter!$B:$B,D2461+1))</f>
        <v/>
      </c>
      <c r="G2461" t="str">
        <f>IF(D2461="","",INDEX(Knutepunkter!$C:$C,D2461+1))</f>
        <v/>
      </c>
      <c r="H2461" t="str">
        <f>IF(D2461="","",INDEX(Knutepunkter!$D:$D,D2461+1))</f>
        <v/>
      </c>
      <c r="I2461" t="str">
        <f>IF(E2461="","",INDEX(Knutepunkter!$B:$B,E2461+1))</f>
        <v/>
      </c>
      <c r="J2461" t="str">
        <f>IF(E2461="","",INDEX(Knutepunkter!$C:$C,E2461+1))</f>
        <v/>
      </c>
      <c r="K2461" t="str">
        <f>IF(E2461="","",INDEX(Knutepunkter!$D:$D,E2461+1))</f>
        <v/>
      </c>
      <c r="L2461" t="str">
        <f t="shared" si="193"/>
        <v/>
      </c>
      <c r="M2461" t="str">
        <f t="shared" si="194"/>
        <v/>
      </c>
    </row>
    <row r="2462" spans="1:13" x14ac:dyDescent="0.3">
      <c r="A2462" t="str">
        <f>Segmenter!A2462</f>
        <v/>
      </c>
      <c r="B2462" t="str">
        <f>Segmenter!B2462</f>
        <v/>
      </c>
      <c r="C2462" t="str">
        <f t="shared" si="190"/>
        <v/>
      </c>
      <c r="D2462" t="str">
        <f t="shared" si="191"/>
        <v/>
      </c>
      <c r="E2462" t="str">
        <f t="shared" si="192"/>
        <v/>
      </c>
      <c r="F2462" t="str">
        <f>IF(D2462="","",INDEX(Knutepunkter!$B:$B,D2462+1))</f>
        <v/>
      </c>
      <c r="G2462" t="str">
        <f>IF(D2462="","",INDEX(Knutepunkter!$C:$C,D2462+1))</f>
        <v/>
      </c>
      <c r="H2462" t="str">
        <f>IF(D2462="","",INDEX(Knutepunkter!$D:$D,D2462+1))</f>
        <v/>
      </c>
      <c r="I2462" t="str">
        <f>IF(E2462="","",INDEX(Knutepunkter!$B:$B,E2462+1))</f>
        <v/>
      </c>
      <c r="J2462" t="str">
        <f>IF(E2462="","",INDEX(Knutepunkter!$C:$C,E2462+1))</f>
        <v/>
      </c>
      <c r="K2462" t="str">
        <f>IF(E2462="","",INDEX(Knutepunkter!$D:$D,E2462+1))</f>
        <v/>
      </c>
      <c r="L2462" t="str">
        <f t="shared" si="193"/>
        <v/>
      </c>
      <c r="M2462" t="str">
        <f t="shared" si="194"/>
        <v/>
      </c>
    </row>
    <row r="2463" spans="1:13" x14ac:dyDescent="0.3">
      <c r="A2463" t="str">
        <f>Segmenter!A2463</f>
        <v/>
      </c>
      <c r="B2463" t="str">
        <f>Segmenter!B2463</f>
        <v/>
      </c>
      <c r="C2463" t="str">
        <f t="shared" si="190"/>
        <v/>
      </c>
      <c r="D2463" t="str">
        <f t="shared" si="191"/>
        <v/>
      </c>
      <c r="E2463" t="str">
        <f t="shared" si="192"/>
        <v/>
      </c>
      <c r="F2463" t="str">
        <f>IF(D2463="","",INDEX(Knutepunkter!$B:$B,D2463+1))</f>
        <v/>
      </c>
      <c r="G2463" t="str">
        <f>IF(D2463="","",INDEX(Knutepunkter!$C:$C,D2463+1))</f>
        <v/>
      </c>
      <c r="H2463" t="str">
        <f>IF(D2463="","",INDEX(Knutepunkter!$D:$D,D2463+1))</f>
        <v/>
      </c>
      <c r="I2463" t="str">
        <f>IF(E2463="","",INDEX(Knutepunkter!$B:$B,E2463+1))</f>
        <v/>
      </c>
      <c r="J2463" t="str">
        <f>IF(E2463="","",INDEX(Knutepunkter!$C:$C,E2463+1))</f>
        <v/>
      </c>
      <c r="K2463" t="str">
        <f>IF(E2463="","",INDEX(Knutepunkter!$D:$D,E2463+1))</f>
        <v/>
      </c>
      <c r="L2463" t="str">
        <f t="shared" si="193"/>
        <v/>
      </c>
      <c r="M2463" t="str">
        <f t="shared" si="194"/>
        <v/>
      </c>
    </row>
    <row r="2464" spans="1:13" x14ac:dyDescent="0.3">
      <c r="A2464" t="str">
        <f>Segmenter!A2464</f>
        <v/>
      </c>
      <c r="B2464" t="str">
        <f>Segmenter!B2464</f>
        <v/>
      </c>
      <c r="C2464" t="str">
        <f t="shared" si="190"/>
        <v/>
      </c>
      <c r="D2464" t="str">
        <f t="shared" si="191"/>
        <v/>
      </c>
      <c r="E2464" t="str">
        <f t="shared" si="192"/>
        <v/>
      </c>
      <c r="F2464" t="str">
        <f>IF(D2464="","",INDEX(Knutepunkter!$B:$B,D2464+1))</f>
        <v/>
      </c>
      <c r="G2464" t="str">
        <f>IF(D2464="","",INDEX(Knutepunkter!$C:$C,D2464+1))</f>
        <v/>
      </c>
      <c r="H2464" t="str">
        <f>IF(D2464="","",INDEX(Knutepunkter!$D:$D,D2464+1))</f>
        <v/>
      </c>
      <c r="I2464" t="str">
        <f>IF(E2464="","",INDEX(Knutepunkter!$B:$B,E2464+1))</f>
        <v/>
      </c>
      <c r="J2464" t="str">
        <f>IF(E2464="","",INDEX(Knutepunkter!$C:$C,E2464+1))</f>
        <v/>
      </c>
      <c r="K2464" t="str">
        <f>IF(E2464="","",INDEX(Knutepunkter!$D:$D,E2464+1))</f>
        <v/>
      </c>
      <c r="L2464" t="str">
        <f t="shared" si="193"/>
        <v/>
      </c>
      <c r="M2464" t="str">
        <f t="shared" si="194"/>
        <v/>
      </c>
    </row>
    <row r="2465" spans="1:13" x14ac:dyDescent="0.3">
      <c r="A2465" t="str">
        <f>Segmenter!A2465</f>
        <v/>
      </c>
      <c r="B2465" t="str">
        <f>Segmenter!B2465</f>
        <v/>
      </c>
      <c r="C2465" t="str">
        <f t="shared" si="190"/>
        <v/>
      </c>
      <c r="D2465" t="str">
        <f t="shared" si="191"/>
        <v/>
      </c>
      <c r="E2465" t="str">
        <f t="shared" si="192"/>
        <v/>
      </c>
      <c r="F2465" t="str">
        <f>IF(D2465="","",INDEX(Knutepunkter!$B:$B,D2465+1))</f>
        <v/>
      </c>
      <c r="G2465" t="str">
        <f>IF(D2465="","",INDEX(Knutepunkter!$C:$C,D2465+1))</f>
        <v/>
      </c>
      <c r="H2465" t="str">
        <f>IF(D2465="","",INDEX(Knutepunkter!$D:$D,D2465+1))</f>
        <v/>
      </c>
      <c r="I2465" t="str">
        <f>IF(E2465="","",INDEX(Knutepunkter!$B:$B,E2465+1))</f>
        <v/>
      </c>
      <c r="J2465" t="str">
        <f>IF(E2465="","",INDEX(Knutepunkter!$C:$C,E2465+1))</f>
        <v/>
      </c>
      <c r="K2465" t="str">
        <f>IF(E2465="","",INDEX(Knutepunkter!$D:$D,E2465+1))</f>
        <v/>
      </c>
      <c r="L2465" t="str">
        <f t="shared" si="193"/>
        <v/>
      </c>
      <c r="M2465" t="str">
        <f t="shared" si="194"/>
        <v/>
      </c>
    </row>
    <row r="2466" spans="1:13" x14ac:dyDescent="0.3">
      <c r="A2466" t="str">
        <f>Segmenter!A2466</f>
        <v/>
      </c>
      <c r="B2466" t="str">
        <f>Segmenter!B2466</f>
        <v/>
      </c>
      <c r="C2466" t="str">
        <f t="shared" si="190"/>
        <v/>
      </c>
      <c r="D2466" t="str">
        <f t="shared" si="191"/>
        <v/>
      </c>
      <c r="E2466" t="str">
        <f t="shared" si="192"/>
        <v/>
      </c>
      <c r="F2466" t="str">
        <f>IF(D2466="","",INDEX(Knutepunkter!$B:$B,D2466+1))</f>
        <v/>
      </c>
      <c r="G2466" t="str">
        <f>IF(D2466="","",INDEX(Knutepunkter!$C:$C,D2466+1))</f>
        <v/>
      </c>
      <c r="H2466" t="str">
        <f>IF(D2466="","",INDEX(Knutepunkter!$D:$D,D2466+1))</f>
        <v/>
      </c>
      <c r="I2466" t="str">
        <f>IF(E2466="","",INDEX(Knutepunkter!$B:$B,E2466+1))</f>
        <v/>
      </c>
      <c r="J2466" t="str">
        <f>IF(E2466="","",INDEX(Knutepunkter!$C:$C,E2466+1))</f>
        <v/>
      </c>
      <c r="K2466" t="str">
        <f>IF(E2466="","",INDEX(Knutepunkter!$D:$D,E2466+1))</f>
        <v/>
      </c>
      <c r="L2466" t="str">
        <f t="shared" si="193"/>
        <v/>
      </c>
      <c r="M2466" t="str">
        <f t="shared" si="194"/>
        <v/>
      </c>
    </row>
    <row r="2467" spans="1:13" x14ac:dyDescent="0.3">
      <c r="A2467" t="str">
        <f>Segmenter!A2467</f>
        <v/>
      </c>
      <c r="B2467" t="str">
        <f>Segmenter!B2467</f>
        <v/>
      </c>
      <c r="C2467" t="str">
        <f t="shared" si="190"/>
        <v/>
      </c>
      <c r="D2467" t="str">
        <f t="shared" si="191"/>
        <v/>
      </c>
      <c r="E2467" t="str">
        <f t="shared" si="192"/>
        <v/>
      </c>
      <c r="F2467" t="str">
        <f>IF(D2467="","",INDEX(Knutepunkter!$B:$B,D2467+1))</f>
        <v/>
      </c>
      <c r="G2467" t="str">
        <f>IF(D2467="","",INDEX(Knutepunkter!$C:$C,D2467+1))</f>
        <v/>
      </c>
      <c r="H2467" t="str">
        <f>IF(D2467="","",INDEX(Knutepunkter!$D:$D,D2467+1))</f>
        <v/>
      </c>
      <c r="I2467" t="str">
        <f>IF(E2467="","",INDEX(Knutepunkter!$B:$B,E2467+1))</f>
        <v/>
      </c>
      <c r="J2467" t="str">
        <f>IF(E2467="","",INDEX(Knutepunkter!$C:$C,E2467+1))</f>
        <v/>
      </c>
      <c r="K2467" t="str">
        <f>IF(E2467="","",INDEX(Knutepunkter!$D:$D,E2467+1))</f>
        <v/>
      </c>
      <c r="L2467" t="str">
        <f t="shared" si="193"/>
        <v/>
      </c>
      <c r="M2467" t="str">
        <f t="shared" si="194"/>
        <v/>
      </c>
    </row>
    <row r="2468" spans="1:13" x14ac:dyDescent="0.3">
      <c r="A2468" t="str">
        <f>Segmenter!A2468</f>
        <v/>
      </c>
      <c r="B2468" t="str">
        <f>Segmenter!B2468</f>
        <v/>
      </c>
      <c r="C2468" t="str">
        <f t="shared" si="190"/>
        <v/>
      </c>
      <c r="D2468" t="str">
        <f t="shared" si="191"/>
        <v/>
      </c>
      <c r="E2468" t="str">
        <f t="shared" si="192"/>
        <v/>
      </c>
      <c r="F2468" t="str">
        <f>IF(D2468="","",INDEX(Knutepunkter!$B:$B,D2468+1))</f>
        <v/>
      </c>
      <c r="G2468" t="str">
        <f>IF(D2468="","",INDEX(Knutepunkter!$C:$C,D2468+1))</f>
        <v/>
      </c>
      <c r="H2468" t="str">
        <f>IF(D2468="","",INDEX(Knutepunkter!$D:$D,D2468+1))</f>
        <v/>
      </c>
      <c r="I2468" t="str">
        <f>IF(E2468="","",INDEX(Knutepunkter!$B:$B,E2468+1))</f>
        <v/>
      </c>
      <c r="J2468" t="str">
        <f>IF(E2468="","",INDEX(Knutepunkter!$C:$C,E2468+1))</f>
        <v/>
      </c>
      <c r="K2468" t="str">
        <f>IF(E2468="","",INDEX(Knutepunkter!$D:$D,E2468+1))</f>
        <v/>
      </c>
      <c r="L2468" t="str">
        <f t="shared" si="193"/>
        <v/>
      </c>
      <c r="M2468" t="str">
        <f t="shared" si="194"/>
        <v/>
      </c>
    </row>
    <row r="2469" spans="1:13" x14ac:dyDescent="0.3">
      <c r="A2469" t="str">
        <f>Segmenter!A2469</f>
        <v/>
      </c>
      <c r="B2469" t="str">
        <f>Segmenter!B2469</f>
        <v/>
      </c>
      <c r="C2469" t="str">
        <f t="shared" si="190"/>
        <v/>
      </c>
      <c r="D2469" t="str">
        <f t="shared" si="191"/>
        <v/>
      </c>
      <c r="E2469" t="str">
        <f t="shared" si="192"/>
        <v/>
      </c>
      <c r="F2469" t="str">
        <f>IF(D2469="","",INDEX(Knutepunkter!$B:$B,D2469+1))</f>
        <v/>
      </c>
      <c r="G2469" t="str">
        <f>IF(D2469="","",INDEX(Knutepunkter!$C:$C,D2469+1))</f>
        <v/>
      </c>
      <c r="H2469" t="str">
        <f>IF(D2469="","",INDEX(Knutepunkter!$D:$D,D2469+1))</f>
        <v/>
      </c>
      <c r="I2469" t="str">
        <f>IF(E2469="","",INDEX(Knutepunkter!$B:$B,E2469+1))</f>
        <v/>
      </c>
      <c r="J2469" t="str">
        <f>IF(E2469="","",INDEX(Knutepunkter!$C:$C,E2469+1))</f>
        <v/>
      </c>
      <c r="K2469" t="str">
        <f>IF(E2469="","",INDEX(Knutepunkter!$D:$D,E2469+1))</f>
        <v/>
      </c>
      <c r="L2469" t="str">
        <f t="shared" si="193"/>
        <v/>
      </c>
      <c r="M2469" t="str">
        <f t="shared" si="194"/>
        <v/>
      </c>
    </row>
    <row r="2470" spans="1:13" x14ac:dyDescent="0.3">
      <c r="A2470" t="str">
        <f>Segmenter!A2470</f>
        <v/>
      </c>
      <c r="B2470" t="str">
        <f>Segmenter!B2470</f>
        <v/>
      </c>
      <c r="C2470" t="str">
        <f t="shared" si="190"/>
        <v/>
      </c>
      <c r="D2470" t="str">
        <f t="shared" si="191"/>
        <v/>
      </c>
      <c r="E2470" t="str">
        <f t="shared" si="192"/>
        <v/>
      </c>
      <c r="F2470" t="str">
        <f>IF(D2470="","",INDEX(Knutepunkter!$B:$B,D2470+1))</f>
        <v/>
      </c>
      <c r="G2470" t="str">
        <f>IF(D2470="","",INDEX(Knutepunkter!$C:$C,D2470+1))</f>
        <v/>
      </c>
      <c r="H2470" t="str">
        <f>IF(D2470="","",INDEX(Knutepunkter!$D:$D,D2470+1))</f>
        <v/>
      </c>
      <c r="I2470" t="str">
        <f>IF(E2470="","",INDEX(Knutepunkter!$B:$B,E2470+1))</f>
        <v/>
      </c>
      <c r="J2470" t="str">
        <f>IF(E2470="","",INDEX(Knutepunkter!$C:$C,E2470+1))</f>
        <v/>
      </c>
      <c r="K2470" t="str">
        <f>IF(E2470="","",INDEX(Knutepunkter!$D:$D,E2470+1))</f>
        <v/>
      </c>
      <c r="L2470" t="str">
        <f t="shared" si="193"/>
        <v/>
      </c>
      <c r="M2470" t="str">
        <f t="shared" si="194"/>
        <v/>
      </c>
    </row>
    <row r="2471" spans="1:13" x14ac:dyDescent="0.3">
      <c r="A2471" t="str">
        <f>Segmenter!A2471</f>
        <v/>
      </c>
      <c r="B2471" t="str">
        <f>Segmenter!B2471</f>
        <v/>
      </c>
      <c r="C2471" t="str">
        <f t="shared" si="190"/>
        <v/>
      </c>
      <c r="D2471" t="str">
        <f t="shared" si="191"/>
        <v/>
      </c>
      <c r="E2471" t="str">
        <f t="shared" si="192"/>
        <v/>
      </c>
      <c r="F2471" t="str">
        <f>IF(D2471="","",INDEX(Knutepunkter!$B:$B,D2471+1))</f>
        <v/>
      </c>
      <c r="G2471" t="str">
        <f>IF(D2471="","",INDEX(Knutepunkter!$C:$C,D2471+1))</f>
        <v/>
      </c>
      <c r="H2471" t="str">
        <f>IF(D2471="","",INDEX(Knutepunkter!$D:$D,D2471+1))</f>
        <v/>
      </c>
      <c r="I2471" t="str">
        <f>IF(E2471="","",INDEX(Knutepunkter!$B:$B,E2471+1))</f>
        <v/>
      </c>
      <c r="J2471" t="str">
        <f>IF(E2471="","",INDEX(Knutepunkter!$C:$C,E2471+1))</f>
        <v/>
      </c>
      <c r="K2471" t="str">
        <f>IF(E2471="","",INDEX(Knutepunkter!$D:$D,E2471+1))</f>
        <v/>
      </c>
      <c r="L2471" t="str">
        <f t="shared" si="193"/>
        <v/>
      </c>
      <c r="M2471" t="str">
        <f t="shared" si="194"/>
        <v/>
      </c>
    </row>
    <row r="2472" spans="1:13" x14ac:dyDescent="0.3">
      <c r="A2472" t="str">
        <f>Segmenter!A2472</f>
        <v/>
      </c>
      <c r="B2472" t="str">
        <f>Segmenter!B2472</f>
        <v/>
      </c>
      <c r="C2472" t="str">
        <f t="shared" si="190"/>
        <v/>
      </c>
      <c r="D2472" t="str">
        <f t="shared" si="191"/>
        <v/>
      </c>
      <c r="E2472" t="str">
        <f t="shared" si="192"/>
        <v/>
      </c>
      <c r="F2472" t="str">
        <f>IF(D2472="","",INDEX(Knutepunkter!$B:$B,D2472+1))</f>
        <v/>
      </c>
      <c r="G2472" t="str">
        <f>IF(D2472="","",INDEX(Knutepunkter!$C:$C,D2472+1))</f>
        <v/>
      </c>
      <c r="H2472" t="str">
        <f>IF(D2472="","",INDEX(Knutepunkter!$D:$D,D2472+1))</f>
        <v/>
      </c>
      <c r="I2472" t="str">
        <f>IF(E2472="","",INDEX(Knutepunkter!$B:$B,E2472+1))</f>
        <v/>
      </c>
      <c r="J2472" t="str">
        <f>IF(E2472="","",INDEX(Knutepunkter!$C:$C,E2472+1))</f>
        <v/>
      </c>
      <c r="K2472" t="str">
        <f>IF(E2472="","",INDEX(Knutepunkter!$D:$D,E2472+1))</f>
        <v/>
      </c>
      <c r="L2472" t="str">
        <f t="shared" si="193"/>
        <v/>
      </c>
      <c r="M2472" t="str">
        <f t="shared" si="194"/>
        <v/>
      </c>
    </row>
    <row r="2473" spans="1:13" x14ac:dyDescent="0.3">
      <c r="A2473" t="str">
        <f>Segmenter!A2473</f>
        <v/>
      </c>
      <c r="B2473" t="str">
        <f>Segmenter!B2473</f>
        <v/>
      </c>
      <c r="C2473" t="str">
        <f t="shared" si="190"/>
        <v/>
      </c>
      <c r="D2473" t="str">
        <f t="shared" si="191"/>
        <v/>
      </c>
      <c r="E2473" t="str">
        <f t="shared" si="192"/>
        <v/>
      </c>
      <c r="F2473" t="str">
        <f>IF(D2473="","",INDEX(Knutepunkter!$B:$B,D2473+1))</f>
        <v/>
      </c>
      <c r="G2473" t="str">
        <f>IF(D2473="","",INDEX(Knutepunkter!$C:$C,D2473+1))</f>
        <v/>
      </c>
      <c r="H2473" t="str">
        <f>IF(D2473="","",INDEX(Knutepunkter!$D:$D,D2473+1))</f>
        <v/>
      </c>
      <c r="I2473" t="str">
        <f>IF(E2473="","",INDEX(Knutepunkter!$B:$B,E2473+1))</f>
        <v/>
      </c>
      <c r="J2473" t="str">
        <f>IF(E2473="","",INDEX(Knutepunkter!$C:$C,E2473+1))</f>
        <v/>
      </c>
      <c r="K2473" t="str">
        <f>IF(E2473="","",INDEX(Knutepunkter!$D:$D,E2473+1))</f>
        <v/>
      </c>
      <c r="L2473" t="str">
        <f t="shared" si="193"/>
        <v/>
      </c>
      <c r="M2473" t="str">
        <f t="shared" si="194"/>
        <v/>
      </c>
    </row>
    <row r="2474" spans="1:13" x14ac:dyDescent="0.3">
      <c r="A2474" t="str">
        <f>Segmenter!A2474</f>
        <v/>
      </c>
      <c r="B2474" t="str">
        <f>Segmenter!B2474</f>
        <v/>
      </c>
      <c r="C2474" t="str">
        <f t="shared" si="190"/>
        <v/>
      </c>
      <c r="D2474" t="str">
        <f t="shared" si="191"/>
        <v/>
      </c>
      <c r="E2474" t="str">
        <f t="shared" si="192"/>
        <v/>
      </c>
      <c r="F2474" t="str">
        <f>IF(D2474="","",INDEX(Knutepunkter!$B:$B,D2474+1))</f>
        <v/>
      </c>
      <c r="G2474" t="str">
        <f>IF(D2474="","",INDEX(Knutepunkter!$C:$C,D2474+1))</f>
        <v/>
      </c>
      <c r="H2474" t="str">
        <f>IF(D2474="","",INDEX(Knutepunkter!$D:$D,D2474+1))</f>
        <v/>
      </c>
      <c r="I2474" t="str">
        <f>IF(E2474="","",INDEX(Knutepunkter!$B:$B,E2474+1))</f>
        <v/>
      </c>
      <c r="J2474" t="str">
        <f>IF(E2474="","",INDEX(Knutepunkter!$C:$C,E2474+1))</f>
        <v/>
      </c>
      <c r="K2474" t="str">
        <f>IF(E2474="","",INDEX(Knutepunkter!$D:$D,E2474+1))</f>
        <v/>
      </c>
      <c r="L2474" t="str">
        <f t="shared" si="193"/>
        <v/>
      </c>
      <c r="M2474" t="str">
        <f t="shared" si="194"/>
        <v/>
      </c>
    </row>
    <row r="2475" spans="1:13" x14ac:dyDescent="0.3">
      <c r="A2475" t="str">
        <f>Segmenter!A2475</f>
        <v/>
      </c>
      <c r="B2475" t="str">
        <f>Segmenter!B2475</f>
        <v/>
      </c>
      <c r="C2475" t="str">
        <f t="shared" si="190"/>
        <v/>
      </c>
      <c r="D2475" t="str">
        <f t="shared" si="191"/>
        <v/>
      </c>
      <c r="E2475" t="str">
        <f t="shared" si="192"/>
        <v/>
      </c>
      <c r="F2475" t="str">
        <f>IF(D2475="","",INDEX(Knutepunkter!$B:$B,D2475+1))</f>
        <v/>
      </c>
      <c r="G2475" t="str">
        <f>IF(D2475="","",INDEX(Knutepunkter!$C:$C,D2475+1))</f>
        <v/>
      </c>
      <c r="H2475" t="str">
        <f>IF(D2475="","",INDEX(Knutepunkter!$D:$D,D2475+1))</f>
        <v/>
      </c>
      <c r="I2475" t="str">
        <f>IF(E2475="","",INDEX(Knutepunkter!$B:$B,E2475+1))</f>
        <v/>
      </c>
      <c r="J2475" t="str">
        <f>IF(E2475="","",INDEX(Knutepunkter!$C:$C,E2475+1))</f>
        <v/>
      </c>
      <c r="K2475" t="str">
        <f>IF(E2475="","",INDEX(Knutepunkter!$D:$D,E2475+1))</f>
        <v/>
      </c>
      <c r="L2475" t="str">
        <f t="shared" si="193"/>
        <v/>
      </c>
      <c r="M2475" t="str">
        <f t="shared" si="194"/>
        <v/>
      </c>
    </row>
    <row r="2476" spans="1:13" x14ac:dyDescent="0.3">
      <c r="A2476" t="str">
        <f>Segmenter!A2476</f>
        <v/>
      </c>
      <c r="B2476" t="str">
        <f>Segmenter!B2476</f>
        <v/>
      </c>
      <c r="C2476" t="str">
        <f t="shared" si="190"/>
        <v/>
      </c>
      <c r="D2476" t="str">
        <f t="shared" si="191"/>
        <v/>
      </c>
      <c r="E2476" t="str">
        <f t="shared" si="192"/>
        <v/>
      </c>
      <c r="F2476" t="str">
        <f>IF(D2476="","",INDEX(Knutepunkter!$B:$B,D2476+1))</f>
        <v/>
      </c>
      <c r="G2476" t="str">
        <f>IF(D2476="","",INDEX(Knutepunkter!$C:$C,D2476+1))</f>
        <v/>
      </c>
      <c r="H2476" t="str">
        <f>IF(D2476="","",INDEX(Knutepunkter!$D:$D,D2476+1))</f>
        <v/>
      </c>
      <c r="I2476" t="str">
        <f>IF(E2476="","",INDEX(Knutepunkter!$B:$B,E2476+1))</f>
        <v/>
      </c>
      <c r="J2476" t="str">
        <f>IF(E2476="","",INDEX(Knutepunkter!$C:$C,E2476+1))</f>
        <v/>
      </c>
      <c r="K2476" t="str">
        <f>IF(E2476="","",INDEX(Knutepunkter!$D:$D,E2476+1))</f>
        <v/>
      </c>
      <c r="L2476" t="str">
        <f t="shared" si="193"/>
        <v/>
      </c>
      <c r="M2476" t="str">
        <f t="shared" si="194"/>
        <v/>
      </c>
    </row>
    <row r="2477" spans="1:13" x14ac:dyDescent="0.3">
      <c r="A2477" t="str">
        <f>Segmenter!A2477</f>
        <v/>
      </c>
      <c r="B2477" t="str">
        <f>Segmenter!B2477</f>
        <v/>
      </c>
      <c r="C2477" t="str">
        <f t="shared" si="190"/>
        <v/>
      </c>
      <c r="D2477" t="str">
        <f t="shared" si="191"/>
        <v/>
      </c>
      <c r="E2477" t="str">
        <f t="shared" si="192"/>
        <v/>
      </c>
      <c r="F2477" t="str">
        <f>IF(D2477="","",INDEX(Knutepunkter!$B:$B,D2477+1))</f>
        <v/>
      </c>
      <c r="G2477" t="str">
        <f>IF(D2477="","",INDEX(Knutepunkter!$C:$C,D2477+1))</f>
        <v/>
      </c>
      <c r="H2477" t="str">
        <f>IF(D2477="","",INDEX(Knutepunkter!$D:$D,D2477+1))</f>
        <v/>
      </c>
      <c r="I2477" t="str">
        <f>IF(E2477="","",INDEX(Knutepunkter!$B:$B,E2477+1))</f>
        <v/>
      </c>
      <c r="J2477" t="str">
        <f>IF(E2477="","",INDEX(Knutepunkter!$C:$C,E2477+1))</f>
        <v/>
      </c>
      <c r="K2477" t="str">
        <f>IF(E2477="","",INDEX(Knutepunkter!$D:$D,E2477+1))</f>
        <v/>
      </c>
      <c r="L2477" t="str">
        <f t="shared" si="193"/>
        <v/>
      </c>
      <c r="M2477" t="str">
        <f t="shared" si="194"/>
        <v/>
      </c>
    </row>
    <row r="2478" spans="1:13" x14ac:dyDescent="0.3">
      <c r="A2478" t="str">
        <f>Segmenter!A2478</f>
        <v/>
      </c>
      <c r="B2478" t="str">
        <f>Segmenter!B2478</f>
        <v/>
      </c>
      <c r="C2478" t="str">
        <f t="shared" si="190"/>
        <v/>
      </c>
      <c r="D2478" t="str">
        <f t="shared" si="191"/>
        <v/>
      </c>
      <c r="E2478" t="str">
        <f t="shared" si="192"/>
        <v/>
      </c>
      <c r="F2478" t="str">
        <f>IF(D2478="","",INDEX(Knutepunkter!$B:$B,D2478+1))</f>
        <v/>
      </c>
      <c r="G2478" t="str">
        <f>IF(D2478="","",INDEX(Knutepunkter!$C:$C,D2478+1))</f>
        <v/>
      </c>
      <c r="H2478" t="str">
        <f>IF(D2478="","",INDEX(Knutepunkter!$D:$D,D2478+1))</f>
        <v/>
      </c>
      <c r="I2478" t="str">
        <f>IF(E2478="","",INDEX(Knutepunkter!$B:$B,E2478+1))</f>
        <v/>
      </c>
      <c r="J2478" t="str">
        <f>IF(E2478="","",INDEX(Knutepunkter!$C:$C,E2478+1))</f>
        <v/>
      </c>
      <c r="K2478" t="str">
        <f>IF(E2478="","",INDEX(Knutepunkter!$D:$D,E2478+1))</f>
        <v/>
      </c>
      <c r="L2478" t="str">
        <f t="shared" si="193"/>
        <v/>
      </c>
      <c r="M2478" t="str">
        <f t="shared" si="194"/>
        <v/>
      </c>
    </row>
    <row r="2479" spans="1:13" x14ac:dyDescent="0.3">
      <c r="A2479" t="str">
        <f>Segmenter!A2479</f>
        <v/>
      </c>
      <c r="B2479" t="str">
        <f>Segmenter!B2479</f>
        <v/>
      </c>
      <c r="C2479" t="str">
        <f t="shared" si="190"/>
        <v/>
      </c>
      <c r="D2479" t="str">
        <f t="shared" si="191"/>
        <v/>
      </c>
      <c r="E2479" t="str">
        <f t="shared" si="192"/>
        <v/>
      </c>
      <c r="F2479" t="str">
        <f>IF(D2479="","",INDEX(Knutepunkter!$B:$B,D2479+1))</f>
        <v/>
      </c>
      <c r="G2479" t="str">
        <f>IF(D2479="","",INDEX(Knutepunkter!$C:$C,D2479+1))</f>
        <v/>
      </c>
      <c r="H2479" t="str">
        <f>IF(D2479="","",INDEX(Knutepunkter!$D:$D,D2479+1))</f>
        <v/>
      </c>
      <c r="I2479" t="str">
        <f>IF(E2479="","",INDEX(Knutepunkter!$B:$B,E2479+1))</f>
        <v/>
      </c>
      <c r="J2479" t="str">
        <f>IF(E2479="","",INDEX(Knutepunkter!$C:$C,E2479+1))</f>
        <v/>
      </c>
      <c r="K2479" t="str">
        <f>IF(E2479="","",INDEX(Knutepunkter!$D:$D,E2479+1))</f>
        <v/>
      </c>
      <c r="L2479" t="str">
        <f t="shared" si="193"/>
        <v/>
      </c>
      <c r="M2479" t="str">
        <f t="shared" si="194"/>
        <v/>
      </c>
    </row>
    <row r="2480" spans="1:13" x14ac:dyDescent="0.3">
      <c r="A2480" t="str">
        <f>Segmenter!A2480</f>
        <v/>
      </c>
      <c r="B2480" t="str">
        <f>Segmenter!B2480</f>
        <v/>
      </c>
      <c r="C2480" t="str">
        <f t="shared" si="190"/>
        <v/>
      </c>
      <c r="D2480" t="str">
        <f t="shared" si="191"/>
        <v/>
      </c>
      <c r="E2480" t="str">
        <f t="shared" si="192"/>
        <v/>
      </c>
      <c r="F2480" t="str">
        <f>IF(D2480="","",INDEX(Knutepunkter!$B:$B,D2480+1))</f>
        <v/>
      </c>
      <c r="G2480" t="str">
        <f>IF(D2480="","",INDEX(Knutepunkter!$C:$C,D2480+1))</f>
        <v/>
      </c>
      <c r="H2480" t="str">
        <f>IF(D2480="","",INDEX(Knutepunkter!$D:$D,D2480+1))</f>
        <v/>
      </c>
      <c r="I2480" t="str">
        <f>IF(E2480="","",INDEX(Knutepunkter!$B:$B,E2480+1))</f>
        <v/>
      </c>
      <c r="J2480" t="str">
        <f>IF(E2480="","",INDEX(Knutepunkter!$C:$C,E2480+1))</f>
        <v/>
      </c>
      <c r="K2480" t="str">
        <f>IF(E2480="","",INDEX(Knutepunkter!$D:$D,E2480+1))</f>
        <v/>
      </c>
      <c r="L2480" t="str">
        <f t="shared" si="193"/>
        <v/>
      </c>
      <c r="M2480" t="str">
        <f t="shared" si="194"/>
        <v/>
      </c>
    </row>
    <row r="2481" spans="1:13" x14ac:dyDescent="0.3">
      <c r="A2481" t="str">
        <f>Segmenter!A2481</f>
        <v/>
      </c>
      <c r="B2481" t="str">
        <f>Segmenter!B2481</f>
        <v/>
      </c>
      <c r="C2481" t="str">
        <f t="shared" si="190"/>
        <v/>
      </c>
      <c r="D2481" t="str">
        <f t="shared" si="191"/>
        <v/>
      </c>
      <c r="E2481" t="str">
        <f t="shared" si="192"/>
        <v/>
      </c>
      <c r="F2481" t="str">
        <f>IF(D2481="","",INDEX(Knutepunkter!$B:$B,D2481+1))</f>
        <v/>
      </c>
      <c r="G2481" t="str">
        <f>IF(D2481="","",INDEX(Knutepunkter!$C:$C,D2481+1))</f>
        <v/>
      </c>
      <c r="H2481" t="str">
        <f>IF(D2481="","",INDEX(Knutepunkter!$D:$D,D2481+1))</f>
        <v/>
      </c>
      <c r="I2481" t="str">
        <f>IF(E2481="","",INDEX(Knutepunkter!$B:$B,E2481+1))</f>
        <v/>
      </c>
      <c r="J2481" t="str">
        <f>IF(E2481="","",INDEX(Knutepunkter!$C:$C,E2481+1))</f>
        <v/>
      </c>
      <c r="K2481" t="str">
        <f>IF(E2481="","",INDEX(Knutepunkter!$D:$D,E2481+1))</f>
        <v/>
      </c>
      <c r="L2481" t="str">
        <f t="shared" si="193"/>
        <v/>
      </c>
      <c r="M2481" t="str">
        <f t="shared" si="194"/>
        <v/>
      </c>
    </row>
    <row r="2482" spans="1:13" x14ac:dyDescent="0.3">
      <c r="A2482" t="str">
        <f>Segmenter!A2482</f>
        <v/>
      </c>
      <c r="B2482" t="str">
        <f>Segmenter!B2482</f>
        <v/>
      </c>
      <c r="C2482" t="str">
        <f t="shared" si="190"/>
        <v/>
      </c>
      <c r="D2482" t="str">
        <f t="shared" si="191"/>
        <v/>
      </c>
      <c r="E2482" t="str">
        <f t="shared" si="192"/>
        <v/>
      </c>
      <c r="F2482" t="str">
        <f>IF(D2482="","",INDEX(Knutepunkter!$B:$B,D2482+1))</f>
        <v/>
      </c>
      <c r="G2482" t="str">
        <f>IF(D2482="","",INDEX(Knutepunkter!$C:$C,D2482+1))</f>
        <v/>
      </c>
      <c r="H2482" t="str">
        <f>IF(D2482="","",INDEX(Knutepunkter!$D:$D,D2482+1))</f>
        <v/>
      </c>
      <c r="I2482" t="str">
        <f>IF(E2482="","",INDEX(Knutepunkter!$B:$B,E2482+1))</f>
        <v/>
      </c>
      <c r="J2482" t="str">
        <f>IF(E2482="","",INDEX(Knutepunkter!$C:$C,E2482+1))</f>
        <v/>
      </c>
      <c r="K2482" t="str">
        <f>IF(E2482="","",INDEX(Knutepunkter!$D:$D,E2482+1))</f>
        <v/>
      </c>
      <c r="L2482" t="str">
        <f t="shared" si="193"/>
        <v/>
      </c>
      <c r="M2482" t="str">
        <f t="shared" si="194"/>
        <v/>
      </c>
    </row>
    <row r="2483" spans="1:13" x14ac:dyDescent="0.3">
      <c r="A2483" t="str">
        <f>Segmenter!A2483</f>
        <v/>
      </c>
      <c r="B2483" t="str">
        <f>Segmenter!B2483</f>
        <v/>
      </c>
      <c r="C2483" t="str">
        <f t="shared" si="190"/>
        <v/>
      </c>
      <c r="D2483" t="str">
        <f t="shared" si="191"/>
        <v/>
      </c>
      <c r="E2483" t="str">
        <f t="shared" si="192"/>
        <v/>
      </c>
      <c r="F2483" t="str">
        <f>IF(D2483="","",INDEX(Knutepunkter!$B:$B,D2483+1))</f>
        <v/>
      </c>
      <c r="G2483" t="str">
        <f>IF(D2483="","",INDEX(Knutepunkter!$C:$C,D2483+1))</f>
        <v/>
      </c>
      <c r="H2483" t="str">
        <f>IF(D2483="","",INDEX(Knutepunkter!$D:$D,D2483+1))</f>
        <v/>
      </c>
      <c r="I2483" t="str">
        <f>IF(E2483="","",INDEX(Knutepunkter!$B:$B,E2483+1))</f>
        <v/>
      </c>
      <c r="J2483" t="str">
        <f>IF(E2483="","",INDEX(Knutepunkter!$C:$C,E2483+1))</f>
        <v/>
      </c>
      <c r="K2483" t="str">
        <f>IF(E2483="","",INDEX(Knutepunkter!$D:$D,E2483+1))</f>
        <v/>
      </c>
      <c r="L2483" t="str">
        <f t="shared" si="193"/>
        <v/>
      </c>
      <c r="M2483" t="str">
        <f t="shared" si="194"/>
        <v/>
      </c>
    </row>
    <row r="2484" spans="1:13" x14ac:dyDescent="0.3">
      <c r="A2484" t="str">
        <f>Segmenter!A2484</f>
        <v/>
      </c>
      <c r="B2484" t="str">
        <f>Segmenter!B2484</f>
        <v/>
      </c>
      <c r="C2484" t="str">
        <f t="shared" si="190"/>
        <v/>
      </c>
      <c r="D2484" t="str">
        <f t="shared" si="191"/>
        <v/>
      </c>
      <c r="E2484" t="str">
        <f t="shared" si="192"/>
        <v/>
      </c>
      <c r="F2484" t="str">
        <f>IF(D2484="","",INDEX(Knutepunkter!$B:$B,D2484+1))</f>
        <v/>
      </c>
      <c r="G2484" t="str">
        <f>IF(D2484="","",INDEX(Knutepunkter!$C:$C,D2484+1))</f>
        <v/>
      </c>
      <c r="H2484" t="str">
        <f>IF(D2484="","",INDEX(Knutepunkter!$D:$D,D2484+1))</f>
        <v/>
      </c>
      <c r="I2484" t="str">
        <f>IF(E2484="","",INDEX(Knutepunkter!$B:$B,E2484+1))</f>
        <v/>
      </c>
      <c r="J2484" t="str">
        <f>IF(E2484="","",INDEX(Knutepunkter!$C:$C,E2484+1))</f>
        <v/>
      </c>
      <c r="K2484" t="str">
        <f>IF(E2484="","",INDEX(Knutepunkter!$D:$D,E2484+1))</f>
        <v/>
      </c>
      <c r="L2484" t="str">
        <f t="shared" si="193"/>
        <v/>
      </c>
      <c r="M2484" t="str">
        <f t="shared" si="194"/>
        <v/>
      </c>
    </row>
    <row r="2485" spans="1:13" x14ac:dyDescent="0.3">
      <c r="A2485" t="str">
        <f>Segmenter!A2485</f>
        <v/>
      </c>
      <c r="B2485" t="str">
        <f>Segmenter!B2485</f>
        <v/>
      </c>
      <c r="C2485" t="str">
        <f t="shared" si="190"/>
        <v/>
      </c>
      <c r="D2485" t="str">
        <f t="shared" si="191"/>
        <v/>
      </c>
      <c r="E2485" t="str">
        <f t="shared" si="192"/>
        <v/>
      </c>
      <c r="F2485" t="str">
        <f>IF(D2485="","",INDEX(Knutepunkter!$B:$B,D2485+1))</f>
        <v/>
      </c>
      <c r="G2485" t="str">
        <f>IF(D2485="","",INDEX(Knutepunkter!$C:$C,D2485+1))</f>
        <v/>
      </c>
      <c r="H2485" t="str">
        <f>IF(D2485="","",INDEX(Knutepunkter!$D:$D,D2485+1))</f>
        <v/>
      </c>
      <c r="I2485" t="str">
        <f>IF(E2485="","",INDEX(Knutepunkter!$B:$B,E2485+1))</f>
        <v/>
      </c>
      <c r="J2485" t="str">
        <f>IF(E2485="","",INDEX(Knutepunkter!$C:$C,E2485+1))</f>
        <v/>
      </c>
      <c r="K2485" t="str">
        <f>IF(E2485="","",INDEX(Knutepunkter!$D:$D,E2485+1))</f>
        <v/>
      </c>
      <c r="L2485" t="str">
        <f t="shared" si="193"/>
        <v/>
      </c>
      <c r="M2485" t="str">
        <f t="shared" si="194"/>
        <v/>
      </c>
    </row>
    <row r="2486" spans="1:13" x14ac:dyDescent="0.3">
      <c r="A2486" t="str">
        <f>Segmenter!A2486</f>
        <v/>
      </c>
      <c r="B2486" t="str">
        <f>Segmenter!B2486</f>
        <v/>
      </c>
      <c r="C2486" t="str">
        <f t="shared" si="190"/>
        <v/>
      </c>
      <c r="D2486" t="str">
        <f t="shared" si="191"/>
        <v/>
      </c>
      <c r="E2486" t="str">
        <f t="shared" si="192"/>
        <v/>
      </c>
      <c r="F2486" t="str">
        <f>IF(D2486="","",INDEX(Knutepunkter!$B:$B,D2486+1))</f>
        <v/>
      </c>
      <c r="G2486" t="str">
        <f>IF(D2486="","",INDEX(Knutepunkter!$C:$C,D2486+1))</f>
        <v/>
      </c>
      <c r="H2486" t="str">
        <f>IF(D2486="","",INDEX(Knutepunkter!$D:$D,D2486+1))</f>
        <v/>
      </c>
      <c r="I2486" t="str">
        <f>IF(E2486="","",INDEX(Knutepunkter!$B:$B,E2486+1))</f>
        <v/>
      </c>
      <c r="J2486" t="str">
        <f>IF(E2486="","",INDEX(Knutepunkter!$C:$C,E2486+1))</f>
        <v/>
      </c>
      <c r="K2486" t="str">
        <f>IF(E2486="","",INDEX(Knutepunkter!$D:$D,E2486+1))</f>
        <v/>
      </c>
      <c r="L2486" t="str">
        <f t="shared" si="193"/>
        <v/>
      </c>
      <c r="M2486" t="str">
        <f t="shared" si="194"/>
        <v/>
      </c>
    </row>
    <row r="2487" spans="1:13" x14ac:dyDescent="0.3">
      <c r="A2487" t="str">
        <f>Segmenter!A2487</f>
        <v/>
      </c>
      <c r="B2487" t="str">
        <f>Segmenter!B2487</f>
        <v/>
      </c>
      <c r="C2487" t="str">
        <f t="shared" si="190"/>
        <v/>
      </c>
      <c r="D2487" t="str">
        <f t="shared" si="191"/>
        <v/>
      </c>
      <c r="E2487" t="str">
        <f t="shared" si="192"/>
        <v/>
      </c>
      <c r="F2487" t="str">
        <f>IF(D2487="","",INDEX(Knutepunkter!$B:$B,D2487+1))</f>
        <v/>
      </c>
      <c r="G2487" t="str">
        <f>IF(D2487="","",INDEX(Knutepunkter!$C:$C,D2487+1))</f>
        <v/>
      </c>
      <c r="H2487" t="str">
        <f>IF(D2487="","",INDEX(Knutepunkter!$D:$D,D2487+1))</f>
        <v/>
      </c>
      <c r="I2487" t="str">
        <f>IF(E2487="","",INDEX(Knutepunkter!$B:$B,E2487+1))</f>
        <v/>
      </c>
      <c r="J2487" t="str">
        <f>IF(E2487="","",INDEX(Knutepunkter!$C:$C,E2487+1))</f>
        <v/>
      </c>
      <c r="K2487" t="str">
        <f>IF(E2487="","",INDEX(Knutepunkter!$D:$D,E2487+1))</f>
        <v/>
      </c>
      <c r="L2487" t="str">
        <f t="shared" si="193"/>
        <v/>
      </c>
      <c r="M2487" t="str">
        <f t="shared" si="194"/>
        <v/>
      </c>
    </row>
    <row r="2488" spans="1:13" x14ac:dyDescent="0.3">
      <c r="A2488" t="str">
        <f>Segmenter!A2488</f>
        <v/>
      </c>
      <c r="B2488" t="str">
        <f>Segmenter!B2488</f>
        <v/>
      </c>
      <c r="C2488" t="str">
        <f t="shared" si="190"/>
        <v/>
      </c>
      <c r="D2488" t="str">
        <f t="shared" si="191"/>
        <v/>
      </c>
      <c r="E2488" t="str">
        <f t="shared" si="192"/>
        <v/>
      </c>
      <c r="F2488" t="str">
        <f>IF(D2488="","",INDEX(Knutepunkter!$B:$B,D2488+1))</f>
        <v/>
      </c>
      <c r="G2488" t="str">
        <f>IF(D2488="","",INDEX(Knutepunkter!$C:$C,D2488+1))</f>
        <v/>
      </c>
      <c r="H2488" t="str">
        <f>IF(D2488="","",INDEX(Knutepunkter!$D:$D,D2488+1))</f>
        <v/>
      </c>
      <c r="I2488" t="str">
        <f>IF(E2488="","",INDEX(Knutepunkter!$B:$B,E2488+1))</f>
        <v/>
      </c>
      <c r="J2488" t="str">
        <f>IF(E2488="","",INDEX(Knutepunkter!$C:$C,E2488+1))</f>
        <v/>
      </c>
      <c r="K2488" t="str">
        <f>IF(E2488="","",INDEX(Knutepunkter!$D:$D,E2488+1))</f>
        <v/>
      </c>
      <c r="L2488" t="str">
        <f t="shared" si="193"/>
        <v/>
      </c>
      <c r="M2488" t="str">
        <f t="shared" si="194"/>
        <v/>
      </c>
    </row>
    <row r="2489" spans="1:13" x14ac:dyDescent="0.3">
      <c r="A2489" t="str">
        <f>Segmenter!A2489</f>
        <v/>
      </c>
      <c r="B2489" t="str">
        <f>Segmenter!B2489</f>
        <v/>
      </c>
      <c r="C2489" t="str">
        <f t="shared" si="190"/>
        <v/>
      </c>
      <c r="D2489" t="str">
        <f t="shared" si="191"/>
        <v/>
      </c>
      <c r="E2489" t="str">
        <f t="shared" si="192"/>
        <v/>
      </c>
      <c r="F2489" t="str">
        <f>IF(D2489="","",INDEX(Knutepunkter!$B:$B,D2489+1))</f>
        <v/>
      </c>
      <c r="G2489" t="str">
        <f>IF(D2489="","",INDEX(Knutepunkter!$C:$C,D2489+1))</f>
        <v/>
      </c>
      <c r="H2489" t="str">
        <f>IF(D2489="","",INDEX(Knutepunkter!$D:$D,D2489+1))</f>
        <v/>
      </c>
      <c r="I2489" t="str">
        <f>IF(E2489="","",INDEX(Knutepunkter!$B:$B,E2489+1))</f>
        <v/>
      </c>
      <c r="J2489" t="str">
        <f>IF(E2489="","",INDEX(Knutepunkter!$C:$C,E2489+1))</f>
        <v/>
      </c>
      <c r="K2489" t="str">
        <f>IF(E2489="","",INDEX(Knutepunkter!$D:$D,E2489+1))</f>
        <v/>
      </c>
      <c r="L2489" t="str">
        <f t="shared" si="193"/>
        <v/>
      </c>
      <c r="M2489" t="str">
        <f t="shared" si="194"/>
        <v/>
      </c>
    </row>
    <row r="2490" spans="1:13" x14ac:dyDescent="0.3">
      <c r="A2490" t="str">
        <f>Segmenter!A2490</f>
        <v/>
      </c>
      <c r="B2490" t="str">
        <f>Segmenter!B2490</f>
        <v/>
      </c>
      <c r="C2490" t="str">
        <f t="shared" si="190"/>
        <v/>
      </c>
      <c r="D2490" t="str">
        <f t="shared" si="191"/>
        <v/>
      </c>
      <c r="E2490" t="str">
        <f t="shared" si="192"/>
        <v/>
      </c>
      <c r="F2490" t="str">
        <f>IF(D2490="","",INDEX(Knutepunkter!$B:$B,D2490+1))</f>
        <v/>
      </c>
      <c r="G2490" t="str">
        <f>IF(D2490="","",INDEX(Knutepunkter!$C:$C,D2490+1))</f>
        <v/>
      </c>
      <c r="H2490" t="str">
        <f>IF(D2490="","",INDEX(Knutepunkter!$D:$D,D2490+1))</f>
        <v/>
      </c>
      <c r="I2490" t="str">
        <f>IF(E2490="","",INDEX(Knutepunkter!$B:$B,E2490+1))</f>
        <v/>
      </c>
      <c r="J2490" t="str">
        <f>IF(E2490="","",INDEX(Knutepunkter!$C:$C,E2490+1))</f>
        <v/>
      </c>
      <c r="K2490" t="str">
        <f>IF(E2490="","",INDEX(Knutepunkter!$D:$D,E2490+1))</f>
        <v/>
      </c>
      <c r="L2490" t="str">
        <f t="shared" si="193"/>
        <v/>
      </c>
      <c r="M2490" t="str">
        <f t="shared" si="194"/>
        <v/>
      </c>
    </row>
    <row r="2491" spans="1:13" x14ac:dyDescent="0.3">
      <c r="A2491" t="str">
        <f>Segmenter!A2491</f>
        <v/>
      </c>
      <c r="B2491" t="str">
        <f>Segmenter!B2491</f>
        <v/>
      </c>
      <c r="C2491" t="str">
        <f t="shared" si="190"/>
        <v/>
      </c>
      <c r="D2491" t="str">
        <f t="shared" si="191"/>
        <v/>
      </c>
      <c r="E2491" t="str">
        <f t="shared" si="192"/>
        <v/>
      </c>
      <c r="F2491" t="str">
        <f>IF(D2491="","",INDEX(Knutepunkter!$B:$B,D2491+1))</f>
        <v/>
      </c>
      <c r="G2491" t="str">
        <f>IF(D2491="","",INDEX(Knutepunkter!$C:$C,D2491+1))</f>
        <v/>
      </c>
      <c r="H2491" t="str">
        <f>IF(D2491="","",INDEX(Knutepunkter!$D:$D,D2491+1))</f>
        <v/>
      </c>
      <c r="I2491" t="str">
        <f>IF(E2491="","",INDEX(Knutepunkter!$B:$B,E2491+1))</f>
        <v/>
      </c>
      <c r="J2491" t="str">
        <f>IF(E2491="","",INDEX(Knutepunkter!$C:$C,E2491+1))</f>
        <v/>
      </c>
      <c r="K2491" t="str">
        <f>IF(E2491="","",INDEX(Knutepunkter!$D:$D,E2491+1))</f>
        <v/>
      </c>
      <c r="L2491" t="str">
        <f t="shared" si="193"/>
        <v/>
      </c>
      <c r="M2491" t="str">
        <f t="shared" si="194"/>
        <v/>
      </c>
    </row>
    <row r="2492" spans="1:13" x14ac:dyDescent="0.3">
      <c r="A2492" t="str">
        <f>Segmenter!A2492</f>
        <v/>
      </c>
      <c r="B2492" t="str">
        <f>Segmenter!B2492</f>
        <v/>
      </c>
      <c r="C2492" t="str">
        <f t="shared" si="190"/>
        <v/>
      </c>
      <c r="D2492" t="str">
        <f t="shared" si="191"/>
        <v/>
      </c>
      <c r="E2492" t="str">
        <f t="shared" si="192"/>
        <v/>
      </c>
      <c r="F2492" t="str">
        <f>IF(D2492="","",INDEX(Knutepunkter!$B:$B,D2492+1))</f>
        <v/>
      </c>
      <c r="G2492" t="str">
        <f>IF(D2492="","",INDEX(Knutepunkter!$C:$C,D2492+1))</f>
        <v/>
      </c>
      <c r="H2492" t="str">
        <f>IF(D2492="","",INDEX(Knutepunkter!$D:$D,D2492+1))</f>
        <v/>
      </c>
      <c r="I2492" t="str">
        <f>IF(E2492="","",INDEX(Knutepunkter!$B:$B,E2492+1))</f>
        <v/>
      </c>
      <c r="J2492" t="str">
        <f>IF(E2492="","",INDEX(Knutepunkter!$C:$C,E2492+1))</f>
        <v/>
      </c>
      <c r="K2492" t="str">
        <f>IF(E2492="","",INDEX(Knutepunkter!$D:$D,E2492+1))</f>
        <v/>
      </c>
      <c r="L2492" t="str">
        <f t="shared" si="193"/>
        <v/>
      </c>
      <c r="M2492" t="str">
        <f t="shared" si="194"/>
        <v/>
      </c>
    </row>
    <row r="2493" spans="1:13" x14ac:dyDescent="0.3">
      <c r="A2493" t="str">
        <f>Segmenter!A2493</f>
        <v/>
      </c>
      <c r="B2493" t="str">
        <f>Segmenter!B2493</f>
        <v/>
      </c>
      <c r="C2493" t="str">
        <f t="shared" si="190"/>
        <v/>
      </c>
      <c r="D2493" t="str">
        <f t="shared" si="191"/>
        <v/>
      </c>
      <c r="E2493" t="str">
        <f t="shared" si="192"/>
        <v/>
      </c>
      <c r="F2493" t="str">
        <f>IF(D2493="","",INDEX(Knutepunkter!$B:$B,D2493+1))</f>
        <v/>
      </c>
      <c r="G2493" t="str">
        <f>IF(D2493="","",INDEX(Knutepunkter!$C:$C,D2493+1))</f>
        <v/>
      </c>
      <c r="H2493" t="str">
        <f>IF(D2493="","",INDEX(Knutepunkter!$D:$D,D2493+1))</f>
        <v/>
      </c>
      <c r="I2493" t="str">
        <f>IF(E2493="","",INDEX(Knutepunkter!$B:$B,E2493+1))</f>
        <v/>
      </c>
      <c r="J2493" t="str">
        <f>IF(E2493="","",INDEX(Knutepunkter!$C:$C,E2493+1))</f>
        <v/>
      </c>
      <c r="K2493" t="str">
        <f>IF(E2493="","",INDEX(Knutepunkter!$D:$D,E2493+1))</f>
        <v/>
      </c>
      <c r="L2493" t="str">
        <f t="shared" si="193"/>
        <v/>
      </c>
      <c r="M2493" t="str">
        <f t="shared" si="194"/>
        <v/>
      </c>
    </row>
    <row r="2494" spans="1:13" x14ac:dyDescent="0.3">
      <c r="A2494" t="str">
        <f>Segmenter!A2494</f>
        <v/>
      </c>
      <c r="B2494" t="str">
        <f>Segmenter!B2494</f>
        <v/>
      </c>
      <c r="C2494" t="str">
        <f t="shared" si="190"/>
        <v/>
      </c>
      <c r="D2494" t="str">
        <f t="shared" si="191"/>
        <v/>
      </c>
      <c r="E2494" t="str">
        <f t="shared" si="192"/>
        <v/>
      </c>
      <c r="F2494" t="str">
        <f>IF(D2494="","",INDEX(Knutepunkter!$B:$B,D2494+1))</f>
        <v/>
      </c>
      <c r="G2494" t="str">
        <f>IF(D2494="","",INDEX(Knutepunkter!$C:$C,D2494+1))</f>
        <v/>
      </c>
      <c r="H2494" t="str">
        <f>IF(D2494="","",INDEX(Knutepunkter!$D:$D,D2494+1))</f>
        <v/>
      </c>
      <c r="I2494" t="str">
        <f>IF(E2494="","",INDEX(Knutepunkter!$B:$B,E2494+1))</f>
        <v/>
      </c>
      <c r="J2494" t="str">
        <f>IF(E2494="","",INDEX(Knutepunkter!$C:$C,E2494+1))</f>
        <v/>
      </c>
      <c r="K2494" t="str">
        <f>IF(E2494="","",INDEX(Knutepunkter!$D:$D,E2494+1))</f>
        <v/>
      </c>
      <c r="L2494" t="str">
        <f t="shared" si="193"/>
        <v/>
      </c>
      <c r="M2494" t="str">
        <f t="shared" si="194"/>
        <v/>
      </c>
    </row>
    <row r="2495" spans="1:13" x14ac:dyDescent="0.3">
      <c r="A2495" t="str">
        <f>Segmenter!A2495</f>
        <v/>
      </c>
      <c r="B2495" t="str">
        <f>Segmenter!B2495</f>
        <v/>
      </c>
      <c r="C2495" t="str">
        <f t="shared" si="190"/>
        <v/>
      </c>
      <c r="D2495" t="str">
        <f t="shared" si="191"/>
        <v/>
      </c>
      <c r="E2495" t="str">
        <f t="shared" si="192"/>
        <v/>
      </c>
      <c r="F2495" t="str">
        <f>IF(D2495="","",INDEX(Knutepunkter!$B:$B,D2495+1))</f>
        <v/>
      </c>
      <c r="G2495" t="str">
        <f>IF(D2495="","",INDEX(Knutepunkter!$C:$C,D2495+1))</f>
        <v/>
      </c>
      <c r="H2495" t="str">
        <f>IF(D2495="","",INDEX(Knutepunkter!$D:$D,D2495+1))</f>
        <v/>
      </c>
      <c r="I2495" t="str">
        <f>IF(E2495="","",INDEX(Knutepunkter!$B:$B,E2495+1))</f>
        <v/>
      </c>
      <c r="J2495" t="str">
        <f>IF(E2495="","",INDEX(Knutepunkter!$C:$C,E2495+1))</f>
        <v/>
      </c>
      <c r="K2495" t="str">
        <f>IF(E2495="","",INDEX(Knutepunkter!$D:$D,E2495+1))</f>
        <v/>
      </c>
      <c r="L2495" t="str">
        <f t="shared" si="193"/>
        <v/>
      </c>
      <c r="M2495" t="str">
        <f t="shared" si="194"/>
        <v/>
      </c>
    </row>
    <row r="2496" spans="1:13" x14ac:dyDescent="0.3">
      <c r="A2496" t="str">
        <f>Segmenter!A2496</f>
        <v/>
      </c>
      <c r="B2496" t="str">
        <f>Segmenter!B2496</f>
        <v/>
      </c>
      <c r="C2496" t="str">
        <f t="shared" si="190"/>
        <v/>
      </c>
      <c r="D2496" t="str">
        <f t="shared" si="191"/>
        <v/>
      </c>
      <c r="E2496" t="str">
        <f t="shared" si="192"/>
        <v/>
      </c>
      <c r="F2496" t="str">
        <f>IF(D2496="","",INDEX(Knutepunkter!$B:$B,D2496+1))</f>
        <v/>
      </c>
      <c r="G2496" t="str">
        <f>IF(D2496="","",INDEX(Knutepunkter!$C:$C,D2496+1))</f>
        <v/>
      </c>
      <c r="H2496" t="str">
        <f>IF(D2496="","",INDEX(Knutepunkter!$D:$D,D2496+1))</f>
        <v/>
      </c>
      <c r="I2496" t="str">
        <f>IF(E2496="","",INDEX(Knutepunkter!$B:$B,E2496+1))</f>
        <v/>
      </c>
      <c r="J2496" t="str">
        <f>IF(E2496="","",INDEX(Knutepunkter!$C:$C,E2496+1))</f>
        <v/>
      </c>
      <c r="K2496" t="str">
        <f>IF(E2496="","",INDEX(Knutepunkter!$D:$D,E2496+1))</f>
        <v/>
      </c>
      <c r="L2496" t="str">
        <f t="shared" si="193"/>
        <v/>
      </c>
      <c r="M2496" t="str">
        <f t="shared" si="194"/>
        <v/>
      </c>
    </row>
    <row r="2497" spans="1:13" x14ac:dyDescent="0.3">
      <c r="A2497" t="str">
        <f>Segmenter!A2497</f>
        <v/>
      </c>
      <c r="B2497" t="str">
        <f>Segmenter!B2497</f>
        <v/>
      </c>
      <c r="C2497" t="str">
        <f t="shared" si="190"/>
        <v/>
      </c>
      <c r="D2497" t="str">
        <f t="shared" si="191"/>
        <v/>
      </c>
      <c r="E2497" t="str">
        <f t="shared" si="192"/>
        <v/>
      </c>
      <c r="F2497" t="str">
        <f>IF(D2497="","",INDEX(Knutepunkter!$B:$B,D2497+1))</f>
        <v/>
      </c>
      <c r="G2497" t="str">
        <f>IF(D2497="","",INDEX(Knutepunkter!$C:$C,D2497+1))</f>
        <v/>
      </c>
      <c r="H2497" t="str">
        <f>IF(D2497="","",INDEX(Knutepunkter!$D:$D,D2497+1))</f>
        <v/>
      </c>
      <c r="I2497" t="str">
        <f>IF(E2497="","",INDEX(Knutepunkter!$B:$B,E2497+1))</f>
        <v/>
      </c>
      <c r="J2497" t="str">
        <f>IF(E2497="","",INDEX(Knutepunkter!$C:$C,E2497+1))</f>
        <v/>
      </c>
      <c r="K2497" t="str">
        <f>IF(E2497="","",INDEX(Knutepunkter!$D:$D,E2497+1))</f>
        <v/>
      </c>
      <c r="L2497" t="str">
        <f t="shared" si="193"/>
        <v/>
      </c>
      <c r="M2497" t="str">
        <f t="shared" si="194"/>
        <v/>
      </c>
    </row>
    <row r="2498" spans="1:13" x14ac:dyDescent="0.3">
      <c r="A2498" t="str">
        <f>Segmenter!A2498</f>
        <v/>
      </c>
      <c r="B2498" t="str">
        <f>Segmenter!B2498</f>
        <v/>
      </c>
      <c r="C2498" t="str">
        <f t="shared" ref="C2498:C2561" si="195">IF(B2498="","",IF(AND(F2498=I2498,G2498=J2498,H2498&lt;&gt;K2498),"Søyle","Bjelke"))</f>
        <v/>
      </c>
      <c r="D2498" t="str">
        <f t="shared" ref="D2498:D2561" si="196">IF(B2498="","",VALUE(LEFT(B2498,FIND(" -&gt; ",B2498)-1)))</f>
        <v/>
      </c>
      <c r="E2498" t="str">
        <f t="shared" ref="E2498:E2561" si="197">IF(B2498="","",VALUE(MID(B2498,FIND(" -&gt; ",B2498)+4,99)))</f>
        <v/>
      </c>
      <c r="F2498" t="str">
        <f>IF(D2498="","",INDEX(Knutepunkter!$B:$B,D2498+1))</f>
        <v/>
      </c>
      <c r="G2498" t="str">
        <f>IF(D2498="","",INDEX(Knutepunkter!$C:$C,D2498+1))</f>
        <v/>
      </c>
      <c r="H2498" t="str">
        <f>IF(D2498="","",INDEX(Knutepunkter!$D:$D,D2498+1))</f>
        <v/>
      </c>
      <c r="I2498" t="str">
        <f>IF(E2498="","",INDEX(Knutepunkter!$B:$B,E2498+1))</f>
        <v/>
      </c>
      <c r="J2498" t="str">
        <f>IF(E2498="","",INDEX(Knutepunkter!$C:$C,E2498+1))</f>
        <v/>
      </c>
      <c r="K2498" t="str">
        <f>IF(E2498="","",INDEX(Knutepunkter!$D:$D,E2498+1))</f>
        <v/>
      </c>
      <c r="L2498" t="str">
        <f t="shared" ref="L2498:L2561" si="198">IF(B2498="","",SQRT((I2498-F2498)^2+(J2498-G2498)^2+(K2498-H2498)^2))</f>
        <v/>
      </c>
      <c r="M2498" t="str">
        <f t="shared" ref="M2498:M2561" si="199">IF(L2498="","",L2498/1000)</f>
        <v/>
      </c>
    </row>
    <row r="2499" spans="1:13" x14ac:dyDescent="0.3">
      <c r="A2499" t="str">
        <f>Segmenter!A2499</f>
        <v/>
      </c>
      <c r="B2499" t="str">
        <f>Segmenter!B2499</f>
        <v/>
      </c>
      <c r="C2499" t="str">
        <f t="shared" si="195"/>
        <v/>
      </c>
      <c r="D2499" t="str">
        <f t="shared" si="196"/>
        <v/>
      </c>
      <c r="E2499" t="str">
        <f t="shared" si="197"/>
        <v/>
      </c>
      <c r="F2499" t="str">
        <f>IF(D2499="","",INDEX(Knutepunkter!$B:$B,D2499+1))</f>
        <v/>
      </c>
      <c r="G2499" t="str">
        <f>IF(D2499="","",INDEX(Knutepunkter!$C:$C,D2499+1))</f>
        <v/>
      </c>
      <c r="H2499" t="str">
        <f>IF(D2499="","",INDEX(Knutepunkter!$D:$D,D2499+1))</f>
        <v/>
      </c>
      <c r="I2499" t="str">
        <f>IF(E2499="","",INDEX(Knutepunkter!$B:$B,E2499+1))</f>
        <v/>
      </c>
      <c r="J2499" t="str">
        <f>IF(E2499="","",INDEX(Knutepunkter!$C:$C,E2499+1))</f>
        <v/>
      </c>
      <c r="K2499" t="str">
        <f>IF(E2499="","",INDEX(Knutepunkter!$D:$D,E2499+1))</f>
        <v/>
      </c>
      <c r="L2499" t="str">
        <f t="shared" si="198"/>
        <v/>
      </c>
      <c r="M2499" t="str">
        <f t="shared" si="199"/>
        <v/>
      </c>
    </row>
    <row r="2500" spans="1:13" x14ac:dyDescent="0.3">
      <c r="A2500" t="str">
        <f>Segmenter!A2500</f>
        <v/>
      </c>
      <c r="B2500" t="str">
        <f>Segmenter!B2500</f>
        <v/>
      </c>
      <c r="C2500" t="str">
        <f t="shared" si="195"/>
        <v/>
      </c>
      <c r="D2500" t="str">
        <f t="shared" si="196"/>
        <v/>
      </c>
      <c r="E2500" t="str">
        <f t="shared" si="197"/>
        <v/>
      </c>
      <c r="F2500" t="str">
        <f>IF(D2500="","",INDEX(Knutepunkter!$B:$B,D2500+1))</f>
        <v/>
      </c>
      <c r="G2500" t="str">
        <f>IF(D2500="","",INDEX(Knutepunkter!$C:$C,D2500+1))</f>
        <v/>
      </c>
      <c r="H2500" t="str">
        <f>IF(D2500="","",INDEX(Knutepunkter!$D:$D,D2500+1))</f>
        <v/>
      </c>
      <c r="I2500" t="str">
        <f>IF(E2500="","",INDEX(Knutepunkter!$B:$B,E2500+1))</f>
        <v/>
      </c>
      <c r="J2500" t="str">
        <f>IF(E2500="","",INDEX(Knutepunkter!$C:$C,E2500+1))</f>
        <v/>
      </c>
      <c r="K2500" t="str">
        <f>IF(E2500="","",INDEX(Knutepunkter!$D:$D,E2500+1))</f>
        <v/>
      </c>
      <c r="L2500" t="str">
        <f t="shared" si="198"/>
        <v/>
      </c>
      <c r="M2500" t="str">
        <f t="shared" si="199"/>
        <v/>
      </c>
    </row>
    <row r="2501" spans="1:13" x14ac:dyDescent="0.3">
      <c r="A2501" t="str">
        <f>Segmenter!A2501</f>
        <v/>
      </c>
      <c r="B2501" t="str">
        <f>Segmenter!B2501</f>
        <v/>
      </c>
      <c r="C2501" t="str">
        <f t="shared" si="195"/>
        <v/>
      </c>
      <c r="D2501" t="str">
        <f t="shared" si="196"/>
        <v/>
      </c>
      <c r="E2501" t="str">
        <f t="shared" si="197"/>
        <v/>
      </c>
      <c r="F2501" t="str">
        <f>IF(D2501="","",INDEX(Knutepunkter!$B:$B,D2501+1))</f>
        <v/>
      </c>
      <c r="G2501" t="str">
        <f>IF(D2501="","",INDEX(Knutepunkter!$C:$C,D2501+1))</f>
        <v/>
      </c>
      <c r="H2501" t="str">
        <f>IF(D2501="","",INDEX(Knutepunkter!$D:$D,D2501+1))</f>
        <v/>
      </c>
      <c r="I2501" t="str">
        <f>IF(E2501="","",INDEX(Knutepunkter!$B:$B,E2501+1))</f>
        <v/>
      </c>
      <c r="J2501" t="str">
        <f>IF(E2501="","",INDEX(Knutepunkter!$C:$C,E2501+1))</f>
        <v/>
      </c>
      <c r="K2501" t="str">
        <f>IF(E2501="","",INDEX(Knutepunkter!$D:$D,E2501+1))</f>
        <v/>
      </c>
      <c r="L2501" t="str">
        <f t="shared" si="198"/>
        <v/>
      </c>
      <c r="M2501" t="str">
        <f t="shared" si="199"/>
        <v/>
      </c>
    </row>
    <row r="2502" spans="1:13" x14ac:dyDescent="0.3">
      <c r="A2502" t="str">
        <f>Segmenter!A2502</f>
        <v/>
      </c>
      <c r="B2502" t="str">
        <f>Segmenter!B2502</f>
        <v/>
      </c>
      <c r="C2502" t="str">
        <f t="shared" si="195"/>
        <v/>
      </c>
      <c r="D2502" t="str">
        <f t="shared" si="196"/>
        <v/>
      </c>
      <c r="E2502" t="str">
        <f t="shared" si="197"/>
        <v/>
      </c>
      <c r="F2502" t="str">
        <f>IF(D2502="","",INDEX(Knutepunkter!$B:$B,D2502+1))</f>
        <v/>
      </c>
      <c r="G2502" t="str">
        <f>IF(D2502="","",INDEX(Knutepunkter!$C:$C,D2502+1))</f>
        <v/>
      </c>
      <c r="H2502" t="str">
        <f>IF(D2502="","",INDEX(Knutepunkter!$D:$D,D2502+1))</f>
        <v/>
      </c>
      <c r="I2502" t="str">
        <f>IF(E2502="","",INDEX(Knutepunkter!$B:$B,E2502+1))</f>
        <v/>
      </c>
      <c r="J2502" t="str">
        <f>IF(E2502="","",INDEX(Knutepunkter!$C:$C,E2502+1))</f>
        <v/>
      </c>
      <c r="K2502" t="str">
        <f>IF(E2502="","",INDEX(Knutepunkter!$D:$D,E2502+1))</f>
        <v/>
      </c>
      <c r="L2502" t="str">
        <f t="shared" si="198"/>
        <v/>
      </c>
      <c r="M2502" t="str">
        <f t="shared" si="199"/>
        <v/>
      </c>
    </row>
    <row r="2503" spans="1:13" x14ac:dyDescent="0.3">
      <c r="A2503" t="str">
        <f>Segmenter!A2503</f>
        <v/>
      </c>
      <c r="B2503" t="str">
        <f>Segmenter!B2503</f>
        <v/>
      </c>
      <c r="C2503" t="str">
        <f t="shared" si="195"/>
        <v/>
      </c>
      <c r="D2503" t="str">
        <f t="shared" si="196"/>
        <v/>
      </c>
      <c r="E2503" t="str">
        <f t="shared" si="197"/>
        <v/>
      </c>
      <c r="F2503" t="str">
        <f>IF(D2503="","",INDEX(Knutepunkter!$B:$B,D2503+1))</f>
        <v/>
      </c>
      <c r="G2503" t="str">
        <f>IF(D2503="","",INDEX(Knutepunkter!$C:$C,D2503+1))</f>
        <v/>
      </c>
      <c r="H2503" t="str">
        <f>IF(D2503="","",INDEX(Knutepunkter!$D:$D,D2503+1))</f>
        <v/>
      </c>
      <c r="I2503" t="str">
        <f>IF(E2503="","",INDEX(Knutepunkter!$B:$B,E2503+1))</f>
        <v/>
      </c>
      <c r="J2503" t="str">
        <f>IF(E2503="","",INDEX(Knutepunkter!$C:$C,E2503+1))</f>
        <v/>
      </c>
      <c r="K2503" t="str">
        <f>IF(E2503="","",INDEX(Knutepunkter!$D:$D,E2503+1))</f>
        <v/>
      </c>
      <c r="L2503" t="str">
        <f t="shared" si="198"/>
        <v/>
      </c>
      <c r="M2503" t="str">
        <f t="shared" si="199"/>
        <v/>
      </c>
    </row>
    <row r="2504" spans="1:13" x14ac:dyDescent="0.3">
      <c r="A2504" t="str">
        <f>Segmenter!A2504</f>
        <v/>
      </c>
      <c r="B2504" t="str">
        <f>Segmenter!B2504</f>
        <v/>
      </c>
      <c r="C2504" t="str">
        <f t="shared" si="195"/>
        <v/>
      </c>
      <c r="D2504" t="str">
        <f t="shared" si="196"/>
        <v/>
      </c>
      <c r="E2504" t="str">
        <f t="shared" si="197"/>
        <v/>
      </c>
      <c r="F2504" t="str">
        <f>IF(D2504="","",INDEX(Knutepunkter!$B:$B,D2504+1))</f>
        <v/>
      </c>
      <c r="G2504" t="str">
        <f>IF(D2504="","",INDEX(Knutepunkter!$C:$C,D2504+1))</f>
        <v/>
      </c>
      <c r="H2504" t="str">
        <f>IF(D2504="","",INDEX(Knutepunkter!$D:$D,D2504+1))</f>
        <v/>
      </c>
      <c r="I2504" t="str">
        <f>IF(E2504="","",INDEX(Knutepunkter!$B:$B,E2504+1))</f>
        <v/>
      </c>
      <c r="J2504" t="str">
        <f>IF(E2504="","",INDEX(Knutepunkter!$C:$C,E2504+1))</f>
        <v/>
      </c>
      <c r="K2504" t="str">
        <f>IF(E2504="","",INDEX(Knutepunkter!$D:$D,E2504+1))</f>
        <v/>
      </c>
      <c r="L2504" t="str">
        <f t="shared" si="198"/>
        <v/>
      </c>
      <c r="M2504" t="str">
        <f t="shared" si="199"/>
        <v/>
      </c>
    </row>
    <row r="2505" spans="1:13" x14ac:dyDescent="0.3">
      <c r="A2505" t="str">
        <f>Segmenter!A2505</f>
        <v/>
      </c>
      <c r="B2505" t="str">
        <f>Segmenter!B2505</f>
        <v/>
      </c>
      <c r="C2505" t="str">
        <f t="shared" si="195"/>
        <v/>
      </c>
      <c r="D2505" t="str">
        <f t="shared" si="196"/>
        <v/>
      </c>
      <c r="E2505" t="str">
        <f t="shared" si="197"/>
        <v/>
      </c>
      <c r="F2505" t="str">
        <f>IF(D2505="","",INDEX(Knutepunkter!$B:$B,D2505+1))</f>
        <v/>
      </c>
      <c r="G2505" t="str">
        <f>IF(D2505="","",INDEX(Knutepunkter!$C:$C,D2505+1))</f>
        <v/>
      </c>
      <c r="H2505" t="str">
        <f>IF(D2505="","",INDEX(Knutepunkter!$D:$D,D2505+1))</f>
        <v/>
      </c>
      <c r="I2505" t="str">
        <f>IF(E2505="","",INDEX(Knutepunkter!$B:$B,E2505+1))</f>
        <v/>
      </c>
      <c r="J2505" t="str">
        <f>IF(E2505="","",INDEX(Knutepunkter!$C:$C,E2505+1))</f>
        <v/>
      </c>
      <c r="K2505" t="str">
        <f>IF(E2505="","",INDEX(Knutepunkter!$D:$D,E2505+1))</f>
        <v/>
      </c>
      <c r="L2505" t="str">
        <f t="shared" si="198"/>
        <v/>
      </c>
      <c r="M2505" t="str">
        <f t="shared" si="199"/>
        <v/>
      </c>
    </row>
    <row r="2506" spans="1:13" x14ac:dyDescent="0.3">
      <c r="A2506" t="str">
        <f>Segmenter!A2506</f>
        <v/>
      </c>
      <c r="B2506" t="str">
        <f>Segmenter!B2506</f>
        <v/>
      </c>
      <c r="C2506" t="str">
        <f t="shared" si="195"/>
        <v/>
      </c>
      <c r="D2506" t="str">
        <f t="shared" si="196"/>
        <v/>
      </c>
      <c r="E2506" t="str">
        <f t="shared" si="197"/>
        <v/>
      </c>
      <c r="F2506" t="str">
        <f>IF(D2506="","",INDEX(Knutepunkter!$B:$B,D2506+1))</f>
        <v/>
      </c>
      <c r="G2506" t="str">
        <f>IF(D2506="","",INDEX(Knutepunkter!$C:$C,D2506+1))</f>
        <v/>
      </c>
      <c r="H2506" t="str">
        <f>IF(D2506="","",INDEX(Knutepunkter!$D:$D,D2506+1))</f>
        <v/>
      </c>
      <c r="I2506" t="str">
        <f>IF(E2506="","",INDEX(Knutepunkter!$B:$B,E2506+1))</f>
        <v/>
      </c>
      <c r="J2506" t="str">
        <f>IF(E2506="","",INDEX(Knutepunkter!$C:$C,E2506+1))</f>
        <v/>
      </c>
      <c r="K2506" t="str">
        <f>IF(E2506="","",INDEX(Knutepunkter!$D:$D,E2506+1))</f>
        <v/>
      </c>
      <c r="L2506" t="str">
        <f t="shared" si="198"/>
        <v/>
      </c>
      <c r="M2506" t="str">
        <f t="shared" si="199"/>
        <v/>
      </c>
    </row>
    <row r="2507" spans="1:13" x14ac:dyDescent="0.3">
      <c r="A2507" t="str">
        <f>Segmenter!A2507</f>
        <v/>
      </c>
      <c r="B2507" t="str">
        <f>Segmenter!B2507</f>
        <v/>
      </c>
      <c r="C2507" t="str">
        <f t="shared" si="195"/>
        <v/>
      </c>
      <c r="D2507" t="str">
        <f t="shared" si="196"/>
        <v/>
      </c>
      <c r="E2507" t="str">
        <f t="shared" si="197"/>
        <v/>
      </c>
      <c r="F2507" t="str">
        <f>IF(D2507="","",INDEX(Knutepunkter!$B:$B,D2507+1))</f>
        <v/>
      </c>
      <c r="G2507" t="str">
        <f>IF(D2507="","",INDEX(Knutepunkter!$C:$C,D2507+1))</f>
        <v/>
      </c>
      <c r="H2507" t="str">
        <f>IF(D2507="","",INDEX(Knutepunkter!$D:$D,D2507+1))</f>
        <v/>
      </c>
      <c r="I2507" t="str">
        <f>IF(E2507="","",INDEX(Knutepunkter!$B:$B,E2507+1))</f>
        <v/>
      </c>
      <c r="J2507" t="str">
        <f>IF(E2507="","",INDEX(Knutepunkter!$C:$C,E2507+1))</f>
        <v/>
      </c>
      <c r="K2507" t="str">
        <f>IF(E2507="","",INDEX(Knutepunkter!$D:$D,E2507+1))</f>
        <v/>
      </c>
      <c r="L2507" t="str">
        <f t="shared" si="198"/>
        <v/>
      </c>
      <c r="M2507" t="str">
        <f t="shared" si="199"/>
        <v/>
      </c>
    </row>
    <row r="2508" spans="1:13" x14ac:dyDescent="0.3">
      <c r="A2508" t="str">
        <f>Segmenter!A2508</f>
        <v/>
      </c>
      <c r="B2508" t="str">
        <f>Segmenter!B2508</f>
        <v/>
      </c>
      <c r="C2508" t="str">
        <f t="shared" si="195"/>
        <v/>
      </c>
      <c r="D2508" t="str">
        <f t="shared" si="196"/>
        <v/>
      </c>
      <c r="E2508" t="str">
        <f t="shared" si="197"/>
        <v/>
      </c>
      <c r="F2508" t="str">
        <f>IF(D2508="","",INDEX(Knutepunkter!$B:$B,D2508+1))</f>
        <v/>
      </c>
      <c r="G2508" t="str">
        <f>IF(D2508="","",INDEX(Knutepunkter!$C:$C,D2508+1))</f>
        <v/>
      </c>
      <c r="H2508" t="str">
        <f>IF(D2508="","",INDEX(Knutepunkter!$D:$D,D2508+1))</f>
        <v/>
      </c>
      <c r="I2508" t="str">
        <f>IF(E2508="","",INDEX(Knutepunkter!$B:$B,E2508+1))</f>
        <v/>
      </c>
      <c r="J2508" t="str">
        <f>IF(E2508="","",INDEX(Knutepunkter!$C:$C,E2508+1))</f>
        <v/>
      </c>
      <c r="K2508" t="str">
        <f>IF(E2508="","",INDEX(Knutepunkter!$D:$D,E2508+1))</f>
        <v/>
      </c>
      <c r="L2508" t="str">
        <f t="shared" si="198"/>
        <v/>
      </c>
      <c r="M2508" t="str">
        <f t="shared" si="199"/>
        <v/>
      </c>
    </row>
    <row r="2509" spans="1:13" x14ac:dyDescent="0.3">
      <c r="A2509" t="str">
        <f>Segmenter!A2509</f>
        <v/>
      </c>
      <c r="B2509" t="str">
        <f>Segmenter!B2509</f>
        <v/>
      </c>
      <c r="C2509" t="str">
        <f t="shared" si="195"/>
        <v/>
      </c>
      <c r="D2509" t="str">
        <f t="shared" si="196"/>
        <v/>
      </c>
      <c r="E2509" t="str">
        <f t="shared" si="197"/>
        <v/>
      </c>
      <c r="F2509" t="str">
        <f>IF(D2509="","",INDEX(Knutepunkter!$B:$B,D2509+1))</f>
        <v/>
      </c>
      <c r="G2509" t="str">
        <f>IF(D2509="","",INDEX(Knutepunkter!$C:$C,D2509+1))</f>
        <v/>
      </c>
      <c r="H2509" t="str">
        <f>IF(D2509="","",INDEX(Knutepunkter!$D:$D,D2509+1))</f>
        <v/>
      </c>
      <c r="I2509" t="str">
        <f>IF(E2509="","",INDEX(Knutepunkter!$B:$B,E2509+1))</f>
        <v/>
      </c>
      <c r="J2509" t="str">
        <f>IF(E2509="","",INDEX(Knutepunkter!$C:$C,E2509+1))</f>
        <v/>
      </c>
      <c r="K2509" t="str">
        <f>IF(E2509="","",INDEX(Knutepunkter!$D:$D,E2509+1))</f>
        <v/>
      </c>
      <c r="L2509" t="str">
        <f t="shared" si="198"/>
        <v/>
      </c>
      <c r="M2509" t="str">
        <f t="shared" si="199"/>
        <v/>
      </c>
    </row>
    <row r="2510" spans="1:13" x14ac:dyDescent="0.3">
      <c r="A2510" t="str">
        <f>Segmenter!A2510</f>
        <v/>
      </c>
      <c r="B2510" t="str">
        <f>Segmenter!B2510</f>
        <v/>
      </c>
      <c r="C2510" t="str">
        <f t="shared" si="195"/>
        <v/>
      </c>
      <c r="D2510" t="str">
        <f t="shared" si="196"/>
        <v/>
      </c>
      <c r="E2510" t="str">
        <f t="shared" si="197"/>
        <v/>
      </c>
      <c r="F2510" t="str">
        <f>IF(D2510="","",INDEX(Knutepunkter!$B:$B,D2510+1))</f>
        <v/>
      </c>
      <c r="G2510" t="str">
        <f>IF(D2510="","",INDEX(Knutepunkter!$C:$C,D2510+1))</f>
        <v/>
      </c>
      <c r="H2510" t="str">
        <f>IF(D2510="","",INDEX(Knutepunkter!$D:$D,D2510+1))</f>
        <v/>
      </c>
      <c r="I2510" t="str">
        <f>IF(E2510="","",INDEX(Knutepunkter!$B:$B,E2510+1))</f>
        <v/>
      </c>
      <c r="J2510" t="str">
        <f>IF(E2510="","",INDEX(Knutepunkter!$C:$C,E2510+1))</f>
        <v/>
      </c>
      <c r="K2510" t="str">
        <f>IF(E2510="","",INDEX(Knutepunkter!$D:$D,E2510+1))</f>
        <v/>
      </c>
      <c r="L2510" t="str">
        <f t="shared" si="198"/>
        <v/>
      </c>
      <c r="M2510" t="str">
        <f t="shared" si="199"/>
        <v/>
      </c>
    </row>
    <row r="2511" spans="1:13" x14ac:dyDescent="0.3">
      <c r="A2511" t="str">
        <f>Segmenter!A2511</f>
        <v/>
      </c>
      <c r="B2511" t="str">
        <f>Segmenter!B2511</f>
        <v/>
      </c>
      <c r="C2511" t="str">
        <f t="shared" si="195"/>
        <v/>
      </c>
      <c r="D2511" t="str">
        <f t="shared" si="196"/>
        <v/>
      </c>
      <c r="E2511" t="str">
        <f t="shared" si="197"/>
        <v/>
      </c>
      <c r="F2511" t="str">
        <f>IF(D2511="","",INDEX(Knutepunkter!$B:$B,D2511+1))</f>
        <v/>
      </c>
      <c r="G2511" t="str">
        <f>IF(D2511="","",INDEX(Knutepunkter!$C:$C,D2511+1))</f>
        <v/>
      </c>
      <c r="H2511" t="str">
        <f>IF(D2511="","",INDEX(Knutepunkter!$D:$D,D2511+1))</f>
        <v/>
      </c>
      <c r="I2511" t="str">
        <f>IF(E2511="","",INDEX(Knutepunkter!$B:$B,E2511+1))</f>
        <v/>
      </c>
      <c r="J2511" t="str">
        <f>IF(E2511="","",INDEX(Knutepunkter!$C:$C,E2511+1))</f>
        <v/>
      </c>
      <c r="K2511" t="str">
        <f>IF(E2511="","",INDEX(Knutepunkter!$D:$D,E2511+1))</f>
        <v/>
      </c>
      <c r="L2511" t="str">
        <f t="shared" si="198"/>
        <v/>
      </c>
      <c r="M2511" t="str">
        <f t="shared" si="199"/>
        <v/>
      </c>
    </row>
    <row r="2512" spans="1:13" x14ac:dyDescent="0.3">
      <c r="A2512" t="str">
        <f>Segmenter!A2512</f>
        <v>S2511</v>
      </c>
      <c r="B2512" t="str">
        <f>Segmenter!B2512</f>
        <v>233 -&gt; 244</v>
      </c>
      <c r="C2512" t="str">
        <f t="shared" si="195"/>
        <v>Bjelke</v>
      </c>
      <c r="D2512">
        <f t="shared" si="196"/>
        <v>233</v>
      </c>
      <c r="E2512">
        <f t="shared" si="197"/>
        <v>244</v>
      </c>
      <c r="F2512">
        <f>IF(D2512="","",INDEX(Knutepunkter!$B:$B,D2512+1))</f>
        <v>12354</v>
      </c>
      <c r="G2512">
        <f>IF(D2512="","",INDEX(Knutepunkter!$C:$C,D2512+1))</f>
        <v>0</v>
      </c>
      <c r="H2512">
        <f>IF(D2512="","",INDEX(Knutepunkter!$D:$D,D2512+1))</f>
        <v>3000</v>
      </c>
      <c r="I2512">
        <f>IF(E2512="","",INDEX(Knutepunkter!$B:$B,E2512+1))</f>
        <v>12354</v>
      </c>
      <c r="J2512">
        <f>IF(E2512="","",INDEX(Knutepunkter!$C:$C,E2512+1))</f>
        <v>8000</v>
      </c>
      <c r="K2512">
        <f>IF(E2512="","",INDEX(Knutepunkter!$D:$D,E2512+1))</f>
        <v>3000</v>
      </c>
      <c r="L2512">
        <f t="shared" si="198"/>
        <v>8000</v>
      </c>
      <c r="M2512">
        <f t="shared" si="199"/>
        <v>8</v>
      </c>
    </row>
    <row r="2513" spans="1:13" x14ac:dyDescent="0.3">
      <c r="A2513" t="str">
        <f>Segmenter!A2513</f>
        <v>S2512</v>
      </c>
      <c r="B2513" t="str">
        <f>Segmenter!B2513</f>
        <v>234 -&gt; 245</v>
      </c>
      <c r="C2513" t="str">
        <f t="shared" si="195"/>
        <v>Bjelke</v>
      </c>
      <c r="D2513">
        <f t="shared" si="196"/>
        <v>234</v>
      </c>
      <c r="E2513">
        <f t="shared" si="197"/>
        <v>245</v>
      </c>
      <c r="F2513">
        <f>IF(D2513="","",INDEX(Knutepunkter!$B:$B,D2513+1))</f>
        <v>12354</v>
      </c>
      <c r="G2513">
        <f>IF(D2513="","",INDEX(Knutepunkter!$C:$C,D2513+1))</f>
        <v>0</v>
      </c>
      <c r="H2513">
        <f>IF(D2513="","",INDEX(Knutepunkter!$D:$D,D2513+1))</f>
        <v>6000</v>
      </c>
      <c r="I2513">
        <f>IF(E2513="","",INDEX(Knutepunkter!$B:$B,E2513+1))</f>
        <v>12354</v>
      </c>
      <c r="J2513">
        <f>IF(E2513="","",INDEX(Knutepunkter!$C:$C,E2513+1))</f>
        <v>8000</v>
      </c>
      <c r="K2513">
        <f>IF(E2513="","",INDEX(Knutepunkter!$D:$D,E2513+1))</f>
        <v>6000</v>
      </c>
      <c r="L2513">
        <f t="shared" si="198"/>
        <v>8000</v>
      </c>
      <c r="M2513">
        <f t="shared" si="199"/>
        <v>8</v>
      </c>
    </row>
    <row r="2514" spans="1:13" x14ac:dyDescent="0.3">
      <c r="A2514" t="str">
        <f>Segmenter!A2514</f>
        <v>S2513</v>
      </c>
      <c r="B2514" t="str">
        <f>Segmenter!B2514</f>
        <v>235 -&gt; 246</v>
      </c>
      <c r="C2514" t="str">
        <f t="shared" si="195"/>
        <v>Bjelke</v>
      </c>
      <c r="D2514">
        <f t="shared" si="196"/>
        <v>235</v>
      </c>
      <c r="E2514">
        <f t="shared" si="197"/>
        <v>246</v>
      </c>
      <c r="F2514">
        <f>IF(D2514="","",INDEX(Knutepunkter!$B:$B,D2514+1))</f>
        <v>12354</v>
      </c>
      <c r="G2514">
        <f>IF(D2514="","",INDEX(Knutepunkter!$C:$C,D2514+1))</f>
        <v>0</v>
      </c>
      <c r="H2514">
        <f>IF(D2514="","",INDEX(Knutepunkter!$D:$D,D2514+1))</f>
        <v>9000</v>
      </c>
      <c r="I2514">
        <f>IF(E2514="","",INDEX(Knutepunkter!$B:$B,E2514+1))</f>
        <v>12354</v>
      </c>
      <c r="J2514">
        <f>IF(E2514="","",INDEX(Knutepunkter!$C:$C,E2514+1))</f>
        <v>8000</v>
      </c>
      <c r="K2514">
        <f>IF(E2514="","",INDEX(Knutepunkter!$D:$D,E2514+1))</f>
        <v>9000</v>
      </c>
      <c r="L2514">
        <f t="shared" si="198"/>
        <v>8000</v>
      </c>
      <c r="M2514">
        <f t="shared" si="199"/>
        <v>8</v>
      </c>
    </row>
    <row r="2515" spans="1:13" x14ac:dyDescent="0.3">
      <c r="A2515" t="str">
        <f>Segmenter!A2515</f>
        <v>S2514</v>
      </c>
      <c r="B2515" t="str">
        <f>Segmenter!B2515</f>
        <v>236 -&gt; 247</v>
      </c>
      <c r="C2515" t="str">
        <f t="shared" si="195"/>
        <v>Bjelke</v>
      </c>
      <c r="D2515">
        <f t="shared" si="196"/>
        <v>236</v>
      </c>
      <c r="E2515">
        <f t="shared" si="197"/>
        <v>247</v>
      </c>
      <c r="F2515">
        <f>IF(D2515="","",INDEX(Knutepunkter!$B:$B,D2515+1))</f>
        <v>12354</v>
      </c>
      <c r="G2515">
        <f>IF(D2515="","",INDEX(Knutepunkter!$C:$C,D2515+1))</f>
        <v>0</v>
      </c>
      <c r="H2515">
        <f>IF(D2515="","",INDEX(Knutepunkter!$D:$D,D2515+1))</f>
        <v>12000</v>
      </c>
      <c r="I2515">
        <f>IF(E2515="","",INDEX(Knutepunkter!$B:$B,E2515+1))</f>
        <v>12354</v>
      </c>
      <c r="J2515">
        <f>IF(E2515="","",INDEX(Knutepunkter!$C:$C,E2515+1))</f>
        <v>8000</v>
      </c>
      <c r="K2515">
        <f>IF(E2515="","",INDEX(Knutepunkter!$D:$D,E2515+1))</f>
        <v>12000</v>
      </c>
      <c r="L2515">
        <f t="shared" si="198"/>
        <v>8000</v>
      </c>
      <c r="M2515">
        <f t="shared" si="199"/>
        <v>8</v>
      </c>
    </row>
    <row r="2516" spans="1:13" x14ac:dyDescent="0.3">
      <c r="A2516" t="str">
        <f>Segmenter!A2516</f>
        <v>S2515</v>
      </c>
      <c r="B2516" t="str">
        <f>Segmenter!B2516</f>
        <v>237 -&gt; 248</v>
      </c>
      <c r="C2516" t="str">
        <f t="shared" si="195"/>
        <v>Bjelke</v>
      </c>
      <c r="D2516">
        <f t="shared" si="196"/>
        <v>237</v>
      </c>
      <c r="E2516">
        <f t="shared" si="197"/>
        <v>248</v>
      </c>
      <c r="F2516">
        <f>IF(D2516="","",INDEX(Knutepunkter!$B:$B,D2516+1))</f>
        <v>12354</v>
      </c>
      <c r="G2516">
        <f>IF(D2516="","",INDEX(Knutepunkter!$C:$C,D2516+1))</f>
        <v>0</v>
      </c>
      <c r="H2516">
        <f>IF(D2516="","",INDEX(Knutepunkter!$D:$D,D2516+1))</f>
        <v>15000</v>
      </c>
      <c r="I2516">
        <f>IF(E2516="","",INDEX(Knutepunkter!$B:$B,E2516+1))</f>
        <v>12354</v>
      </c>
      <c r="J2516">
        <f>IF(E2516="","",INDEX(Knutepunkter!$C:$C,E2516+1))</f>
        <v>8000</v>
      </c>
      <c r="K2516">
        <f>IF(E2516="","",INDEX(Knutepunkter!$D:$D,E2516+1))</f>
        <v>15000</v>
      </c>
      <c r="L2516">
        <f t="shared" si="198"/>
        <v>8000</v>
      </c>
      <c r="M2516">
        <f t="shared" si="199"/>
        <v>8</v>
      </c>
    </row>
    <row r="2517" spans="1:13" x14ac:dyDescent="0.3">
      <c r="A2517" t="str">
        <f>Segmenter!A2517</f>
        <v>S2516</v>
      </c>
      <c r="B2517" t="str">
        <f>Segmenter!B2517</f>
        <v>238 -&gt; 249</v>
      </c>
      <c r="C2517" t="str">
        <f t="shared" si="195"/>
        <v>Bjelke</v>
      </c>
      <c r="D2517">
        <f t="shared" si="196"/>
        <v>238</v>
      </c>
      <c r="E2517">
        <f t="shared" si="197"/>
        <v>249</v>
      </c>
      <c r="F2517">
        <f>IF(D2517="","",INDEX(Knutepunkter!$B:$B,D2517+1))</f>
        <v>12354</v>
      </c>
      <c r="G2517">
        <f>IF(D2517="","",INDEX(Knutepunkter!$C:$C,D2517+1))</f>
        <v>0</v>
      </c>
      <c r="H2517">
        <f>IF(D2517="","",INDEX(Knutepunkter!$D:$D,D2517+1))</f>
        <v>18000</v>
      </c>
      <c r="I2517">
        <f>IF(E2517="","",INDEX(Knutepunkter!$B:$B,E2517+1))</f>
        <v>12354</v>
      </c>
      <c r="J2517">
        <f>IF(E2517="","",INDEX(Knutepunkter!$C:$C,E2517+1))</f>
        <v>8000</v>
      </c>
      <c r="K2517">
        <f>IF(E2517="","",INDEX(Knutepunkter!$D:$D,E2517+1))</f>
        <v>18000</v>
      </c>
      <c r="L2517">
        <f t="shared" si="198"/>
        <v>8000</v>
      </c>
      <c r="M2517">
        <f t="shared" si="199"/>
        <v>8</v>
      </c>
    </row>
    <row r="2518" spans="1:13" x14ac:dyDescent="0.3">
      <c r="A2518" t="str">
        <f>Segmenter!A2518</f>
        <v/>
      </c>
      <c r="B2518" t="str">
        <f>Segmenter!B2518</f>
        <v/>
      </c>
      <c r="C2518" t="str">
        <f t="shared" si="195"/>
        <v/>
      </c>
      <c r="D2518" t="str">
        <f t="shared" si="196"/>
        <v/>
      </c>
      <c r="E2518" t="str">
        <f t="shared" si="197"/>
        <v/>
      </c>
      <c r="F2518" t="str">
        <f>IF(D2518="","",INDEX(Knutepunkter!$B:$B,D2518+1))</f>
        <v/>
      </c>
      <c r="G2518" t="str">
        <f>IF(D2518="","",INDEX(Knutepunkter!$C:$C,D2518+1))</f>
        <v/>
      </c>
      <c r="H2518" t="str">
        <f>IF(D2518="","",INDEX(Knutepunkter!$D:$D,D2518+1))</f>
        <v/>
      </c>
      <c r="I2518" t="str">
        <f>IF(E2518="","",INDEX(Knutepunkter!$B:$B,E2518+1))</f>
        <v/>
      </c>
      <c r="J2518" t="str">
        <f>IF(E2518="","",INDEX(Knutepunkter!$C:$C,E2518+1))</f>
        <v/>
      </c>
      <c r="K2518" t="str">
        <f>IF(E2518="","",INDEX(Knutepunkter!$D:$D,E2518+1))</f>
        <v/>
      </c>
      <c r="L2518" t="str">
        <f t="shared" si="198"/>
        <v/>
      </c>
      <c r="M2518" t="str">
        <f t="shared" si="199"/>
        <v/>
      </c>
    </row>
    <row r="2519" spans="1:13" x14ac:dyDescent="0.3">
      <c r="A2519" t="str">
        <f>Segmenter!A2519</f>
        <v/>
      </c>
      <c r="B2519" t="str">
        <f>Segmenter!B2519</f>
        <v/>
      </c>
      <c r="C2519" t="str">
        <f t="shared" si="195"/>
        <v/>
      </c>
      <c r="D2519" t="str">
        <f t="shared" si="196"/>
        <v/>
      </c>
      <c r="E2519" t="str">
        <f t="shared" si="197"/>
        <v/>
      </c>
      <c r="F2519" t="str">
        <f>IF(D2519="","",INDEX(Knutepunkter!$B:$B,D2519+1))</f>
        <v/>
      </c>
      <c r="G2519" t="str">
        <f>IF(D2519="","",INDEX(Knutepunkter!$C:$C,D2519+1))</f>
        <v/>
      </c>
      <c r="H2519" t="str">
        <f>IF(D2519="","",INDEX(Knutepunkter!$D:$D,D2519+1))</f>
        <v/>
      </c>
      <c r="I2519" t="str">
        <f>IF(E2519="","",INDEX(Knutepunkter!$B:$B,E2519+1))</f>
        <v/>
      </c>
      <c r="J2519" t="str">
        <f>IF(E2519="","",INDEX(Knutepunkter!$C:$C,E2519+1))</f>
        <v/>
      </c>
      <c r="K2519" t="str">
        <f>IF(E2519="","",INDEX(Knutepunkter!$D:$D,E2519+1))</f>
        <v/>
      </c>
      <c r="L2519" t="str">
        <f t="shared" si="198"/>
        <v/>
      </c>
      <c r="M2519" t="str">
        <f t="shared" si="199"/>
        <v/>
      </c>
    </row>
    <row r="2520" spans="1:13" x14ac:dyDescent="0.3">
      <c r="A2520" t="str">
        <f>Segmenter!A2520</f>
        <v/>
      </c>
      <c r="B2520" t="str">
        <f>Segmenter!B2520</f>
        <v/>
      </c>
      <c r="C2520" t="str">
        <f t="shared" si="195"/>
        <v/>
      </c>
      <c r="D2520" t="str">
        <f t="shared" si="196"/>
        <v/>
      </c>
      <c r="E2520" t="str">
        <f t="shared" si="197"/>
        <v/>
      </c>
      <c r="F2520" t="str">
        <f>IF(D2520="","",INDEX(Knutepunkter!$B:$B,D2520+1))</f>
        <v/>
      </c>
      <c r="G2520" t="str">
        <f>IF(D2520="","",INDEX(Knutepunkter!$C:$C,D2520+1))</f>
        <v/>
      </c>
      <c r="H2520" t="str">
        <f>IF(D2520="","",INDEX(Knutepunkter!$D:$D,D2520+1))</f>
        <v/>
      </c>
      <c r="I2520" t="str">
        <f>IF(E2520="","",INDEX(Knutepunkter!$B:$B,E2520+1))</f>
        <v/>
      </c>
      <c r="J2520" t="str">
        <f>IF(E2520="","",INDEX(Knutepunkter!$C:$C,E2520+1))</f>
        <v/>
      </c>
      <c r="K2520" t="str">
        <f>IF(E2520="","",INDEX(Knutepunkter!$D:$D,E2520+1))</f>
        <v/>
      </c>
      <c r="L2520" t="str">
        <f t="shared" si="198"/>
        <v/>
      </c>
      <c r="M2520" t="str">
        <f t="shared" si="199"/>
        <v/>
      </c>
    </row>
    <row r="2521" spans="1:13" x14ac:dyDescent="0.3">
      <c r="A2521" t="str">
        <f>Segmenter!A2521</f>
        <v/>
      </c>
      <c r="B2521" t="str">
        <f>Segmenter!B2521</f>
        <v/>
      </c>
      <c r="C2521" t="str">
        <f t="shared" si="195"/>
        <v/>
      </c>
      <c r="D2521" t="str">
        <f t="shared" si="196"/>
        <v/>
      </c>
      <c r="E2521" t="str">
        <f t="shared" si="197"/>
        <v/>
      </c>
      <c r="F2521" t="str">
        <f>IF(D2521="","",INDEX(Knutepunkter!$B:$B,D2521+1))</f>
        <v/>
      </c>
      <c r="G2521" t="str">
        <f>IF(D2521="","",INDEX(Knutepunkter!$C:$C,D2521+1))</f>
        <v/>
      </c>
      <c r="H2521" t="str">
        <f>IF(D2521="","",INDEX(Knutepunkter!$D:$D,D2521+1))</f>
        <v/>
      </c>
      <c r="I2521" t="str">
        <f>IF(E2521="","",INDEX(Knutepunkter!$B:$B,E2521+1))</f>
        <v/>
      </c>
      <c r="J2521" t="str">
        <f>IF(E2521="","",INDEX(Knutepunkter!$C:$C,E2521+1))</f>
        <v/>
      </c>
      <c r="K2521" t="str">
        <f>IF(E2521="","",INDEX(Knutepunkter!$D:$D,E2521+1))</f>
        <v/>
      </c>
      <c r="L2521" t="str">
        <f t="shared" si="198"/>
        <v/>
      </c>
      <c r="M2521" t="str">
        <f t="shared" si="199"/>
        <v/>
      </c>
    </row>
    <row r="2522" spans="1:13" x14ac:dyDescent="0.3">
      <c r="A2522" t="str">
        <f>Segmenter!A2522</f>
        <v>S2521</v>
      </c>
      <c r="B2522" t="str">
        <f>Segmenter!B2522</f>
        <v>244 -&gt; 255</v>
      </c>
      <c r="C2522" t="str">
        <f t="shared" si="195"/>
        <v>Bjelke</v>
      </c>
      <c r="D2522">
        <f t="shared" si="196"/>
        <v>244</v>
      </c>
      <c r="E2522">
        <f t="shared" si="197"/>
        <v>255</v>
      </c>
      <c r="F2522">
        <f>IF(D2522="","",INDEX(Knutepunkter!$B:$B,D2522+1))</f>
        <v>12354</v>
      </c>
      <c r="G2522">
        <f>IF(D2522="","",INDEX(Knutepunkter!$C:$C,D2522+1))</f>
        <v>8000</v>
      </c>
      <c r="H2522">
        <f>IF(D2522="","",INDEX(Knutepunkter!$D:$D,D2522+1))</f>
        <v>3000</v>
      </c>
      <c r="I2522">
        <f>IF(E2522="","",INDEX(Knutepunkter!$B:$B,E2522+1))</f>
        <v>12354</v>
      </c>
      <c r="J2522">
        <f>IF(E2522="","",INDEX(Knutepunkter!$C:$C,E2522+1))</f>
        <v>16000</v>
      </c>
      <c r="K2522">
        <f>IF(E2522="","",INDEX(Knutepunkter!$D:$D,E2522+1))</f>
        <v>3000</v>
      </c>
      <c r="L2522">
        <f t="shared" si="198"/>
        <v>8000</v>
      </c>
      <c r="M2522">
        <f t="shared" si="199"/>
        <v>8</v>
      </c>
    </row>
    <row r="2523" spans="1:13" x14ac:dyDescent="0.3">
      <c r="A2523" t="str">
        <f>Segmenter!A2523</f>
        <v>S2522</v>
      </c>
      <c r="B2523" t="str">
        <f>Segmenter!B2523</f>
        <v>245 -&gt; 256</v>
      </c>
      <c r="C2523" t="str">
        <f t="shared" si="195"/>
        <v>Bjelke</v>
      </c>
      <c r="D2523">
        <f t="shared" si="196"/>
        <v>245</v>
      </c>
      <c r="E2523">
        <f t="shared" si="197"/>
        <v>256</v>
      </c>
      <c r="F2523">
        <f>IF(D2523="","",INDEX(Knutepunkter!$B:$B,D2523+1))</f>
        <v>12354</v>
      </c>
      <c r="G2523">
        <f>IF(D2523="","",INDEX(Knutepunkter!$C:$C,D2523+1))</f>
        <v>8000</v>
      </c>
      <c r="H2523">
        <f>IF(D2523="","",INDEX(Knutepunkter!$D:$D,D2523+1))</f>
        <v>6000</v>
      </c>
      <c r="I2523">
        <f>IF(E2523="","",INDEX(Knutepunkter!$B:$B,E2523+1))</f>
        <v>12354</v>
      </c>
      <c r="J2523">
        <f>IF(E2523="","",INDEX(Knutepunkter!$C:$C,E2523+1))</f>
        <v>16000</v>
      </c>
      <c r="K2523">
        <f>IF(E2523="","",INDEX(Knutepunkter!$D:$D,E2523+1))</f>
        <v>6000</v>
      </c>
      <c r="L2523">
        <f t="shared" si="198"/>
        <v>8000</v>
      </c>
      <c r="M2523">
        <f t="shared" si="199"/>
        <v>8</v>
      </c>
    </row>
    <row r="2524" spans="1:13" x14ac:dyDescent="0.3">
      <c r="A2524" t="str">
        <f>Segmenter!A2524</f>
        <v>S2523</v>
      </c>
      <c r="B2524" t="str">
        <f>Segmenter!B2524</f>
        <v>246 -&gt; 257</v>
      </c>
      <c r="C2524" t="str">
        <f t="shared" si="195"/>
        <v>Bjelke</v>
      </c>
      <c r="D2524">
        <f t="shared" si="196"/>
        <v>246</v>
      </c>
      <c r="E2524">
        <f t="shared" si="197"/>
        <v>257</v>
      </c>
      <c r="F2524">
        <f>IF(D2524="","",INDEX(Knutepunkter!$B:$B,D2524+1))</f>
        <v>12354</v>
      </c>
      <c r="G2524">
        <f>IF(D2524="","",INDEX(Knutepunkter!$C:$C,D2524+1))</f>
        <v>8000</v>
      </c>
      <c r="H2524">
        <f>IF(D2524="","",INDEX(Knutepunkter!$D:$D,D2524+1))</f>
        <v>9000</v>
      </c>
      <c r="I2524">
        <f>IF(E2524="","",INDEX(Knutepunkter!$B:$B,E2524+1))</f>
        <v>12354</v>
      </c>
      <c r="J2524">
        <f>IF(E2524="","",INDEX(Knutepunkter!$C:$C,E2524+1))</f>
        <v>16000</v>
      </c>
      <c r="K2524">
        <f>IF(E2524="","",INDEX(Knutepunkter!$D:$D,E2524+1))</f>
        <v>9000</v>
      </c>
      <c r="L2524">
        <f t="shared" si="198"/>
        <v>8000</v>
      </c>
      <c r="M2524">
        <f t="shared" si="199"/>
        <v>8</v>
      </c>
    </row>
    <row r="2525" spans="1:13" x14ac:dyDescent="0.3">
      <c r="A2525" t="str">
        <f>Segmenter!A2525</f>
        <v>S2524</v>
      </c>
      <c r="B2525" t="str">
        <f>Segmenter!B2525</f>
        <v>247 -&gt; 258</v>
      </c>
      <c r="C2525" t="str">
        <f t="shared" si="195"/>
        <v>Bjelke</v>
      </c>
      <c r="D2525">
        <f t="shared" si="196"/>
        <v>247</v>
      </c>
      <c r="E2525">
        <f t="shared" si="197"/>
        <v>258</v>
      </c>
      <c r="F2525">
        <f>IF(D2525="","",INDEX(Knutepunkter!$B:$B,D2525+1))</f>
        <v>12354</v>
      </c>
      <c r="G2525">
        <f>IF(D2525="","",INDEX(Knutepunkter!$C:$C,D2525+1))</f>
        <v>8000</v>
      </c>
      <c r="H2525">
        <f>IF(D2525="","",INDEX(Knutepunkter!$D:$D,D2525+1))</f>
        <v>12000</v>
      </c>
      <c r="I2525">
        <f>IF(E2525="","",INDEX(Knutepunkter!$B:$B,E2525+1))</f>
        <v>12354</v>
      </c>
      <c r="J2525">
        <f>IF(E2525="","",INDEX(Knutepunkter!$C:$C,E2525+1))</f>
        <v>16000</v>
      </c>
      <c r="K2525">
        <f>IF(E2525="","",INDEX(Knutepunkter!$D:$D,E2525+1))</f>
        <v>12000</v>
      </c>
      <c r="L2525">
        <f t="shared" si="198"/>
        <v>8000</v>
      </c>
      <c r="M2525">
        <f t="shared" si="199"/>
        <v>8</v>
      </c>
    </row>
    <row r="2526" spans="1:13" x14ac:dyDescent="0.3">
      <c r="A2526" t="str">
        <f>Segmenter!A2526</f>
        <v>S2525</v>
      </c>
      <c r="B2526" t="str">
        <f>Segmenter!B2526</f>
        <v>248 -&gt; 259</v>
      </c>
      <c r="C2526" t="str">
        <f t="shared" si="195"/>
        <v>Bjelke</v>
      </c>
      <c r="D2526">
        <f t="shared" si="196"/>
        <v>248</v>
      </c>
      <c r="E2526">
        <f t="shared" si="197"/>
        <v>259</v>
      </c>
      <c r="F2526">
        <f>IF(D2526="","",INDEX(Knutepunkter!$B:$B,D2526+1))</f>
        <v>12354</v>
      </c>
      <c r="G2526">
        <f>IF(D2526="","",INDEX(Knutepunkter!$C:$C,D2526+1))</f>
        <v>8000</v>
      </c>
      <c r="H2526">
        <f>IF(D2526="","",INDEX(Knutepunkter!$D:$D,D2526+1))</f>
        <v>15000</v>
      </c>
      <c r="I2526">
        <f>IF(E2526="","",INDEX(Knutepunkter!$B:$B,E2526+1))</f>
        <v>12354</v>
      </c>
      <c r="J2526">
        <f>IF(E2526="","",INDEX(Knutepunkter!$C:$C,E2526+1))</f>
        <v>16000</v>
      </c>
      <c r="K2526">
        <f>IF(E2526="","",INDEX(Knutepunkter!$D:$D,E2526+1))</f>
        <v>15000</v>
      </c>
      <c r="L2526">
        <f t="shared" si="198"/>
        <v>8000</v>
      </c>
      <c r="M2526">
        <f t="shared" si="199"/>
        <v>8</v>
      </c>
    </row>
    <row r="2527" spans="1:13" x14ac:dyDescent="0.3">
      <c r="A2527" t="str">
        <f>Segmenter!A2527</f>
        <v>S2526</v>
      </c>
      <c r="B2527" t="str">
        <f>Segmenter!B2527</f>
        <v>249 -&gt; 260</v>
      </c>
      <c r="C2527" t="str">
        <f t="shared" si="195"/>
        <v>Bjelke</v>
      </c>
      <c r="D2527">
        <f t="shared" si="196"/>
        <v>249</v>
      </c>
      <c r="E2527">
        <f t="shared" si="197"/>
        <v>260</v>
      </c>
      <c r="F2527">
        <f>IF(D2527="","",INDEX(Knutepunkter!$B:$B,D2527+1))</f>
        <v>12354</v>
      </c>
      <c r="G2527">
        <f>IF(D2527="","",INDEX(Knutepunkter!$C:$C,D2527+1))</f>
        <v>8000</v>
      </c>
      <c r="H2527">
        <f>IF(D2527="","",INDEX(Knutepunkter!$D:$D,D2527+1))</f>
        <v>18000</v>
      </c>
      <c r="I2527">
        <f>IF(E2527="","",INDEX(Knutepunkter!$B:$B,E2527+1))</f>
        <v>12354</v>
      </c>
      <c r="J2527">
        <f>IF(E2527="","",INDEX(Knutepunkter!$C:$C,E2527+1))</f>
        <v>16000</v>
      </c>
      <c r="K2527">
        <f>IF(E2527="","",INDEX(Knutepunkter!$D:$D,E2527+1))</f>
        <v>18000</v>
      </c>
      <c r="L2527">
        <f t="shared" si="198"/>
        <v>8000</v>
      </c>
      <c r="M2527">
        <f t="shared" si="199"/>
        <v>8</v>
      </c>
    </row>
    <row r="2528" spans="1:13" x14ac:dyDescent="0.3">
      <c r="A2528" t="str">
        <f>Segmenter!A2528</f>
        <v/>
      </c>
      <c r="B2528" t="str">
        <f>Segmenter!B2528</f>
        <v/>
      </c>
      <c r="C2528" t="str">
        <f t="shared" si="195"/>
        <v/>
      </c>
      <c r="D2528" t="str">
        <f t="shared" si="196"/>
        <v/>
      </c>
      <c r="E2528" t="str">
        <f t="shared" si="197"/>
        <v/>
      </c>
      <c r="F2528" t="str">
        <f>IF(D2528="","",INDEX(Knutepunkter!$B:$B,D2528+1))</f>
        <v/>
      </c>
      <c r="G2528" t="str">
        <f>IF(D2528="","",INDEX(Knutepunkter!$C:$C,D2528+1))</f>
        <v/>
      </c>
      <c r="H2528" t="str">
        <f>IF(D2528="","",INDEX(Knutepunkter!$D:$D,D2528+1))</f>
        <v/>
      </c>
      <c r="I2528" t="str">
        <f>IF(E2528="","",INDEX(Knutepunkter!$B:$B,E2528+1))</f>
        <v/>
      </c>
      <c r="J2528" t="str">
        <f>IF(E2528="","",INDEX(Knutepunkter!$C:$C,E2528+1))</f>
        <v/>
      </c>
      <c r="K2528" t="str">
        <f>IF(E2528="","",INDEX(Knutepunkter!$D:$D,E2528+1))</f>
        <v/>
      </c>
      <c r="L2528" t="str">
        <f t="shared" si="198"/>
        <v/>
      </c>
      <c r="M2528" t="str">
        <f t="shared" si="199"/>
        <v/>
      </c>
    </row>
    <row r="2529" spans="1:13" x14ac:dyDescent="0.3">
      <c r="A2529" t="str">
        <f>Segmenter!A2529</f>
        <v/>
      </c>
      <c r="B2529" t="str">
        <f>Segmenter!B2529</f>
        <v/>
      </c>
      <c r="C2529" t="str">
        <f t="shared" si="195"/>
        <v/>
      </c>
      <c r="D2529" t="str">
        <f t="shared" si="196"/>
        <v/>
      </c>
      <c r="E2529" t="str">
        <f t="shared" si="197"/>
        <v/>
      </c>
      <c r="F2529" t="str">
        <f>IF(D2529="","",INDEX(Knutepunkter!$B:$B,D2529+1))</f>
        <v/>
      </c>
      <c r="G2529" t="str">
        <f>IF(D2529="","",INDEX(Knutepunkter!$C:$C,D2529+1))</f>
        <v/>
      </c>
      <c r="H2529" t="str">
        <f>IF(D2529="","",INDEX(Knutepunkter!$D:$D,D2529+1))</f>
        <v/>
      </c>
      <c r="I2529" t="str">
        <f>IF(E2529="","",INDEX(Knutepunkter!$B:$B,E2529+1))</f>
        <v/>
      </c>
      <c r="J2529" t="str">
        <f>IF(E2529="","",INDEX(Knutepunkter!$C:$C,E2529+1))</f>
        <v/>
      </c>
      <c r="K2529" t="str">
        <f>IF(E2529="","",INDEX(Knutepunkter!$D:$D,E2529+1))</f>
        <v/>
      </c>
      <c r="L2529" t="str">
        <f t="shared" si="198"/>
        <v/>
      </c>
      <c r="M2529" t="str">
        <f t="shared" si="199"/>
        <v/>
      </c>
    </row>
    <row r="2530" spans="1:13" x14ac:dyDescent="0.3">
      <c r="A2530" t="str">
        <f>Segmenter!A2530</f>
        <v/>
      </c>
      <c r="B2530" t="str">
        <f>Segmenter!B2530</f>
        <v/>
      </c>
      <c r="C2530" t="str">
        <f t="shared" si="195"/>
        <v/>
      </c>
      <c r="D2530" t="str">
        <f t="shared" si="196"/>
        <v/>
      </c>
      <c r="E2530" t="str">
        <f t="shared" si="197"/>
        <v/>
      </c>
      <c r="F2530" t="str">
        <f>IF(D2530="","",INDEX(Knutepunkter!$B:$B,D2530+1))</f>
        <v/>
      </c>
      <c r="G2530" t="str">
        <f>IF(D2530="","",INDEX(Knutepunkter!$C:$C,D2530+1))</f>
        <v/>
      </c>
      <c r="H2530" t="str">
        <f>IF(D2530="","",INDEX(Knutepunkter!$D:$D,D2530+1))</f>
        <v/>
      </c>
      <c r="I2530" t="str">
        <f>IF(E2530="","",INDEX(Knutepunkter!$B:$B,E2530+1))</f>
        <v/>
      </c>
      <c r="J2530" t="str">
        <f>IF(E2530="","",INDEX(Knutepunkter!$C:$C,E2530+1))</f>
        <v/>
      </c>
      <c r="K2530" t="str">
        <f>IF(E2530="","",INDEX(Knutepunkter!$D:$D,E2530+1))</f>
        <v/>
      </c>
      <c r="L2530" t="str">
        <f t="shared" si="198"/>
        <v/>
      </c>
      <c r="M2530" t="str">
        <f t="shared" si="199"/>
        <v/>
      </c>
    </row>
    <row r="2531" spans="1:13" x14ac:dyDescent="0.3">
      <c r="A2531" t="str">
        <f>Segmenter!A2531</f>
        <v/>
      </c>
      <c r="B2531" t="str">
        <f>Segmenter!B2531</f>
        <v/>
      </c>
      <c r="C2531" t="str">
        <f t="shared" si="195"/>
        <v/>
      </c>
      <c r="D2531" t="str">
        <f t="shared" si="196"/>
        <v/>
      </c>
      <c r="E2531" t="str">
        <f t="shared" si="197"/>
        <v/>
      </c>
      <c r="F2531" t="str">
        <f>IF(D2531="","",INDEX(Knutepunkter!$B:$B,D2531+1))</f>
        <v/>
      </c>
      <c r="G2531" t="str">
        <f>IF(D2531="","",INDEX(Knutepunkter!$C:$C,D2531+1))</f>
        <v/>
      </c>
      <c r="H2531" t="str">
        <f>IF(D2531="","",INDEX(Knutepunkter!$D:$D,D2531+1))</f>
        <v/>
      </c>
      <c r="I2531" t="str">
        <f>IF(E2531="","",INDEX(Knutepunkter!$B:$B,E2531+1))</f>
        <v/>
      </c>
      <c r="J2531" t="str">
        <f>IF(E2531="","",INDEX(Knutepunkter!$C:$C,E2531+1))</f>
        <v/>
      </c>
      <c r="K2531" t="str">
        <f>IF(E2531="","",INDEX(Knutepunkter!$D:$D,E2531+1))</f>
        <v/>
      </c>
      <c r="L2531" t="str">
        <f t="shared" si="198"/>
        <v/>
      </c>
      <c r="M2531" t="str">
        <f t="shared" si="199"/>
        <v/>
      </c>
    </row>
    <row r="2532" spans="1:13" x14ac:dyDescent="0.3">
      <c r="A2532" t="str">
        <f>Segmenter!A2532</f>
        <v>S2531</v>
      </c>
      <c r="B2532" t="str">
        <f>Segmenter!B2532</f>
        <v>255 -&gt; 266</v>
      </c>
      <c r="C2532" t="str">
        <f t="shared" si="195"/>
        <v>Bjelke</v>
      </c>
      <c r="D2532">
        <f t="shared" si="196"/>
        <v>255</v>
      </c>
      <c r="E2532">
        <f t="shared" si="197"/>
        <v>266</v>
      </c>
      <c r="F2532">
        <f>IF(D2532="","",INDEX(Knutepunkter!$B:$B,D2532+1))</f>
        <v>12354</v>
      </c>
      <c r="G2532">
        <f>IF(D2532="","",INDEX(Knutepunkter!$C:$C,D2532+1))</f>
        <v>16000</v>
      </c>
      <c r="H2532">
        <f>IF(D2532="","",INDEX(Knutepunkter!$D:$D,D2532+1))</f>
        <v>3000</v>
      </c>
      <c r="I2532">
        <f>IF(E2532="","",INDEX(Knutepunkter!$B:$B,E2532+1))</f>
        <v>12354</v>
      </c>
      <c r="J2532">
        <f>IF(E2532="","",INDEX(Knutepunkter!$C:$C,E2532+1))</f>
        <v>24000</v>
      </c>
      <c r="K2532">
        <f>IF(E2532="","",INDEX(Knutepunkter!$D:$D,E2532+1))</f>
        <v>3000</v>
      </c>
      <c r="L2532">
        <f t="shared" si="198"/>
        <v>8000</v>
      </c>
      <c r="M2532">
        <f t="shared" si="199"/>
        <v>8</v>
      </c>
    </row>
    <row r="2533" spans="1:13" x14ac:dyDescent="0.3">
      <c r="A2533" t="str">
        <f>Segmenter!A2533</f>
        <v>S2532</v>
      </c>
      <c r="B2533" t="str">
        <f>Segmenter!B2533</f>
        <v>256 -&gt; 267</v>
      </c>
      <c r="C2533" t="str">
        <f t="shared" si="195"/>
        <v>Bjelke</v>
      </c>
      <c r="D2533">
        <f t="shared" si="196"/>
        <v>256</v>
      </c>
      <c r="E2533">
        <f t="shared" si="197"/>
        <v>267</v>
      </c>
      <c r="F2533">
        <f>IF(D2533="","",INDEX(Knutepunkter!$B:$B,D2533+1))</f>
        <v>12354</v>
      </c>
      <c r="G2533">
        <f>IF(D2533="","",INDEX(Knutepunkter!$C:$C,D2533+1))</f>
        <v>16000</v>
      </c>
      <c r="H2533">
        <f>IF(D2533="","",INDEX(Knutepunkter!$D:$D,D2533+1))</f>
        <v>6000</v>
      </c>
      <c r="I2533">
        <f>IF(E2533="","",INDEX(Knutepunkter!$B:$B,E2533+1))</f>
        <v>12354</v>
      </c>
      <c r="J2533">
        <f>IF(E2533="","",INDEX(Knutepunkter!$C:$C,E2533+1))</f>
        <v>24000</v>
      </c>
      <c r="K2533">
        <f>IF(E2533="","",INDEX(Knutepunkter!$D:$D,E2533+1))</f>
        <v>6000</v>
      </c>
      <c r="L2533">
        <f t="shared" si="198"/>
        <v>8000</v>
      </c>
      <c r="M2533">
        <f t="shared" si="199"/>
        <v>8</v>
      </c>
    </row>
    <row r="2534" spans="1:13" x14ac:dyDescent="0.3">
      <c r="A2534" t="str">
        <f>Segmenter!A2534</f>
        <v>S2533</v>
      </c>
      <c r="B2534" t="str">
        <f>Segmenter!B2534</f>
        <v>257 -&gt; 268</v>
      </c>
      <c r="C2534" t="str">
        <f t="shared" si="195"/>
        <v>Bjelke</v>
      </c>
      <c r="D2534">
        <f t="shared" si="196"/>
        <v>257</v>
      </c>
      <c r="E2534">
        <f t="shared" si="197"/>
        <v>268</v>
      </c>
      <c r="F2534">
        <f>IF(D2534="","",INDEX(Knutepunkter!$B:$B,D2534+1))</f>
        <v>12354</v>
      </c>
      <c r="G2534">
        <f>IF(D2534="","",INDEX(Knutepunkter!$C:$C,D2534+1))</f>
        <v>16000</v>
      </c>
      <c r="H2534">
        <f>IF(D2534="","",INDEX(Knutepunkter!$D:$D,D2534+1))</f>
        <v>9000</v>
      </c>
      <c r="I2534">
        <f>IF(E2534="","",INDEX(Knutepunkter!$B:$B,E2534+1))</f>
        <v>12354</v>
      </c>
      <c r="J2534">
        <f>IF(E2534="","",INDEX(Knutepunkter!$C:$C,E2534+1))</f>
        <v>24000</v>
      </c>
      <c r="K2534">
        <f>IF(E2534="","",INDEX(Knutepunkter!$D:$D,E2534+1))</f>
        <v>9000</v>
      </c>
      <c r="L2534">
        <f t="shared" si="198"/>
        <v>8000</v>
      </c>
      <c r="M2534">
        <f t="shared" si="199"/>
        <v>8</v>
      </c>
    </row>
    <row r="2535" spans="1:13" x14ac:dyDescent="0.3">
      <c r="A2535" t="str">
        <f>Segmenter!A2535</f>
        <v>S2534</v>
      </c>
      <c r="B2535" t="str">
        <f>Segmenter!B2535</f>
        <v>258 -&gt; 269</v>
      </c>
      <c r="C2535" t="str">
        <f t="shared" si="195"/>
        <v>Bjelke</v>
      </c>
      <c r="D2535">
        <f t="shared" si="196"/>
        <v>258</v>
      </c>
      <c r="E2535">
        <f t="shared" si="197"/>
        <v>269</v>
      </c>
      <c r="F2535">
        <f>IF(D2535="","",INDEX(Knutepunkter!$B:$B,D2535+1))</f>
        <v>12354</v>
      </c>
      <c r="G2535">
        <f>IF(D2535="","",INDEX(Knutepunkter!$C:$C,D2535+1))</f>
        <v>16000</v>
      </c>
      <c r="H2535">
        <f>IF(D2535="","",INDEX(Knutepunkter!$D:$D,D2535+1))</f>
        <v>12000</v>
      </c>
      <c r="I2535">
        <f>IF(E2535="","",INDEX(Knutepunkter!$B:$B,E2535+1))</f>
        <v>12354</v>
      </c>
      <c r="J2535">
        <f>IF(E2535="","",INDEX(Knutepunkter!$C:$C,E2535+1))</f>
        <v>24000</v>
      </c>
      <c r="K2535">
        <f>IF(E2535="","",INDEX(Knutepunkter!$D:$D,E2535+1))</f>
        <v>12000</v>
      </c>
      <c r="L2535">
        <f t="shared" si="198"/>
        <v>8000</v>
      </c>
      <c r="M2535">
        <f t="shared" si="199"/>
        <v>8</v>
      </c>
    </row>
    <row r="2536" spans="1:13" x14ac:dyDescent="0.3">
      <c r="A2536" t="str">
        <f>Segmenter!A2536</f>
        <v>S2535</v>
      </c>
      <c r="B2536" t="str">
        <f>Segmenter!B2536</f>
        <v>259 -&gt; 270</v>
      </c>
      <c r="C2536" t="str">
        <f t="shared" si="195"/>
        <v>Bjelke</v>
      </c>
      <c r="D2536">
        <f t="shared" si="196"/>
        <v>259</v>
      </c>
      <c r="E2536">
        <f t="shared" si="197"/>
        <v>270</v>
      </c>
      <c r="F2536">
        <f>IF(D2536="","",INDEX(Knutepunkter!$B:$B,D2536+1))</f>
        <v>12354</v>
      </c>
      <c r="G2536">
        <f>IF(D2536="","",INDEX(Knutepunkter!$C:$C,D2536+1))</f>
        <v>16000</v>
      </c>
      <c r="H2536">
        <f>IF(D2536="","",INDEX(Knutepunkter!$D:$D,D2536+1))</f>
        <v>15000</v>
      </c>
      <c r="I2536">
        <f>IF(E2536="","",INDEX(Knutepunkter!$B:$B,E2536+1))</f>
        <v>12354</v>
      </c>
      <c r="J2536">
        <f>IF(E2536="","",INDEX(Knutepunkter!$C:$C,E2536+1))</f>
        <v>24000</v>
      </c>
      <c r="K2536">
        <f>IF(E2536="","",INDEX(Knutepunkter!$D:$D,E2536+1))</f>
        <v>15000</v>
      </c>
      <c r="L2536">
        <f t="shared" si="198"/>
        <v>8000</v>
      </c>
      <c r="M2536">
        <f t="shared" si="199"/>
        <v>8</v>
      </c>
    </row>
    <row r="2537" spans="1:13" x14ac:dyDescent="0.3">
      <c r="A2537" t="str">
        <f>Segmenter!A2537</f>
        <v>S2536</v>
      </c>
      <c r="B2537" t="str">
        <f>Segmenter!B2537</f>
        <v>260 -&gt; 271</v>
      </c>
      <c r="C2537" t="str">
        <f t="shared" si="195"/>
        <v>Bjelke</v>
      </c>
      <c r="D2537">
        <f t="shared" si="196"/>
        <v>260</v>
      </c>
      <c r="E2537">
        <f t="shared" si="197"/>
        <v>271</v>
      </c>
      <c r="F2537">
        <f>IF(D2537="","",INDEX(Knutepunkter!$B:$B,D2537+1))</f>
        <v>12354</v>
      </c>
      <c r="G2537">
        <f>IF(D2537="","",INDEX(Knutepunkter!$C:$C,D2537+1))</f>
        <v>16000</v>
      </c>
      <c r="H2537">
        <f>IF(D2537="","",INDEX(Knutepunkter!$D:$D,D2537+1))</f>
        <v>18000</v>
      </c>
      <c r="I2537">
        <f>IF(E2537="","",INDEX(Knutepunkter!$B:$B,E2537+1))</f>
        <v>12354</v>
      </c>
      <c r="J2537">
        <f>IF(E2537="","",INDEX(Knutepunkter!$C:$C,E2537+1))</f>
        <v>24000</v>
      </c>
      <c r="K2537">
        <f>IF(E2537="","",INDEX(Knutepunkter!$D:$D,E2537+1))</f>
        <v>18000</v>
      </c>
      <c r="L2537">
        <f t="shared" si="198"/>
        <v>8000</v>
      </c>
      <c r="M2537">
        <f t="shared" si="199"/>
        <v>8</v>
      </c>
    </row>
    <row r="2538" spans="1:13" x14ac:dyDescent="0.3">
      <c r="A2538" t="str">
        <f>Segmenter!A2538</f>
        <v/>
      </c>
      <c r="B2538" t="str">
        <f>Segmenter!B2538</f>
        <v/>
      </c>
      <c r="C2538" t="str">
        <f t="shared" si="195"/>
        <v/>
      </c>
      <c r="D2538" t="str">
        <f t="shared" si="196"/>
        <v/>
      </c>
      <c r="E2538" t="str">
        <f t="shared" si="197"/>
        <v/>
      </c>
      <c r="F2538" t="str">
        <f>IF(D2538="","",INDEX(Knutepunkter!$B:$B,D2538+1))</f>
        <v/>
      </c>
      <c r="G2538" t="str">
        <f>IF(D2538="","",INDEX(Knutepunkter!$C:$C,D2538+1))</f>
        <v/>
      </c>
      <c r="H2538" t="str">
        <f>IF(D2538="","",INDEX(Knutepunkter!$D:$D,D2538+1))</f>
        <v/>
      </c>
      <c r="I2538" t="str">
        <f>IF(E2538="","",INDEX(Knutepunkter!$B:$B,E2538+1))</f>
        <v/>
      </c>
      <c r="J2538" t="str">
        <f>IF(E2538="","",INDEX(Knutepunkter!$C:$C,E2538+1))</f>
        <v/>
      </c>
      <c r="K2538" t="str">
        <f>IF(E2538="","",INDEX(Knutepunkter!$D:$D,E2538+1))</f>
        <v/>
      </c>
      <c r="L2538" t="str">
        <f t="shared" si="198"/>
        <v/>
      </c>
      <c r="M2538" t="str">
        <f t="shared" si="199"/>
        <v/>
      </c>
    </row>
    <row r="2539" spans="1:13" x14ac:dyDescent="0.3">
      <c r="A2539" t="str">
        <f>Segmenter!A2539</f>
        <v/>
      </c>
      <c r="B2539" t="str">
        <f>Segmenter!B2539</f>
        <v/>
      </c>
      <c r="C2539" t="str">
        <f t="shared" si="195"/>
        <v/>
      </c>
      <c r="D2539" t="str">
        <f t="shared" si="196"/>
        <v/>
      </c>
      <c r="E2539" t="str">
        <f t="shared" si="197"/>
        <v/>
      </c>
      <c r="F2539" t="str">
        <f>IF(D2539="","",INDEX(Knutepunkter!$B:$B,D2539+1))</f>
        <v/>
      </c>
      <c r="G2539" t="str">
        <f>IF(D2539="","",INDEX(Knutepunkter!$C:$C,D2539+1))</f>
        <v/>
      </c>
      <c r="H2539" t="str">
        <f>IF(D2539="","",INDEX(Knutepunkter!$D:$D,D2539+1))</f>
        <v/>
      </c>
      <c r="I2539" t="str">
        <f>IF(E2539="","",INDEX(Knutepunkter!$B:$B,E2539+1))</f>
        <v/>
      </c>
      <c r="J2539" t="str">
        <f>IF(E2539="","",INDEX(Knutepunkter!$C:$C,E2539+1))</f>
        <v/>
      </c>
      <c r="K2539" t="str">
        <f>IF(E2539="","",INDEX(Knutepunkter!$D:$D,E2539+1))</f>
        <v/>
      </c>
      <c r="L2539" t="str">
        <f t="shared" si="198"/>
        <v/>
      </c>
      <c r="M2539" t="str">
        <f t="shared" si="199"/>
        <v/>
      </c>
    </row>
    <row r="2540" spans="1:13" x14ac:dyDescent="0.3">
      <c r="A2540" t="str">
        <f>Segmenter!A2540</f>
        <v/>
      </c>
      <c r="B2540" t="str">
        <f>Segmenter!B2540</f>
        <v/>
      </c>
      <c r="C2540" t="str">
        <f t="shared" si="195"/>
        <v/>
      </c>
      <c r="D2540" t="str">
        <f t="shared" si="196"/>
        <v/>
      </c>
      <c r="E2540" t="str">
        <f t="shared" si="197"/>
        <v/>
      </c>
      <c r="F2540" t="str">
        <f>IF(D2540="","",INDEX(Knutepunkter!$B:$B,D2540+1))</f>
        <v/>
      </c>
      <c r="G2540" t="str">
        <f>IF(D2540="","",INDEX(Knutepunkter!$C:$C,D2540+1))</f>
        <v/>
      </c>
      <c r="H2540" t="str">
        <f>IF(D2540="","",INDEX(Knutepunkter!$D:$D,D2540+1))</f>
        <v/>
      </c>
      <c r="I2540" t="str">
        <f>IF(E2540="","",INDEX(Knutepunkter!$B:$B,E2540+1))</f>
        <v/>
      </c>
      <c r="J2540" t="str">
        <f>IF(E2540="","",INDEX(Knutepunkter!$C:$C,E2540+1))</f>
        <v/>
      </c>
      <c r="K2540" t="str">
        <f>IF(E2540="","",INDEX(Knutepunkter!$D:$D,E2540+1))</f>
        <v/>
      </c>
      <c r="L2540" t="str">
        <f t="shared" si="198"/>
        <v/>
      </c>
      <c r="M2540" t="str">
        <f t="shared" si="199"/>
        <v/>
      </c>
    </row>
    <row r="2541" spans="1:13" x14ac:dyDescent="0.3">
      <c r="A2541" t="str">
        <f>Segmenter!A2541</f>
        <v/>
      </c>
      <c r="B2541" t="str">
        <f>Segmenter!B2541</f>
        <v/>
      </c>
      <c r="C2541" t="str">
        <f t="shared" si="195"/>
        <v/>
      </c>
      <c r="D2541" t="str">
        <f t="shared" si="196"/>
        <v/>
      </c>
      <c r="E2541" t="str">
        <f t="shared" si="197"/>
        <v/>
      </c>
      <c r="F2541" t="str">
        <f>IF(D2541="","",INDEX(Knutepunkter!$B:$B,D2541+1))</f>
        <v/>
      </c>
      <c r="G2541" t="str">
        <f>IF(D2541="","",INDEX(Knutepunkter!$C:$C,D2541+1))</f>
        <v/>
      </c>
      <c r="H2541" t="str">
        <f>IF(D2541="","",INDEX(Knutepunkter!$D:$D,D2541+1))</f>
        <v/>
      </c>
      <c r="I2541" t="str">
        <f>IF(E2541="","",INDEX(Knutepunkter!$B:$B,E2541+1))</f>
        <v/>
      </c>
      <c r="J2541" t="str">
        <f>IF(E2541="","",INDEX(Knutepunkter!$C:$C,E2541+1))</f>
        <v/>
      </c>
      <c r="K2541" t="str">
        <f>IF(E2541="","",INDEX(Knutepunkter!$D:$D,E2541+1))</f>
        <v/>
      </c>
      <c r="L2541" t="str">
        <f t="shared" si="198"/>
        <v/>
      </c>
      <c r="M2541" t="str">
        <f t="shared" si="199"/>
        <v/>
      </c>
    </row>
    <row r="2542" spans="1:13" x14ac:dyDescent="0.3">
      <c r="A2542" t="str">
        <f>Segmenter!A2542</f>
        <v>S2541</v>
      </c>
      <c r="B2542" t="str">
        <f>Segmenter!B2542</f>
        <v>266 -&gt; 277</v>
      </c>
      <c r="C2542" t="str">
        <f t="shared" si="195"/>
        <v>Bjelke</v>
      </c>
      <c r="D2542">
        <f t="shared" si="196"/>
        <v>266</v>
      </c>
      <c r="E2542">
        <f t="shared" si="197"/>
        <v>277</v>
      </c>
      <c r="F2542">
        <f>IF(D2542="","",INDEX(Knutepunkter!$B:$B,D2542+1))</f>
        <v>12354</v>
      </c>
      <c r="G2542">
        <f>IF(D2542="","",INDEX(Knutepunkter!$C:$C,D2542+1))</f>
        <v>24000</v>
      </c>
      <c r="H2542">
        <f>IF(D2542="","",INDEX(Knutepunkter!$D:$D,D2542+1))</f>
        <v>3000</v>
      </c>
      <c r="I2542">
        <f>IF(E2542="","",INDEX(Knutepunkter!$B:$B,E2542+1))</f>
        <v>12354</v>
      </c>
      <c r="J2542">
        <f>IF(E2542="","",INDEX(Knutepunkter!$C:$C,E2542+1))</f>
        <v>32000</v>
      </c>
      <c r="K2542">
        <f>IF(E2542="","",INDEX(Knutepunkter!$D:$D,E2542+1))</f>
        <v>3000</v>
      </c>
      <c r="L2542">
        <f t="shared" si="198"/>
        <v>8000</v>
      </c>
      <c r="M2542">
        <f t="shared" si="199"/>
        <v>8</v>
      </c>
    </row>
    <row r="2543" spans="1:13" x14ac:dyDescent="0.3">
      <c r="A2543" t="str">
        <f>Segmenter!A2543</f>
        <v>S2542</v>
      </c>
      <c r="B2543" t="str">
        <f>Segmenter!B2543</f>
        <v>267 -&gt; 278</v>
      </c>
      <c r="C2543" t="str">
        <f t="shared" si="195"/>
        <v>Bjelke</v>
      </c>
      <c r="D2543">
        <f t="shared" si="196"/>
        <v>267</v>
      </c>
      <c r="E2543">
        <f t="shared" si="197"/>
        <v>278</v>
      </c>
      <c r="F2543">
        <f>IF(D2543="","",INDEX(Knutepunkter!$B:$B,D2543+1))</f>
        <v>12354</v>
      </c>
      <c r="G2543">
        <f>IF(D2543="","",INDEX(Knutepunkter!$C:$C,D2543+1))</f>
        <v>24000</v>
      </c>
      <c r="H2543">
        <f>IF(D2543="","",INDEX(Knutepunkter!$D:$D,D2543+1))</f>
        <v>6000</v>
      </c>
      <c r="I2543">
        <f>IF(E2543="","",INDEX(Knutepunkter!$B:$B,E2543+1))</f>
        <v>12354</v>
      </c>
      <c r="J2543">
        <f>IF(E2543="","",INDEX(Knutepunkter!$C:$C,E2543+1))</f>
        <v>32000</v>
      </c>
      <c r="K2543">
        <f>IF(E2543="","",INDEX(Knutepunkter!$D:$D,E2543+1))</f>
        <v>6000</v>
      </c>
      <c r="L2543">
        <f t="shared" si="198"/>
        <v>8000</v>
      </c>
      <c r="M2543">
        <f t="shared" si="199"/>
        <v>8</v>
      </c>
    </row>
    <row r="2544" spans="1:13" x14ac:dyDescent="0.3">
      <c r="A2544" t="str">
        <f>Segmenter!A2544</f>
        <v>S2543</v>
      </c>
      <c r="B2544" t="str">
        <f>Segmenter!B2544</f>
        <v>268 -&gt; 279</v>
      </c>
      <c r="C2544" t="str">
        <f t="shared" si="195"/>
        <v>Bjelke</v>
      </c>
      <c r="D2544">
        <f t="shared" si="196"/>
        <v>268</v>
      </c>
      <c r="E2544">
        <f t="shared" si="197"/>
        <v>279</v>
      </c>
      <c r="F2544">
        <f>IF(D2544="","",INDEX(Knutepunkter!$B:$B,D2544+1))</f>
        <v>12354</v>
      </c>
      <c r="G2544">
        <f>IF(D2544="","",INDEX(Knutepunkter!$C:$C,D2544+1))</f>
        <v>24000</v>
      </c>
      <c r="H2544">
        <f>IF(D2544="","",INDEX(Knutepunkter!$D:$D,D2544+1))</f>
        <v>9000</v>
      </c>
      <c r="I2544">
        <f>IF(E2544="","",INDEX(Knutepunkter!$B:$B,E2544+1))</f>
        <v>12354</v>
      </c>
      <c r="J2544">
        <f>IF(E2544="","",INDEX(Knutepunkter!$C:$C,E2544+1))</f>
        <v>32000</v>
      </c>
      <c r="K2544">
        <f>IF(E2544="","",INDEX(Knutepunkter!$D:$D,E2544+1))</f>
        <v>9000</v>
      </c>
      <c r="L2544">
        <f t="shared" si="198"/>
        <v>8000</v>
      </c>
      <c r="M2544">
        <f t="shared" si="199"/>
        <v>8</v>
      </c>
    </row>
    <row r="2545" spans="1:13" x14ac:dyDescent="0.3">
      <c r="A2545" t="str">
        <f>Segmenter!A2545</f>
        <v>S2544</v>
      </c>
      <c r="B2545" t="str">
        <f>Segmenter!B2545</f>
        <v>269 -&gt; 280</v>
      </c>
      <c r="C2545" t="str">
        <f t="shared" si="195"/>
        <v>Bjelke</v>
      </c>
      <c r="D2545">
        <f t="shared" si="196"/>
        <v>269</v>
      </c>
      <c r="E2545">
        <f t="shared" si="197"/>
        <v>280</v>
      </c>
      <c r="F2545">
        <f>IF(D2545="","",INDEX(Knutepunkter!$B:$B,D2545+1))</f>
        <v>12354</v>
      </c>
      <c r="G2545">
        <f>IF(D2545="","",INDEX(Knutepunkter!$C:$C,D2545+1))</f>
        <v>24000</v>
      </c>
      <c r="H2545">
        <f>IF(D2545="","",INDEX(Knutepunkter!$D:$D,D2545+1))</f>
        <v>12000</v>
      </c>
      <c r="I2545">
        <f>IF(E2545="","",INDEX(Knutepunkter!$B:$B,E2545+1))</f>
        <v>12354</v>
      </c>
      <c r="J2545">
        <f>IF(E2545="","",INDEX(Knutepunkter!$C:$C,E2545+1))</f>
        <v>32000</v>
      </c>
      <c r="K2545">
        <f>IF(E2545="","",INDEX(Knutepunkter!$D:$D,E2545+1))</f>
        <v>12000</v>
      </c>
      <c r="L2545">
        <f t="shared" si="198"/>
        <v>8000</v>
      </c>
      <c r="M2545">
        <f t="shared" si="199"/>
        <v>8</v>
      </c>
    </row>
    <row r="2546" spans="1:13" x14ac:dyDescent="0.3">
      <c r="A2546" t="str">
        <f>Segmenter!A2546</f>
        <v>S2545</v>
      </c>
      <c r="B2546" t="str">
        <f>Segmenter!B2546</f>
        <v>270 -&gt; 281</v>
      </c>
      <c r="C2546" t="str">
        <f t="shared" si="195"/>
        <v>Bjelke</v>
      </c>
      <c r="D2546">
        <f t="shared" si="196"/>
        <v>270</v>
      </c>
      <c r="E2546">
        <f t="shared" si="197"/>
        <v>281</v>
      </c>
      <c r="F2546">
        <f>IF(D2546="","",INDEX(Knutepunkter!$B:$B,D2546+1))</f>
        <v>12354</v>
      </c>
      <c r="G2546">
        <f>IF(D2546="","",INDEX(Knutepunkter!$C:$C,D2546+1))</f>
        <v>24000</v>
      </c>
      <c r="H2546">
        <f>IF(D2546="","",INDEX(Knutepunkter!$D:$D,D2546+1))</f>
        <v>15000</v>
      </c>
      <c r="I2546">
        <f>IF(E2546="","",INDEX(Knutepunkter!$B:$B,E2546+1))</f>
        <v>12354</v>
      </c>
      <c r="J2546">
        <f>IF(E2546="","",INDEX(Knutepunkter!$C:$C,E2546+1))</f>
        <v>32000</v>
      </c>
      <c r="K2546">
        <f>IF(E2546="","",INDEX(Knutepunkter!$D:$D,E2546+1))</f>
        <v>15000</v>
      </c>
      <c r="L2546">
        <f t="shared" si="198"/>
        <v>8000</v>
      </c>
      <c r="M2546">
        <f t="shared" si="199"/>
        <v>8</v>
      </c>
    </row>
    <row r="2547" spans="1:13" x14ac:dyDescent="0.3">
      <c r="A2547" t="str">
        <f>Segmenter!A2547</f>
        <v>S2546</v>
      </c>
      <c r="B2547" t="str">
        <f>Segmenter!B2547</f>
        <v>271 -&gt; 282</v>
      </c>
      <c r="C2547" t="str">
        <f t="shared" si="195"/>
        <v>Bjelke</v>
      </c>
      <c r="D2547">
        <f t="shared" si="196"/>
        <v>271</v>
      </c>
      <c r="E2547">
        <f t="shared" si="197"/>
        <v>282</v>
      </c>
      <c r="F2547">
        <f>IF(D2547="","",INDEX(Knutepunkter!$B:$B,D2547+1))</f>
        <v>12354</v>
      </c>
      <c r="G2547">
        <f>IF(D2547="","",INDEX(Knutepunkter!$C:$C,D2547+1))</f>
        <v>24000</v>
      </c>
      <c r="H2547">
        <f>IF(D2547="","",INDEX(Knutepunkter!$D:$D,D2547+1))</f>
        <v>18000</v>
      </c>
      <c r="I2547">
        <f>IF(E2547="","",INDEX(Knutepunkter!$B:$B,E2547+1))</f>
        <v>12354</v>
      </c>
      <c r="J2547">
        <f>IF(E2547="","",INDEX(Knutepunkter!$C:$C,E2547+1))</f>
        <v>32000</v>
      </c>
      <c r="K2547">
        <f>IF(E2547="","",INDEX(Knutepunkter!$D:$D,E2547+1))</f>
        <v>18000</v>
      </c>
      <c r="L2547">
        <f t="shared" si="198"/>
        <v>8000</v>
      </c>
      <c r="M2547">
        <f t="shared" si="199"/>
        <v>8</v>
      </c>
    </row>
    <row r="2548" spans="1:13" x14ac:dyDescent="0.3">
      <c r="A2548" t="str">
        <f>Segmenter!A2548</f>
        <v/>
      </c>
      <c r="B2548" t="str">
        <f>Segmenter!B2548</f>
        <v/>
      </c>
      <c r="C2548" t="str">
        <f t="shared" si="195"/>
        <v/>
      </c>
      <c r="D2548" t="str">
        <f t="shared" si="196"/>
        <v/>
      </c>
      <c r="E2548" t="str">
        <f t="shared" si="197"/>
        <v/>
      </c>
      <c r="F2548" t="str">
        <f>IF(D2548="","",INDEX(Knutepunkter!$B:$B,D2548+1))</f>
        <v/>
      </c>
      <c r="G2548" t="str">
        <f>IF(D2548="","",INDEX(Knutepunkter!$C:$C,D2548+1))</f>
        <v/>
      </c>
      <c r="H2548" t="str">
        <f>IF(D2548="","",INDEX(Knutepunkter!$D:$D,D2548+1))</f>
        <v/>
      </c>
      <c r="I2548" t="str">
        <f>IF(E2548="","",INDEX(Knutepunkter!$B:$B,E2548+1))</f>
        <v/>
      </c>
      <c r="J2548" t="str">
        <f>IF(E2548="","",INDEX(Knutepunkter!$C:$C,E2548+1))</f>
        <v/>
      </c>
      <c r="K2548" t="str">
        <f>IF(E2548="","",INDEX(Knutepunkter!$D:$D,E2548+1))</f>
        <v/>
      </c>
      <c r="L2548" t="str">
        <f t="shared" si="198"/>
        <v/>
      </c>
      <c r="M2548" t="str">
        <f t="shared" si="199"/>
        <v/>
      </c>
    </row>
    <row r="2549" spans="1:13" x14ac:dyDescent="0.3">
      <c r="A2549" t="str">
        <f>Segmenter!A2549</f>
        <v/>
      </c>
      <c r="B2549" t="str">
        <f>Segmenter!B2549</f>
        <v/>
      </c>
      <c r="C2549" t="str">
        <f t="shared" si="195"/>
        <v/>
      </c>
      <c r="D2549" t="str">
        <f t="shared" si="196"/>
        <v/>
      </c>
      <c r="E2549" t="str">
        <f t="shared" si="197"/>
        <v/>
      </c>
      <c r="F2549" t="str">
        <f>IF(D2549="","",INDEX(Knutepunkter!$B:$B,D2549+1))</f>
        <v/>
      </c>
      <c r="G2549" t="str">
        <f>IF(D2549="","",INDEX(Knutepunkter!$C:$C,D2549+1))</f>
        <v/>
      </c>
      <c r="H2549" t="str">
        <f>IF(D2549="","",INDEX(Knutepunkter!$D:$D,D2549+1))</f>
        <v/>
      </c>
      <c r="I2549" t="str">
        <f>IF(E2549="","",INDEX(Knutepunkter!$B:$B,E2549+1))</f>
        <v/>
      </c>
      <c r="J2549" t="str">
        <f>IF(E2549="","",INDEX(Knutepunkter!$C:$C,E2549+1))</f>
        <v/>
      </c>
      <c r="K2549" t="str">
        <f>IF(E2549="","",INDEX(Knutepunkter!$D:$D,E2549+1))</f>
        <v/>
      </c>
      <c r="L2549" t="str">
        <f t="shared" si="198"/>
        <v/>
      </c>
      <c r="M2549" t="str">
        <f t="shared" si="199"/>
        <v/>
      </c>
    </row>
    <row r="2550" spans="1:13" x14ac:dyDescent="0.3">
      <c r="A2550" t="str">
        <f>Segmenter!A2550</f>
        <v/>
      </c>
      <c r="B2550" t="str">
        <f>Segmenter!B2550</f>
        <v/>
      </c>
      <c r="C2550" t="str">
        <f t="shared" si="195"/>
        <v/>
      </c>
      <c r="D2550" t="str">
        <f t="shared" si="196"/>
        <v/>
      </c>
      <c r="E2550" t="str">
        <f t="shared" si="197"/>
        <v/>
      </c>
      <c r="F2550" t="str">
        <f>IF(D2550="","",INDEX(Knutepunkter!$B:$B,D2550+1))</f>
        <v/>
      </c>
      <c r="G2550" t="str">
        <f>IF(D2550="","",INDEX(Knutepunkter!$C:$C,D2550+1))</f>
        <v/>
      </c>
      <c r="H2550" t="str">
        <f>IF(D2550="","",INDEX(Knutepunkter!$D:$D,D2550+1))</f>
        <v/>
      </c>
      <c r="I2550" t="str">
        <f>IF(E2550="","",INDEX(Knutepunkter!$B:$B,E2550+1))</f>
        <v/>
      </c>
      <c r="J2550" t="str">
        <f>IF(E2550="","",INDEX(Knutepunkter!$C:$C,E2550+1))</f>
        <v/>
      </c>
      <c r="K2550" t="str">
        <f>IF(E2550="","",INDEX(Knutepunkter!$D:$D,E2550+1))</f>
        <v/>
      </c>
      <c r="L2550" t="str">
        <f t="shared" si="198"/>
        <v/>
      </c>
      <c r="M2550" t="str">
        <f t="shared" si="199"/>
        <v/>
      </c>
    </row>
    <row r="2551" spans="1:13" x14ac:dyDescent="0.3">
      <c r="A2551" t="str">
        <f>Segmenter!A2551</f>
        <v/>
      </c>
      <c r="B2551" t="str">
        <f>Segmenter!B2551</f>
        <v/>
      </c>
      <c r="C2551" t="str">
        <f t="shared" si="195"/>
        <v/>
      </c>
      <c r="D2551" t="str">
        <f t="shared" si="196"/>
        <v/>
      </c>
      <c r="E2551" t="str">
        <f t="shared" si="197"/>
        <v/>
      </c>
      <c r="F2551" t="str">
        <f>IF(D2551="","",INDEX(Knutepunkter!$B:$B,D2551+1))</f>
        <v/>
      </c>
      <c r="G2551" t="str">
        <f>IF(D2551="","",INDEX(Knutepunkter!$C:$C,D2551+1))</f>
        <v/>
      </c>
      <c r="H2551" t="str">
        <f>IF(D2551="","",INDEX(Knutepunkter!$D:$D,D2551+1))</f>
        <v/>
      </c>
      <c r="I2551" t="str">
        <f>IF(E2551="","",INDEX(Knutepunkter!$B:$B,E2551+1))</f>
        <v/>
      </c>
      <c r="J2551" t="str">
        <f>IF(E2551="","",INDEX(Knutepunkter!$C:$C,E2551+1))</f>
        <v/>
      </c>
      <c r="K2551" t="str">
        <f>IF(E2551="","",INDEX(Knutepunkter!$D:$D,E2551+1))</f>
        <v/>
      </c>
      <c r="L2551" t="str">
        <f t="shared" si="198"/>
        <v/>
      </c>
      <c r="M2551" t="str">
        <f t="shared" si="199"/>
        <v/>
      </c>
    </row>
    <row r="2552" spans="1:13" x14ac:dyDescent="0.3">
      <c r="A2552" t="str">
        <f>Segmenter!A2552</f>
        <v/>
      </c>
      <c r="B2552" t="str">
        <f>Segmenter!B2552</f>
        <v/>
      </c>
      <c r="C2552" t="str">
        <f t="shared" si="195"/>
        <v/>
      </c>
      <c r="D2552" t="str">
        <f t="shared" si="196"/>
        <v/>
      </c>
      <c r="E2552" t="str">
        <f t="shared" si="197"/>
        <v/>
      </c>
      <c r="F2552" t="str">
        <f>IF(D2552="","",INDEX(Knutepunkter!$B:$B,D2552+1))</f>
        <v/>
      </c>
      <c r="G2552" t="str">
        <f>IF(D2552="","",INDEX(Knutepunkter!$C:$C,D2552+1))</f>
        <v/>
      </c>
      <c r="H2552" t="str">
        <f>IF(D2552="","",INDEX(Knutepunkter!$D:$D,D2552+1))</f>
        <v/>
      </c>
      <c r="I2552" t="str">
        <f>IF(E2552="","",INDEX(Knutepunkter!$B:$B,E2552+1))</f>
        <v/>
      </c>
      <c r="J2552" t="str">
        <f>IF(E2552="","",INDEX(Knutepunkter!$C:$C,E2552+1))</f>
        <v/>
      </c>
      <c r="K2552" t="str">
        <f>IF(E2552="","",INDEX(Knutepunkter!$D:$D,E2552+1))</f>
        <v/>
      </c>
      <c r="L2552" t="str">
        <f t="shared" si="198"/>
        <v/>
      </c>
      <c r="M2552" t="str">
        <f t="shared" si="199"/>
        <v/>
      </c>
    </row>
    <row r="2553" spans="1:13" x14ac:dyDescent="0.3">
      <c r="A2553" t="str">
        <f>Segmenter!A2553</f>
        <v/>
      </c>
      <c r="B2553" t="str">
        <f>Segmenter!B2553</f>
        <v/>
      </c>
      <c r="C2553" t="str">
        <f t="shared" si="195"/>
        <v/>
      </c>
      <c r="D2553" t="str">
        <f t="shared" si="196"/>
        <v/>
      </c>
      <c r="E2553" t="str">
        <f t="shared" si="197"/>
        <v/>
      </c>
      <c r="F2553" t="str">
        <f>IF(D2553="","",INDEX(Knutepunkter!$B:$B,D2553+1))</f>
        <v/>
      </c>
      <c r="G2553" t="str">
        <f>IF(D2553="","",INDEX(Knutepunkter!$C:$C,D2553+1))</f>
        <v/>
      </c>
      <c r="H2553" t="str">
        <f>IF(D2553="","",INDEX(Knutepunkter!$D:$D,D2553+1))</f>
        <v/>
      </c>
      <c r="I2553" t="str">
        <f>IF(E2553="","",INDEX(Knutepunkter!$B:$B,E2553+1))</f>
        <v/>
      </c>
      <c r="J2553" t="str">
        <f>IF(E2553="","",INDEX(Knutepunkter!$C:$C,E2553+1))</f>
        <v/>
      </c>
      <c r="K2553" t="str">
        <f>IF(E2553="","",INDEX(Knutepunkter!$D:$D,E2553+1))</f>
        <v/>
      </c>
      <c r="L2553" t="str">
        <f t="shared" si="198"/>
        <v/>
      </c>
      <c r="M2553" t="str">
        <f t="shared" si="199"/>
        <v/>
      </c>
    </row>
    <row r="2554" spans="1:13" x14ac:dyDescent="0.3">
      <c r="A2554" t="str">
        <f>Segmenter!A2554</f>
        <v/>
      </c>
      <c r="B2554" t="str">
        <f>Segmenter!B2554</f>
        <v/>
      </c>
      <c r="C2554" t="str">
        <f t="shared" si="195"/>
        <v/>
      </c>
      <c r="D2554" t="str">
        <f t="shared" si="196"/>
        <v/>
      </c>
      <c r="E2554" t="str">
        <f t="shared" si="197"/>
        <v/>
      </c>
      <c r="F2554" t="str">
        <f>IF(D2554="","",INDEX(Knutepunkter!$B:$B,D2554+1))</f>
        <v/>
      </c>
      <c r="G2554" t="str">
        <f>IF(D2554="","",INDEX(Knutepunkter!$C:$C,D2554+1))</f>
        <v/>
      </c>
      <c r="H2554" t="str">
        <f>IF(D2554="","",INDEX(Knutepunkter!$D:$D,D2554+1))</f>
        <v/>
      </c>
      <c r="I2554" t="str">
        <f>IF(E2554="","",INDEX(Knutepunkter!$B:$B,E2554+1))</f>
        <v/>
      </c>
      <c r="J2554" t="str">
        <f>IF(E2554="","",INDEX(Knutepunkter!$C:$C,E2554+1))</f>
        <v/>
      </c>
      <c r="K2554" t="str">
        <f>IF(E2554="","",INDEX(Knutepunkter!$D:$D,E2554+1))</f>
        <v/>
      </c>
      <c r="L2554" t="str">
        <f t="shared" si="198"/>
        <v/>
      </c>
      <c r="M2554" t="str">
        <f t="shared" si="199"/>
        <v/>
      </c>
    </row>
    <row r="2555" spans="1:13" x14ac:dyDescent="0.3">
      <c r="A2555" t="str">
        <f>Segmenter!A2555</f>
        <v/>
      </c>
      <c r="B2555" t="str">
        <f>Segmenter!B2555</f>
        <v/>
      </c>
      <c r="C2555" t="str">
        <f t="shared" si="195"/>
        <v/>
      </c>
      <c r="D2555" t="str">
        <f t="shared" si="196"/>
        <v/>
      </c>
      <c r="E2555" t="str">
        <f t="shared" si="197"/>
        <v/>
      </c>
      <c r="F2555" t="str">
        <f>IF(D2555="","",INDEX(Knutepunkter!$B:$B,D2555+1))</f>
        <v/>
      </c>
      <c r="G2555" t="str">
        <f>IF(D2555="","",INDEX(Knutepunkter!$C:$C,D2555+1))</f>
        <v/>
      </c>
      <c r="H2555" t="str">
        <f>IF(D2555="","",INDEX(Knutepunkter!$D:$D,D2555+1))</f>
        <v/>
      </c>
      <c r="I2555" t="str">
        <f>IF(E2555="","",INDEX(Knutepunkter!$B:$B,E2555+1))</f>
        <v/>
      </c>
      <c r="J2555" t="str">
        <f>IF(E2555="","",INDEX(Knutepunkter!$C:$C,E2555+1))</f>
        <v/>
      </c>
      <c r="K2555" t="str">
        <f>IF(E2555="","",INDEX(Knutepunkter!$D:$D,E2555+1))</f>
        <v/>
      </c>
      <c r="L2555" t="str">
        <f t="shared" si="198"/>
        <v/>
      </c>
      <c r="M2555" t="str">
        <f t="shared" si="199"/>
        <v/>
      </c>
    </row>
    <row r="2556" spans="1:13" x14ac:dyDescent="0.3">
      <c r="A2556" t="str">
        <f>Segmenter!A2556</f>
        <v/>
      </c>
      <c r="B2556" t="str">
        <f>Segmenter!B2556</f>
        <v/>
      </c>
      <c r="C2556" t="str">
        <f t="shared" si="195"/>
        <v/>
      </c>
      <c r="D2556" t="str">
        <f t="shared" si="196"/>
        <v/>
      </c>
      <c r="E2556" t="str">
        <f t="shared" si="197"/>
        <v/>
      </c>
      <c r="F2556" t="str">
        <f>IF(D2556="","",INDEX(Knutepunkter!$B:$B,D2556+1))</f>
        <v/>
      </c>
      <c r="G2556" t="str">
        <f>IF(D2556="","",INDEX(Knutepunkter!$C:$C,D2556+1))</f>
        <v/>
      </c>
      <c r="H2556" t="str">
        <f>IF(D2556="","",INDEX(Knutepunkter!$D:$D,D2556+1))</f>
        <v/>
      </c>
      <c r="I2556" t="str">
        <f>IF(E2556="","",INDEX(Knutepunkter!$B:$B,E2556+1))</f>
        <v/>
      </c>
      <c r="J2556" t="str">
        <f>IF(E2556="","",INDEX(Knutepunkter!$C:$C,E2556+1))</f>
        <v/>
      </c>
      <c r="K2556" t="str">
        <f>IF(E2556="","",INDEX(Knutepunkter!$D:$D,E2556+1))</f>
        <v/>
      </c>
      <c r="L2556" t="str">
        <f t="shared" si="198"/>
        <v/>
      </c>
      <c r="M2556" t="str">
        <f t="shared" si="199"/>
        <v/>
      </c>
    </row>
    <row r="2557" spans="1:13" x14ac:dyDescent="0.3">
      <c r="A2557" t="str">
        <f>Segmenter!A2557</f>
        <v/>
      </c>
      <c r="B2557" t="str">
        <f>Segmenter!B2557</f>
        <v/>
      </c>
      <c r="C2557" t="str">
        <f t="shared" si="195"/>
        <v/>
      </c>
      <c r="D2557" t="str">
        <f t="shared" si="196"/>
        <v/>
      </c>
      <c r="E2557" t="str">
        <f t="shared" si="197"/>
        <v/>
      </c>
      <c r="F2557" t="str">
        <f>IF(D2557="","",INDEX(Knutepunkter!$B:$B,D2557+1))</f>
        <v/>
      </c>
      <c r="G2557" t="str">
        <f>IF(D2557="","",INDEX(Knutepunkter!$C:$C,D2557+1))</f>
        <v/>
      </c>
      <c r="H2557" t="str">
        <f>IF(D2557="","",INDEX(Knutepunkter!$D:$D,D2557+1))</f>
        <v/>
      </c>
      <c r="I2557" t="str">
        <f>IF(E2557="","",INDEX(Knutepunkter!$B:$B,E2557+1))</f>
        <v/>
      </c>
      <c r="J2557" t="str">
        <f>IF(E2557="","",INDEX(Knutepunkter!$C:$C,E2557+1))</f>
        <v/>
      </c>
      <c r="K2557" t="str">
        <f>IF(E2557="","",INDEX(Knutepunkter!$D:$D,E2557+1))</f>
        <v/>
      </c>
      <c r="L2557" t="str">
        <f t="shared" si="198"/>
        <v/>
      </c>
      <c r="M2557" t="str">
        <f t="shared" si="199"/>
        <v/>
      </c>
    </row>
    <row r="2558" spans="1:13" x14ac:dyDescent="0.3">
      <c r="A2558" t="str">
        <f>Segmenter!A2558</f>
        <v/>
      </c>
      <c r="B2558" t="str">
        <f>Segmenter!B2558</f>
        <v/>
      </c>
      <c r="C2558" t="str">
        <f t="shared" si="195"/>
        <v/>
      </c>
      <c r="D2558" t="str">
        <f t="shared" si="196"/>
        <v/>
      </c>
      <c r="E2558" t="str">
        <f t="shared" si="197"/>
        <v/>
      </c>
      <c r="F2558" t="str">
        <f>IF(D2558="","",INDEX(Knutepunkter!$B:$B,D2558+1))</f>
        <v/>
      </c>
      <c r="G2558" t="str">
        <f>IF(D2558="","",INDEX(Knutepunkter!$C:$C,D2558+1))</f>
        <v/>
      </c>
      <c r="H2558" t="str">
        <f>IF(D2558="","",INDEX(Knutepunkter!$D:$D,D2558+1))</f>
        <v/>
      </c>
      <c r="I2558" t="str">
        <f>IF(E2558="","",INDEX(Knutepunkter!$B:$B,E2558+1))</f>
        <v/>
      </c>
      <c r="J2558" t="str">
        <f>IF(E2558="","",INDEX(Knutepunkter!$C:$C,E2558+1))</f>
        <v/>
      </c>
      <c r="K2558" t="str">
        <f>IF(E2558="","",INDEX(Knutepunkter!$D:$D,E2558+1))</f>
        <v/>
      </c>
      <c r="L2558" t="str">
        <f t="shared" si="198"/>
        <v/>
      </c>
      <c r="M2558" t="str">
        <f t="shared" si="199"/>
        <v/>
      </c>
    </row>
    <row r="2559" spans="1:13" x14ac:dyDescent="0.3">
      <c r="A2559" t="str">
        <f>Segmenter!A2559</f>
        <v/>
      </c>
      <c r="B2559" t="str">
        <f>Segmenter!B2559</f>
        <v/>
      </c>
      <c r="C2559" t="str">
        <f t="shared" si="195"/>
        <v/>
      </c>
      <c r="D2559" t="str">
        <f t="shared" si="196"/>
        <v/>
      </c>
      <c r="E2559" t="str">
        <f t="shared" si="197"/>
        <v/>
      </c>
      <c r="F2559" t="str">
        <f>IF(D2559="","",INDEX(Knutepunkter!$B:$B,D2559+1))</f>
        <v/>
      </c>
      <c r="G2559" t="str">
        <f>IF(D2559="","",INDEX(Knutepunkter!$C:$C,D2559+1))</f>
        <v/>
      </c>
      <c r="H2559" t="str">
        <f>IF(D2559="","",INDEX(Knutepunkter!$D:$D,D2559+1))</f>
        <v/>
      </c>
      <c r="I2559" t="str">
        <f>IF(E2559="","",INDEX(Knutepunkter!$B:$B,E2559+1))</f>
        <v/>
      </c>
      <c r="J2559" t="str">
        <f>IF(E2559="","",INDEX(Knutepunkter!$C:$C,E2559+1))</f>
        <v/>
      </c>
      <c r="K2559" t="str">
        <f>IF(E2559="","",INDEX(Knutepunkter!$D:$D,E2559+1))</f>
        <v/>
      </c>
      <c r="L2559" t="str">
        <f t="shared" si="198"/>
        <v/>
      </c>
      <c r="M2559" t="str">
        <f t="shared" si="199"/>
        <v/>
      </c>
    </row>
    <row r="2560" spans="1:13" x14ac:dyDescent="0.3">
      <c r="A2560" t="str">
        <f>Segmenter!A2560</f>
        <v/>
      </c>
      <c r="B2560" t="str">
        <f>Segmenter!B2560</f>
        <v/>
      </c>
      <c r="C2560" t="str">
        <f t="shared" si="195"/>
        <v/>
      </c>
      <c r="D2560" t="str">
        <f t="shared" si="196"/>
        <v/>
      </c>
      <c r="E2560" t="str">
        <f t="shared" si="197"/>
        <v/>
      </c>
      <c r="F2560" t="str">
        <f>IF(D2560="","",INDEX(Knutepunkter!$B:$B,D2560+1))</f>
        <v/>
      </c>
      <c r="G2560" t="str">
        <f>IF(D2560="","",INDEX(Knutepunkter!$C:$C,D2560+1))</f>
        <v/>
      </c>
      <c r="H2560" t="str">
        <f>IF(D2560="","",INDEX(Knutepunkter!$D:$D,D2560+1))</f>
        <v/>
      </c>
      <c r="I2560" t="str">
        <f>IF(E2560="","",INDEX(Knutepunkter!$B:$B,E2560+1))</f>
        <v/>
      </c>
      <c r="J2560" t="str">
        <f>IF(E2560="","",INDEX(Knutepunkter!$C:$C,E2560+1))</f>
        <v/>
      </c>
      <c r="K2560" t="str">
        <f>IF(E2560="","",INDEX(Knutepunkter!$D:$D,E2560+1))</f>
        <v/>
      </c>
      <c r="L2560" t="str">
        <f t="shared" si="198"/>
        <v/>
      </c>
      <c r="M2560" t="str">
        <f t="shared" si="199"/>
        <v/>
      </c>
    </row>
    <row r="2561" spans="1:13" x14ac:dyDescent="0.3">
      <c r="A2561" t="str">
        <f>Segmenter!A2561</f>
        <v/>
      </c>
      <c r="B2561" t="str">
        <f>Segmenter!B2561</f>
        <v/>
      </c>
      <c r="C2561" t="str">
        <f t="shared" si="195"/>
        <v/>
      </c>
      <c r="D2561" t="str">
        <f t="shared" si="196"/>
        <v/>
      </c>
      <c r="E2561" t="str">
        <f t="shared" si="197"/>
        <v/>
      </c>
      <c r="F2561" t="str">
        <f>IF(D2561="","",INDEX(Knutepunkter!$B:$B,D2561+1))</f>
        <v/>
      </c>
      <c r="G2561" t="str">
        <f>IF(D2561="","",INDEX(Knutepunkter!$C:$C,D2561+1))</f>
        <v/>
      </c>
      <c r="H2561" t="str">
        <f>IF(D2561="","",INDEX(Knutepunkter!$D:$D,D2561+1))</f>
        <v/>
      </c>
      <c r="I2561" t="str">
        <f>IF(E2561="","",INDEX(Knutepunkter!$B:$B,E2561+1))</f>
        <v/>
      </c>
      <c r="J2561" t="str">
        <f>IF(E2561="","",INDEX(Knutepunkter!$C:$C,E2561+1))</f>
        <v/>
      </c>
      <c r="K2561" t="str">
        <f>IF(E2561="","",INDEX(Knutepunkter!$D:$D,E2561+1))</f>
        <v/>
      </c>
      <c r="L2561" t="str">
        <f t="shared" si="198"/>
        <v/>
      </c>
      <c r="M2561" t="str">
        <f t="shared" si="199"/>
        <v/>
      </c>
    </row>
    <row r="2562" spans="1:13" x14ac:dyDescent="0.3">
      <c r="A2562" t="str">
        <f>Segmenter!A2562</f>
        <v/>
      </c>
      <c r="B2562" t="str">
        <f>Segmenter!B2562</f>
        <v/>
      </c>
      <c r="C2562" t="str">
        <f t="shared" ref="C2562:C2625" si="200">IF(B2562="","",IF(AND(F2562=I2562,G2562=J2562,H2562&lt;&gt;K2562),"Søyle","Bjelke"))</f>
        <v/>
      </c>
      <c r="D2562" t="str">
        <f t="shared" ref="D2562:D2625" si="201">IF(B2562="","",VALUE(LEFT(B2562,FIND(" -&gt; ",B2562)-1)))</f>
        <v/>
      </c>
      <c r="E2562" t="str">
        <f t="shared" ref="E2562:E2625" si="202">IF(B2562="","",VALUE(MID(B2562,FIND(" -&gt; ",B2562)+4,99)))</f>
        <v/>
      </c>
      <c r="F2562" t="str">
        <f>IF(D2562="","",INDEX(Knutepunkter!$B:$B,D2562+1))</f>
        <v/>
      </c>
      <c r="G2562" t="str">
        <f>IF(D2562="","",INDEX(Knutepunkter!$C:$C,D2562+1))</f>
        <v/>
      </c>
      <c r="H2562" t="str">
        <f>IF(D2562="","",INDEX(Knutepunkter!$D:$D,D2562+1))</f>
        <v/>
      </c>
      <c r="I2562" t="str">
        <f>IF(E2562="","",INDEX(Knutepunkter!$B:$B,E2562+1))</f>
        <v/>
      </c>
      <c r="J2562" t="str">
        <f>IF(E2562="","",INDEX(Knutepunkter!$C:$C,E2562+1))</f>
        <v/>
      </c>
      <c r="K2562" t="str">
        <f>IF(E2562="","",INDEX(Knutepunkter!$D:$D,E2562+1))</f>
        <v/>
      </c>
      <c r="L2562" t="str">
        <f t="shared" ref="L2562:L2625" si="203">IF(B2562="","",SQRT((I2562-F2562)^2+(J2562-G2562)^2+(K2562-H2562)^2))</f>
        <v/>
      </c>
      <c r="M2562" t="str">
        <f t="shared" ref="M2562:M2625" si="204">IF(L2562="","",L2562/1000)</f>
        <v/>
      </c>
    </row>
    <row r="2563" spans="1:13" x14ac:dyDescent="0.3">
      <c r="A2563" t="str">
        <f>Segmenter!A2563</f>
        <v/>
      </c>
      <c r="B2563" t="str">
        <f>Segmenter!B2563</f>
        <v/>
      </c>
      <c r="C2563" t="str">
        <f t="shared" si="200"/>
        <v/>
      </c>
      <c r="D2563" t="str">
        <f t="shared" si="201"/>
        <v/>
      </c>
      <c r="E2563" t="str">
        <f t="shared" si="202"/>
        <v/>
      </c>
      <c r="F2563" t="str">
        <f>IF(D2563="","",INDEX(Knutepunkter!$B:$B,D2563+1))</f>
        <v/>
      </c>
      <c r="G2563" t="str">
        <f>IF(D2563="","",INDEX(Knutepunkter!$C:$C,D2563+1))</f>
        <v/>
      </c>
      <c r="H2563" t="str">
        <f>IF(D2563="","",INDEX(Knutepunkter!$D:$D,D2563+1))</f>
        <v/>
      </c>
      <c r="I2563" t="str">
        <f>IF(E2563="","",INDEX(Knutepunkter!$B:$B,E2563+1))</f>
        <v/>
      </c>
      <c r="J2563" t="str">
        <f>IF(E2563="","",INDEX(Knutepunkter!$C:$C,E2563+1))</f>
        <v/>
      </c>
      <c r="K2563" t="str">
        <f>IF(E2563="","",INDEX(Knutepunkter!$D:$D,E2563+1))</f>
        <v/>
      </c>
      <c r="L2563" t="str">
        <f t="shared" si="203"/>
        <v/>
      </c>
      <c r="M2563" t="str">
        <f t="shared" si="204"/>
        <v/>
      </c>
    </row>
    <row r="2564" spans="1:13" x14ac:dyDescent="0.3">
      <c r="A2564" t="str">
        <f>Segmenter!A2564</f>
        <v/>
      </c>
      <c r="B2564" t="str">
        <f>Segmenter!B2564</f>
        <v/>
      </c>
      <c r="C2564" t="str">
        <f t="shared" si="200"/>
        <v/>
      </c>
      <c r="D2564" t="str">
        <f t="shared" si="201"/>
        <v/>
      </c>
      <c r="E2564" t="str">
        <f t="shared" si="202"/>
        <v/>
      </c>
      <c r="F2564" t="str">
        <f>IF(D2564="","",INDEX(Knutepunkter!$B:$B,D2564+1))</f>
        <v/>
      </c>
      <c r="G2564" t="str">
        <f>IF(D2564="","",INDEX(Knutepunkter!$C:$C,D2564+1))</f>
        <v/>
      </c>
      <c r="H2564" t="str">
        <f>IF(D2564="","",INDEX(Knutepunkter!$D:$D,D2564+1))</f>
        <v/>
      </c>
      <c r="I2564" t="str">
        <f>IF(E2564="","",INDEX(Knutepunkter!$B:$B,E2564+1))</f>
        <v/>
      </c>
      <c r="J2564" t="str">
        <f>IF(E2564="","",INDEX(Knutepunkter!$C:$C,E2564+1))</f>
        <v/>
      </c>
      <c r="K2564" t="str">
        <f>IF(E2564="","",INDEX(Knutepunkter!$D:$D,E2564+1))</f>
        <v/>
      </c>
      <c r="L2564" t="str">
        <f t="shared" si="203"/>
        <v/>
      </c>
      <c r="M2564" t="str">
        <f t="shared" si="204"/>
        <v/>
      </c>
    </row>
    <row r="2565" spans="1:13" x14ac:dyDescent="0.3">
      <c r="A2565" t="str">
        <f>Segmenter!A2565</f>
        <v/>
      </c>
      <c r="B2565" t="str">
        <f>Segmenter!B2565</f>
        <v/>
      </c>
      <c r="C2565" t="str">
        <f t="shared" si="200"/>
        <v/>
      </c>
      <c r="D2565" t="str">
        <f t="shared" si="201"/>
        <v/>
      </c>
      <c r="E2565" t="str">
        <f t="shared" si="202"/>
        <v/>
      </c>
      <c r="F2565" t="str">
        <f>IF(D2565="","",INDEX(Knutepunkter!$B:$B,D2565+1))</f>
        <v/>
      </c>
      <c r="G2565" t="str">
        <f>IF(D2565="","",INDEX(Knutepunkter!$C:$C,D2565+1))</f>
        <v/>
      </c>
      <c r="H2565" t="str">
        <f>IF(D2565="","",INDEX(Knutepunkter!$D:$D,D2565+1))</f>
        <v/>
      </c>
      <c r="I2565" t="str">
        <f>IF(E2565="","",INDEX(Knutepunkter!$B:$B,E2565+1))</f>
        <v/>
      </c>
      <c r="J2565" t="str">
        <f>IF(E2565="","",INDEX(Knutepunkter!$C:$C,E2565+1))</f>
        <v/>
      </c>
      <c r="K2565" t="str">
        <f>IF(E2565="","",INDEX(Knutepunkter!$D:$D,E2565+1))</f>
        <v/>
      </c>
      <c r="L2565" t="str">
        <f t="shared" si="203"/>
        <v/>
      </c>
      <c r="M2565" t="str">
        <f t="shared" si="204"/>
        <v/>
      </c>
    </row>
    <row r="2566" spans="1:13" x14ac:dyDescent="0.3">
      <c r="A2566" t="str">
        <f>Segmenter!A2566</f>
        <v/>
      </c>
      <c r="B2566" t="str">
        <f>Segmenter!B2566</f>
        <v/>
      </c>
      <c r="C2566" t="str">
        <f t="shared" si="200"/>
        <v/>
      </c>
      <c r="D2566" t="str">
        <f t="shared" si="201"/>
        <v/>
      </c>
      <c r="E2566" t="str">
        <f t="shared" si="202"/>
        <v/>
      </c>
      <c r="F2566" t="str">
        <f>IF(D2566="","",INDEX(Knutepunkter!$B:$B,D2566+1))</f>
        <v/>
      </c>
      <c r="G2566" t="str">
        <f>IF(D2566="","",INDEX(Knutepunkter!$C:$C,D2566+1))</f>
        <v/>
      </c>
      <c r="H2566" t="str">
        <f>IF(D2566="","",INDEX(Knutepunkter!$D:$D,D2566+1))</f>
        <v/>
      </c>
      <c r="I2566" t="str">
        <f>IF(E2566="","",INDEX(Knutepunkter!$B:$B,E2566+1))</f>
        <v/>
      </c>
      <c r="J2566" t="str">
        <f>IF(E2566="","",INDEX(Knutepunkter!$C:$C,E2566+1))</f>
        <v/>
      </c>
      <c r="K2566" t="str">
        <f>IF(E2566="","",INDEX(Knutepunkter!$D:$D,E2566+1))</f>
        <v/>
      </c>
      <c r="L2566" t="str">
        <f t="shared" si="203"/>
        <v/>
      </c>
      <c r="M2566" t="str">
        <f t="shared" si="204"/>
        <v/>
      </c>
    </row>
    <row r="2567" spans="1:13" x14ac:dyDescent="0.3">
      <c r="A2567" t="str">
        <f>Segmenter!A2567</f>
        <v/>
      </c>
      <c r="B2567" t="str">
        <f>Segmenter!B2567</f>
        <v/>
      </c>
      <c r="C2567" t="str">
        <f t="shared" si="200"/>
        <v/>
      </c>
      <c r="D2567" t="str">
        <f t="shared" si="201"/>
        <v/>
      </c>
      <c r="E2567" t="str">
        <f t="shared" si="202"/>
        <v/>
      </c>
      <c r="F2567" t="str">
        <f>IF(D2567="","",INDEX(Knutepunkter!$B:$B,D2567+1))</f>
        <v/>
      </c>
      <c r="G2567" t="str">
        <f>IF(D2567="","",INDEX(Knutepunkter!$C:$C,D2567+1))</f>
        <v/>
      </c>
      <c r="H2567" t="str">
        <f>IF(D2567="","",INDEX(Knutepunkter!$D:$D,D2567+1))</f>
        <v/>
      </c>
      <c r="I2567" t="str">
        <f>IF(E2567="","",INDEX(Knutepunkter!$B:$B,E2567+1))</f>
        <v/>
      </c>
      <c r="J2567" t="str">
        <f>IF(E2567="","",INDEX(Knutepunkter!$C:$C,E2567+1))</f>
        <v/>
      </c>
      <c r="K2567" t="str">
        <f>IF(E2567="","",INDEX(Knutepunkter!$D:$D,E2567+1))</f>
        <v/>
      </c>
      <c r="L2567" t="str">
        <f t="shared" si="203"/>
        <v/>
      </c>
      <c r="M2567" t="str">
        <f t="shared" si="204"/>
        <v/>
      </c>
    </row>
    <row r="2568" spans="1:13" x14ac:dyDescent="0.3">
      <c r="A2568" t="str">
        <f>Segmenter!A2568</f>
        <v/>
      </c>
      <c r="B2568" t="str">
        <f>Segmenter!B2568</f>
        <v/>
      </c>
      <c r="C2568" t="str">
        <f t="shared" si="200"/>
        <v/>
      </c>
      <c r="D2568" t="str">
        <f t="shared" si="201"/>
        <v/>
      </c>
      <c r="E2568" t="str">
        <f t="shared" si="202"/>
        <v/>
      </c>
      <c r="F2568" t="str">
        <f>IF(D2568="","",INDEX(Knutepunkter!$B:$B,D2568+1))</f>
        <v/>
      </c>
      <c r="G2568" t="str">
        <f>IF(D2568="","",INDEX(Knutepunkter!$C:$C,D2568+1))</f>
        <v/>
      </c>
      <c r="H2568" t="str">
        <f>IF(D2568="","",INDEX(Knutepunkter!$D:$D,D2568+1))</f>
        <v/>
      </c>
      <c r="I2568" t="str">
        <f>IF(E2568="","",INDEX(Knutepunkter!$B:$B,E2568+1))</f>
        <v/>
      </c>
      <c r="J2568" t="str">
        <f>IF(E2568="","",INDEX(Knutepunkter!$C:$C,E2568+1))</f>
        <v/>
      </c>
      <c r="K2568" t="str">
        <f>IF(E2568="","",INDEX(Knutepunkter!$D:$D,E2568+1))</f>
        <v/>
      </c>
      <c r="L2568" t="str">
        <f t="shared" si="203"/>
        <v/>
      </c>
      <c r="M2568" t="str">
        <f t="shared" si="204"/>
        <v/>
      </c>
    </row>
    <row r="2569" spans="1:13" x14ac:dyDescent="0.3">
      <c r="A2569" t="str">
        <f>Segmenter!A2569</f>
        <v/>
      </c>
      <c r="B2569" t="str">
        <f>Segmenter!B2569</f>
        <v/>
      </c>
      <c r="C2569" t="str">
        <f t="shared" si="200"/>
        <v/>
      </c>
      <c r="D2569" t="str">
        <f t="shared" si="201"/>
        <v/>
      </c>
      <c r="E2569" t="str">
        <f t="shared" si="202"/>
        <v/>
      </c>
      <c r="F2569" t="str">
        <f>IF(D2569="","",INDEX(Knutepunkter!$B:$B,D2569+1))</f>
        <v/>
      </c>
      <c r="G2569" t="str">
        <f>IF(D2569="","",INDEX(Knutepunkter!$C:$C,D2569+1))</f>
        <v/>
      </c>
      <c r="H2569" t="str">
        <f>IF(D2569="","",INDEX(Knutepunkter!$D:$D,D2569+1))</f>
        <v/>
      </c>
      <c r="I2569" t="str">
        <f>IF(E2569="","",INDEX(Knutepunkter!$B:$B,E2569+1))</f>
        <v/>
      </c>
      <c r="J2569" t="str">
        <f>IF(E2569="","",INDEX(Knutepunkter!$C:$C,E2569+1))</f>
        <v/>
      </c>
      <c r="K2569" t="str">
        <f>IF(E2569="","",INDEX(Knutepunkter!$D:$D,E2569+1))</f>
        <v/>
      </c>
      <c r="L2569" t="str">
        <f t="shared" si="203"/>
        <v/>
      </c>
      <c r="M2569" t="str">
        <f t="shared" si="204"/>
        <v/>
      </c>
    </row>
    <row r="2570" spans="1:13" x14ac:dyDescent="0.3">
      <c r="A2570" t="str">
        <f>Segmenter!A2570</f>
        <v/>
      </c>
      <c r="B2570" t="str">
        <f>Segmenter!B2570</f>
        <v/>
      </c>
      <c r="C2570" t="str">
        <f t="shared" si="200"/>
        <v/>
      </c>
      <c r="D2570" t="str">
        <f t="shared" si="201"/>
        <v/>
      </c>
      <c r="E2570" t="str">
        <f t="shared" si="202"/>
        <v/>
      </c>
      <c r="F2570" t="str">
        <f>IF(D2570="","",INDEX(Knutepunkter!$B:$B,D2570+1))</f>
        <v/>
      </c>
      <c r="G2570" t="str">
        <f>IF(D2570="","",INDEX(Knutepunkter!$C:$C,D2570+1))</f>
        <v/>
      </c>
      <c r="H2570" t="str">
        <f>IF(D2570="","",INDEX(Knutepunkter!$D:$D,D2570+1))</f>
        <v/>
      </c>
      <c r="I2570" t="str">
        <f>IF(E2570="","",INDEX(Knutepunkter!$B:$B,E2570+1))</f>
        <v/>
      </c>
      <c r="J2570" t="str">
        <f>IF(E2570="","",INDEX(Knutepunkter!$C:$C,E2570+1))</f>
        <v/>
      </c>
      <c r="K2570" t="str">
        <f>IF(E2570="","",INDEX(Knutepunkter!$D:$D,E2570+1))</f>
        <v/>
      </c>
      <c r="L2570" t="str">
        <f t="shared" si="203"/>
        <v/>
      </c>
      <c r="M2570" t="str">
        <f t="shared" si="204"/>
        <v/>
      </c>
    </row>
    <row r="2571" spans="1:13" x14ac:dyDescent="0.3">
      <c r="A2571" t="str">
        <f>Segmenter!A2571</f>
        <v/>
      </c>
      <c r="B2571" t="str">
        <f>Segmenter!B2571</f>
        <v/>
      </c>
      <c r="C2571" t="str">
        <f t="shared" si="200"/>
        <v/>
      </c>
      <c r="D2571" t="str">
        <f t="shared" si="201"/>
        <v/>
      </c>
      <c r="E2571" t="str">
        <f t="shared" si="202"/>
        <v/>
      </c>
      <c r="F2571" t="str">
        <f>IF(D2571="","",INDEX(Knutepunkter!$B:$B,D2571+1))</f>
        <v/>
      </c>
      <c r="G2571" t="str">
        <f>IF(D2571="","",INDEX(Knutepunkter!$C:$C,D2571+1))</f>
        <v/>
      </c>
      <c r="H2571" t="str">
        <f>IF(D2571="","",INDEX(Knutepunkter!$D:$D,D2571+1))</f>
        <v/>
      </c>
      <c r="I2571" t="str">
        <f>IF(E2571="","",INDEX(Knutepunkter!$B:$B,E2571+1))</f>
        <v/>
      </c>
      <c r="J2571" t="str">
        <f>IF(E2571="","",INDEX(Knutepunkter!$C:$C,E2571+1))</f>
        <v/>
      </c>
      <c r="K2571" t="str">
        <f>IF(E2571="","",INDEX(Knutepunkter!$D:$D,E2571+1))</f>
        <v/>
      </c>
      <c r="L2571" t="str">
        <f t="shared" si="203"/>
        <v/>
      </c>
      <c r="M2571" t="str">
        <f t="shared" si="204"/>
        <v/>
      </c>
    </row>
    <row r="2572" spans="1:13" x14ac:dyDescent="0.3">
      <c r="A2572" t="str">
        <f>Segmenter!A2572</f>
        <v/>
      </c>
      <c r="B2572" t="str">
        <f>Segmenter!B2572</f>
        <v/>
      </c>
      <c r="C2572" t="str">
        <f t="shared" si="200"/>
        <v/>
      </c>
      <c r="D2572" t="str">
        <f t="shared" si="201"/>
        <v/>
      </c>
      <c r="E2572" t="str">
        <f t="shared" si="202"/>
        <v/>
      </c>
      <c r="F2572" t="str">
        <f>IF(D2572="","",INDEX(Knutepunkter!$B:$B,D2572+1))</f>
        <v/>
      </c>
      <c r="G2572" t="str">
        <f>IF(D2572="","",INDEX(Knutepunkter!$C:$C,D2572+1))</f>
        <v/>
      </c>
      <c r="H2572" t="str">
        <f>IF(D2572="","",INDEX(Knutepunkter!$D:$D,D2572+1))</f>
        <v/>
      </c>
      <c r="I2572" t="str">
        <f>IF(E2572="","",INDEX(Knutepunkter!$B:$B,E2572+1))</f>
        <v/>
      </c>
      <c r="J2572" t="str">
        <f>IF(E2572="","",INDEX(Knutepunkter!$C:$C,E2572+1))</f>
        <v/>
      </c>
      <c r="K2572" t="str">
        <f>IF(E2572="","",INDEX(Knutepunkter!$D:$D,E2572+1))</f>
        <v/>
      </c>
      <c r="L2572" t="str">
        <f t="shared" si="203"/>
        <v/>
      </c>
      <c r="M2572" t="str">
        <f t="shared" si="204"/>
        <v/>
      </c>
    </row>
    <row r="2573" spans="1:13" x14ac:dyDescent="0.3">
      <c r="A2573" t="str">
        <f>Segmenter!A2573</f>
        <v/>
      </c>
      <c r="B2573" t="str">
        <f>Segmenter!B2573</f>
        <v/>
      </c>
      <c r="C2573" t="str">
        <f t="shared" si="200"/>
        <v/>
      </c>
      <c r="D2573" t="str">
        <f t="shared" si="201"/>
        <v/>
      </c>
      <c r="E2573" t="str">
        <f t="shared" si="202"/>
        <v/>
      </c>
      <c r="F2573" t="str">
        <f>IF(D2573="","",INDEX(Knutepunkter!$B:$B,D2573+1))</f>
        <v/>
      </c>
      <c r="G2573" t="str">
        <f>IF(D2573="","",INDEX(Knutepunkter!$C:$C,D2573+1))</f>
        <v/>
      </c>
      <c r="H2573" t="str">
        <f>IF(D2573="","",INDEX(Knutepunkter!$D:$D,D2573+1))</f>
        <v/>
      </c>
      <c r="I2573" t="str">
        <f>IF(E2573="","",INDEX(Knutepunkter!$B:$B,E2573+1))</f>
        <v/>
      </c>
      <c r="J2573" t="str">
        <f>IF(E2573="","",INDEX(Knutepunkter!$C:$C,E2573+1))</f>
        <v/>
      </c>
      <c r="K2573" t="str">
        <f>IF(E2573="","",INDEX(Knutepunkter!$D:$D,E2573+1))</f>
        <v/>
      </c>
      <c r="L2573" t="str">
        <f t="shared" si="203"/>
        <v/>
      </c>
      <c r="M2573" t="str">
        <f t="shared" si="204"/>
        <v/>
      </c>
    </row>
    <row r="2574" spans="1:13" x14ac:dyDescent="0.3">
      <c r="A2574" t="str">
        <f>Segmenter!A2574</f>
        <v/>
      </c>
      <c r="B2574" t="str">
        <f>Segmenter!B2574</f>
        <v/>
      </c>
      <c r="C2574" t="str">
        <f t="shared" si="200"/>
        <v/>
      </c>
      <c r="D2574" t="str">
        <f t="shared" si="201"/>
        <v/>
      </c>
      <c r="E2574" t="str">
        <f t="shared" si="202"/>
        <v/>
      </c>
      <c r="F2574" t="str">
        <f>IF(D2574="","",INDEX(Knutepunkter!$B:$B,D2574+1))</f>
        <v/>
      </c>
      <c r="G2574" t="str">
        <f>IF(D2574="","",INDEX(Knutepunkter!$C:$C,D2574+1))</f>
        <v/>
      </c>
      <c r="H2574" t="str">
        <f>IF(D2574="","",INDEX(Knutepunkter!$D:$D,D2574+1))</f>
        <v/>
      </c>
      <c r="I2574" t="str">
        <f>IF(E2574="","",INDEX(Knutepunkter!$B:$B,E2574+1))</f>
        <v/>
      </c>
      <c r="J2574" t="str">
        <f>IF(E2574="","",INDEX(Knutepunkter!$C:$C,E2574+1))</f>
        <v/>
      </c>
      <c r="K2574" t="str">
        <f>IF(E2574="","",INDEX(Knutepunkter!$D:$D,E2574+1))</f>
        <v/>
      </c>
      <c r="L2574" t="str">
        <f t="shared" si="203"/>
        <v/>
      </c>
      <c r="M2574" t="str">
        <f t="shared" si="204"/>
        <v/>
      </c>
    </row>
    <row r="2575" spans="1:13" x14ac:dyDescent="0.3">
      <c r="A2575" t="str">
        <f>Segmenter!A2575</f>
        <v/>
      </c>
      <c r="B2575" t="str">
        <f>Segmenter!B2575</f>
        <v/>
      </c>
      <c r="C2575" t="str">
        <f t="shared" si="200"/>
        <v/>
      </c>
      <c r="D2575" t="str">
        <f t="shared" si="201"/>
        <v/>
      </c>
      <c r="E2575" t="str">
        <f t="shared" si="202"/>
        <v/>
      </c>
      <c r="F2575" t="str">
        <f>IF(D2575="","",INDEX(Knutepunkter!$B:$B,D2575+1))</f>
        <v/>
      </c>
      <c r="G2575" t="str">
        <f>IF(D2575="","",INDEX(Knutepunkter!$C:$C,D2575+1))</f>
        <v/>
      </c>
      <c r="H2575" t="str">
        <f>IF(D2575="","",INDEX(Knutepunkter!$D:$D,D2575+1))</f>
        <v/>
      </c>
      <c r="I2575" t="str">
        <f>IF(E2575="","",INDEX(Knutepunkter!$B:$B,E2575+1))</f>
        <v/>
      </c>
      <c r="J2575" t="str">
        <f>IF(E2575="","",INDEX(Knutepunkter!$C:$C,E2575+1))</f>
        <v/>
      </c>
      <c r="K2575" t="str">
        <f>IF(E2575="","",INDEX(Knutepunkter!$D:$D,E2575+1))</f>
        <v/>
      </c>
      <c r="L2575" t="str">
        <f t="shared" si="203"/>
        <v/>
      </c>
      <c r="M2575" t="str">
        <f t="shared" si="204"/>
        <v/>
      </c>
    </row>
    <row r="2576" spans="1:13" x14ac:dyDescent="0.3">
      <c r="A2576" t="str">
        <f>Segmenter!A2576</f>
        <v/>
      </c>
      <c r="B2576" t="str">
        <f>Segmenter!B2576</f>
        <v/>
      </c>
      <c r="C2576" t="str">
        <f t="shared" si="200"/>
        <v/>
      </c>
      <c r="D2576" t="str">
        <f t="shared" si="201"/>
        <v/>
      </c>
      <c r="E2576" t="str">
        <f t="shared" si="202"/>
        <v/>
      </c>
      <c r="F2576" t="str">
        <f>IF(D2576="","",INDEX(Knutepunkter!$B:$B,D2576+1))</f>
        <v/>
      </c>
      <c r="G2576" t="str">
        <f>IF(D2576="","",INDEX(Knutepunkter!$C:$C,D2576+1))</f>
        <v/>
      </c>
      <c r="H2576" t="str">
        <f>IF(D2576="","",INDEX(Knutepunkter!$D:$D,D2576+1))</f>
        <v/>
      </c>
      <c r="I2576" t="str">
        <f>IF(E2576="","",INDEX(Knutepunkter!$B:$B,E2576+1))</f>
        <v/>
      </c>
      <c r="J2576" t="str">
        <f>IF(E2576="","",INDEX(Knutepunkter!$C:$C,E2576+1))</f>
        <v/>
      </c>
      <c r="K2576" t="str">
        <f>IF(E2576="","",INDEX(Knutepunkter!$D:$D,E2576+1))</f>
        <v/>
      </c>
      <c r="L2576" t="str">
        <f t="shared" si="203"/>
        <v/>
      </c>
      <c r="M2576" t="str">
        <f t="shared" si="204"/>
        <v/>
      </c>
    </row>
    <row r="2577" spans="1:13" x14ac:dyDescent="0.3">
      <c r="A2577" t="str">
        <f>Segmenter!A2577</f>
        <v/>
      </c>
      <c r="B2577" t="str">
        <f>Segmenter!B2577</f>
        <v/>
      </c>
      <c r="C2577" t="str">
        <f t="shared" si="200"/>
        <v/>
      </c>
      <c r="D2577" t="str">
        <f t="shared" si="201"/>
        <v/>
      </c>
      <c r="E2577" t="str">
        <f t="shared" si="202"/>
        <v/>
      </c>
      <c r="F2577" t="str">
        <f>IF(D2577="","",INDEX(Knutepunkter!$B:$B,D2577+1))</f>
        <v/>
      </c>
      <c r="G2577" t="str">
        <f>IF(D2577="","",INDEX(Knutepunkter!$C:$C,D2577+1))</f>
        <v/>
      </c>
      <c r="H2577" t="str">
        <f>IF(D2577="","",INDEX(Knutepunkter!$D:$D,D2577+1))</f>
        <v/>
      </c>
      <c r="I2577" t="str">
        <f>IF(E2577="","",INDEX(Knutepunkter!$B:$B,E2577+1))</f>
        <v/>
      </c>
      <c r="J2577" t="str">
        <f>IF(E2577="","",INDEX(Knutepunkter!$C:$C,E2577+1))</f>
        <v/>
      </c>
      <c r="K2577" t="str">
        <f>IF(E2577="","",INDEX(Knutepunkter!$D:$D,E2577+1))</f>
        <v/>
      </c>
      <c r="L2577" t="str">
        <f t="shared" si="203"/>
        <v/>
      </c>
      <c r="M2577" t="str">
        <f t="shared" si="204"/>
        <v/>
      </c>
    </row>
    <row r="2578" spans="1:13" x14ac:dyDescent="0.3">
      <c r="A2578" t="str">
        <f>Segmenter!A2578</f>
        <v/>
      </c>
      <c r="B2578" t="str">
        <f>Segmenter!B2578</f>
        <v/>
      </c>
      <c r="C2578" t="str">
        <f t="shared" si="200"/>
        <v/>
      </c>
      <c r="D2578" t="str">
        <f t="shared" si="201"/>
        <v/>
      </c>
      <c r="E2578" t="str">
        <f t="shared" si="202"/>
        <v/>
      </c>
      <c r="F2578" t="str">
        <f>IF(D2578="","",INDEX(Knutepunkter!$B:$B,D2578+1))</f>
        <v/>
      </c>
      <c r="G2578" t="str">
        <f>IF(D2578="","",INDEX(Knutepunkter!$C:$C,D2578+1))</f>
        <v/>
      </c>
      <c r="H2578" t="str">
        <f>IF(D2578="","",INDEX(Knutepunkter!$D:$D,D2578+1))</f>
        <v/>
      </c>
      <c r="I2578" t="str">
        <f>IF(E2578="","",INDEX(Knutepunkter!$B:$B,E2578+1))</f>
        <v/>
      </c>
      <c r="J2578" t="str">
        <f>IF(E2578="","",INDEX(Knutepunkter!$C:$C,E2578+1))</f>
        <v/>
      </c>
      <c r="K2578" t="str">
        <f>IF(E2578="","",INDEX(Knutepunkter!$D:$D,E2578+1))</f>
        <v/>
      </c>
      <c r="L2578" t="str">
        <f t="shared" si="203"/>
        <v/>
      </c>
      <c r="M2578" t="str">
        <f t="shared" si="204"/>
        <v/>
      </c>
    </row>
    <row r="2579" spans="1:13" x14ac:dyDescent="0.3">
      <c r="A2579" t="str">
        <f>Segmenter!A2579</f>
        <v/>
      </c>
      <c r="B2579" t="str">
        <f>Segmenter!B2579</f>
        <v/>
      </c>
      <c r="C2579" t="str">
        <f t="shared" si="200"/>
        <v/>
      </c>
      <c r="D2579" t="str">
        <f t="shared" si="201"/>
        <v/>
      </c>
      <c r="E2579" t="str">
        <f t="shared" si="202"/>
        <v/>
      </c>
      <c r="F2579" t="str">
        <f>IF(D2579="","",INDEX(Knutepunkter!$B:$B,D2579+1))</f>
        <v/>
      </c>
      <c r="G2579" t="str">
        <f>IF(D2579="","",INDEX(Knutepunkter!$C:$C,D2579+1))</f>
        <v/>
      </c>
      <c r="H2579" t="str">
        <f>IF(D2579="","",INDEX(Knutepunkter!$D:$D,D2579+1))</f>
        <v/>
      </c>
      <c r="I2579" t="str">
        <f>IF(E2579="","",INDEX(Knutepunkter!$B:$B,E2579+1))</f>
        <v/>
      </c>
      <c r="J2579" t="str">
        <f>IF(E2579="","",INDEX(Knutepunkter!$C:$C,E2579+1))</f>
        <v/>
      </c>
      <c r="K2579" t="str">
        <f>IF(E2579="","",INDEX(Knutepunkter!$D:$D,E2579+1))</f>
        <v/>
      </c>
      <c r="L2579" t="str">
        <f t="shared" si="203"/>
        <v/>
      </c>
      <c r="M2579" t="str">
        <f t="shared" si="204"/>
        <v/>
      </c>
    </row>
    <row r="2580" spans="1:13" x14ac:dyDescent="0.3">
      <c r="A2580" t="str">
        <f>Segmenter!A2580</f>
        <v/>
      </c>
      <c r="B2580" t="str">
        <f>Segmenter!B2580</f>
        <v/>
      </c>
      <c r="C2580" t="str">
        <f t="shared" si="200"/>
        <v/>
      </c>
      <c r="D2580" t="str">
        <f t="shared" si="201"/>
        <v/>
      </c>
      <c r="E2580" t="str">
        <f t="shared" si="202"/>
        <v/>
      </c>
      <c r="F2580" t="str">
        <f>IF(D2580="","",INDEX(Knutepunkter!$B:$B,D2580+1))</f>
        <v/>
      </c>
      <c r="G2580" t="str">
        <f>IF(D2580="","",INDEX(Knutepunkter!$C:$C,D2580+1))</f>
        <v/>
      </c>
      <c r="H2580" t="str">
        <f>IF(D2580="","",INDEX(Knutepunkter!$D:$D,D2580+1))</f>
        <v/>
      </c>
      <c r="I2580" t="str">
        <f>IF(E2580="","",INDEX(Knutepunkter!$B:$B,E2580+1))</f>
        <v/>
      </c>
      <c r="J2580" t="str">
        <f>IF(E2580="","",INDEX(Knutepunkter!$C:$C,E2580+1))</f>
        <v/>
      </c>
      <c r="K2580" t="str">
        <f>IF(E2580="","",INDEX(Knutepunkter!$D:$D,E2580+1))</f>
        <v/>
      </c>
      <c r="L2580" t="str">
        <f t="shared" si="203"/>
        <v/>
      </c>
      <c r="M2580" t="str">
        <f t="shared" si="204"/>
        <v/>
      </c>
    </row>
    <row r="2581" spans="1:13" x14ac:dyDescent="0.3">
      <c r="A2581" t="str">
        <f>Segmenter!A2581</f>
        <v/>
      </c>
      <c r="B2581" t="str">
        <f>Segmenter!B2581</f>
        <v/>
      </c>
      <c r="C2581" t="str">
        <f t="shared" si="200"/>
        <v/>
      </c>
      <c r="D2581" t="str">
        <f t="shared" si="201"/>
        <v/>
      </c>
      <c r="E2581" t="str">
        <f t="shared" si="202"/>
        <v/>
      </c>
      <c r="F2581" t="str">
        <f>IF(D2581="","",INDEX(Knutepunkter!$B:$B,D2581+1))</f>
        <v/>
      </c>
      <c r="G2581" t="str">
        <f>IF(D2581="","",INDEX(Knutepunkter!$C:$C,D2581+1))</f>
        <v/>
      </c>
      <c r="H2581" t="str">
        <f>IF(D2581="","",INDEX(Knutepunkter!$D:$D,D2581+1))</f>
        <v/>
      </c>
      <c r="I2581" t="str">
        <f>IF(E2581="","",INDEX(Knutepunkter!$B:$B,E2581+1))</f>
        <v/>
      </c>
      <c r="J2581" t="str">
        <f>IF(E2581="","",INDEX(Knutepunkter!$C:$C,E2581+1))</f>
        <v/>
      </c>
      <c r="K2581" t="str">
        <f>IF(E2581="","",INDEX(Knutepunkter!$D:$D,E2581+1))</f>
        <v/>
      </c>
      <c r="L2581" t="str">
        <f t="shared" si="203"/>
        <v/>
      </c>
      <c r="M2581" t="str">
        <f t="shared" si="204"/>
        <v/>
      </c>
    </row>
    <row r="2582" spans="1:13" x14ac:dyDescent="0.3">
      <c r="A2582" t="str">
        <f>Segmenter!A2582</f>
        <v/>
      </c>
      <c r="B2582" t="str">
        <f>Segmenter!B2582</f>
        <v/>
      </c>
      <c r="C2582" t="str">
        <f t="shared" si="200"/>
        <v/>
      </c>
      <c r="D2582" t="str">
        <f t="shared" si="201"/>
        <v/>
      </c>
      <c r="E2582" t="str">
        <f t="shared" si="202"/>
        <v/>
      </c>
      <c r="F2582" t="str">
        <f>IF(D2582="","",INDEX(Knutepunkter!$B:$B,D2582+1))</f>
        <v/>
      </c>
      <c r="G2582" t="str">
        <f>IF(D2582="","",INDEX(Knutepunkter!$C:$C,D2582+1))</f>
        <v/>
      </c>
      <c r="H2582" t="str">
        <f>IF(D2582="","",INDEX(Knutepunkter!$D:$D,D2582+1))</f>
        <v/>
      </c>
      <c r="I2582" t="str">
        <f>IF(E2582="","",INDEX(Knutepunkter!$B:$B,E2582+1))</f>
        <v/>
      </c>
      <c r="J2582" t="str">
        <f>IF(E2582="","",INDEX(Knutepunkter!$C:$C,E2582+1))</f>
        <v/>
      </c>
      <c r="K2582" t="str">
        <f>IF(E2582="","",INDEX(Knutepunkter!$D:$D,E2582+1))</f>
        <v/>
      </c>
      <c r="L2582" t="str">
        <f t="shared" si="203"/>
        <v/>
      </c>
      <c r="M2582" t="str">
        <f t="shared" si="204"/>
        <v/>
      </c>
    </row>
    <row r="2583" spans="1:13" x14ac:dyDescent="0.3">
      <c r="A2583" t="str">
        <f>Segmenter!A2583</f>
        <v/>
      </c>
      <c r="B2583" t="str">
        <f>Segmenter!B2583</f>
        <v/>
      </c>
      <c r="C2583" t="str">
        <f t="shared" si="200"/>
        <v/>
      </c>
      <c r="D2583" t="str">
        <f t="shared" si="201"/>
        <v/>
      </c>
      <c r="E2583" t="str">
        <f t="shared" si="202"/>
        <v/>
      </c>
      <c r="F2583" t="str">
        <f>IF(D2583="","",INDEX(Knutepunkter!$B:$B,D2583+1))</f>
        <v/>
      </c>
      <c r="G2583" t="str">
        <f>IF(D2583="","",INDEX(Knutepunkter!$C:$C,D2583+1))</f>
        <v/>
      </c>
      <c r="H2583" t="str">
        <f>IF(D2583="","",INDEX(Knutepunkter!$D:$D,D2583+1))</f>
        <v/>
      </c>
      <c r="I2583" t="str">
        <f>IF(E2583="","",INDEX(Knutepunkter!$B:$B,E2583+1))</f>
        <v/>
      </c>
      <c r="J2583" t="str">
        <f>IF(E2583="","",INDEX(Knutepunkter!$C:$C,E2583+1))</f>
        <v/>
      </c>
      <c r="K2583" t="str">
        <f>IF(E2583="","",INDEX(Knutepunkter!$D:$D,E2583+1))</f>
        <v/>
      </c>
      <c r="L2583" t="str">
        <f t="shared" si="203"/>
        <v/>
      </c>
      <c r="M2583" t="str">
        <f t="shared" si="204"/>
        <v/>
      </c>
    </row>
    <row r="2584" spans="1:13" x14ac:dyDescent="0.3">
      <c r="A2584" t="str">
        <f>Segmenter!A2584</f>
        <v/>
      </c>
      <c r="B2584" t="str">
        <f>Segmenter!B2584</f>
        <v/>
      </c>
      <c r="C2584" t="str">
        <f t="shared" si="200"/>
        <v/>
      </c>
      <c r="D2584" t="str">
        <f t="shared" si="201"/>
        <v/>
      </c>
      <c r="E2584" t="str">
        <f t="shared" si="202"/>
        <v/>
      </c>
      <c r="F2584" t="str">
        <f>IF(D2584="","",INDEX(Knutepunkter!$B:$B,D2584+1))</f>
        <v/>
      </c>
      <c r="G2584" t="str">
        <f>IF(D2584="","",INDEX(Knutepunkter!$C:$C,D2584+1))</f>
        <v/>
      </c>
      <c r="H2584" t="str">
        <f>IF(D2584="","",INDEX(Knutepunkter!$D:$D,D2584+1))</f>
        <v/>
      </c>
      <c r="I2584" t="str">
        <f>IF(E2584="","",INDEX(Knutepunkter!$B:$B,E2584+1))</f>
        <v/>
      </c>
      <c r="J2584" t="str">
        <f>IF(E2584="","",INDEX(Knutepunkter!$C:$C,E2584+1))</f>
        <v/>
      </c>
      <c r="K2584" t="str">
        <f>IF(E2584="","",INDEX(Knutepunkter!$D:$D,E2584+1))</f>
        <v/>
      </c>
      <c r="L2584" t="str">
        <f t="shared" si="203"/>
        <v/>
      </c>
      <c r="M2584" t="str">
        <f t="shared" si="204"/>
        <v/>
      </c>
    </row>
    <row r="2585" spans="1:13" x14ac:dyDescent="0.3">
      <c r="A2585" t="str">
        <f>Segmenter!A2585</f>
        <v/>
      </c>
      <c r="B2585" t="str">
        <f>Segmenter!B2585</f>
        <v/>
      </c>
      <c r="C2585" t="str">
        <f t="shared" si="200"/>
        <v/>
      </c>
      <c r="D2585" t="str">
        <f t="shared" si="201"/>
        <v/>
      </c>
      <c r="E2585" t="str">
        <f t="shared" si="202"/>
        <v/>
      </c>
      <c r="F2585" t="str">
        <f>IF(D2585="","",INDEX(Knutepunkter!$B:$B,D2585+1))</f>
        <v/>
      </c>
      <c r="G2585" t="str">
        <f>IF(D2585="","",INDEX(Knutepunkter!$C:$C,D2585+1))</f>
        <v/>
      </c>
      <c r="H2585" t="str">
        <f>IF(D2585="","",INDEX(Knutepunkter!$D:$D,D2585+1))</f>
        <v/>
      </c>
      <c r="I2585" t="str">
        <f>IF(E2585="","",INDEX(Knutepunkter!$B:$B,E2585+1))</f>
        <v/>
      </c>
      <c r="J2585" t="str">
        <f>IF(E2585="","",INDEX(Knutepunkter!$C:$C,E2585+1))</f>
        <v/>
      </c>
      <c r="K2585" t="str">
        <f>IF(E2585="","",INDEX(Knutepunkter!$D:$D,E2585+1))</f>
        <v/>
      </c>
      <c r="L2585" t="str">
        <f t="shared" si="203"/>
        <v/>
      </c>
      <c r="M2585" t="str">
        <f t="shared" si="204"/>
        <v/>
      </c>
    </row>
    <row r="2586" spans="1:13" x14ac:dyDescent="0.3">
      <c r="A2586" t="str">
        <f>Segmenter!A2586</f>
        <v/>
      </c>
      <c r="B2586" t="str">
        <f>Segmenter!B2586</f>
        <v/>
      </c>
      <c r="C2586" t="str">
        <f t="shared" si="200"/>
        <v/>
      </c>
      <c r="D2586" t="str">
        <f t="shared" si="201"/>
        <v/>
      </c>
      <c r="E2586" t="str">
        <f t="shared" si="202"/>
        <v/>
      </c>
      <c r="F2586" t="str">
        <f>IF(D2586="","",INDEX(Knutepunkter!$B:$B,D2586+1))</f>
        <v/>
      </c>
      <c r="G2586" t="str">
        <f>IF(D2586="","",INDEX(Knutepunkter!$C:$C,D2586+1))</f>
        <v/>
      </c>
      <c r="H2586" t="str">
        <f>IF(D2586="","",INDEX(Knutepunkter!$D:$D,D2586+1))</f>
        <v/>
      </c>
      <c r="I2586" t="str">
        <f>IF(E2586="","",INDEX(Knutepunkter!$B:$B,E2586+1))</f>
        <v/>
      </c>
      <c r="J2586" t="str">
        <f>IF(E2586="","",INDEX(Knutepunkter!$C:$C,E2586+1))</f>
        <v/>
      </c>
      <c r="K2586" t="str">
        <f>IF(E2586="","",INDEX(Knutepunkter!$D:$D,E2586+1))</f>
        <v/>
      </c>
      <c r="L2586" t="str">
        <f t="shared" si="203"/>
        <v/>
      </c>
      <c r="M2586" t="str">
        <f t="shared" si="204"/>
        <v/>
      </c>
    </row>
    <row r="2587" spans="1:13" x14ac:dyDescent="0.3">
      <c r="A2587" t="str">
        <f>Segmenter!A2587</f>
        <v/>
      </c>
      <c r="B2587" t="str">
        <f>Segmenter!B2587</f>
        <v/>
      </c>
      <c r="C2587" t="str">
        <f t="shared" si="200"/>
        <v/>
      </c>
      <c r="D2587" t="str">
        <f t="shared" si="201"/>
        <v/>
      </c>
      <c r="E2587" t="str">
        <f t="shared" si="202"/>
        <v/>
      </c>
      <c r="F2587" t="str">
        <f>IF(D2587="","",INDEX(Knutepunkter!$B:$B,D2587+1))</f>
        <v/>
      </c>
      <c r="G2587" t="str">
        <f>IF(D2587="","",INDEX(Knutepunkter!$C:$C,D2587+1))</f>
        <v/>
      </c>
      <c r="H2587" t="str">
        <f>IF(D2587="","",INDEX(Knutepunkter!$D:$D,D2587+1))</f>
        <v/>
      </c>
      <c r="I2587" t="str">
        <f>IF(E2587="","",INDEX(Knutepunkter!$B:$B,E2587+1))</f>
        <v/>
      </c>
      <c r="J2587" t="str">
        <f>IF(E2587="","",INDEX(Knutepunkter!$C:$C,E2587+1))</f>
        <v/>
      </c>
      <c r="K2587" t="str">
        <f>IF(E2587="","",INDEX(Knutepunkter!$D:$D,E2587+1))</f>
        <v/>
      </c>
      <c r="L2587" t="str">
        <f t="shared" si="203"/>
        <v/>
      </c>
      <c r="M2587" t="str">
        <f t="shared" si="204"/>
        <v/>
      </c>
    </row>
    <row r="2588" spans="1:13" x14ac:dyDescent="0.3">
      <c r="A2588" t="str">
        <f>Segmenter!A2588</f>
        <v/>
      </c>
      <c r="B2588" t="str">
        <f>Segmenter!B2588</f>
        <v/>
      </c>
      <c r="C2588" t="str">
        <f t="shared" si="200"/>
        <v/>
      </c>
      <c r="D2588" t="str">
        <f t="shared" si="201"/>
        <v/>
      </c>
      <c r="E2588" t="str">
        <f t="shared" si="202"/>
        <v/>
      </c>
      <c r="F2588" t="str">
        <f>IF(D2588="","",INDEX(Knutepunkter!$B:$B,D2588+1))</f>
        <v/>
      </c>
      <c r="G2588" t="str">
        <f>IF(D2588="","",INDEX(Knutepunkter!$C:$C,D2588+1))</f>
        <v/>
      </c>
      <c r="H2588" t="str">
        <f>IF(D2588="","",INDEX(Knutepunkter!$D:$D,D2588+1))</f>
        <v/>
      </c>
      <c r="I2588" t="str">
        <f>IF(E2588="","",INDEX(Knutepunkter!$B:$B,E2588+1))</f>
        <v/>
      </c>
      <c r="J2588" t="str">
        <f>IF(E2588="","",INDEX(Knutepunkter!$C:$C,E2588+1))</f>
        <v/>
      </c>
      <c r="K2588" t="str">
        <f>IF(E2588="","",INDEX(Knutepunkter!$D:$D,E2588+1))</f>
        <v/>
      </c>
      <c r="L2588" t="str">
        <f t="shared" si="203"/>
        <v/>
      </c>
      <c r="M2588" t="str">
        <f t="shared" si="204"/>
        <v/>
      </c>
    </row>
    <row r="2589" spans="1:13" x14ac:dyDescent="0.3">
      <c r="A2589" t="str">
        <f>Segmenter!A2589</f>
        <v/>
      </c>
      <c r="B2589" t="str">
        <f>Segmenter!B2589</f>
        <v/>
      </c>
      <c r="C2589" t="str">
        <f t="shared" si="200"/>
        <v/>
      </c>
      <c r="D2589" t="str">
        <f t="shared" si="201"/>
        <v/>
      </c>
      <c r="E2589" t="str">
        <f t="shared" si="202"/>
        <v/>
      </c>
      <c r="F2589" t="str">
        <f>IF(D2589="","",INDEX(Knutepunkter!$B:$B,D2589+1))</f>
        <v/>
      </c>
      <c r="G2589" t="str">
        <f>IF(D2589="","",INDEX(Knutepunkter!$C:$C,D2589+1))</f>
        <v/>
      </c>
      <c r="H2589" t="str">
        <f>IF(D2589="","",INDEX(Knutepunkter!$D:$D,D2589+1))</f>
        <v/>
      </c>
      <c r="I2589" t="str">
        <f>IF(E2589="","",INDEX(Knutepunkter!$B:$B,E2589+1))</f>
        <v/>
      </c>
      <c r="J2589" t="str">
        <f>IF(E2589="","",INDEX(Knutepunkter!$C:$C,E2589+1))</f>
        <v/>
      </c>
      <c r="K2589" t="str">
        <f>IF(E2589="","",INDEX(Knutepunkter!$D:$D,E2589+1))</f>
        <v/>
      </c>
      <c r="L2589" t="str">
        <f t="shared" si="203"/>
        <v/>
      </c>
      <c r="M2589" t="str">
        <f t="shared" si="204"/>
        <v/>
      </c>
    </row>
    <row r="2590" spans="1:13" x14ac:dyDescent="0.3">
      <c r="A2590" t="str">
        <f>Segmenter!A2590</f>
        <v/>
      </c>
      <c r="B2590" t="str">
        <f>Segmenter!B2590</f>
        <v/>
      </c>
      <c r="C2590" t="str">
        <f t="shared" si="200"/>
        <v/>
      </c>
      <c r="D2590" t="str">
        <f t="shared" si="201"/>
        <v/>
      </c>
      <c r="E2590" t="str">
        <f t="shared" si="202"/>
        <v/>
      </c>
      <c r="F2590" t="str">
        <f>IF(D2590="","",INDEX(Knutepunkter!$B:$B,D2590+1))</f>
        <v/>
      </c>
      <c r="G2590" t="str">
        <f>IF(D2590="","",INDEX(Knutepunkter!$C:$C,D2590+1))</f>
        <v/>
      </c>
      <c r="H2590" t="str">
        <f>IF(D2590="","",INDEX(Knutepunkter!$D:$D,D2590+1))</f>
        <v/>
      </c>
      <c r="I2590" t="str">
        <f>IF(E2590="","",INDEX(Knutepunkter!$B:$B,E2590+1))</f>
        <v/>
      </c>
      <c r="J2590" t="str">
        <f>IF(E2590="","",INDEX(Knutepunkter!$C:$C,E2590+1))</f>
        <v/>
      </c>
      <c r="K2590" t="str">
        <f>IF(E2590="","",INDEX(Knutepunkter!$D:$D,E2590+1))</f>
        <v/>
      </c>
      <c r="L2590" t="str">
        <f t="shared" si="203"/>
        <v/>
      </c>
      <c r="M2590" t="str">
        <f t="shared" si="204"/>
        <v/>
      </c>
    </row>
    <row r="2591" spans="1:13" x14ac:dyDescent="0.3">
      <c r="A2591" t="str">
        <f>Segmenter!A2591</f>
        <v/>
      </c>
      <c r="B2591" t="str">
        <f>Segmenter!B2591</f>
        <v/>
      </c>
      <c r="C2591" t="str">
        <f t="shared" si="200"/>
        <v/>
      </c>
      <c r="D2591" t="str">
        <f t="shared" si="201"/>
        <v/>
      </c>
      <c r="E2591" t="str">
        <f t="shared" si="202"/>
        <v/>
      </c>
      <c r="F2591" t="str">
        <f>IF(D2591="","",INDEX(Knutepunkter!$B:$B,D2591+1))</f>
        <v/>
      </c>
      <c r="G2591" t="str">
        <f>IF(D2591="","",INDEX(Knutepunkter!$C:$C,D2591+1))</f>
        <v/>
      </c>
      <c r="H2591" t="str">
        <f>IF(D2591="","",INDEX(Knutepunkter!$D:$D,D2591+1))</f>
        <v/>
      </c>
      <c r="I2591" t="str">
        <f>IF(E2591="","",INDEX(Knutepunkter!$B:$B,E2591+1))</f>
        <v/>
      </c>
      <c r="J2591" t="str">
        <f>IF(E2591="","",INDEX(Knutepunkter!$C:$C,E2591+1))</f>
        <v/>
      </c>
      <c r="K2591" t="str">
        <f>IF(E2591="","",INDEX(Knutepunkter!$D:$D,E2591+1))</f>
        <v/>
      </c>
      <c r="L2591" t="str">
        <f t="shared" si="203"/>
        <v/>
      </c>
      <c r="M2591" t="str">
        <f t="shared" si="204"/>
        <v/>
      </c>
    </row>
    <row r="2592" spans="1:13" x14ac:dyDescent="0.3">
      <c r="A2592" t="str">
        <f>Segmenter!A2592</f>
        <v/>
      </c>
      <c r="B2592" t="str">
        <f>Segmenter!B2592</f>
        <v/>
      </c>
      <c r="C2592" t="str">
        <f t="shared" si="200"/>
        <v/>
      </c>
      <c r="D2592" t="str">
        <f t="shared" si="201"/>
        <v/>
      </c>
      <c r="E2592" t="str">
        <f t="shared" si="202"/>
        <v/>
      </c>
      <c r="F2592" t="str">
        <f>IF(D2592="","",INDEX(Knutepunkter!$B:$B,D2592+1))</f>
        <v/>
      </c>
      <c r="G2592" t="str">
        <f>IF(D2592="","",INDEX(Knutepunkter!$C:$C,D2592+1))</f>
        <v/>
      </c>
      <c r="H2592" t="str">
        <f>IF(D2592="","",INDEX(Knutepunkter!$D:$D,D2592+1))</f>
        <v/>
      </c>
      <c r="I2592" t="str">
        <f>IF(E2592="","",INDEX(Knutepunkter!$B:$B,E2592+1))</f>
        <v/>
      </c>
      <c r="J2592" t="str">
        <f>IF(E2592="","",INDEX(Knutepunkter!$C:$C,E2592+1))</f>
        <v/>
      </c>
      <c r="K2592" t="str">
        <f>IF(E2592="","",INDEX(Knutepunkter!$D:$D,E2592+1))</f>
        <v/>
      </c>
      <c r="L2592" t="str">
        <f t="shared" si="203"/>
        <v/>
      </c>
      <c r="M2592" t="str">
        <f t="shared" si="204"/>
        <v/>
      </c>
    </row>
    <row r="2593" spans="1:13" x14ac:dyDescent="0.3">
      <c r="A2593" t="str">
        <f>Segmenter!A2593</f>
        <v/>
      </c>
      <c r="B2593" t="str">
        <f>Segmenter!B2593</f>
        <v/>
      </c>
      <c r="C2593" t="str">
        <f t="shared" si="200"/>
        <v/>
      </c>
      <c r="D2593" t="str">
        <f t="shared" si="201"/>
        <v/>
      </c>
      <c r="E2593" t="str">
        <f t="shared" si="202"/>
        <v/>
      </c>
      <c r="F2593" t="str">
        <f>IF(D2593="","",INDEX(Knutepunkter!$B:$B,D2593+1))</f>
        <v/>
      </c>
      <c r="G2593" t="str">
        <f>IF(D2593="","",INDEX(Knutepunkter!$C:$C,D2593+1))</f>
        <v/>
      </c>
      <c r="H2593" t="str">
        <f>IF(D2593="","",INDEX(Knutepunkter!$D:$D,D2593+1))</f>
        <v/>
      </c>
      <c r="I2593" t="str">
        <f>IF(E2593="","",INDEX(Knutepunkter!$B:$B,E2593+1))</f>
        <v/>
      </c>
      <c r="J2593" t="str">
        <f>IF(E2593="","",INDEX(Knutepunkter!$C:$C,E2593+1))</f>
        <v/>
      </c>
      <c r="K2593" t="str">
        <f>IF(E2593="","",INDEX(Knutepunkter!$D:$D,E2593+1))</f>
        <v/>
      </c>
      <c r="L2593" t="str">
        <f t="shared" si="203"/>
        <v/>
      </c>
      <c r="M2593" t="str">
        <f t="shared" si="204"/>
        <v/>
      </c>
    </row>
    <row r="2594" spans="1:13" x14ac:dyDescent="0.3">
      <c r="A2594" t="str">
        <f>Segmenter!A2594</f>
        <v/>
      </c>
      <c r="B2594" t="str">
        <f>Segmenter!B2594</f>
        <v/>
      </c>
      <c r="C2594" t="str">
        <f t="shared" si="200"/>
        <v/>
      </c>
      <c r="D2594" t="str">
        <f t="shared" si="201"/>
        <v/>
      </c>
      <c r="E2594" t="str">
        <f t="shared" si="202"/>
        <v/>
      </c>
      <c r="F2594" t="str">
        <f>IF(D2594="","",INDEX(Knutepunkter!$B:$B,D2594+1))</f>
        <v/>
      </c>
      <c r="G2594" t="str">
        <f>IF(D2594="","",INDEX(Knutepunkter!$C:$C,D2594+1))</f>
        <v/>
      </c>
      <c r="H2594" t="str">
        <f>IF(D2594="","",INDEX(Knutepunkter!$D:$D,D2594+1))</f>
        <v/>
      </c>
      <c r="I2594" t="str">
        <f>IF(E2594="","",INDEX(Knutepunkter!$B:$B,E2594+1))</f>
        <v/>
      </c>
      <c r="J2594" t="str">
        <f>IF(E2594="","",INDEX(Knutepunkter!$C:$C,E2594+1))</f>
        <v/>
      </c>
      <c r="K2594" t="str">
        <f>IF(E2594="","",INDEX(Knutepunkter!$D:$D,E2594+1))</f>
        <v/>
      </c>
      <c r="L2594" t="str">
        <f t="shared" si="203"/>
        <v/>
      </c>
      <c r="M2594" t="str">
        <f t="shared" si="204"/>
        <v/>
      </c>
    </row>
    <row r="2595" spans="1:13" x14ac:dyDescent="0.3">
      <c r="A2595" t="str">
        <f>Segmenter!A2595</f>
        <v/>
      </c>
      <c r="B2595" t="str">
        <f>Segmenter!B2595</f>
        <v/>
      </c>
      <c r="C2595" t="str">
        <f t="shared" si="200"/>
        <v/>
      </c>
      <c r="D2595" t="str">
        <f t="shared" si="201"/>
        <v/>
      </c>
      <c r="E2595" t="str">
        <f t="shared" si="202"/>
        <v/>
      </c>
      <c r="F2595" t="str">
        <f>IF(D2595="","",INDEX(Knutepunkter!$B:$B,D2595+1))</f>
        <v/>
      </c>
      <c r="G2595" t="str">
        <f>IF(D2595="","",INDEX(Knutepunkter!$C:$C,D2595+1))</f>
        <v/>
      </c>
      <c r="H2595" t="str">
        <f>IF(D2595="","",INDEX(Knutepunkter!$D:$D,D2595+1))</f>
        <v/>
      </c>
      <c r="I2595" t="str">
        <f>IF(E2595="","",INDEX(Knutepunkter!$B:$B,E2595+1))</f>
        <v/>
      </c>
      <c r="J2595" t="str">
        <f>IF(E2595="","",INDEX(Knutepunkter!$C:$C,E2595+1))</f>
        <v/>
      </c>
      <c r="K2595" t="str">
        <f>IF(E2595="","",INDEX(Knutepunkter!$D:$D,E2595+1))</f>
        <v/>
      </c>
      <c r="L2595" t="str">
        <f t="shared" si="203"/>
        <v/>
      </c>
      <c r="M2595" t="str">
        <f t="shared" si="204"/>
        <v/>
      </c>
    </row>
    <row r="2596" spans="1:13" x14ac:dyDescent="0.3">
      <c r="A2596" t="str">
        <f>Segmenter!A2596</f>
        <v/>
      </c>
      <c r="B2596" t="str">
        <f>Segmenter!B2596</f>
        <v/>
      </c>
      <c r="C2596" t="str">
        <f t="shared" si="200"/>
        <v/>
      </c>
      <c r="D2596" t="str">
        <f t="shared" si="201"/>
        <v/>
      </c>
      <c r="E2596" t="str">
        <f t="shared" si="202"/>
        <v/>
      </c>
      <c r="F2596" t="str">
        <f>IF(D2596="","",INDEX(Knutepunkter!$B:$B,D2596+1))</f>
        <v/>
      </c>
      <c r="G2596" t="str">
        <f>IF(D2596="","",INDEX(Knutepunkter!$C:$C,D2596+1))</f>
        <v/>
      </c>
      <c r="H2596" t="str">
        <f>IF(D2596="","",INDEX(Knutepunkter!$D:$D,D2596+1))</f>
        <v/>
      </c>
      <c r="I2596" t="str">
        <f>IF(E2596="","",INDEX(Knutepunkter!$B:$B,E2596+1))</f>
        <v/>
      </c>
      <c r="J2596" t="str">
        <f>IF(E2596="","",INDEX(Knutepunkter!$C:$C,E2596+1))</f>
        <v/>
      </c>
      <c r="K2596" t="str">
        <f>IF(E2596="","",INDEX(Knutepunkter!$D:$D,E2596+1))</f>
        <v/>
      </c>
      <c r="L2596" t="str">
        <f t="shared" si="203"/>
        <v/>
      </c>
      <c r="M2596" t="str">
        <f t="shared" si="204"/>
        <v/>
      </c>
    </row>
    <row r="2597" spans="1:13" x14ac:dyDescent="0.3">
      <c r="A2597" t="str">
        <f>Segmenter!A2597</f>
        <v/>
      </c>
      <c r="B2597" t="str">
        <f>Segmenter!B2597</f>
        <v/>
      </c>
      <c r="C2597" t="str">
        <f t="shared" si="200"/>
        <v/>
      </c>
      <c r="D2597" t="str">
        <f t="shared" si="201"/>
        <v/>
      </c>
      <c r="E2597" t="str">
        <f t="shared" si="202"/>
        <v/>
      </c>
      <c r="F2597" t="str">
        <f>IF(D2597="","",INDEX(Knutepunkter!$B:$B,D2597+1))</f>
        <v/>
      </c>
      <c r="G2597" t="str">
        <f>IF(D2597="","",INDEX(Knutepunkter!$C:$C,D2597+1))</f>
        <v/>
      </c>
      <c r="H2597" t="str">
        <f>IF(D2597="","",INDEX(Knutepunkter!$D:$D,D2597+1))</f>
        <v/>
      </c>
      <c r="I2597" t="str">
        <f>IF(E2597="","",INDEX(Knutepunkter!$B:$B,E2597+1))</f>
        <v/>
      </c>
      <c r="J2597" t="str">
        <f>IF(E2597="","",INDEX(Knutepunkter!$C:$C,E2597+1))</f>
        <v/>
      </c>
      <c r="K2597" t="str">
        <f>IF(E2597="","",INDEX(Knutepunkter!$D:$D,E2597+1))</f>
        <v/>
      </c>
      <c r="L2597" t="str">
        <f t="shared" si="203"/>
        <v/>
      </c>
      <c r="M2597" t="str">
        <f t="shared" si="204"/>
        <v/>
      </c>
    </row>
    <row r="2598" spans="1:13" x14ac:dyDescent="0.3">
      <c r="A2598" t="str">
        <f>Segmenter!A2598</f>
        <v/>
      </c>
      <c r="B2598" t="str">
        <f>Segmenter!B2598</f>
        <v/>
      </c>
      <c r="C2598" t="str">
        <f t="shared" si="200"/>
        <v/>
      </c>
      <c r="D2598" t="str">
        <f t="shared" si="201"/>
        <v/>
      </c>
      <c r="E2598" t="str">
        <f t="shared" si="202"/>
        <v/>
      </c>
      <c r="F2598" t="str">
        <f>IF(D2598="","",INDEX(Knutepunkter!$B:$B,D2598+1))</f>
        <v/>
      </c>
      <c r="G2598" t="str">
        <f>IF(D2598="","",INDEX(Knutepunkter!$C:$C,D2598+1))</f>
        <v/>
      </c>
      <c r="H2598" t="str">
        <f>IF(D2598="","",INDEX(Knutepunkter!$D:$D,D2598+1))</f>
        <v/>
      </c>
      <c r="I2598" t="str">
        <f>IF(E2598="","",INDEX(Knutepunkter!$B:$B,E2598+1))</f>
        <v/>
      </c>
      <c r="J2598" t="str">
        <f>IF(E2598="","",INDEX(Knutepunkter!$C:$C,E2598+1))</f>
        <v/>
      </c>
      <c r="K2598" t="str">
        <f>IF(E2598="","",INDEX(Knutepunkter!$D:$D,E2598+1))</f>
        <v/>
      </c>
      <c r="L2598" t="str">
        <f t="shared" si="203"/>
        <v/>
      </c>
      <c r="M2598" t="str">
        <f t="shared" si="204"/>
        <v/>
      </c>
    </row>
    <row r="2599" spans="1:13" x14ac:dyDescent="0.3">
      <c r="A2599" t="str">
        <f>Segmenter!A2599</f>
        <v/>
      </c>
      <c r="B2599" t="str">
        <f>Segmenter!B2599</f>
        <v/>
      </c>
      <c r="C2599" t="str">
        <f t="shared" si="200"/>
        <v/>
      </c>
      <c r="D2599" t="str">
        <f t="shared" si="201"/>
        <v/>
      </c>
      <c r="E2599" t="str">
        <f t="shared" si="202"/>
        <v/>
      </c>
      <c r="F2599" t="str">
        <f>IF(D2599="","",INDEX(Knutepunkter!$B:$B,D2599+1))</f>
        <v/>
      </c>
      <c r="G2599" t="str">
        <f>IF(D2599="","",INDEX(Knutepunkter!$C:$C,D2599+1))</f>
        <v/>
      </c>
      <c r="H2599" t="str">
        <f>IF(D2599="","",INDEX(Knutepunkter!$D:$D,D2599+1))</f>
        <v/>
      </c>
      <c r="I2599" t="str">
        <f>IF(E2599="","",INDEX(Knutepunkter!$B:$B,E2599+1))</f>
        <v/>
      </c>
      <c r="J2599" t="str">
        <f>IF(E2599="","",INDEX(Knutepunkter!$C:$C,E2599+1))</f>
        <v/>
      </c>
      <c r="K2599" t="str">
        <f>IF(E2599="","",INDEX(Knutepunkter!$D:$D,E2599+1))</f>
        <v/>
      </c>
      <c r="L2599" t="str">
        <f t="shared" si="203"/>
        <v/>
      </c>
      <c r="M2599" t="str">
        <f t="shared" si="204"/>
        <v/>
      </c>
    </row>
    <row r="2600" spans="1:13" x14ac:dyDescent="0.3">
      <c r="A2600" t="str">
        <f>Segmenter!A2600</f>
        <v/>
      </c>
      <c r="B2600" t="str">
        <f>Segmenter!B2600</f>
        <v/>
      </c>
      <c r="C2600" t="str">
        <f t="shared" si="200"/>
        <v/>
      </c>
      <c r="D2600" t="str">
        <f t="shared" si="201"/>
        <v/>
      </c>
      <c r="E2600" t="str">
        <f t="shared" si="202"/>
        <v/>
      </c>
      <c r="F2600" t="str">
        <f>IF(D2600="","",INDEX(Knutepunkter!$B:$B,D2600+1))</f>
        <v/>
      </c>
      <c r="G2600" t="str">
        <f>IF(D2600="","",INDEX(Knutepunkter!$C:$C,D2600+1))</f>
        <v/>
      </c>
      <c r="H2600" t="str">
        <f>IF(D2600="","",INDEX(Knutepunkter!$D:$D,D2600+1))</f>
        <v/>
      </c>
      <c r="I2600" t="str">
        <f>IF(E2600="","",INDEX(Knutepunkter!$B:$B,E2600+1))</f>
        <v/>
      </c>
      <c r="J2600" t="str">
        <f>IF(E2600="","",INDEX(Knutepunkter!$C:$C,E2600+1))</f>
        <v/>
      </c>
      <c r="K2600" t="str">
        <f>IF(E2600="","",INDEX(Knutepunkter!$D:$D,E2600+1))</f>
        <v/>
      </c>
      <c r="L2600" t="str">
        <f t="shared" si="203"/>
        <v/>
      </c>
      <c r="M2600" t="str">
        <f t="shared" si="204"/>
        <v/>
      </c>
    </row>
    <row r="2601" spans="1:13" x14ac:dyDescent="0.3">
      <c r="A2601" t="str">
        <f>Segmenter!A2601</f>
        <v/>
      </c>
      <c r="B2601" t="str">
        <f>Segmenter!B2601</f>
        <v/>
      </c>
      <c r="C2601" t="str">
        <f t="shared" si="200"/>
        <v/>
      </c>
      <c r="D2601" t="str">
        <f t="shared" si="201"/>
        <v/>
      </c>
      <c r="E2601" t="str">
        <f t="shared" si="202"/>
        <v/>
      </c>
      <c r="F2601" t="str">
        <f>IF(D2601="","",INDEX(Knutepunkter!$B:$B,D2601+1))</f>
        <v/>
      </c>
      <c r="G2601" t="str">
        <f>IF(D2601="","",INDEX(Knutepunkter!$C:$C,D2601+1))</f>
        <v/>
      </c>
      <c r="H2601" t="str">
        <f>IF(D2601="","",INDEX(Knutepunkter!$D:$D,D2601+1))</f>
        <v/>
      </c>
      <c r="I2601" t="str">
        <f>IF(E2601="","",INDEX(Knutepunkter!$B:$B,E2601+1))</f>
        <v/>
      </c>
      <c r="J2601" t="str">
        <f>IF(E2601="","",INDEX(Knutepunkter!$C:$C,E2601+1))</f>
        <v/>
      </c>
      <c r="K2601" t="str">
        <f>IF(E2601="","",INDEX(Knutepunkter!$D:$D,E2601+1))</f>
        <v/>
      </c>
      <c r="L2601" t="str">
        <f t="shared" si="203"/>
        <v/>
      </c>
      <c r="M2601" t="str">
        <f t="shared" si="204"/>
        <v/>
      </c>
    </row>
    <row r="2602" spans="1:13" x14ac:dyDescent="0.3">
      <c r="A2602" t="str">
        <f>Segmenter!A2602</f>
        <v/>
      </c>
      <c r="B2602" t="str">
        <f>Segmenter!B2602</f>
        <v/>
      </c>
      <c r="C2602" t="str">
        <f t="shared" si="200"/>
        <v/>
      </c>
      <c r="D2602" t="str">
        <f t="shared" si="201"/>
        <v/>
      </c>
      <c r="E2602" t="str">
        <f t="shared" si="202"/>
        <v/>
      </c>
      <c r="F2602" t="str">
        <f>IF(D2602="","",INDEX(Knutepunkter!$B:$B,D2602+1))</f>
        <v/>
      </c>
      <c r="G2602" t="str">
        <f>IF(D2602="","",INDEX(Knutepunkter!$C:$C,D2602+1))</f>
        <v/>
      </c>
      <c r="H2602" t="str">
        <f>IF(D2602="","",INDEX(Knutepunkter!$D:$D,D2602+1))</f>
        <v/>
      </c>
      <c r="I2602" t="str">
        <f>IF(E2602="","",INDEX(Knutepunkter!$B:$B,E2602+1))</f>
        <v/>
      </c>
      <c r="J2602" t="str">
        <f>IF(E2602="","",INDEX(Knutepunkter!$C:$C,E2602+1))</f>
        <v/>
      </c>
      <c r="K2602" t="str">
        <f>IF(E2602="","",INDEX(Knutepunkter!$D:$D,E2602+1))</f>
        <v/>
      </c>
      <c r="L2602" t="str">
        <f t="shared" si="203"/>
        <v/>
      </c>
      <c r="M2602" t="str">
        <f t="shared" si="204"/>
        <v/>
      </c>
    </row>
    <row r="2603" spans="1:13" x14ac:dyDescent="0.3">
      <c r="A2603" t="str">
        <f>Segmenter!A2603</f>
        <v/>
      </c>
      <c r="B2603" t="str">
        <f>Segmenter!B2603</f>
        <v/>
      </c>
      <c r="C2603" t="str">
        <f t="shared" si="200"/>
        <v/>
      </c>
      <c r="D2603" t="str">
        <f t="shared" si="201"/>
        <v/>
      </c>
      <c r="E2603" t="str">
        <f t="shared" si="202"/>
        <v/>
      </c>
      <c r="F2603" t="str">
        <f>IF(D2603="","",INDEX(Knutepunkter!$B:$B,D2603+1))</f>
        <v/>
      </c>
      <c r="G2603" t="str">
        <f>IF(D2603="","",INDEX(Knutepunkter!$C:$C,D2603+1))</f>
        <v/>
      </c>
      <c r="H2603" t="str">
        <f>IF(D2603="","",INDEX(Knutepunkter!$D:$D,D2603+1))</f>
        <v/>
      </c>
      <c r="I2603" t="str">
        <f>IF(E2603="","",INDEX(Knutepunkter!$B:$B,E2603+1))</f>
        <v/>
      </c>
      <c r="J2603" t="str">
        <f>IF(E2603="","",INDEX(Knutepunkter!$C:$C,E2603+1))</f>
        <v/>
      </c>
      <c r="K2603" t="str">
        <f>IF(E2603="","",INDEX(Knutepunkter!$D:$D,E2603+1))</f>
        <v/>
      </c>
      <c r="L2603" t="str">
        <f t="shared" si="203"/>
        <v/>
      </c>
      <c r="M2603" t="str">
        <f t="shared" si="204"/>
        <v/>
      </c>
    </row>
    <row r="2604" spans="1:13" x14ac:dyDescent="0.3">
      <c r="A2604" t="str">
        <f>Segmenter!A2604</f>
        <v/>
      </c>
      <c r="B2604" t="str">
        <f>Segmenter!B2604</f>
        <v/>
      </c>
      <c r="C2604" t="str">
        <f t="shared" si="200"/>
        <v/>
      </c>
      <c r="D2604" t="str">
        <f t="shared" si="201"/>
        <v/>
      </c>
      <c r="E2604" t="str">
        <f t="shared" si="202"/>
        <v/>
      </c>
      <c r="F2604" t="str">
        <f>IF(D2604="","",INDEX(Knutepunkter!$B:$B,D2604+1))</f>
        <v/>
      </c>
      <c r="G2604" t="str">
        <f>IF(D2604="","",INDEX(Knutepunkter!$C:$C,D2604+1))</f>
        <v/>
      </c>
      <c r="H2604" t="str">
        <f>IF(D2604="","",INDEX(Knutepunkter!$D:$D,D2604+1))</f>
        <v/>
      </c>
      <c r="I2604" t="str">
        <f>IF(E2604="","",INDEX(Knutepunkter!$B:$B,E2604+1))</f>
        <v/>
      </c>
      <c r="J2604" t="str">
        <f>IF(E2604="","",INDEX(Knutepunkter!$C:$C,E2604+1))</f>
        <v/>
      </c>
      <c r="K2604" t="str">
        <f>IF(E2604="","",INDEX(Knutepunkter!$D:$D,E2604+1))</f>
        <v/>
      </c>
      <c r="L2604" t="str">
        <f t="shared" si="203"/>
        <v/>
      </c>
      <c r="M2604" t="str">
        <f t="shared" si="204"/>
        <v/>
      </c>
    </row>
    <row r="2605" spans="1:13" x14ac:dyDescent="0.3">
      <c r="A2605" t="str">
        <f>Segmenter!A2605</f>
        <v/>
      </c>
      <c r="B2605" t="str">
        <f>Segmenter!B2605</f>
        <v/>
      </c>
      <c r="C2605" t="str">
        <f t="shared" si="200"/>
        <v/>
      </c>
      <c r="D2605" t="str">
        <f t="shared" si="201"/>
        <v/>
      </c>
      <c r="E2605" t="str">
        <f t="shared" si="202"/>
        <v/>
      </c>
      <c r="F2605" t="str">
        <f>IF(D2605="","",INDEX(Knutepunkter!$B:$B,D2605+1))</f>
        <v/>
      </c>
      <c r="G2605" t="str">
        <f>IF(D2605="","",INDEX(Knutepunkter!$C:$C,D2605+1))</f>
        <v/>
      </c>
      <c r="H2605" t="str">
        <f>IF(D2605="","",INDEX(Knutepunkter!$D:$D,D2605+1))</f>
        <v/>
      </c>
      <c r="I2605" t="str">
        <f>IF(E2605="","",INDEX(Knutepunkter!$B:$B,E2605+1))</f>
        <v/>
      </c>
      <c r="J2605" t="str">
        <f>IF(E2605="","",INDEX(Knutepunkter!$C:$C,E2605+1))</f>
        <v/>
      </c>
      <c r="K2605" t="str">
        <f>IF(E2605="","",INDEX(Knutepunkter!$D:$D,E2605+1))</f>
        <v/>
      </c>
      <c r="L2605" t="str">
        <f t="shared" si="203"/>
        <v/>
      </c>
      <c r="M2605" t="str">
        <f t="shared" si="204"/>
        <v/>
      </c>
    </row>
    <row r="2606" spans="1:13" x14ac:dyDescent="0.3">
      <c r="A2606" t="str">
        <f>Segmenter!A2606</f>
        <v/>
      </c>
      <c r="B2606" t="str">
        <f>Segmenter!B2606</f>
        <v/>
      </c>
      <c r="C2606" t="str">
        <f t="shared" si="200"/>
        <v/>
      </c>
      <c r="D2606" t="str">
        <f t="shared" si="201"/>
        <v/>
      </c>
      <c r="E2606" t="str">
        <f t="shared" si="202"/>
        <v/>
      </c>
      <c r="F2606" t="str">
        <f>IF(D2606="","",INDEX(Knutepunkter!$B:$B,D2606+1))</f>
        <v/>
      </c>
      <c r="G2606" t="str">
        <f>IF(D2606="","",INDEX(Knutepunkter!$C:$C,D2606+1))</f>
        <v/>
      </c>
      <c r="H2606" t="str">
        <f>IF(D2606="","",INDEX(Knutepunkter!$D:$D,D2606+1))</f>
        <v/>
      </c>
      <c r="I2606" t="str">
        <f>IF(E2606="","",INDEX(Knutepunkter!$B:$B,E2606+1))</f>
        <v/>
      </c>
      <c r="J2606" t="str">
        <f>IF(E2606="","",INDEX(Knutepunkter!$C:$C,E2606+1))</f>
        <v/>
      </c>
      <c r="K2606" t="str">
        <f>IF(E2606="","",INDEX(Knutepunkter!$D:$D,E2606+1))</f>
        <v/>
      </c>
      <c r="L2606" t="str">
        <f t="shared" si="203"/>
        <v/>
      </c>
      <c r="M2606" t="str">
        <f t="shared" si="204"/>
        <v/>
      </c>
    </row>
    <row r="2607" spans="1:13" x14ac:dyDescent="0.3">
      <c r="A2607" t="str">
        <f>Segmenter!A2607</f>
        <v/>
      </c>
      <c r="B2607" t="str">
        <f>Segmenter!B2607</f>
        <v/>
      </c>
      <c r="C2607" t="str">
        <f t="shared" si="200"/>
        <v/>
      </c>
      <c r="D2607" t="str">
        <f t="shared" si="201"/>
        <v/>
      </c>
      <c r="E2607" t="str">
        <f t="shared" si="202"/>
        <v/>
      </c>
      <c r="F2607" t="str">
        <f>IF(D2607="","",INDEX(Knutepunkter!$B:$B,D2607+1))</f>
        <v/>
      </c>
      <c r="G2607" t="str">
        <f>IF(D2607="","",INDEX(Knutepunkter!$C:$C,D2607+1))</f>
        <v/>
      </c>
      <c r="H2607" t="str">
        <f>IF(D2607="","",INDEX(Knutepunkter!$D:$D,D2607+1))</f>
        <v/>
      </c>
      <c r="I2607" t="str">
        <f>IF(E2607="","",INDEX(Knutepunkter!$B:$B,E2607+1))</f>
        <v/>
      </c>
      <c r="J2607" t="str">
        <f>IF(E2607="","",INDEX(Knutepunkter!$C:$C,E2607+1))</f>
        <v/>
      </c>
      <c r="K2607" t="str">
        <f>IF(E2607="","",INDEX(Knutepunkter!$D:$D,E2607+1))</f>
        <v/>
      </c>
      <c r="L2607" t="str">
        <f t="shared" si="203"/>
        <v/>
      </c>
      <c r="M2607" t="str">
        <f t="shared" si="204"/>
        <v/>
      </c>
    </row>
    <row r="2608" spans="1:13" x14ac:dyDescent="0.3">
      <c r="A2608" t="str">
        <f>Segmenter!A2608</f>
        <v/>
      </c>
      <c r="B2608" t="str">
        <f>Segmenter!B2608</f>
        <v/>
      </c>
      <c r="C2608" t="str">
        <f t="shared" si="200"/>
        <v/>
      </c>
      <c r="D2608" t="str">
        <f t="shared" si="201"/>
        <v/>
      </c>
      <c r="E2608" t="str">
        <f t="shared" si="202"/>
        <v/>
      </c>
      <c r="F2608" t="str">
        <f>IF(D2608="","",INDEX(Knutepunkter!$B:$B,D2608+1))</f>
        <v/>
      </c>
      <c r="G2608" t="str">
        <f>IF(D2608="","",INDEX(Knutepunkter!$C:$C,D2608+1))</f>
        <v/>
      </c>
      <c r="H2608" t="str">
        <f>IF(D2608="","",INDEX(Knutepunkter!$D:$D,D2608+1))</f>
        <v/>
      </c>
      <c r="I2608" t="str">
        <f>IF(E2608="","",INDEX(Knutepunkter!$B:$B,E2608+1))</f>
        <v/>
      </c>
      <c r="J2608" t="str">
        <f>IF(E2608="","",INDEX(Knutepunkter!$C:$C,E2608+1))</f>
        <v/>
      </c>
      <c r="K2608" t="str">
        <f>IF(E2608="","",INDEX(Knutepunkter!$D:$D,E2608+1))</f>
        <v/>
      </c>
      <c r="L2608" t="str">
        <f t="shared" si="203"/>
        <v/>
      </c>
      <c r="M2608" t="str">
        <f t="shared" si="204"/>
        <v/>
      </c>
    </row>
    <row r="2609" spans="1:13" x14ac:dyDescent="0.3">
      <c r="A2609" t="str">
        <f>Segmenter!A2609</f>
        <v/>
      </c>
      <c r="B2609" t="str">
        <f>Segmenter!B2609</f>
        <v/>
      </c>
      <c r="C2609" t="str">
        <f t="shared" si="200"/>
        <v/>
      </c>
      <c r="D2609" t="str">
        <f t="shared" si="201"/>
        <v/>
      </c>
      <c r="E2609" t="str">
        <f t="shared" si="202"/>
        <v/>
      </c>
      <c r="F2609" t="str">
        <f>IF(D2609="","",INDEX(Knutepunkter!$B:$B,D2609+1))</f>
        <v/>
      </c>
      <c r="G2609" t="str">
        <f>IF(D2609="","",INDEX(Knutepunkter!$C:$C,D2609+1))</f>
        <v/>
      </c>
      <c r="H2609" t="str">
        <f>IF(D2609="","",INDEX(Knutepunkter!$D:$D,D2609+1))</f>
        <v/>
      </c>
      <c r="I2609" t="str">
        <f>IF(E2609="","",INDEX(Knutepunkter!$B:$B,E2609+1))</f>
        <v/>
      </c>
      <c r="J2609" t="str">
        <f>IF(E2609="","",INDEX(Knutepunkter!$C:$C,E2609+1))</f>
        <v/>
      </c>
      <c r="K2609" t="str">
        <f>IF(E2609="","",INDEX(Knutepunkter!$D:$D,E2609+1))</f>
        <v/>
      </c>
      <c r="L2609" t="str">
        <f t="shared" si="203"/>
        <v/>
      </c>
      <c r="M2609" t="str">
        <f t="shared" si="204"/>
        <v/>
      </c>
    </row>
    <row r="2610" spans="1:13" x14ac:dyDescent="0.3">
      <c r="A2610" t="str">
        <f>Segmenter!A2610</f>
        <v/>
      </c>
      <c r="B2610" t="str">
        <f>Segmenter!B2610</f>
        <v/>
      </c>
      <c r="C2610" t="str">
        <f t="shared" si="200"/>
        <v/>
      </c>
      <c r="D2610" t="str">
        <f t="shared" si="201"/>
        <v/>
      </c>
      <c r="E2610" t="str">
        <f t="shared" si="202"/>
        <v/>
      </c>
      <c r="F2610" t="str">
        <f>IF(D2610="","",INDEX(Knutepunkter!$B:$B,D2610+1))</f>
        <v/>
      </c>
      <c r="G2610" t="str">
        <f>IF(D2610="","",INDEX(Knutepunkter!$C:$C,D2610+1))</f>
        <v/>
      </c>
      <c r="H2610" t="str">
        <f>IF(D2610="","",INDEX(Knutepunkter!$D:$D,D2610+1))</f>
        <v/>
      </c>
      <c r="I2610" t="str">
        <f>IF(E2610="","",INDEX(Knutepunkter!$B:$B,E2610+1))</f>
        <v/>
      </c>
      <c r="J2610" t="str">
        <f>IF(E2610="","",INDEX(Knutepunkter!$C:$C,E2610+1))</f>
        <v/>
      </c>
      <c r="K2610" t="str">
        <f>IF(E2610="","",INDEX(Knutepunkter!$D:$D,E2610+1))</f>
        <v/>
      </c>
      <c r="L2610" t="str">
        <f t="shared" si="203"/>
        <v/>
      </c>
      <c r="M2610" t="str">
        <f t="shared" si="204"/>
        <v/>
      </c>
    </row>
    <row r="2611" spans="1:13" x14ac:dyDescent="0.3">
      <c r="A2611" t="str">
        <f>Segmenter!A2611</f>
        <v/>
      </c>
      <c r="B2611" t="str">
        <f>Segmenter!B2611</f>
        <v/>
      </c>
      <c r="C2611" t="str">
        <f t="shared" si="200"/>
        <v/>
      </c>
      <c r="D2611" t="str">
        <f t="shared" si="201"/>
        <v/>
      </c>
      <c r="E2611" t="str">
        <f t="shared" si="202"/>
        <v/>
      </c>
      <c r="F2611" t="str">
        <f>IF(D2611="","",INDEX(Knutepunkter!$B:$B,D2611+1))</f>
        <v/>
      </c>
      <c r="G2611" t="str">
        <f>IF(D2611="","",INDEX(Knutepunkter!$C:$C,D2611+1))</f>
        <v/>
      </c>
      <c r="H2611" t="str">
        <f>IF(D2611="","",INDEX(Knutepunkter!$D:$D,D2611+1))</f>
        <v/>
      </c>
      <c r="I2611" t="str">
        <f>IF(E2611="","",INDEX(Knutepunkter!$B:$B,E2611+1))</f>
        <v/>
      </c>
      <c r="J2611" t="str">
        <f>IF(E2611="","",INDEX(Knutepunkter!$C:$C,E2611+1))</f>
        <v/>
      </c>
      <c r="K2611" t="str">
        <f>IF(E2611="","",INDEX(Knutepunkter!$D:$D,E2611+1))</f>
        <v/>
      </c>
      <c r="L2611" t="str">
        <f t="shared" si="203"/>
        <v/>
      </c>
      <c r="M2611" t="str">
        <f t="shared" si="204"/>
        <v/>
      </c>
    </row>
    <row r="2612" spans="1:13" x14ac:dyDescent="0.3">
      <c r="A2612" t="str">
        <f>Segmenter!A2612</f>
        <v/>
      </c>
      <c r="B2612" t="str">
        <f>Segmenter!B2612</f>
        <v/>
      </c>
      <c r="C2612" t="str">
        <f t="shared" si="200"/>
        <v/>
      </c>
      <c r="D2612" t="str">
        <f t="shared" si="201"/>
        <v/>
      </c>
      <c r="E2612" t="str">
        <f t="shared" si="202"/>
        <v/>
      </c>
      <c r="F2612" t="str">
        <f>IF(D2612="","",INDEX(Knutepunkter!$B:$B,D2612+1))</f>
        <v/>
      </c>
      <c r="G2612" t="str">
        <f>IF(D2612="","",INDEX(Knutepunkter!$C:$C,D2612+1))</f>
        <v/>
      </c>
      <c r="H2612" t="str">
        <f>IF(D2612="","",INDEX(Knutepunkter!$D:$D,D2612+1))</f>
        <v/>
      </c>
      <c r="I2612" t="str">
        <f>IF(E2612="","",INDEX(Knutepunkter!$B:$B,E2612+1))</f>
        <v/>
      </c>
      <c r="J2612" t="str">
        <f>IF(E2612="","",INDEX(Knutepunkter!$C:$C,E2612+1))</f>
        <v/>
      </c>
      <c r="K2612" t="str">
        <f>IF(E2612="","",INDEX(Knutepunkter!$D:$D,E2612+1))</f>
        <v/>
      </c>
      <c r="L2612" t="str">
        <f t="shared" si="203"/>
        <v/>
      </c>
      <c r="M2612" t="str">
        <f t="shared" si="204"/>
        <v/>
      </c>
    </row>
    <row r="2613" spans="1:13" x14ac:dyDescent="0.3">
      <c r="A2613" t="str">
        <f>Segmenter!A2613</f>
        <v/>
      </c>
      <c r="B2613" t="str">
        <f>Segmenter!B2613</f>
        <v/>
      </c>
      <c r="C2613" t="str">
        <f t="shared" si="200"/>
        <v/>
      </c>
      <c r="D2613" t="str">
        <f t="shared" si="201"/>
        <v/>
      </c>
      <c r="E2613" t="str">
        <f t="shared" si="202"/>
        <v/>
      </c>
      <c r="F2613" t="str">
        <f>IF(D2613="","",INDEX(Knutepunkter!$B:$B,D2613+1))</f>
        <v/>
      </c>
      <c r="G2613" t="str">
        <f>IF(D2613="","",INDEX(Knutepunkter!$C:$C,D2613+1))</f>
        <v/>
      </c>
      <c r="H2613" t="str">
        <f>IF(D2613="","",INDEX(Knutepunkter!$D:$D,D2613+1))</f>
        <v/>
      </c>
      <c r="I2613" t="str">
        <f>IF(E2613="","",INDEX(Knutepunkter!$B:$B,E2613+1))</f>
        <v/>
      </c>
      <c r="J2613" t="str">
        <f>IF(E2613="","",INDEX(Knutepunkter!$C:$C,E2613+1))</f>
        <v/>
      </c>
      <c r="K2613" t="str">
        <f>IF(E2613="","",INDEX(Knutepunkter!$D:$D,E2613+1))</f>
        <v/>
      </c>
      <c r="L2613" t="str">
        <f t="shared" si="203"/>
        <v/>
      </c>
      <c r="M2613" t="str">
        <f t="shared" si="204"/>
        <v/>
      </c>
    </row>
    <row r="2614" spans="1:13" x14ac:dyDescent="0.3">
      <c r="A2614" t="str">
        <f>Segmenter!A2614</f>
        <v/>
      </c>
      <c r="B2614" t="str">
        <f>Segmenter!B2614</f>
        <v/>
      </c>
      <c r="C2614" t="str">
        <f t="shared" si="200"/>
        <v/>
      </c>
      <c r="D2614" t="str">
        <f t="shared" si="201"/>
        <v/>
      </c>
      <c r="E2614" t="str">
        <f t="shared" si="202"/>
        <v/>
      </c>
      <c r="F2614" t="str">
        <f>IF(D2614="","",INDEX(Knutepunkter!$B:$B,D2614+1))</f>
        <v/>
      </c>
      <c r="G2614" t="str">
        <f>IF(D2614="","",INDEX(Knutepunkter!$C:$C,D2614+1))</f>
        <v/>
      </c>
      <c r="H2614" t="str">
        <f>IF(D2614="","",INDEX(Knutepunkter!$D:$D,D2614+1))</f>
        <v/>
      </c>
      <c r="I2614" t="str">
        <f>IF(E2614="","",INDEX(Knutepunkter!$B:$B,E2614+1))</f>
        <v/>
      </c>
      <c r="J2614" t="str">
        <f>IF(E2614="","",INDEX(Knutepunkter!$C:$C,E2614+1))</f>
        <v/>
      </c>
      <c r="K2614" t="str">
        <f>IF(E2614="","",INDEX(Knutepunkter!$D:$D,E2614+1))</f>
        <v/>
      </c>
      <c r="L2614" t="str">
        <f t="shared" si="203"/>
        <v/>
      </c>
      <c r="M2614" t="str">
        <f t="shared" si="204"/>
        <v/>
      </c>
    </row>
    <row r="2615" spans="1:13" x14ac:dyDescent="0.3">
      <c r="A2615" t="str">
        <f>Segmenter!A2615</f>
        <v/>
      </c>
      <c r="B2615" t="str">
        <f>Segmenter!B2615</f>
        <v/>
      </c>
      <c r="C2615" t="str">
        <f t="shared" si="200"/>
        <v/>
      </c>
      <c r="D2615" t="str">
        <f t="shared" si="201"/>
        <v/>
      </c>
      <c r="E2615" t="str">
        <f t="shared" si="202"/>
        <v/>
      </c>
      <c r="F2615" t="str">
        <f>IF(D2615="","",INDEX(Knutepunkter!$B:$B,D2615+1))</f>
        <v/>
      </c>
      <c r="G2615" t="str">
        <f>IF(D2615="","",INDEX(Knutepunkter!$C:$C,D2615+1))</f>
        <v/>
      </c>
      <c r="H2615" t="str">
        <f>IF(D2615="","",INDEX(Knutepunkter!$D:$D,D2615+1))</f>
        <v/>
      </c>
      <c r="I2615" t="str">
        <f>IF(E2615="","",INDEX(Knutepunkter!$B:$B,E2615+1))</f>
        <v/>
      </c>
      <c r="J2615" t="str">
        <f>IF(E2615="","",INDEX(Knutepunkter!$C:$C,E2615+1))</f>
        <v/>
      </c>
      <c r="K2615" t="str">
        <f>IF(E2615="","",INDEX(Knutepunkter!$D:$D,E2615+1))</f>
        <v/>
      </c>
      <c r="L2615" t="str">
        <f t="shared" si="203"/>
        <v/>
      </c>
      <c r="M2615" t="str">
        <f t="shared" si="204"/>
        <v/>
      </c>
    </row>
    <row r="2616" spans="1:13" x14ac:dyDescent="0.3">
      <c r="A2616" t="str">
        <f>Segmenter!A2616</f>
        <v/>
      </c>
      <c r="B2616" t="str">
        <f>Segmenter!B2616</f>
        <v/>
      </c>
      <c r="C2616" t="str">
        <f t="shared" si="200"/>
        <v/>
      </c>
      <c r="D2616" t="str">
        <f t="shared" si="201"/>
        <v/>
      </c>
      <c r="E2616" t="str">
        <f t="shared" si="202"/>
        <v/>
      </c>
      <c r="F2616" t="str">
        <f>IF(D2616="","",INDEX(Knutepunkter!$B:$B,D2616+1))</f>
        <v/>
      </c>
      <c r="G2616" t="str">
        <f>IF(D2616="","",INDEX(Knutepunkter!$C:$C,D2616+1))</f>
        <v/>
      </c>
      <c r="H2616" t="str">
        <f>IF(D2616="","",INDEX(Knutepunkter!$D:$D,D2616+1))</f>
        <v/>
      </c>
      <c r="I2616" t="str">
        <f>IF(E2616="","",INDEX(Knutepunkter!$B:$B,E2616+1))</f>
        <v/>
      </c>
      <c r="J2616" t="str">
        <f>IF(E2616="","",INDEX(Knutepunkter!$C:$C,E2616+1))</f>
        <v/>
      </c>
      <c r="K2616" t="str">
        <f>IF(E2616="","",INDEX(Knutepunkter!$D:$D,E2616+1))</f>
        <v/>
      </c>
      <c r="L2616" t="str">
        <f t="shared" si="203"/>
        <v/>
      </c>
      <c r="M2616" t="str">
        <f t="shared" si="204"/>
        <v/>
      </c>
    </row>
    <row r="2617" spans="1:13" x14ac:dyDescent="0.3">
      <c r="A2617" t="str">
        <f>Segmenter!A2617</f>
        <v/>
      </c>
      <c r="B2617" t="str">
        <f>Segmenter!B2617</f>
        <v/>
      </c>
      <c r="C2617" t="str">
        <f t="shared" si="200"/>
        <v/>
      </c>
      <c r="D2617" t="str">
        <f t="shared" si="201"/>
        <v/>
      </c>
      <c r="E2617" t="str">
        <f t="shared" si="202"/>
        <v/>
      </c>
      <c r="F2617" t="str">
        <f>IF(D2617="","",INDEX(Knutepunkter!$B:$B,D2617+1))</f>
        <v/>
      </c>
      <c r="G2617" t="str">
        <f>IF(D2617="","",INDEX(Knutepunkter!$C:$C,D2617+1))</f>
        <v/>
      </c>
      <c r="H2617" t="str">
        <f>IF(D2617="","",INDEX(Knutepunkter!$D:$D,D2617+1))</f>
        <v/>
      </c>
      <c r="I2617" t="str">
        <f>IF(E2617="","",INDEX(Knutepunkter!$B:$B,E2617+1))</f>
        <v/>
      </c>
      <c r="J2617" t="str">
        <f>IF(E2617="","",INDEX(Knutepunkter!$C:$C,E2617+1))</f>
        <v/>
      </c>
      <c r="K2617" t="str">
        <f>IF(E2617="","",INDEX(Knutepunkter!$D:$D,E2617+1))</f>
        <v/>
      </c>
      <c r="L2617" t="str">
        <f t="shared" si="203"/>
        <v/>
      </c>
      <c r="M2617" t="str">
        <f t="shared" si="204"/>
        <v/>
      </c>
    </row>
    <row r="2618" spans="1:13" x14ac:dyDescent="0.3">
      <c r="A2618" t="str">
        <f>Segmenter!A2618</f>
        <v/>
      </c>
      <c r="B2618" t="str">
        <f>Segmenter!B2618</f>
        <v/>
      </c>
      <c r="C2618" t="str">
        <f t="shared" si="200"/>
        <v/>
      </c>
      <c r="D2618" t="str">
        <f t="shared" si="201"/>
        <v/>
      </c>
      <c r="E2618" t="str">
        <f t="shared" si="202"/>
        <v/>
      </c>
      <c r="F2618" t="str">
        <f>IF(D2618="","",INDEX(Knutepunkter!$B:$B,D2618+1))</f>
        <v/>
      </c>
      <c r="G2618" t="str">
        <f>IF(D2618="","",INDEX(Knutepunkter!$C:$C,D2618+1))</f>
        <v/>
      </c>
      <c r="H2618" t="str">
        <f>IF(D2618="","",INDEX(Knutepunkter!$D:$D,D2618+1))</f>
        <v/>
      </c>
      <c r="I2618" t="str">
        <f>IF(E2618="","",INDEX(Knutepunkter!$B:$B,E2618+1))</f>
        <v/>
      </c>
      <c r="J2618" t="str">
        <f>IF(E2618="","",INDEX(Knutepunkter!$C:$C,E2618+1))</f>
        <v/>
      </c>
      <c r="K2618" t="str">
        <f>IF(E2618="","",INDEX(Knutepunkter!$D:$D,E2618+1))</f>
        <v/>
      </c>
      <c r="L2618" t="str">
        <f t="shared" si="203"/>
        <v/>
      </c>
      <c r="M2618" t="str">
        <f t="shared" si="204"/>
        <v/>
      </c>
    </row>
    <row r="2619" spans="1:13" x14ac:dyDescent="0.3">
      <c r="A2619" t="str">
        <f>Segmenter!A2619</f>
        <v/>
      </c>
      <c r="B2619" t="str">
        <f>Segmenter!B2619</f>
        <v/>
      </c>
      <c r="C2619" t="str">
        <f t="shared" si="200"/>
        <v/>
      </c>
      <c r="D2619" t="str">
        <f t="shared" si="201"/>
        <v/>
      </c>
      <c r="E2619" t="str">
        <f t="shared" si="202"/>
        <v/>
      </c>
      <c r="F2619" t="str">
        <f>IF(D2619="","",INDEX(Knutepunkter!$B:$B,D2619+1))</f>
        <v/>
      </c>
      <c r="G2619" t="str">
        <f>IF(D2619="","",INDEX(Knutepunkter!$C:$C,D2619+1))</f>
        <v/>
      </c>
      <c r="H2619" t="str">
        <f>IF(D2619="","",INDEX(Knutepunkter!$D:$D,D2619+1))</f>
        <v/>
      </c>
      <c r="I2619" t="str">
        <f>IF(E2619="","",INDEX(Knutepunkter!$B:$B,E2619+1))</f>
        <v/>
      </c>
      <c r="J2619" t="str">
        <f>IF(E2619="","",INDEX(Knutepunkter!$C:$C,E2619+1))</f>
        <v/>
      </c>
      <c r="K2619" t="str">
        <f>IF(E2619="","",INDEX(Knutepunkter!$D:$D,E2619+1))</f>
        <v/>
      </c>
      <c r="L2619" t="str">
        <f t="shared" si="203"/>
        <v/>
      </c>
      <c r="M2619" t="str">
        <f t="shared" si="204"/>
        <v/>
      </c>
    </row>
    <row r="2620" spans="1:13" x14ac:dyDescent="0.3">
      <c r="A2620" t="str">
        <f>Segmenter!A2620</f>
        <v/>
      </c>
      <c r="B2620" t="str">
        <f>Segmenter!B2620</f>
        <v/>
      </c>
      <c r="C2620" t="str">
        <f t="shared" si="200"/>
        <v/>
      </c>
      <c r="D2620" t="str">
        <f t="shared" si="201"/>
        <v/>
      </c>
      <c r="E2620" t="str">
        <f t="shared" si="202"/>
        <v/>
      </c>
      <c r="F2620" t="str">
        <f>IF(D2620="","",INDEX(Knutepunkter!$B:$B,D2620+1))</f>
        <v/>
      </c>
      <c r="G2620" t="str">
        <f>IF(D2620="","",INDEX(Knutepunkter!$C:$C,D2620+1))</f>
        <v/>
      </c>
      <c r="H2620" t="str">
        <f>IF(D2620="","",INDEX(Knutepunkter!$D:$D,D2620+1))</f>
        <v/>
      </c>
      <c r="I2620" t="str">
        <f>IF(E2620="","",INDEX(Knutepunkter!$B:$B,E2620+1))</f>
        <v/>
      </c>
      <c r="J2620" t="str">
        <f>IF(E2620="","",INDEX(Knutepunkter!$C:$C,E2620+1))</f>
        <v/>
      </c>
      <c r="K2620" t="str">
        <f>IF(E2620="","",INDEX(Knutepunkter!$D:$D,E2620+1))</f>
        <v/>
      </c>
      <c r="L2620" t="str">
        <f t="shared" si="203"/>
        <v/>
      </c>
      <c r="M2620" t="str">
        <f t="shared" si="204"/>
        <v/>
      </c>
    </row>
    <row r="2621" spans="1:13" x14ac:dyDescent="0.3">
      <c r="A2621" t="str">
        <f>Segmenter!A2621</f>
        <v/>
      </c>
      <c r="B2621" t="str">
        <f>Segmenter!B2621</f>
        <v/>
      </c>
      <c r="C2621" t="str">
        <f t="shared" si="200"/>
        <v/>
      </c>
      <c r="D2621" t="str">
        <f t="shared" si="201"/>
        <v/>
      </c>
      <c r="E2621" t="str">
        <f t="shared" si="202"/>
        <v/>
      </c>
      <c r="F2621" t="str">
        <f>IF(D2621="","",INDEX(Knutepunkter!$B:$B,D2621+1))</f>
        <v/>
      </c>
      <c r="G2621" t="str">
        <f>IF(D2621="","",INDEX(Knutepunkter!$C:$C,D2621+1))</f>
        <v/>
      </c>
      <c r="H2621" t="str">
        <f>IF(D2621="","",INDEX(Knutepunkter!$D:$D,D2621+1))</f>
        <v/>
      </c>
      <c r="I2621" t="str">
        <f>IF(E2621="","",INDEX(Knutepunkter!$B:$B,E2621+1))</f>
        <v/>
      </c>
      <c r="J2621" t="str">
        <f>IF(E2621="","",INDEX(Knutepunkter!$C:$C,E2621+1))</f>
        <v/>
      </c>
      <c r="K2621" t="str">
        <f>IF(E2621="","",INDEX(Knutepunkter!$D:$D,E2621+1))</f>
        <v/>
      </c>
      <c r="L2621" t="str">
        <f t="shared" si="203"/>
        <v/>
      </c>
      <c r="M2621" t="str">
        <f t="shared" si="204"/>
        <v/>
      </c>
    </row>
    <row r="2622" spans="1:13" x14ac:dyDescent="0.3">
      <c r="A2622" t="str">
        <f>Segmenter!A2622</f>
        <v/>
      </c>
      <c r="B2622" t="str">
        <f>Segmenter!B2622</f>
        <v/>
      </c>
      <c r="C2622" t="str">
        <f t="shared" si="200"/>
        <v/>
      </c>
      <c r="D2622" t="str">
        <f t="shared" si="201"/>
        <v/>
      </c>
      <c r="E2622" t="str">
        <f t="shared" si="202"/>
        <v/>
      </c>
      <c r="F2622" t="str">
        <f>IF(D2622="","",INDEX(Knutepunkter!$B:$B,D2622+1))</f>
        <v/>
      </c>
      <c r="G2622" t="str">
        <f>IF(D2622="","",INDEX(Knutepunkter!$C:$C,D2622+1))</f>
        <v/>
      </c>
      <c r="H2622" t="str">
        <f>IF(D2622="","",INDEX(Knutepunkter!$D:$D,D2622+1))</f>
        <v/>
      </c>
      <c r="I2622" t="str">
        <f>IF(E2622="","",INDEX(Knutepunkter!$B:$B,E2622+1))</f>
        <v/>
      </c>
      <c r="J2622" t="str">
        <f>IF(E2622="","",INDEX(Knutepunkter!$C:$C,E2622+1))</f>
        <v/>
      </c>
      <c r="K2622" t="str">
        <f>IF(E2622="","",INDEX(Knutepunkter!$D:$D,E2622+1))</f>
        <v/>
      </c>
      <c r="L2622" t="str">
        <f t="shared" si="203"/>
        <v/>
      </c>
      <c r="M2622" t="str">
        <f t="shared" si="204"/>
        <v/>
      </c>
    </row>
    <row r="2623" spans="1:13" x14ac:dyDescent="0.3">
      <c r="A2623" t="str">
        <f>Segmenter!A2623</f>
        <v/>
      </c>
      <c r="B2623" t="str">
        <f>Segmenter!B2623</f>
        <v/>
      </c>
      <c r="C2623" t="str">
        <f t="shared" si="200"/>
        <v/>
      </c>
      <c r="D2623" t="str">
        <f t="shared" si="201"/>
        <v/>
      </c>
      <c r="E2623" t="str">
        <f t="shared" si="202"/>
        <v/>
      </c>
      <c r="F2623" t="str">
        <f>IF(D2623="","",INDEX(Knutepunkter!$B:$B,D2623+1))</f>
        <v/>
      </c>
      <c r="G2623" t="str">
        <f>IF(D2623="","",INDEX(Knutepunkter!$C:$C,D2623+1))</f>
        <v/>
      </c>
      <c r="H2623" t="str">
        <f>IF(D2623="","",INDEX(Knutepunkter!$D:$D,D2623+1))</f>
        <v/>
      </c>
      <c r="I2623" t="str">
        <f>IF(E2623="","",INDEX(Knutepunkter!$B:$B,E2623+1))</f>
        <v/>
      </c>
      <c r="J2623" t="str">
        <f>IF(E2623="","",INDEX(Knutepunkter!$C:$C,E2623+1))</f>
        <v/>
      </c>
      <c r="K2623" t="str">
        <f>IF(E2623="","",INDEX(Knutepunkter!$D:$D,E2623+1))</f>
        <v/>
      </c>
      <c r="L2623" t="str">
        <f t="shared" si="203"/>
        <v/>
      </c>
      <c r="M2623" t="str">
        <f t="shared" si="204"/>
        <v/>
      </c>
    </row>
    <row r="2624" spans="1:13" x14ac:dyDescent="0.3">
      <c r="A2624" t="str">
        <f>Segmenter!A2624</f>
        <v/>
      </c>
      <c r="B2624" t="str">
        <f>Segmenter!B2624</f>
        <v/>
      </c>
      <c r="C2624" t="str">
        <f t="shared" si="200"/>
        <v/>
      </c>
      <c r="D2624" t="str">
        <f t="shared" si="201"/>
        <v/>
      </c>
      <c r="E2624" t="str">
        <f t="shared" si="202"/>
        <v/>
      </c>
      <c r="F2624" t="str">
        <f>IF(D2624="","",INDEX(Knutepunkter!$B:$B,D2624+1))</f>
        <v/>
      </c>
      <c r="G2624" t="str">
        <f>IF(D2624="","",INDEX(Knutepunkter!$C:$C,D2624+1))</f>
        <v/>
      </c>
      <c r="H2624" t="str">
        <f>IF(D2624="","",INDEX(Knutepunkter!$D:$D,D2624+1))</f>
        <v/>
      </c>
      <c r="I2624" t="str">
        <f>IF(E2624="","",INDEX(Knutepunkter!$B:$B,E2624+1))</f>
        <v/>
      </c>
      <c r="J2624" t="str">
        <f>IF(E2624="","",INDEX(Knutepunkter!$C:$C,E2624+1))</f>
        <v/>
      </c>
      <c r="K2624" t="str">
        <f>IF(E2624="","",INDEX(Knutepunkter!$D:$D,E2624+1))</f>
        <v/>
      </c>
      <c r="L2624" t="str">
        <f t="shared" si="203"/>
        <v/>
      </c>
      <c r="M2624" t="str">
        <f t="shared" si="204"/>
        <v/>
      </c>
    </row>
    <row r="2625" spans="1:13" x14ac:dyDescent="0.3">
      <c r="A2625" t="str">
        <f>Segmenter!A2625</f>
        <v/>
      </c>
      <c r="B2625" t="str">
        <f>Segmenter!B2625</f>
        <v/>
      </c>
      <c r="C2625" t="str">
        <f t="shared" si="200"/>
        <v/>
      </c>
      <c r="D2625" t="str">
        <f t="shared" si="201"/>
        <v/>
      </c>
      <c r="E2625" t="str">
        <f t="shared" si="202"/>
        <v/>
      </c>
      <c r="F2625" t="str">
        <f>IF(D2625="","",INDEX(Knutepunkter!$B:$B,D2625+1))</f>
        <v/>
      </c>
      <c r="G2625" t="str">
        <f>IF(D2625="","",INDEX(Knutepunkter!$C:$C,D2625+1))</f>
        <v/>
      </c>
      <c r="H2625" t="str">
        <f>IF(D2625="","",INDEX(Knutepunkter!$D:$D,D2625+1))</f>
        <v/>
      </c>
      <c r="I2625" t="str">
        <f>IF(E2625="","",INDEX(Knutepunkter!$B:$B,E2625+1))</f>
        <v/>
      </c>
      <c r="J2625" t="str">
        <f>IF(E2625="","",INDEX(Knutepunkter!$C:$C,E2625+1))</f>
        <v/>
      </c>
      <c r="K2625" t="str">
        <f>IF(E2625="","",INDEX(Knutepunkter!$D:$D,E2625+1))</f>
        <v/>
      </c>
      <c r="L2625" t="str">
        <f t="shared" si="203"/>
        <v/>
      </c>
      <c r="M2625" t="str">
        <f t="shared" si="204"/>
        <v/>
      </c>
    </row>
    <row r="2626" spans="1:13" x14ac:dyDescent="0.3">
      <c r="A2626" t="str">
        <f>Segmenter!A2626</f>
        <v/>
      </c>
      <c r="B2626" t="str">
        <f>Segmenter!B2626</f>
        <v/>
      </c>
      <c r="C2626" t="str">
        <f t="shared" ref="C2626:C2689" si="205">IF(B2626="","",IF(AND(F2626=I2626,G2626=J2626,H2626&lt;&gt;K2626),"Søyle","Bjelke"))</f>
        <v/>
      </c>
      <c r="D2626" t="str">
        <f t="shared" ref="D2626:D2689" si="206">IF(B2626="","",VALUE(LEFT(B2626,FIND(" -&gt; ",B2626)-1)))</f>
        <v/>
      </c>
      <c r="E2626" t="str">
        <f t="shared" ref="E2626:E2689" si="207">IF(B2626="","",VALUE(MID(B2626,FIND(" -&gt; ",B2626)+4,99)))</f>
        <v/>
      </c>
      <c r="F2626" t="str">
        <f>IF(D2626="","",INDEX(Knutepunkter!$B:$B,D2626+1))</f>
        <v/>
      </c>
      <c r="G2626" t="str">
        <f>IF(D2626="","",INDEX(Knutepunkter!$C:$C,D2626+1))</f>
        <v/>
      </c>
      <c r="H2626" t="str">
        <f>IF(D2626="","",INDEX(Knutepunkter!$D:$D,D2626+1))</f>
        <v/>
      </c>
      <c r="I2626" t="str">
        <f>IF(E2626="","",INDEX(Knutepunkter!$B:$B,E2626+1))</f>
        <v/>
      </c>
      <c r="J2626" t="str">
        <f>IF(E2626="","",INDEX(Knutepunkter!$C:$C,E2626+1))</f>
        <v/>
      </c>
      <c r="K2626" t="str">
        <f>IF(E2626="","",INDEX(Knutepunkter!$D:$D,E2626+1))</f>
        <v/>
      </c>
      <c r="L2626" t="str">
        <f t="shared" ref="L2626:L2689" si="208">IF(B2626="","",SQRT((I2626-F2626)^2+(J2626-G2626)^2+(K2626-H2626)^2))</f>
        <v/>
      </c>
      <c r="M2626" t="str">
        <f t="shared" ref="M2626:M2689" si="209">IF(L2626="","",L2626/1000)</f>
        <v/>
      </c>
    </row>
    <row r="2627" spans="1:13" x14ac:dyDescent="0.3">
      <c r="A2627" t="str">
        <f>Segmenter!A2627</f>
        <v/>
      </c>
      <c r="B2627" t="str">
        <f>Segmenter!B2627</f>
        <v/>
      </c>
      <c r="C2627" t="str">
        <f t="shared" si="205"/>
        <v/>
      </c>
      <c r="D2627" t="str">
        <f t="shared" si="206"/>
        <v/>
      </c>
      <c r="E2627" t="str">
        <f t="shared" si="207"/>
        <v/>
      </c>
      <c r="F2627" t="str">
        <f>IF(D2627="","",INDEX(Knutepunkter!$B:$B,D2627+1))</f>
        <v/>
      </c>
      <c r="G2627" t="str">
        <f>IF(D2627="","",INDEX(Knutepunkter!$C:$C,D2627+1))</f>
        <v/>
      </c>
      <c r="H2627" t="str">
        <f>IF(D2627="","",INDEX(Knutepunkter!$D:$D,D2627+1))</f>
        <v/>
      </c>
      <c r="I2627" t="str">
        <f>IF(E2627="","",INDEX(Knutepunkter!$B:$B,E2627+1))</f>
        <v/>
      </c>
      <c r="J2627" t="str">
        <f>IF(E2627="","",INDEX(Knutepunkter!$C:$C,E2627+1))</f>
        <v/>
      </c>
      <c r="K2627" t="str">
        <f>IF(E2627="","",INDEX(Knutepunkter!$D:$D,E2627+1))</f>
        <v/>
      </c>
      <c r="L2627" t="str">
        <f t="shared" si="208"/>
        <v/>
      </c>
      <c r="M2627" t="str">
        <f t="shared" si="209"/>
        <v/>
      </c>
    </row>
    <row r="2628" spans="1:13" x14ac:dyDescent="0.3">
      <c r="A2628" t="str">
        <f>Segmenter!A2628</f>
        <v/>
      </c>
      <c r="B2628" t="str">
        <f>Segmenter!B2628</f>
        <v/>
      </c>
      <c r="C2628" t="str">
        <f t="shared" si="205"/>
        <v/>
      </c>
      <c r="D2628" t="str">
        <f t="shared" si="206"/>
        <v/>
      </c>
      <c r="E2628" t="str">
        <f t="shared" si="207"/>
        <v/>
      </c>
      <c r="F2628" t="str">
        <f>IF(D2628="","",INDEX(Knutepunkter!$B:$B,D2628+1))</f>
        <v/>
      </c>
      <c r="G2628" t="str">
        <f>IF(D2628="","",INDEX(Knutepunkter!$C:$C,D2628+1))</f>
        <v/>
      </c>
      <c r="H2628" t="str">
        <f>IF(D2628="","",INDEX(Knutepunkter!$D:$D,D2628+1))</f>
        <v/>
      </c>
      <c r="I2628" t="str">
        <f>IF(E2628="","",INDEX(Knutepunkter!$B:$B,E2628+1))</f>
        <v/>
      </c>
      <c r="J2628" t="str">
        <f>IF(E2628="","",INDEX(Knutepunkter!$C:$C,E2628+1))</f>
        <v/>
      </c>
      <c r="K2628" t="str">
        <f>IF(E2628="","",INDEX(Knutepunkter!$D:$D,E2628+1))</f>
        <v/>
      </c>
      <c r="L2628" t="str">
        <f t="shared" si="208"/>
        <v/>
      </c>
      <c r="M2628" t="str">
        <f t="shared" si="209"/>
        <v/>
      </c>
    </row>
    <row r="2629" spans="1:13" x14ac:dyDescent="0.3">
      <c r="A2629" t="str">
        <f>Segmenter!A2629</f>
        <v/>
      </c>
      <c r="B2629" t="str">
        <f>Segmenter!B2629</f>
        <v/>
      </c>
      <c r="C2629" t="str">
        <f t="shared" si="205"/>
        <v/>
      </c>
      <c r="D2629" t="str">
        <f t="shared" si="206"/>
        <v/>
      </c>
      <c r="E2629" t="str">
        <f t="shared" si="207"/>
        <v/>
      </c>
      <c r="F2629" t="str">
        <f>IF(D2629="","",INDEX(Knutepunkter!$B:$B,D2629+1))</f>
        <v/>
      </c>
      <c r="G2629" t="str">
        <f>IF(D2629="","",INDEX(Knutepunkter!$C:$C,D2629+1))</f>
        <v/>
      </c>
      <c r="H2629" t="str">
        <f>IF(D2629="","",INDEX(Knutepunkter!$D:$D,D2629+1))</f>
        <v/>
      </c>
      <c r="I2629" t="str">
        <f>IF(E2629="","",INDEX(Knutepunkter!$B:$B,E2629+1))</f>
        <v/>
      </c>
      <c r="J2629" t="str">
        <f>IF(E2629="","",INDEX(Knutepunkter!$C:$C,E2629+1))</f>
        <v/>
      </c>
      <c r="K2629" t="str">
        <f>IF(E2629="","",INDEX(Knutepunkter!$D:$D,E2629+1))</f>
        <v/>
      </c>
      <c r="L2629" t="str">
        <f t="shared" si="208"/>
        <v/>
      </c>
      <c r="M2629" t="str">
        <f t="shared" si="209"/>
        <v/>
      </c>
    </row>
    <row r="2630" spans="1:13" x14ac:dyDescent="0.3">
      <c r="A2630" t="str">
        <f>Segmenter!A2630</f>
        <v/>
      </c>
      <c r="B2630" t="str">
        <f>Segmenter!B2630</f>
        <v/>
      </c>
      <c r="C2630" t="str">
        <f t="shared" si="205"/>
        <v/>
      </c>
      <c r="D2630" t="str">
        <f t="shared" si="206"/>
        <v/>
      </c>
      <c r="E2630" t="str">
        <f t="shared" si="207"/>
        <v/>
      </c>
      <c r="F2630" t="str">
        <f>IF(D2630="","",INDEX(Knutepunkter!$B:$B,D2630+1))</f>
        <v/>
      </c>
      <c r="G2630" t="str">
        <f>IF(D2630="","",INDEX(Knutepunkter!$C:$C,D2630+1))</f>
        <v/>
      </c>
      <c r="H2630" t="str">
        <f>IF(D2630="","",INDEX(Knutepunkter!$D:$D,D2630+1))</f>
        <v/>
      </c>
      <c r="I2630" t="str">
        <f>IF(E2630="","",INDEX(Knutepunkter!$B:$B,E2630+1))</f>
        <v/>
      </c>
      <c r="J2630" t="str">
        <f>IF(E2630="","",INDEX(Knutepunkter!$C:$C,E2630+1))</f>
        <v/>
      </c>
      <c r="K2630" t="str">
        <f>IF(E2630="","",INDEX(Knutepunkter!$D:$D,E2630+1))</f>
        <v/>
      </c>
      <c r="L2630" t="str">
        <f t="shared" si="208"/>
        <v/>
      </c>
      <c r="M2630" t="str">
        <f t="shared" si="209"/>
        <v/>
      </c>
    </row>
    <row r="2631" spans="1:13" x14ac:dyDescent="0.3">
      <c r="A2631" t="str">
        <f>Segmenter!A2631</f>
        <v/>
      </c>
      <c r="B2631" t="str">
        <f>Segmenter!B2631</f>
        <v/>
      </c>
      <c r="C2631" t="str">
        <f t="shared" si="205"/>
        <v/>
      </c>
      <c r="D2631" t="str">
        <f t="shared" si="206"/>
        <v/>
      </c>
      <c r="E2631" t="str">
        <f t="shared" si="207"/>
        <v/>
      </c>
      <c r="F2631" t="str">
        <f>IF(D2631="","",INDEX(Knutepunkter!$B:$B,D2631+1))</f>
        <v/>
      </c>
      <c r="G2631" t="str">
        <f>IF(D2631="","",INDEX(Knutepunkter!$C:$C,D2631+1))</f>
        <v/>
      </c>
      <c r="H2631" t="str">
        <f>IF(D2631="","",INDEX(Knutepunkter!$D:$D,D2631+1))</f>
        <v/>
      </c>
      <c r="I2631" t="str">
        <f>IF(E2631="","",INDEX(Knutepunkter!$B:$B,E2631+1))</f>
        <v/>
      </c>
      <c r="J2631" t="str">
        <f>IF(E2631="","",INDEX(Knutepunkter!$C:$C,E2631+1))</f>
        <v/>
      </c>
      <c r="K2631" t="str">
        <f>IF(E2631="","",INDEX(Knutepunkter!$D:$D,E2631+1))</f>
        <v/>
      </c>
      <c r="L2631" t="str">
        <f t="shared" si="208"/>
        <v/>
      </c>
      <c r="M2631" t="str">
        <f t="shared" si="209"/>
        <v/>
      </c>
    </row>
    <row r="2632" spans="1:13" x14ac:dyDescent="0.3">
      <c r="A2632" t="str">
        <f>Segmenter!A2632</f>
        <v/>
      </c>
      <c r="B2632" t="str">
        <f>Segmenter!B2632</f>
        <v/>
      </c>
      <c r="C2632" t="str">
        <f t="shared" si="205"/>
        <v/>
      </c>
      <c r="D2632" t="str">
        <f t="shared" si="206"/>
        <v/>
      </c>
      <c r="E2632" t="str">
        <f t="shared" si="207"/>
        <v/>
      </c>
      <c r="F2632" t="str">
        <f>IF(D2632="","",INDEX(Knutepunkter!$B:$B,D2632+1))</f>
        <v/>
      </c>
      <c r="G2632" t="str">
        <f>IF(D2632="","",INDEX(Knutepunkter!$C:$C,D2632+1))</f>
        <v/>
      </c>
      <c r="H2632" t="str">
        <f>IF(D2632="","",INDEX(Knutepunkter!$D:$D,D2632+1))</f>
        <v/>
      </c>
      <c r="I2632" t="str">
        <f>IF(E2632="","",INDEX(Knutepunkter!$B:$B,E2632+1))</f>
        <v/>
      </c>
      <c r="J2632" t="str">
        <f>IF(E2632="","",INDEX(Knutepunkter!$C:$C,E2632+1))</f>
        <v/>
      </c>
      <c r="K2632" t="str">
        <f>IF(E2632="","",INDEX(Knutepunkter!$D:$D,E2632+1))</f>
        <v/>
      </c>
      <c r="L2632" t="str">
        <f t="shared" si="208"/>
        <v/>
      </c>
      <c r="M2632" t="str">
        <f t="shared" si="209"/>
        <v/>
      </c>
    </row>
    <row r="2633" spans="1:13" x14ac:dyDescent="0.3">
      <c r="A2633" t="str">
        <f>Segmenter!A2633</f>
        <v/>
      </c>
      <c r="B2633" t="str">
        <f>Segmenter!B2633</f>
        <v/>
      </c>
      <c r="C2633" t="str">
        <f t="shared" si="205"/>
        <v/>
      </c>
      <c r="D2633" t="str">
        <f t="shared" si="206"/>
        <v/>
      </c>
      <c r="E2633" t="str">
        <f t="shared" si="207"/>
        <v/>
      </c>
      <c r="F2633" t="str">
        <f>IF(D2633="","",INDEX(Knutepunkter!$B:$B,D2633+1))</f>
        <v/>
      </c>
      <c r="G2633" t="str">
        <f>IF(D2633="","",INDEX(Knutepunkter!$C:$C,D2633+1))</f>
        <v/>
      </c>
      <c r="H2633" t="str">
        <f>IF(D2633="","",INDEX(Knutepunkter!$D:$D,D2633+1))</f>
        <v/>
      </c>
      <c r="I2633" t="str">
        <f>IF(E2633="","",INDEX(Knutepunkter!$B:$B,E2633+1))</f>
        <v/>
      </c>
      <c r="J2633" t="str">
        <f>IF(E2633="","",INDEX(Knutepunkter!$C:$C,E2633+1))</f>
        <v/>
      </c>
      <c r="K2633" t="str">
        <f>IF(E2633="","",INDEX(Knutepunkter!$D:$D,E2633+1))</f>
        <v/>
      </c>
      <c r="L2633" t="str">
        <f t="shared" si="208"/>
        <v/>
      </c>
      <c r="M2633" t="str">
        <f t="shared" si="209"/>
        <v/>
      </c>
    </row>
    <row r="2634" spans="1:13" x14ac:dyDescent="0.3">
      <c r="A2634" t="str">
        <f>Segmenter!A2634</f>
        <v/>
      </c>
      <c r="B2634" t="str">
        <f>Segmenter!B2634</f>
        <v/>
      </c>
      <c r="C2634" t="str">
        <f t="shared" si="205"/>
        <v/>
      </c>
      <c r="D2634" t="str">
        <f t="shared" si="206"/>
        <v/>
      </c>
      <c r="E2634" t="str">
        <f t="shared" si="207"/>
        <v/>
      </c>
      <c r="F2634" t="str">
        <f>IF(D2634="","",INDEX(Knutepunkter!$B:$B,D2634+1))</f>
        <v/>
      </c>
      <c r="G2634" t="str">
        <f>IF(D2634="","",INDEX(Knutepunkter!$C:$C,D2634+1))</f>
        <v/>
      </c>
      <c r="H2634" t="str">
        <f>IF(D2634="","",INDEX(Knutepunkter!$D:$D,D2634+1))</f>
        <v/>
      </c>
      <c r="I2634" t="str">
        <f>IF(E2634="","",INDEX(Knutepunkter!$B:$B,E2634+1))</f>
        <v/>
      </c>
      <c r="J2634" t="str">
        <f>IF(E2634="","",INDEX(Knutepunkter!$C:$C,E2634+1))</f>
        <v/>
      </c>
      <c r="K2634" t="str">
        <f>IF(E2634="","",INDEX(Knutepunkter!$D:$D,E2634+1))</f>
        <v/>
      </c>
      <c r="L2634" t="str">
        <f t="shared" si="208"/>
        <v/>
      </c>
      <c r="M2634" t="str">
        <f t="shared" si="209"/>
        <v/>
      </c>
    </row>
    <row r="2635" spans="1:13" x14ac:dyDescent="0.3">
      <c r="A2635" t="str">
        <f>Segmenter!A2635</f>
        <v/>
      </c>
      <c r="B2635" t="str">
        <f>Segmenter!B2635</f>
        <v/>
      </c>
      <c r="C2635" t="str">
        <f t="shared" si="205"/>
        <v/>
      </c>
      <c r="D2635" t="str">
        <f t="shared" si="206"/>
        <v/>
      </c>
      <c r="E2635" t="str">
        <f t="shared" si="207"/>
        <v/>
      </c>
      <c r="F2635" t="str">
        <f>IF(D2635="","",INDEX(Knutepunkter!$B:$B,D2635+1))</f>
        <v/>
      </c>
      <c r="G2635" t="str">
        <f>IF(D2635="","",INDEX(Knutepunkter!$C:$C,D2635+1))</f>
        <v/>
      </c>
      <c r="H2635" t="str">
        <f>IF(D2635="","",INDEX(Knutepunkter!$D:$D,D2635+1))</f>
        <v/>
      </c>
      <c r="I2635" t="str">
        <f>IF(E2635="","",INDEX(Knutepunkter!$B:$B,E2635+1))</f>
        <v/>
      </c>
      <c r="J2635" t="str">
        <f>IF(E2635="","",INDEX(Knutepunkter!$C:$C,E2635+1))</f>
        <v/>
      </c>
      <c r="K2635" t="str">
        <f>IF(E2635="","",INDEX(Knutepunkter!$D:$D,E2635+1))</f>
        <v/>
      </c>
      <c r="L2635" t="str">
        <f t="shared" si="208"/>
        <v/>
      </c>
      <c r="M2635" t="str">
        <f t="shared" si="209"/>
        <v/>
      </c>
    </row>
    <row r="2636" spans="1:13" x14ac:dyDescent="0.3">
      <c r="A2636" t="str">
        <f>Segmenter!A2636</f>
        <v/>
      </c>
      <c r="B2636" t="str">
        <f>Segmenter!B2636</f>
        <v/>
      </c>
      <c r="C2636" t="str">
        <f t="shared" si="205"/>
        <v/>
      </c>
      <c r="D2636" t="str">
        <f t="shared" si="206"/>
        <v/>
      </c>
      <c r="E2636" t="str">
        <f t="shared" si="207"/>
        <v/>
      </c>
      <c r="F2636" t="str">
        <f>IF(D2636="","",INDEX(Knutepunkter!$B:$B,D2636+1))</f>
        <v/>
      </c>
      <c r="G2636" t="str">
        <f>IF(D2636="","",INDEX(Knutepunkter!$C:$C,D2636+1))</f>
        <v/>
      </c>
      <c r="H2636" t="str">
        <f>IF(D2636="","",INDEX(Knutepunkter!$D:$D,D2636+1))</f>
        <v/>
      </c>
      <c r="I2636" t="str">
        <f>IF(E2636="","",INDEX(Knutepunkter!$B:$B,E2636+1))</f>
        <v/>
      </c>
      <c r="J2636" t="str">
        <f>IF(E2636="","",INDEX(Knutepunkter!$C:$C,E2636+1))</f>
        <v/>
      </c>
      <c r="K2636" t="str">
        <f>IF(E2636="","",INDEX(Knutepunkter!$D:$D,E2636+1))</f>
        <v/>
      </c>
      <c r="L2636" t="str">
        <f t="shared" si="208"/>
        <v/>
      </c>
      <c r="M2636" t="str">
        <f t="shared" si="209"/>
        <v/>
      </c>
    </row>
    <row r="2637" spans="1:13" x14ac:dyDescent="0.3">
      <c r="A2637" t="str">
        <f>Segmenter!A2637</f>
        <v/>
      </c>
      <c r="B2637" t="str">
        <f>Segmenter!B2637</f>
        <v/>
      </c>
      <c r="C2637" t="str">
        <f t="shared" si="205"/>
        <v/>
      </c>
      <c r="D2637" t="str">
        <f t="shared" si="206"/>
        <v/>
      </c>
      <c r="E2637" t="str">
        <f t="shared" si="207"/>
        <v/>
      </c>
      <c r="F2637" t="str">
        <f>IF(D2637="","",INDEX(Knutepunkter!$B:$B,D2637+1))</f>
        <v/>
      </c>
      <c r="G2637" t="str">
        <f>IF(D2637="","",INDEX(Knutepunkter!$C:$C,D2637+1))</f>
        <v/>
      </c>
      <c r="H2637" t="str">
        <f>IF(D2637="","",INDEX(Knutepunkter!$D:$D,D2637+1))</f>
        <v/>
      </c>
      <c r="I2637" t="str">
        <f>IF(E2637="","",INDEX(Knutepunkter!$B:$B,E2637+1))</f>
        <v/>
      </c>
      <c r="J2637" t="str">
        <f>IF(E2637="","",INDEX(Knutepunkter!$C:$C,E2637+1))</f>
        <v/>
      </c>
      <c r="K2637" t="str">
        <f>IF(E2637="","",INDEX(Knutepunkter!$D:$D,E2637+1))</f>
        <v/>
      </c>
      <c r="L2637" t="str">
        <f t="shared" si="208"/>
        <v/>
      </c>
      <c r="M2637" t="str">
        <f t="shared" si="209"/>
        <v/>
      </c>
    </row>
    <row r="2638" spans="1:13" x14ac:dyDescent="0.3">
      <c r="A2638" t="str">
        <f>Segmenter!A2638</f>
        <v/>
      </c>
      <c r="B2638" t="str">
        <f>Segmenter!B2638</f>
        <v/>
      </c>
      <c r="C2638" t="str">
        <f t="shared" si="205"/>
        <v/>
      </c>
      <c r="D2638" t="str">
        <f t="shared" si="206"/>
        <v/>
      </c>
      <c r="E2638" t="str">
        <f t="shared" si="207"/>
        <v/>
      </c>
      <c r="F2638" t="str">
        <f>IF(D2638="","",INDEX(Knutepunkter!$B:$B,D2638+1))</f>
        <v/>
      </c>
      <c r="G2638" t="str">
        <f>IF(D2638="","",INDEX(Knutepunkter!$C:$C,D2638+1))</f>
        <v/>
      </c>
      <c r="H2638" t="str">
        <f>IF(D2638="","",INDEX(Knutepunkter!$D:$D,D2638+1))</f>
        <v/>
      </c>
      <c r="I2638" t="str">
        <f>IF(E2638="","",INDEX(Knutepunkter!$B:$B,E2638+1))</f>
        <v/>
      </c>
      <c r="J2638" t="str">
        <f>IF(E2638="","",INDEX(Knutepunkter!$C:$C,E2638+1))</f>
        <v/>
      </c>
      <c r="K2638" t="str">
        <f>IF(E2638="","",INDEX(Knutepunkter!$D:$D,E2638+1))</f>
        <v/>
      </c>
      <c r="L2638" t="str">
        <f t="shared" si="208"/>
        <v/>
      </c>
      <c r="M2638" t="str">
        <f t="shared" si="209"/>
        <v/>
      </c>
    </row>
    <row r="2639" spans="1:13" x14ac:dyDescent="0.3">
      <c r="A2639" t="str">
        <f>Segmenter!A2639</f>
        <v/>
      </c>
      <c r="B2639" t="str">
        <f>Segmenter!B2639</f>
        <v/>
      </c>
      <c r="C2639" t="str">
        <f t="shared" si="205"/>
        <v/>
      </c>
      <c r="D2639" t="str">
        <f t="shared" si="206"/>
        <v/>
      </c>
      <c r="E2639" t="str">
        <f t="shared" si="207"/>
        <v/>
      </c>
      <c r="F2639" t="str">
        <f>IF(D2639="","",INDEX(Knutepunkter!$B:$B,D2639+1))</f>
        <v/>
      </c>
      <c r="G2639" t="str">
        <f>IF(D2639="","",INDEX(Knutepunkter!$C:$C,D2639+1))</f>
        <v/>
      </c>
      <c r="H2639" t="str">
        <f>IF(D2639="","",INDEX(Knutepunkter!$D:$D,D2639+1))</f>
        <v/>
      </c>
      <c r="I2639" t="str">
        <f>IF(E2639="","",INDEX(Knutepunkter!$B:$B,E2639+1))</f>
        <v/>
      </c>
      <c r="J2639" t="str">
        <f>IF(E2639="","",INDEX(Knutepunkter!$C:$C,E2639+1))</f>
        <v/>
      </c>
      <c r="K2639" t="str">
        <f>IF(E2639="","",INDEX(Knutepunkter!$D:$D,E2639+1))</f>
        <v/>
      </c>
      <c r="L2639" t="str">
        <f t="shared" si="208"/>
        <v/>
      </c>
      <c r="M2639" t="str">
        <f t="shared" si="209"/>
        <v/>
      </c>
    </row>
    <row r="2640" spans="1:13" x14ac:dyDescent="0.3">
      <c r="A2640" t="str">
        <f>Segmenter!A2640</f>
        <v/>
      </c>
      <c r="B2640" t="str">
        <f>Segmenter!B2640</f>
        <v/>
      </c>
      <c r="C2640" t="str">
        <f t="shared" si="205"/>
        <v/>
      </c>
      <c r="D2640" t="str">
        <f t="shared" si="206"/>
        <v/>
      </c>
      <c r="E2640" t="str">
        <f t="shared" si="207"/>
        <v/>
      </c>
      <c r="F2640" t="str">
        <f>IF(D2640="","",INDEX(Knutepunkter!$B:$B,D2640+1))</f>
        <v/>
      </c>
      <c r="G2640" t="str">
        <f>IF(D2640="","",INDEX(Knutepunkter!$C:$C,D2640+1))</f>
        <v/>
      </c>
      <c r="H2640" t="str">
        <f>IF(D2640="","",INDEX(Knutepunkter!$D:$D,D2640+1))</f>
        <v/>
      </c>
      <c r="I2640" t="str">
        <f>IF(E2640="","",INDEX(Knutepunkter!$B:$B,E2640+1))</f>
        <v/>
      </c>
      <c r="J2640" t="str">
        <f>IF(E2640="","",INDEX(Knutepunkter!$C:$C,E2640+1))</f>
        <v/>
      </c>
      <c r="K2640" t="str">
        <f>IF(E2640="","",INDEX(Knutepunkter!$D:$D,E2640+1))</f>
        <v/>
      </c>
      <c r="L2640" t="str">
        <f t="shared" si="208"/>
        <v/>
      </c>
      <c r="M2640" t="str">
        <f t="shared" si="209"/>
        <v/>
      </c>
    </row>
    <row r="2641" spans="1:13" x14ac:dyDescent="0.3">
      <c r="A2641" t="str">
        <f>Segmenter!A2641</f>
        <v/>
      </c>
      <c r="B2641" t="str">
        <f>Segmenter!B2641</f>
        <v/>
      </c>
      <c r="C2641" t="str">
        <f t="shared" si="205"/>
        <v/>
      </c>
      <c r="D2641" t="str">
        <f t="shared" si="206"/>
        <v/>
      </c>
      <c r="E2641" t="str">
        <f t="shared" si="207"/>
        <v/>
      </c>
      <c r="F2641" t="str">
        <f>IF(D2641="","",INDEX(Knutepunkter!$B:$B,D2641+1))</f>
        <v/>
      </c>
      <c r="G2641" t="str">
        <f>IF(D2641="","",INDEX(Knutepunkter!$C:$C,D2641+1))</f>
        <v/>
      </c>
      <c r="H2641" t="str">
        <f>IF(D2641="","",INDEX(Knutepunkter!$D:$D,D2641+1))</f>
        <v/>
      </c>
      <c r="I2641" t="str">
        <f>IF(E2641="","",INDEX(Knutepunkter!$B:$B,E2641+1))</f>
        <v/>
      </c>
      <c r="J2641" t="str">
        <f>IF(E2641="","",INDEX(Knutepunkter!$C:$C,E2641+1))</f>
        <v/>
      </c>
      <c r="K2641" t="str">
        <f>IF(E2641="","",INDEX(Knutepunkter!$D:$D,E2641+1))</f>
        <v/>
      </c>
      <c r="L2641" t="str">
        <f t="shared" si="208"/>
        <v/>
      </c>
      <c r="M2641" t="str">
        <f t="shared" si="209"/>
        <v/>
      </c>
    </row>
    <row r="2642" spans="1:13" x14ac:dyDescent="0.3">
      <c r="A2642" t="str">
        <f>Segmenter!A2642</f>
        <v/>
      </c>
      <c r="B2642" t="str">
        <f>Segmenter!B2642</f>
        <v/>
      </c>
      <c r="C2642" t="str">
        <f t="shared" si="205"/>
        <v/>
      </c>
      <c r="D2642" t="str">
        <f t="shared" si="206"/>
        <v/>
      </c>
      <c r="E2642" t="str">
        <f t="shared" si="207"/>
        <v/>
      </c>
      <c r="F2642" t="str">
        <f>IF(D2642="","",INDEX(Knutepunkter!$B:$B,D2642+1))</f>
        <v/>
      </c>
      <c r="G2642" t="str">
        <f>IF(D2642="","",INDEX(Knutepunkter!$C:$C,D2642+1))</f>
        <v/>
      </c>
      <c r="H2642" t="str">
        <f>IF(D2642="","",INDEX(Knutepunkter!$D:$D,D2642+1))</f>
        <v/>
      </c>
      <c r="I2642" t="str">
        <f>IF(E2642="","",INDEX(Knutepunkter!$B:$B,E2642+1))</f>
        <v/>
      </c>
      <c r="J2642" t="str">
        <f>IF(E2642="","",INDEX(Knutepunkter!$C:$C,E2642+1))</f>
        <v/>
      </c>
      <c r="K2642" t="str">
        <f>IF(E2642="","",INDEX(Knutepunkter!$D:$D,E2642+1))</f>
        <v/>
      </c>
      <c r="L2642" t="str">
        <f t="shared" si="208"/>
        <v/>
      </c>
      <c r="M2642" t="str">
        <f t="shared" si="209"/>
        <v/>
      </c>
    </row>
    <row r="2643" spans="1:13" x14ac:dyDescent="0.3">
      <c r="A2643" t="str">
        <f>Segmenter!A2643</f>
        <v/>
      </c>
      <c r="B2643" t="str">
        <f>Segmenter!B2643</f>
        <v/>
      </c>
      <c r="C2643" t="str">
        <f t="shared" si="205"/>
        <v/>
      </c>
      <c r="D2643" t="str">
        <f t="shared" si="206"/>
        <v/>
      </c>
      <c r="E2643" t="str">
        <f t="shared" si="207"/>
        <v/>
      </c>
      <c r="F2643" t="str">
        <f>IF(D2643="","",INDEX(Knutepunkter!$B:$B,D2643+1))</f>
        <v/>
      </c>
      <c r="G2643" t="str">
        <f>IF(D2643="","",INDEX(Knutepunkter!$C:$C,D2643+1))</f>
        <v/>
      </c>
      <c r="H2643" t="str">
        <f>IF(D2643="","",INDEX(Knutepunkter!$D:$D,D2643+1))</f>
        <v/>
      </c>
      <c r="I2643" t="str">
        <f>IF(E2643="","",INDEX(Knutepunkter!$B:$B,E2643+1))</f>
        <v/>
      </c>
      <c r="J2643" t="str">
        <f>IF(E2643="","",INDEX(Knutepunkter!$C:$C,E2643+1))</f>
        <v/>
      </c>
      <c r="K2643" t="str">
        <f>IF(E2643="","",INDEX(Knutepunkter!$D:$D,E2643+1))</f>
        <v/>
      </c>
      <c r="L2643" t="str">
        <f t="shared" si="208"/>
        <v/>
      </c>
      <c r="M2643" t="str">
        <f t="shared" si="209"/>
        <v/>
      </c>
    </row>
    <row r="2644" spans="1:13" x14ac:dyDescent="0.3">
      <c r="A2644" t="str">
        <f>Segmenter!A2644</f>
        <v/>
      </c>
      <c r="B2644" t="str">
        <f>Segmenter!B2644</f>
        <v/>
      </c>
      <c r="C2644" t="str">
        <f t="shared" si="205"/>
        <v/>
      </c>
      <c r="D2644" t="str">
        <f t="shared" si="206"/>
        <v/>
      </c>
      <c r="E2644" t="str">
        <f t="shared" si="207"/>
        <v/>
      </c>
      <c r="F2644" t="str">
        <f>IF(D2644="","",INDEX(Knutepunkter!$B:$B,D2644+1))</f>
        <v/>
      </c>
      <c r="G2644" t="str">
        <f>IF(D2644="","",INDEX(Knutepunkter!$C:$C,D2644+1))</f>
        <v/>
      </c>
      <c r="H2644" t="str">
        <f>IF(D2644="","",INDEX(Knutepunkter!$D:$D,D2644+1))</f>
        <v/>
      </c>
      <c r="I2644" t="str">
        <f>IF(E2644="","",INDEX(Knutepunkter!$B:$B,E2644+1))</f>
        <v/>
      </c>
      <c r="J2644" t="str">
        <f>IF(E2644="","",INDEX(Knutepunkter!$C:$C,E2644+1))</f>
        <v/>
      </c>
      <c r="K2644" t="str">
        <f>IF(E2644="","",INDEX(Knutepunkter!$D:$D,E2644+1))</f>
        <v/>
      </c>
      <c r="L2644" t="str">
        <f t="shared" si="208"/>
        <v/>
      </c>
      <c r="M2644" t="str">
        <f t="shared" si="209"/>
        <v/>
      </c>
    </row>
    <row r="2645" spans="1:13" x14ac:dyDescent="0.3">
      <c r="A2645" t="str">
        <f>Segmenter!A2645</f>
        <v/>
      </c>
      <c r="B2645" t="str">
        <f>Segmenter!B2645</f>
        <v/>
      </c>
      <c r="C2645" t="str">
        <f t="shared" si="205"/>
        <v/>
      </c>
      <c r="D2645" t="str">
        <f t="shared" si="206"/>
        <v/>
      </c>
      <c r="E2645" t="str">
        <f t="shared" si="207"/>
        <v/>
      </c>
      <c r="F2645" t="str">
        <f>IF(D2645="","",INDEX(Knutepunkter!$B:$B,D2645+1))</f>
        <v/>
      </c>
      <c r="G2645" t="str">
        <f>IF(D2645="","",INDEX(Knutepunkter!$C:$C,D2645+1))</f>
        <v/>
      </c>
      <c r="H2645" t="str">
        <f>IF(D2645="","",INDEX(Knutepunkter!$D:$D,D2645+1))</f>
        <v/>
      </c>
      <c r="I2645" t="str">
        <f>IF(E2645="","",INDEX(Knutepunkter!$B:$B,E2645+1))</f>
        <v/>
      </c>
      <c r="J2645" t="str">
        <f>IF(E2645="","",INDEX(Knutepunkter!$C:$C,E2645+1))</f>
        <v/>
      </c>
      <c r="K2645" t="str">
        <f>IF(E2645="","",INDEX(Knutepunkter!$D:$D,E2645+1))</f>
        <v/>
      </c>
      <c r="L2645" t="str">
        <f t="shared" si="208"/>
        <v/>
      </c>
      <c r="M2645" t="str">
        <f t="shared" si="209"/>
        <v/>
      </c>
    </row>
    <row r="2646" spans="1:13" x14ac:dyDescent="0.3">
      <c r="A2646" t="str">
        <f>Segmenter!A2646</f>
        <v/>
      </c>
      <c r="B2646" t="str">
        <f>Segmenter!B2646</f>
        <v/>
      </c>
      <c r="C2646" t="str">
        <f t="shared" si="205"/>
        <v/>
      </c>
      <c r="D2646" t="str">
        <f t="shared" si="206"/>
        <v/>
      </c>
      <c r="E2646" t="str">
        <f t="shared" si="207"/>
        <v/>
      </c>
      <c r="F2646" t="str">
        <f>IF(D2646="","",INDEX(Knutepunkter!$B:$B,D2646+1))</f>
        <v/>
      </c>
      <c r="G2646" t="str">
        <f>IF(D2646="","",INDEX(Knutepunkter!$C:$C,D2646+1))</f>
        <v/>
      </c>
      <c r="H2646" t="str">
        <f>IF(D2646="","",INDEX(Knutepunkter!$D:$D,D2646+1))</f>
        <v/>
      </c>
      <c r="I2646" t="str">
        <f>IF(E2646="","",INDEX(Knutepunkter!$B:$B,E2646+1))</f>
        <v/>
      </c>
      <c r="J2646" t="str">
        <f>IF(E2646="","",INDEX(Knutepunkter!$C:$C,E2646+1))</f>
        <v/>
      </c>
      <c r="K2646" t="str">
        <f>IF(E2646="","",INDEX(Knutepunkter!$D:$D,E2646+1))</f>
        <v/>
      </c>
      <c r="L2646" t="str">
        <f t="shared" si="208"/>
        <v/>
      </c>
      <c r="M2646" t="str">
        <f t="shared" si="209"/>
        <v/>
      </c>
    </row>
    <row r="2647" spans="1:13" x14ac:dyDescent="0.3">
      <c r="A2647" t="str">
        <f>Segmenter!A2647</f>
        <v/>
      </c>
      <c r="B2647" t="str">
        <f>Segmenter!B2647</f>
        <v/>
      </c>
      <c r="C2647" t="str">
        <f t="shared" si="205"/>
        <v/>
      </c>
      <c r="D2647" t="str">
        <f t="shared" si="206"/>
        <v/>
      </c>
      <c r="E2647" t="str">
        <f t="shared" si="207"/>
        <v/>
      </c>
      <c r="F2647" t="str">
        <f>IF(D2647="","",INDEX(Knutepunkter!$B:$B,D2647+1))</f>
        <v/>
      </c>
      <c r="G2647" t="str">
        <f>IF(D2647="","",INDEX(Knutepunkter!$C:$C,D2647+1))</f>
        <v/>
      </c>
      <c r="H2647" t="str">
        <f>IF(D2647="","",INDEX(Knutepunkter!$D:$D,D2647+1))</f>
        <v/>
      </c>
      <c r="I2647" t="str">
        <f>IF(E2647="","",INDEX(Knutepunkter!$B:$B,E2647+1))</f>
        <v/>
      </c>
      <c r="J2647" t="str">
        <f>IF(E2647="","",INDEX(Knutepunkter!$C:$C,E2647+1))</f>
        <v/>
      </c>
      <c r="K2647" t="str">
        <f>IF(E2647="","",INDEX(Knutepunkter!$D:$D,E2647+1))</f>
        <v/>
      </c>
      <c r="L2647" t="str">
        <f t="shared" si="208"/>
        <v/>
      </c>
      <c r="M2647" t="str">
        <f t="shared" si="209"/>
        <v/>
      </c>
    </row>
    <row r="2648" spans="1:13" x14ac:dyDescent="0.3">
      <c r="A2648" t="str">
        <f>Segmenter!A2648</f>
        <v/>
      </c>
      <c r="B2648" t="str">
        <f>Segmenter!B2648</f>
        <v/>
      </c>
      <c r="C2648" t="str">
        <f t="shared" si="205"/>
        <v/>
      </c>
      <c r="D2648" t="str">
        <f t="shared" si="206"/>
        <v/>
      </c>
      <c r="E2648" t="str">
        <f t="shared" si="207"/>
        <v/>
      </c>
      <c r="F2648" t="str">
        <f>IF(D2648="","",INDEX(Knutepunkter!$B:$B,D2648+1))</f>
        <v/>
      </c>
      <c r="G2648" t="str">
        <f>IF(D2648="","",INDEX(Knutepunkter!$C:$C,D2648+1))</f>
        <v/>
      </c>
      <c r="H2648" t="str">
        <f>IF(D2648="","",INDEX(Knutepunkter!$D:$D,D2648+1))</f>
        <v/>
      </c>
      <c r="I2648" t="str">
        <f>IF(E2648="","",INDEX(Knutepunkter!$B:$B,E2648+1))</f>
        <v/>
      </c>
      <c r="J2648" t="str">
        <f>IF(E2648="","",INDEX(Knutepunkter!$C:$C,E2648+1))</f>
        <v/>
      </c>
      <c r="K2648" t="str">
        <f>IF(E2648="","",INDEX(Knutepunkter!$D:$D,E2648+1))</f>
        <v/>
      </c>
      <c r="L2648" t="str">
        <f t="shared" si="208"/>
        <v/>
      </c>
      <c r="M2648" t="str">
        <f t="shared" si="209"/>
        <v/>
      </c>
    </row>
    <row r="2649" spans="1:13" x14ac:dyDescent="0.3">
      <c r="A2649" t="str">
        <f>Segmenter!A2649</f>
        <v/>
      </c>
      <c r="B2649" t="str">
        <f>Segmenter!B2649</f>
        <v/>
      </c>
      <c r="C2649" t="str">
        <f t="shared" si="205"/>
        <v/>
      </c>
      <c r="D2649" t="str">
        <f t="shared" si="206"/>
        <v/>
      </c>
      <c r="E2649" t="str">
        <f t="shared" si="207"/>
        <v/>
      </c>
      <c r="F2649" t="str">
        <f>IF(D2649="","",INDEX(Knutepunkter!$B:$B,D2649+1))</f>
        <v/>
      </c>
      <c r="G2649" t="str">
        <f>IF(D2649="","",INDEX(Knutepunkter!$C:$C,D2649+1))</f>
        <v/>
      </c>
      <c r="H2649" t="str">
        <f>IF(D2649="","",INDEX(Knutepunkter!$D:$D,D2649+1))</f>
        <v/>
      </c>
      <c r="I2649" t="str">
        <f>IF(E2649="","",INDEX(Knutepunkter!$B:$B,E2649+1))</f>
        <v/>
      </c>
      <c r="J2649" t="str">
        <f>IF(E2649="","",INDEX(Knutepunkter!$C:$C,E2649+1))</f>
        <v/>
      </c>
      <c r="K2649" t="str">
        <f>IF(E2649="","",INDEX(Knutepunkter!$D:$D,E2649+1))</f>
        <v/>
      </c>
      <c r="L2649" t="str">
        <f t="shared" si="208"/>
        <v/>
      </c>
      <c r="M2649" t="str">
        <f t="shared" si="209"/>
        <v/>
      </c>
    </row>
    <row r="2650" spans="1:13" x14ac:dyDescent="0.3">
      <c r="A2650" t="str">
        <f>Segmenter!A2650</f>
        <v/>
      </c>
      <c r="B2650" t="str">
        <f>Segmenter!B2650</f>
        <v/>
      </c>
      <c r="C2650" t="str">
        <f t="shared" si="205"/>
        <v/>
      </c>
      <c r="D2650" t="str">
        <f t="shared" si="206"/>
        <v/>
      </c>
      <c r="E2650" t="str">
        <f t="shared" si="207"/>
        <v/>
      </c>
      <c r="F2650" t="str">
        <f>IF(D2650="","",INDEX(Knutepunkter!$B:$B,D2650+1))</f>
        <v/>
      </c>
      <c r="G2650" t="str">
        <f>IF(D2650="","",INDEX(Knutepunkter!$C:$C,D2650+1))</f>
        <v/>
      </c>
      <c r="H2650" t="str">
        <f>IF(D2650="","",INDEX(Knutepunkter!$D:$D,D2650+1))</f>
        <v/>
      </c>
      <c r="I2650" t="str">
        <f>IF(E2650="","",INDEX(Knutepunkter!$B:$B,E2650+1))</f>
        <v/>
      </c>
      <c r="J2650" t="str">
        <f>IF(E2650="","",INDEX(Knutepunkter!$C:$C,E2650+1))</f>
        <v/>
      </c>
      <c r="K2650" t="str">
        <f>IF(E2650="","",INDEX(Knutepunkter!$D:$D,E2650+1))</f>
        <v/>
      </c>
      <c r="L2650" t="str">
        <f t="shared" si="208"/>
        <v/>
      </c>
      <c r="M2650" t="str">
        <f t="shared" si="209"/>
        <v/>
      </c>
    </row>
    <row r="2651" spans="1:13" x14ac:dyDescent="0.3">
      <c r="A2651" t="str">
        <f>Segmenter!A2651</f>
        <v/>
      </c>
      <c r="B2651" t="str">
        <f>Segmenter!B2651</f>
        <v/>
      </c>
      <c r="C2651" t="str">
        <f t="shared" si="205"/>
        <v/>
      </c>
      <c r="D2651" t="str">
        <f t="shared" si="206"/>
        <v/>
      </c>
      <c r="E2651" t="str">
        <f t="shared" si="207"/>
        <v/>
      </c>
      <c r="F2651" t="str">
        <f>IF(D2651="","",INDEX(Knutepunkter!$B:$B,D2651+1))</f>
        <v/>
      </c>
      <c r="G2651" t="str">
        <f>IF(D2651="","",INDEX(Knutepunkter!$C:$C,D2651+1))</f>
        <v/>
      </c>
      <c r="H2651" t="str">
        <f>IF(D2651="","",INDEX(Knutepunkter!$D:$D,D2651+1))</f>
        <v/>
      </c>
      <c r="I2651" t="str">
        <f>IF(E2651="","",INDEX(Knutepunkter!$B:$B,E2651+1))</f>
        <v/>
      </c>
      <c r="J2651" t="str">
        <f>IF(E2651="","",INDEX(Knutepunkter!$C:$C,E2651+1))</f>
        <v/>
      </c>
      <c r="K2651" t="str">
        <f>IF(E2651="","",INDEX(Knutepunkter!$D:$D,E2651+1))</f>
        <v/>
      </c>
      <c r="L2651" t="str">
        <f t="shared" si="208"/>
        <v/>
      </c>
      <c r="M2651" t="str">
        <f t="shared" si="209"/>
        <v/>
      </c>
    </row>
    <row r="2652" spans="1:13" x14ac:dyDescent="0.3">
      <c r="A2652" t="str">
        <f>Segmenter!A2652</f>
        <v/>
      </c>
      <c r="B2652" t="str">
        <f>Segmenter!B2652</f>
        <v/>
      </c>
      <c r="C2652" t="str">
        <f t="shared" si="205"/>
        <v/>
      </c>
      <c r="D2652" t="str">
        <f t="shared" si="206"/>
        <v/>
      </c>
      <c r="E2652" t="str">
        <f t="shared" si="207"/>
        <v/>
      </c>
      <c r="F2652" t="str">
        <f>IF(D2652="","",INDEX(Knutepunkter!$B:$B,D2652+1))</f>
        <v/>
      </c>
      <c r="G2652" t="str">
        <f>IF(D2652="","",INDEX(Knutepunkter!$C:$C,D2652+1))</f>
        <v/>
      </c>
      <c r="H2652" t="str">
        <f>IF(D2652="","",INDEX(Knutepunkter!$D:$D,D2652+1))</f>
        <v/>
      </c>
      <c r="I2652" t="str">
        <f>IF(E2652="","",INDEX(Knutepunkter!$B:$B,E2652+1))</f>
        <v/>
      </c>
      <c r="J2652" t="str">
        <f>IF(E2652="","",INDEX(Knutepunkter!$C:$C,E2652+1))</f>
        <v/>
      </c>
      <c r="K2652" t="str">
        <f>IF(E2652="","",INDEX(Knutepunkter!$D:$D,E2652+1))</f>
        <v/>
      </c>
      <c r="L2652" t="str">
        <f t="shared" si="208"/>
        <v/>
      </c>
      <c r="M2652" t="str">
        <f t="shared" si="209"/>
        <v/>
      </c>
    </row>
    <row r="2653" spans="1:13" x14ac:dyDescent="0.3">
      <c r="A2653" t="str">
        <f>Segmenter!A2653</f>
        <v/>
      </c>
      <c r="B2653" t="str">
        <f>Segmenter!B2653</f>
        <v/>
      </c>
      <c r="C2653" t="str">
        <f t="shared" si="205"/>
        <v/>
      </c>
      <c r="D2653" t="str">
        <f t="shared" si="206"/>
        <v/>
      </c>
      <c r="E2653" t="str">
        <f t="shared" si="207"/>
        <v/>
      </c>
      <c r="F2653" t="str">
        <f>IF(D2653="","",INDEX(Knutepunkter!$B:$B,D2653+1))</f>
        <v/>
      </c>
      <c r="G2653" t="str">
        <f>IF(D2653="","",INDEX(Knutepunkter!$C:$C,D2653+1))</f>
        <v/>
      </c>
      <c r="H2653" t="str">
        <f>IF(D2653="","",INDEX(Knutepunkter!$D:$D,D2653+1))</f>
        <v/>
      </c>
      <c r="I2653" t="str">
        <f>IF(E2653="","",INDEX(Knutepunkter!$B:$B,E2653+1))</f>
        <v/>
      </c>
      <c r="J2653" t="str">
        <f>IF(E2653="","",INDEX(Knutepunkter!$C:$C,E2653+1))</f>
        <v/>
      </c>
      <c r="K2653" t="str">
        <f>IF(E2653="","",INDEX(Knutepunkter!$D:$D,E2653+1))</f>
        <v/>
      </c>
      <c r="L2653" t="str">
        <f t="shared" si="208"/>
        <v/>
      </c>
      <c r="M2653" t="str">
        <f t="shared" si="209"/>
        <v/>
      </c>
    </row>
    <row r="2654" spans="1:13" x14ac:dyDescent="0.3">
      <c r="A2654" t="str">
        <f>Segmenter!A2654</f>
        <v/>
      </c>
      <c r="B2654" t="str">
        <f>Segmenter!B2654</f>
        <v/>
      </c>
      <c r="C2654" t="str">
        <f t="shared" si="205"/>
        <v/>
      </c>
      <c r="D2654" t="str">
        <f t="shared" si="206"/>
        <v/>
      </c>
      <c r="E2654" t="str">
        <f t="shared" si="207"/>
        <v/>
      </c>
      <c r="F2654" t="str">
        <f>IF(D2654="","",INDEX(Knutepunkter!$B:$B,D2654+1))</f>
        <v/>
      </c>
      <c r="G2654" t="str">
        <f>IF(D2654="","",INDEX(Knutepunkter!$C:$C,D2654+1))</f>
        <v/>
      </c>
      <c r="H2654" t="str">
        <f>IF(D2654="","",INDEX(Knutepunkter!$D:$D,D2654+1))</f>
        <v/>
      </c>
      <c r="I2654" t="str">
        <f>IF(E2654="","",INDEX(Knutepunkter!$B:$B,E2654+1))</f>
        <v/>
      </c>
      <c r="J2654" t="str">
        <f>IF(E2654="","",INDEX(Knutepunkter!$C:$C,E2654+1))</f>
        <v/>
      </c>
      <c r="K2654" t="str">
        <f>IF(E2654="","",INDEX(Knutepunkter!$D:$D,E2654+1))</f>
        <v/>
      </c>
      <c r="L2654" t="str">
        <f t="shared" si="208"/>
        <v/>
      </c>
      <c r="M2654" t="str">
        <f t="shared" si="209"/>
        <v/>
      </c>
    </row>
    <row r="2655" spans="1:13" x14ac:dyDescent="0.3">
      <c r="A2655" t="str">
        <f>Segmenter!A2655</f>
        <v/>
      </c>
      <c r="B2655" t="str">
        <f>Segmenter!B2655</f>
        <v/>
      </c>
      <c r="C2655" t="str">
        <f t="shared" si="205"/>
        <v/>
      </c>
      <c r="D2655" t="str">
        <f t="shared" si="206"/>
        <v/>
      </c>
      <c r="E2655" t="str">
        <f t="shared" si="207"/>
        <v/>
      </c>
      <c r="F2655" t="str">
        <f>IF(D2655="","",INDEX(Knutepunkter!$B:$B,D2655+1))</f>
        <v/>
      </c>
      <c r="G2655" t="str">
        <f>IF(D2655="","",INDEX(Knutepunkter!$C:$C,D2655+1))</f>
        <v/>
      </c>
      <c r="H2655" t="str">
        <f>IF(D2655="","",INDEX(Knutepunkter!$D:$D,D2655+1))</f>
        <v/>
      </c>
      <c r="I2655" t="str">
        <f>IF(E2655="","",INDEX(Knutepunkter!$B:$B,E2655+1))</f>
        <v/>
      </c>
      <c r="J2655" t="str">
        <f>IF(E2655="","",INDEX(Knutepunkter!$C:$C,E2655+1))</f>
        <v/>
      </c>
      <c r="K2655" t="str">
        <f>IF(E2655="","",INDEX(Knutepunkter!$D:$D,E2655+1))</f>
        <v/>
      </c>
      <c r="L2655" t="str">
        <f t="shared" si="208"/>
        <v/>
      </c>
      <c r="M2655" t="str">
        <f t="shared" si="209"/>
        <v/>
      </c>
    </row>
    <row r="2656" spans="1:13" x14ac:dyDescent="0.3">
      <c r="A2656" t="str">
        <f>Segmenter!A2656</f>
        <v/>
      </c>
      <c r="B2656" t="str">
        <f>Segmenter!B2656</f>
        <v/>
      </c>
      <c r="C2656" t="str">
        <f t="shared" si="205"/>
        <v/>
      </c>
      <c r="D2656" t="str">
        <f t="shared" si="206"/>
        <v/>
      </c>
      <c r="E2656" t="str">
        <f t="shared" si="207"/>
        <v/>
      </c>
      <c r="F2656" t="str">
        <f>IF(D2656="","",INDEX(Knutepunkter!$B:$B,D2656+1))</f>
        <v/>
      </c>
      <c r="G2656" t="str">
        <f>IF(D2656="","",INDEX(Knutepunkter!$C:$C,D2656+1))</f>
        <v/>
      </c>
      <c r="H2656" t="str">
        <f>IF(D2656="","",INDEX(Knutepunkter!$D:$D,D2656+1))</f>
        <v/>
      </c>
      <c r="I2656" t="str">
        <f>IF(E2656="","",INDEX(Knutepunkter!$B:$B,E2656+1))</f>
        <v/>
      </c>
      <c r="J2656" t="str">
        <f>IF(E2656="","",INDEX(Knutepunkter!$C:$C,E2656+1))</f>
        <v/>
      </c>
      <c r="K2656" t="str">
        <f>IF(E2656="","",INDEX(Knutepunkter!$D:$D,E2656+1))</f>
        <v/>
      </c>
      <c r="L2656" t="str">
        <f t="shared" si="208"/>
        <v/>
      </c>
      <c r="M2656" t="str">
        <f t="shared" si="209"/>
        <v/>
      </c>
    </row>
    <row r="2657" spans="1:13" x14ac:dyDescent="0.3">
      <c r="A2657" t="str">
        <f>Segmenter!A2657</f>
        <v/>
      </c>
      <c r="B2657" t="str">
        <f>Segmenter!B2657</f>
        <v/>
      </c>
      <c r="C2657" t="str">
        <f t="shared" si="205"/>
        <v/>
      </c>
      <c r="D2657" t="str">
        <f t="shared" si="206"/>
        <v/>
      </c>
      <c r="E2657" t="str">
        <f t="shared" si="207"/>
        <v/>
      </c>
      <c r="F2657" t="str">
        <f>IF(D2657="","",INDEX(Knutepunkter!$B:$B,D2657+1))</f>
        <v/>
      </c>
      <c r="G2657" t="str">
        <f>IF(D2657="","",INDEX(Knutepunkter!$C:$C,D2657+1))</f>
        <v/>
      </c>
      <c r="H2657" t="str">
        <f>IF(D2657="","",INDEX(Knutepunkter!$D:$D,D2657+1))</f>
        <v/>
      </c>
      <c r="I2657" t="str">
        <f>IF(E2657="","",INDEX(Knutepunkter!$B:$B,E2657+1))</f>
        <v/>
      </c>
      <c r="J2657" t="str">
        <f>IF(E2657="","",INDEX(Knutepunkter!$C:$C,E2657+1))</f>
        <v/>
      </c>
      <c r="K2657" t="str">
        <f>IF(E2657="","",INDEX(Knutepunkter!$D:$D,E2657+1))</f>
        <v/>
      </c>
      <c r="L2657" t="str">
        <f t="shared" si="208"/>
        <v/>
      </c>
      <c r="M2657" t="str">
        <f t="shared" si="209"/>
        <v/>
      </c>
    </row>
    <row r="2658" spans="1:13" x14ac:dyDescent="0.3">
      <c r="A2658" t="str">
        <f>Segmenter!A2658</f>
        <v/>
      </c>
      <c r="B2658" t="str">
        <f>Segmenter!B2658</f>
        <v/>
      </c>
      <c r="C2658" t="str">
        <f t="shared" si="205"/>
        <v/>
      </c>
      <c r="D2658" t="str">
        <f t="shared" si="206"/>
        <v/>
      </c>
      <c r="E2658" t="str">
        <f t="shared" si="207"/>
        <v/>
      </c>
      <c r="F2658" t="str">
        <f>IF(D2658="","",INDEX(Knutepunkter!$B:$B,D2658+1))</f>
        <v/>
      </c>
      <c r="G2658" t="str">
        <f>IF(D2658="","",INDEX(Knutepunkter!$C:$C,D2658+1))</f>
        <v/>
      </c>
      <c r="H2658" t="str">
        <f>IF(D2658="","",INDEX(Knutepunkter!$D:$D,D2658+1))</f>
        <v/>
      </c>
      <c r="I2658" t="str">
        <f>IF(E2658="","",INDEX(Knutepunkter!$B:$B,E2658+1))</f>
        <v/>
      </c>
      <c r="J2658" t="str">
        <f>IF(E2658="","",INDEX(Knutepunkter!$C:$C,E2658+1))</f>
        <v/>
      </c>
      <c r="K2658" t="str">
        <f>IF(E2658="","",INDEX(Knutepunkter!$D:$D,E2658+1))</f>
        <v/>
      </c>
      <c r="L2658" t="str">
        <f t="shared" si="208"/>
        <v/>
      </c>
      <c r="M2658" t="str">
        <f t="shared" si="209"/>
        <v/>
      </c>
    </row>
    <row r="2659" spans="1:13" x14ac:dyDescent="0.3">
      <c r="A2659" t="str">
        <f>Segmenter!A2659</f>
        <v/>
      </c>
      <c r="B2659" t="str">
        <f>Segmenter!B2659</f>
        <v/>
      </c>
      <c r="C2659" t="str">
        <f t="shared" si="205"/>
        <v/>
      </c>
      <c r="D2659" t="str">
        <f t="shared" si="206"/>
        <v/>
      </c>
      <c r="E2659" t="str">
        <f t="shared" si="207"/>
        <v/>
      </c>
      <c r="F2659" t="str">
        <f>IF(D2659="","",INDEX(Knutepunkter!$B:$B,D2659+1))</f>
        <v/>
      </c>
      <c r="G2659" t="str">
        <f>IF(D2659="","",INDEX(Knutepunkter!$C:$C,D2659+1))</f>
        <v/>
      </c>
      <c r="H2659" t="str">
        <f>IF(D2659="","",INDEX(Knutepunkter!$D:$D,D2659+1))</f>
        <v/>
      </c>
      <c r="I2659" t="str">
        <f>IF(E2659="","",INDEX(Knutepunkter!$B:$B,E2659+1))</f>
        <v/>
      </c>
      <c r="J2659" t="str">
        <f>IF(E2659="","",INDEX(Knutepunkter!$C:$C,E2659+1))</f>
        <v/>
      </c>
      <c r="K2659" t="str">
        <f>IF(E2659="","",INDEX(Knutepunkter!$D:$D,E2659+1))</f>
        <v/>
      </c>
      <c r="L2659" t="str">
        <f t="shared" si="208"/>
        <v/>
      </c>
      <c r="M2659" t="str">
        <f t="shared" si="209"/>
        <v/>
      </c>
    </row>
    <row r="2660" spans="1:13" x14ac:dyDescent="0.3">
      <c r="A2660" t="str">
        <f>Segmenter!A2660</f>
        <v/>
      </c>
      <c r="B2660" t="str">
        <f>Segmenter!B2660</f>
        <v/>
      </c>
      <c r="C2660" t="str">
        <f t="shared" si="205"/>
        <v/>
      </c>
      <c r="D2660" t="str">
        <f t="shared" si="206"/>
        <v/>
      </c>
      <c r="E2660" t="str">
        <f t="shared" si="207"/>
        <v/>
      </c>
      <c r="F2660" t="str">
        <f>IF(D2660="","",INDEX(Knutepunkter!$B:$B,D2660+1))</f>
        <v/>
      </c>
      <c r="G2660" t="str">
        <f>IF(D2660="","",INDEX(Knutepunkter!$C:$C,D2660+1))</f>
        <v/>
      </c>
      <c r="H2660" t="str">
        <f>IF(D2660="","",INDEX(Knutepunkter!$D:$D,D2660+1))</f>
        <v/>
      </c>
      <c r="I2660" t="str">
        <f>IF(E2660="","",INDEX(Knutepunkter!$B:$B,E2660+1))</f>
        <v/>
      </c>
      <c r="J2660" t="str">
        <f>IF(E2660="","",INDEX(Knutepunkter!$C:$C,E2660+1))</f>
        <v/>
      </c>
      <c r="K2660" t="str">
        <f>IF(E2660="","",INDEX(Knutepunkter!$D:$D,E2660+1))</f>
        <v/>
      </c>
      <c r="L2660" t="str">
        <f t="shared" si="208"/>
        <v/>
      </c>
      <c r="M2660" t="str">
        <f t="shared" si="209"/>
        <v/>
      </c>
    </row>
    <row r="2661" spans="1:13" x14ac:dyDescent="0.3">
      <c r="A2661" t="str">
        <f>Segmenter!A2661</f>
        <v/>
      </c>
      <c r="B2661" t="str">
        <f>Segmenter!B2661</f>
        <v/>
      </c>
      <c r="C2661" t="str">
        <f t="shared" si="205"/>
        <v/>
      </c>
      <c r="D2661" t="str">
        <f t="shared" si="206"/>
        <v/>
      </c>
      <c r="E2661" t="str">
        <f t="shared" si="207"/>
        <v/>
      </c>
      <c r="F2661" t="str">
        <f>IF(D2661="","",INDEX(Knutepunkter!$B:$B,D2661+1))</f>
        <v/>
      </c>
      <c r="G2661" t="str">
        <f>IF(D2661="","",INDEX(Knutepunkter!$C:$C,D2661+1))</f>
        <v/>
      </c>
      <c r="H2661" t="str">
        <f>IF(D2661="","",INDEX(Knutepunkter!$D:$D,D2661+1))</f>
        <v/>
      </c>
      <c r="I2661" t="str">
        <f>IF(E2661="","",INDEX(Knutepunkter!$B:$B,E2661+1))</f>
        <v/>
      </c>
      <c r="J2661" t="str">
        <f>IF(E2661="","",INDEX(Knutepunkter!$C:$C,E2661+1))</f>
        <v/>
      </c>
      <c r="K2661" t="str">
        <f>IF(E2661="","",INDEX(Knutepunkter!$D:$D,E2661+1))</f>
        <v/>
      </c>
      <c r="L2661" t="str">
        <f t="shared" si="208"/>
        <v/>
      </c>
      <c r="M2661" t="str">
        <f t="shared" si="209"/>
        <v/>
      </c>
    </row>
    <row r="2662" spans="1:13" x14ac:dyDescent="0.3">
      <c r="A2662" t="str">
        <f>Segmenter!A2662</f>
        <v/>
      </c>
      <c r="B2662" t="str">
        <f>Segmenter!B2662</f>
        <v/>
      </c>
      <c r="C2662" t="str">
        <f t="shared" si="205"/>
        <v/>
      </c>
      <c r="D2662" t="str">
        <f t="shared" si="206"/>
        <v/>
      </c>
      <c r="E2662" t="str">
        <f t="shared" si="207"/>
        <v/>
      </c>
      <c r="F2662" t="str">
        <f>IF(D2662="","",INDEX(Knutepunkter!$B:$B,D2662+1))</f>
        <v/>
      </c>
      <c r="G2662" t="str">
        <f>IF(D2662="","",INDEX(Knutepunkter!$C:$C,D2662+1))</f>
        <v/>
      </c>
      <c r="H2662" t="str">
        <f>IF(D2662="","",INDEX(Knutepunkter!$D:$D,D2662+1))</f>
        <v/>
      </c>
      <c r="I2662" t="str">
        <f>IF(E2662="","",INDEX(Knutepunkter!$B:$B,E2662+1))</f>
        <v/>
      </c>
      <c r="J2662" t="str">
        <f>IF(E2662="","",INDEX(Knutepunkter!$C:$C,E2662+1))</f>
        <v/>
      </c>
      <c r="K2662" t="str">
        <f>IF(E2662="","",INDEX(Knutepunkter!$D:$D,E2662+1))</f>
        <v/>
      </c>
      <c r="L2662" t="str">
        <f t="shared" si="208"/>
        <v/>
      </c>
      <c r="M2662" t="str">
        <f t="shared" si="209"/>
        <v/>
      </c>
    </row>
    <row r="2663" spans="1:13" x14ac:dyDescent="0.3">
      <c r="A2663" t="str">
        <f>Segmenter!A2663</f>
        <v/>
      </c>
      <c r="B2663" t="str">
        <f>Segmenter!B2663</f>
        <v/>
      </c>
      <c r="C2663" t="str">
        <f t="shared" si="205"/>
        <v/>
      </c>
      <c r="D2663" t="str">
        <f t="shared" si="206"/>
        <v/>
      </c>
      <c r="E2663" t="str">
        <f t="shared" si="207"/>
        <v/>
      </c>
      <c r="F2663" t="str">
        <f>IF(D2663="","",INDEX(Knutepunkter!$B:$B,D2663+1))</f>
        <v/>
      </c>
      <c r="G2663" t="str">
        <f>IF(D2663="","",INDEX(Knutepunkter!$C:$C,D2663+1))</f>
        <v/>
      </c>
      <c r="H2663" t="str">
        <f>IF(D2663="","",INDEX(Knutepunkter!$D:$D,D2663+1))</f>
        <v/>
      </c>
      <c r="I2663" t="str">
        <f>IF(E2663="","",INDEX(Knutepunkter!$B:$B,E2663+1))</f>
        <v/>
      </c>
      <c r="J2663" t="str">
        <f>IF(E2663="","",INDEX(Knutepunkter!$C:$C,E2663+1))</f>
        <v/>
      </c>
      <c r="K2663" t="str">
        <f>IF(E2663="","",INDEX(Knutepunkter!$D:$D,E2663+1))</f>
        <v/>
      </c>
      <c r="L2663" t="str">
        <f t="shared" si="208"/>
        <v/>
      </c>
      <c r="M2663" t="str">
        <f t="shared" si="209"/>
        <v/>
      </c>
    </row>
    <row r="2664" spans="1:13" x14ac:dyDescent="0.3">
      <c r="A2664" t="str">
        <f>Segmenter!A2664</f>
        <v/>
      </c>
      <c r="B2664" t="str">
        <f>Segmenter!B2664</f>
        <v/>
      </c>
      <c r="C2664" t="str">
        <f t="shared" si="205"/>
        <v/>
      </c>
      <c r="D2664" t="str">
        <f t="shared" si="206"/>
        <v/>
      </c>
      <c r="E2664" t="str">
        <f t="shared" si="207"/>
        <v/>
      </c>
      <c r="F2664" t="str">
        <f>IF(D2664="","",INDEX(Knutepunkter!$B:$B,D2664+1))</f>
        <v/>
      </c>
      <c r="G2664" t="str">
        <f>IF(D2664="","",INDEX(Knutepunkter!$C:$C,D2664+1))</f>
        <v/>
      </c>
      <c r="H2664" t="str">
        <f>IF(D2664="","",INDEX(Knutepunkter!$D:$D,D2664+1))</f>
        <v/>
      </c>
      <c r="I2664" t="str">
        <f>IF(E2664="","",INDEX(Knutepunkter!$B:$B,E2664+1))</f>
        <v/>
      </c>
      <c r="J2664" t="str">
        <f>IF(E2664="","",INDEX(Knutepunkter!$C:$C,E2664+1))</f>
        <v/>
      </c>
      <c r="K2664" t="str">
        <f>IF(E2664="","",INDEX(Knutepunkter!$D:$D,E2664+1))</f>
        <v/>
      </c>
      <c r="L2664" t="str">
        <f t="shared" si="208"/>
        <v/>
      </c>
      <c r="M2664" t="str">
        <f t="shared" si="209"/>
        <v/>
      </c>
    </row>
    <row r="2665" spans="1:13" x14ac:dyDescent="0.3">
      <c r="A2665" t="str">
        <f>Segmenter!A2665</f>
        <v/>
      </c>
      <c r="B2665" t="str">
        <f>Segmenter!B2665</f>
        <v/>
      </c>
      <c r="C2665" t="str">
        <f t="shared" si="205"/>
        <v/>
      </c>
      <c r="D2665" t="str">
        <f t="shared" si="206"/>
        <v/>
      </c>
      <c r="E2665" t="str">
        <f t="shared" si="207"/>
        <v/>
      </c>
      <c r="F2665" t="str">
        <f>IF(D2665="","",INDEX(Knutepunkter!$B:$B,D2665+1))</f>
        <v/>
      </c>
      <c r="G2665" t="str">
        <f>IF(D2665="","",INDEX(Knutepunkter!$C:$C,D2665+1))</f>
        <v/>
      </c>
      <c r="H2665" t="str">
        <f>IF(D2665="","",INDEX(Knutepunkter!$D:$D,D2665+1))</f>
        <v/>
      </c>
      <c r="I2665" t="str">
        <f>IF(E2665="","",INDEX(Knutepunkter!$B:$B,E2665+1))</f>
        <v/>
      </c>
      <c r="J2665" t="str">
        <f>IF(E2665="","",INDEX(Knutepunkter!$C:$C,E2665+1))</f>
        <v/>
      </c>
      <c r="K2665" t="str">
        <f>IF(E2665="","",INDEX(Knutepunkter!$D:$D,E2665+1))</f>
        <v/>
      </c>
      <c r="L2665" t="str">
        <f t="shared" si="208"/>
        <v/>
      </c>
      <c r="M2665" t="str">
        <f t="shared" si="209"/>
        <v/>
      </c>
    </row>
    <row r="2666" spans="1:13" x14ac:dyDescent="0.3">
      <c r="A2666" t="str">
        <f>Segmenter!A2666</f>
        <v/>
      </c>
      <c r="B2666" t="str">
        <f>Segmenter!B2666</f>
        <v/>
      </c>
      <c r="C2666" t="str">
        <f t="shared" si="205"/>
        <v/>
      </c>
      <c r="D2666" t="str">
        <f t="shared" si="206"/>
        <v/>
      </c>
      <c r="E2666" t="str">
        <f t="shared" si="207"/>
        <v/>
      </c>
      <c r="F2666" t="str">
        <f>IF(D2666="","",INDEX(Knutepunkter!$B:$B,D2666+1))</f>
        <v/>
      </c>
      <c r="G2666" t="str">
        <f>IF(D2666="","",INDEX(Knutepunkter!$C:$C,D2666+1))</f>
        <v/>
      </c>
      <c r="H2666" t="str">
        <f>IF(D2666="","",INDEX(Knutepunkter!$D:$D,D2666+1))</f>
        <v/>
      </c>
      <c r="I2666" t="str">
        <f>IF(E2666="","",INDEX(Knutepunkter!$B:$B,E2666+1))</f>
        <v/>
      </c>
      <c r="J2666" t="str">
        <f>IF(E2666="","",INDEX(Knutepunkter!$C:$C,E2666+1))</f>
        <v/>
      </c>
      <c r="K2666" t="str">
        <f>IF(E2666="","",INDEX(Knutepunkter!$D:$D,E2666+1))</f>
        <v/>
      </c>
      <c r="L2666" t="str">
        <f t="shared" si="208"/>
        <v/>
      </c>
      <c r="M2666" t="str">
        <f t="shared" si="209"/>
        <v/>
      </c>
    </row>
    <row r="2667" spans="1:13" x14ac:dyDescent="0.3">
      <c r="A2667" t="str">
        <f>Segmenter!A2667</f>
        <v/>
      </c>
      <c r="B2667" t="str">
        <f>Segmenter!B2667</f>
        <v/>
      </c>
      <c r="C2667" t="str">
        <f t="shared" si="205"/>
        <v/>
      </c>
      <c r="D2667" t="str">
        <f t="shared" si="206"/>
        <v/>
      </c>
      <c r="E2667" t="str">
        <f t="shared" si="207"/>
        <v/>
      </c>
      <c r="F2667" t="str">
        <f>IF(D2667="","",INDEX(Knutepunkter!$B:$B,D2667+1))</f>
        <v/>
      </c>
      <c r="G2667" t="str">
        <f>IF(D2667="","",INDEX(Knutepunkter!$C:$C,D2667+1))</f>
        <v/>
      </c>
      <c r="H2667" t="str">
        <f>IF(D2667="","",INDEX(Knutepunkter!$D:$D,D2667+1))</f>
        <v/>
      </c>
      <c r="I2667" t="str">
        <f>IF(E2667="","",INDEX(Knutepunkter!$B:$B,E2667+1))</f>
        <v/>
      </c>
      <c r="J2667" t="str">
        <f>IF(E2667="","",INDEX(Knutepunkter!$C:$C,E2667+1))</f>
        <v/>
      </c>
      <c r="K2667" t="str">
        <f>IF(E2667="","",INDEX(Knutepunkter!$D:$D,E2667+1))</f>
        <v/>
      </c>
      <c r="L2667" t="str">
        <f t="shared" si="208"/>
        <v/>
      </c>
      <c r="M2667" t="str">
        <f t="shared" si="209"/>
        <v/>
      </c>
    </row>
    <row r="2668" spans="1:13" x14ac:dyDescent="0.3">
      <c r="A2668" t="str">
        <f>Segmenter!A2668</f>
        <v/>
      </c>
      <c r="B2668" t="str">
        <f>Segmenter!B2668</f>
        <v/>
      </c>
      <c r="C2668" t="str">
        <f t="shared" si="205"/>
        <v/>
      </c>
      <c r="D2668" t="str">
        <f t="shared" si="206"/>
        <v/>
      </c>
      <c r="E2668" t="str">
        <f t="shared" si="207"/>
        <v/>
      </c>
      <c r="F2668" t="str">
        <f>IF(D2668="","",INDEX(Knutepunkter!$B:$B,D2668+1))</f>
        <v/>
      </c>
      <c r="G2668" t="str">
        <f>IF(D2668="","",INDEX(Knutepunkter!$C:$C,D2668+1))</f>
        <v/>
      </c>
      <c r="H2668" t="str">
        <f>IF(D2668="","",INDEX(Knutepunkter!$D:$D,D2668+1))</f>
        <v/>
      </c>
      <c r="I2668" t="str">
        <f>IF(E2668="","",INDEX(Knutepunkter!$B:$B,E2668+1))</f>
        <v/>
      </c>
      <c r="J2668" t="str">
        <f>IF(E2668="","",INDEX(Knutepunkter!$C:$C,E2668+1))</f>
        <v/>
      </c>
      <c r="K2668" t="str">
        <f>IF(E2668="","",INDEX(Knutepunkter!$D:$D,E2668+1))</f>
        <v/>
      </c>
      <c r="L2668" t="str">
        <f t="shared" si="208"/>
        <v/>
      </c>
      <c r="M2668" t="str">
        <f t="shared" si="209"/>
        <v/>
      </c>
    </row>
    <row r="2669" spans="1:13" x14ac:dyDescent="0.3">
      <c r="A2669" t="str">
        <f>Segmenter!A2669</f>
        <v/>
      </c>
      <c r="B2669" t="str">
        <f>Segmenter!B2669</f>
        <v/>
      </c>
      <c r="C2669" t="str">
        <f t="shared" si="205"/>
        <v/>
      </c>
      <c r="D2669" t="str">
        <f t="shared" si="206"/>
        <v/>
      </c>
      <c r="E2669" t="str">
        <f t="shared" si="207"/>
        <v/>
      </c>
      <c r="F2669" t="str">
        <f>IF(D2669="","",INDEX(Knutepunkter!$B:$B,D2669+1))</f>
        <v/>
      </c>
      <c r="G2669" t="str">
        <f>IF(D2669="","",INDEX(Knutepunkter!$C:$C,D2669+1))</f>
        <v/>
      </c>
      <c r="H2669" t="str">
        <f>IF(D2669="","",INDEX(Knutepunkter!$D:$D,D2669+1))</f>
        <v/>
      </c>
      <c r="I2669" t="str">
        <f>IF(E2669="","",INDEX(Knutepunkter!$B:$B,E2669+1))</f>
        <v/>
      </c>
      <c r="J2669" t="str">
        <f>IF(E2669="","",INDEX(Knutepunkter!$C:$C,E2669+1))</f>
        <v/>
      </c>
      <c r="K2669" t="str">
        <f>IF(E2669="","",INDEX(Knutepunkter!$D:$D,E2669+1))</f>
        <v/>
      </c>
      <c r="L2669" t="str">
        <f t="shared" si="208"/>
        <v/>
      </c>
      <c r="M2669" t="str">
        <f t="shared" si="209"/>
        <v/>
      </c>
    </row>
    <row r="2670" spans="1:13" x14ac:dyDescent="0.3">
      <c r="A2670" t="str">
        <f>Segmenter!A2670</f>
        <v/>
      </c>
      <c r="B2670" t="str">
        <f>Segmenter!B2670</f>
        <v/>
      </c>
      <c r="C2670" t="str">
        <f t="shared" si="205"/>
        <v/>
      </c>
      <c r="D2670" t="str">
        <f t="shared" si="206"/>
        <v/>
      </c>
      <c r="E2670" t="str">
        <f t="shared" si="207"/>
        <v/>
      </c>
      <c r="F2670" t="str">
        <f>IF(D2670="","",INDEX(Knutepunkter!$B:$B,D2670+1))</f>
        <v/>
      </c>
      <c r="G2670" t="str">
        <f>IF(D2670="","",INDEX(Knutepunkter!$C:$C,D2670+1))</f>
        <v/>
      </c>
      <c r="H2670" t="str">
        <f>IF(D2670="","",INDEX(Knutepunkter!$D:$D,D2670+1))</f>
        <v/>
      </c>
      <c r="I2670" t="str">
        <f>IF(E2670="","",INDEX(Knutepunkter!$B:$B,E2670+1))</f>
        <v/>
      </c>
      <c r="J2670" t="str">
        <f>IF(E2670="","",INDEX(Knutepunkter!$C:$C,E2670+1))</f>
        <v/>
      </c>
      <c r="K2670" t="str">
        <f>IF(E2670="","",INDEX(Knutepunkter!$D:$D,E2670+1))</f>
        <v/>
      </c>
      <c r="L2670" t="str">
        <f t="shared" si="208"/>
        <v/>
      </c>
      <c r="M2670" t="str">
        <f t="shared" si="209"/>
        <v/>
      </c>
    </row>
    <row r="2671" spans="1:13" x14ac:dyDescent="0.3">
      <c r="A2671" t="str">
        <f>Segmenter!A2671</f>
        <v/>
      </c>
      <c r="B2671" t="str">
        <f>Segmenter!B2671</f>
        <v/>
      </c>
      <c r="C2671" t="str">
        <f t="shared" si="205"/>
        <v/>
      </c>
      <c r="D2671" t="str">
        <f t="shared" si="206"/>
        <v/>
      </c>
      <c r="E2671" t="str">
        <f t="shared" si="207"/>
        <v/>
      </c>
      <c r="F2671" t="str">
        <f>IF(D2671="","",INDEX(Knutepunkter!$B:$B,D2671+1))</f>
        <v/>
      </c>
      <c r="G2671" t="str">
        <f>IF(D2671="","",INDEX(Knutepunkter!$C:$C,D2671+1))</f>
        <v/>
      </c>
      <c r="H2671" t="str">
        <f>IF(D2671="","",INDEX(Knutepunkter!$D:$D,D2671+1))</f>
        <v/>
      </c>
      <c r="I2671" t="str">
        <f>IF(E2671="","",INDEX(Knutepunkter!$B:$B,E2671+1))</f>
        <v/>
      </c>
      <c r="J2671" t="str">
        <f>IF(E2671="","",INDEX(Knutepunkter!$C:$C,E2671+1))</f>
        <v/>
      </c>
      <c r="K2671" t="str">
        <f>IF(E2671="","",INDEX(Knutepunkter!$D:$D,E2671+1))</f>
        <v/>
      </c>
      <c r="L2671" t="str">
        <f t="shared" si="208"/>
        <v/>
      </c>
      <c r="M2671" t="str">
        <f t="shared" si="209"/>
        <v/>
      </c>
    </row>
    <row r="2672" spans="1:13" x14ac:dyDescent="0.3">
      <c r="A2672" t="str">
        <f>Segmenter!A2672</f>
        <v/>
      </c>
      <c r="B2672" t="str">
        <f>Segmenter!B2672</f>
        <v/>
      </c>
      <c r="C2672" t="str">
        <f t="shared" si="205"/>
        <v/>
      </c>
      <c r="D2672" t="str">
        <f t="shared" si="206"/>
        <v/>
      </c>
      <c r="E2672" t="str">
        <f t="shared" si="207"/>
        <v/>
      </c>
      <c r="F2672" t="str">
        <f>IF(D2672="","",INDEX(Knutepunkter!$B:$B,D2672+1))</f>
        <v/>
      </c>
      <c r="G2672" t="str">
        <f>IF(D2672="","",INDEX(Knutepunkter!$C:$C,D2672+1))</f>
        <v/>
      </c>
      <c r="H2672" t="str">
        <f>IF(D2672="","",INDEX(Knutepunkter!$D:$D,D2672+1))</f>
        <v/>
      </c>
      <c r="I2672" t="str">
        <f>IF(E2672="","",INDEX(Knutepunkter!$B:$B,E2672+1))</f>
        <v/>
      </c>
      <c r="J2672" t="str">
        <f>IF(E2672="","",INDEX(Knutepunkter!$C:$C,E2672+1))</f>
        <v/>
      </c>
      <c r="K2672" t="str">
        <f>IF(E2672="","",INDEX(Knutepunkter!$D:$D,E2672+1))</f>
        <v/>
      </c>
      <c r="L2672" t="str">
        <f t="shared" si="208"/>
        <v/>
      </c>
      <c r="M2672" t="str">
        <f t="shared" si="209"/>
        <v/>
      </c>
    </row>
    <row r="2673" spans="1:13" x14ac:dyDescent="0.3">
      <c r="A2673" t="str">
        <f>Segmenter!A2673</f>
        <v/>
      </c>
      <c r="B2673" t="str">
        <f>Segmenter!B2673</f>
        <v/>
      </c>
      <c r="C2673" t="str">
        <f t="shared" si="205"/>
        <v/>
      </c>
      <c r="D2673" t="str">
        <f t="shared" si="206"/>
        <v/>
      </c>
      <c r="E2673" t="str">
        <f t="shared" si="207"/>
        <v/>
      </c>
      <c r="F2673" t="str">
        <f>IF(D2673="","",INDEX(Knutepunkter!$B:$B,D2673+1))</f>
        <v/>
      </c>
      <c r="G2673" t="str">
        <f>IF(D2673="","",INDEX(Knutepunkter!$C:$C,D2673+1))</f>
        <v/>
      </c>
      <c r="H2673" t="str">
        <f>IF(D2673="","",INDEX(Knutepunkter!$D:$D,D2673+1))</f>
        <v/>
      </c>
      <c r="I2673" t="str">
        <f>IF(E2673="","",INDEX(Knutepunkter!$B:$B,E2673+1))</f>
        <v/>
      </c>
      <c r="J2673" t="str">
        <f>IF(E2673="","",INDEX(Knutepunkter!$C:$C,E2673+1))</f>
        <v/>
      </c>
      <c r="K2673" t="str">
        <f>IF(E2673="","",INDEX(Knutepunkter!$D:$D,E2673+1))</f>
        <v/>
      </c>
      <c r="L2673" t="str">
        <f t="shared" si="208"/>
        <v/>
      </c>
      <c r="M2673" t="str">
        <f t="shared" si="209"/>
        <v/>
      </c>
    </row>
    <row r="2674" spans="1:13" x14ac:dyDescent="0.3">
      <c r="A2674" t="str">
        <f>Segmenter!A2674</f>
        <v/>
      </c>
      <c r="B2674" t="str">
        <f>Segmenter!B2674</f>
        <v/>
      </c>
      <c r="C2674" t="str">
        <f t="shared" si="205"/>
        <v/>
      </c>
      <c r="D2674" t="str">
        <f t="shared" si="206"/>
        <v/>
      </c>
      <c r="E2674" t="str">
        <f t="shared" si="207"/>
        <v/>
      </c>
      <c r="F2674" t="str">
        <f>IF(D2674="","",INDEX(Knutepunkter!$B:$B,D2674+1))</f>
        <v/>
      </c>
      <c r="G2674" t="str">
        <f>IF(D2674="","",INDEX(Knutepunkter!$C:$C,D2674+1))</f>
        <v/>
      </c>
      <c r="H2674" t="str">
        <f>IF(D2674="","",INDEX(Knutepunkter!$D:$D,D2674+1))</f>
        <v/>
      </c>
      <c r="I2674" t="str">
        <f>IF(E2674="","",INDEX(Knutepunkter!$B:$B,E2674+1))</f>
        <v/>
      </c>
      <c r="J2674" t="str">
        <f>IF(E2674="","",INDEX(Knutepunkter!$C:$C,E2674+1))</f>
        <v/>
      </c>
      <c r="K2674" t="str">
        <f>IF(E2674="","",INDEX(Knutepunkter!$D:$D,E2674+1))</f>
        <v/>
      </c>
      <c r="L2674" t="str">
        <f t="shared" si="208"/>
        <v/>
      </c>
      <c r="M2674" t="str">
        <f t="shared" si="209"/>
        <v/>
      </c>
    </row>
    <row r="2675" spans="1:13" x14ac:dyDescent="0.3">
      <c r="A2675" t="str">
        <f>Segmenter!A2675</f>
        <v/>
      </c>
      <c r="B2675" t="str">
        <f>Segmenter!B2675</f>
        <v/>
      </c>
      <c r="C2675" t="str">
        <f t="shared" si="205"/>
        <v/>
      </c>
      <c r="D2675" t="str">
        <f t="shared" si="206"/>
        <v/>
      </c>
      <c r="E2675" t="str">
        <f t="shared" si="207"/>
        <v/>
      </c>
      <c r="F2675" t="str">
        <f>IF(D2675="","",INDEX(Knutepunkter!$B:$B,D2675+1))</f>
        <v/>
      </c>
      <c r="G2675" t="str">
        <f>IF(D2675="","",INDEX(Knutepunkter!$C:$C,D2675+1))</f>
        <v/>
      </c>
      <c r="H2675" t="str">
        <f>IF(D2675="","",INDEX(Knutepunkter!$D:$D,D2675+1))</f>
        <v/>
      </c>
      <c r="I2675" t="str">
        <f>IF(E2675="","",INDEX(Knutepunkter!$B:$B,E2675+1))</f>
        <v/>
      </c>
      <c r="J2675" t="str">
        <f>IF(E2675="","",INDEX(Knutepunkter!$C:$C,E2675+1))</f>
        <v/>
      </c>
      <c r="K2675" t="str">
        <f>IF(E2675="","",INDEX(Knutepunkter!$D:$D,E2675+1))</f>
        <v/>
      </c>
      <c r="L2675" t="str">
        <f t="shared" si="208"/>
        <v/>
      </c>
      <c r="M2675" t="str">
        <f t="shared" si="209"/>
        <v/>
      </c>
    </row>
    <row r="2676" spans="1:13" x14ac:dyDescent="0.3">
      <c r="A2676" t="str">
        <f>Segmenter!A2676</f>
        <v/>
      </c>
      <c r="B2676" t="str">
        <f>Segmenter!B2676</f>
        <v/>
      </c>
      <c r="C2676" t="str">
        <f t="shared" si="205"/>
        <v/>
      </c>
      <c r="D2676" t="str">
        <f t="shared" si="206"/>
        <v/>
      </c>
      <c r="E2676" t="str">
        <f t="shared" si="207"/>
        <v/>
      </c>
      <c r="F2676" t="str">
        <f>IF(D2676="","",INDEX(Knutepunkter!$B:$B,D2676+1))</f>
        <v/>
      </c>
      <c r="G2676" t="str">
        <f>IF(D2676="","",INDEX(Knutepunkter!$C:$C,D2676+1))</f>
        <v/>
      </c>
      <c r="H2676" t="str">
        <f>IF(D2676="","",INDEX(Knutepunkter!$D:$D,D2676+1))</f>
        <v/>
      </c>
      <c r="I2676" t="str">
        <f>IF(E2676="","",INDEX(Knutepunkter!$B:$B,E2676+1))</f>
        <v/>
      </c>
      <c r="J2676" t="str">
        <f>IF(E2676="","",INDEX(Knutepunkter!$C:$C,E2676+1))</f>
        <v/>
      </c>
      <c r="K2676" t="str">
        <f>IF(E2676="","",INDEX(Knutepunkter!$D:$D,E2676+1))</f>
        <v/>
      </c>
      <c r="L2676" t="str">
        <f t="shared" si="208"/>
        <v/>
      </c>
      <c r="M2676" t="str">
        <f t="shared" si="209"/>
        <v/>
      </c>
    </row>
    <row r="2677" spans="1:13" x14ac:dyDescent="0.3">
      <c r="A2677" t="str">
        <f>Segmenter!A2677</f>
        <v/>
      </c>
      <c r="B2677" t="str">
        <f>Segmenter!B2677</f>
        <v/>
      </c>
      <c r="C2677" t="str">
        <f t="shared" si="205"/>
        <v/>
      </c>
      <c r="D2677" t="str">
        <f t="shared" si="206"/>
        <v/>
      </c>
      <c r="E2677" t="str">
        <f t="shared" si="207"/>
        <v/>
      </c>
      <c r="F2677" t="str">
        <f>IF(D2677="","",INDEX(Knutepunkter!$B:$B,D2677+1))</f>
        <v/>
      </c>
      <c r="G2677" t="str">
        <f>IF(D2677="","",INDEX(Knutepunkter!$C:$C,D2677+1))</f>
        <v/>
      </c>
      <c r="H2677" t="str">
        <f>IF(D2677="","",INDEX(Knutepunkter!$D:$D,D2677+1))</f>
        <v/>
      </c>
      <c r="I2677" t="str">
        <f>IF(E2677="","",INDEX(Knutepunkter!$B:$B,E2677+1))</f>
        <v/>
      </c>
      <c r="J2677" t="str">
        <f>IF(E2677="","",INDEX(Knutepunkter!$C:$C,E2677+1))</f>
        <v/>
      </c>
      <c r="K2677" t="str">
        <f>IF(E2677="","",INDEX(Knutepunkter!$D:$D,E2677+1))</f>
        <v/>
      </c>
      <c r="L2677" t="str">
        <f t="shared" si="208"/>
        <v/>
      </c>
      <c r="M2677" t="str">
        <f t="shared" si="209"/>
        <v/>
      </c>
    </row>
    <row r="2678" spans="1:13" x14ac:dyDescent="0.3">
      <c r="A2678" t="str">
        <f>Segmenter!A2678</f>
        <v/>
      </c>
      <c r="B2678" t="str">
        <f>Segmenter!B2678</f>
        <v/>
      </c>
      <c r="C2678" t="str">
        <f t="shared" si="205"/>
        <v/>
      </c>
      <c r="D2678" t="str">
        <f t="shared" si="206"/>
        <v/>
      </c>
      <c r="E2678" t="str">
        <f t="shared" si="207"/>
        <v/>
      </c>
      <c r="F2678" t="str">
        <f>IF(D2678="","",INDEX(Knutepunkter!$B:$B,D2678+1))</f>
        <v/>
      </c>
      <c r="G2678" t="str">
        <f>IF(D2678="","",INDEX(Knutepunkter!$C:$C,D2678+1))</f>
        <v/>
      </c>
      <c r="H2678" t="str">
        <f>IF(D2678="","",INDEX(Knutepunkter!$D:$D,D2678+1))</f>
        <v/>
      </c>
      <c r="I2678" t="str">
        <f>IF(E2678="","",INDEX(Knutepunkter!$B:$B,E2678+1))</f>
        <v/>
      </c>
      <c r="J2678" t="str">
        <f>IF(E2678="","",INDEX(Knutepunkter!$C:$C,E2678+1))</f>
        <v/>
      </c>
      <c r="K2678" t="str">
        <f>IF(E2678="","",INDEX(Knutepunkter!$D:$D,E2678+1))</f>
        <v/>
      </c>
      <c r="L2678" t="str">
        <f t="shared" si="208"/>
        <v/>
      </c>
      <c r="M2678" t="str">
        <f t="shared" si="209"/>
        <v/>
      </c>
    </row>
    <row r="2679" spans="1:13" x14ac:dyDescent="0.3">
      <c r="A2679" t="str">
        <f>Segmenter!A2679</f>
        <v/>
      </c>
      <c r="B2679" t="str">
        <f>Segmenter!B2679</f>
        <v/>
      </c>
      <c r="C2679" t="str">
        <f t="shared" si="205"/>
        <v/>
      </c>
      <c r="D2679" t="str">
        <f t="shared" si="206"/>
        <v/>
      </c>
      <c r="E2679" t="str">
        <f t="shared" si="207"/>
        <v/>
      </c>
      <c r="F2679" t="str">
        <f>IF(D2679="","",INDEX(Knutepunkter!$B:$B,D2679+1))</f>
        <v/>
      </c>
      <c r="G2679" t="str">
        <f>IF(D2679="","",INDEX(Knutepunkter!$C:$C,D2679+1))</f>
        <v/>
      </c>
      <c r="H2679" t="str">
        <f>IF(D2679="","",INDEX(Knutepunkter!$D:$D,D2679+1))</f>
        <v/>
      </c>
      <c r="I2679" t="str">
        <f>IF(E2679="","",INDEX(Knutepunkter!$B:$B,E2679+1))</f>
        <v/>
      </c>
      <c r="J2679" t="str">
        <f>IF(E2679="","",INDEX(Knutepunkter!$C:$C,E2679+1))</f>
        <v/>
      </c>
      <c r="K2679" t="str">
        <f>IF(E2679="","",INDEX(Knutepunkter!$D:$D,E2679+1))</f>
        <v/>
      </c>
      <c r="L2679" t="str">
        <f t="shared" si="208"/>
        <v/>
      </c>
      <c r="M2679" t="str">
        <f t="shared" si="209"/>
        <v/>
      </c>
    </row>
    <row r="2680" spans="1:13" x14ac:dyDescent="0.3">
      <c r="A2680" t="str">
        <f>Segmenter!A2680</f>
        <v/>
      </c>
      <c r="B2680" t="str">
        <f>Segmenter!B2680</f>
        <v/>
      </c>
      <c r="C2680" t="str">
        <f t="shared" si="205"/>
        <v/>
      </c>
      <c r="D2680" t="str">
        <f t="shared" si="206"/>
        <v/>
      </c>
      <c r="E2680" t="str">
        <f t="shared" si="207"/>
        <v/>
      </c>
      <c r="F2680" t="str">
        <f>IF(D2680="","",INDEX(Knutepunkter!$B:$B,D2680+1))</f>
        <v/>
      </c>
      <c r="G2680" t="str">
        <f>IF(D2680="","",INDEX(Knutepunkter!$C:$C,D2680+1))</f>
        <v/>
      </c>
      <c r="H2680" t="str">
        <f>IF(D2680="","",INDEX(Knutepunkter!$D:$D,D2680+1))</f>
        <v/>
      </c>
      <c r="I2680" t="str">
        <f>IF(E2680="","",INDEX(Knutepunkter!$B:$B,E2680+1))</f>
        <v/>
      </c>
      <c r="J2680" t="str">
        <f>IF(E2680="","",INDEX(Knutepunkter!$C:$C,E2680+1))</f>
        <v/>
      </c>
      <c r="K2680" t="str">
        <f>IF(E2680="","",INDEX(Knutepunkter!$D:$D,E2680+1))</f>
        <v/>
      </c>
      <c r="L2680" t="str">
        <f t="shared" si="208"/>
        <v/>
      </c>
      <c r="M2680" t="str">
        <f t="shared" si="209"/>
        <v/>
      </c>
    </row>
    <row r="2681" spans="1:13" x14ac:dyDescent="0.3">
      <c r="A2681" t="str">
        <f>Segmenter!A2681</f>
        <v/>
      </c>
      <c r="B2681" t="str">
        <f>Segmenter!B2681</f>
        <v/>
      </c>
      <c r="C2681" t="str">
        <f t="shared" si="205"/>
        <v/>
      </c>
      <c r="D2681" t="str">
        <f t="shared" si="206"/>
        <v/>
      </c>
      <c r="E2681" t="str">
        <f t="shared" si="207"/>
        <v/>
      </c>
      <c r="F2681" t="str">
        <f>IF(D2681="","",INDEX(Knutepunkter!$B:$B,D2681+1))</f>
        <v/>
      </c>
      <c r="G2681" t="str">
        <f>IF(D2681="","",INDEX(Knutepunkter!$C:$C,D2681+1))</f>
        <v/>
      </c>
      <c r="H2681" t="str">
        <f>IF(D2681="","",INDEX(Knutepunkter!$D:$D,D2681+1))</f>
        <v/>
      </c>
      <c r="I2681" t="str">
        <f>IF(E2681="","",INDEX(Knutepunkter!$B:$B,E2681+1))</f>
        <v/>
      </c>
      <c r="J2681" t="str">
        <f>IF(E2681="","",INDEX(Knutepunkter!$C:$C,E2681+1))</f>
        <v/>
      </c>
      <c r="K2681" t="str">
        <f>IF(E2681="","",INDEX(Knutepunkter!$D:$D,E2681+1))</f>
        <v/>
      </c>
      <c r="L2681" t="str">
        <f t="shared" si="208"/>
        <v/>
      </c>
      <c r="M2681" t="str">
        <f t="shared" si="209"/>
        <v/>
      </c>
    </row>
    <row r="2682" spans="1:13" x14ac:dyDescent="0.3">
      <c r="A2682" t="str">
        <f>Segmenter!A2682</f>
        <v/>
      </c>
      <c r="B2682" t="str">
        <f>Segmenter!B2682</f>
        <v/>
      </c>
      <c r="C2682" t="str">
        <f t="shared" si="205"/>
        <v/>
      </c>
      <c r="D2682" t="str">
        <f t="shared" si="206"/>
        <v/>
      </c>
      <c r="E2682" t="str">
        <f t="shared" si="207"/>
        <v/>
      </c>
      <c r="F2682" t="str">
        <f>IF(D2682="","",INDEX(Knutepunkter!$B:$B,D2682+1))</f>
        <v/>
      </c>
      <c r="G2682" t="str">
        <f>IF(D2682="","",INDEX(Knutepunkter!$C:$C,D2682+1))</f>
        <v/>
      </c>
      <c r="H2682" t="str">
        <f>IF(D2682="","",INDEX(Knutepunkter!$D:$D,D2682+1))</f>
        <v/>
      </c>
      <c r="I2682" t="str">
        <f>IF(E2682="","",INDEX(Knutepunkter!$B:$B,E2682+1))</f>
        <v/>
      </c>
      <c r="J2682" t="str">
        <f>IF(E2682="","",INDEX(Knutepunkter!$C:$C,E2682+1))</f>
        <v/>
      </c>
      <c r="K2682" t="str">
        <f>IF(E2682="","",INDEX(Knutepunkter!$D:$D,E2682+1))</f>
        <v/>
      </c>
      <c r="L2682" t="str">
        <f t="shared" si="208"/>
        <v/>
      </c>
      <c r="M2682" t="str">
        <f t="shared" si="209"/>
        <v/>
      </c>
    </row>
    <row r="2683" spans="1:13" x14ac:dyDescent="0.3">
      <c r="A2683" t="str">
        <f>Segmenter!A2683</f>
        <v/>
      </c>
      <c r="B2683" t="str">
        <f>Segmenter!B2683</f>
        <v/>
      </c>
      <c r="C2683" t="str">
        <f t="shared" si="205"/>
        <v/>
      </c>
      <c r="D2683" t="str">
        <f t="shared" si="206"/>
        <v/>
      </c>
      <c r="E2683" t="str">
        <f t="shared" si="207"/>
        <v/>
      </c>
      <c r="F2683" t="str">
        <f>IF(D2683="","",INDEX(Knutepunkter!$B:$B,D2683+1))</f>
        <v/>
      </c>
      <c r="G2683" t="str">
        <f>IF(D2683="","",INDEX(Knutepunkter!$C:$C,D2683+1))</f>
        <v/>
      </c>
      <c r="H2683" t="str">
        <f>IF(D2683="","",INDEX(Knutepunkter!$D:$D,D2683+1))</f>
        <v/>
      </c>
      <c r="I2683" t="str">
        <f>IF(E2683="","",INDEX(Knutepunkter!$B:$B,E2683+1))</f>
        <v/>
      </c>
      <c r="J2683" t="str">
        <f>IF(E2683="","",INDEX(Knutepunkter!$C:$C,E2683+1))</f>
        <v/>
      </c>
      <c r="K2683" t="str">
        <f>IF(E2683="","",INDEX(Knutepunkter!$D:$D,E2683+1))</f>
        <v/>
      </c>
      <c r="L2683" t="str">
        <f t="shared" si="208"/>
        <v/>
      </c>
      <c r="M2683" t="str">
        <f t="shared" si="209"/>
        <v/>
      </c>
    </row>
    <row r="2684" spans="1:13" x14ac:dyDescent="0.3">
      <c r="A2684" t="str">
        <f>Segmenter!A2684</f>
        <v/>
      </c>
      <c r="B2684" t="str">
        <f>Segmenter!B2684</f>
        <v/>
      </c>
      <c r="C2684" t="str">
        <f t="shared" si="205"/>
        <v/>
      </c>
      <c r="D2684" t="str">
        <f t="shared" si="206"/>
        <v/>
      </c>
      <c r="E2684" t="str">
        <f t="shared" si="207"/>
        <v/>
      </c>
      <c r="F2684" t="str">
        <f>IF(D2684="","",INDEX(Knutepunkter!$B:$B,D2684+1))</f>
        <v/>
      </c>
      <c r="G2684" t="str">
        <f>IF(D2684="","",INDEX(Knutepunkter!$C:$C,D2684+1))</f>
        <v/>
      </c>
      <c r="H2684" t="str">
        <f>IF(D2684="","",INDEX(Knutepunkter!$D:$D,D2684+1))</f>
        <v/>
      </c>
      <c r="I2684" t="str">
        <f>IF(E2684="","",INDEX(Knutepunkter!$B:$B,E2684+1))</f>
        <v/>
      </c>
      <c r="J2684" t="str">
        <f>IF(E2684="","",INDEX(Knutepunkter!$C:$C,E2684+1))</f>
        <v/>
      </c>
      <c r="K2684" t="str">
        <f>IF(E2684="","",INDEX(Knutepunkter!$D:$D,E2684+1))</f>
        <v/>
      </c>
      <c r="L2684" t="str">
        <f t="shared" si="208"/>
        <v/>
      </c>
      <c r="M2684" t="str">
        <f t="shared" si="209"/>
        <v/>
      </c>
    </row>
    <row r="2685" spans="1:13" x14ac:dyDescent="0.3">
      <c r="A2685" t="str">
        <f>Segmenter!A2685</f>
        <v/>
      </c>
      <c r="B2685" t="str">
        <f>Segmenter!B2685</f>
        <v/>
      </c>
      <c r="C2685" t="str">
        <f t="shared" si="205"/>
        <v/>
      </c>
      <c r="D2685" t="str">
        <f t="shared" si="206"/>
        <v/>
      </c>
      <c r="E2685" t="str">
        <f t="shared" si="207"/>
        <v/>
      </c>
      <c r="F2685" t="str">
        <f>IF(D2685="","",INDEX(Knutepunkter!$B:$B,D2685+1))</f>
        <v/>
      </c>
      <c r="G2685" t="str">
        <f>IF(D2685="","",INDEX(Knutepunkter!$C:$C,D2685+1))</f>
        <v/>
      </c>
      <c r="H2685" t="str">
        <f>IF(D2685="","",INDEX(Knutepunkter!$D:$D,D2685+1))</f>
        <v/>
      </c>
      <c r="I2685" t="str">
        <f>IF(E2685="","",INDEX(Knutepunkter!$B:$B,E2685+1))</f>
        <v/>
      </c>
      <c r="J2685" t="str">
        <f>IF(E2685="","",INDEX(Knutepunkter!$C:$C,E2685+1))</f>
        <v/>
      </c>
      <c r="K2685" t="str">
        <f>IF(E2685="","",INDEX(Knutepunkter!$D:$D,E2685+1))</f>
        <v/>
      </c>
      <c r="L2685" t="str">
        <f t="shared" si="208"/>
        <v/>
      </c>
      <c r="M2685" t="str">
        <f t="shared" si="209"/>
        <v/>
      </c>
    </row>
    <row r="2686" spans="1:13" x14ac:dyDescent="0.3">
      <c r="A2686" t="str">
        <f>Segmenter!A2686</f>
        <v/>
      </c>
      <c r="B2686" t="str">
        <f>Segmenter!B2686</f>
        <v/>
      </c>
      <c r="C2686" t="str">
        <f t="shared" si="205"/>
        <v/>
      </c>
      <c r="D2686" t="str">
        <f t="shared" si="206"/>
        <v/>
      </c>
      <c r="E2686" t="str">
        <f t="shared" si="207"/>
        <v/>
      </c>
      <c r="F2686" t="str">
        <f>IF(D2686="","",INDEX(Knutepunkter!$B:$B,D2686+1))</f>
        <v/>
      </c>
      <c r="G2686" t="str">
        <f>IF(D2686="","",INDEX(Knutepunkter!$C:$C,D2686+1))</f>
        <v/>
      </c>
      <c r="H2686" t="str">
        <f>IF(D2686="","",INDEX(Knutepunkter!$D:$D,D2686+1))</f>
        <v/>
      </c>
      <c r="I2686" t="str">
        <f>IF(E2686="","",INDEX(Knutepunkter!$B:$B,E2686+1))</f>
        <v/>
      </c>
      <c r="J2686" t="str">
        <f>IF(E2686="","",INDEX(Knutepunkter!$C:$C,E2686+1))</f>
        <v/>
      </c>
      <c r="K2686" t="str">
        <f>IF(E2686="","",INDEX(Knutepunkter!$D:$D,E2686+1))</f>
        <v/>
      </c>
      <c r="L2686" t="str">
        <f t="shared" si="208"/>
        <v/>
      </c>
      <c r="M2686" t="str">
        <f t="shared" si="209"/>
        <v/>
      </c>
    </row>
    <row r="2687" spans="1:13" x14ac:dyDescent="0.3">
      <c r="A2687" t="str">
        <f>Segmenter!A2687</f>
        <v/>
      </c>
      <c r="B2687" t="str">
        <f>Segmenter!B2687</f>
        <v/>
      </c>
      <c r="C2687" t="str">
        <f t="shared" si="205"/>
        <v/>
      </c>
      <c r="D2687" t="str">
        <f t="shared" si="206"/>
        <v/>
      </c>
      <c r="E2687" t="str">
        <f t="shared" si="207"/>
        <v/>
      </c>
      <c r="F2687" t="str">
        <f>IF(D2687="","",INDEX(Knutepunkter!$B:$B,D2687+1))</f>
        <v/>
      </c>
      <c r="G2687" t="str">
        <f>IF(D2687="","",INDEX(Knutepunkter!$C:$C,D2687+1))</f>
        <v/>
      </c>
      <c r="H2687" t="str">
        <f>IF(D2687="","",INDEX(Knutepunkter!$D:$D,D2687+1))</f>
        <v/>
      </c>
      <c r="I2687" t="str">
        <f>IF(E2687="","",INDEX(Knutepunkter!$B:$B,E2687+1))</f>
        <v/>
      </c>
      <c r="J2687" t="str">
        <f>IF(E2687="","",INDEX(Knutepunkter!$C:$C,E2687+1))</f>
        <v/>
      </c>
      <c r="K2687" t="str">
        <f>IF(E2687="","",INDEX(Knutepunkter!$D:$D,E2687+1))</f>
        <v/>
      </c>
      <c r="L2687" t="str">
        <f t="shared" si="208"/>
        <v/>
      </c>
      <c r="M2687" t="str">
        <f t="shared" si="209"/>
        <v/>
      </c>
    </row>
    <row r="2688" spans="1:13" x14ac:dyDescent="0.3">
      <c r="A2688" t="str">
        <f>Segmenter!A2688</f>
        <v/>
      </c>
      <c r="B2688" t="str">
        <f>Segmenter!B2688</f>
        <v/>
      </c>
      <c r="C2688" t="str">
        <f t="shared" si="205"/>
        <v/>
      </c>
      <c r="D2688" t="str">
        <f t="shared" si="206"/>
        <v/>
      </c>
      <c r="E2688" t="str">
        <f t="shared" si="207"/>
        <v/>
      </c>
      <c r="F2688" t="str">
        <f>IF(D2688="","",INDEX(Knutepunkter!$B:$B,D2688+1))</f>
        <v/>
      </c>
      <c r="G2688" t="str">
        <f>IF(D2688="","",INDEX(Knutepunkter!$C:$C,D2688+1))</f>
        <v/>
      </c>
      <c r="H2688" t="str">
        <f>IF(D2688="","",INDEX(Knutepunkter!$D:$D,D2688+1))</f>
        <v/>
      </c>
      <c r="I2688" t="str">
        <f>IF(E2688="","",INDEX(Knutepunkter!$B:$B,E2688+1))</f>
        <v/>
      </c>
      <c r="J2688" t="str">
        <f>IF(E2688="","",INDEX(Knutepunkter!$C:$C,E2688+1))</f>
        <v/>
      </c>
      <c r="K2688" t="str">
        <f>IF(E2688="","",INDEX(Knutepunkter!$D:$D,E2688+1))</f>
        <v/>
      </c>
      <c r="L2688" t="str">
        <f t="shared" si="208"/>
        <v/>
      </c>
      <c r="M2688" t="str">
        <f t="shared" si="209"/>
        <v/>
      </c>
    </row>
    <row r="2689" spans="1:13" x14ac:dyDescent="0.3">
      <c r="A2689" t="str">
        <f>Segmenter!A2689</f>
        <v/>
      </c>
      <c r="B2689" t="str">
        <f>Segmenter!B2689</f>
        <v/>
      </c>
      <c r="C2689" t="str">
        <f t="shared" si="205"/>
        <v/>
      </c>
      <c r="D2689" t="str">
        <f t="shared" si="206"/>
        <v/>
      </c>
      <c r="E2689" t="str">
        <f t="shared" si="207"/>
        <v/>
      </c>
      <c r="F2689" t="str">
        <f>IF(D2689="","",INDEX(Knutepunkter!$B:$B,D2689+1))</f>
        <v/>
      </c>
      <c r="G2689" t="str">
        <f>IF(D2689="","",INDEX(Knutepunkter!$C:$C,D2689+1))</f>
        <v/>
      </c>
      <c r="H2689" t="str">
        <f>IF(D2689="","",INDEX(Knutepunkter!$D:$D,D2689+1))</f>
        <v/>
      </c>
      <c r="I2689" t="str">
        <f>IF(E2689="","",INDEX(Knutepunkter!$B:$B,E2689+1))</f>
        <v/>
      </c>
      <c r="J2689" t="str">
        <f>IF(E2689="","",INDEX(Knutepunkter!$C:$C,E2689+1))</f>
        <v/>
      </c>
      <c r="K2689" t="str">
        <f>IF(E2689="","",INDEX(Knutepunkter!$D:$D,E2689+1))</f>
        <v/>
      </c>
      <c r="L2689" t="str">
        <f t="shared" si="208"/>
        <v/>
      </c>
      <c r="M2689" t="str">
        <f t="shared" si="209"/>
        <v/>
      </c>
    </row>
    <row r="2690" spans="1:13" x14ac:dyDescent="0.3">
      <c r="A2690" t="str">
        <f>Segmenter!A2690</f>
        <v/>
      </c>
      <c r="B2690" t="str">
        <f>Segmenter!B2690</f>
        <v/>
      </c>
      <c r="C2690" t="str">
        <f t="shared" ref="C2690:C2753" si="210">IF(B2690="","",IF(AND(F2690=I2690,G2690=J2690,H2690&lt;&gt;K2690),"Søyle","Bjelke"))</f>
        <v/>
      </c>
      <c r="D2690" t="str">
        <f t="shared" ref="D2690:D2753" si="211">IF(B2690="","",VALUE(LEFT(B2690,FIND(" -&gt; ",B2690)-1)))</f>
        <v/>
      </c>
      <c r="E2690" t="str">
        <f t="shared" ref="E2690:E2753" si="212">IF(B2690="","",VALUE(MID(B2690,FIND(" -&gt; ",B2690)+4,99)))</f>
        <v/>
      </c>
      <c r="F2690" t="str">
        <f>IF(D2690="","",INDEX(Knutepunkter!$B:$B,D2690+1))</f>
        <v/>
      </c>
      <c r="G2690" t="str">
        <f>IF(D2690="","",INDEX(Knutepunkter!$C:$C,D2690+1))</f>
        <v/>
      </c>
      <c r="H2690" t="str">
        <f>IF(D2690="","",INDEX(Knutepunkter!$D:$D,D2690+1))</f>
        <v/>
      </c>
      <c r="I2690" t="str">
        <f>IF(E2690="","",INDEX(Knutepunkter!$B:$B,E2690+1))</f>
        <v/>
      </c>
      <c r="J2690" t="str">
        <f>IF(E2690="","",INDEX(Knutepunkter!$C:$C,E2690+1))</f>
        <v/>
      </c>
      <c r="K2690" t="str">
        <f>IF(E2690="","",INDEX(Knutepunkter!$D:$D,E2690+1))</f>
        <v/>
      </c>
      <c r="L2690" t="str">
        <f t="shared" ref="L2690:L2753" si="213">IF(B2690="","",SQRT((I2690-F2690)^2+(J2690-G2690)^2+(K2690-H2690)^2))</f>
        <v/>
      </c>
      <c r="M2690" t="str">
        <f t="shared" ref="M2690:M2753" si="214">IF(L2690="","",L2690/1000)</f>
        <v/>
      </c>
    </row>
    <row r="2691" spans="1:13" x14ac:dyDescent="0.3">
      <c r="A2691" t="str">
        <f>Segmenter!A2691</f>
        <v/>
      </c>
      <c r="B2691" t="str">
        <f>Segmenter!B2691</f>
        <v/>
      </c>
      <c r="C2691" t="str">
        <f t="shared" si="210"/>
        <v/>
      </c>
      <c r="D2691" t="str">
        <f t="shared" si="211"/>
        <v/>
      </c>
      <c r="E2691" t="str">
        <f t="shared" si="212"/>
        <v/>
      </c>
      <c r="F2691" t="str">
        <f>IF(D2691="","",INDEX(Knutepunkter!$B:$B,D2691+1))</f>
        <v/>
      </c>
      <c r="G2691" t="str">
        <f>IF(D2691="","",INDEX(Knutepunkter!$C:$C,D2691+1))</f>
        <v/>
      </c>
      <c r="H2691" t="str">
        <f>IF(D2691="","",INDEX(Knutepunkter!$D:$D,D2691+1))</f>
        <v/>
      </c>
      <c r="I2691" t="str">
        <f>IF(E2691="","",INDEX(Knutepunkter!$B:$B,E2691+1))</f>
        <v/>
      </c>
      <c r="J2691" t="str">
        <f>IF(E2691="","",INDEX(Knutepunkter!$C:$C,E2691+1))</f>
        <v/>
      </c>
      <c r="K2691" t="str">
        <f>IF(E2691="","",INDEX(Knutepunkter!$D:$D,E2691+1))</f>
        <v/>
      </c>
      <c r="L2691" t="str">
        <f t="shared" si="213"/>
        <v/>
      </c>
      <c r="M2691" t="str">
        <f t="shared" si="214"/>
        <v/>
      </c>
    </row>
    <row r="2692" spans="1:13" x14ac:dyDescent="0.3">
      <c r="A2692" t="str">
        <f>Segmenter!A2692</f>
        <v/>
      </c>
      <c r="B2692" t="str">
        <f>Segmenter!B2692</f>
        <v/>
      </c>
      <c r="C2692" t="str">
        <f t="shared" si="210"/>
        <v/>
      </c>
      <c r="D2692" t="str">
        <f t="shared" si="211"/>
        <v/>
      </c>
      <c r="E2692" t="str">
        <f t="shared" si="212"/>
        <v/>
      </c>
      <c r="F2692" t="str">
        <f>IF(D2692="","",INDEX(Knutepunkter!$B:$B,D2692+1))</f>
        <v/>
      </c>
      <c r="G2692" t="str">
        <f>IF(D2692="","",INDEX(Knutepunkter!$C:$C,D2692+1))</f>
        <v/>
      </c>
      <c r="H2692" t="str">
        <f>IF(D2692="","",INDEX(Knutepunkter!$D:$D,D2692+1))</f>
        <v/>
      </c>
      <c r="I2692" t="str">
        <f>IF(E2692="","",INDEX(Knutepunkter!$B:$B,E2692+1))</f>
        <v/>
      </c>
      <c r="J2692" t="str">
        <f>IF(E2692="","",INDEX(Knutepunkter!$C:$C,E2692+1))</f>
        <v/>
      </c>
      <c r="K2692" t="str">
        <f>IF(E2692="","",INDEX(Knutepunkter!$D:$D,E2692+1))</f>
        <v/>
      </c>
      <c r="L2692" t="str">
        <f t="shared" si="213"/>
        <v/>
      </c>
      <c r="M2692" t="str">
        <f t="shared" si="214"/>
        <v/>
      </c>
    </row>
    <row r="2693" spans="1:13" x14ac:dyDescent="0.3">
      <c r="A2693" t="str">
        <f>Segmenter!A2693</f>
        <v/>
      </c>
      <c r="B2693" t="str">
        <f>Segmenter!B2693</f>
        <v/>
      </c>
      <c r="C2693" t="str">
        <f t="shared" si="210"/>
        <v/>
      </c>
      <c r="D2693" t="str">
        <f t="shared" si="211"/>
        <v/>
      </c>
      <c r="E2693" t="str">
        <f t="shared" si="212"/>
        <v/>
      </c>
      <c r="F2693" t="str">
        <f>IF(D2693="","",INDEX(Knutepunkter!$B:$B,D2693+1))</f>
        <v/>
      </c>
      <c r="G2693" t="str">
        <f>IF(D2693="","",INDEX(Knutepunkter!$C:$C,D2693+1))</f>
        <v/>
      </c>
      <c r="H2693" t="str">
        <f>IF(D2693="","",INDEX(Knutepunkter!$D:$D,D2693+1))</f>
        <v/>
      </c>
      <c r="I2693" t="str">
        <f>IF(E2693="","",INDEX(Knutepunkter!$B:$B,E2693+1))</f>
        <v/>
      </c>
      <c r="J2693" t="str">
        <f>IF(E2693="","",INDEX(Knutepunkter!$C:$C,E2693+1))</f>
        <v/>
      </c>
      <c r="K2693" t="str">
        <f>IF(E2693="","",INDEX(Knutepunkter!$D:$D,E2693+1))</f>
        <v/>
      </c>
      <c r="L2693" t="str">
        <f t="shared" si="213"/>
        <v/>
      </c>
      <c r="M2693" t="str">
        <f t="shared" si="214"/>
        <v/>
      </c>
    </row>
    <row r="2694" spans="1:13" x14ac:dyDescent="0.3">
      <c r="A2694" t="str">
        <f>Segmenter!A2694</f>
        <v/>
      </c>
      <c r="B2694" t="str">
        <f>Segmenter!B2694</f>
        <v/>
      </c>
      <c r="C2694" t="str">
        <f t="shared" si="210"/>
        <v/>
      </c>
      <c r="D2694" t="str">
        <f t="shared" si="211"/>
        <v/>
      </c>
      <c r="E2694" t="str">
        <f t="shared" si="212"/>
        <v/>
      </c>
      <c r="F2694" t="str">
        <f>IF(D2694="","",INDEX(Knutepunkter!$B:$B,D2694+1))</f>
        <v/>
      </c>
      <c r="G2694" t="str">
        <f>IF(D2694="","",INDEX(Knutepunkter!$C:$C,D2694+1))</f>
        <v/>
      </c>
      <c r="H2694" t="str">
        <f>IF(D2694="","",INDEX(Knutepunkter!$D:$D,D2694+1))</f>
        <v/>
      </c>
      <c r="I2694" t="str">
        <f>IF(E2694="","",INDEX(Knutepunkter!$B:$B,E2694+1))</f>
        <v/>
      </c>
      <c r="J2694" t="str">
        <f>IF(E2694="","",INDEX(Knutepunkter!$C:$C,E2694+1))</f>
        <v/>
      </c>
      <c r="K2694" t="str">
        <f>IF(E2694="","",INDEX(Knutepunkter!$D:$D,E2694+1))</f>
        <v/>
      </c>
      <c r="L2694" t="str">
        <f t="shared" si="213"/>
        <v/>
      </c>
      <c r="M2694" t="str">
        <f t="shared" si="214"/>
        <v/>
      </c>
    </row>
    <row r="2695" spans="1:13" x14ac:dyDescent="0.3">
      <c r="A2695" t="str">
        <f>Segmenter!A2695</f>
        <v/>
      </c>
      <c r="B2695" t="str">
        <f>Segmenter!B2695</f>
        <v/>
      </c>
      <c r="C2695" t="str">
        <f t="shared" si="210"/>
        <v/>
      </c>
      <c r="D2695" t="str">
        <f t="shared" si="211"/>
        <v/>
      </c>
      <c r="E2695" t="str">
        <f t="shared" si="212"/>
        <v/>
      </c>
      <c r="F2695" t="str">
        <f>IF(D2695="","",INDEX(Knutepunkter!$B:$B,D2695+1))</f>
        <v/>
      </c>
      <c r="G2695" t="str">
        <f>IF(D2695="","",INDEX(Knutepunkter!$C:$C,D2695+1))</f>
        <v/>
      </c>
      <c r="H2695" t="str">
        <f>IF(D2695="","",INDEX(Knutepunkter!$D:$D,D2695+1))</f>
        <v/>
      </c>
      <c r="I2695" t="str">
        <f>IF(E2695="","",INDEX(Knutepunkter!$B:$B,E2695+1))</f>
        <v/>
      </c>
      <c r="J2695" t="str">
        <f>IF(E2695="","",INDEX(Knutepunkter!$C:$C,E2695+1))</f>
        <v/>
      </c>
      <c r="K2695" t="str">
        <f>IF(E2695="","",INDEX(Knutepunkter!$D:$D,E2695+1))</f>
        <v/>
      </c>
      <c r="L2695" t="str">
        <f t="shared" si="213"/>
        <v/>
      </c>
      <c r="M2695" t="str">
        <f t="shared" si="214"/>
        <v/>
      </c>
    </row>
    <row r="2696" spans="1:13" x14ac:dyDescent="0.3">
      <c r="A2696" t="str">
        <f>Segmenter!A2696</f>
        <v/>
      </c>
      <c r="B2696" t="str">
        <f>Segmenter!B2696</f>
        <v/>
      </c>
      <c r="C2696" t="str">
        <f t="shared" si="210"/>
        <v/>
      </c>
      <c r="D2696" t="str">
        <f t="shared" si="211"/>
        <v/>
      </c>
      <c r="E2696" t="str">
        <f t="shared" si="212"/>
        <v/>
      </c>
      <c r="F2696" t="str">
        <f>IF(D2696="","",INDEX(Knutepunkter!$B:$B,D2696+1))</f>
        <v/>
      </c>
      <c r="G2696" t="str">
        <f>IF(D2696="","",INDEX(Knutepunkter!$C:$C,D2696+1))</f>
        <v/>
      </c>
      <c r="H2696" t="str">
        <f>IF(D2696="","",INDEX(Knutepunkter!$D:$D,D2696+1))</f>
        <v/>
      </c>
      <c r="I2696" t="str">
        <f>IF(E2696="","",INDEX(Knutepunkter!$B:$B,E2696+1))</f>
        <v/>
      </c>
      <c r="J2696" t="str">
        <f>IF(E2696="","",INDEX(Knutepunkter!$C:$C,E2696+1))</f>
        <v/>
      </c>
      <c r="K2696" t="str">
        <f>IF(E2696="","",INDEX(Knutepunkter!$D:$D,E2696+1))</f>
        <v/>
      </c>
      <c r="L2696" t="str">
        <f t="shared" si="213"/>
        <v/>
      </c>
      <c r="M2696" t="str">
        <f t="shared" si="214"/>
        <v/>
      </c>
    </row>
    <row r="2697" spans="1:13" x14ac:dyDescent="0.3">
      <c r="A2697" t="str">
        <f>Segmenter!A2697</f>
        <v/>
      </c>
      <c r="B2697" t="str">
        <f>Segmenter!B2697</f>
        <v/>
      </c>
      <c r="C2697" t="str">
        <f t="shared" si="210"/>
        <v/>
      </c>
      <c r="D2697" t="str">
        <f t="shared" si="211"/>
        <v/>
      </c>
      <c r="E2697" t="str">
        <f t="shared" si="212"/>
        <v/>
      </c>
      <c r="F2697" t="str">
        <f>IF(D2697="","",INDEX(Knutepunkter!$B:$B,D2697+1))</f>
        <v/>
      </c>
      <c r="G2697" t="str">
        <f>IF(D2697="","",INDEX(Knutepunkter!$C:$C,D2697+1))</f>
        <v/>
      </c>
      <c r="H2697" t="str">
        <f>IF(D2697="","",INDEX(Knutepunkter!$D:$D,D2697+1))</f>
        <v/>
      </c>
      <c r="I2697" t="str">
        <f>IF(E2697="","",INDEX(Knutepunkter!$B:$B,E2697+1))</f>
        <v/>
      </c>
      <c r="J2697" t="str">
        <f>IF(E2697="","",INDEX(Knutepunkter!$C:$C,E2697+1))</f>
        <v/>
      </c>
      <c r="K2697" t="str">
        <f>IF(E2697="","",INDEX(Knutepunkter!$D:$D,E2697+1))</f>
        <v/>
      </c>
      <c r="L2697" t="str">
        <f t="shared" si="213"/>
        <v/>
      </c>
      <c r="M2697" t="str">
        <f t="shared" si="214"/>
        <v/>
      </c>
    </row>
    <row r="2698" spans="1:13" x14ac:dyDescent="0.3">
      <c r="A2698" t="str">
        <f>Segmenter!A2698</f>
        <v/>
      </c>
      <c r="B2698" t="str">
        <f>Segmenter!B2698</f>
        <v/>
      </c>
      <c r="C2698" t="str">
        <f t="shared" si="210"/>
        <v/>
      </c>
      <c r="D2698" t="str">
        <f t="shared" si="211"/>
        <v/>
      </c>
      <c r="E2698" t="str">
        <f t="shared" si="212"/>
        <v/>
      </c>
      <c r="F2698" t="str">
        <f>IF(D2698="","",INDEX(Knutepunkter!$B:$B,D2698+1))</f>
        <v/>
      </c>
      <c r="G2698" t="str">
        <f>IF(D2698="","",INDEX(Knutepunkter!$C:$C,D2698+1))</f>
        <v/>
      </c>
      <c r="H2698" t="str">
        <f>IF(D2698="","",INDEX(Knutepunkter!$D:$D,D2698+1))</f>
        <v/>
      </c>
      <c r="I2698" t="str">
        <f>IF(E2698="","",INDEX(Knutepunkter!$B:$B,E2698+1))</f>
        <v/>
      </c>
      <c r="J2698" t="str">
        <f>IF(E2698="","",INDEX(Knutepunkter!$C:$C,E2698+1))</f>
        <v/>
      </c>
      <c r="K2698" t="str">
        <f>IF(E2698="","",INDEX(Knutepunkter!$D:$D,E2698+1))</f>
        <v/>
      </c>
      <c r="L2698" t="str">
        <f t="shared" si="213"/>
        <v/>
      </c>
      <c r="M2698" t="str">
        <f t="shared" si="214"/>
        <v/>
      </c>
    </row>
    <row r="2699" spans="1:13" x14ac:dyDescent="0.3">
      <c r="A2699" t="str">
        <f>Segmenter!A2699</f>
        <v/>
      </c>
      <c r="B2699" t="str">
        <f>Segmenter!B2699</f>
        <v/>
      </c>
      <c r="C2699" t="str">
        <f t="shared" si="210"/>
        <v/>
      </c>
      <c r="D2699" t="str">
        <f t="shared" si="211"/>
        <v/>
      </c>
      <c r="E2699" t="str">
        <f t="shared" si="212"/>
        <v/>
      </c>
      <c r="F2699" t="str">
        <f>IF(D2699="","",INDEX(Knutepunkter!$B:$B,D2699+1))</f>
        <v/>
      </c>
      <c r="G2699" t="str">
        <f>IF(D2699="","",INDEX(Knutepunkter!$C:$C,D2699+1))</f>
        <v/>
      </c>
      <c r="H2699" t="str">
        <f>IF(D2699="","",INDEX(Knutepunkter!$D:$D,D2699+1))</f>
        <v/>
      </c>
      <c r="I2699" t="str">
        <f>IF(E2699="","",INDEX(Knutepunkter!$B:$B,E2699+1))</f>
        <v/>
      </c>
      <c r="J2699" t="str">
        <f>IF(E2699="","",INDEX(Knutepunkter!$C:$C,E2699+1))</f>
        <v/>
      </c>
      <c r="K2699" t="str">
        <f>IF(E2699="","",INDEX(Knutepunkter!$D:$D,E2699+1))</f>
        <v/>
      </c>
      <c r="L2699" t="str">
        <f t="shared" si="213"/>
        <v/>
      </c>
      <c r="M2699" t="str">
        <f t="shared" si="214"/>
        <v/>
      </c>
    </row>
    <row r="2700" spans="1:13" x14ac:dyDescent="0.3">
      <c r="A2700" t="str">
        <f>Segmenter!A2700</f>
        <v/>
      </c>
      <c r="B2700" t="str">
        <f>Segmenter!B2700</f>
        <v/>
      </c>
      <c r="C2700" t="str">
        <f t="shared" si="210"/>
        <v/>
      </c>
      <c r="D2700" t="str">
        <f t="shared" si="211"/>
        <v/>
      </c>
      <c r="E2700" t="str">
        <f t="shared" si="212"/>
        <v/>
      </c>
      <c r="F2700" t="str">
        <f>IF(D2700="","",INDEX(Knutepunkter!$B:$B,D2700+1))</f>
        <v/>
      </c>
      <c r="G2700" t="str">
        <f>IF(D2700="","",INDEX(Knutepunkter!$C:$C,D2700+1))</f>
        <v/>
      </c>
      <c r="H2700" t="str">
        <f>IF(D2700="","",INDEX(Knutepunkter!$D:$D,D2700+1))</f>
        <v/>
      </c>
      <c r="I2700" t="str">
        <f>IF(E2700="","",INDEX(Knutepunkter!$B:$B,E2700+1))</f>
        <v/>
      </c>
      <c r="J2700" t="str">
        <f>IF(E2700="","",INDEX(Knutepunkter!$C:$C,E2700+1))</f>
        <v/>
      </c>
      <c r="K2700" t="str">
        <f>IF(E2700="","",INDEX(Knutepunkter!$D:$D,E2700+1))</f>
        <v/>
      </c>
      <c r="L2700" t="str">
        <f t="shared" si="213"/>
        <v/>
      </c>
      <c r="M2700" t="str">
        <f t="shared" si="214"/>
        <v/>
      </c>
    </row>
    <row r="2701" spans="1:13" x14ac:dyDescent="0.3">
      <c r="A2701" t="str">
        <f>Segmenter!A2701</f>
        <v/>
      </c>
      <c r="B2701" t="str">
        <f>Segmenter!B2701</f>
        <v/>
      </c>
      <c r="C2701" t="str">
        <f t="shared" si="210"/>
        <v/>
      </c>
      <c r="D2701" t="str">
        <f t="shared" si="211"/>
        <v/>
      </c>
      <c r="E2701" t="str">
        <f t="shared" si="212"/>
        <v/>
      </c>
      <c r="F2701" t="str">
        <f>IF(D2701="","",INDEX(Knutepunkter!$B:$B,D2701+1))</f>
        <v/>
      </c>
      <c r="G2701" t="str">
        <f>IF(D2701="","",INDEX(Knutepunkter!$C:$C,D2701+1))</f>
        <v/>
      </c>
      <c r="H2701" t="str">
        <f>IF(D2701="","",INDEX(Knutepunkter!$D:$D,D2701+1))</f>
        <v/>
      </c>
      <c r="I2701" t="str">
        <f>IF(E2701="","",INDEX(Knutepunkter!$B:$B,E2701+1))</f>
        <v/>
      </c>
      <c r="J2701" t="str">
        <f>IF(E2701="","",INDEX(Knutepunkter!$C:$C,E2701+1))</f>
        <v/>
      </c>
      <c r="K2701" t="str">
        <f>IF(E2701="","",INDEX(Knutepunkter!$D:$D,E2701+1))</f>
        <v/>
      </c>
      <c r="L2701" t="str">
        <f t="shared" si="213"/>
        <v/>
      </c>
      <c r="M2701" t="str">
        <f t="shared" si="214"/>
        <v/>
      </c>
    </row>
    <row r="2702" spans="1:13" x14ac:dyDescent="0.3">
      <c r="A2702" t="str">
        <f>Segmenter!A2702</f>
        <v/>
      </c>
      <c r="B2702" t="str">
        <f>Segmenter!B2702</f>
        <v/>
      </c>
      <c r="C2702" t="str">
        <f t="shared" si="210"/>
        <v/>
      </c>
      <c r="D2702" t="str">
        <f t="shared" si="211"/>
        <v/>
      </c>
      <c r="E2702" t="str">
        <f t="shared" si="212"/>
        <v/>
      </c>
      <c r="F2702" t="str">
        <f>IF(D2702="","",INDEX(Knutepunkter!$B:$B,D2702+1))</f>
        <v/>
      </c>
      <c r="G2702" t="str">
        <f>IF(D2702="","",INDEX(Knutepunkter!$C:$C,D2702+1))</f>
        <v/>
      </c>
      <c r="H2702" t="str">
        <f>IF(D2702="","",INDEX(Knutepunkter!$D:$D,D2702+1))</f>
        <v/>
      </c>
      <c r="I2702" t="str">
        <f>IF(E2702="","",INDEX(Knutepunkter!$B:$B,E2702+1))</f>
        <v/>
      </c>
      <c r="J2702" t="str">
        <f>IF(E2702="","",INDEX(Knutepunkter!$C:$C,E2702+1))</f>
        <v/>
      </c>
      <c r="K2702" t="str">
        <f>IF(E2702="","",INDEX(Knutepunkter!$D:$D,E2702+1))</f>
        <v/>
      </c>
      <c r="L2702" t="str">
        <f t="shared" si="213"/>
        <v/>
      </c>
      <c r="M2702" t="str">
        <f t="shared" si="214"/>
        <v/>
      </c>
    </row>
    <row r="2703" spans="1:13" x14ac:dyDescent="0.3">
      <c r="A2703" t="str">
        <f>Segmenter!A2703</f>
        <v/>
      </c>
      <c r="B2703" t="str">
        <f>Segmenter!B2703</f>
        <v/>
      </c>
      <c r="C2703" t="str">
        <f t="shared" si="210"/>
        <v/>
      </c>
      <c r="D2703" t="str">
        <f t="shared" si="211"/>
        <v/>
      </c>
      <c r="E2703" t="str">
        <f t="shared" si="212"/>
        <v/>
      </c>
      <c r="F2703" t="str">
        <f>IF(D2703="","",INDEX(Knutepunkter!$B:$B,D2703+1))</f>
        <v/>
      </c>
      <c r="G2703" t="str">
        <f>IF(D2703="","",INDEX(Knutepunkter!$C:$C,D2703+1))</f>
        <v/>
      </c>
      <c r="H2703" t="str">
        <f>IF(D2703="","",INDEX(Knutepunkter!$D:$D,D2703+1))</f>
        <v/>
      </c>
      <c r="I2703" t="str">
        <f>IF(E2703="","",INDEX(Knutepunkter!$B:$B,E2703+1))</f>
        <v/>
      </c>
      <c r="J2703" t="str">
        <f>IF(E2703="","",INDEX(Knutepunkter!$C:$C,E2703+1))</f>
        <v/>
      </c>
      <c r="K2703" t="str">
        <f>IF(E2703="","",INDEX(Knutepunkter!$D:$D,E2703+1))</f>
        <v/>
      </c>
      <c r="L2703" t="str">
        <f t="shared" si="213"/>
        <v/>
      </c>
      <c r="M2703" t="str">
        <f t="shared" si="214"/>
        <v/>
      </c>
    </row>
    <row r="2704" spans="1:13" x14ac:dyDescent="0.3">
      <c r="A2704" t="str">
        <f>Segmenter!A2704</f>
        <v/>
      </c>
      <c r="B2704" t="str">
        <f>Segmenter!B2704</f>
        <v/>
      </c>
      <c r="C2704" t="str">
        <f t="shared" si="210"/>
        <v/>
      </c>
      <c r="D2704" t="str">
        <f t="shared" si="211"/>
        <v/>
      </c>
      <c r="E2704" t="str">
        <f t="shared" si="212"/>
        <v/>
      </c>
      <c r="F2704" t="str">
        <f>IF(D2704="","",INDEX(Knutepunkter!$B:$B,D2704+1))</f>
        <v/>
      </c>
      <c r="G2704" t="str">
        <f>IF(D2704="","",INDEX(Knutepunkter!$C:$C,D2704+1))</f>
        <v/>
      </c>
      <c r="H2704" t="str">
        <f>IF(D2704="","",INDEX(Knutepunkter!$D:$D,D2704+1))</f>
        <v/>
      </c>
      <c r="I2704" t="str">
        <f>IF(E2704="","",INDEX(Knutepunkter!$B:$B,E2704+1))</f>
        <v/>
      </c>
      <c r="J2704" t="str">
        <f>IF(E2704="","",INDEX(Knutepunkter!$C:$C,E2704+1))</f>
        <v/>
      </c>
      <c r="K2704" t="str">
        <f>IF(E2704="","",INDEX(Knutepunkter!$D:$D,E2704+1))</f>
        <v/>
      </c>
      <c r="L2704" t="str">
        <f t="shared" si="213"/>
        <v/>
      </c>
      <c r="M2704" t="str">
        <f t="shared" si="214"/>
        <v/>
      </c>
    </row>
    <row r="2705" spans="1:13" x14ac:dyDescent="0.3">
      <c r="A2705" t="str">
        <f>Segmenter!A2705</f>
        <v/>
      </c>
      <c r="B2705" t="str">
        <f>Segmenter!B2705</f>
        <v/>
      </c>
      <c r="C2705" t="str">
        <f t="shared" si="210"/>
        <v/>
      </c>
      <c r="D2705" t="str">
        <f t="shared" si="211"/>
        <v/>
      </c>
      <c r="E2705" t="str">
        <f t="shared" si="212"/>
        <v/>
      </c>
      <c r="F2705" t="str">
        <f>IF(D2705="","",INDEX(Knutepunkter!$B:$B,D2705+1))</f>
        <v/>
      </c>
      <c r="G2705" t="str">
        <f>IF(D2705="","",INDEX(Knutepunkter!$C:$C,D2705+1))</f>
        <v/>
      </c>
      <c r="H2705" t="str">
        <f>IF(D2705="","",INDEX(Knutepunkter!$D:$D,D2705+1))</f>
        <v/>
      </c>
      <c r="I2705" t="str">
        <f>IF(E2705="","",INDEX(Knutepunkter!$B:$B,E2705+1))</f>
        <v/>
      </c>
      <c r="J2705" t="str">
        <f>IF(E2705="","",INDEX(Knutepunkter!$C:$C,E2705+1))</f>
        <v/>
      </c>
      <c r="K2705" t="str">
        <f>IF(E2705="","",INDEX(Knutepunkter!$D:$D,E2705+1))</f>
        <v/>
      </c>
      <c r="L2705" t="str">
        <f t="shared" si="213"/>
        <v/>
      </c>
      <c r="M2705" t="str">
        <f t="shared" si="214"/>
        <v/>
      </c>
    </row>
    <row r="2706" spans="1:13" x14ac:dyDescent="0.3">
      <c r="A2706" t="str">
        <f>Segmenter!A2706</f>
        <v/>
      </c>
      <c r="B2706" t="str">
        <f>Segmenter!B2706</f>
        <v/>
      </c>
      <c r="C2706" t="str">
        <f t="shared" si="210"/>
        <v/>
      </c>
      <c r="D2706" t="str">
        <f t="shared" si="211"/>
        <v/>
      </c>
      <c r="E2706" t="str">
        <f t="shared" si="212"/>
        <v/>
      </c>
      <c r="F2706" t="str">
        <f>IF(D2706="","",INDEX(Knutepunkter!$B:$B,D2706+1))</f>
        <v/>
      </c>
      <c r="G2706" t="str">
        <f>IF(D2706="","",INDEX(Knutepunkter!$C:$C,D2706+1))</f>
        <v/>
      </c>
      <c r="H2706" t="str">
        <f>IF(D2706="","",INDEX(Knutepunkter!$D:$D,D2706+1))</f>
        <v/>
      </c>
      <c r="I2706" t="str">
        <f>IF(E2706="","",INDEX(Knutepunkter!$B:$B,E2706+1))</f>
        <v/>
      </c>
      <c r="J2706" t="str">
        <f>IF(E2706="","",INDEX(Knutepunkter!$C:$C,E2706+1))</f>
        <v/>
      </c>
      <c r="K2706" t="str">
        <f>IF(E2706="","",INDEX(Knutepunkter!$D:$D,E2706+1))</f>
        <v/>
      </c>
      <c r="L2706" t="str">
        <f t="shared" si="213"/>
        <v/>
      </c>
      <c r="M2706" t="str">
        <f t="shared" si="214"/>
        <v/>
      </c>
    </row>
    <row r="2707" spans="1:13" x14ac:dyDescent="0.3">
      <c r="A2707" t="str">
        <f>Segmenter!A2707</f>
        <v/>
      </c>
      <c r="B2707" t="str">
        <f>Segmenter!B2707</f>
        <v/>
      </c>
      <c r="C2707" t="str">
        <f t="shared" si="210"/>
        <v/>
      </c>
      <c r="D2707" t="str">
        <f t="shared" si="211"/>
        <v/>
      </c>
      <c r="E2707" t="str">
        <f t="shared" si="212"/>
        <v/>
      </c>
      <c r="F2707" t="str">
        <f>IF(D2707="","",INDEX(Knutepunkter!$B:$B,D2707+1))</f>
        <v/>
      </c>
      <c r="G2707" t="str">
        <f>IF(D2707="","",INDEX(Knutepunkter!$C:$C,D2707+1))</f>
        <v/>
      </c>
      <c r="H2707" t="str">
        <f>IF(D2707="","",INDEX(Knutepunkter!$D:$D,D2707+1))</f>
        <v/>
      </c>
      <c r="I2707" t="str">
        <f>IF(E2707="","",INDEX(Knutepunkter!$B:$B,E2707+1))</f>
        <v/>
      </c>
      <c r="J2707" t="str">
        <f>IF(E2707="","",INDEX(Knutepunkter!$C:$C,E2707+1))</f>
        <v/>
      </c>
      <c r="K2707" t="str">
        <f>IF(E2707="","",INDEX(Knutepunkter!$D:$D,E2707+1))</f>
        <v/>
      </c>
      <c r="L2707" t="str">
        <f t="shared" si="213"/>
        <v/>
      </c>
      <c r="M2707" t="str">
        <f t="shared" si="214"/>
        <v/>
      </c>
    </row>
    <row r="2708" spans="1:13" x14ac:dyDescent="0.3">
      <c r="A2708" t="str">
        <f>Segmenter!A2708</f>
        <v/>
      </c>
      <c r="B2708" t="str">
        <f>Segmenter!B2708</f>
        <v/>
      </c>
      <c r="C2708" t="str">
        <f t="shared" si="210"/>
        <v/>
      </c>
      <c r="D2708" t="str">
        <f t="shared" si="211"/>
        <v/>
      </c>
      <c r="E2708" t="str">
        <f t="shared" si="212"/>
        <v/>
      </c>
      <c r="F2708" t="str">
        <f>IF(D2708="","",INDEX(Knutepunkter!$B:$B,D2708+1))</f>
        <v/>
      </c>
      <c r="G2708" t="str">
        <f>IF(D2708="","",INDEX(Knutepunkter!$C:$C,D2708+1))</f>
        <v/>
      </c>
      <c r="H2708" t="str">
        <f>IF(D2708="","",INDEX(Knutepunkter!$D:$D,D2708+1))</f>
        <v/>
      </c>
      <c r="I2708" t="str">
        <f>IF(E2708="","",INDEX(Knutepunkter!$B:$B,E2708+1))</f>
        <v/>
      </c>
      <c r="J2708" t="str">
        <f>IF(E2708="","",INDEX(Knutepunkter!$C:$C,E2708+1))</f>
        <v/>
      </c>
      <c r="K2708" t="str">
        <f>IF(E2708="","",INDEX(Knutepunkter!$D:$D,E2708+1))</f>
        <v/>
      </c>
      <c r="L2708" t="str">
        <f t="shared" si="213"/>
        <v/>
      </c>
      <c r="M2708" t="str">
        <f t="shared" si="214"/>
        <v/>
      </c>
    </row>
    <row r="2709" spans="1:13" x14ac:dyDescent="0.3">
      <c r="A2709" t="str">
        <f>Segmenter!A2709</f>
        <v/>
      </c>
      <c r="B2709" t="str">
        <f>Segmenter!B2709</f>
        <v/>
      </c>
      <c r="C2709" t="str">
        <f t="shared" si="210"/>
        <v/>
      </c>
      <c r="D2709" t="str">
        <f t="shared" si="211"/>
        <v/>
      </c>
      <c r="E2709" t="str">
        <f t="shared" si="212"/>
        <v/>
      </c>
      <c r="F2709" t="str">
        <f>IF(D2709="","",INDEX(Knutepunkter!$B:$B,D2709+1))</f>
        <v/>
      </c>
      <c r="G2709" t="str">
        <f>IF(D2709="","",INDEX(Knutepunkter!$C:$C,D2709+1))</f>
        <v/>
      </c>
      <c r="H2709" t="str">
        <f>IF(D2709="","",INDEX(Knutepunkter!$D:$D,D2709+1))</f>
        <v/>
      </c>
      <c r="I2709" t="str">
        <f>IF(E2709="","",INDEX(Knutepunkter!$B:$B,E2709+1))</f>
        <v/>
      </c>
      <c r="J2709" t="str">
        <f>IF(E2709="","",INDEX(Knutepunkter!$C:$C,E2709+1))</f>
        <v/>
      </c>
      <c r="K2709" t="str">
        <f>IF(E2709="","",INDEX(Knutepunkter!$D:$D,E2709+1))</f>
        <v/>
      </c>
      <c r="L2709" t="str">
        <f t="shared" si="213"/>
        <v/>
      </c>
      <c r="M2709" t="str">
        <f t="shared" si="214"/>
        <v/>
      </c>
    </row>
    <row r="2710" spans="1:13" x14ac:dyDescent="0.3">
      <c r="A2710" t="str">
        <f>Segmenter!A2710</f>
        <v/>
      </c>
      <c r="B2710" t="str">
        <f>Segmenter!B2710</f>
        <v/>
      </c>
      <c r="C2710" t="str">
        <f t="shared" si="210"/>
        <v/>
      </c>
      <c r="D2710" t="str">
        <f t="shared" si="211"/>
        <v/>
      </c>
      <c r="E2710" t="str">
        <f t="shared" si="212"/>
        <v/>
      </c>
      <c r="F2710" t="str">
        <f>IF(D2710="","",INDEX(Knutepunkter!$B:$B,D2710+1))</f>
        <v/>
      </c>
      <c r="G2710" t="str">
        <f>IF(D2710="","",INDEX(Knutepunkter!$C:$C,D2710+1))</f>
        <v/>
      </c>
      <c r="H2710" t="str">
        <f>IF(D2710="","",INDEX(Knutepunkter!$D:$D,D2710+1))</f>
        <v/>
      </c>
      <c r="I2710" t="str">
        <f>IF(E2710="","",INDEX(Knutepunkter!$B:$B,E2710+1))</f>
        <v/>
      </c>
      <c r="J2710" t="str">
        <f>IF(E2710="","",INDEX(Knutepunkter!$C:$C,E2710+1))</f>
        <v/>
      </c>
      <c r="K2710" t="str">
        <f>IF(E2710="","",INDEX(Knutepunkter!$D:$D,E2710+1))</f>
        <v/>
      </c>
      <c r="L2710" t="str">
        <f t="shared" si="213"/>
        <v/>
      </c>
      <c r="M2710" t="str">
        <f t="shared" si="214"/>
        <v/>
      </c>
    </row>
    <row r="2711" spans="1:13" x14ac:dyDescent="0.3">
      <c r="A2711" t="str">
        <f>Segmenter!A2711</f>
        <v/>
      </c>
      <c r="B2711" t="str">
        <f>Segmenter!B2711</f>
        <v/>
      </c>
      <c r="C2711" t="str">
        <f t="shared" si="210"/>
        <v/>
      </c>
      <c r="D2711" t="str">
        <f t="shared" si="211"/>
        <v/>
      </c>
      <c r="E2711" t="str">
        <f t="shared" si="212"/>
        <v/>
      </c>
      <c r="F2711" t="str">
        <f>IF(D2711="","",INDEX(Knutepunkter!$B:$B,D2711+1))</f>
        <v/>
      </c>
      <c r="G2711" t="str">
        <f>IF(D2711="","",INDEX(Knutepunkter!$C:$C,D2711+1))</f>
        <v/>
      </c>
      <c r="H2711" t="str">
        <f>IF(D2711="","",INDEX(Knutepunkter!$D:$D,D2711+1))</f>
        <v/>
      </c>
      <c r="I2711" t="str">
        <f>IF(E2711="","",INDEX(Knutepunkter!$B:$B,E2711+1))</f>
        <v/>
      </c>
      <c r="J2711" t="str">
        <f>IF(E2711="","",INDEX(Knutepunkter!$C:$C,E2711+1))</f>
        <v/>
      </c>
      <c r="K2711" t="str">
        <f>IF(E2711="","",INDEX(Knutepunkter!$D:$D,E2711+1))</f>
        <v/>
      </c>
      <c r="L2711" t="str">
        <f t="shared" si="213"/>
        <v/>
      </c>
      <c r="M2711" t="str">
        <f t="shared" si="214"/>
        <v/>
      </c>
    </row>
    <row r="2712" spans="1:13" x14ac:dyDescent="0.3">
      <c r="A2712" t="str">
        <f>Segmenter!A2712</f>
        <v>S2711</v>
      </c>
      <c r="B2712" t="str">
        <f>Segmenter!B2712</f>
        <v>464 -&gt; 475</v>
      </c>
      <c r="C2712" t="str">
        <f t="shared" si="210"/>
        <v>Bjelke</v>
      </c>
      <c r="D2712">
        <f t="shared" si="211"/>
        <v>464</v>
      </c>
      <c r="E2712">
        <f t="shared" si="212"/>
        <v>475</v>
      </c>
      <c r="F2712">
        <f>IF(D2712="","",INDEX(Knutepunkter!$B:$B,D2712+1))</f>
        <v>24354</v>
      </c>
      <c r="G2712">
        <f>IF(D2712="","",INDEX(Knutepunkter!$C:$C,D2712+1))</f>
        <v>0</v>
      </c>
      <c r="H2712">
        <f>IF(D2712="","",INDEX(Knutepunkter!$D:$D,D2712+1))</f>
        <v>3000</v>
      </c>
      <c r="I2712">
        <f>IF(E2712="","",INDEX(Knutepunkter!$B:$B,E2712+1))</f>
        <v>24354</v>
      </c>
      <c r="J2712">
        <f>IF(E2712="","",INDEX(Knutepunkter!$C:$C,E2712+1))</f>
        <v>8000</v>
      </c>
      <c r="K2712">
        <f>IF(E2712="","",INDEX(Knutepunkter!$D:$D,E2712+1))</f>
        <v>3000</v>
      </c>
      <c r="L2712">
        <f t="shared" si="213"/>
        <v>8000</v>
      </c>
      <c r="M2712">
        <f t="shared" si="214"/>
        <v>8</v>
      </c>
    </row>
    <row r="2713" spans="1:13" x14ac:dyDescent="0.3">
      <c r="A2713" t="str">
        <f>Segmenter!A2713</f>
        <v>S2712</v>
      </c>
      <c r="B2713" t="str">
        <f>Segmenter!B2713</f>
        <v>465 -&gt; 476</v>
      </c>
      <c r="C2713" t="str">
        <f t="shared" si="210"/>
        <v>Bjelke</v>
      </c>
      <c r="D2713">
        <f t="shared" si="211"/>
        <v>465</v>
      </c>
      <c r="E2713">
        <f t="shared" si="212"/>
        <v>476</v>
      </c>
      <c r="F2713">
        <f>IF(D2713="","",INDEX(Knutepunkter!$B:$B,D2713+1))</f>
        <v>24354</v>
      </c>
      <c r="G2713">
        <f>IF(D2713="","",INDEX(Knutepunkter!$C:$C,D2713+1))</f>
        <v>0</v>
      </c>
      <c r="H2713">
        <f>IF(D2713="","",INDEX(Knutepunkter!$D:$D,D2713+1))</f>
        <v>6000</v>
      </c>
      <c r="I2713">
        <f>IF(E2713="","",INDEX(Knutepunkter!$B:$B,E2713+1))</f>
        <v>24354</v>
      </c>
      <c r="J2713">
        <f>IF(E2713="","",INDEX(Knutepunkter!$C:$C,E2713+1))</f>
        <v>8000</v>
      </c>
      <c r="K2713">
        <f>IF(E2713="","",INDEX(Knutepunkter!$D:$D,E2713+1))</f>
        <v>6000</v>
      </c>
      <c r="L2713">
        <f t="shared" si="213"/>
        <v>8000</v>
      </c>
      <c r="M2713">
        <f t="shared" si="214"/>
        <v>8</v>
      </c>
    </row>
    <row r="2714" spans="1:13" x14ac:dyDescent="0.3">
      <c r="A2714" t="str">
        <f>Segmenter!A2714</f>
        <v>S2713</v>
      </c>
      <c r="B2714" t="str">
        <f>Segmenter!B2714</f>
        <v>466 -&gt; 477</v>
      </c>
      <c r="C2714" t="str">
        <f t="shared" si="210"/>
        <v>Bjelke</v>
      </c>
      <c r="D2714">
        <f t="shared" si="211"/>
        <v>466</v>
      </c>
      <c r="E2714">
        <f t="shared" si="212"/>
        <v>477</v>
      </c>
      <c r="F2714">
        <f>IF(D2714="","",INDEX(Knutepunkter!$B:$B,D2714+1))</f>
        <v>24354</v>
      </c>
      <c r="G2714">
        <f>IF(D2714="","",INDEX(Knutepunkter!$C:$C,D2714+1))</f>
        <v>0</v>
      </c>
      <c r="H2714">
        <f>IF(D2714="","",INDEX(Knutepunkter!$D:$D,D2714+1))</f>
        <v>9000</v>
      </c>
      <c r="I2714">
        <f>IF(E2714="","",INDEX(Knutepunkter!$B:$B,E2714+1))</f>
        <v>24354</v>
      </c>
      <c r="J2714">
        <f>IF(E2714="","",INDEX(Knutepunkter!$C:$C,E2714+1))</f>
        <v>8000</v>
      </c>
      <c r="K2714">
        <f>IF(E2714="","",INDEX(Knutepunkter!$D:$D,E2714+1))</f>
        <v>9000</v>
      </c>
      <c r="L2714">
        <f t="shared" si="213"/>
        <v>8000</v>
      </c>
      <c r="M2714">
        <f t="shared" si="214"/>
        <v>8</v>
      </c>
    </row>
    <row r="2715" spans="1:13" x14ac:dyDescent="0.3">
      <c r="A2715" t="str">
        <f>Segmenter!A2715</f>
        <v>S2714</v>
      </c>
      <c r="B2715" t="str">
        <f>Segmenter!B2715</f>
        <v>467 -&gt; 478</v>
      </c>
      <c r="C2715" t="str">
        <f t="shared" si="210"/>
        <v>Bjelke</v>
      </c>
      <c r="D2715">
        <f t="shared" si="211"/>
        <v>467</v>
      </c>
      <c r="E2715">
        <f t="shared" si="212"/>
        <v>478</v>
      </c>
      <c r="F2715">
        <f>IF(D2715="","",INDEX(Knutepunkter!$B:$B,D2715+1))</f>
        <v>24354</v>
      </c>
      <c r="G2715">
        <f>IF(D2715="","",INDEX(Knutepunkter!$C:$C,D2715+1))</f>
        <v>0</v>
      </c>
      <c r="H2715">
        <f>IF(D2715="","",INDEX(Knutepunkter!$D:$D,D2715+1))</f>
        <v>12000</v>
      </c>
      <c r="I2715">
        <f>IF(E2715="","",INDEX(Knutepunkter!$B:$B,E2715+1))</f>
        <v>24354</v>
      </c>
      <c r="J2715">
        <f>IF(E2715="","",INDEX(Knutepunkter!$C:$C,E2715+1))</f>
        <v>8000</v>
      </c>
      <c r="K2715">
        <f>IF(E2715="","",INDEX(Knutepunkter!$D:$D,E2715+1))</f>
        <v>12000</v>
      </c>
      <c r="L2715">
        <f t="shared" si="213"/>
        <v>8000</v>
      </c>
      <c r="M2715">
        <f t="shared" si="214"/>
        <v>8</v>
      </c>
    </row>
    <row r="2716" spans="1:13" x14ac:dyDescent="0.3">
      <c r="A2716" t="str">
        <f>Segmenter!A2716</f>
        <v>S2715</v>
      </c>
      <c r="B2716" t="str">
        <f>Segmenter!B2716</f>
        <v>468 -&gt; 479</v>
      </c>
      <c r="C2716" t="str">
        <f t="shared" si="210"/>
        <v>Bjelke</v>
      </c>
      <c r="D2716">
        <f t="shared" si="211"/>
        <v>468</v>
      </c>
      <c r="E2716">
        <f t="shared" si="212"/>
        <v>479</v>
      </c>
      <c r="F2716">
        <f>IF(D2716="","",INDEX(Knutepunkter!$B:$B,D2716+1))</f>
        <v>24354</v>
      </c>
      <c r="G2716">
        <f>IF(D2716="","",INDEX(Knutepunkter!$C:$C,D2716+1))</f>
        <v>0</v>
      </c>
      <c r="H2716">
        <f>IF(D2716="","",INDEX(Knutepunkter!$D:$D,D2716+1))</f>
        <v>15000</v>
      </c>
      <c r="I2716">
        <f>IF(E2716="","",INDEX(Knutepunkter!$B:$B,E2716+1))</f>
        <v>24354</v>
      </c>
      <c r="J2716">
        <f>IF(E2716="","",INDEX(Knutepunkter!$C:$C,E2716+1))</f>
        <v>8000</v>
      </c>
      <c r="K2716">
        <f>IF(E2716="","",INDEX(Knutepunkter!$D:$D,E2716+1))</f>
        <v>15000</v>
      </c>
      <c r="L2716">
        <f t="shared" si="213"/>
        <v>8000</v>
      </c>
      <c r="M2716">
        <f t="shared" si="214"/>
        <v>8</v>
      </c>
    </row>
    <row r="2717" spans="1:13" x14ac:dyDescent="0.3">
      <c r="A2717" t="str">
        <f>Segmenter!A2717</f>
        <v>S2716</v>
      </c>
      <c r="B2717" t="str">
        <f>Segmenter!B2717</f>
        <v>469 -&gt; 480</v>
      </c>
      <c r="C2717" t="str">
        <f t="shared" si="210"/>
        <v>Bjelke</v>
      </c>
      <c r="D2717">
        <f t="shared" si="211"/>
        <v>469</v>
      </c>
      <c r="E2717">
        <f t="shared" si="212"/>
        <v>480</v>
      </c>
      <c r="F2717">
        <f>IF(D2717="","",INDEX(Knutepunkter!$B:$B,D2717+1))</f>
        <v>24354</v>
      </c>
      <c r="G2717">
        <f>IF(D2717="","",INDEX(Knutepunkter!$C:$C,D2717+1))</f>
        <v>0</v>
      </c>
      <c r="H2717">
        <f>IF(D2717="","",INDEX(Knutepunkter!$D:$D,D2717+1))</f>
        <v>18000</v>
      </c>
      <c r="I2717">
        <f>IF(E2717="","",INDEX(Knutepunkter!$B:$B,E2717+1))</f>
        <v>24354</v>
      </c>
      <c r="J2717">
        <f>IF(E2717="","",INDEX(Knutepunkter!$C:$C,E2717+1))</f>
        <v>8000</v>
      </c>
      <c r="K2717">
        <f>IF(E2717="","",INDEX(Knutepunkter!$D:$D,E2717+1))</f>
        <v>18000</v>
      </c>
      <c r="L2717">
        <f t="shared" si="213"/>
        <v>8000</v>
      </c>
      <c r="M2717">
        <f t="shared" si="214"/>
        <v>8</v>
      </c>
    </row>
    <row r="2718" spans="1:13" x14ac:dyDescent="0.3">
      <c r="A2718" t="str">
        <f>Segmenter!A2718</f>
        <v/>
      </c>
      <c r="B2718" t="str">
        <f>Segmenter!B2718</f>
        <v/>
      </c>
      <c r="C2718" t="str">
        <f t="shared" si="210"/>
        <v/>
      </c>
      <c r="D2718" t="str">
        <f t="shared" si="211"/>
        <v/>
      </c>
      <c r="E2718" t="str">
        <f t="shared" si="212"/>
        <v/>
      </c>
      <c r="F2718" t="str">
        <f>IF(D2718="","",INDEX(Knutepunkter!$B:$B,D2718+1))</f>
        <v/>
      </c>
      <c r="G2718" t="str">
        <f>IF(D2718="","",INDEX(Knutepunkter!$C:$C,D2718+1))</f>
        <v/>
      </c>
      <c r="H2718" t="str">
        <f>IF(D2718="","",INDEX(Knutepunkter!$D:$D,D2718+1))</f>
        <v/>
      </c>
      <c r="I2718" t="str">
        <f>IF(E2718="","",INDEX(Knutepunkter!$B:$B,E2718+1))</f>
        <v/>
      </c>
      <c r="J2718" t="str">
        <f>IF(E2718="","",INDEX(Knutepunkter!$C:$C,E2718+1))</f>
        <v/>
      </c>
      <c r="K2718" t="str">
        <f>IF(E2718="","",INDEX(Knutepunkter!$D:$D,E2718+1))</f>
        <v/>
      </c>
      <c r="L2718" t="str">
        <f t="shared" si="213"/>
        <v/>
      </c>
      <c r="M2718" t="str">
        <f t="shared" si="214"/>
        <v/>
      </c>
    </row>
    <row r="2719" spans="1:13" x14ac:dyDescent="0.3">
      <c r="A2719" t="str">
        <f>Segmenter!A2719</f>
        <v/>
      </c>
      <c r="B2719" t="str">
        <f>Segmenter!B2719</f>
        <v/>
      </c>
      <c r="C2719" t="str">
        <f t="shared" si="210"/>
        <v/>
      </c>
      <c r="D2719" t="str">
        <f t="shared" si="211"/>
        <v/>
      </c>
      <c r="E2719" t="str">
        <f t="shared" si="212"/>
        <v/>
      </c>
      <c r="F2719" t="str">
        <f>IF(D2719="","",INDEX(Knutepunkter!$B:$B,D2719+1))</f>
        <v/>
      </c>
      <c r="G2719" t="str">
        <f>IF(D2719="","",INDEX(Knutepunkter!$C:$C,D2719+1))</f>
        <v/>
      </c>
      <c r="H2719" t="str">
        <f>IF(D2719="","",INDEX(Knutepunkter!$D:$D,D2719+1))</f>
        <v/>
      </c>
      <c r="I2719" t="str">
        <f>IF(E2719="","",INDEX(Knutepunkter!$B:$B,E2719+1))</f>
        <v/>
      </c>
      <c r="J2719" t="str">
        <f>IF(E2719="","",INDEX(Knutepunkter!$C:$C,E2719+1))</f>
        <v/>
      </c>
      <c r="K2719" t="str">
        <f>IF(E2719="","",INDEX(Knutepunkter!$D:$D,E2719+1))</f>
        <v/>
      </c>
      <c r="L2719" t="str">
        <f t="shared" si="213"/>
        <v/>
      </c>
      <c r="M2719" t="str">
        <f t="shared" si="214"/>
        <v/>
      </c>
    </row>
    <row r="2720" spans="1:13" x14ac:dyDescent="0.3">
      <c r="A2720" t="str">
        <f>Segmenter!A2720</f>
        <v/>
      </c>
      <c r="B2720" t="str">
        <f>Segmenter!B2720</f>
        <v/>
      </c>
      <c r="C2720" t="str">
        <f t="shared" si="210"/>
        <v/>
      </c>
      <c r="D2720" t="str">
        <f t="shared" si="211"/>
        <v/>
      </c>
      <c r="E2720" t="str">
        <f t="shared" si="212"/>
        <v/>
      </c>
      <c r="F2720" t="str">
        <f>IF(D2720="","",INDEX(Knutepunkter!$B:$B,D2720+1))</f>
        <v/>
      </c>
      <c r="G2720" t="str">
        <f>IF(D2720="","",INDEX(Knutepunkter!$C:$C,D2720+1))</f>
        <v/>
      </c>
      <c r="H2720" t="str">
        <f>IF(D2720="","",INDEX(Knutepunkter!$D:$D,D2720+1))</f>
        <v/>
      </c>
      <c r="I2720" t="str">
        <f>IF(E2720="","",INDEX(Knutepunkter!$B:$B,E2720+1))</f>
        <v/>
      </c>
      <c r="J2720" t="str">
        <f>IF(E2720="","",INDEX(Knutepunkter!$C:$C,E2720+1))</f>
        <v/>
      </c>
      <c r="K2720" t="str">
        <f>IF(E2720="","",INDEX(Knutepunkter!$D:$D,E2720+1))</f>
        <v/>
      </c>
      <c r="L2720" t="str">
        <f t="shared" si="213"/>
        <v/>
      </c>
      <c r="M2720" t="str">
        <f t="shared" si="214"/>
        <v/>
      </c>
    </row>
    <row r="2721" spans="1:13" x14ac:dyDescent="0.3">
      <c r="A2721" t="str">
        <f>Segmenter!A2721</f>
        <v/>
      </c>
      <c r="B2721" t="str">
        <f>Segmenter!B2721</f>
        <v/>
      </c>
      <c r="C2721" t="str">
        <f t="shared" si="210"/>
        <v/>
      </c>
      <c r="D2721" t="str">
        <f t="shared" si="211"/>
        <v/>
      </c>
      <c r="E2721" t="str">
        <f t="shared" si="212"/>
        <v/>
      </c>
      <c r="F2721" t="str">
        <f>IF(D2721="","",INDEX(Knutepunkter!$B:$B,D2721+1))</f>
        <v/>
      </c>
      <c r="G2721" t="str">
        <f>IF(D2721="","",INDEX(Knutepunkter!$C:$C,D2721+1))</f>
        <v/>
      </c>
      <c r="H2721" t="str">
        <f>IF(D2721="","",INDEX(Knutepunkter!$D:$D,D2721+1))</f>
        <v/>
      </c>
      <c r="I2721" t="str">
        <f>IF(E2721="","",INDEX(Knutepunkter!$B:$B,E2721+1))</f>
        <v/>
      </c>
      <c r="J2721" t="str">
        <f>IF(E2721="","",INDEX(Knutepunkter!$C:$C,E2721+1))</f>
        <v/>
      </c>
      <c r="K2721" t="str">
        <f>IF(E2721="","",INDEX(Knutepunkter!$D:$D,E2721+1))</f>
        <v/>
      </c>
      <c r="L2721" t="str">
        <f t="shared" si="213"/>
        <v/>
      </c>
      <c r="M2721" t="str">
        <f t="shared" si="214"/>
        <v/>
      </c>
    </row>
    <row r="2722" spans="1:13" x14ac:dyDescent="0.3">
      <c r="A2722" t="str">
        <f>Segmenter!A2722</f>
        <v>S2721</v>
      </c>
      <c r="B2722" t="str">
        <f>Segmenter!B2722</f>
        <v>475 -&gt; 486</v>
      </c>
      <c r="C2722" t="str">
        <f t="shared" si="210"/>
        <v>Bjelke</v>
      </c>
      <c r="D2722">
        <f t="shared" si="211"/>
        <v>475</v>
      </c>
      <c r="E2722">
        <f t="shared" si="212"/>
        <v>486</v>
      </c>
      <c r="F2722">
        <f>IF(D2722="","",INDEX(Knutepunkter!$B:$B,D2722+1))</f>
        <v>24354</v>
      </c>
      <c r="G2722">
        <f>IF(D2722="","",INDEX(Knutepunkter!$C:$C,D2722+1))</f>
        <v>8000</v>
      </c>
      <c r="H2722">
        <f>IF(D2722="","",INDEX(Knutepunkter!$D:$D,D2722+1))</f>
        <v>3000</v>
      </c>
      <c r="I2722">
        <f>IF(E2722="","",INDEX(Knutepunkter!$B:$B,E2722+1))</f>
        <v>24354</v>
      </c>
      <c r="J2722">
        <f>IF(E2722="","",INDEX(Knutepunkter!$C:$C,E2722+1))</f>
        <v>16000</v>
      </c>
      <c r="K2722">
        <f>IF(E2722="","",INDEX(Knutepunkter!$D:$D,E2722+1))</f>
        <v>3000</v>
      </c>
      <c r="L2722">
        <f t="shared" si="213"/>
        <v>8000</v>
      </c>
      <c r="M2722">
        <f t="shared" si="214"/>
        <v>8</v>
      </c>
    </row>
    <row r="2723" spans="1:13" x14ac:dyDescent="0.3">
      <c r="A2723" t="str">
        <f>Segmenter!A2723</f>
        <v>S2722</v>
      </c>
      <c r="B2723" t="str">
        <f>Segmenter!B2723</f>
        <v>476 -&gt; 487</v>
      </c>
      <c r="C2723" t="str">
        <f t="shared" si="210"/>
        <v>Bjelke</v>
      </c>
      <c r="D2723">
        <f t="shared" si="211"/>
        <v>476</v>
      </c>
      <c r="E2723">
        <f t="shared" si="212"/>
        <v>487</v>
      </c>
      <c r="F2723">
        <f>IF(D2723="","",INDEX(Knutepunkter!$B:$B,D2723+1))</f>
        <v>24354</v>
      </c>
      <c r="G2723">
        <f>IF(D2723="","",INDEX(Knutepunkter!$C:$C,D2723+1))</f>
        <v>8000</v>
      </c>
      <c r="H2723">
        <f>IF(D2723="","",INDEX(Knutepunkter!$D:$D,D2723+1))</f>
        <v>6000</v>
      </c>
      <c r="I2723">
        <f>IF(E2723="","",INDEX(Knutepunkter!$B:$B,E2723+1))</f>
        <v>24354</v>
      </c>
      <c r="J2723">
        <f>IF(E2723="","",INDEX(Knutepunkter!$C:$C,E2723+1))</f>
        <v>16000</v>
      </c>
      <c r="K2723">
        <f>IF(E2723="","",INDEX(Knutepunkter!$D:$D,E2723+1))</f>
        <v>6000</v>
      </c>
      <c r="L2723">
        <f t="shared" si="213"/>
        <v>8000</v>
      </c>
      <c r="M2723">
        <f t="shared" si="214"/>
        <v>8</v>
      </c>
    </row>
    <row r="2724" spans="1:13" x14ac:dyDescent="0.3">
      <c r="A2724" t="str">
        <f>Segmenter!A2724</f>
        <v>S2723</v>
      </c>
      <c r="B2724" t="str">
        <f>Segmenter!B2724</f>
        <v>477 -&gt; 488</v>
      </c>
      <c r="C2724" t="str">
        <f t="shared" si="210"/>
        <v>Bjelke</v>
      </c>
      <c r="D2724">
        <f t="shared" si="211"/>
        <v>477</v>
      </c>
      <c r="E2724">
        <f t="shared" si="212"/>
        <v>488</v>
      </c>
      <c r="F2724">
        <f>IF(D2724="","",INDEX(Knutepunkter!$B:$B,D2724+1))</f>
        <v>24354</v>
      </c>
      <c r="G2724">
        <f>IF(D2724="","",INDEX(Knutepunkter!$C:$C,D2724+1))</f>
        <v>8000</v>
      </c>
      <c r="H2724">
        <f>IF(D2724="","",INDEX(Knutepunkter!$D:$D,D2724+1))</f>
        <v>9000</v>
      </c>
      <c r="I2724">
        <f>IF(E2724="","",INDEX(Knutepunkter!$B:$B,E2724+1))</f>
        <v>24354</v>
      </c>
      <c r="J2724">
        <f>IF(E2724="","",INDEX(Knutepunkter!$C:$C,E2724+1))</f>
        <v>16000</v>
      </c>
      <c r="K2724">
        <f>IF(E2724="","",INDEX(Knutepunkter!$D:$D,E2724+1))</f>
        <v>9000</v>
      </c>
      <c r="L2724">
        <f t="shared" si="213"/>
        <v>8000</v>
      </c>
      <c r="M2724">
        <f t="shared" si="214"/>
        <v>8</v>
      </c>
    </row>
    <row r="2725" spans="1:13" x14ac:dyDescent="0.3">
      <c r="A2725" t="str">
        <f>Segmenter!A2725</f>
        <v>S2724</v>
      </c>
      <c r="B2725" t="str">
        <f>Segmenter!B2725</f>
        <v>478 -&gt; 489</v>
      </c>
      <c r="C2725" t="str">
        <f t="shared" si="210"/>
        <v>Bjelke</v>
      </c>
      <c r="D2725">
        <f t="shared" si="211"/>
        <v>478</v>
      </c>
      <c r="E2725">
        <f t="shared" si="212"/>
        <v>489</v>
      </c>
      <c r="F2725">
        <f>IF(D2725="","",INDEX(Knutepunkter!$B:$B,D2725+1))</f>
        <v>24354</v>
      </c>
      <c r="G2725">
        <f>IF(D2725="","",INDEX(Knutepunkter!$C:$C,D2725+1))</f>
        <v>8000</v>
      </c>
      <c r="H2725">
        <f>IF(D2725="","",INDEX(Knutepunkter!$D:$D,D2725+1))</f>
        <v>12000</v>
      </c>
      <c r="I2725">
        <f>IF(E2725="","",INDEX(Knutepunkter!$B:$B,E2725+1))</f>
        <v>24354</v>
      </c>
      <c r="J2725">
        <f>IF(E2725="","",INDEX(Knutepunkter!$C:$C,E2725+1))</f>
        <v>16000</v>
      </c>
      <c r="K2725">
        <f>IF(E2725="","",INDEX(Knutepunkter!$D:$D,E2725+1))</f>
        <v>12000</v>
      </c>
      <c r="L2725">
        <f t="shared" si="213"/>
        <v>8000</v>
      </c>
      <c r="M2725">
        <f t="shared" si="214"/>
        <v>8</v>
      </c>
    </row>
    <row r="2726" spans="1:13" x14ac:dyDescent="0.3">
      <c r="A2726" t="str">
        <f>Segmenter!A2726</f>
        <v>S2725</v>
      </c>
      <c r="B2726" t="str">
        <f>Segmenter!B2726</f>
        <v>479 -&gt; 490</v>
      </c>
      <c r="C2726" t="str">
        <f t="shared" si="210"/>
        <v>Bjelke</v>
      </c>
      <c r="D2726">
        <f t="shared" si="211"/>
        <v>479</v>
      </c>
      <c r="E2726">
        <f t="shared" si="212"/>
        <v>490</v>
      </c>
      <c r="F2726">
        <f>IF(D2726="","",INDEX(Knutepunkter!$B:$B,D2726+1))</f>
        <v>24354</v>
      </c>
      <c r="G2726">
        <f>IF(D2726="","",INDEX(Knutepunkter!$C:$C,D2726+1))</f>
        <v>8000</v>
      </c>
      <c r="H2726">
        <f>IF(D2726="","",INDEX(Knutepunkter!$D:$D,D2726+1))</f>
        <v>15000</v>
      </c>
      <c r="I2726">
        <f>IF(E2726="","",INDEX(Knutepunkter!$B:$B,E2726+1))</f>
        <v>24354</v>
      </c>
      <c r="J2726">
        <f>IF(E2726="","",INDEX(Knutepunkter!$C:$C,E2726+1))</f>
        <v>16000</v>
      </c>
      <c r="K2726">
        <f>IF(E2726="","",INDEX(Knutepunkter!$D:$D,E2726+1))</f>
        <v>15000</v>
      </c>
      <c r="L2726">
        <f t="shared" si="213"/>
        <v>8000</v>
      </c>
      <c r="M2726">
        <f t="shared" si="214"/>
        <v>8</v>
      </c>
    </row>
    <row r="2727" spans="1:13" x14ac:dyDescent="0.3">
      <c r="A2727" t="str">
        <f>Segmenter!A2727</f>
        <v>S2726</v>
      </c>
      <c r="B2727" t="str">
        <f>Segmenter!B2727</f>
        <v>480 -&gt; 491</v>
      </c>
      <c r="C2727" t="str">
        <f t="shared" si="210"/>
        <v>Bjelke</v>
      </c>
      <c r="D2727">
        <f t="shared" si="211"/>
        <v>480</v>
      </c>
      <c r="E2727">
        <f t="shared" si="212"/>
        <v>491</v>
      </c>
      <c r="F2727">
        <f>IF(D2727="","",INDEX(Knutepunkter!$B:$B,D2727+1))</f>
        <v>24354</v>
      </c>
      <c r="G2727">
        <f>IF(D2727="","",INDEX(Knutepunkter!$C:$C,D2727+1))</f>
        <v>8000</v>
      </c>
      <c r="H2727">
        <f>IF(D2727="","",INDEX(Knutepunkter!$D:$D,D2727+1))</f>
        <v>18000</v>
      </c>
      <c r="I2727">
        <f>IF(E2727="","",INDEX(Knutepunkter!$B:$B,E2727+1))</f>
        <v>24354</v>
      </c>
      <c r="J2727">
        <f>IF(E2727="","",INDEX(Knutepunkter!$C:$C,E2727+1))</f>
        <v>16000</v>
      </c>
      <c r="K2727">
        <f>IF(E2727="","",INDEX(Knutepunkter!$D:$D,E2727+1))</f>
        <v>18000</v>
      </c>
      <c r="L2727">
        <f t="shared" si="213"/>
        <v>8000</v>
      </c>
      <c r="M2727">
        <f t="shared" si="214"/>
        <v>8</v>
      </c>
    </row>
    <row r="2728" spans="1:13" x14ac:dyDescent="0.3">
      <c r="A2728" t="str">
        <f>Segmenter!A2728</f>
        <v/>
      </c>
      <c r="B2728" t="str">
        <f>Segmenter!B2728</f>
        <v/>
      </c>
      <c r="C2728" t="str">
        <f t="shared" si="210"/>
        <v/>
      </c>
      <c r="D2728" t="str">
        <f t="shared" si="211"/>
        <v/>
      </c>
      <c r="E2728" t="str">
        <f t="shared" si="212"/>
        <v/>
      </c>
      <c r="F2728" t="str">
        <f>IF(D2728="","",INDEX(Knutepunkter!$B:$B,D2728+1))</f>
        <v/>
      </c>
      <c r="G2728" t="str">
        <f>IF(D2728="","",INDEX(Knutepunkter!$C:$C,D2728+1))</f>
        <v/>
      </c>
      <c r="H2728" t="str">
        <f>IF(D2728="","",INDEX(Knutepunkter!$D:$D,D2728+1))</f>
        <v/>
      </c>
      <c r="I2728" t="str">
        <f>IF(E2728="","",INDEX(Knutepunkter!$B:$B,E2728+1))</f>
        <v/>
      </c>
      <c r="J2728" t="str">
        <f>IF(E2728="","",INDEX(Knutepunkter!$C:$C,E2728+1))</f>
        <v/>
      </c>
      <c r="K2728" t="str">
        <f>IF(E2728="","",INDEX(Knutepunkter!$D:$D,E2728+1))</f>
        <v/>
      </c>
      <c r="L2728" t="str">
        <f t="shared" si="213"/>
        <v/>
      </c>
      <c r="M2728" t="str">
        <f t="shared" si="214"/>
        <v/>
      </c>
    </row>
    <row r="2729" spans="1:13" x14ac:dyDescent="0.3">
      <c r="A2729" t="str">
        <f>Segmenter!A2729</f>
        <v/>
      </c>
      <c r="B2729" t="str">
        <f>Segmenter!B2729</f>
        <v/>
      </c>
      <c r="C2729" t="str">
        <f t="shared" si="210"/>
        <v/>
      </c>
      <c r="D2729" t="str">
        <f t="shared" si="211"/>
        <v/>
      </c>
      <c r="E2729" t="str">
        <f t="shared" si="212"/>
        <v/>
      </c>
      <c r="F2729" t="str">
        <f>IF(D2729="","",INDEX(Knutepunkter!$B:$B,D2729+1))</f>
        <v/>
      </c>
      <c r="G2729" t="str">
        <f>IF(D2729="","",INDEX(Knutepunkter!$C:$C,D2729+1))</f>
        <v/>
      </c>
      <c r="H2729" t="str">
        <f>IF(D2729="","",INDEX(Knutepunkter!$D:$D,D2729+1))</f>
        <v/>
      </c>
      <c r="I2729" t="str">
        <f>IF(E2729="","",INDEX(Knutepunkter!$B:$B,E2729+1))</f>
        <v/>
      </c>
      <c r="J2729" t="str">
        <f>IF(E2729="","",INDEX(Knutepunkter!$C:$C,E2729+1))</f>
        <v/>
      </c>
      <c r="K2729" t="str">
        <f>IF(E2729="","",INDEX(Knutepunkter!$D:$D,E2729+1))</f>
        <v/>
      </c>
      <c r="L2729" t="str">
        <f t="shared" si="213"/>
        <v/>
      </c>
      <c r="M2729" t="str">
        <f t="shared" si="214"/>
        <v/>
      </c>
    </row>
    <row r="2730" spans="1:13" x14ac:dyDescent="0.3">
      <c r="A2730" t="str">
        <f>Segmenter!A2730</f>
        <v/>
      </c>
      <c r="B2730" t="str">
        <f>Segmenter!B2730</f>
        <v/>
      </c>
      <c r="C2730" t="str">
        <f t="shared" si="210"/>
        <v/>
      </c>
      <c r="D2730" t="str">
        <f t="shared" si="211"/>
        <v/>
      </c>
      <c r="E2730" t="str">
        <f t="shared" si="212"/>
        <v/>
      </c>
      <c r="F2730" t="str">
        <f>IF(D2730="","",INDEX(Knutepunkter!$B:$B,D2730+1))</f>
        <v/>
      </c>
      <c r="G2730" t="str">
        <f>IF(D2730="","",INDEX(Knutepunkter!$C:$C,D2730+1))</f>
        <v/>
      </c>
      <c r="H2730" t="str">
        <f>IF(D2730="","",INDEX(Knutepunkter!$D:$D,D2730+1))</f>
        <v/>
      </c>
      <c r="I2730" t="str">
        <f>IF(E2730="","",INDEX(Knutepunkter!$B:$B,E2730+1))</f>
        <v/>
      </c>
      <c r="J2730" t="str">
        <f>IF(E2730="","",INDEX(Knutepunkter!$C:$C,E2730+1))</f>
        <v/>
      </c>
      <c r="K2730" t="str">
        <f>IF(E2730="","",INDEX(Knutepunkter!$D:$D,E2730+1))</f>
        <v/>
      </c>
      <c r="L2730" t="str">
        <f t="shared" si="213"/>
        <v/>
      </c>
      <c r="M2730" t="str">
        <f t="shared" si="214"/>
        <v/>
      </c>
    </row>
    <row r="2731" spans="1:13" x14ac:dyDescent="0.3">
      <c r="A2731" t="str">
        <f>Segmenter!A2731</f>
        <v/>
      </c>
      <c r="B2731" t="str">
        <f>Segmenter!B2731</f>
        <v/>
      </c>
      <c r="C2731" t="str">
        <f t="shared" si="210"/>
        <v/>
      </c>
      <c r="D2731" t="str">
        <f t="shared" si="211"/>
        <v/>
      </c>
      <c r="E2731" t="str">
        <f t="shared" si="212"/>
        <v/>
      </c>
      <c r="F2731" t="str">
        <f>IF(D2731="","",INDEX(Knutepunkter!$B:$B,D2731+1))</f>
        <v/>
      </c>
      <c r="G2731" t="str">
        <f>IF(D2731="","",INDEX(Knutepunkter!$C:$C,D2731+1))</f>
        <v/>
      </c>
      <c r="H2731" t="str">
        <f>IF(D2731="","",INDEX(Knutepunkter!$D:$D,D2731+1))</f>
        <v/>
      </c>
      <c r="I2731" t="str">
        <f>IF(E2731="","",INDEX(Knutepunkter!$B:$B,E2731+1))</f>
        <v/>
      </c>
      <c r="J2731" t="str">
        <f>IF(E2731="","",INDEX(Knutepunkter!$C:$C,E2731+1))</f>
        <v/>
      </c>
      <c r="K2731" t="str">
        <f>IF(E2731="","",INDEX(Knutepunkter!$D:$D,E2731+1))</f>
        <v/>
      </c>
      <c r="L2731" t="str">
        <f t="shared" si="213"/>
        <v/>
      </c>
      <c r="M2731" t="str">
        <f t="shared" si="214"/>
        <v/>
      </c>
    </row>
    <row r="2732" spans="1:13" x14ac:dyDescent="0.3">
      <c r="A2732" t="str">
        <f>Segmenter!A2732</f>
        <v>S2731</v>
      </c>
      <c r="B2732" t="str">
        <f>Segmenter!B2732</f>
        <v>486 -&gt; 497</v>
      </c>
      <c r="C2732" t="str">
        <f t="shared" si="210"/>
        <v>Bjelke</v>
      </c>
      <c r="D2732">
        <f t="shared" si="211"/>
        <v>486</v>
      </c>
      <c r="E2732">
        <f t="shared" si="212"/>
        <v>497</v>
      </c>
      <c r="F2732">
        <f>IF(D2732="","",INDEX(Knutepunkter!$B:$B,D2732+1))</f>
        <v>24354</v>
      </c>
      <c r="G2732">
        <f>IF(D2732="","",INDEX(Knutepunkter!$C:$C,D2732+1))</f>
        <v>16000</v>
      </c>
      <c r="H2732">
        <f>IF(D2732="","",INDEX(Knutepunkter!$D:$D,D2732+1))</f>
        <v>3000</v>
      </c>
      <c r="I2732">
        <f>IF(E2732="","",INDEX(Knutepunkter!$B:$B,E2732+1))</f>
        <v>24354</v>
      </c>
      <c r="J2732">
        <f>IF(E2732="","",INDEX(Knutepunkter!$C:$C,E2732+1))</f>
        <v>24000</v>
      </c>
      <c r="K2732">
        <f>IF(E2732="","",INDEX(Knutepunkter!$D:$D,E2732+1))</f>
        <v>3000</v>
      </c>
      <c r="L2732">
        <f t="shared" si="213"/>
        <v>8000</v>
      </c>
      <c r="M2732">
        <f t="shared" si="214"/>
        <v>8</v>
      </c>
    </row>
    <row r="2733" spans="1:13" x14ac:dyDescent="0.3">
      <c r="A2733" t="str">
        <f>Segmenter!A2733</f>
        <v>S2732</v>
      </c>
      <c r="B2733" t="str">
        <f>Segmenter!B2733</f>
        <v>487 -&gt; 498</v>
      </c>
      <c r="C2733" t="str">
        <f t="shared" si="210"/>
        <v>Bjelke</v>
      </c>
      <c r="D2733">
        <f t="shared" si="211"/>
        <v>487</v>
      </c>
      <c r="E2733">
        <f t="shared" si="212"/>
        <v>498</v>
      </c>
      <c r="F2733">
        <f>IF(D2733="","",INDEX(Knutepunkter!$B:$B,D2733+1))</f>
        <v>24354</v>
      </c>
      <c r="G2733">
        <f>IF(D2733="","",INDEX(Knutepunkter!$C:$C,D2733+1))</f>
        <v>16000</v>
      </c>
      <c r="H2733">
        <f>IF(D2733="","",INDEX(Knutepunkter!$D:$D,D2733+1))</f>
        <v>6000</v>
      </c>
      <c r="I2733">
        <f>IF(E2733="","",INDEX(Knutepunkter!$B:$B,E2733+1))</f>
        <v>24354</v>
      </c>
      <c r="J2733">
        <f>IF(E2733="","",INDEX(Knutepunkter!$C:$C,E2733+1))</f>
        <v>24000</v>
      </c>
      <c r="K2733">
        <f>IF(E2733="","",INDEX(Knutepunkter!$D:$D,E2733+1))</f>
        <v>6000</v>
      </c>
      <c r="L2733">
        <f t="shared" si="213"/>
        <v>8000</v>
      </c>
      <c r="M2733">
        <f t="shared" si="214"/>
        <v>8</v>
      </c>
    </row>
    <row r="2734" spans="1:13" x14ac:dyDescent="0.3">
      <c r="A2734" t="str">
        <f>Segmenter!A2734</f>
        <v>S2733</v>
      </c>
      <c r="B2734" t="str">
        <f>Segmenter!B2734</f>
        <v>488 -&gt; 499</v>
      </c>
      <c r="C2734" t="str">
        <f t="shared" si="210"/>
        <v>Bjelke</v>
      </c>
      <c r="D2734">
        <f t="shared" si="211"/>
        <v>488</v>
      </c>
      <c r="E2734">
        <f t="shared" si="212"/>
        <v>499</v>
      </c>
      <c r="F2734">
        <f>IF(D2734="","",INDEX(Knutepunkter!$B:$B,D2734+1))</f>
        <v>24354</v>
      </c>
      <c r="G2734">
        <f>IF(D2734="","",INDEX(Knutepunkter!$C:$C,D2734+1))</f>
        <v>16000</v>
      </c>
      <c r="H2734">
        <f>IF(D2734="","",INDEX(Knutepunkter!$D:$D,D2734+1))</f>
        <v>9000</v>
      </c>
      <c r="I2734">
        <f>IF(E2734="","",INDEX(Knutepunkter!$B:$B,E2734+1))</f>
        <v>24354</v>
      </c>
      <c r="J2734">
        <f>IF(E2734="","",INDEX(Knutepunkter!$C:$C,E2734+1))</f>
        <v>24000</v>
      </c>
      <c r="K2734">
        <f>IF(E2734="","",INDEX(Knutepunkter!$D:$D,E2734+1))</f>
        <v>9000</v>
      </c>
      <c r="L2734">
        <f t="shared" si="213"/>
        <v>8000</v>
      </c>
      <c r="M2734">
        <f t="shared" si="214"/>
        <v>8</v>
      </c>
    </row>
    <row r="2735" spans="1:13" x14ac:dyDescent="0.3">
      <c r="A2735" t="str">
        <f>Segmenter!A2735</f>
        <v>S2734</v>
      </c>
      <c r="B2735" t="str">
        <f>Segmenter!B2735</f>
        <v>489 -&gt; 500</v>
      </c>
      <c r="C2735" t="str">
        <f t="shared" si="210"/>
        <v>Bjelke</v>
      </c>
      <c r="D2735">
        <f t="shared" si="211"/>
        <v>489</v>
      </c>
      <c r="E2735">
        <f t="shared" si="212"/>
        <v>500</v>
      </c>
      <c r="F2735">
        <f>IF(D2735="","",INDEX(Knutepunkter!$B:$B,D2735+1))</f>
        <v>24354</v>
      </c>
      <c r="G2735">
        <f>IF(D2735="","",INDEX(Knutepunkter!$C:$C,D2735+1))</f>
        <v>16000</v>
      </c>
      <c r="H2735">
        <f>IF(D2735="","",INDEX(Knutepunkter!$D:$D,D2735+1))</f>
        <v>12000</v>
      </c>
      <c r="I2735">
        <f>IF(E2735="","",INDEX(Knutepunkter!$B:$B,E2735+1))</f>
        <v>24354</v>
      </c>
      <c r="J2735">
        <f>IF(E2735="","",INDEX(Knutepunkter!$C:$C,E2735+1))</f>
        <v>24000</v>
      </c>
      <c r="K2735">
        <f>IF(E2735="","",INDEX(Knutepunkter!$D:$D,E2735+1))</f>
        <v>12000</v>
      </c>
      <c r="L2735">
        <f t="shared" si="213"/>
        <v>8000</v>
      </c>
      <c r="M2735">
        <f t="shared" si="214"/>
        <v>8</v>
      </c>
    </row>
    <row r="2736" spans="1:13" x14ac:dyDescent="0.3">
      <c r="A2736" t="str">
        <f>Segmenter!A2736</f>
        <v>S2735</v>
      </c>
      <c r="B2736" t="str">
        <f>Segmenter!B2736</f>
        <v>490 -&gt; 501</v>
      </c>
      <c r="C2736" t="str">
        <f t="shared" si="210"/>
        <v>Bjelke</v>
      </c>
      <c r="D2736">
        <f t="shared" si="211"/>
        <v>490</v>
      </c>
      <c r="E2736">
        <f t="shared" si="212"/>
        <v>501</v>
      </c>
      <c r="F2736">
        <f>IF(D2736="","",INDEX(Knutepunkter!$B:$B,D2736+1))</f>
        <v>24354</v>
      </c>
      <c r="G2736">
        <f>IF(D2736="","",INDEX(Knutepunkter!$C:$C,D2736+1))</f>
        <v>16000</v>
      </c>
      <c r="H2736">
        <f>IF(D2736="","",INDEX(Knutepunkter!$D:$D,D2736+1))</f>
        <v>15000</v>
      </c>
      <c r="I2736">
        <f>IF(E2736="","",INDEX(Knutepunkter!$B:$B,E2736+1))</f>
        <v>24354</v>
      </c>
      <c r="J2736">
        <f>IF(E2736="","",INDEX(Knutepunkter!$C:$C,E2736+1))</f>
        <v>24000</v>
      </c>
      <c r="K2736">
        <f>IF(E2736="","",INDEX(Knutepunkter!$D:$D,E2736+1))</f>
        <v>15000</v>
      </c>
      <c r="L2736">
        <f t="shared" si="213"/>
        <v>8000</v>
      </c>
      <c r="M2736">
        <f t="shared" si="214"/>
        <v>8</v>
      </c>
    </row>
    <row r="2737" spans="1:13" x14ac:dyDescent="0.3">
      <c r="A2737" t="str">
        <f>Segmenter!A2737</f>
        <v>S2736</v>
      </c>
      <c r="B2737" t="str">
        <f>Segmenter!B2737</f>
        <v>491 -&gt; 502</v>
      </c>
      <c r="C2737" t="str">
        <f t="shared" si="210"/>
        <v>Bjelke</v>
      </c>
      <c r="D2737">
        <f t="shared" si="211"/>
        <v>491</v>
      </c>
      <c r="E2737">
        <f t="shared" si="212"/>
        <v>502</v>
      </c>
      <c r="F2737">
        <f>IF(D2737="","",INDEX(Knutepunkter!$B:$B,D2737+1))</f>
        <v>24354</v>
      </c>
      <c r="G2737">
        <f>IF(D2737="","",INDEX(Knutepunkter!$C:$C,D2737+1))</f>
        <v>16000</v>
      </c>
      <c r="H2737">
        <f>IF(D2737="","",INDEX(Knutepunkter!$D:$D,D2737+1))</f>
        <v>18000</v>
      </c>
      <c r="I2737">
        <f>IF(E2737="","",INDEX(Knutepunkter!$B:$B,E2737+1))</f>
        <v>24354</v>
      </c>
      <c r="J2737">
        <f>IF(E2737="","",INDEX(Knutepunkter!$C:$C,E2737+1))</f>
        <v>24000</v>
      </c>
      <c r="K2737">
        <f>IF(E2737="","",INDEX(Knutepunkter!$D:$D,E2737+1))</f>
        <v>18000</v>
      </c>
      <c r="L2737">
        <f t="shared" si="213"/>
        <v>8000</v>
      </c>
      <c r="M2737">
        <f t="shared" si="214"/>
        <v>8</v>
      </c>
    </row>
    <row r="2738" spans="1:13" x14ac:dyDescent="0.3">
      <c r="A2738" t="str">
        <f>Segmenter!A2738</f>
        <v/>
      </c>
      <c r="B2738" t="str">
        <f>Segmenter!B2738</f>
        <v/>
      </c>
      <c r="C2738" t="str">
        <f t="shared" si="210"/>
        <v/>
      </c>
      <c r="D2738" t="str">
        <f t="shared" si="211"/>
        <v/>
      </c>
      <c r="E2738" t="str">
        <f t="shared" si="212"/>
        <v/>
      </c>
      <c r="F2738" t="str">
        <f>IF(D2738="","",INDEX(Knutepunkter!$B:$B,D2738+1))</f>
        <v/>
      </c>
      <c r="G2738" t="str">
        <f>IF(D2738="","",INDEX(Knutepunkter!$C:$C,D2738+1))</f>
        <v/>
      </c>
      <c r="H2738" t="str">
        <f>IF(D2738="","",INDEX(Knutepunkter!$D:$D,D2738+1))</f>
        <v/>
      </c>
      <c r="I2738" t="str">
        <f>IF(E2738="","",INDEX(Knutepunkter!$B:$B,E2738+1))</f>
        <v/>
      </c>
      <c r="J2738" t="str">
        <f>IF(E2738="","",INDEX(Knutepunkter!$C:$C,E2738+1))</f>
        <v/>
      </c>
      <c r="K2738" t="str">
        <f>IF(E2738="","",INDEX(Knutepunkter!$D:$D,E2738+1))</f>
        <v/>
      </c>
      <c r="L2738" t="str">
        <f t="shared" si="213"/>
        <v/>
      </c>
      <c r="M2738" t="str">
        <f t="shared" si="214"/>
        <v/>
      </c>
    </row>
    <row r="2739" spans="1:13" x14ac:dyDescent="0.3">
      <c r="A2739" t="str">
        <f>Segmenter!A2739</f>
        <v/>
      </c>
      <c r="B2739" t="str">
        <f>Segmenter!B2739</f>
        <v/>
      </c>
      <c r="C2739" t="str">
        <f t="shared" si="210"/>
        <v/>
      </c>
      <c r="D2739" t="str">
        <f t="shared" si="211"/>
        <v/>
      </c>
      <c r="E2739" t="str">
        <f t="shared" si="212"/>
        <v/>
      </c>
      <c r="F2739" t="str">
        <f>IF(D2739="","",INDEX(Knutepunkter!$B:$B,D2739+1))</f>
        <v/>
      </c>
      <c r="G2739" t="str">
        <f>IF(D2739="","",INDEX(Knutepunkter!$C:$C,D2739+1))</f>
        <v/>
      </c>
      <c r="H2739" t="str">
        <f>IF(D2739="","",INDEX(Knutepunkter!$D:$D,D2739+1))</f>
        <v/>
      </c>
      <c r="I2739" t="str">
        <f>IF(E2739="","",INDEX(Knutepunkter!$B:$B,E2739+1))</f>
        <v/>
      </c>
      <c r="J2739" t="str">
        <f>IF(E2739="","",INDEX(Knutepunkter!$C:$C,E2739+1))</f>
        <v/>
      </c>
      <c r="K2739" t="str">
        <f>IF(E2739="","",INDEX(Knutepunkter!$D:$D,E2739+1))</f>
        <v/>
      </c>
      <c r="L2739" t="str">
        <f t="shared" si="213"/>
        <v/>
      </c>
      <c r="M2739" t="str">
        <f t="shared" si="214"/>
        <v/>
      </c>
    </row>
    <row r="2740" spans="1:13" x14ac:dyDescent="0.3">
      <c r="A2740" t="str">
        <f>Segmenter!A2740</f>
        <v/>
      </c>
      <c r="B2740" t="str">
        <f>Segmenter!B2740</f>
        <v/>
      </c>
      <c r="C2740" t="str">
        <f t="shared" si="210"/>
        <v/>
      </c>
      <c r="D2740" t="str">
        <f t="shared" si="211"/>
        <v/>
      </c>
      <c r="E2740" t="str">
        <f t="shared" si="212"/>
        <v/>
      </c>
      <c r="F2740" t="str">
        <f>IF(D2740="","",INDEX(Knutepunkter!$B:$B,D2740+1))</f>
        <v/>
      </c>
      <c r="G2740" t="str">
        <f>IF(D2740="","",INDEX(Knutepunkter!$C:$C,D2740+1))</f>
        <v/>
      </c>
      <c r="H2740" t="str">
        <f>IF(D2740="","",INDEX(Knutepunkter!$D:$D,D2740+1))</f>
        <v/>
      </c>
      <c r="I2740" t="str">
        <f>IF(E2740="","",INDEX(Knutepunkter!$B:$B,E2740+1))</f>
        <v/>
      </c>
      <c r="J2740" t="str">
        <f>IF(E2740="","",INDEX(Knutepunkter!$C:$C,E2740+1))</f>
        <v/>
      </c>
      <c r="K2740" t="str">
        <f>IF(E2740="","",INDEX(Knutepunkter!$D:$D,E2740+1))</f>
        <v/>
      </c>
      <c r="L2740" t="str">
        <f t="shared" si="213"/>
        <v/>
      </c>
      <c r="M2740" t="str">
        <f t="shared" si="214"/>
        <v/>
      </c>
    </row>
    <row r="2741" spans="1:13" x14ac:dyDescent="0.3">
      <c r="A2741" t="str">
        <f>Segmenter!A2741</f>
        <v/>
      </c>
      <c r="B2741" t="str">
        <f>Segmenter!B2741</f>
        <v/>
      </c>
      <c r="C2741" t="str">
        <f t="shared" si="210"/>
        <v/>
      </c>
      <c r="D2741" t="str">
        <f t="shared" si="211"/>
        <v/>
      </c>
      <c r="E2741" t="str">
        <f t="shared" si="212"/>
        <v/>
      </c>
      <c r="F2741" t="str">
        <f>IF(D2741="","",INDEX(Knutepunkter!$B:$B,D2741+1))</f>
        <v/>
      </c>
      <c r="G2741" t="str">
        <f>IF(D2741="","",INDEX(Knutepunkter!$C:$C,D2741+1))</f>
        <v/>
      </c>
      <c r="H2741" t="str">
        <f>IF(D2741="","",INDEX(Knutepunkter!$D:$D,D2741+1))</f>
        <v/>
      </c>
      <c r="I2741" t="str">
        <f>IF(E2741="","",INDEX(Knutepunkter!$B:$B,E2741+1))</f>
        <v/>
      </c>
      <c r="J2741" t="str">
        <f>IF(E2741="","",INDEX(Knutepunkter!$C:$C,E2741+1))</f>
        <v/>
      </c>
      <c r="K2741" t="str">
        <f>IF(E2741="","",INDEX(Knutepunkter!$D:$D,E2741+1))</f>
        <v/>
      </c>
      <c r="L2741" t="str">
        <f t="shared" si="213"/>
        <v/>
      </c>
      <c r="M2741" t="str">
        <f t="shared" si="214"/>
        <v/>
      </c>
    </row>
    <row r="2742" spans="1:13" x14ac:dyDescent="0.3">
      <c r="A2742" t="str">
        <f>Segmenter!A2742</f>
        <v>S2741</v>
      </c>
      <c r="B2742" t="str">
        <f>Segmenter!B2742</f>
        <v>497 -&gt; 508</v>
      </c>
      <c r="C2742" t="str">
        <f t="shared" si="210"/>
        <v>Bjelke</v>
      </c>
      <c r="D2742">
        <f t="shared" si="211"/>
        <v>497</v>
      </c>
      <c r="E2742">
        <f t="shared" si="212"/>
        <v>508</v>
      </c>
      <c r="F2742">
        <f>IF(D2742="","",INDEX(Knutepunkter!$B:$B,D2742+1))</f>
        <v>24354</v>
      </c>
      <c r="G2742">
        <f>IF(D2742="","",INDEX(Knutepunkter!$C:$C,D2742+1))</f>
        <v>24000</v>
      </c>
      <c r="H2742">
        <f>IF(D2742="","",INDEX(Knutepunkter!$D:$D,D2742+1))</f>
        <v>3000</v>
      </c>
      <c r="I2742">
        <f>IF(E2742="","",INDEX(Knutepunkter!$B:$B,E2742+1))</f>
        <v>24354</v>
      </c>
      <c r="J2742">
        <f>IF(E2742="","",INDEX(Knutepunkter!$C:$C,E2742+1))</f>
        <v>32000</v>
      </c>
      <c r="K2742">
        <f>IF(E2742="","",INDEX(Knutepunkter!$D:$D,E2742+1))</f>
        <v>3000</v>
      </c>
      <c r="L2742">
        <f t="shared" si="213"/>
        <v>8000</v>
      </c>
      <c r="M2742">
        <f t="shared" si="214"/>
        <v>8</v>
      </c>
    </row>
    <row r="2743" spans="1:13" x14ac:dyDescent="0.3">
      <c r="A2743" t="str">
        <f>Segmenter!A2743</f>
        <v>S2742</v>
      </c>
      <c r="B2743" t="str">
        <f>Segmenter!B2743</f>
        <v>498 -&gt; 509</v>
      </c>
      <c r="C2743" t="str">
        <f t="shared" si="210"/>
        <v>Bjelke</v>
      </c>
      <c r="D2743">
        <f t="shared" si="211"/>
        <v>498</v>
      </c>
      <c r="E2743">
        <f t="shared" si="212"/>
        <v>509</v>
      </c>
      <c r="F2743">
        <f>IF(D2743="","",INDEX(Knutepunkter!$B:$B,D2743+1))</f>
        <v>24354</v>
      </c>
      <c r="G2743">
        <f>IF(D2743="","",INDEX(Knutepunkter!$C:$C,D2743+1))</f>
        <v>24000</v>
      </c>
      <c r="H2743">
        <f>IF(D2743="","",INDEX(Knutepunkter!$D:$D,D2743+1))</f>
        <v>6000</v>
      </c>
      <c r="I2743">
        <f>IF(E2743="","",INDEX(Knutepunkter!$B:$B,E2743+1))</f>
        <v>24354</v>
      </c>
      <c r="J2743">
        <f>IF(E2743="","",INDEX(Knutepunkter!$C:$C,E2743+1))</f>
        <v>32000</v>
      </c>
      <c r="K2743">
        <f>IF(E2743="","",INDEX(Knutepunkter!$D:$D,E2743+1))</f>
        <v>6000</v>
      </c>
      <c r="L2743">
        <f t="shared" si="213"/>
        <v>8000</v>
      </c>
      <c r="M2743">
        <f t="shared" si="214"/>
        <v>8</v>
      </c>
    </row>
    <row r="2744" spans="1:13" x14ac:dyDescent="0.3">
      <c r="A2744" t="str">
        <f>Segmenter!A2744</f>
        <v>S2743</v>
      </c>
      <c r="B2744" t="str">
        <f>Segmenter!B2744</f>
        <v>499 -&gt; 510</v>
      </c>
      <c r="C2744" t="str">
        <f t="shared" si="210"/>
        <v>Bjelke</v>
      </c>
      <c r="D2744">
        <f t="shared" si="211"/>
        <v>499</v>
      </c>
      <c r="E2744">
        <f t="shared" si="212"/>
        <v>510</v>
      </c>
      <c r="F2744">
        <f>IF(D2744="","",INDEX(Knutepunkter!$B:$B,D2744+1))</f>
        <v>24354</v>
      </c>
      <c r="G2744">
        <f>IF(D2744="","",INDEX(Knutepunkter!$C:$C,D2744+1))</f>
        <v>24000</v>
      </c>
      <c r="H2744">
        <f>IF(D2744="","",INDEX(Knutepunkter!$D:$D,D2744+1))</f>
        <v>9000</v>
      </c>
      <c r="I2744">
        <f>IF(E2744="","",INDEX(Knutepunkter!$B:$B,E2744+1))</f>
        <v>24354</v>
      </c>
      <c r="J2744">
        <f>IF(E2744="","",INDEX(Knutepunkter!$C:$C,E2744+1))</f>
        <v>32000</v>
      </c>
      <c r="K2744">
        <f>IF(E2744="","",INDEX(Knutepunkter!$D:$D,E2744+1))</f>
        <v>9000</v>
      </c>
      <c r="L2744">
        <f t="shared" si="213"/>
        <v>8000</v>
      </c>
      <c r="M2744">
        <f t="shared" si="214"/>
        <v>8</v>
      </c>
    </row>
    <row r="2745" spans="1:13" x14ac:dyDescent="0.3">
      <c r="A2745" t="str">
        <f>Segmenter!A2745</f>
        <v>S2744</v>
      </c>
      <c r="B2745" t="str">
        <f>Segmenter!B2745</f>
        <v>500 -&gt; 511</v>
      </c>
      <c r="C2745" t="str">
        <f t="shared" si="210"/>
        <v>Bjelke</v>
      </c>
      <c r="D2745">
        <f t="shared" si="211"/>
        <v>500</v>
      </c>
      <c r="E2745">
        <f t="shared" si="212"/>
        <v>511</v>
      </c>
      <c r="F2745">
        <f>IF(D2745="","",INDEX(Knutepunkter!$B:$B,D2745+1))</f>
        <v>24354</v>
      </c>
      <c r="G2745">
        <f>IF(D2745="","",INDEX(Knutepunkter!$C:$C,D2745+1))</f>
        <v>24000</v>
      </c>
      <c r="H2745">
        <f>IF(D2745="","",INDEX(Knutepunkter!$D:$D,D2745+1))</f>
        <v>12000</v>
      </c>
      <c r="I2745">
        <f>IF(E2745="","",INDEX(Knutepunkter!$B:$B,E2745+1))</f>
        <v>24354</v>
      </c>
      <c r="J2745">
        <f>IF(E2745="","",INDEX(Knutepunkter!$C:$C,E2745+1))</f>
        <v>32000</v>
      </c>
      <c r="K2745">
        <f>IF(E2745="","",INDEX(Knutepunkter!$D:$D,E2745+1))</f>
        <v>12000</v>
      </c>
      <c r="L2745">
        <f t="shared" si="213"/>
        <v>8000</v>
      </c>
      <c r="M2745">
        <f t="shared" si="214"/>
        <v>8</v>
      </c>
    </row>
    <row r="2746" spans="1:13" x14ac:dyDescent="0.3">
      <c r="A2746" t="str">
        <f>Segmenter!A2746</f>
        <v>S2745</v>
      </c>
      <c r="B2746" t="str">
        <f>Segmenter!B2746</f>
        <v>501 -&gt; 512</v>
      </c>
      <c r="C2746" t="str">
        <f t="shared" si="210"/>
        <v>Bjelke</v>
      </c>
      <c r="D2746">
        <f t="shared" si="211"/>
        <v>501</v>
      </c>
      <c r="E2746">
        <f t="shared" si="212"/>
        <v>512</v>
      </c>
      <c r="F2746">
        <f>IF(D2746="","",INDEX(Knutepunkter!$B:$B,D2746+1))</f>
        <v>24354</v>
      </c>
      <c r="G2746">
        <f>IF(D2746="","",INDEX(Knutepunkter!$C:$C,D2746+1))</f>
        <v>24000</v>
      </c>
      <c r="H2746">
        <f>IF(D2746="","",INDEX(Knutepunkter!$D:$D,D2746+1))</f>
        <v>15000</v>
      </c>
      <c r="I2746">
        <f>IF(E2746="","",INDEX(Knutepunkter!$B:$B,E2746+1))</f>
        <v>24354</v>
      </c>
      <c r="J2746">
        <f>IF(E2746="","",INDEX(Knutepunkter!$C:$C,E2746+1))</f>
        <v>32000</v>
      </c>
      <c r="K2746">
        <f>IF(E2746="","",INDEX(Knutepunkter!$D:$D,E2746+1))</f>
        <v>15000</v>
      </c>
      <c r="L2746">
        <f t="shared" si="213"/>
        <v>8000</v>
      </c>
      <c r="M2746">
        <f t="shared" si="214"/>
        <v>8</v>
      </c>
    </row>
    <row r="2747" spans="1:13" x14ac:dyDescent="0.3">
      <c r="A2747" t="str">
        <f>Segmenter!A2747</f>
        <v>S2746</v>
      </c>
      <c r="B2747" t="str">
        <f>Segmenter!B2747</f>
        <v>502 -&gt; 513</v>
      </c>
      <c r="C2747" t="str">
        <f t="shared" si="210"/>
        <v>Bjelke</v>
      </c>
      <c r="D2747">
        <f t="shared" si="211"/>
        <v>502</v>
      </c>
      <c r="E2747">
        <f t="shared" si="212"/>
        <v>513</v>
      </c>
      <c r="F2747">
        <f>IF(D2747="","",INDEX(Knutepunkter!$B:$B,D2747+1))</f>
        <v>24354</v>
      </c>
      <c r="G2747">
        <f>IF(D2747="","",INDEX(Knutepunkter!$C:$C,D2747+1))</f>
        <v>24000</v>
      </c>
      <c r="H2747">
        <f>IF(D2747="","",INDEX(Knutepunkter!$D:$D,D2747+1))</f>
        <v>18000</v>
      </c>
      <c r="I2747">
        <f>IF(E2747="","",INDEX(Knutepunkter!$B:$B,E2747+1))</f>
        <v>24354</v>
      </c>
      <c r="J2747">
        <f>IF(E2747="","",INDEX(Knutepunkter!$C:$C,E2747+1))</f>
        <v>32000</v>
      </c>
      <c r="K2747">
        <f>IF(E2747="","",INDEX(Knutepunkter!$D:$D,E2747+1))</f>
        <v>18000</v>
      </c>
      <c r="L2747">
        <f t="shared" si="213"/>
        <v>8000</v>
      </c>
      <c r="M2747">
        <f t="shared" si="214"/>
        <v>8</v>
      </c>
    </row>
    <row r="2748" spans="1:13" x14ac:dyDescent="0.3">
      <c r="A2748" t="str">
        <f>Segmenter!A2748</f>
        <v/>
      </c>
      <c r="B2748" t="str">
        <f>Segmenter!B2748</f>
        <v/>
      </c>
      <c r="C2748" t="str">
        <f t="shared" si="210"/>
        <v/>
      </c>
      <c r="D2748" t="str">
        <f t="shared" si="211"/>
        <v/>
      </c>
      <c r="E2748" t="str">
        <f t="shared" si="212"/>
        <v/>
      </c>
      <c r="F2748" t="str">
        <f>IF(D2748="","",INDEX(Knutepunkter!$B:$B,D2748+1))</f>
        <v/>
      </c>
      <c r="G2748" t="str">
        <f>IF(D2748="","",INDEX(Knutepunkter!$C:$C,D2748+1))</f>
        <v/>
      </c>
      <c r="H2748" t="str">
        <f>IF(D2748="","",INDEX(Knutepunkter!$D:$D,D2748+1))</f>
        <v/>
      </c>
      <c r="I2748" t="str">
        <f>IF(E2748="","",INDEX(Knutepunkter!$B:$B,E2748+1))</f>
        <v/>
      </c>
      <c r="J2748" t="str">
        <f>IF(E2748="","",INDEX(Knutepunkter!$C:$C,E2748+1))</f>
        <v/>
      </c>
      <c r="K2748" t="str">
        <f>IF(E2748="","",INDEX(Knutepunkter!$D:$D,E2748+1))</f>
        <v/>
      </c>
      <c r="L2748" t="str">
        <f t="shared" si="213"/>
        <v/>
      </c>
      <c r="M2748" t="str">
        <f t="shared" si="214"/>
        <v/>
      </c>
    </row>
    <row r="2749" spans="1:13" x14ac:dyDescent="0.3">
      <c r="A2749" t="str">
        <f>Segmenter!A2749</f>
        <v/>
      </c>
      <c r="B2749" t="str">
        <f>Segmenter!B2749</f>
        <v/>
      </c>
      <c r="C2749" t="str">
        <f t="shared" si="210"/>
        <v/>
      </c>
      <c r="D2749" t="str">
        <f t="shared" si="211"/>
        <v/>
      </c>
      <c r="E2749" t="str">
        <f t="shared" si="212"/>
        <v/>
      </c>
      <c r="F2749" t="str">
        <f>IF(D2749="","",INDEX(Knutepunkter!$B:$B,D2749+1))</f>
        <v/>
      </c>
      <c r="G2749" t="str">
        <f>IF(D2749="","",INDEX(Knutepunkter!$C:$C,D2749+1))</f>
        <v/>
      </c>
      <c r="H2749" t="str">
        <f>IF(D2749="","",INDEX(Knutepunkter!$D:$D,D2749+1))</f>
        <v/>
      </c>
      <c r="I2749" t="str">
        <f>IF(E2749="","",INDEX(Knutepunkter!$B:$B,E2749+1))</f>
        <v/>
      </c>
      <c r="J2749" t="str">
        <f>IF(E2749="","",INDEX(Knutepunkter!$C:$C,E2749+1))</f>
        <v/>
      </c>
      <c r="K2749" t="str">
        <f>IF(E2749="","",INDEX(Knutepunkter!$D:$D,E2749+1))</f>
        <v/>
      </c>
      <c r="L2749" t="str">
        <f t="shared" si="213"/>
        <v/>
      </c>
      <c r="M2749" t="str">
        <f t="shared" si="214"/>
        <v/>
      </c>
    </row>
    <row r="2750" spans="1:13" x14ac:dyDescent="0.3">
      <c r="A2750" t="str">
        <f>Segmenter!A2750</f>
        <v/>
      </c>
      <c r="B2750" t="str">
        <f>Segmenter!B2750</f>
        <v/>
      </c>
      <c r="C2750" t="str">
        <f t="shared" si="210"/>
        <v/>
      </c>
      <c r="D2750" t="str">
        <f t="shared" si="211"/>
        <v/>
      </c>
      <c r="E2750" t="str">
        <f t="shared" si="212"/>
        <v/>
      </c>
      <c r="F2750" t="str">
        <f>IF(D2750="","",INDEX(Knutepunkter!$B:$B,D2750+1))</f>
        <v/>
      </c>
      <c r="G2750" t="str">
        <f>IF(D2750="","",INDEX(Knutepunkter!$C:$C,D2750+1))</f>
        <v/>
      </c>
      <c r="H2750" t="str">
        <f>IF(D2750="","",INDEX(Knutepunkter!$D:$D,D2750+1))</f>
        <v/>
      </c>
      <c r="I2750" t="str">
        <f>IF(E2750="","",INDEX(Knutepunkter!$B:$B,E2750+1))</f>
        <v/>
      </c>
      <c r="J2750" t="str">
        <f>IF(E2750="","",INDEX(Knutepunkter!$C:$C,E2750+1))</f>
        <v/>
      </c>
      <c r="K2750" t="str">
        <f>IF(E2750="","",INDEX(Knutepunkter!$D:$D,E2750+1))</f>
        <v/>
      </c>
      <c r="L2750" t="str">
        <f t="shared" si="213"/>
        <v/>
      </c>
      <c r="M2750" t="str">
        <f t="shared" si="214"/>
        <v/>
      </c>
    </row>
    <row r="2751" spans="1:13" x14ac:dyDescent="0.3">
      <c r="A2751" t="str">
        <f>Segmenter!A2751</f>
        <v/>
      </c>
      <c r="B2751" t="str">
        <f>Segmenter!B2751</f>
        <v/>
      </c>
      <c r="C2751" t="str">
        <f t="shared" si="210"/>
        <v/>
      </c>
      <c r="D2751" t="str">
        <f t="shared" si="211"/>
        <v/>
      </c>
      <c r="E2751" t="str">
        <f t="shared" si="212"/>
        <v/>
      </c>
      <c r="F2751" t="str">
        <f>IF(D2751="","",INDEX(Knutepunkter!$B:$B,D2751+1))</f>
        <v/>
      </c>
      <c r="G2751" t="str">
        <f>IF(D2751="","",INDEX(Knutepunkter!$C:$C,D2751+1))</f>
        <v/>
      </c>
      <c r="H2751" t="str">
        <f>IF(D2751="","",INDEX(Knutepunkter!$D:$D,D2751+1))</f>
        <v/>
      </c>
      <c r="I2751" t="str">
        <f>IF(E2751="","",INDEX(Knutepunkter!$B:$B,E2751+1))</f>
        <v/>
      </c>
      <c r="J2751" t="str">
        <f>IF(E2751="","",INDEX(Knutepunkter!$C:$C,E2751+1))</f>
        <v/>
      </c>
      <c r="K2751" t="str">
        <f>IF(E2751="","",INDEX(Knutepunkter!$D:$D,E2751+1))</f>
        <v/>
      </c>
      <c r="L2751" t="str">
        <f t="shared" si="213"/>
        <v/>
      </c>
      <c r="M2751" t="str">
        <f t="shared" si="214"/>
        <v/>
      </c>
    </row>
    <row r="2752" spans="1:13" x14ac:dyDescent="0.3">
      <c r="A2752" t="str">
        <f>Segmenter!A2752</f>
        <v/>
      </c>
      <c r="B2752" t="str">
        <f>Segmenter!B2752</f>
        <v/>
      </c>
      <c r="C2752" t="str">
        <f t="shared" si="210"/>
        <v/>
      </c>
      <c r="D2752" t="str">
        <f t="shared" si="211"/>
        <v/>
      </c>
      <c r="E2752" t="str">
        <f t="shared" si="212"/>
        <v/>
      </c>
      <c r="F2752" t="str">
        <f>IF(D2752="","",INDEX(Knutepunkter!$B:$B,D2752+1))</f>
        <v/>
      </c>
      <c r="G2752" t="str">
        <f>IF(D2752="","",INDEX(Knutepunkter!$C:$C,D2752+1))</f>
        <v/>
      </c>
      <c r="H2752" t="str">
        <f>IF(D2752="","",INDEX(Knutepunkter!$D:$D,D2752+1))</f>
        <v/>
      </c>
      <c r="I2752" t="str">
        <f>IF(E2752="","",INDEX(Knutepunkter!$B:$B,E2752+1))</f>
        <v/>
      </c>
      <c r="J2752" t="str">
        <f>IF(E2752="","",INDEX(Knutepunkter!$C:$C,E2752+1))</f>
        <v/>
      </c>
      <c r="K2752" t="str">
        <f>IF(E2752="","",INDEX(Knutepunkter!$D:$D,E2752+1))</f>
        <v/>
      </c>
      <c r="L2752" t="str">
        <f t="shared" si="213"/>
        <v/>
      </c>
      <c r="M2752" t="str">
        <f t="shared" si="214"/>
        <v/>
      </c>
    </row>
    <row r="2753" spans="1:13" x14ac:dyDescent="0.3">
      <c r="A2753" t="str">
        <f>Segmenter!A2753</f>
        <v/>
      </c>
      <c r="B2753" t="str">
        <f>Segmenter!B2753</f>
        <v/>
      </c>
      <c r="C2753" t="str">
        <f t="shared" si="210"/>
        <v/>
      </c>
      <c r="D2753" t="str">
        <f t="shared" si="211"/>
        <v/>
      </c>
      <c r="E2753" t="str">
        <f t="shared" si="212"/>
        <v/>
      </c>
      <c r="F2753" t="str">
        <f>IF(D2753="","",INDEX(Knutepunkter!$B:$B,D2753+1))</f>
        <v/>
      </c>
      <c r="G2753" t="str">
        <f>IF(D2753="","",INDEX(Knutepunkter!$C:$C,D2753+1))</f>
        <v/>
      </c>
      <c r="H2753" t="str">
        <f>IF(D2753="","",INDEX(Knutepunkter!$D:$D,D2753+1))</f>
        <v/>
      </c>
      <c r="I2753" t="str">
        <f>IF(E2753="","",INDEX(Knutepunkter!$B:$B,E2753+1))</f>
        <v/>
      </c>
      <c r="J2753" t="str">
        <f>IF(E2753="","",INDEX(Knutepunkter!$C:$C,E2753+1))</f>
        <v/>
      </c>
      <c r="K2753" t="str">
        <f>IF(E2753="","",INDEX(Knutepunkter!$D:$D,E2753+1))</f>
        <v/>
      </c>
      <c r="L2753" t="str">
        <f t="shared" si="213"/>
        <v/>
      </c>
      <c r="M2753" t="str">
        <f t="shared" si="214"/>
        <v/>
      </c>
    </row>
    <row r="2754" spans="1:13" x14ac:dyDescent="0.3">
      <c r="A2754" t="str">
        <f>Segmenter!A2754</f>
        <v/>
      </c>
      <c r="B2754" t="str">
        <f>Segmenter!B2754</f>
        <v/>
      </c>
      <c r="C2754" t="str">
        <f t="shared" ref="C2754:C2817" si="215">IF(B2754="","",IF(AND(F2754=I2754,G2754=J2754,H2754&lt;&gt;K2754),"Søyle","Bjelke"))</f>
        <v/>
      </c>
      <c r="D2754" t="str">
        <f t="shared" ref="D2754:D2817" si="216">IF(B2754="","",VALUE(LEFT(B2754,FIND(" -&gt; ",B2754)-1)))</f>
        <v/>
      </c>
      <c r="E2754" t="str">
        <f t="shared" ref="E2754:E2817" si="217">IF(B2754="","",VALUE(MID(B2754,FIND(" -&gt; ",B2754)+4,99)))</f>
        <v/>
      </c>
      <c r="F2754" t="str">
        <f>IF(D2754="","",INDEX(Knutepunkter!$B:$B,D2754+1))</f>
        <v/>
      </c>
      <c r="G2754" t="str">
        <f>IF(D2754="","",INDEX(Knutepunkter!$C:$C,D2754+1))</f>
        <v/>
      </c>
      <c r="H2754" t="str">
        <f>IF(D2754="","",INDEX(Knutepunkter!$D:$D,D2754+1))</f>
        <v/>
      </c>
      <c r="I2754" t="str">
        <f>IF(E2754="","",INDEX(Knutepunkter!$B:$B,E2754+1))</f>
        <v/>
      </c>
      <c r="J2754" t="str">
        <f>IF(E2754="","",INDEX(Knutepunkter!$C:$C,E2754+1))</f>
        <v/>
      </c>
      <c r="K2754" t="str">
        <f>IF(E2754="","",INDEX(Knutepunkter!$D:$D,E2754+1))</f>
        <v/>
      </c>
      <c r="L2754" t="str">
        <f t="shared" ref="L2754:L2817" si="218">IF(B2754="","",SQRT((I2754-F2754)^2+(J2754-G2754)^2+(K2754-H2754)^2))</f>
        <v/>
      </c>
      <c r="M2754" t="str">
        <f t="shared" ref="M2754:M2817" si="219">IF(L2754="","",L2754/1000)</f>
        <v/>
      </c>
    </row>
    <row r="2755" spans="1:13" x14ac:dyDescent="0.3">
      <c r="A2755" t="str">
        <f>Segmenter!A2755</f>
        <v/>
      </c>
      <c r="B2755" t="str">
        <f>Segmenter!B2755</f>
        <v/>
      </c>
      <c r="C2755" t="str">
        <f t="shared" si="215"/>
        <v/>
      </c>
      <c r="D2755" t="str">
        <f t="shared" si="216"/>
        <v/>
      </c>
      <c r="E2755" t="str">
        <f t="shared" si="217"/>
        <v/>
      </c>
      <c r="F2755" t="str">
        <f>IF(D2755="","",INDEX(Knutepunkter!$B:$B,D2755+1))</f>
        <v/>
      </c>
      <c r="G2755" t="str">
        <f>IF(D2755="","",INDEX(Knutepunkter!$C:$C,D2755+1))</f>
        <v/>
      </c>
      <c r="H2755" t="str">
        <f>IF(D2755="","",INDEX(Knutepunkter!$D:$D,D2755+1))</f>
        <v/>
      </c>
      <c r="I2755" t="str">
        <f>IF(E2755="","",INDEX(Knutepunkter!$B:$B,E2755+1))</f>
        <v/>
      </c>
      <c r="J2755" t="str">
        <f>IF(E2755="","",INDEX(Knutepunkter!$C:$C,E2755+1))</f>
        <v/>
      </c>
      <c r="K2755" t="str">
        <f>IF(E2755="","",INDEX(Knutepunkter!$D:$D,E2755+1))</f>
        <v/>
      </c>
      <c r="L2755" t="str">
        <f t="shared" si="218"/>
        <v/>
      </c>
      <c r="M2755" t="str">
        <f t="shared" si="219"/>
        <v/>
      </c>
    </row>
    <row r="2756" spans="1:13" x14ac:dyDescent="0.3">
      <c r="A2756" t="str">
        <f>Segmenter!A2756</f>
        <v/>
      </c>
      <c r="B2756" t="str">
        <f>Segmenter!B2756</f>
        <v/>
      </c>
      <c r="C2756" t="str">
        <f t="shared" si="215"/>
        <v/>
      </c>
      <c r="D2756" t="str">
        <f t="shared" si="216"/>
        <v/>
      </c>
      <c r="E2756" t="str">
        <f t="shared" si="217"/>
        <v/>
      </c>
      <c r="F2756" t="str">
        <f>IF(D2756="","",INDEX(Knutepunkter!$B:$B,D2756+1))</f>
        <v/>
      </c>
      <c r="G2756" t="str">
        <f>IF(D2756="","",INDEX(Knutepunkter!$C:$C,D2756+1))</f>
        <v/>
      </c>
      <c r="H2756" t="str">
        <f>IF(D2756="","",INDEX(Knutepunkter!$D:$D,D2756+1))</f>
        <v/>
      </c>
      <c r="I2756" t="str">
        <f>IF(E2756="","",INDEX(Knutepunkter!$B:$B,E2756+1))</f>
        <v/>
      </c>
      <c r="J2756" t="str">
        <f>IF(E2756="","",INDEX(Knutepunkter!$C:$C,E2756+1))</f>
        <v/>
      </c>
      <c r="K2756" t="str">
        <f>IF(E2756="","",INDEX(Knutepunkter!$D:$D,E2756+1))</f>
        <v/>
      </c>
      <c r="L2756" t="str">
        <f t="shared" si="218"/>
        <v/>
      </c>
      <c r="M2756" t="str">
        <f t="shared" si="219"/>
        <v/>
      </c>
    </row>
    <row r="2757" spans="1:13" x14ac:dyDescent="0.3">
      <c r="A2757" t="str">
        <f>Segmenter!A2757</f>
        <v/>
      </c>
      <c r="B2757" t="str">
        <f>Segmenter!B2757</f>
        <v/>
      </c>
      <c r="C2757" t="str">
        <f t="shared" si="215"/>
        <v/>
      </c>
      <c r="D2757" t="str">
        <f t="shared" si="216"/>
        <v/>
      </c>
      <c r="E2757" t="str">
        <f t="shared" si="217"/>
        <v/>
      </c>
      <c r="F2757" t="str">
        <f>IF(D2757="","",INDEX(Knutepunkter!$B:$B,D2757+1))</f>
        <v/>
      </c>
      <c r="G2757" t="str">
        <f>IF(D2757="","",INDEX(Knutepunkter!$C:$C,D2757+1))</f>
        <v/>
      </c>
      <c r="H2757" t="str">
        <f>IF(D2757="","",INDEX(Knutepunkter!$D:$D,D2757+1))</f>
        <v/>
      </c>
      <c r="I2757" t="str">
        <f>IF(E2757="","",INDEX(Knutepunkter!$B:$B,E2757+1))</f>
        <v/>
      </c>
      <c r="J2757" t="str">
        <f>IF(E2757="","",INDEX(Knutepunkter!$C:$C,E2757+1))</f>
        <v/>
      </c>
      <c r="K2757" t="str">
        <f>IF(E2757="","",INDEX(Knutepunkter!$D:$D,E2757+1))</f>
        <v/>
      </c>
      <c r="L2757" t="str">
        <f t="shared" si="218"/>
        <v/>
      </c>
      <c r="M2757" t="str">
        <f t="shared" si="219"/>
        <v/>
      </c>
    </row>
    <row r="2758" spans="1:13" x14ac:dyDescent="0.3">
      <c r="A2758" t="str">
        <f>Segmenter!A2758</f>
        <v/>
      </c>
      <c r="B2758" t="str">
        <f>Segmenter!B2758</f>
        <v/>
      </c>
      <c r="C2758" t="str">
        <f t="shared" si="215"/>
        <v/>
      </c>
      <c r="D2758" t="str">
        <f t="shared" si="216"/>
        <v/>
      </c>
      <c r="E2758" t="str">
        <f t="shared" si="217"/>
        <v/>
      </c>
      <c r="F2758" t="str">
        <f>IF(D2758="","",INDEX(Knutepunkter!$B:$B,D2758+1))</f>
        <v/>
      </c>
      <c r="G2758" t="str">
        <f>IF(D2758="","",INDEX(Knutepunkter!$C:$C,D2758+1))</f>
        <v/>
      </c>
      <c r="H2758" t="str">
        <f>IF(D2758="","",INDEX(Knutepunkter!$D:$D,D2758+1))</f>
        <v/>
      </c>
      <c r="I2758" t="str">
        <f>IF(E2758="","",INDEX(Knutepunkter!$B:$B,E2758+1))</f>
        <v/>
      </c>
      <c r="J2758" t="str">
        <f>IF(E2758="","",INDEX(Knutepunkter!$C:$C,E2758+1))</f>
        <v/>
      </c>
      <c r="K2758" t="str">
        <f>IF(E2758="","",INDEX(Knutepunkter!$D:$D,E2758+1))</f>
        <v/>
      </c>
      <c r="L2758" t="str">
        <f t="shared" si="218"/>
        <v/>
      </c>
      <c r="M2758" t="str">
        <f t="shared" si="219"/>
        <v/>
      </c>
    </row>
    <row r="2759" spans="1:13" x14ac:dyDescent="0.3">
      <c r="A2759" t="str">
        <f>Segmenter!A2759</f>
        <v/>
      </c>
      <c r="B2759" t="str">
        <f>Segmenter!B2759</f>
        <v/>
      </c>
      <c r="C2759" t="str">
        <f t="shared" si="215"/>
        <v/>
      </c>
      <c r="D2759" t="str">
        <f t="shared" si="216"/>
        <v/>
      </c>
      <c r="E2759" t="str">
        <f t="shared" si="217"/>
        <v/>
      </c>
      <c r="F2759" t="str">
        <f>IF(D2759="","",INDEX(Knutepunkter!$B:$B,D2759+1))</f>
        <v/>
      </c>
      <c r="G2759" t="str">
        <f>IF(D2759="","",INDEX(Knutepunkter!$C:$C,D2759+1))</f>
        <v/>
      </c>
      <c r="H2759" t="str">
        <f>IF(D2759="","",INDEX(Knutepunkter!$D:$D,D2759+1))</f>
        <v/>
      </c>
      <c r="I2759" t="str">
        <f>IF(E2759="","",INDEX(Knutepunkter!$B:$B,E2759+1))</f>
        <v/>
      </c>
      <c r="J2759" t="str">
        <f>IF(E2759="","",INDEX(Knutepunkter!$C:$C,E2759+1))</f>
        <v/>
      </c>
      <c r="K2759" t="str">
        <f>IF(E2759="","",INDEX(Knutepunkter!$D:$D,E2759+1))</f>
        <v/>
      </c>
      <c r="L2759" t="str">
        <f t="shared" si="218"/>
        <v/>
      </c>
      <c r="M2759" t="str">
        <f t="shared" si="219"/>
        <v/>
      </c>
    </row>
    <row r="2760" spans="1:13" x14ac:dyDescent="0.3">
      <c r="A2760" t="str">
        <f>Segmenter!A2760</f>
        <v/>
      </c>
      <c r="B2760" t="str">
        <f>Segmenter!B2760</f>
        <v/>
      </c>
      <c r="C2760" t="str">
        <f t="shared" si="215"/>
        <v/>
      </c>
      <c r="D2760" t="str">
        <f t="shared" si="216"/>
        <v/>
      </c>
      <c r="E2760" t="str">
        <f t="shared" si="217"/>
        <v/>
      </c>
      <c r="F2760" t="str">
        <f>IF(D2760="","",INDEX(Knutepunkter!$B:$B,D2760+1))</f>
        <v/>
      </c>
      <c r="G2760" t="str">
        <f>IF(D2760="","",INDEX(Knutepunkter!$C:$C,D2760+1))</f>
        <v/>
      </c>
      <c r="H2760" t="str">
        <f>IF(D2760="","",INDEX(Knutepunkter!$D:$D,D2760+1))</f>
        <v/>
      </c>
      <c r="I2760" t="str">
        <f>IF(E2760="","",INDEX(Knutepunkter!$B:$B,E2760+1))</f>
        <v/>
      </c>
      <c r="J2760" t="str">
        <f>IF(E2760="","",INDEX(Knutepunkter!$C:$C,E2760+1))</f>
        <v/>
      </c>
      <c r="K2760" t="str">
        <f>IF(E2760="","",INDEX(Knutepunkter!$D:$D,E2760+1))</f>
        <v/>
      </c>
      <c r="L2760" t="str">
        <f t="shared" si="218"/>
        <v/>
      </c>
      <c r="M2760" t="str">
        <f t="shared" si="219"/>
        <v/>
      </c>
    </row>
    <row r="2761" spans="1:13" x14ac:dyDescent="0.3">
      <c r="A2761" t="str">
        <f>Segmenter!A2761</f>
        <v/>
      </c>
      <c r="B2761" t="str">
        <f>Segmenter!B2761</f>
        <v/>
      </c>
      <c r="C2761" t="str">
        <f t="shared" si="215"/>
        <v/>
      </c>
      <c r="D2761" t="str">
        <f t="shared" si="216"/>
        <v/>
      </c>
      <c r="E2761" t="str">
        <f t="shared" si="217"/>
        <v/>
      </c>
      <c r="F2761" t="str">
        <f>IF(D2761="","",INDEX(Knutepunkter!$B:$B,D2761+1))</f>
        <v/>
      </c>
      <c r="G2761" t="str">
        <f>IF(D2761="","",INDEX(Knutepunkter!$C:$C,D2761+1))</f>
        <v/>
      </c>
      <c r="H2761" t="str">
        <f>IF(D2761="","",INDEX(Knutepunkter!$D:$D,D2761+1))</f>
        <v/>
      </c>
      <c r="I2761" t="str">
        <f>IF(E2761="","",INDEX(Knutepunkter!$B:$B,E2761+1))</f>
        <v/>
      </c>
      <c r="J2761" t="str">
        <f>IF(E2761="","",INDEX(Knutepunkter!$C:$C,E2761+1))</f>
        <v/>
      </c>
      <c r="K2761" t="str">
        <f>IF(E2761="","",INDEX(Knutepunkter!$D:$D,E2761+1))</f>
        <v/>
      </c>
      <c r="L2761" t="str">
        <f t="shared" si="218"/>
        <v/>
      </c>
      <c r="M2761" t="str">
        <f t="shared" si="219"/>
        <v/>
      </c>
    </row>
    <row r="2762" spans="1:13" x14ac:dyDescent="0.3">
      <c r="A2762" t="str">
        <f>Segmenter!A2762</f>
        <v/>
      </c>
      <c r="B2762" t="str">
        <f>Segmenter!B2762</f>
        <v/>
      </c>
      <c r="C2762" t="str">
        <f t="shared" si="215"/>
        <v/>
      </c>
      <c r="D2762" t="str">
        <f t="shared" si="216"/>
        <v/>
      </c>
      <c r="E2762" t="str">
        <f t="shared" si="217"/>
        <v/>
      </c>
      <c r="F2762" t="str">
        <f>IF(D2762="","",INDEX(Knutepunkter!$B:$B,D2762+1))</f>
        <v/>
      </c>
      <c r="G2762" t="str">
        <f>IF(D2762="","",INDEX(Knutepunkter!$C:$C,D2762+1))</f>
        <v/>
      </c>
      <c r="H2762" t="str">
        <f>IF(D2762="","",INDEX(Knutepunkter!$D:$D,D2762+1))</f>
        <v/>
      </c>
      <c r="I2762" t="str">
        <f>IF(E2762="","",INDEX(Knutepunkter!$B:$B,E2762+1))</f>
        <v/>
      </c>
      <c r="J2762" t="str">
        <f>IF(E2762="","",INDEX(Knutepunkter!$C:$C,E2762+1))</f>
        <v/>
      </c>
      <c r="K2762" t="str">
        <f>IF(E2762="","",INDEX(Knutepunkter!$D:$D,E2762+1))</f>
        <v/>
      </c>
      <c r="L2762" t="str">
        <f t="shared" si="218"/>
        <v/>
      </c>
      <c r="M2762" t="str">
        <f t="shared" si="219"/>
        <v/>
      </c>
    </row>
    <row r="2763" spans="1:13" x14ac:dyDescent="0.3">
      <c r="A2763" t="str">
        <f>Segmenter!A2763</f>
        <v/>
      </c>
      <c r="B2763" t="str">
        <f>Segmenter!B2763</f>
        <v/>
      </c>
      <c r="C2763" t="str">
        <f t="shared" si="215"/>
        <v/>
      </c>
      <c r="D2763" t="str">
        <f t="shared" si="216"/>
        <v/>
      </c>
      <c r="E2763" t="str">
        <f t="shared" si="217"/>
        <v/>
      </c>
      <c r="F2763" t="str">
        <f>IF(D2763="","",INDEX(Knutepunkter!$B:$B,D2763+1))</f>
        <v/>
      </c>
      <c r="G2763" t="str">
        <f>IF(D2763="","",INDEX(Knutepunkter!$C:$C,D2763+1))</f>
        <v/>
      </c>
      <c r="H2763" t="str">
        <f>IF(D2763="","",INDEX(Knutepunkter!$D:$D,D2763+1))</f>
        <v/>
      </c>
      <c r="I2763" t="str">
        <f>IF(E2763="","",INDEX(Knutepunkter!$B:$B,E2763+1))</f>
        <v/>
      </c>
      <c r="J2763" t="str">
        <f>IF(E2763="","",INDEX(Knutepunkter!$C:$C,E2763+1))</f>
        <v/>
      </c>
      <c r="K2763" t="str">
        <f>IF(E2763="","",INDEX(Knutepunkter!$D:$D,E2763+1))</f>
        <v/>
      </c>
      <c r="L2763" t="str">
        <f t="shared" si="218"/>
        <v/>
      </c>
      <c r="M2763" t="str">
        <f t="shared" si="219"/>
        <v/>
      </c>
    </row>
    <row r="2764" spans="1:13" x14ac:dyDescent="0.3">
      <c r="A2764" t="str">
        <f>Segmenter!A2764</f>
        <v/>
      </c>
      <c r="B2764" t="str">
        <f>Segmenter!B2764</f>
        <v/>
      </c>
      <c r="C2764" t="str">
        <f t="shared" si="215"/>
        <v/>
      </c>
      <c r="D2764" t="str">
        <f t="shared" si="216"/>
        <v/>
      </c>
      <c r="E2764" t="str">
        <f t="shared" si="217"/>
        <v/>
      </c>
      <c r="F2764" t="str">
        <f>IF(D2764="","",INDEX(Knutepunkter!$B:$B,D2764+1))</f>
        <v/>
      </c>
      <c r="G2764" t="str">
        <f>IF(D2764="","",INDEX(Knutepunkter!$C:$C,D2764+1))</f>
        <v/>
      </c>
      <c r="H2764" t="str">
        <f>IF(D2764="","",INDEX(Knutepunkter!$D:$D,D2764+1))</f>
        <v/>
      </c>
      <c r="I2764" t="str">
        <f>IF(E2764="","",INDEX(Knutepunkter!$B:$B,E2764+1))</f>
        <v/>
      </c>
      <c r="J2764" t="str">
        <f>IF(E2764="","",INDEX(Knutepunkter!$C:$C,E2764+1))</f>
        <v/>
      </c>
      <c r="K2764" t="str">
        <f>IF(E2764="","",INDEX(Knutepunkter!$D:$D,E2764+1))</f>
        <v/>
      </c>
      <c r="L2764" t="str">
        <f t="shared" si="218"/>
        <v/>
      </c>
      <c r="M2764" t="str">
        <f t="shared" si="219"/>
        <v/>
      </c>
    </row>
    <row r="2765" spans="1:13" x14ac:dyDescent="0.3">
      <c r="A2765" t="str">
        <f>Segmenter!A2765</f>
        <v/>
      </c>
      <c r="B2765" t="str">
        <f>Segmenter!B2765</f>
        <v/>
      </c>
      <c r="C2765" t="str">
        <f t="shared" si="215"/>
        <v/>
      </c>
      <c r="D2765" t="str">
        <f t="shared" si="216"/>
        <v/>
      </c>
      <c r="E2765" t="str">
        <f t="shared" si="217"/>
        <v/>
      </c>
      <c r="F2765" t="str">
        <f>IF(D2765="","",INDEX(Knutepunkter!$B:$B,D2765+1))</f>
        <v/>
      </c>
      <c r="G2765" t="str">
        <f>IF(D2765="","",INDEX(Knutepunkter!$C:$C,D2765+1))</f>
        <v/>
      </c>
      <c r="H2765" t="str">
        <f>IF(D2765="","",INDEX(Knutepunkter!$D:$D,D2765+1))</f>
        <v/>
      </c>
      <c r="I2765" t="str">
        <f>IF(E2765="","",INDEX(Knutepunkter!$B:$B,E2765+1))</f>
        <v/>
      </c>
      <c r="J2765" t="str">
        <f>IF(E2765="","",INDEX(Knutepunkter!$C:$C,E2765+1))</f>
        <v/>
      </c>
      <c r="K2765" t="str">
        <f>IF(E2765="","",INDEX(Knutepunkter!$D:$D,E2765+1))</f>
        <v/>
      </c>
      <c r="L2765" t="str">
        <f t="shared" si="218"/>
        <v/>
      </c>
      <c r="M2765" t="str">
        <f t="shared" si="219"/>
        <v/>
      </c>
    </row>
    <row r="2766" spans="1:13" x14ac:dyDescent="0.3">
      <c r="A2766" t="str">
        <f>Segmenter!A2766</f>
        <v/>
      </c>
      <c r="B2766" t="str">
        <f>Segmenter!B2766</f>
        <v/>
      </c>
      <c r="C2766" t="str">
        <f t="shared" si="215"/>
        <v/>
      </c>
      <c r="D2766" t="str">
        <f t="shared" si="216"/>
        <v/>
      </c>
      <c r="E2766" t="str">
        <f t="shared" si="217"/>
        <v/>
      </c>
      <c r="F2766" t="str">
        <f>IF(D2766="","",INDEX(Knutepunkter!$B:$B,D2766+1))</f>
        <v/>
      </c>
      <c r="G2766" t="str">
        <f>IF(D2766="","",INDEX(Knutepunkter!$C:$C,D2766+1))</f>
        <v/>
      </c>
      <c r="H2766" t="str">
        <f>IF(D2766="","",INDEX(Knutepunkter!$D:$D,D2766+1))</f>
        <v/>
      </c>
      <c r="I2766" t="str">
        <f>IF(E2766="","",INDEX(Knutepunkter!$B:$B,E2766+1))</f>
        <v/>
      </c>
      <c r="J2766" t="str">
        <f>IF(E2766="","",INDEX(Knutepunkter!$C:$C,E2766+1))</f>
        <v/>
      </c>
      <c r="K2766" t="str">
        <f>IF(E2766="","",INDEX(Knutepunkter!$D:$D,E2766+1))</f>
        <v/>
      </c>
      <c r="L2766" t="str">
        <f t="shared" si="218"/>
        <v/>
      </c>
      <c r="M2766" t="str">
        <f t="shared" si="219"/>
        <v/>
      </c>
    </row>
    <row r="2767" spans="1:13" x14ac:dyDescent="0.3">
      <c r="A2767" t="str">
        <f>Segmenter!A2767</f>
        <v/>
      </c>
      <c r="B2767" t="str">
        <f>Segmenter!B2767</f>
        <v/>
      </c>
      <c r="C2767" t="str">
        <f t="shared" si="215"/>
        <v/>
      </c>
      <c r="D2767" t="str">
        <f t="shared" si="216"/>
        <v/>
      </c>
      <c r="E2767" t="str">
        <f t="shared" si="217"/>
        <v/>
      </c>
      <c r="F2767" t="str">
        <f>IF(D2767="","",INDEX(Knutepunkter!$B:$B,D2767+1))</f>
        <v/>
      </c>
      <c r="G2767" t="str">
        <f>IF(D2767="","",INDEX(Knutepunkter!$C:$C,D2767+1))</f>
        <v/>
      </c>
      <c r="H2767" t="str">
        <f>IF(D2767="","",INDEX(Knutepunkter!$D:$D,D2767+1))</f>
        <v/>
      </c>
      <c r="I2767" t="str">
        <f>IF(E2767="","",INDEX(Knutepunkter!$B:$B,E2767+1))</f>
        <v/>
      </c>
      <c r="J2767" t="str">
        <f>IF(E2767="","",INDEX(Knutepunkter!$C:$C,E2767+1))</f>
        <v/>
      </c>
      <c r="K2767" t="str">
        <f>IF(E2767="","",INDEX(Knutepunkter!$D:$D,E2767+1))</f>
        <v/>
      </c>
      <c r="L2767" t="str">
        <f t="shared" si="218"/>
        <v/>
      </c>
      <c r="M2767" t="str">
        <f t="shared" si="219"/>
        <v/>
      </c>
    </row>
    <row r="2768" spans="1:13" x14ac:dyDescent="0.3">
      <c r="A2768" t="str">
        <f>Segmenter!A2768</f>
        <v/>
      </c>
      <c r="B2768" t="str">
        <f>Segmenter!B2768</f>
        <v/>
      </c>
      <c r="C2768" t="str">
        <f t="shared" si="215"/>
        <v/>
      </c>
      <c r="D2768" t="str">
        <f t="shared" si="216"/>
        <v/>
      </c>
      <c r="E2768" t="str">
        <f t="shared" si="217"/>
        <v/>
      </c>
      <c r="F2768" t="str">
        <f>IF(D2768="","",INDEX(Knutepunkter!$B:$B,D2768+1))</f>
        <v/>
      </c>
      <c r="G2768" t="str">
        <f>IF(D2768="","",INDEX(Knutepunkter!$C:$C,D2768+1))</f>
        <v/>
      </c>
      <c r="H2768" t="str">
        <f>IF(D2768="","",INDEX(Knutepunkter!$D:$D,D2768+1))</f>
        <v/>
      </c>
      <c r="I2768" t="str">
        <f>IF(E2768="","",INDEX(Knutepunkter!$B:$B,E2768+1))</f>
        <v/>
      </c>
      <c r="J2768" t="str">
        <f>IF(E2768="","",INDEX(Knutepunkter!$C:$C,E2768+1))</f>
        <v/>
      </c>
      <c r="K2768" t="str">
        <f>IF(E2768="","",INDEX(Knutepunkter!$D:$D,E2768+1))</f>
        <v/>
      </c>
      <c r="L2768" t="str">
        <f t="shared" si="218"/>
        <v/>
      </c>
      <c r="M2768" t="str">
        <f t="shared" si="219"/>
        <v/>
      </c>
    </row>
    <row r="2769" spans="1:13" x14ac:dyDescent="0.3">
      <c r="A2769" t="str">
        <f>Segmenter!A2769</f>
        <v/>
      </c>
      <c r="B2769" t="str">
        <f>Segmenter!B2769</f>
        <v/>
      </c>
      <c r="C2769" t="str">
        <f t="shared" si="215"/>
        <v/>
      </c>
      <c r="D2769" t="str">
        <f t="shared" si="216"/>
        <v/>
      </c>
      <c r="E2769" t="str">
        <f t="shared" si="217"/>
        <v/>
      </c>
      <c r="F2769" t="str">
        <f>IF(D2769="","",INDEX(Knutepunkter!$B:$B,D2769+1))</f>
        <v/>
      </c>
      <c r="G2769" t="str">
        <f>IF(D2769="","",INDEX(Knutepunkter!$C:$C,D2769+1))</f>
        <v/>
      </c>
      <c r="H2769" t="str">
        <f>IF(D2769="","",INDEX(Knutepunkter!$D:$D,D2769+1))</f>
        <v/>
      </c>
      <c r="I2769" t="str">
        <f>IF(E2769="","",INDEX(Knutepunkter!$B:$B,E2769+1))</f>
        <v/>
      </c>
      <c r="J2769" t="str">
        <f>IF(E2769="","",INDEX(Knutepunkter!$C:$C,E2769+1))</f>
        <v/>
      </c>
      <c r="K2769" t="str">
        <f>IF(E2769="","",INDEX(Knutepunkter!$D:$D,E2769+1))</f>
        <v/>
      </c>
      <c r="L2769" t="str">
        <f t="shared" si="218"/>
        <v/>
      </c>
      <c r="M2769" t="str">
        <f t="shared" si="219"/>
        <v/>
      </c>
    </row>
    <row r="2770" spans="1:13" x14ac:dyDescent="0.3">
      <c r="A2770" t="str">
        <f>Segmenter!A2770</f>
        <v/>
      </c>
      <c r="B2770" t="str">
        <f>Segmenter!B2770</f>
        <v/>
      </c>
      <c r="C2770" t="str">
        <f t="shared" si="215"/>
        <v/>
      </c>
      <c r="D2770" t="str">
        <f t="shared" si="216"/>
        <v/>
      </c>
      <c r="E2770" t="str">
        <f t="shared" si="217"/>
        <v/>
      </c>
      <c r="F2770" t="str">
        <f>IF(D2770="","",INDEX(Knutepunkter!$B:$B,D2770+1))</f>
        <v/>
      </c>
      <c r="G2770" t="str">
        <f>IF(D2770="","",INDEX(Knutepunkter!$C:$C,D2770+1))</f>
        <v/>
      </c>
      <c r="H2770" t="str">
        <f>IF(D2770="","",INDEX(Knutepunkter!$D:$D,D2770+1))</f>
        <v/>
      </c>
      <c r="I2770" t="str">
        <f>IF(E2770="","",INDEX(Knutepunkter!$B:$B,E2770+1))</f>
        <v/>
      </c>
      <c r="J2770" t="str">
        <f>IF(E2770="","",INDEX(Knutepunkter!$C:$C,E2770+1))</f>
        <v/>
      </c>
      <c r="K2770" t="str">
        <f>IF(E2770="","",INDEX(Knutepunkter!$D:$D,E2770+1))</f>
        <v/>
      </c>
      <c r="L2770" t="str">
        <f t="shared" si="218"/>
        <v/>
      </c>
      <c r="M2770" t="str">
        <f t="shared" si="219"/>
        <v/>
      </c>
    </row>
    <row r="2771" spans="1:13" x14ac:dyDescent="0.3">
      <c r="A2771" t="str">
        <f>Segmenter!A2771</f>
        <v/>
      </c>
      <c r="B2771" t="str">
        <f>Segmenter!B2771</f>
        <v/>
      </c>
      <c r="C2771" t="str">
        <f t="shared" si="215"/>
        <v/>
      </c>
      <c r="D2771" t="str">
        <f t="shared" si="216"/>
        <v/>
      </c>
      <c r="E2771" t="str">
        <f t="shared" si="217"/>
        <v/>
      </c>
      <c r="F2771" t="str">
        <f>IF(D2771="","",INDEX(Knutepunkter!$B:$B,D2771+1))</f>
        <v/>
      </c>
      <c r="G2771" t="str">
        <f>IF(D2771="","",INDEX(Knutepunkter!$C:$C,D2771+1))</f>
        <v/>
      </c>
      <c r="H2771" t="str">
        <f>IF(D2771="","",INDEX(Knutepunkter!$D:$D,D2771+1))</f>
        <v/>
      </c>
      <c r="I2771" t="str">
        <f>IF(E2771="","",INDEX(Knutepunkter!$B:$B,E2771+1))</f>
        <v/>
      </c>
      <c r="J2771" t="str">
        <f>IF(E2771="","",INDEX(Knutepunkter!$C:$C,E2771+1))</f>
        <v/>
      </c>
      <c r="K2771" t="str">
        <f>IF(E2771="","",INDEX(Knutepunkter!$D:$D,E2771+1))</f>
        <v/>
      </c>
      <c r="L2771" t="str">
        <f t="shared" si="218"/>
        <v/>
      </c>
      <c r="M2771" t="str">
        <f t="shared" si="219"/>
        <v/>
      </c>
    </row>
    <row r="2772" spans="1:13" x14ac:dyDescent="0.3">
      <c r="A2772" t="str">
        <f>Segmenter!A2772</f>
        <v/>
      </c>
      <c r="B2772" t="str">
        <f>Segmenter!B2772</f>
        <v/>
      </c>
      <c r="C2772" t="str">
        <f t="shared" si="215"/>
        <v/>
      </c>
      <c r="D2772" t="str">
        <f t="shared" si="216"/>
        <v/>
      </c>
      <c r="E2772" t="str">
        <f t="shared" si="217"/>
        <v/>
      </c>
      <c r="F2772" t="str">
        <f>IF(D2772="","",INDEX(Knutepunkter!$B:$B,D2772+1))</f>
        <v/>
      </c>
      <c r="G2772" t="str">
        <f>IF(D2772="","",INDEX(Knutepunkter!$C:$C,D2772+1))</f>
        <v/>
      </c>
      <c r="H2772" t="str">
        <f>IF(D2772="","",INDEX(Knutepunkter!$D:$D,D2772+1))</f>
        <v/>
      </c>
      <c r="I2772" t="str">
        <f>IF(E2772="","",INDEX(Knutepunkter!$B:$B,E2772+1))</f>
        <v/>
      </c>
      <c r="J2772" t="str">
        <f>IF(E2772="","",INDEX(Knutepunkter!$C:$C,E2772+1))</f>
        <v/>
      </c>
      <c r="K2772" t="str">
        <f>IF(E2772="","",INDEX(Knutepunkter!$D:$D,E2772+1))</f>
        <v/>
      </c>
      <c r="L2772" t="str">
        <f t="shared" si="218"/>
        <v/>
      </c>
      <c r="M2772" t="str">
        <f t="shared" si="219"/>
        <v/>
      </c>
    </row>
    <row r="2773" spans="1:13" x14ac:dyDescent="0.3">
      <c r="A2773" t="str">
        <f>Segmenter!A2773</f>
        <v/>
      </c>
      <c r="B2773" t="str">
        <f>Segmenter!B2773</f>
        <v/>
      </c>
      <c r="C2773" t="str">
        <f t="shared" si="215"/>
        <v/>
      </c>
      <c r="D2773" t="str">
        <f t="shared" si="216"/>
        <v/>
      </c>
      <c r="E2773" t="str">
        <f t="shared" si="217"/>
        <v/>
      </c>
      <c r="F2773" t="str">
        <f>IF(D2773="","",INDEX(Knutepunkter!$B:$B,D2773+1))</f>
        <v/>
      </c>
      <c r="G2773" t="str">
        <f>IF(D2773="","",INDEX(Knutepunkter!$C:$C,D2773+1))</f>
        <v/>
      </c>
      <c r="H2773" t="str">
        <f>IF(D2773="","",INDEX(Knutepunkter!$D:$D,D2773+1))</f>
        <v/>
      </c>
      <c r="I2773" t="str">
        <f>IF(E2773="","",INDEX(Knutepunkter!$B:$B,E2773+1))</f>
        <v/>
      </c>
      <c r="J2773" t="str">
        <f>IF(E2773="","",INDEX(Knutepunkter!$C:$C,E2773+1))</f>
        <v/>
      </c>
      <c r="K2773" t="str">
        <f>IF(E2773="","",INDEX(Knutepunkter!$D:$D,E2773+1))</f>
        <v/>
      </c>
      <c r="L2773" t="str">
        <f t="shared" si="218"/>
        <v/>
      </c>
      <c r="M2773" t="str">
        <f t="shared" si="219"/>
        <v/>
      </c>
    </row>
    <row r="2774" spans="1:13" x14ac:dyDescent="0.3">
      <c r="A2774" t="str">
        <f>Segmenter!A2774</f>
        <v/>
      </c>
      <c r="B2774" t="str">
        <f>Segmenter!B2774</f>
        <v/>
      </c>
      <c r="C2774" t="str">
        <f t="shared" si="215"/>
        <v/>
      </c>
      <c r="D2774" t="str">
        <f t="shared" si="216"/>
        <v/>
      </c>
      <c r="E2774" t="str">
        <f t="shared" si="217"/>
        <v/>
      </c>
      <c r="F2774" t="str">
        <f>IF(D2774="","",INDEX(Knutepunkter!$B:$B,D2774+1))</f>
        <v/>
      </c>
      <c r="G2774" t="str">
        <f>IF(D2774="","",INDEX(Knutepunkter!$C:$C,D2774+1))</f>
        <v/>
      </c>
      <c r="H2774" t="str">
        <f>IF(D2774="","",INDEX(Knutepunkter!$D:$D,D2774+1))</f>
        <v/>
      </c>
      <c r="I2774" t="str">
        <f>IF(E2774="","",INDEX(Knutepunkter!$B:$B,E2774+1))</f>
        <v/>
      </c>
      <c r="J2774" t="str">
        <f>IF(E2774="","",INDEX(Knutepunkter!$C:$C,E2774+1))</f>
        <v/>
      </c>
      <c r="K2774" t="str">
        <f>IF(E2774="","",INDEX(Knutepunkter!$D:$D,E2774+1))</f>
        <v/>
      </c>
      <c r="L2774" t="str">
        <f t="shared" si="218"/>
        <v/>
      </c>
      <c r="M2774" t="str">
        <f t="shared" si="219"/>
        <v/>
      </c>
    </row>
    <row r="2775" spans="1:13" x14ac:dyDescent="0.3">
      <c r="A2775" t="str">
        <f>Segmenter!A2775</f>
        <v/>
      </c>
      <c r="B2775" t="str">
        <f>Segmenter!B2775</f>
        <v/>
      </c>
      <c r="C2775" t="str">
        <f t="shared" si="215"/>
        <v/>
      </c>
      <c r="D2775" t="str">
        <f t="shared" si="216"/>
        <v/>
      </c>
      <c r="E2775" t="str">
        <f t="shared" si="217"/>
        <v/>
      </c>
      <c r="F2775" t="str">
        <f>IF(D2775="","",INDEX(Knutepunkter!$B:$B,D2775+1))</f>
        <v/>
      </c>
      <c r="G2775" t="str">
        <f>IF(D2775="","",INDEX(Knutepunkter!$C:$C,D2775+1))</f>
        <v/>
      </c>
      <c r="H2775" t="str">
        <f>IF(D2775="","",INDEX(Knutepunkter!$D:$D,D2775+1))</f>
        <v/>
      </c>
      <c r="I2775" t="str">
        <f>IF(E2775="","",INDEX(Knutepunkter!$B:$B,E2775+1))</f>
        <v/>
      </c>
      <c r="J2775" t="str">
        <f>IF(E2775="","",INDEX(Knutepunkter!$C:$C,E2775+1))</f>
        <v/>
      </c>
      <c r="K2775" t="str">
        <f>IF(E2775="","",INDEX(Knutepunkter!$D:$D,E2775+1))</f>
        <v/>
      </c>
      <c r="L2775" t="str">
        <f t="shared" si="218"/>
        <v/>
      </c>
      <c r="M2775" t="str">
        <f t="shared" si="219"/>
        <v/>
      </c>
    </row>
    <row r="2776" spans="1:13" x14ac:dyDescent="0.3">
      <c r="A2776" t="str">
        <f>Segmenter!A2776</f>
        <v/>
      </c>
      <c r="B2776" t="str">
        <f>Segmenter!B2776</f>
        <v/>
      </c>
      <c r="C2776" t="str">
        <f t="shared" si="215"/>
        <v/>
      </c>
      <c r="D2776" t="str">
        <f t="shared" si="216"/>
        <v/>
      </c>
      <c r="E2776" t="str">
        <f t="shared" si="217"/>
        <v/>
      </c>
      <c r="F2776" t="str">
        <f>IF(D2776="","",INDEX(Knutepunkter!$B:$B,D2776+1))</f>
        <v/>
      </c>
      <c r="G2776" t="str">
        <f>IF(D2776="","",INDEX(Knutepunkter!$C:$C,D2776+1))</f>
        <v/>
      </c>
      <c r="H2776" t="str">
        <f>IF(D2776="","",INDEX(Knutepunkter!$D:$D,D2776+1))</f>
        <v/>
      </c>
      <c r="I2776" t="str">
        <f>IF(E2776="","",INDEX(Knutepunkter!$B:$B,E2776+1))</f>
        <v/>
      </c>
      <c r="J2776" t="str">
        <f>IF(E2776="","",INDEX(Knutepunkter!$C:$C,E2776+1))</f>
        <v/>
      </c>
      <c r="K2776" t="str">
        <f>IF(E2776="","",INDEX(Knutepunkter!$D:$D,E2776+1))</f>
        <v/>
      </c>
      <c r="L2776" t="str">
        <f t="shared" si="218"/>
        <v/>
      </c>
      <c r="M2776" t="str">
        <f t="shared" si="219"/>
        <v/>
      </c>
    </row>
    <row r="2777" spans="1:13" x14ac:dyDescent="0.3">
      <c r="A2777" t="str">
        <f>Segmenter!A2777</f>
        <v/>
      </c>
      <c r="B2777" t="str">
        <f>Segmenter!B2777</f>
        <v/>
      </c>
      <c r="C2777" t="str">
        <f t="shared" si="215"/>
        <v/>
      </c>
      <c r="D2777" t="str">
        <f t="shared" si="216"/>
        <v/>
      </c>
      <c r="E2777" t="str">
        <f t="shared" si="217"/>
        <v/>
      </c>
      <c r="F2777" t="str">
        <f>IF(D2777="","",INDEX(Knutepunkter!$B:$B,D2777+1))</f>
        <v/>
      </c>
      <c r="G2777" t="str">
        <f>IF(D2777="","",INDEX(Knutepunkter!$C:$C,D2777+1))</f>
        <v/>
      </c>
      <c r="H2777" t="str">
        <f>IF(D2777="","",INDEX(Knutepunkter!$D:$D,D2777+1))</f>
        <v/>
      </c>
      <c r="I2777" t="str">
        <f>IF(E2777="","",INDEX(Knutepunkter!$B:$B,E2777+1))</f>
        <v/>
      </c>
      <c r="J2777" t="str">
        <f>IF(E2777="","",INDEX(Knutepunkter!$C:$C,E2777+1))</f>
        <v/>
      </c>
      <c r="K2777" t="str">
        <f>IF(E2777="","",INDEX(Knutepunkter!$D:$D,E2777+1))</f>
        <v/>
      </c>
      <c r="L2777" t="str">
        <f t="shared" si="218"/>
        <v/>
      </c>
      <c r="M2777" t="str">
        <f t="shared" si="219"/>
        <v/>
      </c>
    </row>
    <row r="2778" spans="1:13" x14ac:dyDescent="0.3">
      <c r="A2778" t="str">
        <f>Segmenter!A2778</f>
        <v/>
      </c>
      <c r="B2778" t="str">
        <f>Segmenter!B2778</f>
        <v/>
      </c>
      <c r="C2778" t="str">
        <f t="shared" si="215"/>
        <v/>
      </c>
      <c r="D2778" t="str">
        <f t="shared" si="216"/>
        <v/>
      </c>
      <c r="E2778" t="str">
        <f t="shared" si="217"/>
        <v/>
      </c>
      <c r="F2778" t="str">
        <f>IF(D2778="","",INDEX(Knutepunkter!$B:$B,D2778+1))</f>
        <v/>
      </c>
      <c r="G2778" t="str">
        <f>IF(D2778="","",INDEX(Knutepunkter!$C:$C,D2778+1))</f>
        <v/>
      </c>
      <c r="H2778" t="str">
        <f>IF(D2778="","",INDEX(Knutepunkter!$D:$D,D2778+1))</f>
        <v/>
      </c>
      <c r="I2778" t="str">
        <f>IF(E2778="","",INDEX(Knutepunkter!$B:$B,E2778+1))</f>
        <v/>
      </c>
      <c r="J2778" t="str">
        <f>IF(E2778="","",INDEX(Knutepunkter!$C:$C,E2778+1))</f>
        <v/>
      </c>
      <c r="K2778" t="str">
        <f>IF(E2778="","",INDEX(Knutepunkter!$D:$D,E2778+1))</f>
        <v/>
      </c>
      <c r="L2778" t="str">
        <f t="shared" si="218"/>
        <v/>
      </c>
      <c r="M2778" t="str">
        <f t="shared" si="219"/>
        <v/>
      </c>
    </row>
    <row r="2779" spans="1:13" x14ac:dyDescent="0.3">
      <c r="A2779" t="str">
        <f>Segmenter!A2779</f>
        <v/>
      </c>
      <c r="B2779" t="str">
        <f>Segmenter!B2779</f>
        <v/>
      </c>
      <c r="C2779" t="str">
        <f t="shared" si="215"/>
        <v/>
      </c>
      <c r="D2779" t="str">
        <f t="shared" si="216"/>
        <v/>
      </c>
      <c r="E2779" t="str">
        <f t="shared" si="217"/>
        <v/>
      </c>
      <c r="F2779" t="str">
        <f>IF(D2779="","",INDEX(Knutepunkter!$B:$B,D2779+1))</f>
        <v/>
      </c>
      <c r="G2779" t="str">
        <f>IF(D2779="","",INDEX(Knutepunkter!$C:$C,D2779+1))</f>
        <v/>
      </c>
      <c r="H2779" t="str">
        <f>IF(D2779="","",INDEX(Knutepunkter!$D:$D,D2779+1))</f>
        <v/>
      </c>
      <c r="I2779" t="str">
        <f>IF(E2779="","",INDEX(Knutepunkter!$B:$B,E2779+1))</f>
        <v/>
      </c>
      <c r="J2779" t="str">
        <f>IF(E2779="","",INDEX(Knutepunkter!$C:$C,E2779+1))</f>
        <v/>
      </c>
      <c r="K2779" t="str">
        <f>IF(E2779="","",INDEX(Knutepunkter!$D:$D,E2779+1))</f>
        <v/>
      </c>
      <c r="L2779" t="str">
        <f t="shared" si="218"/>
        <v/>
      </c>
      <c r="M2779" t="str">
        <f t="shared" si="219"/>
        <v/>
      </c>
    </row>
    <row r="2780" spans="1:13" x14ac:dyDescent="0.3">
      <c r="A2780" t="str">
        <f>Segmenter!A2780</f>
        <v/>
      </c>
      <c r="B2780" t="str">
        <f>Segmenter!B2780</f>
        <v/>
      </c>
      <c r="C2780" t="str">
        <f t="shared" si="215"/>
        <v/>
      </c>
      <c r="D2780" t="str">
        <f t="shared" si="216"/>
        <v/>
      </c>
      <c r="E2780" t="str">
        <f t="shared" si="217"/>
        <v/>
      </c>
      <c r="F2780" t="str">
        <f>IF(D2780="","",INDEX(Knutepunkter!$B:$B,D2780+1))</f>
        <v/>
      </c>
      <c r="G2780" t="str">
        <f>IF(D2780="","",INDEX(Knutepunkter!$C:$C,D2780+1))</f>
        <v/>
      </c>
      <c r="H2780" t="str">
        <f>IF(D2780="","",INDEX(Knutepunkter!$D:$D,D2780+1))</f>
        <v/>
      </c>
      <c r="I2780" t="str">
        <f>IF(E2780="","",INDEX(Knutepunkter!$B:$B,E2780+1))</f>
        <v/>
      </c>
      <c r="J2780" t="str">
        <f>IF(E2780="","",INDEX(Knutepunkter!$C:$C,E2780+1))</f>
        <v/>
      </c>
      <c r="K2780" t="str">
        <f>IF(E2780="","",INDEX(Knutepunkter!$D:$D,E2780+1))</f>
        <v/>
      </c>
      <c r="L2780" t="str">
        <f t="shared" si="218"/>
        <v/>
      </c>
      <c r="M2780" t="str">
        <f t="shared" si="219"/>
        <v/>
      </c>
    </row>
    <row r="2781" spans="1:13" x14ac:dyDescent="0.3">
      <c r="A2781" t="str">
        <f>Segmenter!A2781</f>
        <v/>
      </c>
      <c r="B2781" t="str">
        <f>Segmenter!B2781</f>
        <v/>
      </c>
      <c r="C2781" t="str">
        <f t="shared" si="215"/>
        <v/>
      </c>
      <c r="D2781" t="str">
        <f t="shared" si="216"/>
        <v/>
      </c>
      <c r="E2781" t="str">
        <f t="shared" si="217"/>
        <v/>
      </c>
      <c r="F2781" t="str">
        <f>IF(D2781="","",INDEX(Knutepunkter!$B:$B,D2781+1))</f>
        <v/>
      </c>
      <c r="G2781" t="str">
        <f>IF(D2781="","",INDEX(Knutepunkter!$C:$C,D2781+1))</f>
        <v/>
      </c>
      <c r="H2781" t="str">
        <f>IF(D2781="","",INDEX(Knutepunkter!$D:$D,D2781+1))</f>
        <v/>
      </c>
      <c r="I2781" t="str">
        <f>IF(E2781="","",INDEX(Knutepunkter!$B:$B,E2781+1))</f>
        <v/>
      </c>
      <c r="J2781" t="str">
        <f>IF(E2781="","",INDEX(Knutepunkter!$C:$C,E2781+1))</f>
        <v/>
      </c>
      <c r="K2781" t="str">
        <f>IF(E2781="","",INDEX(Knutepunkter!$D:$D,E2781+1))</f>
        <v/>
      </c>
      <c r="L2781" t="str">
        <f t="shared" si="218"/>
        <v/>
      </c>
      <c r="M2781" t="str">
        <f t="shared" si="219"/>
        <v/>
      </c>
    </row>
    <row r="2782" spans="1:13" x14ac:dyDescent="0.3">
      <c r="A2782" t="str">
        <f>Segmenter!A2782</f>
        <v/>
      </c>
      <c r="B2782" t="str">
        <f>Segmenter!B2782</f>
        <v/>
      </c>
      <c r="C2782" t="str">
        <f t="shared" si="215"/>
        <v/>
      </c>
      <c r="D2782" t="str">
        <f t="shared" si="216"/>
        <v/>
      </c>
      <c r="E2782" t="str">
        <f t="shared" si="217"/>
        <v/>
      </c>
      <c r="F2782" t="str">
        <f>IF(D2782="","",INDEX(Knutepunkter!$B:$B,D2782+1))</f>
        <v/>
      </c>
      <c r="G2782" t="str">
        <f>IF(D2782="","",INDEX(Knutepunkter!$C:$C,D2782+1))</f>
        <v/>
      </c>
      <c r="H2782" t="str">
        <f>IF(D2782="","",INDEX(Knutepunkter!$D:$D,D2782+1))</f>
        <v/>
      </c>
      <c r="I2782" t="str">
        <f>IF(E2782="","",INDEX(Knutepunkter!$B:$B,E2782+1))</f>
        <v/>
      </c>
      <c r="J2782" t="str">
        <f>IF(E2782="","",INDEX(Knutepunkter!$C:$C,E2782+1))</f>
        <v/>
      </c>
      <c r="K2782" t="str">
        <f>IF(E2782="","",INDEX(Knutepunkter!$D:$D,E2782+1))</f>
        <v/>
      </c>
      <c r="L2782" t="str">
        <f t="shared" si="218"/>
        <v/>
      </c>
      <c r="M2782" t="str">
        <f t="shared" si="219"/>
        <v/>
      </c>
    </row>
    <row r="2783" spans="1:13" x14ac:dyDescent="0.3">
      <c r="A2783" t="str">
        <f>Segmenter!A2783</f>
        <v/>
      </c>
      <c r="B2783" t="str">
        <f>Segmenter!B2783</f>
        <v/>
      </c>
      <c r="C2783" t="str">
        <f t="shared" si="215"/>
        <v/>
      </c>
      <c r="D2783" t="str">
        <f t="shared" si="216"/>
        <v/>
      </c>
      <c r="E2783" t="str">
        <f t="shared" si="217"/>
        <v/>
      </c>
      <c r="F2783" t="str">
        <f>IF(D2783="","",INDEX(Knutepunkter!$B:$B,D2783+1))</f>
        <v/>
      </c>
      <c r="G2783" t="str">
        <f>IF(D2783="","",INDEX(Knutepunkter!$C:$C,D2783+1))</f>
        <v/>
      </c>
      <c r="H2783" t="str">
        <f>IF(D2783="","",INDEX(Knutepunkter!$D:$D,D2783+1))</f>
        <v/>
      </c>
      <c r="I2783" t="str">
        <f>IF(E2783="","",INDEX(Knutepunkter!$B:$B,E2783+1))</f>
        <v/>
      </c>
      <c r="J2783" t="str">
        <f>IF(E2783="","",INDEX(Knutepunkter!$C:$C,E2783+1))</f>
        <v/>
      </c>
      <c r="K2783" t="str">
        <f>IF(E2783="","",INDEX(Knutepunkter!$D:$D,E2783+1))</f>
        <v/>
      </c>
      <c r="L2783" t="str">
        <f t="shared" si="218"/>
        <v/>
      </c>
      <c r="M2783" t="str">
        <f t="shared" si="219"/>
        <v/>
      </c>
    </row>
    <row r="2784" spans="1:13" x14ac:dyDescent="0.3">
      <c r="A2784" t="str">
        <f>Segmenter!A2784</f>
        <v/>
      </c>
      <c r="B2784" t="str">
        <f>Segmenter!B2784</f>
        <v/>
      </c>
      <c r="C2784" t="str">
        <f t="shared" si="215"/>
        <v/>
      </c>
      <c r="D2784" t="str">
        <f t="shared" si="216"/>
        <v/>
      </c>
      <c r="E2784" t="str">
        <f t="shared" si="217"/>
        <v/>
      </c>
      <c r="F2784" t="str">
        <f>IF(D2784="","",INDEX(Knutepunkter!$B:$B,D2784+1))</f>
        <v/>
      </c>
      <c r="G2784" t="str">
        <f>IF(D2784="","",INDEX(Knutepunkter!$C:$C,D2784+1))</f>
        <v/>
      </c>
      <c r="H2784" t="str">
        <f>IF(D2784="","",INDEX(Knutepunkter!$D:$D,D2784+1))</f>
        <v/>
      </c>
      <c r="I2784" t="str">
        <f>IF(E2784="","",INDEX(Knutepunkter!$B:$B,E2784+1))</f>
        <v/>
      </c>
      <c r="J2784" t="str">
        <f>IF(E2784="","",INDEX(Knutepunkter!$C:$C,E2784+1))</f>
        <v/>
      </c>
      <c r="K2784" t="str">
        <f>IF(E2784="","",INDEX(Knutepunkter!$D:$D,E2784+1))</f>
        <v/>
      </c>
      <c r="L2784" t="str">
        <f t="shared" si="218"/>
        <v/>
      </c>
      <c r="M2784" t="str">
        <f t="shared" si="219"/>
        <v/>
      </c>
    </row>
    <row r="2785" spans="1:13" x14ac:dyDescent="0.3">
      <c r="A2785" t="str">
        <f>Segmenter!A2785</f>
        <v/>
      </c>
      <c r="B2785" t="str">
        <f>Segmenter!B2785</f>
        <v/>
      </c>
      <c r="C2785" t="str">
        <f t="shared" si="215"/>
        <v/>
      </c>
      <c r="D2785" t="str">
        <f t="shared" si="216"/>
        <v/>
      </c>
      <c r="E2785" t="str">
        <f t="shared" si="217"/>
        <v/>
      </c>
      <c r="F2785" t="str">
        <f>IF(D2785="","",INDEX(Knutepunkter!$B:$B,D2785+1))</f>
        <v/>
      </c>
      <c r="G2785" t="str">
        <f>IF(D2785="","",INDEX(Knutepunkter!$C:$C,D2785+1))</f>
        <v/>
      </c>
      <c r="H2785" t="str">
        <f>IF(D2785="","",INDEX(Knutepunkter!$D:$D,D2785+1))</f>
        <v/>
      </c>
      <c r="I2785" t="str">
        <f>IF(E2785="","",INDEX(Knutepunkter!$B:$B,E2785+1))</f>
        <v/>
      </c>
      <c r="J2785" t="str">
        <f>IF(E2785="","",INDEX(Knutepunkter!$C:$C,E2785+1))</f>
        <v/>
      </c>
      <c r="K2785" t="str">
        <f>IF(E2785="","",INDEX(Knutepunkter!$D:$D,E2785+1))</f>
        <v/>
      </c>
      <c r="L2785" t="str">
        <f t="shared" si="218"/>
        <v/>
      </c>
      <c r="M2785" t="str">
        <f t="shared" si="219"/>
        <v/>
      </c>
    </row>
    <row r="2786" spans="1:13" x14ac:dyDescent="0.3">
      <c r="A2786" t="str">
        <f>Segmenter!A2786</f>
        <v/>
      </c>
      <c r="B2786" t="str">
        <f>Segmenter!B2786</f>
        <v/>
      </c>
      <c r="C2786" t="str">
        <f t="shared" si="215"/>
        <v/>
      </c>
      <c r="D2786" t="str">
        <f t="shared" si="216"/>
        <v/>
      </c>
      <c r="E2786" t="str">
        <f t="shared" si="217"/>
        <v/>
      </c>
      <c r="F2786" t="str">
        <f>IF(D2786="","",INDEX(Knutepunkter!$B:$B,D2786+1))</f>
        <v/>
      </c>
      <c r="G2786" t="str">
        <f>IF(D2786="","",INDEX(Knutepunkter!$C:$C,D2786+1))</f>
        <v/>
      </c>
      <c r="H2786" t="str">
        <f>IF(D2786="","",INDEX(Knutepunkter!$D:$D,D2786+1))</f>
        <v/>
      </c>
      <c r="I2786" t="str">
        <f>IF(E2786="","",INDEX(Knutepunkter!$B:$B,E2786+1))</f>
        <v/>
      </c>
      <c r="J2786" t="str">
        <f>IF(E2786="","",INDEX(Knutepunkter!$C:$C,E2786+1))</f>
        <v/>
      </c>
      <c r="K2786" t="str">
        <f>IF(E2786="","",INDEX(Knutepunkter!$D:$D,E2786+1))</f>
        <v/>
      </c>
      <c r="L2786" t="str">
        <f t="shared" si="218"/>
        <v/>
      </c>
      <c r="M2786" t="str">
        <f t="shared" si="219"/>
        <v/>
      </c>
    </row>
    <row r="2787" spans="1:13" x14ac:dyDescent="0.3">
      <c r="A2787" t="str">
        <f>Segmenter!A2787</f>
        <v/>
      </c>
      <c r="B2787" t="str">
        <f>Segmenter!B2787</f>
        <v/>
      </c>
      <c r="C2787" t="str">
        <f t="shared" si="215"/>
        <v/>
      </c>
      <c r="D2787" t="str">
        <f t="shared" si="216"/>
        <v/>
      </c>
      <c r="E2787" t="str">
        <f t="shared" si="217"/>
        <v/>
      </c>
      <c r="F2787" t="str">
        <f>IF(D2787="","",INDEX(Knutepunkter!$B:$B,D2787+1))</f>
        <v/>
      </c>
      <c r="G2787" t="str">
        <f>IF(D2787="","",INDEX(Knutepunkter!$C:$C,D2787+1))</f>
        <v/>
      </c>
      <c r="H2787" t="str">
        <f>IF(D2787="","",INDEX(Knutepunkter!$D:$D,D2787+1))</f>
        <v/>
      </c>
      <c r="I2787" t="str">
        <f>IF(E2787="","",INDEX(Knutepunkter!$B:$B,E2787+1))</f>
        <v/>
      </c>
      <c r="J2787" t="str">
        <f>IF(E2787="","",INDEX(Knutepunkter!$C:$C,E2787+1))</f>
        <v/>
      </c>
      <c r="K2787" t="str">
        <f>IF(E2787="","",INDEX(Knutepunkter!$D:$D,E2787+1))</f>
        <v/>
      </c>
      <c r="L2787" t="str">
        <f t="shared" si="218"/>
        <v/>
      </c>
      <c r="M2787" t="str">
        <f t="shared" si="219"/>
        <v/>
      </c>
    </row>
    <row r="2788" spans="1:13" x14ac:dyDescent="0.3">
      <c r="A2788" t="str">
        <f>Segmenter!A2788</f>
        <v/>
      </c>
      <c r="B2788" t="str">
        <f>Segmenter!B2788</f>
        <v/>
      </c>
      <c r="C2788" t="str">
        <f t="shared" si="215"/>
        <v/>
      </c>
      <c r="D2788" t="str">
        <f t="shared" si="216"/>
        <v/>
      </c>
      <c r="E2788" t="str">
        <f t="shared" si="217"/>
        <v/>
      </c>
      <c r="F2788" t="str">
        <f>IF(D2788="","",INDEX(Knutepunkter!$B:$B,D2788+1))</f>
        <v/>
      </c>
      <c r="G2788" t="str">
        <f>IF(D2788="","",INDEX(Knutepunkter!$C:$C,D2788+1))</f>
        <v/>
      </c>
      <c r="H2788" t="str">
        <f>IF(D2788="","",INDEX(Knutepunkter!$D:$D,D2788+1))</f>
        <v/>
      </c>
      <c r="I2788" t="str">
        <f>IF(E2788="","",INDEX(Knutepunkter!$B:$B,E2788+1))</f>
        <v/>
      </c>
      <c r="J2788" t="str">
        <f>IF(E2788="","",INDEX(Knutepunkter!$C:$C,E2788+1))</f>
        <v/>
      </c>
      <c r="K2788" t="str">
        <f>IF(E2788="","",INDEX(Knutepunkter!$D:$D,E2788+1))</f>
        <v/>
      </c>
      <c r="L2788" t="str">
        <f t="shared" si="218"/>
        <v/>
      </c>
      <c r="M2788" t="str">
        <f t="shared" si="219"/>
        <v/>
      </c>
    </row>
    <row r="2789" spans="1:13" x14ac:dyDescent="0.3">
      <c r="A2789" t="str">
        <f>Segmenter!A2789</f>
        <v/>
      </c>
      <c r="B2789" t="str">
        <f>Segmenter!B2789</f>
        <v/>
      </c>
      <c r="C2789" t="str">
        <f t="shared" si="215"/>
        <v/>
      </c>
      <c r="D2789" t="str">
        <f t="shared" si="216"/>
        <v/>
      </c>
      <c r="E2789" t="str">
        <f t="shared" si="217"/>
        <v/>
      </c>
      <c r="F2789" t="str">
        <f>IF(D2789="","",INDEX(Knutepunkter!$B:$B,D2789+1))</f>
        <v/>
      </c>
      <c r="G2789" t="str">
        <f>IF(D2789="","",INDEX(Knutepunkter!$C:$C,D2789+1))</f>
        <v/>
      </c>
      <c r="H2789" t="str">
        <f>IF(D2789="","",INDEX(Knutepunkter!$D:$D,D2789+1))</f>
        <v/>
      </c>
      <c r="I2789" t="str">
        <f>IF(E2789="","",INDEX(Knutepunkter!$B:$B,E2789+1))</f>
        <v/>
      </c>
      <c r="J2789" t="str">
        <f>IF(E2789="","",INDEX(Knutepunkter!$C:$C,E2789+1))</f>
        <v/>
      </c>
      <c r="K2789" t="str">
        <f>IF(E2789="","",INDEX(Knutepunkter!$D:$D,E2789+1))</f>
        <v/>
      </c>
      <c r="L2789" t="str">
        <f t="shared" si="218"/>
        <v/>
      </c>
      <c r="M2789" t="str">
        <f t="shared" si="219"/>
        <v/>
      </c>
    </row>
    <row r="2790" spans="1:13" x14ac:dyDescent="0.3">
      <c r="A2790" t="str">
        <f>Segmenter!A2790</f>
        <v/>
      </c>
      <c r="B2790" t="str">
        <f>Segmenter!B2790</f>
        <v/>
      </c>
      <c r="C2790" t="str">
        <f t="shared" si="215"/>
        <v/>
      </c>
      <c r="D2790" t="str">
        <f t="shared" si="216"/>
        <v/>
      </c>
      <c r="E2790" t="str">
        <f t="shared" si="217"/>
        <v/>
      </c>
      <c r="F2790" t="str">
        <f>IF(D2790="","",INDEX(Knutepunkter!$B:$B,D2790+1))</f>
        <v/>
      </c>
      <c r="G2790" t="str">
        <f>IF(D2790="","",INDEX(Knutepunkter!$C:$C,D2790+1))</f>
        <v/>
      </c>
      <c r="H2790" t="str">
        <f>IF(D2790="","",INDEX(Knutepunkter!$D:$D,D2790+1))</f>
        <v/>
      </c>
      <c r="I2790" t="str">
        <f>IF(E2790="","",INDEX(Knutepunkter!$B:$B,E2790+1))</f>
        <v/>
      </c>
      <c r="J2790" t="str">
        <f>IF(E2790="","",INDEX(Knutepunkter!$C:$C,E2790+1))</f>
        <v/>
      </c>
      <c r="K2790" t="str">
        <f>IF(E2790="","",INDEX(Knutepunkter!$D:$D,E2790+1))</f>
        <v/>
      </c>
      <c r="L2790" t="str">
        <f t="shared" si="218"/>
        <v/>
      </c>
      <c r="M2790" t="str">
        <f t="shared" si="219"/>
        <v/>
      </c>
    </row>
    <row r="2791" spans="1:13" x14ac:dyDescent="0.3">
      <c r="A2791" t="str">
        <f>Segmenter!A2791</f>
        <v/>
      </c>
      <c r="B2791" t="str">
        <f>Segmenter!B2791</f>
        <v/>
      </c>
      <c r="C2791" t="str">
        <f t="shared" si="215"/>
        <v/>
      </c>
      <c r="D2791" t="str">
        <f t="shared" si="216"/>
        <v/>
      </c>
      <c r="E2791" t="str">
        <f t="shared" si="217"/>
        <v/>
      </c>
      <c r="F2791" t="str">
        <f>IF(D2791="","",INDEX(Knutepunkter!$B:$B,D2791+1))</f>
        <v/>
      </c>
      <c r="G2791" t="str">
        <f>IF(D2791="","",INDEX(Knutepunkter!$C:$C,D2791+1))</f>
        <v/>
      </c>
      <c r="H2791" t="str">
        <f>IF(D2791="","",INDEX(Knutepunkter!$D:$D,D2791+1))</f>
        <v/>
      </c>
      <c r="I2791" t="str">
        <f>IF(E2791="","",INDEX(Knutepunkter!$B:$B,E2791+1))</f>
        <v/>
      </c>
      <c r="J2791" t="str">
        <f>IF(E2791="","",INDEX(Knutepunkter!$C:$C,E2791+1))</f>
        <v/>
      </c>
      <c r="K2791" t="str">
        <f>IF(E2791="","",INDEX(Knutepunkter!$D:$D,E2791+1))</f>
        <v/>
      </c>
      <c r="L2791" t="str">
        <f t="shared" si="218"/>
        <v/>
      </c>
      <c r="M2791" t="str">
        <f t="shared" si="219"/>
        <v/>
      </c>
    </row>
    <row r="2792" spans="1:13" x14ac:dyDescent="0.3">
      <c r="A2792" t="str">
        <f>Segmenter!A2792</f>
        <v/>
      </c>
      <c r="B2792" t="str">
        <f>Segmenter!B2792</f>
        <v/>
      </c>
      <c r="C2792" t="str">
        <f t="shared" si="215"/>
        <v/>
      </c>
      <c r="D2792" t="str">
        <f t="shared" si="216"/>
        <v/>
      </c>
      <c r="E2792" t="str">
        <f t="shared" si="217"/>
        <v/>
      </c>
      <c r="F2792" t="str">
        <f>IF(D2792="","",INDEX(Knutepunkter!$B:$B,D2792+1))</f>
        <v/>
      </c>
      <c r="G2792" t="str">
        <f>IF(D2792="","",INDEX(Knutepunkter!$C:$C,D2792+1))</f>
        <v/>
      </c>
      <c r="H2792" t="str">
        <f>IF(D2792="","",INDEX(Knutepunkter!$D:$D,D2792+1))</f>
        <v/>
      </c>
      <c r="I2792" t="str">
        <f>IF(E2792="","",INDEX(Knutepunkter!$B:$B,E2792+1))</f>
        <v/>
      </c>
      <c r="J2792" t="str">
        <f>IF(E2792="","",INDEX(Knutepunkter!$C:$C,E2792+1))</f>
        <v/>
      </c>
      <c r="K2792" t="str">
        <f>IF(E2792="","",INDEX(Knutepunkter!$D:$D,E2792+1))</f>
        <v/>
      </c>
      <c r="L2792" t="str">
        <f t="shared" si="218"/>
        <v/>
      </c>
      <c r="M2792" t="str">
        <f t="shared" si="219"/>
        <v/>
      </c>
    </row>
    <row r="2793" spans="1:13" x14ac:dyDescent="0.3">
      <c r="A2793" t="str">
        <f>Segmenter!A2793</f>
        <v/>
      </c>
      <c r="B2793" t="str">
        <f>Segmenter!B2793</f>
        <v/>
      </c>
      <c r="C2793" t="str">
        <f t="shared" si="215"/>
        <v/>
      </c>
      <c r="D2793" t="str">
        <f t="shared" si="216"/>
        <v/>
      </c>
      <c r="E2793" t="str">
        <f t="shared" si="217"/>
        <v/>
      </c>
      <c r="F2793" t="str">
        <f>IF(D2793="","",INDEX(Knutepunkter!$B:$B,D2793+1))</f>
        <v/>
      </c>
      <c r="G2793" t="str">
        <f>IF(D2793="","",INDEX(Knutepunkter!$C:$C,D2793+1))</f>
        <v/>
      </c>
      <c r="H2793" t="str">
        <f>IF(D2793="","",INDEX(Knutepunkter!$D:$D,D2793+1))</f>
        <v/>
      </c>
      <c r="I2793" t="str">
        <f>IF(E2793="","",INDEX(Knutepunkter!$B:$B,E2793+1))</f>
        <v/>
      </c>
      <c r="J2793" t="str">
        <f>IF(E2793="","",INDEX(Knutepunkter!$C:$C,E2793+1))</f>
        <v/>
      </c>
      <c r="K2793" t="str">
        <f>IF(E2793="","",INDEX(Knutepunkter!$D:$D,E2793+1))</f>
        <v/>
      </c>
      <c r="L2793" t="str">
        <f t="shared" si="218"/>
        <v/>
      </c>
      <c r="M2793" t="str">
        <f t="shared" si="219"/>
        <v/>
      </c>
    </row>
    <row r="2794" spans="1:13" x14ac:dyDescent="0.3">
      <c r="A2794" t="str">
        <f>Segmenter!A2794</f>
        <v/>
      </c>
      <c r="B2794" t="str">
        <f>Segmenter!B2794</f>
        <v/>
      </c>
      <c r="C2794" t="str">
        <f t="shared" si="215"/>
        <v/>
      </c>
      <c r="D2794" t="str">
        <f t="shared" si="216"/>
        <v/>
      </c>
      <c r="E2794" t="str">
        <f t="shared" si="217"/>
        <v/>
      </c>
      <c r="F2794" t="str">
        <f>IF(D2794="","",INDEX(Knutepunkter!$B:$B,D2794+1))</f>
        <v/>
      </c>
      <c r="G2794" t="str">
        <f>IF(D2794="","",INDEX(Knutepunkter!$C:$C,D2794+1))</f>
        <v/>
      </c>
      <c r="H2794" t="str">
        <f>IF(D2794="","",INDEX(Knutepunkter!$D:$D,D2794+1))</f>
        <v/>
      </c>
      <c r="I2794" t="str">
        <f>IF(E2794="","",INDEX(Knutepunkter!$B:$B,E2794+1))</f>
        <v/>
      </c>
      <c r="J2794" t="str">
        <f>IF(E2794="","",INDEX(Knutepunkter!$C:$C,E2794+1))</f>
        <v/>
      </c>
      <c r="K2794" t="str">
        <f>IF(E2794="","",INDEX(Knutepunkter!$D:$D,E2794+1))</f>
        <v/>
      </c>
      <c r="L2794" t="str">
        <f t="shared" si="218"/>
        <v/>
      </c>
      <c r="M2794" t="str">
        <f t="shared" si="219"/>
        <v/>
      </c>
    </row>
    <row r="2795" spans="1:13" x14ac:dyDescent="0.3">
      <c r="A2795" t="str">
        <f>Segmenter!A2795</f>
        <v/>
      </c>
      <c r="B2795" t="str">
        <f>Segmenter!B2795</f>
        <v/>
      </c>
      <c r="C2795" t="str">
        <f t="shared" si="215"/>
        <v/>
      </c>
      <c r="D2795" t="str">
        <f t="shared" si="216"/>
        <v/>
      </c>
      <c r="E2795" t="str">
        <f t="shared" si="217"/>
        <v/>
      </c>
      <c r="F2795" t="str">
        <f>IF(D2795="","",INDEX(Knutepunkter!$B:$B,D2795+1))</f>
        <v/>
      </c>
      <c r="G2795" t="str">
        <f>IF(D2795="","",INDEX(Knutepunkter!$C:$C,D2795+1))</f>
        <v/>
      </c>
      <c r="H2795" t="str">
        <f>IF(D2795="","",INDEX(Knutepunkter!$D:$D,D2795+1))</f>
        <v/>
      </c>
      <c r="I2795" t="str">
        <f>IF(E2795="","",INDEX(Knutepunkter!$B:$B,E2795+1))</f>
        <v/>
      </c>
      <c r="J2795" t="str">
        <f>IF(E2795="","",INDEX(Knutepunkter!$C:$C,E2795+1))</f>
        <v/>
      </c>
      <c r="K2795" t="str">
        <f>IF(E2795="","",INDEX(Knutepunkter!$D:$D,E2795+1))</f>
        <v/>
      </c>
      <c r="L2795" t="str">
        <f t="shared" si="218"/>
        <v/>
      </c>
      <c r="M2795" t="str">
        <f t="shared" si="219"/>
        <v/>
      </c>
    </row>
    <row r="2796" spans="1:13" x14ac:dyDescent="0.3">
      <c r="A2796" t="str">
        <f>Segmenter!A2796</f>
        <v/>
      </c>
      <c r="B2796" t="str">
        <f>Segmenter!B2796</f>
        <v/>
      </c>
      <c r="C2796" t="str">
        <f t="shared" si="215"/>
        <v/>
      </c>
      <c r="D2796" t="str">
        <f t="shared" si="216"/>
        <v/>
      </c>
      <c r="E2796" t="str">
        <f t="shared" si="217"/>
        <v/>
      </c>
      <c r="F2796" t="str">
        <f>IF(D2796="","",INDEX(Knutepunkter!$B:$B,D2796+1))</f>
        <v/>
      </c>
      <c r="G2796" t="str">
        <f>IF(D2796="","",INDEX(Knutepunkter!$C:$C,D2796+1))</f>
        <v/>
      </c>
      <c r="H2796" t="str">
        <f>IF(D2796="","",INDEX(Knutepunkter!$D:$D,D2796+1))</f>
        <v/>
      </c>
      <c r="I2796" t="str">
        <f>IF(E2796="","",INDEX(Knutepunkter!$B:$B,E2796+1))</f>
        <v/>
      </c>
      <c r="J2796" t="str">
        <f>IF(E2796="","",INDEX(Knutepunkter!$C:$C,E2796+1))</f>
        <v/>
      </c>
      <c r="K2796" t="str">
        <f>IF(E2796="","",INDEX(Knutepunkter!$D:$D,E2796+1))</f>
        <v/>
      </c>
      <c r="L2796" t="str">
        <f t="shared" si="218"/>
        <v/>
      </c>
      <c r="M2796" t="str">
        <f t="shared" si="219"/>
        <v/>
      </c>
    </row>
    <row r="2797" spans="1:13" x14ac:dyDescent="0.3">
      <c r="A2797" t="str">
        <f>Segmenter!A2797</f>
        <v/>
      </c>
      <c r="B2797" t="str">
        <f>Segmenter!B2797</f>
        <v/>
      </c>
      <c r="C2797" t="str">
        <f t="shared" si="215"/>
        <v/>
      </c>
      <c r="D2797" t="str">
        <f t="shared" si="216"/>
        <v/>
      </c>
      <c r="E2797" t="str">
        <f t="shared" si="217"/>
        <v/>
      </c>
      <c r="F2797" t="str">
        <f>IF(D2797="","",INDEX(Knutepunkter!$B:$B,D2797+1))</f>
        <v/>
      </c>
      <c r="G2797" t="str">
        <f>IF(D2797="","",INDEX(Knutepunkter!$C:$C,D2797+1))</f>
        <v/>
      </c>
      <c r="H2797" t="str">
        <f>IF(D2797="","",INDEX(Knutepunkter!$D:$D,D2797+1))</f>
        <v/>
      </c>
      <c r="I2797" t="str">
        <f>IF(E2797="","",INDEX(Knutepunkter!$B:$B,E2797+1))</f>
        <v/>
      </c>
      <c r="J2797" t="str">
        <f>IF(E2797="","",INDEX(Knutepunkter!$C:$C,E2797+1))</f>
        <v/>
      </c>
      <c r="K2797" t="str">
        <f>IF(E2797="","",INDEX(Knutepunkter!$D:$D,E2797+1))</f>
        <v/>
      </c>
      <c r="L2797" t="str">
        <f t="shared" si="218"/>
        <v/>
      </c>
      <c r="M2797" t="str">
        <f t="shared" si="219"/>
        <v/>
      </c>
    </row>
    <row r="2798" spans="1:13" x14ac:dyDescent="0.3">
      <c r="A2798" t="str">
        <f>Segmenter!A2798</f>
        <v/>
      </c>
      <c r="B2798" t="str">
        <f>Segmenter!B2798</f>
        <v/>
      </c>
      <c r="C2798" t="str">
        <f t="shared" si="215"/>
        <v/>
      </c>
      <c r="D2798" t="str">
        <f t="shared" si="216"/>
        <v/>
      </c>
      <c r="E2798" t="str">
        <f t="shared" si="217"/>
        <v/>
      </c>
      <c r="F2798" t="str">
        <f>IF(D2798="","",INDEX(Knutepunkter!$B:$B,D2798+1))</f>
        <v/>
      </c>
      <c r="G2798" t="str">
        <f>IF(D2798="","",INDEX(Knutepunkter!$C:$C,D2798+1))</f>
        <v/>
      </c>
      <c r="H2798" t="str">
        <f>IF(D2798="","",INDEX(Knutepunkter!$D:$D,D2798+1))</f>
        <v/>
      </c>
      <c r="I2798" t="str">
        <f>IF(E2798="","",INDEX(Knutepunkter!$B:$B,E2798+1))</f>
        <v/>
      </c>
      <c r="J2798" t="str">
        <f>IF(E2798="","",INDEX(Knutepunkter!$C:$C,E2798+1))</f>
        <v/>
      </c>
      <c r="K2798" t="str">
        <f>IF(E2798="","",INDEX(Knutepunkter!$D:$D,E2798+1))</f>
        <v/>
      </c>
      <c r="L2798" t="str">
        <f t="shared" si="218"/>
        <v/>
      </c>
      <c r="M2798" t="str">
        <f t="shared" si="219"/>
        <v/>
      </c>
    </row>
    <row r="2799" spans="1:13" x14ac:dyDescent="0.3">
      <c r="A2799" t="str">
        <f>Segmenter!A2799</f>
        <v/>
      </c>
      <c r="B2799" t="str">
        <f>Segmenter!B2799</f>
        <v/>
      </c>
      <c r="C2799" t="str">
        <f t="shared" si="215"/>
        <v/>
      </c>
      <c r="D2799" t="str">
        <f t="shared" si="216"/>
        <v/>
      </c>
      <c r="E2799" t="str">
        <f t="shared" si="217"/>
        <v/>
      </c>
      <c r="F2799" t="str">
        <f>IF(D2799="","",INDEX(Knutepunkter!$B:$B,D2799+1))</f>
        <v/>
      </c>
      <c r="G2799" t="str">
        <f>IF(D2799="","",INDEX(Knutepunkter!$C:$C,D2799+1))</f>
        <v/>
      </c>
      <c r="H2799" t="str">
        <f>IF(D2799="","",INDEX(Knutepunkter!$D:$D,D2799+1))</f>
        <v/>
      </c>
      <c r="I2799" t="str">
        <f>IF(E2799="","",INDEX(Knutepunkter!$B:$B,E2799+1))</f>
        <v/>
      </c>
      <c r="J2799" t="str">
        <f>IF(E2799="","",INDEX(Knutepunkter!$C:$C,E2799+1))</f>
        <v/>
      </c>
      <c r="K2799" t="str">
        <f>IF(E2799="","",INDEX(Knutepunkter!$D:$D,E2799+1))</f>
        <v/>
      </c>
      <c r="L2799" t="str">
        <f t="shared" si="218"/>
        <v/>
      </c>
      <c r="M2799" t="str">
        <f t="shared" si="219"/>
        <v/>
      </c>
    </row>
    <row r="2800" spans="1:13" x14ac:dyDescent="0.3">
      <c r="A2800" t="str">
        <f>Segmenter!A2800</f>
        <v/>
      </c>
      <c r="B2800" t="str">
        <f>Segmenter!B2800</f>
        <v/>
      </c>
      <c r="C2800" t="str">
        <f t="shared" si="215"/>
        <v/>
      </c>
      <c r="D2800" t="str">
        <f t="shared" si="216"/>
        <v/>
      </c>
      <c r="E2800" t="str">
        <f t="shared" si="217"/>
        <v/>
      </c>
      <c r="F2800" t="str">
        <f>IF(D2800="","",INDEX(Knutepunkter!$B:$B,D2800+1))</f>
        <v/>
      </c>
      <c r="G2800" t="str">
        <f>IF(D2800="","",INDEX(Knutepunkter!$C:$C,D2800+1))</f>
        <v/>
      </c>
      <c r="H2800" t="str">
        <f>IF(D2800="","",INDEX(Knutepunkter!$D:$D,D2800+1))</f>
        <v/>
      </c>
      <c r="I2800" t="str">
        <f>IF(E2800="","",INDEX(Knutepunkter!$B:$B,E2800+1))</f>
        <v/>
      </c>
      <c r="J2800" t="str">
        <f>IF(E2800="","",INDEX(Knutepunkter!$C:$C,E2800+1))</f>
        <v/>
      </c>
      <c r="K2800" t="str">
        <f>IF(E2800="","",INDEX(Knutepunkter!$D:$D,E2800+1))</f>
        <v/>
      </c>
      <c r="L2800" t="str">
        <f t="shared" si="218"/>
        <v/>
      </c>
      <c r="M2800" t="str">
        <f t="shared" si="219"/>
        <v/>
      </c>
    </row>
    <row r="2801" spans="1:13" x14ac:dyDescent="0.3">
      <c r="A2801" t="str">
        <f>Segmenter!A2801</f>
        <v/>
      </c>
      <c r="B2801" t="str">
        <f>Segmenter!B2801</f>
        <v/>
      </c>
      <c r="C2801" t="str">
        <f t="shared" si="215"/>
        <v/>
      </c>
      <c r="D2801" t="str">
        <f t="shared" si="216"/>
        <v/>
      </c>
      <c r="E2801" t="str">
        <f t="shared" si="217"/>
        <v/>
      </c>
      <c r="F2801" t="str">
        <f>IF(D2801="","",INDEX(Knutepunkter!$B:$B,D2801+1))</f>
        <v/>
      </c>
      <c r="G2801" t="str">
        <f>IF(D2801="","",INDEX(Knutepunkter!$C:$C,D2801+1))</f>
        <v/>
      </c>
      <c r="H2801" t="str">
        <f>IF(D2801="","",INDEX(Knutepunkter!$D:$D,D2801+1))</f>
        <v/>
      </c>
      <c r="I2801" t="str">
        <f>IF(E2801="","",INDEX(Knutepunkter!$B:$B,E2801+1))</f>
        <v/>
      </c>
      <c r="J2801" t="str">
        <f>IF(E2801="","",INDEX(Knutepunkter!$C:$C,E2801+1))</f>
        <v/>
      </c>
      <c r="K2801" t="str">
        <f>IF(E2801="","",INDEX(Knutepunkter!$D:$D,E2801+1))</f>
        <v/>
      </c>
      <c r="L2801" t="str">
        <f t="shared" si="218"/>
        <v/>
      </c>
      <c r="M2801" t="str">
        <f t="shared" si="219"/>
        <v/>
      </c>
    </row>
    <row r="2802" spans="1:13" x14ac:dyDescent="0.3">
      <c r="A2802" t="str">
        <f>Segmenter!A2802</f>
        <v/>
      </c>
      <c r="B2802" t="str">
        <f>Segmenter!B2802</f>
        <v/>
      </c>
      <c r="C2802" t="str">
        <f t="shared" si="215"/>
        <v/>
      </c>
      <c r="D2802" t="str">
        <f t="shared" si="216"/>
        <v/>
      </c>
      <c r="E2802" t="str">
        <f t="shared" si="217"/>
        <v/>
      </c>
      <c r="F2802" t="str">
        <f>IF(D2802="","",INDEX(Knutepunkter!$B:$B,D2802+1))</f>
        <v/>
      </c>
      <c r="G2802" t="str">
        <f>IF(D2802="","",INDEX(Knutepunkter!$C:$C,D2802+1))</f>
        <v/>
      </c>
      <c r="H2802" t="str">
        <f>IF(D2802="","",INDEX(Knutepunkter!$D:$D,D2802+1))</f>
        <v/>
      </c>
      <c r="I2802" t="str">
        <f>IF(E2802="","",INDEX(Knutepunkter!$B:$B,E2802+1))</f>
        <v/>
      </c>
      <c r="J2802" t="str">
        <f>IF(E2802="","",INDEX(Knutepunkter!$C:$C,E2802+1))</f>
        <v/>
      </c>
      <c r="K2802" t="str">
        <f>IF(E2802="","",INDEX(Knutepunkter!$D:$D,E2802+1))</f>
        <v/>
      </c>
      <c r="L2802" t="str">
        <f t="shared" si="218"/>
        <v/>
      </c>
      <c r="M2802" t="str">
        <f t="shared" si="219"/>
        <v/>
      </c>
    </row>
    <row r="2803" spans="1:13" x14ac:dyDescent="0.3">
      <c r="A2803" t="str">
        <f>Segmenter!A2803</f>
        <v/>
      </c>
      <c r="B2803" t="str">
        <f>Segmenter!B2803</f>
        <v/>
      </c>
      <c r="C2803" t="str">
        <f t="shared" si="215"/>
        <v/>
      </c>
      <c r="D2803" t="str">
        <f t="shared" si="216"/>
        <v/>
      </c>
      <c r="E2803" t="str">
        <f t="shared" si="217"/>
        <v/>
      </c>
      <c r="F2803" t="str">
        <f>IF(D2803="","",INDEX(Knutepunkter!$B:$B,D2803+1))</f>
        <v/>
      </c>
      <c r="G2803" t="str">
        <f>IF(D2803="","",INDEX(Knutepunkter!$C:$C,D2803+1))</f>
        <v/>
      </c>
      <c r="H2803" t="str">
        <f>IF(D2803="","",INDEX(Knutepunkter!$D:$D,D2803+1))</f>
        <v/>
      </c>
      <c r="I2803" t="str">
        <f>IF(E2803="","",INDEX(Knutepunkter!$B:$B,E2803+1))</f>
        <v/>
      </c>
      <c r="J2803" t="str">
        <f>IF(E2803="","",INDEX(Knutepunkter!$C:$C,E2803+1))</f>
        <v/>
      </c>
      <c r="K2803" t="str">
        <f>IF(E2803="","",INDEX(Knutepunkter!$D:$D,E2803+1))</f>
        <v/>
      </c>
      <c r="L2803" t="str">
        <f t="shared" si="218"/>
        <v/>
      </c>
      <c r="M2803" t="str">
        <f t="shared" si="219"/>
        <v/>
      </c>
    </row>
    <row r="2804" spans="1:13" x14ac:dyDescent="0.3">
      <c r="A2804" t="str">
        <f>Segmenter!A2804</f>
        <v/>
      </c>
      <c r="B2804" t="str">
        <f>Segmenter!B2804</f>
        <v/>
      </c>
      <c r="C2804" t="str">
        <f t="shared" si="215"/>
        <v/>
      </c>
      <c r="D2804" t="str">
        <f t="shared" si="216"/>
        <v/>
      </c>
      <c r="E2804" t="str">
        <f t="shared" si="217"/>
        <v/>
      </c>
      <c r="F2804" t="str">
        <f>IF(D2804="","",INDEX(Knutepunkter!$B:$B,D2804+1))</f>
        <v/>
      </c>
      <c r="G2804" t="str">
        <f>IF(D2804="","",INDEX(Knutepunkter!$C:$C,D2804+1))</f>
        <v/>
      </c>
      <c r="H2804" t="str">
        <f>IF(D2804="","",INDEX(Knutepunkter!$D:$D,D2804+1))</f>
        <v/>
      </c>
      <c r="I2804" t="str">
        <f>IF(E2804="","",INDEX(Knutepunkter!$B:$B,E2804+1))</f>
        <v/>
      </c>
      <c r="J2804" t="str">
        <f>IF(E2804="","",INDEX(Knutepunkter!$C:$C,E2804+1))</f>
        <v/>
      </c>
      <c r="K2804" t="str">
        <f>IF(E2804="","",INDEX(Knutepunkter!$D:$D,E2804+1))</f>
        <v/>
      </c>
      <c r="L2804" t="str">
        <f t="shared" si="218"/>
        <v/>
      </c>
      <c r="M2804" t="str">
        <f t="shared" si="219"/>
        <v/>
      </c>
    </row>
    <row r="2805" spans="1:13" x14ac:dyDescent="0.3">
      <c r="A2805" t="str">
        <f>Segmenter!A2805</f>
        <v/>
      </c>
      <c r="B2805" t="str">
        <f>Segmenter!B2805</f>
        <v/>
      </c>
      <c r="C2805" t="str">
        <f t="shared" si="215"/>
        <v/>
      </c>
      <c r="D2805" t="str">
        <f t="shared" si="216"/>
        <v/>
      </c>
      <c r="E2805" t="str">
        <f t="shared" si="217"/>
        <v/>
      </c>
      <c r="F2805" t="str">
        <f>IF(D2805="","",INDEX(Knutepunkter!$B:$B,D2805+1))</f>
        <v/>
      </c>
      <c r="G2805" t="str">
        <f>IF(D2805="","",INDEX(Knutepunkter!$C:$C,D2805+1))</f>
        <v/>
      </c>
      <c r="H2805" t="str">
        <f>IF(D2805="","",INDEX(Knutepunkter!$D:$D,D2805+1))</f>
        <v/>
      </c>
      <c r="I2805" t="str">
        <f>IF(E2805="","",INDEX(Knutepunkter!$B:$B,E2805+1))</f>
        <v/>
      </c>
      <c r="J2805" t="str">
        <f>IF(E2805="","",INDEX(Knutepunkter!$C:$C,E2805+1))</f>
        <v/>
      </c>
      <c r="K2805" t="str">
        <f>IF(E2805="","",INDEX(Knutepunkter!$D:$D,E2805+1))</f>
        <v/>
      </c>
      <c r="L2805" t="str">
        <f t="shared" si="218"/>
        <v/>
      </c>
      <c r="M2805" t="str">
        <f t="shared" si="219"/>
        <v/>
      </c>
    </row>
    <row r="2806" spans="1:13" x14ac:dyDescent="0.3">
      <c r="A2806" t="str">
        <f>Segmenter!A2806</f>
        <v/>
      </c>
      <c r="B2806" t="str">
        <f>Segmenter!B2806</f>
        <v/>
      </c>
      <c r="C2806" t="str">
        <f t="shared" si="215"/>
        <v/>
      </c>
      <c r="D2806" t="str">
        <f t="shared" si="216"/>
        <v/>
      </c>
      <c r="E2806" t="str">
        <f t="shared" si="217"/>
        <v/>
      </c>
      <c r="F2806" t="str">
        <f>IF(D2806="","",INDEX(Knutepunkter!$B:$B,D2806+1))</f>
        <v/>
      </c>
      <c r="G2806" t="str">
        <f>IF(D2806="","",INDEX(Knutepunkter!$C:$C,D2806+1))</f>
        <v/>
      </c>
      <c r="H2806" t="str">
        <f>IF(D2806="","",INDEX(Knutepunkter!$D:$D,D2806+1))</f>
        <v/>
      </c>
      <c r="I2806" t="str">
        <f>IF(E2806="","",INDEX(Knutepunkter!$B:$B,E2806+1))</f>
        <v/>
      </c>
      <c r="J2806" t="str">
        <f>IF(E2806="","",INDEX(Knutepunkter!$C:$C,E2806+1))</f>
        <v/>
      </c>
      <c r="K2806" t="str">
        <f>IF(E2806="","",INDEX(Knutepunkter!$D:$D,E2806+1))</f>
        <v/>
      </c>
      <c r="L2806" t="str">
        <f t="shared" si="218"/>
        <v/>
      </c>
      <c r="M2806" t="str">
        <f t="shared" si="219"/>
        <v/>
      </c>
    </row>
    <row r="2807" spans="1:13" x14ac:dyDescent="0.3">
      <c r="A2807" t="str">
        <f>Segmenter!A2807</f>
        <v/>
      </c>
      <c r="B2807" t="str">
        <f>Segmenter!B2807</f>
        <v/>
      </c>
      <c r="C2807" t="str">
        <f t="shared" si="215"/>
        <v/>
      </c>
      <c r="D2807" t="str">
        <f t="shared" si="216"/>
        <v/>
      </c>
      <c r="E2807" t="str">
        <f t="shared" si="217"/>
        <v/>
      </c>
      <c r="F2807" t="str">
        <f>IF(D2807="","",INDEX(Knutepunkter!$B:$B,D2807+1))</f>
        <v/>
      </c>
      <c r="G2807" t="str">
        <f>IF(D2807="","",INDEX(Knutepunkter!$C:$C,D2807+1))</f>
        <v/>
      </c>
      <c r="H2807" t="str">
        <f>IF(D2807="","",INDEX(Knutepunkter!$D:$D,D2807+1))</f>
        <v/>
      </c>
      <c r="I2807" t="str">
        <f>IF(E2807="","",INDEX(Knutepunkter!$B:$B,E2807+1))</f>
        <v/>
      </c>
      <c r="J2807" t="str">
        <f>IF(E2807="","",INDEX(Knutepunkter!$C:$C,E2807+1))</f>
        <v/>
      </c>
      <c r="K2807" t="str">
        <f>IF(E2807="","",INDEX(Knutepunkter!$D:$D,E2807+1))</f>
        <v/>
      </c>
      <c r="L2807" t="str">
        <f t="shared" si="218"/>
        <v/>
      </c>
      <c r="M2807" t="str">
        <f t="shared" si="219"/>
        <v/>
      </c>
    </row>
    <row r="2808" spans="1:13" x14ac:dyDescent="0.3">
      <c r="A2808" t="str">
        <f>Segmenter!A2808</f>
        <v/>
      </c>
      <c r="B2808" t="str">
        <f>Segmenter!B2808</f>
        <v/>
      </c>
      <c r="C2808" t="str">
        <f t="shared" si="215"/>
        <v/>
      </c>
      <c r="D2808" t="str">
        <f t="shared" si="216"/>
        <v/>
      </c>
      <c r="E2808" t="str">
        <f t="shared" si="217"/>
        <v/>
      </c>
      <c r="F2808" t="str">
        <f>IF(D2808="","",INDEX(Knutepunkter!$B:$B,D2808+1))</f>
        <v/>
      </c>
      <c r="G2808" t="str">
        <f>IF(D2808="","",INDEX(Knutepunkter!$C:$C,D2808+1))</f>
        <v/>
      </c>
      <c r="H2808" t="str">
        <f>IF(D2808="","",INDEX(Knutepunkter!$D:$D,D2808+1))</f>
        <v/>
      </c>
      <c r="I2808" t="str">
        <f>IF(E2808="","",INDEX(Knutepunkter!$B:$B,E2808+1))</f>
        <v/>
      </c>
      <c r="J2808" t="str">
        <f>IF(E2808="","",INDEX(Knutepunkter!$C:$C,E2808+1))</f>
        <v/>
      </c>
      <c r="K2808" t="str">
        <f>IF(E2808="","",INDEX(Knutepunkter!$D:$D,E2808+1))</f>
        <v/>
      </c>
      <c r="L2808" t="str">
        <f t="shared" si="218"/>
        <v/>
      </c>
      <c r="M2808" t="str">
        <f t="shared" si="219"/>
        <v/>
      </c>
    </row>
    <row r="2809" spans="1:13" x14ac:dyDescent="0.3">
      <c r="A2809" t="str">
        <f>Segmenter!A2809</f>
        <v/>
      </c>
      <c r="B2809" t="str">
        <f>Segmenter!B2809</f>
        <v/>
      </c>
      <c r="C2809" t="str">
        <f t="shared" si="215"/>
        <v/>
      </c>
      <c r="D2809" t="str">
        <f t="shared" si="216"/>
        <v/>
      </c>
      <c r="E2809" t="str">
        <f t="shared" si="217"/>
        <v/>
      </c>
      <c r="F2809" t="str">
        <f>IF(D2809="","",INDEX(Knutepunkter!$B:$B,D2809+1))</f>
        <v/>
      </c>
      <c r="G2809" t="str">
        <f>IF(D2809="","",INDEX(Knutepunkter!$C:$C,D2809+1))</f>
        <v/>
      </c>
      <c r="H2809" t="str">
        <f>IF(D2809="","",INDEX(Knutepunkter!$D:$D,D2809+1))</f>
        <v/>
      </c>
      <c r="I2809" t="str">
        <f>IF(E2809="","",INDEX(Knutepunkter!$B:$B,E2809+1))</f>
        <v/>
      </c>
      <c r="J2809" t="str">
        <f>IF(E2809="","",INDEX(Knutepunkter!$C:$C,E2809+1))</f>
        <v/>
      </c>
      <c r="K2809" t="str">
        <f>IF(E2809="","",INDEX(Knutepunkter!$D:$D,E2809+1))</f>
        <v/>
      </c>
      <c r="L2809" t="str">
        <f t="shared" si="218"/>
        <v/>
      </c>
      <c r="M2809" t="str">
        <f t="shared" si="219"/>
        <v/>
      </c>
    </row>
    <row r="2810" spans="1:13" x14ac:dyDescent="0.3">
      <c r="A2810" t="str">
        <f>Segmenter!A2810</f>
        <v/>
      </c>
      <c r="B2810" t="str">
        <f>Segmenter!B2810</f>
        <v/>
      </c>
      <c r="C2810" t="str">
        <f t="shared" si="215"/>
        <v/>
      </c>
      <c r="D2810" t="str">
        <f t="shared" si="216"/>
        <v/>
      </c>
      <c r="E2810" t="str">
        <f t="shared" si="217"/>
        <v/>
      </c>
      <c r="F2810" t="str">
        <f>IF(D2810="","",INDEX(Knutepunkter!$B:$B,D2810+1))</f>
        <v/>
      </c>
      <c r="G2810" t="str">
        <f>IF(D2810="","",INDEX(Knutepunkter!$C:$C,D2810+1))</f>
        <v/>
      </c>
      <c r="H2810" t="str">
        <f>IF(D2810="","",INDEX(Knutepunkter!$D:$D,D2810+1))</f>
        <v/>
      </c>
      <c r="I2810" t="str">
        <f>IF(E2810="","",INDEX(Knutepunkter!$B:$B,E2810+1))</f>
        <v/>
      </c>
      <c r="J2810" t="str">
        <f>IF(E2810="","",INDEX(Knutepunkter!$C:$C,E2810+1))</f>
        <v/>
      </c>
      <c r="K2810" t="str">
        <f>IF(E2810="","",INDEX(Knutepunkter!$D:$D,E2810+1))</f>
        <v/>
      </c>
      <c r="L2810" t="str">
        <f t="shared" si="218"/>
        <v/>
      </c>
      <c r="M2810" t="str">
        <f t="shared" si="219"/>
        <v/>
      </c>
    </row>
    <row r="2811" spans="1:13" x14ac:dyDescent="0.3">
      <c r="A2811" t="str">
        <f>Segmenter!A2811</f>
        <v/>
      </c>
      <c r="B2811" t="str">
        <f>Segmenter!B2811</f>
        <v/>
      </c>
      <c r="C2811" t="str">
        <f t="shared" si="215"/>
        <v/>
      </c>
      <c r="D2811" t="str">
        <f t="shared" si="216"/>
        <v/>
      </c>
      <c r="E2811" t="str">
        <f t="shared" si="217"/>
        <v/>
      </c>
      <c r="F2811" t="str">
        <f>IF(D2811="","",INDEX(Knutepunkter!$B:$B,D2811+1))</f>
        <v/>
      </c>
      <c r="G2811" t="str">
        <f>IF(D2811="","",INDEX(Knutepunkter!$C:$C,D2811+1))</f>
        <v/>
      </c>
      <c r="H2811" t="str">
        <f>IF(D2811="","",INDEX(Knutepunkter!$D:$D,D2811+1))</f>
        <v/>
      </c>
      <c r="I2811" t="str">
        <f>IF(E2811="","",INDEX(Knutepunkter!$B:$B,E2811+1))</f>
        <v/>
      </c>
      <c r="J2811" t="str">
        <f>IF(E2811="","",INDEX(Knutepunkter!$C:$C,E2811+1))</f>
        <v/>
      </c>
      <c r="K2811" t="str">
        <f>IF(E2811="","",INDEX(Knutepunkter!$D:$D,E2811+1))</f>
        <v/>
      </c>
      <c r="L2811" t="str">
        <f t="shared" si="218"/>
        <v/>
      </c>
      <c r="M2811" t="str">
        <f t="shared" si="219"/>
        <v/>
      </c>
    </row>
    <row r="2812" spans="1:13" x14ac:dyDescent="0.3">
      <c r="A2812" t="str">
        <f>Segmenter!A2812</f>
        <v/>
      </c>
      <c r="B2812" t="str">
        <f>Segmenter!B2812</f>
        <v/>
      </c>
      <c r="C2812" t="str">
        <f t="shared" si="215"/>
        <v/>
      </c>
      <c r="D2812" t="str">
        <f t="shared" si="216"/>
        <v/>
      </c>
      <c r="E2812" t="str">
        <f t="shared" si="217"/>
        <v/>
      </c>
      <c r="F2812" t="str">
        <f>IF(D2812="","",INDEX(Knutepunkter!$B:$B,D2812+1))</f>
        <v/>
      </c>
      <c r="G2812" t="str">
        <f>IF(D2812="","",INDEX(Knutepunkter!$C:$C,D2812+1))</f>
        <v/>
      </c>
      <c r="H2812" t="str">
        <f>IF(D2812="","",INDEX(Knutepunkter!$D:$D,D2812+1))</f>
        <v/>
      </c>
      <c r="I2812" t="str">
        <f>IF(E2812="","",INDEX(Knutepunkter!$B:$B,E2812+1))</f>
        <v/>
      </c>
      <c r="J2812" t="str">
        <f>IF(E2812="","",INDEX(Knutepunkter!$C:$C,E2812+1))</f>
        <v/>
      </c>
      <c r="K2812" t="str">
        <f>IF(E2812="","",INDEX(Knutepunkter!$D:$D,E2812+1))</f>
        <v/>
      </c>
      <c r="L2812" t="str">
        <f t="shared" si="218"/>
        <v/>
      </c>
      <c r="M2812" t="str">
        <f t="shared" si="219"/>
        <v/>
      </c>
    </row>
    <row r="2813" spans="1:13" x14ac:dyDescent="0.3">
      <c r="A2813" t="str">
        <f>Segmenter!A2813</f>
        <v/>
      </c>
      <c r="B2813" t="str">
        <f>Segmenter!B2813</f>
        <v/>
      </c>
      <c r="C2813" t="str">
        <f t="shared" si="215"/>
        <v/>
      </c>
      <c r="D2813" t="str">
        <f t="shared" si="216"/>
        <v/>
      </c>
      <c r="E2813" t="str">
        <f t="shared" si="217"/>
        <v/>
      </c>
      <c r="F2813" t="str">
        <f>IF(D2813="","",INDEX(Knutepunkter!$B:$B,D2813+1))</f>
        <v/>
      </c>
      <c r="G2813" t="str">
        <f>IF(D2813="","",INDEX(Knutepunkter!$C:$C,D2813+1))</f>
        <v/>
      </c>
      <c r="H2813" t="str">
        <f>IF(D2813="","",INDEX(Knutepunkter!$D:$D,D2813+1))</f>
        <v/>
      </c>
      <c r="I2813" t="str">
        <f>IF(E2813="","",INDEX(Knutepunkter!$B:$B,E2813+1))</f>
        <v/>
      </c>
      <c r="J2813" t="str">
        <f>IF(E2813="","",INDEX(Knutepunkter!$C:$C,E2813+1))</f>
        <v/>
      </c>
      <c r="K2813" t="str">
        <f>IF(E2813="","",INDEX(Knutepunkter!$D:$D,E2813+1))</f>
        <v/>
      </c>
      <c r="L2813" t="str">
        <f t="shared" si="218"/>
        <v/>
      </c>
      <c r="M2813" t="str">
        <f t="shared" si="219"/>
        <v/>
      </c>
    </row>
    <row r="2814" spans="1:13" x14ac:dyDescent="0.3">
      <c r="A2814" t="str">
        <f>Segmenter!A2814</f>
        <v/>
      </c>
      <c r="B2814" t="str">
        <f>Segmenter!B2814</f>
        <v/>
      </c>
      <c r="C2814" t="str">
        <f t="shared" si="215"/>
        <v/>
      </c>
      <c r="D2814" t="str">
        <f t="shared" si="216"/>
        <v/>
      </c>
      <c r="E2814" t="str">
        <f t="shared" si="217"/>
        <v/>
      </c>
      <c r="F2814" t="str">
        <f>IF(D2814="","",INDEX(Knutepunkter!$B:$B,D2814+1))</f>
        <v/>
      </c>
      <c r="G2814" t="str">
        <f>IF(D2814="","",INDEX(Knutepunkter!$C:$C,D2814+1))</f>
        <v/>
      </c>
      <c r="H2814" t="str">
        <f>IF(D2814="","",INDEX(Knutepunkter!$D:$D,D2814+1))</f>
        <v/>
      </c>
      <c r="I2814" t="str">
        <f>IF(E2814="","",INDEX(Knutepunkter!$B:$B,E2814+1))</f>
        <v/>
      </c>
      <c r="J2814" t="str">
        <f>IF(E2814="","",INDEX(Knutepunkter!$C:$C,E2814+1))</f>
        <v/>
      </c>
      <c r="K2814" t="str">
        <f>IF(E2814="","",INDEX(Knutepunkter!$D:$D,E2814+1))</f>
        <v/>
      </c>
      <c r="L2814" t="str">
        <f t="shared" si="218"/>
        <v/>
      </c>
      <c r="M2814" t="str">
        <f t="shared" si="219"/>
        <v/>
      </c>
    </row>
    <row r="2815" spans="1:13" x14ac:dyDescent="0.3">
      <c r="A2815" t="str">
        <f>Segmenter!A2815</f>
        <v/>
      </c>
      <c r="B2815" t="str">
        <f>Segmenter!B2815</f>
        <v/>
      </c>
      <c r="C2815" t="str">
        <f t="shared" si="215"/>
        <v/>
      </c>
      <c r="D2815" t="str">
        <f t="shared" si="216"/>
        <v/>
      </c>
      <c r="E2815" t="str">
        <f t="shared" si="217"/>
        <v/>
      </c>
      <c r="F2815" t="str">
        <f>IF(D2815="","",INDEX(Knutepunkter!$B:$B,D2815+1))</f>
        <v/>
      </c>
      <c r="G2815" t="str">
        <f>IF(D2815="","",INDEX(Knutepunkter!$C:$C,D2815+1))</f>
        <v/>
      </c>
      <c r="H2815" t="str">
        <f>IF(D2815="","",INDEX(Knutepunkter!$D:$D,D2815+1))</f>
        <v/>
      </c>
      <c r="I2815" t="str">
        <f>IF(E2815="","",INDEX(Knutepunkter!$B:$B,E2815+1))</f>
        <v/>
      </c>
      <c r="J2815" t="str">
        <f>IF(E2815="","",INDEX(Knutepunkter!$C:$C,E2815+1))</f>
        <v/>
      </c>
      <c r="K2815" t="str">
        <f>IF(E2815="","",INDEX(Knutepunkter!$D:$D,E2815+1))</f>
        <v/>
      </c>
      <c r="L2815" t="str">
        <f t="shared" si="218"/>
        <v/>
      </c>
      <c r="M2815" t="str">
        <f t="shared" si="219"/>
        <v/>
      </c>
    </row>
    <row r="2816" spans="1:13" x14ac:dyDescent="0.3">
      <c r="A2816" t="str">
        <f>Segmenter!A2816</f>
        <v/>
      </c>
      <c r="B2816" t="str">
        <f>Segmenter!B2816</f>
        <v/>
      </c>
      <c r="C2816" t="str">
        <f t="shared" si="215"/>
        <v/>
      </c>
      <c r="D2816" t="str">
        <f t="shared" si="216"/>
        <v/>
      </c>
      <c r="E2816" t="str">
        <f t="shared" si="217"/>
        <v/>
      </c>
      <c r="F2816" t="str">
        <f>IF(D2816="","",INDEX(Knutepunkter!$B:$B,D2816+1))</f>
        <v/>
      </c>
      <c r="G2816" t="str">
        <f>IF(D2816="","",INDEX(Knutepunkter!$C:$C,D2816+1))</f>
        <v/>
      </c>
      <c r="H2816" t="str">
        <f>IF(D2816="","",INDEX(Knutepunkter!$D:$D,D2816+1))</f>
        <v/>
      </c>
      <c r="I2816" t="str">
        <f>IF(E2816="","",INDEX(Knutepunkter!$B:$B,E2816+1))</f>
        <v/>
      </c>
      <c r="J2816" t="str">
        <f>IF(E2816="","",INDEX(Knutepunkter!$C:$C,E2816+1))</f>
        <v/>
      </c>
      <c r="K2816" t="str">
        <f>IF(E2816="","",INDEX(Knutepunkter!$D:$D,E2816+1))</f>
        <v/>
      </c>
      <c r="L2816" t="str">
        <f t="shared" si="218"/>
        <v/>
      </c>
      <c r="M2816" t="str">
        <f t="shared" si="219"/>
        <v/>
      </c>
    </row>
    <row r="2817" spans="1:13" x14ac:dyDescent="0.3">
      <c r="A2817" t="str">
        <f>Segmenter!A2817</f>
        <v/>
      </c>
      <c r="B2817" t="str">
        <f>Segmenter!B2817</f>
        <v/>
      </c>
      <c r="C2817" t="str">
        <f t="shared" si="215"/>
        <v/>
      </c>
      <c r="D2817" t="str">
        <f t="shared" si="216"/>
        <v/>
      </c>
      <c r="E2817" t="str">
        <f t="shared" si="217"/>
        <v/>
      </c>
      <c r="F2817" t="str">
        <f>IF(D2817="","",INDEX(Knutepunkter!$B:$B,D2817+1))</f>
        <v/>
      </c>
      <c r="G2817" t="str">
        <f>IF(D2817="","",INDEX(Knutepunkter!$C:$C,D2817+1))</f>
        <v/>
      </c>
      <c r="H2817" t="str">
        <f>IF(D2817="","",INDEX(Knutepunkter!$D:$D,D2817+1))</f>
        <v/>
      </c>
      <c r="I2817" t="str">
        <f>IF(E2817="","",INDEX(Knutepunkter!$B:$B,E2817+1))</f>
        <v/>
      </c>
      <c r="J2817" t="str">
        <f>IF(E2817="","",INDEX(Knutepunkter!$C:$C,E2817+1))</f>
        <v/>
      </c>
      <c r="K2817" t="str">
        <f>IF(E2817="","",INDEX(Knutepunkter!$D:$D,E2817+1))</f>
        <v/>
      </c>
      <c r="L2817" t="str">
        <f t="shared" si="218"/>
        <v/>
      </c>
      <c r="M2817" t="str">
        <f t="shared" si="219"/>
        <v/>
      </c>
    </row>
    <row r="2818" spans="1:13" x14ac:dyDescent="0.3">
      <c r="A2818" t="str">
        <f>Segmenter!A2818</f>
        <v/>
      </c>
      <c r="B2818" t="str">
        <f>Segmenter!B2818</f>
        <v/>
      </c>
      <c r="C2818" t="str">
        <f t="shared" ref="C2818:C2881" si="220">IF(B2818="","",IF(AND(F2818=I2818,G2818=J2818,H2818&lt;&gt;K2818),"Søyle","Bjelke"))</f>
        <v/>
      </c>
      <c r="D2818" t="str">
        <f t="shared" ref="D2818:D2881" si="221">IF(B2818="","",VALUE(LEFT(B2818,FIND(" -&gt; ",B2818)-1)))</f>
        <v/>
      </c>
      <c r="E2818" t="str">
        <f t="shared" ref="E2818:E2881" si="222">IF(B2818="","",VALUE(MID(B2818,FIND(" -&gt; ",B2818)+4,99)))</f>
        <v/>
      </c>
      <c r="F2818" t="str">
        <f>IF(D2818="","",INDEX(Knutepunkter!$B:$B,D2818+1))</f>
        <v/>
      </c>
      <c r="G2818" t="str">
        <f>IF(D2818="","",INDEX(Knutepunkter!$C:$C,D2818+1))</f>
        <v/>
      </c>
      <c r="H2818" t="str">
        <f>IF(D2818="","",INDEX(Knutepunkter!$D:$D,D2818+1))</f>
        <v/>
      </c>
      <c r="I2818" t="str">
        <f>IF(E2818="","",INDEX(Knutepunkter!$B:$B,E2818+1))</f>
        <v/>
      </c>
      <c r="J2818" t="str">
        <f>IF(E2818="","",INDEX(Knutepunkter!$C:$C,E2818+1))</f>
        <v/>
      </c>
      <c r="K2818" t="str">
        <f>IF(E2818="","",INDEX(Knutepunkter!$D:$D,E2818+1))</f>
        <v/>
      </c>
      <c r="L2818" t="str">
        <f t="shared" ref="L2818:L2881" si="223">IF(B2818="","",SQRT((I2818-F2818)^2+(J2818-G2818)^2+(K2818-H2818)^2))</f>
        <v/>
      </c>
      <c r="M2818" t="str">
        <f t="shared" ref="M2818:M2881" si="224">IF(L2818="","",L2818/1000)</f>
        <v/>
      </c>
    </row>
    <row r="2819" spans="1:13" x14ac:dyDescent="0.3">
      <c r="A2819" t="str">
        <f>Segmenter!A2819</f>
        <v/>
      </c>
      <c r="B2819" t="str">
        <f>Segmenter!B2819</f>
        <v/>
      </c>
      <c r="C2819" t="str">
        <f t="shared" si="220"/>
        <v/>
      </c>
      <c r="D2819" t="str">
        <f t="shared" si="221"/>
        <v/>
      </c>
      <c r="E2819" t="str">
        <f t="shared" si="222"/>
        <v/>
      </c>
      <c r="F2819" t="str">
        <f>IF(D2819="","",INDEX(Knutepunkter!$B:$B,D2819+1))</f>
        <v/>
      </c>
      <c r="G2819" t="str">
        <f>IF(D2819="","",INDEX(Knutepunkter!$C:$C,D2819+1))</f>
        <v/>
      </c>
      <c r="H2819" t="str">
        <f>IF(D2819="","",INDEX(Knutepunkter!$D:$D,D2819+1))</f>
        <v/>
      </c>
      <c r="I2819" t="str">
        <f>IF(E2819="","",INDEX(Knutepunkter!$B:$B,E2819+1))</f>
        <v/>
      </c>
      <c r="J2819" t="str">
        <f>IF(E2819="","",INDEX(Knutepunkter!$C:$C,E2819+1))</f>
        <v/>
      </c>
      <c r="K2819" t="str">
        <f>IF(E2819="","",INDEX(Knutepunkter!$D:$D,E2819+1))</f>
        <v/>
      </c>
      <c r="L2819" t="str">
        <f t="shared" si="223"/>
        <v/>
      </c>
      <c r="M2819" t="str">
        <f t="shared" si="224"/>
        <v/>
      </c>
    </row>
    <row r="2820" spans="1:13" x14ac:dyDescent="0.3">
      <c r="A2820" t="str">
        <f>Segmenter!A2820</f>
        <v/>
      </c>
      <c r="B2820" t="str">
        <f>Segmenter!B2820</f>
        <v/>
      </c>
      <c r="C2820" t="str">
        <f t="shared" si="220"/>
        <v/>
      </c>
      <c r="D2820" t="str">
        <f t="shared" si="221"/>
        <v/>
      </c>
      <c r="E2820" t="str">
        <f t="shared" si="222"/>
        <v/>
      </c>
      <c r="F2820" t="str">
        <f>IF(D2820="","",INDEX(Knutepunkter!$B:$B,D2820+1))</f>
        <v/>
      </c>
      <c r="G2820" t="str">
        <f>IF(D2820="","",INDEX(Knutepunkter!$C:$C,D2820+1))</f>
        <v/>
      </c>
      <c r="H2820" t="str">
        <f>IF(D2820="","",INDEX(Knutepunkter!$D:$D,D2820+1))</f>
        <v/>
      </c>
      <c r="I2820" t="str">
        <f>IF(E2820="","",INDEX(Knutepunkter!$B:$B,E2820+1))</f>
        <v/>
      </c>
      <c r="J2820" t="str">
        <f>IF(E2820="","",INDEX(Knutepunkter!$C:$C,E2820+1))</f>
        <v/>
      </c>
      <c r="K2820" t="str">
        <f>IF(E2820="","",INDEX(Knutepunkter!$D:$D,E2820+1))</f>
        <v/>
      </c>
      <c r="L2820" t="str">
        <f t="shared" si="223"/>
        <v/>
      </c>
      <c r="M2820" t="str">
        <f t="shared" si="224"/>
        <v/>
      </c>
    </row>
    <row r="2821" spans="1:13" x14ac:dyDescent="0.3">
      <c r="A2821" t="str">
        <f>Segmenter!A2821</f>
        <v/>
      </c>
      <c r="B2821" t="str">
        <f>Segmenter!B2821</f>
        <v/>
      </c>
      <c r="C2821" t="str">
        <f t="shared" si="220"/>
        <v/>
      </c>
      <c r="D2821" t="str">
        <f t="shared" si="221"/>
        <v/>
      </c>
      <c r="E2821" t="str">
        <f t="shared" si="222"/>
        <v/>
      </c>
      <c r="F2821" t="str">
        <f>IF(D2821="","",INDEX(Knutepunkter!$B:$B,D2821+1))</f>
        <v/>
      </c>
      <c r="G2821" t="str">
        <f>IF(D2821="","",INDEX(Knutepunkter!$C:$C,D2821+1))</f>
        <v/>
      </c>
      <c r="H2821" t="str">
        <f>IF(D2821="","",INDEX(Knutepunkter!$D:$D,D2821+1))</f>
        <v/>
      </c>
      <c r="I2821" t="str">
        <f>IF(E2821="","",INDEX(Knutepunkter!$B:$B,E2821+1))</f>
        <v/>
      </c>
      <c r="J2821" t="str">
        <f>IF(E2821="","",INDEX(Knutepunkter!$C:$C,E2821+1))</f>
        <v/>
      </c>
      <c r="K2821" t="str">
        <f>IF(E2821="","",INDEX(Knutepunkter!$D:$D,E2821+1))</f>
        <v/>
      </c>
      <c r="L2821" t="str">
        <f t="shared" si="223"/>
        <v/>
      </c>
      <c r="M2821" t="str">
        <f t="shared" si="224"/>
        <v/>
      </c>
    </row>
    <row r="2822" spans="1:13" x14ac:dyDescent="0.3">
      <c r="A2822" t="str">
        <f>Segmenter!A2822</f>
        <v/>
      </c>
      <c r="B2822" t="str">
        <f>Segmenter!B2822</f>
        <v/>
      </c>
      <c r="C2822" t="str">
        <f t="shared" si="220"/>
        <v/>
      </c>
      <c r="D2822" t="str">
        <f t="shared" si="221"/>
        <v/>
      </c>
      <c r="E2822" t="str">
        <f t="shared" si="222"/>
        <v/>
      </c>
      <c r="F2822" t="str">
        <f>IF(D2822="","",INDEX(Knutepunkter!$B:$B,D2822+1))</f>
        <v/>
      </c>
      <c r="G2822" t="str">
        <f>IF(D2822="","",INDEX(Knutepunkter!$C:$C,D2822+1))</f>
        <v/>
      </c>
      <c r="H2822" t="str">
        <f>IF(D2822="","",INDEX(Knutepunkter!$D:$D,D2822+1))</f>
        <v/>
      </c>
      <c r="I2822" t="str">
        <f>IF(E2822="","",INDEX(Knutepunkter!$B:$B,E2822+1))</f>
        <v/>
      </c>
      <c r="J2822" t="str">
        <f>IF(E2822="","",INDEX(Knutepunkter!$C:$C,E2822+1))</f>
        <v/>
      </c>
      <c r="K2822" t="str">
        <f>IF(E2822="","",INDEX(Knutepunkter!$D:$D,E2822+1))</f>
        <v/>
      </c>
      <c r="L2822" t="str">
        <f t="shared" si="223"/>
        <v/>
      </c>
      <c r="M2822" t="str">
        <f t="shared" si="224"/>
        <v/>
      </c>
    </row>
    <row r="2823" spans="1:13" x14ac:dyDescent="0.3">
      <c r="A2823" t="str">
        <f>Segmenter!A2823</f>
        <v/>
      </c>
      <c r="B2823" t="str">
        <f>Segmenter!B2823</f>
        <v/>
      </c>
      <c r="C2823" t="str">
        <f t="shared" si="220"/>
        <v/>
      </c>
      <c r="D2823" t="str">
        <f t="shared" si="221"/>
        <v/>
      </c>
      <c r="E2823" t="str">
        <f t="shared" si="222"/>
        <v/>
      </c>
      <c r="F2823" t="str">
        <f>IF(D2823="","",INDEX(Knutepunkter!$B:$B,D2823+1))</f>
        <v/>
      </c>
      <c r="G2823" t="str">
        <f>IF(D2823="","",INDEX(Knutepunkter!$C:$C,D2823+1))</f>
        <v/>
      </c>
      <c r="H2823" t="str">
        <f>IF(D2823="","",INDEX(Knutepunkter!$D:$D,D2823+1))</f>
        <v/>
      </c>
      <c r="I2823" t="str">
        <f>IF(E2823="","",INDEX(Knutepunkter!$B:$B,E2823+1))</f>
        <v/>
      </c>
      <c r="J2823" t="str">
        <f>IF(E2823="","",INDEX(Knutepunkter!$C:$C,E2823+1))</f>
        <v/>
      </c>
      <c r="K2823" t="str">
        <f>IF(E2823="","",INDEX(Knutepunkter!$D:$D,E2823+1))</f>
        <v/>
      </c>
      <c r="L2823" t="str">
        <f t="shared" si="223"/>
        <v/>
      </c>
      <c r="M2823" t="str">
        <f t="shared" si="224"/>
        <v/>
      </c>
    </row>
    <row r="2824" spans="1:13" x14ac:dyDescent="0.3">
      <c r="A2824" t="str">
        <f>Segmenter!A2824</f>
        <v/>
      </c>
      <c r="B2824" t="str">
        <f>Segmenter!B2824</f>
        <v/>
      </c>
      <c r="C2824" t="str">
        <f t="shared" si="220"/>
        <v/>
      </c>
      <c r="D2824" t="str">
        <f t="shared" si="221"/>
        <v/>
      </c>
      <c r="E2824" t="str">
        <f t="shared" si="222"/>
        <v/>
      </c>
      <c r="F2824" t="str">
        <f>IF(D2824="","",INDEX(Knutepunkter!$B:$B,D2824+1))</f>
        <v/>
      </c>
      <c r="G2824" t="str">
        <f>IF(D2824="","",INDEX(Knutepunkter!$C:$C,D2824+1))</f>
        <v/>
      </c>
      <c r="H2824" t="str">
        <f>IF(D2824="","",INDEX(Knutepunkter!$D:$D,D2824+1))</f>
        <v/>
      </c>
      <c r="I2824" t="str">
        <f>IF(E2824="","",INDEX(Knutepunkter!$B:$B,E2824+1))</f>
        <v/>
      </c>
      <c r="J2824" t="str">
        <f>IF(E2824="","",INDEX(Knutepunkter!$C:$C,E2824+1))</f>
        <v/>
      </c>
      <c r="K2824" t="str">
        <f>IF(E2824="","",INDEX(Knutepunkter!$D:$D,E2824+1))</f>
        <v/>
      </c>
      <c r="L2824" t="str">
        <f t="shared" si="223"/>
        <v/>
      </c>
      <c r="M2824" t="str">
        <f t="shared" si="224"/>
        <v/>
      </c>
    </row>
    <row r="2825" spans="1:13" x14ac:dyDescent="0.3">
      <c r="A2825" t="str">
        <f>Segmenter!A2825</f>
        <v/>
      </c>
      <c r="B2825" t="str">
        <f>Segmenter!B2825</f>
        <v/>
      </c>
      <c r="C2825" t="str">
        <f t="shared" si="220"/>
        <v/>
      </c>
      <c r="D2825" t="str">
        <f t="shared" si="221"/>
        <v/>
      </c>
      <c r="E2825" t="str">
        <f t="shared" si="222"/>
        <v/>
      </c>
      <c r="F2825" t="str">
        <f>IF(D2825="","",INDEX(Knutepunkter!$B:$B,D2825+1))</f>
        <v/>
      </c>
      <c r="G2825" t="str">
        <f>IF(D2825="","",INDEX(Knutepunkter!$C:$C,D2825+1))</f>
        <v/>
      </c>
      <c r="H2825" t="str">
        <f>IF(D2825="","",INDEX(Knutepunkter!$D:$D,D2825+1))</f>
        <v/>
      </c>
      <c r="I2825" t="str">
        <f>IF(E2825="","",INDEX(Knutepunkter!$B:$B,E2825+1))</f>
        <v/>
      </c>
      <c r="J2825" t="str">
        <f>IF(E2825="","",INDEX(Knutepunkter!$C:$C,E2825+1))</f>
        <v/>
      </c>
      <c r="K2825" t="str">
        <f>IF(E2825="","",INDEX(Knutepunkter!$D:$D,E2825+1))</f>
        <v/>
      </c>
      <c r="L2825" t="str">
        <f t="shared" si="223"/>
        <v/>
      </c>
      <c r="M2825" t="str">
        <f t="shared" si="224"/>
        <v/>
      </c>
    </row>
    <row r="2826" spans="1:13" x14ac:dyDescent="0.3">
      <c r="A2826" t="str">
        <f>Segmenter!A2826</f>
        <v/>
      </c>
      <c r="B2826" t="str">
        <f>Segmenter!B2826</f>
        <v/>
      </c>
      <c r="C2826" t="str">
        <f t="shared" si="220"/>
        <v/>
      </c>
      <c r="D2826" t="str">
        <f t="shared" si="221"/>
        <v/>
      </c>
      <c r="E2826" t="str">
        <f t="shared" si="222"/>
        <v/>
      </c>
      <c r="F2826" t="str">
        <f>IF(D2826="","",INDEX(Knutepunkter!$B:$B,D2826+1))</f>
        <v/>
      </c>
      <c r="G2826" t="str">
        <f>IF(D2826="","",INDEX(Knutepunkter!$C:$C,D2826+1))</f>
        <v/>
      </c>
      <c r="H2826" t="str">
        <f>IF(D2826="","",INDEX(Knutepunkter!$D:$D,D2826+1))</f>
        <v/>
      </c>
      <c r="I2826" t="str">
        <f>IF(E2826="","",INDEX(Knutepunkter!$B:$B,E2826+1))</f>
        <v/>
      </c>
      <c r="J2826" t="str">
        <f>IF(E2826="","",INDEX(Knutepunkter!$C:$C,E2826+1))</f>
        <v/>
      </c>
      <c r="K2826" t="str">
        <f>IF(E2826="","",INDEX(Knutepunkter!$D:$D,E2826+1))</f>
        <v/>
      </c>
      <c r="L2826" t="str">
        <f t="shared" si="223"/>
        <v/>
      </c>
      <c r="M2826" t="str">
        <f t="shared" si="224"/>
        <v/>
      </c>
    </row>
    <row r="2827" spans="1:13" x14ac:dyDescent="0.3">
      <c r="A2827" t="str">
        <f>Segmenter!A2827</f>
        <v/>
      </c>
      <c r="B2827" t="str">
        <f>Segmenter!B2827</f>
        <v/>
      </c>
      <c r="C2827" t="str">
        <f t="shared" si="220"/>
        <v/>
      </c>
      <c r="D2827" t="str">
        <f t="shared" si="221"/>
        <v/>
      </c>
      <c r="E2827" t="str">
        <f t="shared" si="222"/>
        <v/>
      </c>
      <c r="F2827" t="str">
        <f>IF(D2827="","",INDEX(Knutepunkter!$B:$B,D2827+1))</f>
        <v/>
      </c>
      <c r="G2827" t="str">
        <f>IF(D2827="","",INDEX(Knutepunkter!$C:$C,D2827+1))</f>
        <v/>
      </c>
      <c r="H2827" t="str">
        <f>IF(D2827="","",INDEX(Knutepunkter!$D:$D,D2827+1))</f>
        <v/>
      </c>
      <c r="I2827" t="str">
        <f>IF(E2827="","",INDEX(Knutepunkter!$B:$B,E2827+1))</f>
        <v/>
      </c>
      <c r="J2827" t="str">
        <f>IF(E2827="","",INDEX(Knutepunkter!$C:$C,E2827+1))</f>
        <v/>
      </c>
      <c r="K2827" t="str">
        <f>IF(E2827="","",INDEX(Knutepunkter!$D:$D,E2827+1))</f>
        <v/>
      </c>
      <c r="L2827" t="str">
        <f t="shared" si="223"/>
        <v/>
      </c>
      <c r="M2827" t="str">
        <f t="shared" si="224"/>
        <v/>
      </c>
    </row>
    <row r="2828" spans="1:13" x14ac:dyDescent="0.3">
      <c r="A2828" t="str">
        <f>Segmenter!A2828</f>
        <v/>
      </c>
      <c r="B2828" t="str">
        <f>Segmenter!B2828</f>
        <v/>
      </c>
      <c r="C2828" t="str">
        <f t="shared" si="220"/>
        <v/>
      </c>
      <c r="D2828" t="str">
        <f t="shared" si="221"/>
        <v/>
      </c>
      <c r="E2828" t="str">
        <f t="shared" si="222"/>
        <v/>
      </c>
      <c r="F2828" t="str">
        <f>IF(D2828="","",INDEX(Knutepunkter!$B:$B,D2828+1))</f>
        <v/>
      </c>
      <c r="G2828" t="str">
        <f>IF(D2828="","",INDEX(Knutepunkter!$C:$C,D2828+1))</f>
        <v/>
      </c>
      <c r="H2828" t="str">
        <f>IF(D2828="","",INDEX(Knutepunkter!$D:$D,D2828+1))</f>
        <v/>
      </c>
      <c r="I2828" t="str">
        <f>IF(E2828="","",INDEX(Knutepunkter!$B:$B,E2828+1))</f>
        <v/>
      </c>
      <c r="J2828" t="str">
        <f>IF(E2828="","",INDEX(Knutepunkter!$C:$C,E2828+1))</f>
        <v/>
      </c>
      <c r="K2828" t="str">
        <f>IF(E2828="","",INDEX(Knutepunkter!$D:$D,E2828+1))</f>
        <v/>
      </c>
      <c r="L2828" t="str">
        <f t="shared" si="223"/>
        <v/>
      </c>
      <c r="M2828" t="str">
        <f t="shared" si="224"/>
        <v/>
      </c>
    </row>
    <row r="2829" spans="1:13" x14ac:dyDescent="0.3">
      <c r="A2829" t="str">
        <f>Segmenter!A2829</f>
        <v/>
      </c>
      <c r="B2829" t="str">
        <f>Segmenter!B2829</f>
        <v/>
      </c>
      <c r="C2829" t="str">
        <f t="shared" si="220"/>
        <v/>
      </c>
      <c r="D2829" t="str">
        <f t="shared" si="221"/>
        <v/>
      </c>
      <c r="E2829" t="str">
        <f t="shared" si="222"/>
        <v/>
      </c>
      <c r="F2829" t="str">
        <f>IF(D2829="","",INDEX(Knutepunkter!$B:$B,D2829+1))</f>
        <v/>
      </c>
      <c r="G2829" t="str">
        <f>IF(D2829="","",INDEX(Knutepunkter!$C:$C,D2829+1))</f>
        <v/>
      </c>
      <c r="H2829" t="str">
        <f>IF(D2829="","",INDEX(Knutepunkter!$D:$D,D2829+1))</f>
        <v/>
      </c>
      <c r="I2829" t="str">
        <f>IF(E2829="","",INDEX(Knutepunkter!$B:$B,E2829+1))</f>
        <v/>
      </c>
      <c r="J2829" t="str">
        <f>IF(E2829="","",INDEX(Knutepunkter!$C:$C,E2829+1))</f>
        <v/>
      </c>
      <c r="K2829" t="str">
        <f>IF(E2829="","",INDEX(Knutepunkter!$D:$D,E2829+1))</f>
        <v/>
      </c>
      <c r="L2829" t="str">
        <f t="shared" si="223"/>
        <v/>
      </c>
      <c r="M2829" t="str">
        <f t="shared" si="224"/>
        <v/>
      </c>
    </row>
    <row r="2830" spans="1:13" x14ac:dyDescent="0.3">
      <c r="A2830" t="str">
        <f>Segmenter!A2830</f>
        <v/>
      </c>
      <c r="B2830" t="str">
        <f>Segmenter!B2830</f>
        <v/>
      </c>
      <c r="C2830" t="str">
        <f t="shared" si="220"/>
        <v/>
      </c>
      <c r="D2830" t="str">
        <f t="shared" si="221"/>
        <v/>
      </c>
      <c r="E2830" t="str">
        <f t="shared" si="222"/>
        <v/>
      </c>
      <c r="F2830" t="str">
        <f>IF(D2830="","",INDEX(Knutepunkter!$B:$B,D2830+1))</f>
        <v/>
      </c>
      <c r="G2830" t="str">
        <f>IF(D2830="","",INDEX(Knutepunkter!$C:$C,D2830+1))</f>
        <v/>
      </c>
      <c r="H2830" t="str">
        <f>IF(D2830="","",INDEX(Knutepunkter!$D:$D,D2830+1))</f>
        <v/>
      </c>
      <c r="I2830" t="str">
        <f>IF(E2830="","",INDEX(Knutepunkter!$B:$B,E2830+1))</f>
        <v/>
      </c>
      <c r="J2830" t="str">
        <f>IF(E2830="","",INDEX(Knutepunkter!$C:$C,E2830+1))</f>
        <v/>
      </c>
      <c r="K2830" t="str">
        <f>IF(E2830="","",INDEX(Knutepunkter!$D:$D,E2830+1))</f>
        <v/>
      </c>
      <c r="L2830" t="str">
        <f t="shared" si="223"/>
        <v/>
      </c>
      <c r="M2830" t="str">
        <f t="shared" si="224"/>
        <v/>
      </c>
    </row>
    <row r="2831" spans="1:13" x14ac:dyDescent="0.3">
      <c r="A2831" t="str">
        <f>Segmenter!A2831</f>
        <v/>
      </c>
      <c r="B2831" t="str">
        <f>Segmenter!B2831</f>
        <v/>
      </c>
      <c r="C2831" t="str">
        <f t="shared" si="220"/>
        <v/>
      </c>
      <c r="D2831" t="str">
        <f t="shared" si="221"/>
        <v/>
      </c>
      <c r="E2831" t="str">
        <f t="shared" si="222"/>
        <v/>
      </c>
      <c r="F2831" t="str">
        <f>IF(D2831="","",INDEX(Knutepunkter!$B:$B,D2831+1))</f>
        <v/>
      </c>
      <c r="G2831" t="str">
        <f>IF(D2831="","",INDEX(Knutepunkter!$C:$C,D2831+1))</f>
        <v/>
      </c>
      <c r="H2831" t="str">
        <f>IF(D2831="","",INDEX(Knutepunkter!$D:$D,D2831+1))</f>
        <v/>
      </c>
      <c r="I2831" t="str">
        <f>IF(E2831="","",INDEX(Knutepunkter!$B:$B,E2831+1))</f>
        <v/>
      </c>
      <c r="J2831" t="str">
        <f>IF(E2831="","",INDEX(Knutepunkter!$C:$C,E2831+1))</f>
        <v/>
      </c>
      <c r="K2831" t="str">
        <f>IF(E2831="","",INDEX(Knutepunkter!$D:$D,E2831+1))</f>
        <v/>
      </c>
      <c r="L2831" t="str">
        <f t="shared" si="223"/>
        <v/>
      </c>
      <c r="M2831" t="str">
        <f t="shared" si="224"/>
        <v/>
      </c>
    </row>
    <row r="2832" spans="1:13" x14ac:dyDescent="0.3">
      <c r="A2832" t="str">
        <f>Segmenter!A2832</f>
        <v/>
      </c>
      <c r="B2832" t="str">
        <f>Segmenter!B2832</f>
        <v/>
      </c>
      <c r="C2832" t="str">
        <f t="shared" si="220"/>
        <v/>
      </c>
      <c r="D2832" t="str">
        <f t="shared" si="221"/>
        <v/>
      </c>
      <c r="E2832" t="str">
        <f t="shared" si="222"/>
        <v/>
      </c>
      <c r="F2832" t="str">
        <f>IF(D2832="","",INDEX(Knutepunkter!$B:$B,D2832+1))</f>
        <v/>
      </c>
      <c r="G2832" t="str">
        <f>IF(D2832="","",INDEX(Knutepunkter!$C:$C,D2832+1))</f>
        <v/>
      </c>
      <c r="H2832" t="str">
        <f>IF(D2832="","",INDEX(Knutepunkter!$D:$D,D2832+1))</f>
        <v/>
      </c>
      <c r="I2832" t="str">
        <f>IF(E2832="","",INDEX(Knutepunkter!$B:$B,E2832+1))</f>
        <v/>
      </c>
      <c r="J2832" t="str">
        <f>IF(E2832="","",INDEX(Knutepunkter!$C:$C,E2832+1))</f>
        <v/>
      </c>
      <c r="K2832" t="str">
        <f>IF(E2832="","",INDEX(Knutepunkter!$D:$D,E2832+1))</f>
        <v/>
      </c>
      <c r="L2832" t="str">
        <f t="shared" si="223"/>
        <v/>
      </c>
      <c r="M2832" t="str">
        <f t="shared" si="224"/>
        <v/>
      </c>
    </row>
    <row r="2833" spans="1:13" x14ac:dyDescent="0.3">
      <c r="A2833" t="str">
        <f>Segmenter!A2833</f>
        <v/>
      </c>
      <c r="B2833" t="str">
        <f>Segmenter!B2833</f>
        <v/>
      </c>
      <c r="C2833" t="str">
        <f t="shared" si="220"/>
        <v/>
      </c>
      <c r="D2833" t="str">
        <f t="shared" si="221"/>
        <v/>
      </c>
      <c r="E2833" t="str">
        <f t="shared" si="222"/>
        <v/>
      </c>
      <c r="F2833" t="str">
        <f>IF(D2833="","",INDEX(Knutepunkter!$B:$B,D2833+1))</f>
        <v/>
      </c>
      <c r="G2833" t="str">
        <f>IF(D2833="","",INDEX(Knutepunkter!$C:$C,D2833+1))</f>
        <v/>
      </c>
      <c r="H2833" t="str">
        <f>IF(D2833="","",INDEX(Knutepunkter!$D:$D,D2833+1))</f>
        <v/>
      </c>
      <c r="I2833" t="str">
        <f>IF(E2833="","",INDEX(Knutepunkter!$B:$B,E2833+1))</f>
        <v/>
      </c>
      <c r="J2833" t="str">
        <f>IF(E2833="","",INDEX(Knutepunkter!$C:$C,E2833+1))</f>
        <v/>
      </c>
      <c r="K2833" t="str">
        <f>IF(E2833="","",INDEX(Knutepunkter!$D:$D,E2833+1))</f>
        <v/>
      </c>
      <c r="L2833" t="str">
        <f t="shared" si="223"/>
        <v/>
      </c>
      <c r="M2833" t="str">
        <f t="shared" si="224"/>
        <v/>
      </c>
    </row>
    <row r="2834" spans="1:13" x14ac:dyDescent="0.3">
      <c r="A2834" t="str">
        <f>Segmenter!A2834</f>
        <v/>
      </c>
      <c r="B2834" t="str">
        <f>Segmenter!B2834</f>
        <v/>
      </c>
      <c r="C2834" t="str">
        <f t="shared" si="220"/>
        <v/>
      </c>
      <c r="D2834" t="str">
        <f t="shared" si="221"/>
        <v/>
      </c>
      <c r="E2834" t="str">
        <f t="shared" si="222"/>
        <v/>
      </c>
      <c r="F2834" t="str">
        <f>IF(D2834="","",INDEX(Knutepunkter!$B:$B,D2834+1))</f>
        <v/>
      </c>
      <c r="G2834" t="str">
        <f>IF(D2834="","",INDEX(Knutepunkter!$C:$C,D2834+1))</f>
        <v/>
      </c>
      <c r="H2834" t="str">
        <f>IF(D2834="","",INDEX(Knutepunkter!$D:$D,D2834+1))</f>
        <v/>
      </c>
      <c r="I2834" t="str">
        <f>IF(E2834="","",INDEX(Knutepunkter!$B:$B,E2834+1))</f>
        <v/>
      </c>
      <c r="J2834" t="str">
        <f>IF(E2834="","",INDEX(Knutepunkter!$C:$C,E2834+1))</f>
        <v/>
      </c>
      <c r="K2834" t="str">
        <f>IF(E2834="","",INDEX(Knutepunkter!$D:$D,E2834+1))</f>
        <v/>
      </c>
      <c r="L2834" t="str">
        <f t="shared" si="223"/>
        <v/>
      </c>
      <c r="M2834" t="str">
        <f t="shared" si="224"/>
        <v/>
      </c>
    </row>
    <row r="2835" spans="1:13" x14ac:dyDescent="0.3">
      <c r="A2835" t="str">
        <f>Segmenter!A2835</f>
        <v/>
      </c>
      <c r="B2835" t="str">
        <f>Segmenter!B2835</f>
        <v/>
      </c>
      <c r="C2835" t="str">
        <f t="shared" si="220"/>
        <v/>
      </c>
      <c r="D2835" t="str">
        <f t="shared" si="221"/>
        <v/>
      </c>
      <c r="E2835" t="str">
        <f t="shared" si="222"/>
        <v/>
      </c>
      <c r="F2835" t="str">
        <f>IF(D2835="","",INDEX(Knutepunkter!$B:$B,D2835+1))</f>
        <v/>
      </c>
      <c r="G2835" t="str">
        <f>IF(D2835="","",INDEX(Knutepunkter!$C:$C,D2835+1))</f>
        <v/>
      </c>
      <c r="H2835" t="str">
        <f>IF(D2835="","",INDEX(Knutepunkter!$D:$D,D2835+1))</f>
        <v/>
      </c>
      <c r="I2835" t="str">
        <f>IF(E2835="","",INDEX(Knutepunkter!$B:$B,E2835+1))</f>
        <v/>
      </c>
      <c r="J2835" t="str">
        <f>IF(E2835="","",INDEX(Knutepunkter!$C:$C,E2835+1))</f>
        <v/>
      </c>
      <c r="K2835" t="str">
        <f>IF(E2835="","",INDEX(Knutepunkter!$D:$D,E2835+1))</f>
        <v/>
      </c>
      <c r="L2835" t="str">
        <f t="shared" si="223"/>
        <v/>
      </c>
      <c r="M2835" t="str">
        <f t="shared" si="224"/>
        <v/>
      </c>
    </row>
    <row r="2836" spans="1:13" x14ac:dyDescent="0.3">
      <c r="A2836" t="str">
        <f>Segmenter!A2836</f>
        <v/>
      </c>
      <c r="B2836" t="str">
        <f>Segmenter!B2836</f>
        <v/>
      </c>
      <c r="C2836" t="str">
        <f t="shared" si="220"/>
        <v/>
      </c>
      <c r="D2836" t="str">
        <f t="shared" si="221"/>
        <v/>
      </c>
      <c r="E2836" t="str">
        <f t="shared" si="222"/>
        <v/>
      </c>
      <c r="F2836" t="str">
        <f>IF(D2836="","",INDEX(Knutepunkter!$B:$B,D2836+1))</f>
        <v/>
      </c>
      <c r="G2836" t="str">
        <f>IF(D2836="","",INDEX(Knutepunkter!$C:$C,D2836+1))</f>
        <v/>
      </c>
      <c r="H2836" t="str">
        <f>IF(D2836="","",INDEX(Knutepunkter!$D:$D,D2836+1))</f>
        <v/>
      </c>
      <c r="I2836" t="str">
        <f>IF(E2836="","",INDEX(Knutepunkter!$B:$B,E2836+1))</f>
        <v/>
      </c>
      <c r="J2836" t="str">
        <f>IF(E2836="","",INDEX(Knutepunkter!$C:$C,E2836+1))</f>
        <v/>
      </c>
      <c r="K2836" t="str">
        <f>IF(E2836="","",INDEX(Knutepunkter!$D:$D,E2836+1))</f>
        <v/>
      </c>
      <c r="L2836" t="str">
        <f t="shared" si="223"/>
        <v/>
      </c>
      <c r="M2836" t="str">
        <f t="shared" si="224"/>
        <v/>
      </c>
    </row>
    <row r="2837" spans="1:13" x14ac:dyDescent="0.3">
      <c r="A2837" t="str">
        <f>Segmenter!A2837</f>
        <v/>
      </c>
      <c r="B2837" t="str">
        <f>Segmenter!B2837</f>
        <v/>
      </c>
      <c r="C2837" t="str">
        <f t="shared" si="220"/>
        <v/>
      </c>
      <c r="D2837" t="str">
        <f t="shared" si="221"/>
        <v/>
      </c>
      <c r="E2837" t="str">
        <f t="shared" si="222"/>
        <v/>
      </c>
      <c r="F2837" t="str">
        <f>IF(D2837="","",INDEX(Knutepunkter!$B:$B,D2837+1))</f>
        <v/>
      </c>
      <c r="G2837" t="str">
        <f>IF(D2837="","",INDEX(Knutepunkter!$C:$C,D2837+1))</f>
        <v/>
      </c>
      <c r="H2837" t="str">
        <f>IF(D2837="","",INDEX(Knutepunkter!$D:$D,D2837+1))</f>
        <v/>
      </c>
      <c r="I2837" t="str">
        <f>IF(E2837="","",INDEX(Knutepunkter!$B:$B,E2837+1))</f>
        <v/>
      </c>
      <c r="J2837" t="str">
        <f>IF(E2837="","",INDEX(Knutepunkter!$C:$C,E2837+1))</f>
        <v/>
      </c>
      <c r="K2837" t="str">
        <f>IF(E2837="","",INDEX(Knutepunkter!$D:$D,E2837+1))</f>
        <v/>
      </c>
      <c r="L2837" t="str">
        <f t="shared" si="223"/>
        <v/>
      </c>
      <c r="M2837" t="str">
        <f t="shared" si="224"/>
        <v/>
      </c>
    </row>
    <row r="2838" spans="1:13" x14ac:dyDescent="0.3">
      <c r="A2838" t="str">
        <f>Segmenter!A2838</f>
        <v/>
      </c>
      <c r="B2838" t="str">
        <f>Segmenter!B2838</f>
        <v/>
      </c>
      <c r="C2838" t="str">
        <f t="shared" si="220"/>
        <v/>
      </c>
      <c r="D2838" t="str">
        <f t="shared" si="221"/>
        <v/>
      </c>
      <c r="E2838" t="str">
        <f t="shared" si="222"/>
        <v/>
      </c>
      <c r="F2838" t="str">
        <f>IF(D2838="","",INDEX(Knutepunkter!$B:$B,D2838+1))</f>
        <v/>
      </c>
      <c r="G2838" t="str">
        <f>IF(D2838="","",INDEX(Knutepunkter!$C:$C,D2838+1))</f>
        <v/>
      </c>
      <c r="H2838" t="str">
        <f>IF(D2838="","",INDEX(Knutepunkter!$D:$D,D2838+1))</f>
        <v/>
      </c>
      <c r="I2838" t="str">
        <f>IF(E2838="","",INDEX(Knutepunkter!$B:$B,E2838+1))</f>
        <v/>
      </c>
      <c r="J2838" t="str">
        <f>IF(E2838="","",INDEX(Knutepunkter!$C:$C,E2838+1))</f>
        <v/>
      </c>
      <c r="K2838" t="str">
        <f>IF(E2838="","",INDEX(Knutepunkter!$D:$D,E2838+1))</f>
        <v/>
      </c>
      <c r="L2838" t="str">
        <f t="shared" si="223"/>
        <v/>
      </c>
      <c r="M2838" t="str">
        <f t="shared" si="224"/>
        <v/>
      </c>
    </row>
    <row r="2839" spans="1:13" x14ac:dyDescent="0.3">
      <c r="A2839" t="str">
        <f>Segmenter!A2839</f>
        <v/>
      </c>
      <c r="B2839" t="str">
        <f>Segmenter!B2839</f>
        <v/>
      </c>
      <c r="C2839" t="str">
        <f t="shared" si="220"/>
        <v/>
      </c>
      <c r="D2839" t="str">
        <f t="shared" si="221"/>
        <v/>
      </c>
      <c r="E2839" t="str">
        <f t="shared" si="222"/>
        <v/>
      </c>
      <c r="F2839" t="str">
        <f>IF(D2839="","",INDEX(Knutepunkter!$B:$B,D2839+1))</f>
        <v/>
      </c>
      <c r="G2839" t="str">
        <f>IF(D2839="","",INDEX(Knutepunkter!$C:$C,D2839+1))</f>
        <v/>
      </c>
      <c r="H2839" t="str">
        <f>IF(D2839="","",INDEX(Knutepunkter!$D:$D,D2839+1))</f>
        <v/>
      </c>
      <c r="I2839" t="str">
        <f>IF(E2839="","",INDEX(Knutepunkter!$B:$B,E2839+1))</f>
        <v/>
      </c>
      <c r="J2839" t="str">
        <f>IF(E2839="","",INDEX(Knutepunkter!$C:$C,E2839+1))</f>
        <v/>
      </c>
      <c r="K2839" t="str">
        <f>IF(E2839="","",INDEX(Knutepunkter!$D:$D,E2839+1))</f>
        <v/>
      </c>
      <c r="L2839" t="str">
        <f t="shared" si="223"/>
        <v/>
      </c>
      <c r="M2839" t="str">
        <f t="shared" si="224"/>
        <v/>
      </c>
    </row>
    <row r="2840" spans="1:13" x14ac:dyDescent="0.3">
      <c r="A2840" t="str">
        <f>Segmenter!A2840</f>
        <v/>
      </c>
      <c r="B2840" t="str">
        <f>Segmenter!B2840</f>
        <v/>
      </c>
      <c r="C2840" t="str">
        <f t="shared" si="220"/>
        <v/>
      </c>
      <c r="D2840" t="str">
        <f t="shared" si="221"/>
        <v/>
      </c>
      <c r="E2840" t="str">
        <f t="shared" si="222"/>
        <v/>
      </c>
      <c r="F2840" t="str">
        <f>IF(D2840="","",INDEX(Knutepunkter!$B:$B,D2840+1))</f>
        <v/>
      </c>
      <c r="G2840" t="str">
        <f>IF(D2840="","",INDEX(Knutepunkter!$C:$C,D2840+1))</f>
        <v/>
      </c>
      <c r="H2840" t="str">
        <f>IF(D2840="","",INDEX(Knutepunkter!$D:$D,D2840+1))</f>
        <v/>
      </c>
      <c r="I2840" t="str">
        <f>IF(E2840="","",INDEX(Knutepunkter!$B:$B,E2840+1))</f>
        <v/>
      </c>
      <c r="J2840" t="str">
        <f>IF(E2840="","",INDEX(Knutepunkter!$C:$C,E2840+1))</f>
        <v/>
      </c>
      <c r="K2840" t="str">
        <f>IF(E2840="","",INDEX(Knutepunkter!$D:$D,E2840+1))</f>
        <v/>
      </c>
      <c r="L2840" t="str">
        <f t="shared" si="223"/>
        <v/>
      </c>
      <c r="M2840" t="str">
        <f t="shared" si="224"/>
        <v/>
      </c>
    </row>
    <row r="2841" spans="1:13" x14ac:dyDescent="0.3">
      <c r="A2841" t="str">
        <f>Segmenter!A2841</f>
        <v/>
      </c>
      <c r="B2841" t="str">
        <f>Segmenter!B2841</f>
        <v/>
      </c>
      <c r="C2841" t="str">
        <f t="shared" si="220"/>
        <v/>
      </c>
      <c r="D2841" t="str">
        <f t="shared" si="221"/>
        <v/>
      </c>
      <c r="E2841" t="str">
        <f t="shared" si="222"/>
        <v/>
      </c>
      <c r="F2841" t="str">
        <f>IF(D2841="","",INDEX(Knutepunkter!$B:$B,D2841+1))</f>
        <v/>
      </c>
      <c r="G2841" t="str">
        <f>IF(D2841="","",INDEX(Knutepunkter!$C:$C,D2841+1))</f>
        <v/>
      </c>
      <c r="H2841" t="str">
        <f>IF(D2841="","",INDEX(Knutepunkter!$D:$D,D2841+1))</f>
        <v/>
      </c>
      <c r="I2841" t="str">
        <f>IF(E2841="","",INDEX(Knutepunkter!$B:$B,E2841+1))</f>
        <v/>
      </c>
      <c r="J2841" t="str">
        <f>IF(E2841="","",INDEX(Knutepunkter!$C:$C,E2841+1))</f>
        <v/>
      </c>
      <c r="K2841" t="str">
        <f>IF(E2841="","",INDEX(Knutepunkter!$D:$D,E2841+1))</f>
        <v/>
      </c>
      <c r="L2841" t="str">
        <f t="shared" si="223"/>
        <v/>
      </c>
      <c r="M2841" t="str">
        <f t="shared" si="224"/>
        <v/>
      </c>
    </row>
    <row r="2842" spans="1:13" x14ac:dyDescent="0.3">
      <c r="A2842" t="str">
        <f>Segmenter!A2842</f>
        <v/>
      </c>
      <c r="B2842" t="str">
        <f>Segmenter!B2842</f>
        <v/>
      </c>
      <c r="C2842" t="str">
        <f t="shared" si="220"/>
        <v/>
      </c>
      <c r="D2842" t="str">
        <f t="shared" si="221"/>
        <v/>
      </c>
      <c r="E2842" t="str">
        <f t="shared" si="222"/>
        <v/>
      </c>
      <c r="F2842" t="str">
        <f>IF(D2842="","",INDEX(Knutepunkter!$B:$B,D2842+1))</f>
        <v/>
      </c>
      <c r="G2842" t="str">
        <f>IF(D2842="","",INDEX(Knutepunkter!$C:$C,D2842+1))</f>
        <v/>
      </c>
      <c r="H2842" t="str">
        <f>IF(D2842="","",INDEX(Knutepunkter!$D:$D,D2842+1))</f>
        <v/>
      </c>
      <c r="I2842" t="str">
        <f>IF(E2842="","",INDEX(Knutepunkter!$B:$B,E2842+1))</f>
        <v/>
      </c>
      <c r="J2842" t="str">
        <f>IF(E2842="","",INDEX(Knutepunkter!$C:$C,E2842+1))</f>
        <v/>
      </c>
      <c r="K2842" t="str">
        <f>IF(E2842="","",INDEX(Knutepunkter!$D:$D,E2842+1))</f>
        <v/>
      </c>
      <c r="L2842" t="str">
        <f t="shared" si="223"/>
        <v/>
      </c>
      <c r="M2842" t="str">
        <f t="shared" si="224"/>
        <v/>
      </c>
    </row>
    <row r="2843" spans="1:13" x14ac:dyDescent="0.3">
      <c r="A2843" t="str">
        <f>Segmenter!A2843</f>
        <v/>
      </c>
      <c r="B2843" t="str">
        <f>Segmenter!B2843</f>
        <v/>
      </c>
      <c r="C2843" t="str">
        <f t="shared" si="220"/>
        <v/>
      </c>
      <c r="D2843" t="str">
        <f t="shared" si="221"/>
        <v/>
      </c>
      <c r="E2843" t="str">
        <f t="shared" si="222"/>
        <v/>
      </c>
      <c r="F2843" t="str">
        <f>IF(D2843="","",INDEX(Knutepunkter!$B:$B,D2843+1))</f>
        <v/>
      </c>
      <c r="G2843" t="str">
        <f>IF(D2843="","",INDEX(Knutepunkter!$C:$C,D2843+1))</f>
        <v/>
      </c>
      <c r="H2843" t="str">
        <f>IF(D2843="","",INDEX(Knutepunkter!$D:$D,D2843+1))</f>
        <v/>
      </c>
      <c r="I2843" t="str">
        <f>IF(E2843="","",INDEX(Knutepunkter!$B:$B,E2843+1))</f>
        <v/>
      </c>
      <c r="J2843" t="str">
        <f>IF(E2843="","",INDEX(Knutepunkter!$C:$C,E2843+1))</f>
        <v/>
      </c>
      <c r="K2843" t="str">
        <f>IF(E2843="","",INDEX(Knutepunkter!$D:$D,E2843+1))</f>
        <v/>
      </c>
      <c r="L2843" t="str">
        <f t="shared" si="223"/>
        <v/>
      </c>
      <c r="M2843" t="str">
        <f t="shared" si="224"/>
        <v/>
      </c>
    </row>
    <row r="2844" spans="1:13" x14ac:dyDescent="0.3">
      <c r="A2844" t="str">
        <f>Segmenter!A2844</f>
        <v/>
      </c>
      <c r="B2844" t="str">
        <f>Segmenter!B2844</f>
        <v/>
      </c>
      <c r="C2844" t="str">
        <f t="shared" si="220"/>
        <v/>
      </c>
      <c r="D2844" t="str">
        <f t="shared" si="221"/>
        <v/>
      </c>
      <c r="E2844" t="str">
        <f t="shared" si="222"/>
        <v/>
      </c>
      <c r="F2844" t="str">
        <f>IF(D2844="","",INDEX(Knutepunkter!$B:$B,D2844+1))</f>
        <v/>
      </c>
      <c r="G2844" t="str">
        <f>IF(D2844="","",INDEX(Knutepunkter!$C:$C,D2844+1))</f>
        <v/>
      </c>
      <c r="H2844" t="str">
        <f>IF(D2844="","",INDEX(Knutepunkter!$D:$D,D2844+1))</f>
        <v/>
      </c>
      <c r="I2844" t="str">
        <f>IF(E2844="","",INDEX(Knutepunkter!$B:$B,E2844+1))</f>
        <v/>
      </c>
      <c r="J2844" t="str">
        <f>IF(E2844="","",INDEX(Knutepunkter!$C:$C,E2844+1))</f>
        <v/>
      </c>
      <c r="K2844" t="str">
        <f>IF(E2844="","",INDEX(Knutepunkter!$D:$D,E2844+1))</f>
        <v/>
      </c>
      <c r="L2844" t="str">
        <f t="shared" si="223"/>
        <v/>
      </c>
      <c r="M2844" t="str">
        <f t="shared" si="224"/>
        <v/>
      </c>
    </row>
    <row r="2845" spans="1:13" x14ac:dyDescent="0.3">
      <c r="A2845" t="str">
        <f>Segmenter!A2845</f>
        <v/>
      </c>
      <c r="B2845" t="str">
        <f>Segmenter!B2845</f>
        <v/>
      </c>
      <c r="C2845" t="str">
        <f t="shared" si="220"/>
        <v/>
      </c>
      <c r="D2845" t="str">
        <f t="shared" si="221"/>
        <v/>
      </c>
      <c r="E2845" t="str">
        <f t="shared" si="222"/>
        <v/>
      </c>
      <c r="F2845" t="str">
        <f>IF(D2845="","",INDEX(Knutepunkter!$B:$B,D2845+1))</f>
        <v/>
      </c>
      <c r="G2845" t="str">
        <f>IF(D2845="","",INDEX(Knutepunkter!$C:$C,D2845+1))</f>
        <v/>
      </c>
      <c r="H2845" t="str">
        <f>IF(D2845="","",INDEX(Knutepunkter!$D:$D,D2845+1))</f>
        <v/>
      </c>
      <c r="I2845" t="str">
        <f>IF(E2845="","",INDEX(Knutepunkter!$B:$B,E2845+1))</f>
        <v/>
      </c>
      <c r="J2845" t="str">
        <f>IF(E2845="","",INDEX(Knutepunkter!$C:$C,E2845+1))</f>
        <v/>
      </c>
      <c r="K2845" t="str">
        <f>IF(E2845="","",INDEX(Knutepunkter!$D:$D,E2845+1))</f>
        <v/>
      </c>
      <c r="L2845" t="str">
        <f t="shared" si="223"/>
        <v/>
      </c>
      <c r="M2845" t="str">
        <f t="shared" si="224"/>
        <v/>
      </c>
    </row>
    <row r="2846" spans="1:13" x14ac:dyDescent="0.3">
      <c r="A2846" t="str">
        <f>Segmenter!A2846</f>
        <v/>
      </c>
      <c r="B2846" t="str">
        <f>Segmenter!B2846</f>
        <v/>
      </c>
      <c r="C2846" t="str">
        <f t="shared" si="220"/>
        <v/>
      </c>
      <c r="D2846" t="str">
        <f t="shared" si="221"/>
        <v/>
      </c>
      <c r="E2846" t="str">
        <f t="shared" si="222"/>
        <v/>
      </c>
      <c r="F2846" t="str">
        <f>IF(D2846="","",INDEX(Knutepunkter!$B:$B,D2846+1))</f>
        <v/>
      </c>
      <c r="G2846" t="str">
        <f>IF(D2846="","",INDEX(Knutepunkter!$C:$C,D2846+1))</f>
        <v/>
      </c>
      <c r="H2846" t="str">
        <f>IF(D2846="","",INDEX(Knutepunkter!$D:$D,D2846+1))</f>
        <v/>
      </c>
      <c r="I2846" t="str">
        <f>IF(E2846="","",INDEX(Knutepunkter!$B:$B,E2846+1))</f>
        <v/>
      </c>
      <c r="J2846" t="str">
        <f>IF(E2846="","",INDEX(Knutepunkter!$C:$C,E2846+1))</f>
        <v/>
      </c>
      <c r="K2846" t="str">
        <f>IF(E2846="","",INDEX(Knutepunkter!$D:$D,E2846+1))</f>
        <v/>
      </c>
      <c r="L2846" t="str">
        <f t="shared" si="223"/>
        <v/>
      </c>
      <c r="M2846" t="str">
        <f t="shared" si="224"/>
        <v/>
      </c>
    </row>
    <row r="2847" spans="1:13" x14ac:dyDescent="0.3">
      <c r="A2847" t="str">
        <f>Segmenter!A2847</f>
        <v/>
      </c>
      <c r="B2847" t="str">
        <f>Segmenter!B2847</f>
        <v/>
      </c>
      <c r="C2847" t="str">
        <f t="shared" si="220"/>
        <v/>
      </c>
      <c r="D2847" t="str">
        <f t="shared" si="221"/>
        <v/>
      </c>
      <c r="E2847" t="str">
        <f t="shared" si="222"/>
        <v/>
      </c>
      <c r="F2847" t="str">
        <f>IF(D2847="","",INDEX(Knutepunkter!$B:$B,D2847+1))</f>
        <v/>
      </c>
      <c r="G2847" t="str">
        <f>IF(D2847="","",INDEX(Knutepunkter!$C:$C,D2847+1))</f>
        <v/>
      </c>
      <c r="H2847" t="str">
        <f>IF(D2847="","",INDEX(Knutepunkter!$D:$D,D2847+1))</f>
        <v/>
      </c>
      <c r="I2847" t="str">
        <f>IF(E2847="","",INDEX(Knutepunkter!$B:$B,E2847+1))</f>
        <v/>
      </c>
      <c r="J2847" t="str">
        <f>IF(E2847="","",INDEX(Knutepunkter!$C:$C,E2847+1))</f>
        <v/>
      </c>
      <c r="K2847" t="str">
        <f>IF(E2847="","",INDEX(Knutepunkter!$D:$D,E2847+1))</f>
        <v/>
      </c>
      <c r="L2847" t="str">
        <f t="shared" si="223"/>
        <v/>
      </c>
      <c r="M2847" t="str">
        <f t="shared" si="224"/>
        <v/>
      </c>
    </row>
    <row r="2848" spans="1:13" x14ac:dyDescent="0.3">
      <c r="A2848" t="str">
        <f>Segmenter!A2848</f>
        <v/>
      </c>
      <c r="B2848" t="str">
        <f>Segmenter!B2848</f>
        <v/>
      </c>
      <c r="C2848" t="str">
        <f t="shared" si="220"/>
        <v/>
      </c>
      <c r="D2848" t="str">
        <f t="shared" si="221"/>
        <v/>
      </c>
      <c r="E2848" t="str">
        <f t="shared" si="222"/>
        <v/>
      </c>
      <c r="F2848" t="str">
        <f>IF(D2848="","",INDEX(Knutepunkter!$B:$B,D2848+1))</f>
        <v/>
      </c>
      <c r="G2848" t="str">
        <f>IF(D2848="","",INDEX(Knutepunkter!$C:$C,D2848+1))</f>
        <v/>
      </c>
      <c r="H2848" t="str">
        <f>IF(D2848="","",INDEX(Knutepunkter!$D:$D,D2848+1))</f>
        <v/>
      </c>
      <c r="I2848" t="str">
        <f>IF(E2848="","",INDEX(Knutepunkter!$B:$B,E2848+1))</f>
        <v/>
      </c>
      <c r="J2848" t="str">
        <f>IF(E2848="","",INDEX(Knutepunkter!$C:$C,E2848+1))</f>
        <v/>
      </c>
      <c r="K2848" t="str">
        <f>IF(E2848="","",INDEX(Knutepunkter!$D:$D,E2848+1))</f>
        <v/>
      </c>
      <c r="L2848" t="str">
        <f t="shared" si="223"/>
        <v/>
      </c>
      <c r="M2848" t="str">
        <f t="shared" si="224"/>
        <v/>
      </c>
    </row>
    <row r="2849" spans="1:13" x14ac:dyDescent="0.3">
      <c r="A2849" t="str">
        <f>Segmenter!A2849</f>
        <v/>
      </c>
      <c r="B2849" t="str">
        <f>Segmenter!B2849</f>
        <v/>
      </c>
      <c r="C2849" t="str">
        <f t="shared" si="220"/>
        <v/>
      </c>
      <c r="D2849" t="str">
        <f t="shared" si="221"/>
        <v/>
      </c>
      <c r="E2849" t="str">
        <f t="shared" si="222"/>
        <v/>
      </c>
      <c r="F2849" t="str">
        <f>IF(D2849="","",INDEX(Knutepunkter!$B:$B,D2849+1))</f>
        <v/>
      </c>
      <c r="G2849" t="str">
        <f>IF(D2849="","",INDEX(Knutepunkter!$C:$C,D2849+1))</f>
        <v/>
      </c>
      <c r="H2849" t="str">
        <f>IF(D2849="","",INDEX(Knutepunkter!$D:$D,D2849+1))</f>
        <v/>
      </c>
      <c r="I2849" t="str">
        <f>IF(E2849="","",INDEX(Knutepunkter!$B:$B,E2849+1))</f>
        <v/>
      </c>
      <c r="J2849" t="str">
        <f>IF(E2849="","",INDEX(Knutepunkter!$C:$C,E2849+1))</f>
        <v/>
      </c>
      <c r="K2849" t="str">
        <f>IF(E2849="","",INDEX(Knutepunkter!$D:$D,E2849+1))</f>
        <v/>
      </c>
      <c r="L2849" t="str">
        <f t="shared" si="223"/>
        <v/>
      </c>
      <c r="M2849" t="str">
        <f t="shared" si="224"/>
        <v/>
      </c>
    </row>
    <row r="2850" spans="1:13" x14ac:dyDescent="0.3">
      <c r="A2850" t="str">
        <f>Segmenter!A2850</f>
        <v/>
      </c>
      <c r="B2850" t="str">
        <f>Segmenter!B2850</f>
        <v/>
      </c>
      <c r="C2850" t="str">
        <f t="shared" si="220"/>
        <v/>
      </c>
      <c r="D2850" t="str">
        <f t="shared" si="221"/>
        <v/>
      </c>
      <c r="E2850" t="str">
        <f t="shared" si="222"/>
        <v/>
      </c>
      <c r="F2850" t="str">
        <f>IF(D2850="","",INDEX(Knutepunkter!$B:$B,D2850+1))</f>
        <v/>
      </c>
      <c r="G2850" t="str">
        <f>IF(D2850="","",INDEX(Knutepunkter!$C:$C,D2850+1))</f>
        <v/>
      </c>
      <c r="H2850" t="str">
        <f>IF(D2850="","",INDEX(Knutepunkter!$D:$D,D2850+1))</f>
        <v/>
      </c>
      <c r="I2850" t="str">
        <f>IF(E2850="","",INDEX(Knutepunkter!$B:$B,E2850+1))</f>
        <v/>
      </c>
      <c r="J2850" t="str">
        <f>IF(E2850="","",INDEX(Knutepunkter!$C:$C,E2850+1))</f>
        <v/>
      </c>
      <c r="K2850" t="str">
        <f>IF(E2850="","",INDEX(Knutepunkter!$D:$D,E2850+1))</f>
        <v/>
      </c>
      <c r="L2850" t="str">
        <f t="shared" si="223"/>
        <v/>
      </c>
      <c r="M2850" t="str">
        <f t="shared" si="224"/>
        <v/>
      </c>
    </row>
    <row r="2851" spans="1:13" x14ac:dyDescent="0.3">
      <c r="A2851" t="str">
        <f>Segmenter!A2851</f>
        <v/>
      </c>
      <c r="B2851" t="str">
        <f>Segmenter!B2851</f>
        <v/>
      </c>
      <c r="C2851" t="str">
        <f t="shared" si="220"/>
        <v/>
      </c>
      <c r="D2851" t="str">
        <f t="shared" si="221"/>
        <v/>
      </c>
      <c r="E2851" t="str">
        <f t="shared" si="222"/>
        <v/>
      </c>
      <c r="F2851" t="str">
        <f>IF(D2851="","",INDEX(Knutepunkter!$B:$B,D2851+1))</f>
        <v/>
      </c>
      <c r="G2851" t="str">
        <f>IF(D2851="","",INDEX(Knutepunkter!$C:$C,D2851+1))</f>
        <v/>
      </c>
      <c r="H2851" t="str">
        <f>IF(D2851="","",INDEX(Knutepunkter!$D:$D,D2851+1))</f>
        <v/>
      </c>
      <c r="I2851" t="str">
        <f>IF(E2851="","",INDEX(Knutepunkter!$B:$B,E2851+1))</f>
        <v/>
      </c>
      <c r="J2851" t="str">
        <f>IF(E2851="","",INDEX(Knutepunkter!$C:$C,E2851+1))</f>
        <v/>
      </c>
      <c r="K2851" t="str">
        <f>IF(E2851="","",INDEX(Knutepunkter!$D:$D,E2851+1))</f>
        <v/>
      </c>
      <c r="L2851" t="str">
        <f t="shared" si="223"/>
        <v/>
      </c>
      <c r="M2851" t="str">
        <f t="shared" si="224"/>
        <v/>
      </c>
    </row>
    <row r="2852" spans="1:13" x14ac:dyDescent="0.3">
      <c r="A2852" t="str">
        <f>Segmenter!A2852</f>
        <v/>
      </c>
      <c r="B2852" t="str">
        <f>Segmenter!B2852</f>
        <v/>
      </c>
      <c r="C2852" t="str">
        <f t="shared" si="220"/>
        <v/>
      </c>
      <c r="D2852" t="str">
        <f t="shared" si="221"/>
        <v/>
      </c>
      <c r="E2852" t="str">
        <f t="shared" si="222"/>
        <v/>
      </c>
      <c r="F2852" t="str">
        <f>IF(D2852="","",INDEX(Knutepunkter!$B:$B,D2852+1))</f>
        <v/>
      </c>
      <c r="G2852" t="str">
        <f>IF(D2852="","",INDEX(Knutepunkter!$C:$C,D2852+1))</f>
        <v/>
      </c>
      <c r="H2852" t="str">
        <f>IF(D2852="","",INDEX(Knutepunkter!$D:$D,D2852+1))</f>
        <v/>
      </c>
      <c r="I2852" t="str">
        <f>IF(E2852="","",INDEX(Knutepunkter!$B:$B,E2852+1))</f>
        <v/>
      </c>
      <c r="J2852" t="str">
        <f>IF(E2852="","",INDEX(Knutepunkter!$C:$C,E2852+1))</f>
        <v/>
      </c>
      <c r="K2852" t="str">
        <f>IF(E2852="","",INDEX(Knutepunkter!$D:$D,E2852+1))</f>
        <v/>
      </c>
      <c r="L2852" t="str">
        <f t="shared" si="223"/>
        <v/>
      </c>
      <c r="M2852" t="str">
        <f t="shared" si="224"/>
        <v/>
      </c>
    </row>
    <row r="2853" spans="1:13" x14ac:dyDescent="0.3">
      <c r="A2853" t="str">
        <f>Segmenter!A2853</f>
        <v/>
      </c>
      <c r="B2853" t="str">
        <f>Segmenter!B2853</f>
        <v/>
      </c>
      <c r="C2853" t="str">
        <f t="shared" si="220"/>
        <v/>
      </c>
      <c r="D2853" t="str">
        <f t="shared" si="221"/>
        <v/>
      </c>
      <c r="E2853" t="str">
        <f t="shared" si="222"/>
        <v/>
      </c>
      <c r="F2853" t="str">
        <f>IF(D2853="","",INDEX(Knutepunkter!$B:$B,D2853+1))</f>
        <v/>
      </c>
      <c r="G2853" t="str">
        <f>IF(D2853="","",INDEX(Knutepunkter!$C:$C,D2853+1))</f>
        <v/>
      </c>
      <c r="H2853" t="str">
        <f>IF(D2853="","",INDEX(Knutepunkter!$D:$D,D2853+1))</f>
        <v/>
      </c>
      <c r="I2853" t="str">
        <f>IF(E2853="","",INDEX(Knutepunkter!$B:$B,E2853+1))</f>
        <v/>
      </c>
      <c r="J2853" t="str">
        <f>IF(E2853="","",INDEX(Knutepunkter!$C:$C,E2853+1))</f>
        <v/>
      </c>
      <c r="K2853" t="str">
        <f>IF(E2853="","",INDEX(Knutepunkter!$D:$D,E2853+1))</f>
        <v/>
      </c>
      <c r="L2853" t="str">
        <f t="shared" si="223"/>
        <v/>
      </c>
      <c r="M2853" t="str">
        <f t="shared" si="224"/>
        <v/>
      </c>
    </row>
    <row r="2854" spans="1:13" x14ac:dyDescent="0.3">
      <c r="A2854" t="str">
        <f>Segmenter!A2854</f>
        <v/>
      </c>
      <c r="B2854" t="str">
        <f>Segmenter!B2854</f>
        <v/>
      </c>
      <c r="C2854" t="str">
        <f t="shared" si="220"/>
        <v/>
      </c>
      <c r="D2854" t="str">
        <f t="shared" si="221"/>
        <v/>
      </c>
      <c r="E2854" t="str">
        <f t="shared" si="222"/>
        <v/>
      </c>
      <c r="F2854" t="str">
        <f>IF(D2854="","",INDEX(Knutepunkter!$B:$B,D2854+1))</f>
        <v/>
      </c>
      <c r="G2854" t="str">
        <f>IF(D2854="","",INDEX(Knutepunkter!$C:$C,D2854+1))</f>
        <v/>
      </c>
      <c r="H2854" t="str">
        <f>IF(D2854="","",INDEX(Knutepunkter!$D:$D,D2854+1))</f>
        <v/>
      </c>
      <c r="I2854" t="str">
        <f>IF(E2854="","",INDEX(Knutepunkter!$B:$B,E2854+1))</f>
        <v/>
      </c>
      <c r="J2854" t="str">
        <f>IF(E2854="","",INDEX(Knutepunkter!$C:$C,E2854+1))</f>
        <v/>
      </c>
      <c r="K2854" t="str">
        <f>IF(E2854="","",INDEX(Knutepunkter!$D:$D,E2854+1))</f>
        <v/>
      </c>
      <c r="L2854" t="str">
        <f t="shared" si="223"/>
        <v/>
      </c>
      <c r="M2854" t="str">
        <f t="shared" si="224"/>
        <v/>
      </c>
    </row>
    <row r="2855" spans="1:13" x14ac:dyDescent="0.3">
      <c r="A2855" t="str">
        <f>Segmenter!A2855</f>
        <v/>
      </c>
      <c r="B2855" t="str">
        <f>Segmenter!B2855</f>
        <v/>
      </c>
      <c r="C2855" t="str">
        <f t="shared" si="220"/>
        <v/>
      </c>
      <c r="D2855" t="str">
        <f t="shared" si="221"/>
        <v/>
      </c>
      <c r="E2855" t="str">
        <f t="shared" si="222"/>
        <v/>
      </c>
      <c r="F2855" t="str">
        <f>IF(D2855="","",INDEX(Knutepunkter!$B:$B,D2855+1))</f>
        <v/>
      </c>
      <c r="G2855" t="str">
        <f>IF(D2855="","",INDEX(Knutepunkter!$C:$C,D2855+1))</f>
        <v/>
      </c>
      <c r="H2855" t="str">
        <f>IF(D2855="","",INDEX(Knutepunkter!$D:$D,D2855+1))</f>
        <v/>
      </c>
      <c r="I2855" t="str">
        <f>IF(E2855="","",INDEX(Knutepunkter!$B:$B,E2855+1))</f>
        <v/>
      </c>
      <c r="J2855" t="str">
        <f>IF(E2855="","",INDEX(Knutepunkter!$C:$C,E2855+1))</f>
        <v/>
      </c>
      <c r="K2855" t="str">
        <f>IF(E2855="","",INDEX(Knutepunkter!$D:$D,E2855+1))</f>
        <v/>
      </c>
      <c r="L2855" t="str">
        <f t="shared" si="223"/>
        <v/>
      </c>
      <c r="M2855" t="str">
        <f t="shared" si="224"/>
        <v/>
      </c>
    </row>
    <row r="2856" spans="1:13" x14ac:dyDescent="0.3">
      <c r="A2856" t="str">
        <f>Segmenter!A2856</f>
        <v/>
      </c>
      <c r="B2856" t="str">
        <f>Segmenter!B2856</f>
        <v/>
      </c>
      <c r="C2856" t="str">
        <f t="shared" si="220"/>
        <v/>
      </c>
      <c r="D2856" t="str">
        <f t="shared" si="221"/>
        <v/>
      </c>
      <c r="E2856" t="str">
        <f t="shared" si="222"/>
        <v/>
      </c>
      <c r="F2856" t="str">
        <f>IF(D2856="","",INDEX(Knutepunkter!$B:$B,D2856+1))</f>
        <v/>
      </c>
      <c r="G2856" t="str">
        <f>IF(D2856="","",INDEX(Knutepunkter!$C:$C,D2856+1))</f>
        <v/>
      </c>
      <c r="H2856" t="str">
        <f>IF(D2856="","",INDEX(Knutepunkter!$D:$D,D2856+1))</f>
        <v/>
      </c>
      <c r="I2856" t="str">
        <f>IF(E2856="","",INDEX(Knutepunkter!$B:$B,E2856+1))</f>
        <v/>
      </c>
      <c r="J2856" t="str">
        <f>IF(E2856="","",INDEX(Knutepunkter!$C:$C,E2856+1))</f>
        <v/>
      </c>
      <c r="K2856" t="str">
        <f>IF(E2856="","",INDEX(Knutepunkter!$D:$D,E2856+1))</f>
        <v/>
      </c>
      <c r="L2856" t="str">
        <f t="shared" si="223"/>
        <v/>
      </c>
      <c r="M2856" t="str">
        <f t="shared" si="224"/>
        <v/>
      </c>
    </row>
    <row r="2857" spans="1:13" x14ac:dyDescent="0.3">
      <c r="A2857" t="str">
        <f>Segmenter!A2857</f>
        <v/>
      </c>
      <c r="B2857" t="str">
        <f>Segmenter!B2857</f>
        <v/>
      </c>
      <c r="C2857" t="str">
        <f t="shared" si="220"/>
        <v/>
      </c>
      <c r="D2857" t="str">
        <f t="shared" si="221"/>
        <v/>
      </c>
      <c r="E2857" t="str">
        <f t="shared" si="222"/>
        <v/>
      </c>
      <c r="F2857" t="str">
        <f>IF(D2857="","",INDEX(Knutepunkter!$B:$B,D2857+1))</f>
        <v/>
      </c>
      <c r="G2857" t="str">
        <f>IF(D2857="","",INDEX(Knutepunkter!$C:$C,D2857+1))</f>
        <v/>
      </c>
      <c r="H2857" t="str">
        <f>IF(D2857="","",INDEX(Knutepunkter!$D:$D,D2857+1))</f>
        <v/>
      </c>
      <c r="I2857" t="str">
        <f>IF(E2857="","",INDEX(Knutepunkter!$B:$B,E2857+1))</f>
        <v/>
      </c>
      <c r="J2857" t="str">
        <f>IF(E2857="","",INDEX(Knutepunkter!$C:$C,E2857+1))</f>
        <v/>
      </c>
      <c r="K2857" t="str">
        <f>IF(E2857="","",INDEX(Knutepunkter!$D:$D,E2857+1))</f>
        <v/>
      </c>
      <c r="L2857" t="str">
        <f t="shared" si="223"/>
        <v/>
      </c>
      <c r="M2857" t="str">
        <f t="shared" si="224"/>
        <v/>
      </c>
    </row>
    <row r="2858" spans="1:13" x14ac:dyDescent="0.3">
      <c r="A2858" t="str">
        <f>Segmenter!A2858</f>
        <v/>
      </c>
      <c r="B2858" t="str">
        <f>Segmenter!B2858</f>
        <v/>
      </c>
      <c r="C2858" t="str">
        <f t="shared" si="220"/>
        <v/>
      </c>
      <c r="D2858" t="str">
        <f t="shared" si="221"/>
        <v/>
      </c>
      <c r="E2858" t="str">
        <f t="shared" si="222"/>
        <v/>
      </c>
      <c r="F2858" t="str">
        <f>IF(D2858="","",INDEX(Knutepunkter!$B:$B,D2858+1))</f>
        <v/>
      </c>
      <c r="G2858" t="str">
        <f>IF(D2858="","",INDEX(Knutepunkter!$C:$C,D2858+1))</f>
        <v/>
      </c>
      <c r="H2858" t="str">
        <f>IF(D2858="","",INDEX(Knutepunkter!$D:$D,D2858+1))</f>
        <v/>
      </c>
      <c r="I2858" t="str">
        <f>IF(E2858="","",INDEX(Knutepunkter!$B:$B,E2858+1))</f>
        <v/>
      </c>
      <c r="J2858" t="str">
        <f>IF(E2858="","",INDEX(Knutepunkter!$C:$C,E2858+1))</f>
        <v/>
      </c>
      <c r="K2858" t="str">
        <f>IF(E2858="","",INDEX(Knutepunkter!$D:$D,E2858+1))</f>
        <v/>
      </c>
      <c r="L2858" t="str">
        <f t="shared" si="223"/>
        <v/>
      </c>
      <c r="M2858" t="str">
        <f t="shared" si="224"/>
        <v/>
      </c>
    </row>
    <row r="2859" spans="1:13" x14ac:dyDescent="0.3">
      <c r="A2859" t="str">
        <f>Segmenter!A2859</f>
        <v/>
      </c>
      <c r="B2859" t="str">
        <f>Segmenter!B2859</f>
        <v/>
      </c>
      <c r="C2859" t="str">
        <f t="shared" si="220"/>
        <v/>
      </c>
      <c r="D2859" t="str">
        <f t="shared" si="221"/>
        <v/>
      </c>
      <c r="E2859" t="str">
        <f t="shared" si="222"/>
        <v/>
      </c>
      <c r="F2859" t="str">
        <f>IF(D2859="","",INDEX(Knutepunkter!$B:$B,D2859+1))</f>
        <v/>
      </c>
      <c r="G2859" t="str">
        <f>IF(D2859="","",INDEX(Knutepunkter!$C:$C,D2859+1))</f>
        <v/>
      </c>
      <c r="H2859" t="str">
        <f>IF(D2859="","",INDEX(Knutepunkter!$D:$D,D2859+1))</f>
        <v/>
      </c>
      <c r="I2859" t="str">
        <f>IF(E2859="","",INDEX(Knutepunkter!$B:$B,E2859+1))</f>
        <v/>
      </c>
      <c r="J2859" t="str">
        <f>IF(E2859="","",INDEX(Knutepunkter!$C:$C,E2859+1))</f>
        <v/>
      </c>
      <c r="K2859" t="str">
        <f>IF(E2859="","",INDEX(Knutepunkter!$D:$D,E2859+1))</f>
        <v/>
      </c>
      <c r="L2859" t="str">
        <f t="shared" si="223"/>
        <v/>
      </c>
      <c r="M2859" t="str">
        <f t="shared" si="224"/>
        <v/>
      </c>
    </row>
    <row r="2860" spans="1:13" x14ac:dyDescent="0.3">
      <c r="A2860" t="str">
        <f>Segmenter!A2860</f>
        <v/>
      </c>
      <c r="B2860" t="str">
        <f>Segmenter!B2860</f>
        <v/>
      </c>
      <c r="C2860" t="str">
        <f t="shared" si="220"/>
        <v/>
      </c>
      <c r="D2860" t="str">
        <f t="shared" si="221"/>
        <v/>
      </c>
      <c r="E2860" t="str">
        <f t="shared" si="222"/>
        <v/>
      </c>
      <c r="F2860" t="str">
        <f>IF(D2860="","",INDEX(Knutepunkter!$B:$B,D2860+1))</f>
        <v/>
      </c>
      <c r="G2860" t="str">
        <f>IF(D2860="","",INDEX(Knutepunkter!$C:$C,D2860+1))</f>
        <v/>
      </c>
      <c r="H2860" t="str">
        <f>IF(D2860="","",INDEX(Knutepunkter!$D:$D,D2860+1))</f>
        <v/>
      </c>
      <c r="I2860" t="str">
        <f>IF(E2860="","",INDEX(Knutepunkter!$B:$B,E2860+1))</f>
        <v/>
      </c>
      <c r="J2860" t="str">
        <f>IF(E2860="","",INDEX(Knutepunkter!$C:$C,E2860+1))</f>
        <v/>
      </c>
      <c r="K2860" t="str">
        <f>IF(E2860="","",INDEX(Knutepunkter!$D:$D,E2860+1))</f>
        <v/>
      </c>
      <c r="L2860" t="str">
        <f t="shared" si="223"/>
        <v/>
      </c>
      <c r="M2860" t="str">
        <f t="shared" si="224"/>
        <v/>
      </c>
    </row>
    <row r="2861" spans="1:13" x14ac:dyDescent="0.3">
      <c r="A2861" t="str">
        <f>Segmenter!A2861</f>
        <v/>
      </c>
      <c r="B2861" t="str">
        <f>Segmenter!B2861</f>
        <v/>
      </c>
      <c r="C2861" t="str">
        <f t="shared" si="220"/>
        <v/>
      </c>
      <c r="D2861" t="str">
        <f t="shared" si="221"/>
        <v/>
      </c>
      <c r="E2861" t="str">
        <f t="shared" si="222"/>
        <v/>
      </c>
      <c r="F2861" t="str">
        <f>IF(D2861="","",INDEX(Knutepunkter!$B:$B,D2861+1))</f>
        <v/>
      </c>
      <c r="G2861" t="str">
        <f>IF(D2861="","",INDEX(Knutepunkter!$C:$C,D2861+1))</f>
        <v/>
      </c>
      <c r="H2861" t="str">
        <f>IF(D2861="","",INDEX(Knutepunkter!$D:$D,D2861+1))</f>
        <v/>
      </c>
      <c r="I2861" t="str">
        <f>IF(E2861="","",INDEX(Knutepunkter!$B:$B,E2861+1))</f>
        <v/>
      </c>
      <c r="J2861" t="str">
        <f>IF(E2861="","",INDEX(Knutepunkter!$C:$C,E2861+1))</f>
        <v/>
      </c>
      <c r="K2861" t="str">
        <f>IF(E2861="","",INDEX(Knutepunkter!$D:$D,E2861+1))</f>
        <v/>
      </c>
      <c r="L2861" t="str">
        <f t="shared" si="223"/>
        <v/>
      </c>
      <c r="M2861" t="str">
        <f t="shared" si="224"/>
        <v/>
      </c>
    </row>
    <row r="2862" spans="1:13" x14ac:dyDescent="0.3">
      <c r="A2862" t="str">
        <f>Segmenter!A2862</f>
        <v/>
      </c>
      <c r="B2862" t="str">
        <f>Segmenter!B2862</f>
        <v/>
      </c>
      <c r="C2862" t="str">
        <f t="shared" si="220"/>
        <v/>
      </c>
      <c r="D2862" t="str">
        <f t="shared" si="221"/>
        <v/>
      </c>
      <c r="E2862" t="str">
        <f t="shared" si="222"/>
        <v/>
      </c>
      <c r="F2862" t="str">
        <f>IF(D2862="","",INDEX(Knutepunkter!$B:$B,D2862+1))</f>
        <v/>
      </c>
      <c r="G2862" t="str">
        <f>IF(D2862="","",INDEX(Knutepunkter!$C:$C,D2862+1))</f>
        <v/>
      </c>
      <c r="H2862" t="str">
        <f>IF(D2862="","",INDEX(Knutepunkter!$D:$D,D2862+1))</f>
        <v/>
      </c>
      <c r="I2862" t="str">
        <f>IF(E2862="","",INDEX(Knutepunkter!$B:$B,E2862+1))</f>
        <v/>
      </c>
      <c r="J2862" t="str">
        <f>IF(E2862="","",INDEX(Knutepunkter!$C:$C,E2862+1))</f>
        <v/>
      </c>
      <c r="K2862" t="str">
        <f>IF(E2862="","",INDEX(Knutepunkter!$D:$D,E2862+1))</f>
        <v/>
      </c>
      <c r="L2862" t="str">
        <f t="shared" si="223"/>
        <v/>
      </c>
      <c r="M2862" t="str">
        <f t="shared" si="224"/>
        <v/>
      </c>
    </row>
    <row r="2863" spans="1:13" x14ac:dyDescent="0.3">
      <c r="A2863" t="str">
        <f>Segmenter!A2863</f>
        <v/>
      </c>
      <c r="B2863" t="str">
        <f>Segmenter!B2863</f>
        <v/>
      </c>
      <c r="C2863" t="str">
        <f t="shared" si="220"/>
        <v/>
      </c>
      <c r="D2863" t="str">
        <f t="shared" si="221"/>
        <v/>
      </c>
      <c r="E2863" t="str">
        <f t="shared" si="222"/>
        <v/>
      </c>
      <c r="F2863" t="str">
        <f>IF(D2863="","",INDEX(Knutepunkter!$B:$B,D2863+1))</f>
        <v/>
      </c>
      <c r="G2863" t="str">
        <f>IF(D2863="","",INDEX(Knutepunkter!$C:$C,D2863+1))</f>
        <v/>
      </c>
      <c r="H2863" t="str">
        <f>IF(D2863="","",INDEX(Knutepunkter!$D:$D,D2863+1))</f>
        <v/>
      </c>
      <c r="I2863" t="str">
        <f>IF(E2863="","",INDEX(Knutepunkter!$B:$B,E2863+1))</f>
        <v/>
      </c>
      <c r="J2863" t="str">
        <f>IF(E2863="","",INDEX(Knutepunkter!$C:$C,E2863+1))</f>
        <v/>
      </c>
      <c r="K2863" t="str">
        <f>IF(E2863="","",INDEX(Knutepunkter!$D:$D,E2863+1))</f>
        <v/>
      </c>
      <c r="L2863" t="str">
        <f t="shared" si="223"/>
        <v/>
      </c>
      <c r="M2863" t="str">
        <f t="shared" si="224"/>
        <v/>
      </c>
    </row>
    <row r="2864" spans="1:13" x14ac:dyDescent="0.3">
      <c r="A2864" t="str">
        <f>Segmenter!A2864</f>
        <v/>
      </c>
      <c r="B2864" t="str">
        <f>Segmenter!B2864</f>
        <v/>
      </c>
      <c r="C2864" t="str">
        <f t="shared" si="220"/>
        <v/>
      </c>
      <c r="D2864" t="str">
        <f t="shared" si="221"/>
        <v/>
      </c>
      <c r="E2864" t="str">
        <f t="shared" si="222"/>
        <v/>
      </c>
      <c r="F2864" t="str">
        <f>IF(D2864="","",INDEX(Knutepunkter!$B:$B,D2864+1))</f>
        <v/>
      </c>
      <c r="G2864" t="str">
        <f>IF(D2864="","",INDEX(Knutepunkter!$C:$C,D2864+1))</f>
        <v/>
      </c>
      <c r="H2864" t="str">
        <f>IF(D2864="","",INDEX(Knutepunkter!$D:$D,D2864+1))</f>
        <v/>
      </c>
      <c r="I2864" t="str">
        <f>IF(E2864="","",INDEX(Knutepunkter!$B:$B,E2864+1))</f>
        <v/>
      </c>
      <c r="J2864" t="str">
        <f>IF(E2864="","",INDEX(Knutepunkter!$C:$C,E2864+1))</f>
        <v/>
      </c>
      <c r="K2864" t="str">
        <f>IF(E2864="","",INDEX(Knutepunkter!$D:$D,E2864+1))</f>
        <v/>
      </c>
      <c r="L2864" t="str">
        <f t="shared" si="223"/>
        <v/>
      </c>
      <c r="M2864" t="str">
        <f t="shared" si="224"/>
        <v/>
      </c>
    </row>
    <row r="2865" spans="1:13" x14ac:dyDescent="0.3">
      <c r="A2865" t="str">
        <f>Segmenter!A2865</f>
        <v/>
      </c>
      <c r="B2865" t="str">
        <f>Segmenter!B2865</f>
        <v/>
      </c>
      <c r="C2865" t="str">
        <f t="shared" si="220"/>
        <v/>
      </c>
      <c r="D2865" t="str">
        <f t="shared" si="221"/>
        <v/>
      </c>
      <c r="E2865" t="str">
        <f t="shared" si="222"/>
        <v/>
      </c>
      <c r="F2865" t="str">
        <f>IF(D2865="","",INDEX(Knutepunkter!$B:$B,D2865+1))</f>
        <v/>
      </c>
      <c r="G2865" t="str">
        <f>IF(D2865="","",INDEX(Knutepunkter!$C:$C,D2865+1))</f>
        <v/>
      </c>
      <c r="H2865" t="str">
        <f>IF(D2865="","",INDEX(Knutepunkter!$D:$D,D2865+1))</f>
        <v/>
      </c>
      <c r="I2865" t="str">
        <f>IF(E2865="","",INDEX(Knutepunkter!$B:$B,E2865+1))</f>
        <v/>
      </c>
      <c r="J2865" t="str">
        <f>IF(E2865="","",INDEX(Knutepunkter!$C:$C,E2865+1))</f>
        <v/>
      </c>
      <c r="K2865" t="str">
        <f>IF(E2865="","",INDEX(Knutepunkter!$D:$D,E2865+1))</f>
        <v/>
      </c>
      <c r="L2865" t="str">
        <f t="shared" si="223"/>
        <v/>
      </c>
      <c r="M2865" t="str">
        <f t="shared" si="224"/>
        <v/>
      </c>
    </row>
    <row r="2866" spans="1:13" x14ac:dyDescent="0.3">
      <c r="A2866" t="str">
        <f>Segmenter!A2866</f>
        <v/>
      </c>
      <c r="B2866" t="str">
        <f>Segmenter!B2866</f>
        <v/>
      </c>
      <c r="C2866" t="str">
        <f t="shared" si="220"/>
        <v/>
      </c>
      <c r="D2866" t="str">
        <f t="shared" si="221"/>
        <v/>
      </c>
      <c r="E2866" t="str">
        <f t="shared" si="222"/>
        <v/>
      </c>
      <c r="F2866" t="str">
        <f>IF(D2866="","",INDEX(Knutepunkter!$B:$B,D2866+1))</f>
        <v/>
      </c>
      <c r="G2866" t="str">
        <f>IF(D2866="","",INDEX(Knutepunkter!$C:$C,D2866+1))</f>
        <v/>
      </c>
      <c r="H2866" t="str">
        <f>IF(D2866="","",INDEX(Knutepunkter!$D:$D,D2866+1))</f>
        <v/>
      </c>
      <c r="I2866" t="str">
        <f>IF(E2866="","",INDEX(Knutepunkter!$B:$B,E2866+1))</f>
        <v/>
      </c>
      <c r="J2866" t="str">
        <f>IF(E2866="","",INDEX(Knutepunkter!$C:$C,E2866+1))</f>
        <v/>
      </c>
      <c r="K2866" t="str">
        <f>IF(E2866="","",INDEX(Knutepunkter!$D:$D,E2866+1))</f>
        <v/>
      </c>
      <c r="L2866" t="str">
        <f t="shared" si="223"/>
        <v/>
      </c>
      <c r="M2866" t="str">
        <f t="shared" si="224"/>
        <v/>
      </c>
    </row>
    <row r="2867" spans="1:13" x14ac:dyDescent="0.3">
      <c r="A2867" t="str">
        <f>Segmenter!A2867</f>
        <v/>
      </c>
      <c r="B2867" t="str">
        <f>Segmenter!B2867</f>
        <v/>
      </c>
      <c r="C2867" t="str">
        <f t="shared" si="220"/>
        <v/>
      </c>
      <c r="D2867" t="str">
        <f t="shared" si="221"/>
        <v/>
      </c>
      <c r="E2867" t="str">
        <f t="shared" si="222"/>
        <v/>
      </c>
      <c r="F2867" t="str">
        <f>IF(D2867="","",INDEX(Knutepunkter!$B:$B,D2867+1))</f>
        <v/>
      </c>
      <c r="G2867" t="str">
        <f>IF(D2867="","",INDEX(Knutepunkter!$C:$C,D2867+1))</f>
        <v/>
      </c>
      <c r="H2867" t="str">
        <f>IF(D2867="","",INDEX(Knutepunkter!$D:$D,D2867+1))</f>
        <v/>
      </c>
      <c r="I2867" t="str">
        <f>IF(E2867="","",INDEX(Knutepunkter!$B:$B,E2867+1))</f>
        <v/>
      </c>
      <c r="J2867" t="str">
        <f>IF(E2867="","",INDEX(Knutepunkter!$C:$C,E2867+1))</f>
        <v/>
      </c>
      <c r="K2867" t="str">
        <f>IF(E2867="","",INDEX(Knutepunkter!$D:$D,E2867+1))</f>
        <v/>
      </c>
      <c r="L2867" t="str">
        <f t="shared" si="223"/>
        <v/>
      </c>
      <c r="M2867" t="str">
        <f t="shared" si="224"/>
        <v/>
      </c>
    </row>
    <row r="2868" spans="1:13" x14ac:dyDescent="0.3">
      <c r="A2868" t="str">
        <f>Segmenter!A2868</f>
        <v/>
      </c>
      <c r="B2868" t="str">
        <f>Segmenter!B2868</f>
        <v/>
      </c>
      <c r="C2868" t="str">
        <f t="shared" si="220"/>
        <v/>
      </c>
      <c r="D2868" t="str">
        <f t="shared" si="221"/>
        <v/>
      </c>
      <c r="E2868" t="str">
        <f t="shared" si="222"/>
        <v/>
      </c>
      <c r="F2868" t="str">
        <f>IF(D2868="","",INDEX(Knutepunkter!$B:$B,D2868+1))</f>
        <v/>
      </c>
      <c r="G2868" t="str">
        <f>IF(D2868="","",INDEX(Knutepunkter!$C:$C,D2868+1))</f>
        <v/>
      </c>
      <c r="H2868" t="str">
        <f>IF(D2868="","",INDEX(Knutepunkter!$D:$D,D2868+1))</f>
        <v/>
      </c>
      <c r="I2868" t="str">
        <f>IF(E2868="","",INDEX(Knutepunkter!$B:$B,E2868+1))</f>
        <v/>
      </c>
      <c r="J2868" t="str">
        <f>IF(E2868="","",INDEX(Knutepunkter!$C:$C,E2868+1))</f>
        <v/>
      </c>
      <c r="K2868" t="str">
        <f>IF(E2868="","",INDEX(Knutepunkter!$D:$D,E2868+1))</f>
        <v/>
      </c>
      <c r="L2868" t="str">
        <f t="shared" si="223"/>
        <v/>
      </c>
      <c r="M2868" t="str">
        <f t="shared" si="224"/>
        <v/>
      </c>
    </row>
    <row r="2869" spans="1:13" x14ac:dyDescent="0.3">
      <c r="A2869" t="str">
        <f>Segmenter!A2869</f>
        <v/>
      </c>
      <c r="B2869" t="str">
        <f>Segmenter!B2869</f>
        <v/>
      </c>
      <c r="C2869" t="str">
        <f t="shared" si="220"/>
        <v/>
      </c>
      <c r="D2869" t="str">
        <f t="shared" si="221"/>
        <v/>
      </c>
      <c r="E2869" t="str">
        <f t="shared" si="222"/>
        <v/>
      </c>
      <c r="F2869" t="str">
        <f>IF(D2869="","",INDEX(Knutepunkter!$B:$B,D2869+1))</f>
        <v/>
      </c>
      <c r="G2869" t="str">
        <f>IF(D2869="","",INDEX(Knutepunkter!$C:$C,D2869+1))</f>
        <v/>
      </c>
      <c r="H2869" t="str">
        <f>IF(D2869="","",INDEX(Knutepunkter!$D:$D,D2869+1))</f>
        <v/>
      </c>
      <c r="I2869" t="str">
        <f>IF(E2869="","",INDEX(Knutepunkter!$B:$B,E2869+1))</f>
        <v/>
      </c>
      <c r="J2869" t="str">
        <f>IF(E2869="","",INDEX(Knutepunkter!$C:$C,E2869+1))</f>
        <v/>
      </c>
      <c r="K2869" t="str">
        <f>IF(E2869="","",INDEX(Knutepunkter!$D:$D,E2869+1))</f>
        <v/>
      </c>
      <c r="L2869" t="str">
        <f t="shared" si="223"/>
        <v/>
      </c>
      <c r="M2869" t="str">
        <f t="shared" si="224"/>
        <v/>
      </c>
    </row>
    <row r="2870" spans="1:13" x14ac:dyDescent="0.3">
      <c r="A2870" t="str">
        <f>Segmenter!A2870</f>
        <v/>
      </c>
      <c r="B2870" t="str">
        <f>Segmenter!B2870</f>
        <v/>
      </c>
      <c r="C2870" t="str">
        <f t="shared" si="220"/>
        <v/>
      </c>
      <c r="D2870" t="str">
        <f t="shared" si="221"/>
        <v/>
      </c>
      <c r="E2870" t="str">
        <f t="shared" si="222"/>
        <v/>
      </c>
      <c r="F2870" t="str">
        <f>IF(D2870="","",INDEX(Knutepunkter!$B:$B,D2870+1))</f>
        <v/>
      </c>
      <c r="G2870" t="str">
        <f>IF(D2870="","",INDEX(Knutepunkter!$C:$C,D2870+1))</f>
        <v/>
      </c>
      <c r="H2870" t="str">
        <f>IF(D2870="","",INDEX(Knutepunkter!$D:$D,D2870+1))</f>
        <v/>
      </c>
      <c r="I2870" t="str">
        <f>IF(E2870="","",INDEX(Knutepunkter!$B:$B,E2870+1))</f>
        <v/>
      </c>
      <c r="J2870" t="str">
        <f>IF(E2870="","",INDEX(Knutepunkter!$C:$C,E2870+1))</f>
        <v/>
      </c>
      <c r="K2870" t="str">
        <f>IF(E2870="","",INDEX(Knutepunkter!$D:$D,E2870+1))</f>
        <v/>
      </c>
      <c r="L2870" t="str">
        <f t="shared" si="223"/>
        <v/>
      </c>
      <c r="M2870" t="str">
        <f t="shared" si="224"/>
        <v/>
      </c>
    </row>
    <row r="2871" spans="1:13" x14ac:dyDescent="0.3">
      <c r="A2871" t="str">
        <f>Segmenter!A2871</f>
        <v/>
      </c>
      <c r="B2871" t="str">
        <f>Segmenter!B2871</f>
        <v/>
      </c>
      <c r="C2871" t="str">
        <f t="shared" si="220"/>
        <v/>
      </c>
      <c r="D2871" t="str">
        <f t="shared" si="221"/>
        <v/>
      </c>
      <c r="E2871" t="str">
        <f t="shared" si="222"/>
        <v/>
      </c>
      <c r="F2871" t="str">
        <f>IF(D2871="","",INDEX(Knutepunkter!$B:$B,D2871+1))</f>
        <v/>
      </c>
      <c r="G2871" t="str">
        <f>IF(D2871="","",INDEX(Knutepunkter!$C:$C,D2871+1))</f>
        <v/>
      </c>
      <c r="H2871" t="str">
        <f>IF(D2871="","",INDEX(Knutepunkter!$D:$D,D2871+1))</f>
        <v/>
      </c>
      <c r="I2871" t="str">
        <f>IF(E2871="","",INDEX(Knutepunkter!$B:$B,E2871+1))</f>
        <v/>
      </c>
      <c r="J2871" t="str">
        <f>IF(E2871="","",INDEX(Knutepunkter!$C:$C,E2871+1))</f>
        <v/>
      </c>
      <c r="K2871" t="str">
        <f>IF(E2871="","",INDEX(Knutepunkter!$D:$D,E2871+1))</f>
        <v/>
      </c>
      <c r="L2871" t="str">
        <f t="shared" si="223"/>
        <v/>
      </c>
      <c r="M2871" t="str">
        <f t="shared" si="224"/>
        <v/>
      </c>
    </row>
    <row r="2872" spans="1:13" x14ac:dyDescent="0.3">
      <c r="A2872" t="str">
        <f>Segmenter!A2872</f>
        <v/>
      </c>
      <c r="B2872" t="str">
        <f>Segmenter!B2872</f>
        <v/>
      </c>
      <c r="C2872" t="str">
        <f t="shared" si="220"/>
        <v/>
      </c>
      <c r="D2872" t="str">
        <f t="shared" si="221"/>
        <v/>
      </c>
      <c r="E2872" t="str">
        <f t="shared" si="222"/>
        <v/>
      </c>
      <c r="F2872" t="str">
        <f>IF(D2872="","",INDEX(Knutepunkter!$B:$B,D2872+1))</f>
        <v/>
      </c>
      <c r="G2872" t="str">
        <f>IF(D2872="","",INDEX(Knutepunkter!$C:$C,D2872+1))</f>
        <v/>
      </c>
      <c r="H2872" t="str">
        <f>IF(D2872="","",INDEX(Knutepunkter!$D:$D,D2872+1))</f>
        <v/>
      </c>
      <c r="I2872" t="str">
        <f>IF(E2872="","",INDEX(Knutepunkter!$B:$B,E2872+1))</f>
        <v/>
      </c>
      <c r="J2872" t="str">
        <f>IF(E2872="","",INDEX(Knutepunkter!$C:$C,E2872+1))</f>
        <v/>
      </c>
      <c r="K2872" t="str">
        <f>IF(E2872="","",INDEX(Knutepunkter!$D:$D,E2872+1))</f>
        <v/>
      </c>
      <c r="L2872" t="str">
        <f t="shared" si="223"/>
        <v/>
      </c>
      <c r="M2872" t="str">
        <f t="shared" si="224"/>
        <v/>
      </c>
    </row>
    <row r="2873" spans="1:13" x14ac:dyDescent="0.3">
      <c r="A2873" t="str">
        <f>Segmenter!A2873</f>
        <v/>
      </c>
      <c r="B2873" t="str">
        <f>Segmenter!B2873</f>
        <v/>
      </c>
      <c r="C2873" t="str">
        <f t="shared" si="220"/>
        <v/>
      </c>
      <c r="D2873" t="str">
        <f t="shared" si="221"/>
        <v/>
      </c>
      <c r="E2873" t="str">
        <f t="shared" si="222"/>
        <v/>
      </c>
      <c r="F2873" t="str">
        <f>IF(D2873="","",INDEX(Knutepunkter!$B:$B,D2873+1))</f>
        <v/>
      </c>
      <c r="G2873" t="str">
        <f>IF(D2873="","",INDEX(Knutepunkter!$C:$C,D2873+1))</f>
        <v/>
      </c>
      <c r="H2873" t="str">
        <f>IF(D2873="","",INDEX(Knutepunkter!$D:$D,D2873+1))</f>
        <v/>
      </c>
      <c r="I2873" t="str">
        <f>IF(E2873="","",INDEX(Knutepunkter!$B:$B,E2873+1))</f>
        <v/>
      </c>
      <c r="J2873" t="str">
        <f>IF(E2873="","",INDEX(Knutepunkter!$C:$C,E2873+1))</f>
        <v/>
      </c>
      <c r="K2873" t="str">
        <f>IF(E2873="","",INDEX(Knutepunkter!$D:$D,E2873+1))</f>
        <v/>
      </c>
      <c r="L2873" t="str">
        <f t="shared" si="223"/>
        <v/>
      </c>
      <c r="M2873" t="str">
        <f t="shared" si="224"/>
        <v/>
      </c>
    </row>
    <row r="2874" spans="1:13" x14ac:dyDescent="0.3">
      <c r="A2874" t="str">
        <f>Segmenter!A2874</f>
        <v/>
      </c>
      <c r="B2874" t="str">
        <f>Segmenter!B2874</f>
        <v/>
      </c>
      <c r="C2874" t="str">
        <f t="shared" si="220"/>
        <v/>
      </c>
      <c r="D2874" t="str">
        <f t="shared" si="221"/>
        <v/>
      </c>
      <c r="E2874" t="str">
        <f t="shared" si="222"/>
        <v/>
      </c>
      <c r="F2874" t="str">
        <f>IF(D2874="","",INDEX(Knutepunkter!$B:$B,D2874+1))</f>
        <v/>
      </c>
      <c r="G2874" t="str">
        <f>IF(D2874="","",INDEX(Knutepunkter!$C:$C,D2874+1))</f>
        <v/>
      </c>
      <c r="H2874" t="str">
        <f>IF(D2874="","",INDEX(Knutepunkter!$D:$D,D2874+1))</f>
        <v/>
      </c>
      <c r="I2874" t="str">
        <f>IF(E2874="","",INDEX(Knutepunkter!$B:$B,E2874+1))</f>
        <v/>
      </c>
      <c r="J2874" t="str">
        <f>IF(E2874="","",INDEX(Knutepunkter!$C:$C,E2874+1))</f>
        <v/>
      </c>
      <c r="K2874" t="str">
        <f>IF(E2874="","",INDEX(Knutepunkter!$D:$D,E2874+1))</f>
        <v/>
      </c>
      <c r="L2874" t="str">
        <f t="shared" si="223"/>
        <v/>
      </c>
      <c r="M2874" t="str">
        <f t="shared" si="224"/>
        <v/>
      </c>
    </row>
    <row r="2875" spans="1:13" x14ac:dyDescent="0.3">
      <c r="A2875" t="str">
        <f>Segmenter!A2875</f>
        <v/>
      </c>
      <c r="B2875" t="str">
        <f>Segmenter!B2875</f>
        <v/>
      </c>
      <c r="C2875" t="str">
        <f t="shared" si="220"/>
        <v/>
      </c>
      <c r="D2875" t="str">
        <f t="shared" si="221"/>
        <v/>
      </c>
      <c r="E2875" t="str">
        <f t="shared" si="222"/>
        <v/>
      </c>
      <c r="F2875" t="str">
        <f>IF(D2875="","",INDEX(Knutepunkter!$B:$B,D2875+1))</f>
        <v/>
      </c>
      <c r="G2875" t="str">
        <f>IF(D2875="","",INDEX(Knutepunkter!$C:$C,D2875+1))</f>
        <v/>
      </c>
      <c r="H2875" t="str">
        <f>IF(D2875="","",INDEX(Knutepunkter!$D:$D,D2875+1))</f>
        <v/>
      </c>
      <c r="I2875" t="str">
        <f>IF(E2875="","",INDEX(Knutepunkter!$B:$B,E2875+1))</f>
        <v/>
      </c>
      <c r="J2875" t="str">
        <f>IF(E2875="","",INDEX(Knutepunkter!$C:$C,E2875+1))</f>
        <v/>
      </c>
      <c r="K2875" t="str">
        <f>IF(E2875="","",INDEX(Knutepunkter!$D:$D,E2875+1))</f>
        <v/>
      </c>
      <c r="L2875" t="str">
        <f t="shared" si="223"/>
        <v/>
      </c>
      <c r="M2875" t="str">
        <f t="shared" si="224"/>
        <v/>
      </c>
    </row>
    <row r="2876" spans="1:13" x14ac:dyDescent="0.3">
      <c r="A2876" t="str">
        <f>Segmenter!A2876</f>
        <v/>
      </c>
      <c r="B2876" t="str">
        <f>Segmenter!B2876</f>
        <v/>
      </c>
      <c r="C2876" t="str">
        <f t="shared" si="220"/>
        <v/>
      </c>
      <c r="D2876" t="str">
        <f t="shared" si="221"/>
        <v/>
      </c>
      <c r="E2876" t="str">
        <f t="shared" si="222"/>
        <v/>
      </c>
      <c r="F2876" t="str">
        <f>IF(D2876="","",INDEX(Knutepunkter!$B:$B,D2876+1))</f>
        <v/>
      </c>
      <c r="G2876" t="str">
        <f>IF(D2876="","",INDEX(Knutepunkter!$C:$C,D2876+1))</f>
        <v/>
      </c>
      <c r="H2876" t="str">
        <f>IF(D2876="","",INDEX(Knutepunkter!$D:$D,D2876+1))</f>
        <v/>
      </c>
      <c r="I2876" t="str">
        <f>IF(E2876="","",INDEX(Knutepunkter!$B:$B,E2876+1))</f>
        <v/>
      </c>
      <c r="J2876" t="str">
        <f>IF(E2876="","",INDEX(Knutepunkter!$C:$C,E2876+1))</f>
        <v/>
      </c>
      <c r="K2876" t="str">
        <f>IF(E2876="","",INDEX(Knutepunkter!$D:$D,E2876+1))</f>
        <v/>
      </c>
      <c r="L2876" t="str">
        <f t="shared" si="223"/>
        <v/>
      </c>
      <c r="M2876" t="str">
        <f t="shared" si="224"/>
        <v/>
      </c>
    </row>
    <row r="2877" spans="1:13" x14ac:dyDescent="0.3">
      <c r="A2877" t="str">
        <f>Segmenter!A2877</f>
        <v/>
      </c>
      <c r="B2877" t="str">
        <f>Segmenter!B2877</f>
        <v/>
      </c>
      <c r="C2877" t="str">
        <f t="shared" si="220"/>
        <v/>
      </c>
      <c r="D2877" t="str">
        <f t="shared" si="221"/>
        <v/>
      </c>
      <c r="E2877" t="str">
        <f t="shared" si="222"/>
        <v/>
      </c>
      <c r="F2877" t="str">
        <f>IF(D2877="","",INDEX(Knutepunkter!$B:$B,D2877+1))</f>
        <v/>
      </c>
      <c r="G2877" t="str">
        <f>IF(D2877="","",INDEX(Knutepunkter!$C:$C,D2877+1))</f>
        <v/>
      </c>
      <c r="H2877" t="str">
        <f>IF(D2877="","",INDEX(Knutepunkter!$D:$D,D2877+1))</f>
        <v/>
      </c>
      <c r="I2877" t="str">
        <f>IF(E2877="","",INDEX(Knutepunkter!$B:$B,E2877+1))</f>
        <v/>
      </c>
      <c r="J2877" t="str">
        <f>IF(E2877="","",INDEX(Knutepunkter!$C:$C,E2877+1))</f>
        <v/>
      </c>
      <c r="K2877" t="str">
        <f>IF(E2877="","",INDEX(Knutepunkter!$D:$D,E2877+1))</f>
        <v/>
      </c>
      <c r="L2877" t="str">
        <f t="shared" si="223"/>
        <v/>
      </c>
      <c r="M2877" t="str">
        <f t="shared" si="224"/>
        <v/>
      </c>
    </row>
    <row r="2878" spans="1:13" x14ac:dyDescent="0.3">
      <c r="A2878" t="str">
        <f>Segmenter!A2878</f>
        <v/>
      </c>
      <c r="B2878" t="str">
        <f>Segmenter!B2878</f>
        <v/>
      </c>
      <c r="C2878" t="str">
        <f t="shared" si="220"/>
        <v/>
      </c>
      <c r="D2878" t="str">
        <f t="shared" si="221"/>
        <v/>
      </c>
      <c r="E2878" t="str">
        <f t="shared" si="222"/>
        <v/>
      </c>
      <c r="F2878" t="str">
        <f>IF(D2878="","",INDEX(Knutepunkter!$B:$B,D2878+1))</f>
        <v/>
      </c>
      <c r="G2878" t="str">
        <f>IF(D2878="","",INDEX(Knutepunkter!$C:$C,D2878+1))</f>
        <v/>
      </c>
      <c r="H2878" t="str">
        <f>IF(D2878="","",INDEX(Knutepunkter!$D:$D,D2878+1))</f>
        <v/>
      </c>
      <c r="I2878" t="str">
        <f>IF(E2878="","",INDEX(Knutepunkter!$B:$B,E2878+1))</f>
        <v/>
      </c>
      <c r="J2878" t="str">
        <f>IF(E2878="","",INDEX(Knutepunkter!$C:$C,E2878+1))</f>
        <v/>
      </c>
      <c r="K2878" t="str">
        <f>IF(E2878="","",INDEX(Knutepunkter!$D:$D,E2878+1))</f>
        <v/>
      </c>
      <c r="L2878" t="str">
        <f t="shared" si="223"/>
        <v/>
      </c>
      <c r="M2878" t="str">
        <f t="shared" si="224"/>
        <v/>
      </c>
    </row>
    <row r="2879" spans="1:13" x14ac:dyDescent="0.3">
      <c r="A2879" t="str">
        <f>Segmenter!A2879</f>
        <v/>
      </c>
      <c r="B2879" t="str">
        <f>Segmenter!B2879</f>
        <v/>
      </c>
      <c r="C2879" t="str">
        <f t="shared" si="220"/>
        <v/>
      </c>
      <c r="D2879" t="str">
        <f t="shared" si="221"/>
        <v/>
      </c>
      <c r="E2879" t="str">
        <f t="shared" si="222"/>
        <v/>
      </c>
      <c r="F2879" t="str">
        <f>IF(D2879="","",INDEX(Knutepunkter!$B:$B,D2879+1))</f>
        <v/>
      </c>
      <c r="G2879" t="str">
        <f>IF(D2879="","",INDEX(Knutepunkter!$C:$C,D2879+1))</f>
        <v/>
      </c>
      <c r="H2879" t="str">
        <f>IF(D2879="","",INDEX(Knutepunkter!$D:$D,D2879+1))</f>
        <v/>
      </c>
      <c r="I2879" t="str">
        <f>IF(E2879="","",INDEX(Knutepunkter!$B:$B,E2879+1))</f>
        <v/>
      </c>
      <c r="J2879" t="str">
        <f>IF(E2879="","",INDEX(Knutepunkter!$C:$C,E2879+1))</f>
        <v/>
      </c>
      <c r="K2879" t="str">
        <f>IF(E2879="","",INDEX(Knutepunkter!$D:$D,E2879+1))</f>
        <v/>
      </c>
      <c r="L2879" t="str">
        <f t="shared" si="223"/>
        <v/>
      </c>
      <c r="M2879" t="str">
        <f t="shared" si="224"/>
        <v/>
      </c>
    </row>
    <row r="2880" spans="1:13" x14ac:dyDescent="0.3">
      <c r="A2880" t="str">
        <f>Segmenter!A2880</f>
        <v/>
      </c>
      <c r="B2880" t="str">
        <f>Segmenter!B2880</f>
        <v/>
      </c>
      <c r="C2880" t="str">
        <f t="shared" si="220"/>
        <v/>
      </c>
      <c r="D2880" t="str">
        <f t="shared" si="221"/>
        <v/>
      </c>
      <c r="E2880" t="str">
        <f t="shared" si="222"/>
        <v/>
      </c>
      <c r="F2880" t="str">
        <f>IF(D2880="","",INDEX(Knutepunkter!$B:$B,D2880+1))</f>
        <v/>
      </c>
      <c r="G2880" t="str">
        <f>IF(D2880="","",INDEX(Knutepunkter!$C:$C,D2880+1))</f>
        <v/>
      </c>
      <c r="H2880" t="str">
        <f>IF(D2880="","",INDEX(Knutepunkter!$D:$D,D2880+1))</f>
        <v/>
      </c>
      <c r="I2880" t="str">
        <f>IF(E2880="","",INDEX(Knutepunkter!$B:$B,E2880+1))</f>
        <v/>
      </c>
      <c r="J2880" t="str">
        <f>IF(E2880="","",INDEX(Knutepunkter!$C:$C,E2880+1))</f>
        <v/>
      </c>
      <c r="K2880" t="str">
        <f>IF(E2880="","",INDEX(Knutepunkter!$D:$D,E2880+1))</f>
        <v/>
      </c>
      <c r="L2880" t="str">
        <f t="shared" si="223"/>
        <v/>
      </c>
      <c r="M2880" t="str">
        <f t="shared" si="224"/>
        <v/>
      </c>
    </row>
    <row r="2881" spans="1:13" x14ac:dyDescent="0.3">
      <c r="A2881" t="str">
        <f>Segmenter!A2881</f>
        <v/>
      </c>
      <c r="B2881" t="str">
        <f>Segmenter!B2881</f>
        <v/>
      </c>
      <c r="C2881" t="str">
        <f t="shared" si="220"/>
        <v/>
      </c>
      <c r="D2881" t="str">
        <f t="shared" si="221"/>
        <v/>
      </c>
      <c r="E2881" t="str">
        <f t="shared" si="222"/>
        <v/>
      </c>
      <c r="F2881" t="str">
        <f>IF(D2881="","",INDEX(Knutepunkter!$B:$B,D2881+1))</f>
        <v/>
      </c>
      <c r="G2881" t="str">
        <f>IF(D2881="","",INDEX(Knutepunkter!$C:$C,D2881+1))</f>
        <v/>
      </c>
      <c r="H2881" t="str">
        <f>IF(D2881="","",INDEX(Knutepunkter!$D:$D,D2881+1))</f>
        <v/>
      </c>
      <c r="I2881" t="str">
        <f>IF(E2881="","",INDEX(Knutepunkter!$B:$B,E2881+1))</f>
        <v/>
      </c>
      <c r="J2881" t="str">
        <f>IF(E2881="","",INDEX(Knutepunkter!$C:$C,E2881+1))</f>
        <v/>
      </c>
      <c r="K2881" t="str">
        <f>IF(E2881="","",INDEX(Knutepunkter!$D:$D,E2881+1))</f>
        <v/>
      </c>
      <c r="L2881" t="str">
        <f t="shared" si="223"/>
        <v/>
      </c>
      <c r="M2881" t="str">
        <f t="shared" si="224"/>
        <v/>
      </c>
    </row>
    <row r="2882" spans="1:13" x14ac:dyDescent="0.3">
      <c r="A2882" t="str">
        <f>Segmenter!A2882</f>
        <v/>
      </c>
      <c r="B2882" t="str">
        <f>Segmenter!B2882</f>
        <v/>
      </c>
      <c r="C2882" t="str">
        <f t="shared" ref="C2882:C2945" si="225">IF(B2882="","",IF(AND(F2882=I2882,G2882=J2882,H2882&lt;&gt;K2882),"Søyle","Bjelke"))</f>
        <v/>
      </c>
      <c r="D2882" t="str">
        <f t="shared" ref="D2882:D2945" si="226">IF(B2882="","",VALUE(LEFT(B2882,FIND(" -&gt; ",B2882)-1)))</f>
        <v/>
      </c>
      <c r="E2882" t="str">
        <f t="shared" ref="E2882:E2945" si="227">IF(B2882="","",VALUE(MID(B2882,FIND(" -&gt; ",B2882)+4,99)))</f>
        <v/>
      </c>
      <c r="F2882" t="str">
        <f>IF(D2882="","",INDEX(Knutepunkter!$B:$B,D2882+1))</f>
        <v/>
      </c>
      <c r="G2882" t="str">
        <f>IF(D2882="","",INDEX(Knutepunkter!$C:$C,D2882+1))</f>
        <v/>
      </c>
      <c r="H2882" t="str">
        <f>IF(D2882="","",INDEX(Knutepunkter!$D:$D,D2882+1))</f>
        <v/>
      </c>
      <c r="I2882" t="str">
        <f>IF(E2882="","",INDEX(Knutepunkter!$B:$B,E2882+1))</f>
        <v/>
      </c>
      <c r="J2882" t="str">
        <f>IF(E2882="","",INDEX(Knutepunkter!$C:$C,E2882+1))</f>
        <v/>
      </c>
      <c r="K2882" t="str">
        <f>IF(E2882="","",INDEX(Knutepunkter!$D:$D,E2882+1))</f>
        <v/>
      </c>
      <c r="L2882" t="str">
        <f t="shared" ref="L2882:L2945" si="228">IF(B2882="","",SQRT((I2882-F2882)^2+(J2882-G2882)^2+(K2882-H2882)^2))</f>
        <v/>
      </c>
      <c r="M2882" t="str">
        <f t="shared" ref="M2882:M2945" si="229">IF(L2882="","",L2882/1000)</f>
        <v/>
      </c>
    </row>
    <row r="2883" spans="1:13" x14ac:dyDescent="0.3">
      <c r="A2883" t="str">
        <f>Segmenter!A2883</f>
        <v/>
      </c>
      <c r="B2883" t="str">
        <f>Segmenter!B2883</f>
        <v/>
      </c>
      <c r="C2883" t="str">
        <f t="shared" si="225"/>
        <v/>
      </c>
      <c r="D2883" t="str">
        <f t="shared" si="226"/>
        <v/>
      </c>
      <c r="E2883" t="str">
        <f t="shared" si="227"/>
        <v/>
      </c>
      <c r="F2883" t="str">
        <f>IF(D2883="","",INDEX(Knutepunkter!$B:$B,D2883+1))</f>
        <v/>
      </c>
      <c r="G2883" t="str">
        <f>IF(D2883="","",INDEX(Knutepunkter!$C:$C,D2883+1))</f>
        <v/>
      </c>
      <c r="H2883" t="str">
        <f>IF(D2883="","",INDEX(Knutepunkter!$D:$D,D2883+1))</f>
        <v/>
      </c>
      <c r="I2883" t="str">
        <f>IF(E2883="","",INDEX(Knutepunkter!$B:$B,E2883+1))</f>
        <v/>
      </c>
      <c r="J2883" t="str">
        <f>IF(E2883="","",INDEX(Knutepunkter!$C:$C,E2883+1))</f>
        <v/>
      </c>
      <c r="K2883" t="str">
        <f>IF(E2883="","",INDEX(Knutepunkter!$D:$D,E2883+1))</f>
        <v/>
      </c>
      <c r="L2883" t="str">
        <f t="shared" si="228"/>
        <v/>
      </c>
      <c r="M2883" t="str">
        <f t="shared" si="229"/>
        <v/>
      </c>
    </row>
    <row r="2884" spans="1:13" x14ac:dyDescent="0.3">
      <c r="A2884" t="str">
        <f>Segmenter!A2884</f>
        <v/>
      </c>
      <c r="B2884" t="str">
        <f>Segmenter!B2884</f>
        <v/>
      </c>
      <c r="C2884" t="str">
        <f t="shared" si="225"/>
        <v/>
      </c>
      <c r="D2884" t="str">
        <f t="shared" si="226"/>
        <v/>
      </c>
      <c r="E2884" t="str">
        <f t="shared" si="227"/>
        <v/>
      </c>
      <c r="F2884" t="str">
        <f>IF(D2884="","",INDEX(Knutepunkter!$B:$B,D2884+1))</f>
        <v/>
      </c>
      <c r="G2884" t="str">
        <f>IF(D2884="","",INDEX(Knutepunkter!$C:$C,D2884+1))</f>
        <v/>
      </c>
      <c r="H2884" t="str">
        <f>IF(D2884="","",INDEX(Knutepunkter!$D:$D,D2884+1))</f>
        <v/>
      </c>
      <c r="I2884" t="str">
        <f>IF(E2884="","",INDEX(Knutepunkter!$B:$B,E2884+1))</f>
        <v/>
      </c>
      <c r="J2884" t="str">
        <f>IF(E2884="","",INDEX(Knutepunkter!$C:$C,E2884+1))</f>
        <v/>
      </c>
      <c r="K2884" t="str">
        <f>IF(E2884="","",INDEX(Knutepunkter!$D:$D,E2884+1))</f>
        <v/>
      </c>
      <c r="L2884" t="str">
        <f t="shared" si="228"/>
        <v/>
      </c>
      <c r="M2884" t="str">
        <f t="shared" si="229"/>
        <v/>
      </c>
    </row>
    <row r="2885" spans="1:13" x14ac:dyDescent="0.3">
      <c r="A2885" t="str">
        <f>Segmenter!A2885</f>
        <v/>
      </c>
      <c r="B2885" t="str">
        <f>Segmenter!B2885</f>
        <v/>
      </c>
      <c r="C2885" t="str">
        <f t="shared" si="225"/>
        <v/>
      </c>
      <c r="D2885" t="str">
        <f t="shared" si="226"/>
        <v/>
      </c>
      <c r="E2885" t="str">
        <f t="shared" si="227"/>
        <v/>
      </c>
      <c r="F2885" t="str">
        <f>IF(D2885="","",INDEX(Knutepunkter!$B:$B,D2885+1))</f>
        <v/>
      </c>
      <c r="G2885" t="str">
        <f>IF(D2885="","",INDEX(Knutepunkter!$C:$C,D2885+1))</f>
        <v/>
      </c>
      <c r="H2885" t="str">
        <f>IF(D2885="","",INDEX(Knutepunkter!$D:$D,D2885+1))</f>
        <v/>
      </c>
      <c r="I2885" t="str">
        <f>IF(E2885="","",INDEX(Knutepunkter!$B:$B,E2885+1))</f>
        <v/>
      </c>
      <c r="J2885" t="str">
        <f>IF(E2885="","",INDEX(Knutepunkter!$C:$C,E2885+1))</f>
        <v/>
      </c>
      <c r="K2885" t="str">
        <f>IF(E2885="","",INDEX(Knutepunkter!$D:$D,E2885+1))</f>
        <v/>
      </c>
      <c r="L2885" t="str">
        <f t="shared" si="228"/>
        <v/>
      </c>
      <c r="M2885" t="str">
        <f t="shared" si="229"/>
        <v/>
      </c>
    </row>
    <row r="2886" spans="1:13" x14ac:dyDescent="0.3">
      <c r="A2886" t="str">
        <f>Segmenter!A2886</f>
        <v/>
      </c>
      <c r="B2886" t="str">
        <f>Segmenter!B2886</f>
        <v/>
      </c>
      <c r="C2886" t="str">
        <f t="shared" si="225"/>
        <v/>
      </c>
      <c r="D2886" t="str">
        <f t="shared" si="226"/>
        <v/>
      </c>
      <c r="E2886" t="str">
        <f t="shared" si="227"/>
        <v/>
      </c>
      <c r="F2886" t="str">
        <f>IF(D2886="","",INDEX(Knutepunkter!$B:$B,D2886+1))</f>
        <v/>
      </c>
      <c r="G2886" t="str">
        <f>IF(D2886="","",INDEX(Knutepunkter!$C:$C,D2886+1))</f>
        <v/>
      </c>
      <c r="H2886" t="str">
        <f>IF(D2886="","",INDEX(Knutepunkter!$D:$D,D2886+1))</f>
        <v/>
      </c>
      <c r="I2886" t="str">
        <f>IF(E2886="","",INDEX(Knutepunkter!$B:$B,E2886+1))</f>
        <v/>
      </c>
      <c r="J2886" t="str">
        <f>IF(E2886="","",INDEX(Knutepunkter!$C:$C,E2886+1))</f>
        <v/>
      </c>
      <c r="K2886" t="str">
        <f>IF(E2886="","",INDEX(Knutepunkter!$D:$D,E2886+1))</f>
        <v/>
      </c>
      <c r="L2886" t="str">
        <f t="shared" si="228"/>
        <v/>
      </c>
      <c r="M2886" t="str">
        <f t="shared" si="229"/>
        <v/>
      </c>
    </row>
    <row r="2887" spans="1:13" x14ac:dyDescent="0.3">
      <c r="A2887" t="str">
        <f>Segmenter!A2887</f>
        <v/>
      </c>
      <c r="B2887" t="str">
        <f>Segmenter!B2887</f>
        <v/>
      </c>
      <c r="C2887" t="str">
        <f t="shared" si="225"/>
        <v/>
      </c>
      <c r="D2887" t="str">
        <f t="shared" si="226"/>
        <v/>
      </c>
      <c r="E2887" t="str">
        <f t="shared" si="227"/>
        <v/>
      </c>
      <c r="F2887" t="str">
        <f>IF(D2887="","",INDEX(Knutepunkter!$B:$B,D2887+1))</f>
        <v/>
      </c>
      <c r="G2887" t="str">
        <f>IF(D2887="","",INDEX(Knutepunkter!$C:$C,D2887+1))</f>
        <v/>
      </c>
      <c r="H2887" t="str">
        <f>IF(D2887="","",INDEX(Knutepunkter!$D:$D,D2887+1))</f>
        <v/>
      </c>
      <c r="I2887" t="str">
        <f>IF(E2887="","",INDEX(Knutepunkter!$B:$B,E2887+1))</f>
        <v/>
      </c>
      <c r="J2887" t="str">
        <f>IF(E2887="","",INDEX(Knutepunkter!$C:$C,E2887+1))</f>
        <v/>
      </c>
      <c r="K2887" t="str">
        <f>IF(E2887="","",INDEX(Knutepunkter!$D:$D,E2887+1))</f>
        <v/>
      </c>
      <c r="L2887" t="str">
        <f t="shared" si="228"/>
        <v/>
      </c>
      <c r="M2887" t="str">
        <f t="shared" si="229"/>
        <v/>
      </c>
    </row>
    <row r="2888" spans="1:13" x14ac:dyDescent="0.3">
      <c r="A2888" t="str">
        <f>Segmenter!A2888</f>
        <v/>
      </c>
      <c r="B2888" t="str">
        <f>Segmenter!B2888</f>
        <v/>
      </c>
      <c r="C2888" t="str">
        <f t="shared" si="225"/>
        <v/>
      </c>
      <c r="D2888" t="str">
        <f t="shared" si="226"/>
        <v/>
      </c>
      <c r="E2888" t="str">
        <f t="shared" si="227"/>
        <v/>
      </c>
      <c r="F2888" t="str">
        <f>IF(D2888="","",INDEX(Knutepunkter!$B:$B,D2888+1))</f>
        <v/>
      </c>
      <c r="G2888" t="str">
        <f>IF(D2888="","",INDEX(Knutepunkter!$C:$C,D2888+1))</f>
        <v/>
      </c>
      <c r="H2888" t="str">
        <f>IF(D2888="","",INDEX(Knutepunkter!$D:$D,D2888+1))</f>
        <v/>
      </c>
      <c r="I2888" t="str">
        <f>IF(E2888="","",INDEX(Knutepunkter!$B:$B,E2888+1))</f>
        <v/>
      </c>
      <c r="J2888" t="str">
        <f>IF(E2888="","",INDEX(Knutepunkter!$C:$C,E2888+1))</f>
        <v/>
      </c>
      <c r="K2888" t="str">
        <f>IF(E2888="","",INDEX(Knutepunkter!$D:$D,E2888+1))</f>
        <v/>
      </c>
      <c r="L2888" t="str">
        <f t="shared" si="228"/>
        <v/>
      </c>
      <c r="M2888" t="str">
        <f t="shared" si="229"/>
        <v/>
      </c>
    </row>
    <row r="2889" spans="1:13" x14ac:dyDescent="0.3">
      <c r="A2889" t="str">
        <f>Segmenter!A2889</f>
        <v/>
      </c>
      <c r="B2889" t="str">
        <f>Segmenter!B2889</f>
        <v/>
      </c>
      <c r="C2889" t="str">
        <f t="shared" si="225"/>
        <v/>
      </c>
      <c r="D2889" t="str">
        <f t="shared" si="226"/>
        <v/>
      </c>
      <c r="E2889" t="str">
        <f t="shared" si="227"/>
        <v/>
      </c>
      <c r="F2889" t="str">
        <f>IF(D2889="","",INDEX(Knutepunkter!$B:$B,D2889+1))</f>
        <v/>
      </c>
      <c r="G2889" t="str">
        <f>IF(D2889="","",INDEX(Knutepunkter!$C:$C,D2889+1))</f>
        <v/>
      </c>
      <c r="H2889" t="str">
        <f>IF(D2889="","",INDEX(Knutepunkter!$D:$D,D2889+1))</f>
        <v/>
      </c>
      <c r="I2889" t="str">
        <f>IF(E2889="","",INDEX(Knutepunkter!$B:$B,E2889+1))</f>
        <v/>
      </c>
      <c r="J2889" t="str">
        <f>IF(E2889="","",INDEX(Knutepunkter!$C:$C,E2889+1))</f>
        <v/>
      </c>
      <c r="K2889" t="str">
        <f>IF(E2889="","",INDEX(Knutepunkter!$D:$D,E2889+1))</f>
        <v/>
      </c>
      <c r="L2889" t="str">
        <f t="shared" si="228"/>
        <v/>
      </c>
      <c r="M2889" t="str">
        <f t="shared" si="229"/>
        <v/>
      </c>
    </row>
    <row r="2890" spans="1:13" x14ac:dyDescent="0.3">
      <c r="A2890" t="str">
        <f>Segmenter!A2890</f>
        <v/>
      </c>
      <c r="B2890" t="str">
        <f>Segmenter!B2890</f>
        <v/>
      </c>
      <c r="C2890" t="str">
        <f t="shared" si="225"/>
        <v/>
      </c>
      <c r="D2890" t="str">
        <f t="shared" si="226"/>
        <v/>
      </c>
      <c r="E2890" t="str">
        <f t="shared" si="227"/>
        <v/>
      </c>
      <c r="F2890" t="str">
        <f>IF(D2890="","",INDEX(Knutepunkter!$B:$B,D2890+1))</f>
        <v/>
      </c>
      <c r="G2890" t="str">
        <f>IF(D2890="","",INDEX(Knutepunkter!$C:$C,D2890+1))</f>
        <v/>
      </c>
      <c r="H2890" t="str">
        <f>IF(D2890="","",INDEX(Knutepunkter!$D:$D,D2890+1))</f>
        <v/>
      </c>
      <c r="I2890" t="str">
        <f>IF(E2890="","",INDEX(Knutepunkter!$B:$B,E2890+1))</f>
        <v/>
      </c>
      <c r="J2890" t="str">
        <f>IF(E2890="","",INDEX(Knutepunkter!$C:$C,E2890+1))</f>
        <v/>
      </c>
      <c r="K2890" t="str">
        <f>IF(E2890="","",INDEX(Knutepunkter!$D:$D,E2890+1))</f>
        <v/>
      </c>
      <c r="L2890" t="str">
        <f t="shared" si="228"/>
        <v/>
      </c>
      <c r="M2890" t="str">
        <f t="shared" si="229"/>
        <v/>
      </c>
    </row>
    <row r="2891" spans="1:13" x14ac:dyDescent="0.3">
      <c r="A2891" t="str">
        <f>Segmenter!A2891</f>
        <v/>
      </c>
      <c r="B2891" t="str">
        <f>Segmenter!B2891</f>
        <v/>
      </c>
      <c r="C2891" t="str">
        <f t="shared" si="225"/>
        <v/>
      </c>
      <c r="D2891" t="str">
        <f t="shared" si="226"/>
        <v/>
      </c>
      <c r="E2891" t="str">
        <f t="shared" si="227"/>
        <v/>
      </c>
      <c r="F2891" t="str">
        <f>IF(D2891="","",INDEX(Knutepunkter!$B:$B,D2891+1))</f>
        <v/>
      </c>
      <c r="G2891" t="str">
        <f>IF(D2891="","",INDEX(Knutepunkter!$C:$C,D2891+1))</f>
        <v/>
      </c>
      <c r="H2891" t="str">
        <f>IF(D2891="","",INDEX(Knutepunkter!$D:$D,D2891+1))</f>
        <v/>
      </c>
      <c r="I2891" t="str">
        <f>IF(E2891="","",INDEX(Knutepunkter!$B:$B,E2891+1))</f>
        <v/>
      </c>
      <c r="J2891" t="str">
        <f>IF(E2891="","",INDEX(Knutepunkter!$C:$C,E2891+1))</f>
        <v/>
      </c>
      <c r="K2891" t="str">
        <f>IF(E2891="","",INDEX(Knutepunkter!$D:$D,E2891+1))</f>
        <v/>
      </c>
      <c r="L2891" t="str">
        <f t="shared" si="228"/>
        <v/>
      </c>
      <c r="M2891" t="str">
        <f t="shared" si="229"/>
        <v/>
      </c>
    </row>
    <row r="2892" spans="1:13" x14ac:dyDescent="0.3">
      <c r="A2892" t="str">
        <f>Segmenter!A2892</f>
        <v/>
      </c>
      <c r="B2892" t="str">
        <f>Segmenter!B2892</f>
        <v/>
      </c>
      <c r="C2892" t="str">
        <f t="shared" si="225"/>
        <v/>
      </c>
      <c r="D2892" t="str">
        <f t="shared" si="226"/>
        <v/>
      </c>
      <c r="E2892" t="str">
        <f t="shared" si="227"/>
        <v/>
      </c>
      <c r="F2892" t="str">
        <f>IF(D2892="","",INDEX(Knutepunkter!$B:$B,D2892+1))</f>
        <v/>
      </c>
      <c r="G2892" t="str">
        <f>IF(D2892="","",INDEX(Knutepunkter!$C:$C,D2892+1))</f>
        <v/>
      </c>
      <c r="H2892" t="str">
        <f>IF(D2892="","",INDEX(Knutepunkter!$D:$D,D2892+1))</f>
        <v/>
      </c>
      <c r="I2892" t="str">
        <f>IF(E2892="","",INDEX(Knutepunkter!$B:$B,E2892+1))</f>
        <v/>
      </c>
      <c r="J2892" t="str">
        <f>IF(E2892="","",INDEX(Knutepunkter!$C:$C,E2892+1))</f>
        <v/>
      </c>
      <c r="K2892" t="str">
        <f>IF(E2892="","",INDEX(Knutepunkter!$D:$D,E2892+1))</f>
        <v/>
      </c>
      <c r="L2892" t="str">
        <f t="shared" si="228"/>
        <v/>
      </c>
      <c r="M2892" t="str">
        <f t="shared" si="229"/>
        <v/>
      </c>
    </row>
    <row r="2893" spans="1:13" x14ac:dyDescent="0.3">
      <c r="A2893" t="str">
        <f>Segmenter!A2893</f>
        <v/>
      </c>
      <c r="B2893" t="str">
        <f>Segmenter!B2893</f>
        <v/>
      </c>
      <c r="C2893" t="str">
        <f t="shared" si="225"/>
        <v/>
      </c>
      <c r="D2893" t="str">
        <f t="shared" si="226"/>
        <v/>
      </c>
      <c r="E2893" t="str">
        <f t="shared" si="227"/>
        <v/>
      </c>
      <c r="F2893" t="str">
        <f>IF(D2893="","",INDEX(Knutepunkter!$B:$B,D2893+1))</f>
        <v/>
      </c>
      <c r="G2893" t="str">
        <f>IF(D2893="","",INDEX(Knutepunkter!$C:$C,D2893+1))</f>
        <v/>
      </c>
      <c r="H2893" t="str">
        <f>IF(D2893="","",INDEX(Knutepunkter!$D:$D,D2893+1))</f>
        <v/>
      </c>
      <c r="I2893" t="str">
        <f>IF(E2893="","",INDEX(Knutepunkter!$B:$B,E2893+1))</f>
        <v/>
      </c>
      <c r="J2893" t="str">
        <f>IF(E2893="","",INDEX(Knutepunkter!$C:$C,E2893+1))</f>
        <v/>
      </c>
      <c r="K2893" t="str">
        <f>IF(E2893="","",INDEX(Knutepunkter!$D:$D,E2893+1))</f>
        <v/>
      </c>
      <c r="L2893" t="str">
        <f t="shared" si="228"/>
        <v/>
      </c>
      <c r="M2893" t="str">
        <f t="shared" si="229"/>
        <v/>
      </c>
    </row>
    <row r="2894" spans="1:13" x14ac:dyDescent="0.3">
      <c r="A2894" t="str">
        <f>Segmenter!A2894</f>
        <v/>
      </c>
      <c r="B2894" t="str">
        <f>Segmenter!B2894</f>
        <v/>
      </c>
      <c r="C2894" t="str">
        <f t="shared" si="225"/>
        <v/>
      </c>
      <c r="D2894" t="str">
        <f t="shared" si="226"/>
        <v/>
      </c>
      <c r="E2894" t="str">
        <f t="shared" si="227"/>
        <v/>
      </c>
      <c r="F2894" t="str">
        <f>IF(D2894="","",INDEX(Knutepunkter!$B:$B,D2894+1))</f>
        <v/>
      </c>
      <c r="G2894" t="str">
        <f>IF(D2894="","",INDEX(Knutepunkter!$C:$C,D2894+1))</f>
        <v/>
      </c>
      <c r="H2894" t="str">
        <f>IF(D2894="","",INDEX(Knutepunkter!$D:$D,D2894+1))</f>
        <v/>
      </c>
      <c r="I2894" t="str">
        <f>IF(E2894="","",INDEX(Knutepunkter!$B:$B,E2894+1))</f>
        <v/>
      </c>
      <c r="J2894" t="str">
        <f>IF(E2894="","",INDEX(Knutepunkter!$C:$C,E2894+1))</f>
        <v/>
      </c>
      <c r="K2894" t="str">
        <f>IF(E2894="","",INDEX(Knutepunkter!$D:$D,E2894+1))</f>
        <v/>
      </c>
      <c r="L2894" t="str">
        <f t="shared" si="228"/>
        <v/>
      </c>
      <c r="M2894" t="str">
        <f t="shared" si="229"/>
        <v/>
      </c>
    </row>
    <row r="2895" spans="1:13" x14ac:dyDescent="0.3">
      <c r="A2895" t="str">
        <f>Segmenter!A2895</f>
        <v/>
      </c>
      <c r="B2895" t="str">
        <f>Segmenter!B2895</f>
        <v/>
      </c>
      <c r="C2895" t="str">
        <f t="shared" si="225"/>
        <v/>
      </c>
      <c r="D2895" t="str">
        <f t="shared" si="226"/>
        <v/>
      </c>
      <c r="E2895" t="str">
        <f t="shared" si="227"/>
        <v/>
      </c>
      <c r="F2895" t="str">
        <f>IF(D2895="","",INDEX(Knutepunkter!$B:$B,D2895+1))</f>
        <v/>
      </c>
      <c r="G2895" t="str">
        <f>IF(D2895="","",INDEX(Knutepunkter!$C:$C,D2895+1))</f>
        <v/>
      </c>
      <c r="H2895" t="str">
        <f>IF(D2895="","",INDEX(Knutepunkter!$D:$D,D2895+1))</f>
        <v/>
      </c>
      <c r="I2895" t="str">
        <f>IF(E2895="","",INDEX(Knutepunkter!$B:$B,E2895+1))</f>
        <v/>
      </c>
      <c r="J2895" t="str">
        <f>IF(E2895="","",INDEX(Knutepunkter!$C:$C,E2895+1))</f>
        <v/>
      </c>
      <c r="K2895" t="str">
        <f>IF(E2895="","",INDEX(Knutepunkter!$D:$D,E2895+1))</f>
        <v/>
      </c>
      <c r="L2895" t="str">
        <f t="shared" si="228"/>
        <v/>
      </c>
      <c r="M2895" t="str">
        <f t="shared" si="229"/>
        <v/>
      </c>
    </row>
    <row r="2896" spans="1:13" x14ac:dyDescent="0.3">
      <c r="A2896" t="str">
        <f>Segmenter!A2896</f>
        <v/>
      </c>
      <c r="B2896" t="str">
        <f>Segmenter!B2896</f>
        <v/>
      </c>
      <c r="C2896" t="str">
        <f t="shared" si="225"/>
        <v/>
      </c>
      <c r="D2896" t="str">
        <f t="shared" si="226"/>
        <v/>
      </c>
      <c r="E2896" t="str">
        <f t="shared" si="227"/>
        <v/>
      </c>
      <c r="F2896" t="str">
        <f>IF(D2896="","",INDEX(Knutepunkter!$B:$B,D2896+1))</f>
        <v/>
      </c>
      <c r="G2896" t="str">
        <f>IF(D2896="","",INDEX(Knutepunkter!$C:$C,D2896+1))</f>
        <v/>
      </c>
      <c r="H2896" t="str">
        <f>IF(D2896="","",INDEX(Knutepunkter!$D:$D,D2896+1))</f>
        <v/>
      </c>
      <c r="I2896" t="str">
        <f>IF(E2896="","",INDEX(Knutepunkter!$B:$B,E2896+1))</f>
        <v/>
      </c>
      <c r="J2896" t="str">
        <f>IF(E2896="","",INDEX(Knutepunkter!$C:$C,E2896+1))</f>
        <v/>
      </c>
      <c r="K2896" t="str">
        <f>IF(E2896="","",INDEX(Knutepunkter!$D:$D,E2896+1))</f>
        <v/>
      </c>
      <c r="L2896" t="str">
        <f t="shared" si="228"/>
        <v/>
      </c>
      <c r="M2896" t="str">
        <f t="shared" si="229"/>
        <v/>
      </c>
    </row>
    <row r="2897" spans="1:13" x14ac:dyDescent="0.3">
      <c r="A2897" t="str">
        <f>Segmenter!A2897</f>
        <v/>
      </c>
      <c r="B2897" t="str">
        <f>Segmenter!B2897</f>
        <v/>
      </c>
      <c r="C2897" t="str">
        <f t="shared" si="225"/>
        <v/>
      </c>
      <c r="D2897" t="str">
        <f t="shared" si="226"/>
        <v/>
      </c>
      <c r="E2897" t="str">
        <f t="shared" si="227"/>
        <v/>
      </c>
      <c r="F2897" t="str">
        <f>IF(D2897="","",INDEX(Knutepunkter!$B:$B,D2897+1))</f>
        <v/>
      </c>
      <c r="G2897" t="str">
        <f>IF(D2897="","",INDEX(Knutepunkter!$C:$C,D2897+1))</f>
        <v/>
      </c>
      <c r="H2897" t="str">
        <f>IF(D2897="","",INDEX(Knutepunkter!$D:$D,D2897+1))</f>
        <v/>
      </c>
      <c r="I2897" t="str">
        <f>IF(E2897="","",INDEX(Knutepunkter!$B:$B,E2897+1))</f>
        <v/>
      </c>
      <c r="J2897" t="str">
        <f>IF(E2897="","",INDEX(Knutepunkter!$C:$C,E2897+1))</f>
        <v/>
      </c>
      <c r="K2897" t="str">
        <f>IF(E2897="","",INDEX(Knutepunkter!$D:$D,E2897+1))</f>
        <v/>
      </c>
      <c r="L2897" t="str">
        <f t="shared" si="228"/>
        <v/>
      </c>
      <c r="M2897" t="str">
        <f t="shared" si="229"/>
        <v/>
      </c>
    </row>
    <row r="2898" spans="1:13" x14ac:dyDescent="0.3">
      <c r="A2898" t="str">
        <f>Segmenter!A2898</f>
        <v/>
      </c>
      <c r="B2898" t="str">
        <f>Segmenter!B2898</f>
        <v/>
      </c>
      <c r="C2898" t="str">
        <f t="shared" si="225"/>
        <v/>
      </c>
      <c r="D2898" t="str">
        <f t="shared" si="226"/>
        <v/>
      </c>
      <c r="E2898" t="str">
        <f t="shared" si="227"/>
        <v/>
      </c>
      <c r="F2898" t="str">
        <f>IF(D2898="","",INDEX(Knutepunkter!$B:$B,D2898+1))</f>
        <v/>
      </c>
      <c r="G2898" t="str">
        <f>IF(D2898="","",INDEX(Knutepunkter!$C:$C,D2898+1))</f>
        <v/>
      </c>
      <c r="H2898" t="str">
        <f>IF(D2898="","",INDEX(Knutepunkter!$D:$D,D2898+1))</f>
        <v/>
      </c>
      <c r="I2898" t="str">
        <f>IF(E2898="","",INDEX(Knutepunkter!$B:$B,E2898+1))</f>
        <v/>
      </c>
      <c r="J2898" t="str">
        <f>IF(E2898="","",INDEX(Knutepunkter!$C:$C,E2898+1))</f>
        <v/>
      </c>
      <c r="K2898" t="str">
        <f>IF(E2898="","",INDEX(Knutepunkter!$D:$D,E2898+1))</f>
        <v/>
      </c>
      <c r="L2898" t="str">
        <f t="shared" si="228"/>
        <v/>
      </c>
      <c r="M2898" t="str">
        <f t="shared" si="229"/>
        <v/>
      </c>
    </row>
    <row r="2899" spans="1:13" x14ac:dyDescent="0.3">
      <c r="A2899" t="str">
        <f>Segmenter!A2899</f>
        <v/>
      </c>
      <c r="B2899" t="str">
        <f>Segmenter!B2899</f>
        <v/>
      </c>
      <c r="C2899" t="str">
        <f t="shared" si="225"/>
        <v/>
      </c>
      <c r="D2899" t="str">
        <f t="shared" si="226"/>
        <v/>
      </c>
      <c r="E2899" t="str">
        <f t="shared" si="227"/>
        <v/>
      </c>
      <c r="F2899" t="str">
        <f>IF(D2899="","",INDEX(Knutepunkter!$B:$B,D2899+1))</f>
        <v/>
      </c>
      <c r="G2899" t="str">
        <f>IF(D2899="","",INDEX(Knutepunkter!$C:$C,D2899+1))</f>
        <v/>
      </c>
      <c r="H2899" t="str">
        <f>IF(D2899="","",INDEX(Knutepunkter!$D:$D,D2899+1))</f>
        <v/>
      </c>
      <c r="I2899" t="str">
        <f>IF(E2899="","",INDEX(Knutepunkter!$B:$B,E2899+1))</f>
        <v/>
      </c>
      <c r="J2899" t="str">
        <f>IF(E2899="","",INDEX(Knutepunkter!$C:$C,E2899+1))</f>
        <v/>
      </c>
      <c r="K2899" t="str">
        <f>IF(E2899="","",INDEX(Knutepunkter!$D:$D,E2899+1))</f>
        <v/>
      </c>
      <c r="L2899" t="str">
        <f t="shared" si="228"/>
        <v/>
      </c>
      <c r="M2899" t="str">
        <f t="shared" si="229"/>
        <v/>
      </c>
    </row>
    <row r="2900" spans="1:13" x14ac:dyDescent="0.3">
      <c r="A2900" t="str">
        <f>Segmenter!A2900</f>
        <v/>
      </c>
      <c r="B2900" t="str">
        <f>Segmenter!B2900</f>
        <v/>
      </c>
      <c r="C2900" t="str">
        <f t="shared" si="225"/>
        <v/>
      </c>
      <c r="D2900" t="str">
        <f t="shared" si="226"/>
        <v/>
      </c>
      <c r="E2900" t="str">
        <f t="shared" si="227"/>
        <v/>
      </c>
      <c r="F2900" t="str">
        <f>IF(D2900="","",INDEX(Knutepunkter!$B:$B,D2900+1))</f>
        <v/>
      </c>
      <c r="G2900" t="str">
        <f>IF(D2900="","",INDEX(Knutepunkter!$C:$C,D2900+1))</f>
        <v/>
      </c>
      <c r="H2900" t="str">
        <f>IF(D2900="","",INDEX(Knutepunkter!$D:$D,D2900+1))</f>
        <v/>
      </c>
      <c r="I2900" t="str">
        <f>IF(E2900="","",INDEX(Knutepunkter!$B:$B,E2900+1))</f>
        <v/>
      </c>
      <c r="J2900" t="str">
        <f>IF(E2900="","",INDEX(Knutepunkter!$C:$C,E2900+1))</f>
        <v/>
      </c>
      <c r="K2900" t="str">
        <f>IF(E2900="","",INDEX(Knutepunkter!$D:$D,E2900+1))</f>
        <v/>
      </c>
      <c r="L2900" t="str">
        <f t="shared" si="228"/>
        <v/>
      </c>
      <c r="M2900" t="str">
        <f t="shared" si="229"/>
        <v/>
      </c>
    </row>
    <row r="2901" spans="1:13" x14ac:dyDescent="0.3">
      <c r="A2901" t="str">
        <f>Segmenter!A2901</f>
        <v/>
      </c>
      <c r="B2901" t="str">
        <f>Segmenter!B2901</f>
        <v/>
      </c>
      <c r="C2901" t="str">
        <f t="shared" si="225"/>
        <v/>
      </c>
      <c r="D2901" t="str">
        <f t="shared" si="226"/>
        <v/>
      </c>
      <c r="E2901" t="str">
        <f t="shared" si="227"/>
        <v/>
      </c>
      <c r="F2901" t="str">
        <f>IF(D2901="","",INDEX(Knutepunkter!$B:$B,D2901+1))</f>
        <v/>
      </c>
      <c r="G2901" t="str">
        <f>IF(D2901="","",INDEX(Knutepunkter!$C:$C,D2901+1))</f>
        <v/>
      </c>
      <c r="H2901" t="str">
        <f>IF(D2901="","",INDEX(Knutepunkter!$D:$D,D2901+1))</f>
        <v/>
      </c>
      <c r="I2901" t="str">
        <f>IF(E2901="","",INDEX(Knutepunkter!$B:$B,E2901+1))</f>
        <v/>
      </c>
      <c r="J2901" t="str">
        <f>IF(E2901="","",INDEX(Knutepunkter!$C:$C,E2901+1))</f>
        <v/>
      </c>
      <c r="K2901" t="str">
        <f>IF(E2901="","",INDEX(Knutepunkter!$D:$D,E2901+1))</f>
        <v/>
      </c>
      <c r="L2901" t="str">
        <f t="shared" si="228"/>
        <v/>
      </c>
      <c r="M2901" t="str">
        <f t="shared" si="229"/>
        <v/>
      </c>
    </row>
    <row r="2902" spans="1:13" x14ac:dyDescent="0.3">
      <c r="A2902" t="str">
        <f>Segmenter!A2902</f>
        <v/>
      </c>
      <c r="B2902" t="str">
        <f>Segmenter!B2902</f>
        <v/>
      </c>
      <c r="C2902" t="str">
        <f t="shared" si="225"/>
        <v/>
      </c>
      <c r="D2902" t="str">
        <f t="shared" si="226"/>
        <v/>
      </c>
      <c r="E2902" t="str">
        <f t="shared" si="227"/>
        <v/>
      </c>
      <c r="F2902" t="str">
        <f>IF(D2902="","",INDEX(Knutepunkter!$B:$B,D2902+1))</f>
        <v/>
      </c>
      <c r="G2902" t="str">
        <f>IF(D2902="","",INDEX(Knutepunkter!$C:$C,D2902+1))</f>
        <v/>
      </c>
      <c r="H2902" t="str">
        <f>IF(D2902="","",INDEX(Knutepunkter!$D:$D,D2902+1))</f>
        <v/>
      </c>
      <c r="I2902" t="str">
        <f>IF(E2902="","",INDEX(Knutepunkter!$B:$B,E2902+1))</f>
        <v/>
      </c>
      <c r="J2902" t="str">
        <f>IF(E2902="","",INDEX(Knutepunkter!$C:$C,E2902+1))</f>
        <v/>
      </c>
      <c r="K2902" t="str">
        <f>IF(E2902="","",INDEX(Knutepunkter!$D:$D,E2902+1))</f>
        <v/>
      </c>
      <c r="L2902" t="str">
        <f t="shared" si="228"/>
        <v/>
      </c>
      <c r="M2902" t="str">
        <f t="shared" si="229"/>
        <v/>
      </c>
    </row>
    <row r="2903" spans="1:13" x14ac:dyDescent="0.3">
      <c r="A2903" t="str">
        <f>Segmenter!A2903</f>
        <v/>
      </c>
      <c r="B2903" t="str">
        <f>Segmenter!B2903</f>
        <v/>
      </c>
      <c r="C2903" t="str">
        <f t="shared" si="225"/>
        <v/>
      </c>
      <c r="D2903" t="str">
        <f t="shared" si="226"/>
        <v/>
      </c>
      <c r="E2903" t="str">
        <f t="shared" si="227"/>
        <v/>
      </c>
      <c r="F2903" t="str">
        <f>IF(D2903="","",INDEX(Knutepunkter!$B:$B,D2903+1))</f>
        <v/>
      </c>
      <c r="G2903" t="str">
        <f>IF(D2903="","",INDEX(Knutepunkter!$C:$C,D2903+1))</f>
        <v/>
      </c>
      <c r="H2903" t="str">
        <f>IF(D2903="","",INDEX(Knutepunkter!$D:$D,D2903+1))</f>
        <v/>
      </c>
      <c r="I2903" t="str">
        <f>IF(E2903="","",INDEX(Knutepunkter!$B:$B,E2903+1))</f>
        <v/>
      </c>
      <c r="J2903" t="str">
        <f>IF(E2903="","",INDEX(Knutepunkter!$C:$C,E2903+1))</f>
        <v/>
      </c>
      <c r="K2903" t="str">
        <f>IF(E2903="","",INDEX(Knutepunkter!$D:$D,E2903+1))</f>
        <v/>
      </c>
      <c r="L2903" t="str">
        <f t="shared" si="228"/>
        <v/>
      </c>
      <c r="M2903" t="str">
        <f t="shared" si="229"/>
        <v/>
      </c>
    </row>
    <row r="2904" spans="1:13" x14ac:dyDescent="0.3">
      <c r="A2904" t="str">
        <f>Segmenter!A2904</f>
        <v/>
      </c>
      <c r="B2904" t="str">
        <f>Segmenter!B2904</f>
        <v/>
      </c>
      <c r="C2904" t="str">
        <f t="shared" si="225"/>
        <v/>
      </c>
      <c r="D2904" t="str">
        <f t="shared" si="226"/>
        <v/>
      </c>
      <c r="E2904" t="str">
        <f t="shared" si="227"/>
        <v/>
      </c>
      <c r="F2904" t="str">
        <f>IF(D2904="","",INDEX(Knutepunkter!$B:$B,D2904+1))</f>
        <v/>
      </c>
      <c r="G2904" t="str">
        <f>IF(D2904="","",INDEX(Knutepunkter!$C:$C,D2904+1))</f>
        <v/>
      </c>
      <c r="H2904" t="str">
        <f>IF(D2904="","",INDEX(Knutepunkter!$D:$D,D2904+1))</f>
        <v/>
      </c>
      <c r="I2904" t="str">
        <f>IF(E2904="","",INDEX(Knutepunkter!$B:$B,E2904+1))</f>
        <v/>
      </c>
      <c r="J2904" t="str">
        <f>IF(E2904="","",INDEX(Knutepunkter!$C:$C,E2904+1))</f>
        <v/>
      </c>
      <c r="K2904" t="str">
        <f>IF(E2904="","",INDEX(Knutepunkter!$D:$D,E2904+1))</f>
        <v/>
      </c>
      <c r="L2904" t="str">
        <f t="shared" si="228"/>
        <v/>
      </c>
      <c r="M2904" t="str">
        <f t="shared" si="229"/>
        <v/>
      </c>
    </row>
    <row r="2905" spans="1:13" x14ac:dyDescent="0.3">
      <c r="A2905" t="str">
        <f>Segmenter!A2905</f>
        <v/>
      </c>
      <c r="B2905" t="str">
        <f>Segmenter!B2905</f>
        <v/>
      </c>
      <c r="C2905" t="str">
        <f t="shared" si="225"/>
        <v/>
      </c>
      <c r="D2905" t="str">
        <f t="shared" si="226"/>
        <v/>
      </c>
      <c r="E2905" t="str">
        <f t="shared" si="227"/>
        <v/>
      </c>
      <c r="F2905" t="str">
        <f>IF(D2905="","",INDEX(Knutepunkter!$B:$B,D2905+1))</f>
        <v/>
      </c>
      <c r="G2905" t="str">
        <f>IF(D2905="","",INDEX(Knutepunkter!$C:$C,D2905+1))</f>
        <v/>
      </c>
      <c r="H2905" t="str">
        <f>IF(D2905="","",INDEX(Knutepunkter!$D:$D,D2905+1))</f>
        <v/>
      </c>
      <c r="I2905" t="str">
        <f>IF(E2905="","",INDEX(Knutepunkter!$B:$B,E2905+1))</f>
        <v/>
      </c>
      <c r="J2905" t="str">
        <f>IF(E2905="","",INDEX(Knutepunkter!$C:$C,E2905+1))</f>
        <v/>
      </c>
      <c r="K2905" t="str">
        <f>IF(E2905="","",INDEX(Knutepunkter!$D:$D,E2905+1))</f>
        <v/>
      </c>
      <c r="L2905" t="str">
        <f t="shared" si="228"/>
        <v/>
      </c>
      <c r="M2905" t="str">
        <f t="shared" si="229"/>
        <v/>
      </c>
    </row>
    <row r="2906" spans="1:13" x14ac:dyDescent="0.3">
      <c r="A2906" t="str">
        <f>Segmenter!A2906</f>
        <v/>
      </c>
      <c r="B2906" t="str">
        <f>Segmenter!B2906</f>
        <v/>
      </c>
      <c r="C2906" t="str">
        <f t="shared" si="225"/>
        <v/>
      </c>
      <c r="D2906" t="str">
        <f t="shared" si="226"/>
        <v/>
      </c>
      <c r="E2906" t="str">
        <f t="shared" si="227"/>
        <v/>
      </c>
      <c r="F2906" t="str">
        <f>IF(D2906="","",INDEX(Knutepunkter!$B:$B,D2906+1))</f>
        <v/>
      </c>
      <c r="G2906" t="str">
        <f>IF(D2906="","",INDEX(Knutepunkter!$C:$C,D2906+1))</f>
        <v/>
      </c>
      <c r="H2906" t="str">
        <f>IF(D2906="","",INDEX(Knutepunkter!$D:$D,D2906+1))</f>
        <v/>
      </c>
      <c r="I2906" t="str">
        <f>IF(E2906="","",INDEX(Knutepunkter!$B:$B,E2906+1))</f>
        <v/>
      </c>
      <c r="J2906" t="str">
        <f>IF(E2906="","",INDEX(Knutepunkter!$C:$C,E2906+1))</f>
        <v/>
      </c>
      <c r="K2906" t="str">
        <f>IF(E2906="","",INDEX(Knutepunkter!$D:$D,E2906+1))</f>
        <v/>
      </c>
      <c r="L2906" t="str">
        <f t="shared" si="228"/>
        <v/>
      </c>
      <c r="M2906" t="str">
        <f t="shared" si="229"/>
        <v/>
      </c>
    </row>
    <row r="2907" spans="1:13" x14ac:dyDescent="0.3">
      <c r="A2907" t="str">
        <f>Segmenter!A2907</f>
        <v/>
      </c>
      <c r="B2907" t="str">
        <f>Segmenter!B2907</f>
        <v/>
      </c>
      <c r="C2907" t="str">
        <f t="shared" si="225"/>
        <v/>
      </c>
      <c r="D2907" t="str">
        <f t="shared" si="226"/>
        <v/>
      </c>
      <c r="E2907" t="str">
        <f t="shared" si="227"/>
        <v/>
      </c>
      <c r="F2907" t="str">
        <f>IF(D2907="","",INDEX(Knutepunkter!$B:$B,D2907+1))</f>
        <v/>
      </c>
      <c r="G2907" t="str">
        <f>IF(D2907="","",INDEX(Knutepunkter!$C:$C,D2907+1))</f>
        <v/>
      </c>
      <c r="H2907" t="str">
        <f>IF(D2907="","",INDEX(Knutepunkter!$D:$D,D2907+1))</f>
        <v/>
      </c>
      <c r="I2907" t="str">
        <f>IF(E2907="","",INDEX(Knutepunkter!$B:$B,E2907+1))</f>
        <v/>
      </c>
      <c r="J2907" t="str">
        <f>IF(E2907="","",INDEX(Knutepunkter!$C:$C,E2907+1))</f>
        <v/>
      </c>
      <c r="K2907" t="str">
        <f>IF(E2907="","",INDEX(Knutepunkter!$D:$D,E2907+1))</f>
        <v/>
      </c>
      <c r="L2907" t="str">
        <f t="shared" si="228"/>
        <v/>
      </c>
      <c r="M2907" t="str">
        <f t="shared" si="229"/>
        <v/>
      </c>
    </row>
    <row r="2908" spans="1:13" x14ac:dyDescent="0.3">
      <c r="A2908" t="str">
        <f>Segmenter!A2908</f>
        <v/>
      </c>
      <c r="B2908" t="str">
        <f>Segmenter!B2908</f>
        <v/>
      </c>
      <c r="C2908" t="str">
        <f t="shared" si="225"/>
        <v/>
      </c>
      <c r="D2908" t="str">
        <f t="shared" si="226"/>
        <v/>
      </c>
      <c r="E2908" t="str">
        <f t="shared" si="227"/>
        <v/>
      </c>
      <c r="F2908" t="str">
        <f>IF(D2908="","",INDEX(Knutepunkter!$B:$B,D2908+1))</f>
        <v/>
      </c>
      <c r="G2908" t="str">
        <f>IF(D2908="","",INDEX(Knutepunkter!$C:$C,D2908+1))</f>
        <v/>
      </c>
      <c r="H2908" t="str">
        <f>IF(D2908="","",INDEX(Knutepunkter!$D:$D,D2908+1))</f>
        <v/>
      </c>
      <c r="I2908" t="str">
        <f>IF(E2908="","",INDEX(Knutepunkter!$B:$B,E2908+1))</f>
        <v/>
      </c>
      <c r="J2908" t="str">
        <f>IF(E2908="","",INDEX(Knutepunkter!$C:$C,E2908+1))</f>
        <v/>
      </c>
      <c r="K2908" t="str">
        <f>IF(E2908="","",INDEX(Knutepunkter!$D:$D,E2908+1))</f>
        <v/>
      </c>
      <c r="L2908" t="str">
        <f t="shared" si="228"/>
        <v/>
      </c>
      <c r="M2908" t="str">
        <f t="shared" si="229"/>
        <v/>
      </c>
    </row>
    <row r="2909" spans="1:13" x14ac:dyDescent="0.3">
      <c r="A2909" t="str">
        <f>Segmenter!A2909</f>
        <v/>
      </c>
      <c r="B2909" t="str">
        <f>Segmenter!B2909</f>
        <v/>
      </c>
      <c r="C2909" t="str">
        <f t="shared" si="225"/>
        <v/>
      </c>
      <c r="D2909" t="str">
        <f t="shared" si="226"/>
        <v/>
      </c>
      <c r="E2909" t="str">
        <f t="shared" si="227"/>
        <v/>
      </c>
      <c r="F2909" t="str">
        <f>IF(D2909="","",INDEX(Knutepunkter!$B:$B,D2909+1))</f>
        <v/>
      </c>
      <c r="G2909" t="str">
        <f>IF(D2909="","",INDEX(Knutepunkter!$C:$C,D2909+1))</f>
        <v/>
      </c>
      <c r="H2909" t="str">
        <f>IF(D2909="","",INDEX(Knutepunkter!$D:$D,D2909+1))</f>
        <v/>
      </c>
      <c r="I2909" t="str">
        <f>IF(E2909="","",INDEX(Knutepunkter!$B:$B,E2909+1))</f>
        <v/>
      </c>
      <c r="J2909" t="str">
        <f>IF(E2909="","",INDEX(Knutepunkter!$C:$C,E2909+1))</f>
        <v/>
      </c>
      <c r="K2909" t="str">
        <f>IF(E2909="","",INDEX(Knutepunkter!$D:$D,E2909+1))</f>
        <v/>
      </c>
      <c r="L2909" t="str">
        <f t="shared" si="228"/>
        <v/>
      </c>
      <c r="M2909" t="str">
        <f t="shared" si="229"/>
        <v/>
      </c>
    </row>
    <row r="2910" spans="1:13" x14ac:dyDescent="0.3">
      <c r="A2910" t="str">
        <f>Segmenter!A2910</f>
        <v/>
      </c>
      <c r="B2910" t="str">
        <f>Segmenter!B2910</f>
        <v/>
      </c>
      <c r="C2910" t="str">
        <f t="shared" si="225"/>
        <v/>
      </c>
      <c r="D2910" t="str">
        <f t="shared" si="226"/>
        <v/>
      </c>
      <c r="E2910" t="str">
        <f t="shared" si="227"/>
        <v/>
      </c>
      <c r="F2910" t="str">
        <f>IF(D2910="","",INDEX(Knutepunkter!$B:$B,D2910+1))</f>
        <v/>
      </c>
      <c r="G2910" t="str">
        <f>IF(D2910="","",INDEX(Knutepunkter!$C:$C,D2910+1))</f>
        <v/>
      </c>
      <c r="H2910" t="str">
        <f>IF(D2910="","",INDEX(Knutepunkter!$D:$D,D2910+1))</f>
        <v/>
      </c>
      <c r="I2910" t="str">
        <f>IF(E2910="","",INDEX(Knutepunkter!$B:$B,E2910+1))</f>
        <v/>
      </c>
      <c r="J2910" t="str">
        <f>IF(E2910="","",INDEX(Knutepunkter!$C:$C,E2910+1))</f>
        <v/>
      </c>
      <c r="K2910" t="str">
        <f>IF(E2910="","",INDEX(Knutepunkter!$D:$D,E2910+1))</f>
        <v/>
      </c>
      <c r="L2910" t="str">
        <f t="shared" si="228"/>
        <v/>
      </c>
      <c r="M2910" t="str">
        <f t="shared" si="229"/>
        <v/>
      </c>
    </row>
    <row r="2911" spans="1:13" x14ac:dyDescent="0.3">
      <c r="A2911" t="str">
        <f>Segmenter!A2911</f>
        <v/>
      </c>
      <c r="B2911" t="str">
        <f>Segmenter!B2911</f>
        <v/>
      </c>
      <c r="C2911" t="str">
        <f t="shared" si="225"/>
        <v/>
      </c>
      <c r="D2911" t="str">
        <f t="shared" si="226"/>
        <v/>
      </c>
      <c r="E2911" t="str">
        <f t="shared" si="227"/>
        <v/>
      </c>
      <c r="F2911" t="str">
        <f>IF(D2911="","",INDEX(Knutepunkter!$B:$B,D2911+1))</f>
        <v/>
      </c>
      <c r="G2911" t="str">
        <f>IF(D2911="","",INDEX(Knutepunkter!$C:$C,D2911+1))</f>
        <v/>
      </c>
      <c r="H2911" t="str">
        <f>IF(D2911="","",INDEX(Knutepunkter!$D:$D,D2911+1))</f>
        <v/>
      </c>
      <c r="I2911" t="str">
        <f>IF(E2911="","",INDEX(Knutepunkter!$B:$B,E2911+1))</f>
        <v/>
      </c>
      <c r="J2911" t="str">
        <f>IF(E2911="","",INDEX(Knutepunkter!$C:$C,E2911+1))</f>
        <v/>
      </c>
      <c r="K2911" t="str">
        <f>IF(E2911="","",INDEX(Knutepunkter!$D:$D,E2911+1))</f>
        <v/>
      </c>
      <c r="L2911" t="str">
        <f t="shared" si="228"/>
        <v/>
      </c>
      <c r="M2911" t="str">
        <f t="shared" si="229"/>
        <v/>
      </c>
    </row>
    <row r="2912" spans="1:13" x14ac:dyDescent="0.3">
      <c r="A2912" t="str">
        <f>Segmenter!A2912</f>
        <v/>
      </c>
      <c r="B2912" t="str">
        <f>Segmenter!B2912</f>
        <v/>
      </c>
      <c r="C2912" t="str">
        <f t="shared" si="225"/>
        <v/>
      </c>
      <c r="D2912" t="str">
        <f t="shared" si="226"/>
        <v/>
      </c>
      <c r="E2912" t="str">
        <f t="shared" si="227"/>
        <v/>
      </c>
      <c r="F2912" t="str">
        <f>IF(D2912="","",INDEX(Knutepunkter!$B:$B,D2912+1))</f>
        <v/>
      </c>
      <c r="G2912" t="str">
        <f>IF(D2912="","",INDEX(Knutepunkter!$C:$C,D2912+1))</f>
        <v/>
      </c>
      <c r="H2912" t="str">
        <f>IF(D2912="","",INDEX(Knutepunkter!$D:$D,D2912+1))</f>
        <v/>
      </c>
      <c r="I2912" t="str">
        <f>IF(E2912="","",INDEX(Knutepunkter!$B:$B,E2912+1))</f>
        <v/>
      </c>
      <c r="J2912" t="str">
        <f>IF(E2912="","",INDEX(Knutepunkter!$C:$C,E2912+1))</f>
        <v/>
      </c>
      <c r="K2912" t="str">
        <f>IF(E2912="","",INDEX(Knutepunkter!$D:$D,E2912+1))</f>
        <v/>
      </c>
      <c r="L2912" t="str">
        <f t="shared" si="228"/>
        <v/>
      </c>
      <c r="M2912" t="str">
        <f t="shared" si="229"/>
        <v/>
      </c>
    </row>
    <row r="2913" spans="1:13" x14ac:dyDescent="0.3">
      <c r="A2913" t="str">
        <f>Segmenter!A2913</f>
        <v/>
      </c>
      <c r="B2913" t="str">
        <f>Segmenter!B2913</f>
        <v/>
      </c>
      <c r="C2913" t="str">
        <f t="shared" si="225"/>
        <v/>
      </c>
      <c r="D2913" t="str">
        <f t="shared" si="226"/>
        <v/>
      </c>
      <c r="E2913" t="str">
        <f t="shared" si="227"/>
        <v/>
      </c>
      <c r="F2913" t="str">
        <f>IF(D2913="","",INDEX(Knutepunkter!$B:$B,D2913+1))</f>
        <v/>
      </c>
      <c r="G2913" t="str">
        <f>IF(D2913="","",INDEX(Knutepunkter!$C:$C,D2913+1))</f>
        <v/>
      </c>
      <c r="H2913" t="str">
        <f>IF(D2913="","",INDEX(Knutepunkter!$D:$D,D2913+1))</f>
        <v/>
      </c>
      <c r="I2913" t="str">
        <f>IF(E2913="","",INDEX(Knutepunkter!$B:$B,E2913+1))</f>
        <v/>
      </c>
      <c r="J2913" t="str">
        <f>IF(E2913="","",INDEX(Knutepunkter!$C:$C,E2913+1))</f>
        <v/>
      </c>
      <c r="K2913" t="str">
        <f>IF(E2913="","",INDEX(Knutepunkter!$D:$D,E2913+1))</f>
        <v/>
      </c>
      <c r="L2913" t="str">
        <f t="shared" si="228"/>
        <v/>
      </c>
      <c r="M2913" t="str">
        <f t="shared" si="229"/>
        <v/>
      </c>
    </row>
    <row r="2914" spans="1:13" x14ac:dyDescent="0.3">
      <c r="A2914" t="str">
        <f>Segmenter!A2914</f>
        <v/>
      </c>
      <c r="B2914" t="str">
        <f>Segmenter!B2914</f>
        <v/>
      </c>
      <c r="C2914" t="str">
        <f t="shared" si="225"/>
        <v/>
      </c>
      <c r="D2914" t="str">
        <f t="shared" si="226"/>
        <v/>
      </c>
      <c r="E2914" t="str">
        <f t="shared" si="227"/>
        <v/>
      </c>
      <c r="F2914" t="str">
        <f>IF(D2914="","",INDEX(Knutepunkter!$B:$B,D2914+1))</f>
        <v/>
      </c>
      <c r="G2914" t="str">
        <f>IF(D2914="","",INDEX(Knutepunkter!$C:$C,D2914+1))</f>
        <v/>
      </c>
      <c r="H2914" t="str">
        <f>IF(D2914="","",INDEX(Knutepunkter!$D:$D,D2914+1))</f>
        <v/>
      </c>
      <c r="I2914" t="str">
        <f>IF(E2914="","",INDEX(Knutepunkter!$B:$B,E2914+1))</f>
        <v/>
      </c>
      <c r="J2914" t="str">
        <f>IF(E2914="","",INDEX(Knutepunkter!$C:$C,E2914+1))</f>
        <v/>
      </c>
      <c r="K2914" t="str">
        <f>IF(E2914="","",INDEX(Knutepunkter!$D:$D,E2914+1))</f>
        <v/>
      </c>
      <c r="L2914" t="str">
        <f t="shared" si="228"/>
        <v/>
      </c>
      <c r="M2914" t="str">
        <f t="shared" si="229"/>
        <v/>
      </c>
    </row>
    <row r="2915" spans="1:13" x14ac:dyDescent="0.3">
      <c r="A2915" t="str">
        <f>Segmenter!A2915</f>
        <v/>
      </c>
      <c r="B2915" t="str">
        <f>Segmenter!B2915</f>
        <v/>
      </c>
      <c r="C2915" t="str">
        <f t="shared" si="225"/>
        <v/>
      </c>
      <c r="D2915" t="str">
        <f t="shared" si="226"/>
        <v/>
      </c>
      <c r="E2915" t="str">
        <f t="shared" si="227"/>
        <v/>
      </c>
      <c r="F2915" t="str">
        <f>IF(D2915="","",INDEX(Knutepunkter!$B:$B,D2915+1))</f>
        <v/>
      </c>
      <c r="G2915" t="str">
        <f>IF(D2915="","",INDEX(Knutepunkter!$C:$C,D2915+1))</f>
        <v/>
      </c>
      <c r="H2915" t="str">
        <f>IF(D2915="","",INDEX(Knutepunkter!$D:$D,D2915+1))</f>
        <v/>
      </c>
      <c r="I2915" t="str">
        <f>IF(E2915="","",INDEX(Knutepunkter!$B:$B,E2915+1))</f>
        <v/>
      </c>
      <c r="J2915" t="str">
        <f>IF(E2915="","",INDEX(Knutepunkter!$C:$C,E2915+1))</f>
        <v/>
      </c>
      <c r="K2915" t="str">
        <f>IF(E2915="","",INDEX(Knutepunkter!$D:$D,E2915+1))</f>
        <v/>
      </c>
      <c r="L2915" t="str">
        <f t="shared" si="228"/>
        <v/>
      </c>
      <c r="M2915" t="str">
        <f t="shared" si="229"/>
        <v/>
      </c>
    </row>
    <row r="2916" spans="1:13" x14ac:dyDescent="0.3">
      <c r="A2916" t="str">
        <f>Segmenter!A2916</f>
        <v/>
      </c>
      <c r="B2916" t="str">
        <f>Segmenter!B2916</f>
        <v/>
      </c>
      <c r="C2916" t="str">
        <f t="shared" si="225"/>
        <v/>
      </c>
      <c r="D2916" t="str">
        <f t="shared" si="226"/>
        <v/>
      </c>
      <c r="E2916" t="str">
        <f t="shared" si="227"/>
        <v/>
      </c>
      <c r="F2916" t="str">
        <f>IF(D2916="","",INDEX(Knutepunkter!$B:$B,D2916+1))</f>
        <v/>
      </c>
      <c r="G2916" t="str">
        <f>IF(D2916="","",INDEX(Knutepunkter!$C:$C,D2916+1))</f>
        <v/>
      </c>
      <c r="H2916" t="str">
        <f>IF(D2916="","",INDEX(Knutepunkter!$D:$D,D2916+1))</f>
        <v/>
      </c>
      <c r="I2916" t="str">
        <f>IF(E2916="","",INDEX(Knutepunkter!$B:$B,E2916+1))</f>
        <v/>
      </c>
      <c r="J2916" t="str">
        <f>IF(E2916="","",INDEX(Knutepunkter!$C:$C,E2916+1))</f>
        <v/>
      </c>
      <c r="K2916" t="str">
        <f>IF(E2916="","",INDEX(Knutepunkter!$D:$D,E2916+1))</f>
        <v/>
      </c>
      <c r="L2916" t="str">
        <f t="shared" si="228"/>
        <v/>
      </c>
      <c r="M2916" t="str">
        <f t="shared" si="229"/>
        <v/>
      </c>
    </row>
    <row r="2917" spans="1:13" x14ac:dyDescent="0.3">
      <c r="A2917" t="str">
        <f>Segmenter!A2917</f>
        <v/>
      </c>
      <c r="B2917" t="str">
        <f>Segmenter!B2917</f>
        <v/>
      </c>
      <c r="C2917" t="str">
        <f t="shared" si="225"/>
        <v/>
      </c>
      <c r="D2917" t="str">
        <f t="shared" si="226"/>
        <v/>
      </c>
      <c r="E2917" t="str">
        <f t="shared" si="227"/>
        <v/>
      </c>
      <c r="F2917" t="str">
        <f>IF(D2917="","",INDEX(Knutepunkter!$B:$B,D2917+1))</f>
        <v/>
      </c>
      <c r="G2917" t="str">
        <f>IF(D2917="","",INDEX(Knutepunkter!$C:$C,D2917+1))</f>
        <v/>
      </c>
      <c r="H2917" t="str">
        <f>IF(D2917="","",INDEX(Knutepunkter!$D:$D,D2917+1))</f>
        <v/>
      </c>
      <c r="I2917" t="str">
        <f>IF(E2917="","",INDEX(Knutepunkter!$B:$B,E2917+1))</f>
        <v/>
      </c>
      <c r="J2917" t="str">
        <f>IF(E2917="","",INDEX(Knutepunkter!$C:$C,E2917+1))</f>
        <v/>
      </c>
      <c r="K2917" t="str">
        <f>IF(E2917="","",INDEX(Knutepunkter!$D:$D,E2917+1))</f>
        <v/>
      </c>
      <c r="L2917" t="str">
        <f t="shared" si="228"/>
        <v/>
      </c>
      <c r="M2917" t="str">
        <f t="shared" si="229"/>
        <v/>
      </c>
    </row>
    <row r="2918" spans="1:13" x14ac:dyDescent="0.3">
      <c r="A2918" t="str">
        <f>Segmenter!A2918</f>
        <v/>
      </c>
      <c r="B2918" t="str">
        <f>Segmenter!B2918</f>
        <v/>
      </c>
      <c r="C2918" t="str">
        <f t="shared" si="225"/>
        <v/>
      </c>
      <c r="D2918" t="str">
        <f t="shared" si="226"/>
        <v/>
      </c>
      <c r="E2918" t="str">
        <f t="shared" si="227"/>
        <v/>
      </c>
      <c r="F2918" t="str">
        <f>IF(D2918="","",INDEX(Knutepunkter!$B:$B,D2918+1))</f>
        <v/>
      </c>
      <c r="G2918" t="str">
        <f>IF(D2918="","",INDEX(Knutepunkter!$C:$C,D2918+1))</f>
        <v/>
      </c>
      <c r="H2918" t="str">
        <f>IF(D2918="","",INDEX(Knutepunkter!$D:$D,D2918+1))</f>
        <v/>
      </c>
      <c r="I2918" t="str">
        <f>IF(E2918="","",INDEX(Knutepunkter!$B:$B,E2918+1))</f>
        <v/>
      </c>
      <c r="J2918" t="str">
        <f>IF(E2918="","",INDEX(Knutepunkter!$C:$C,E2918+1))</f>
        <v/>
      </c>
      <c r="K2918" t="str">
        <f>IF(E2918="","",INDEX(Knutepunkter!$D:$D,E2918+1))</f>
        <v/>
      </c>
      <c r="L2918" t="str">
        <f t="shared" si="228"/>
        <v/>
      </c>
      <c r="M2918" t="str">
        <f t="shared" si="229"/>
        <v/>
      </c>
    </row>
    <row r="2919" spans="1:13" x14ac:dyDescent="0.3">
      <c r="A2919" t="str">
        <f>Segmenter!A2919</f>
        <v/>
      </c>
      <c r="B2919" t="str">
        <f>Segmenter!B2919</f>
        <v/>
      </c>
      <c r="C2919" t="str">
        <f t="shared" si="225"/>
        <v/>
      </c>
      <c r="D2919" t="str">
        <f t="shared" si="226"/>
        <v/>
      </c>
      <c r="E2919" t="str">
        <f t="shared" si="227"/>
        <v/>
      </c>
      <c r="F2919" t="str">
        <f>IF(D2919="","",INDEX(Knutepunkter!$B:$B,D2919+1))</f>
        <v/>
      </c>
      <c r="G2919" t="str">
        <f>IF(D2919="","",INDEX(Knutepunkter!$C:$C,D2919+1))</f>
        <v/>
      </c>
      <c r="H2919" t="str">
        <f>IF(D2919="","",INDEX(Knutepunkter!$D:$D,D2919+1))</f>
        <v/>
      </c>
      <c r="I2919" t="str">
        <f>IF(E2919="","",INDEX(Knutepunkter!$B:$B,E2919+1))</f>
        <v/>
      </c>
      <c r="J2919" t="str">
        <f>IF(E2919="","",INDEX(Knutepunkter!$C:$C,E2919+1))</f>
        <v/>
      </c>
      <c r="K2919" t="str">
        <f>IF(E2919="","",INDEX(Knutepunkter!$D:$D,E2919+1))</f>
        <v/>
      </c>
      <c r="L2919" t="str">
        <f t="shared" si="228"/>
        <v/>
      </c>
      <c r="M2919" t="str">
        <f t="shared" si="229"/>
        <v/>
      </c>
    </row>
    <row r="2920" spans="1:13" x14ac:dyDescent="0.3">
      <c r="A2920" t="str">
        <f>Segmenter!A2920</f>
        <v/>
      </c>
      <c r="B2920" t="str">
        <f>Segmenter!B2920</f>
        <v/>
      </c>
      <c r="C2920" t="str">
        <f t="shared" si="225"/>
        <v/>
      </c>
      <c r="D2920" t="str">
        <f t="shared" si="226"/>
        <v/>
      </c>
      <c r="E2920" t="str">
        <f t="shared" si="227"/>
        <v/>
      </c>
      <c r="F2920" t="str">
        <f>IF(D2920="","",INDEX(Knutepunkter!$B:$B,D2920+1))</f>
        <v/>
      </c>
      <c r="G2920" t="str">
        <f>IF(D2920="","",INDEX(Knutepunkter!$C:$C,D2920+1))</f>
        <v/>
      </c>
      <c r="H2920" t="str">
        <f>IF(D2920="","",INDEX(Knutepunkter!$D:$D,D2920+1))</f>
        <v/>
      </c>
      <c r="I2920" t="str">
        <f>IF(E2920="","",INDEX(Knutepunkter!$B:$B,E2920+1))</f>
        <v/>
      </c>
      <c r="J2920" t="str">
        <f>IF(E2920="","",INDEX(Knutepunkter!$C:$C,E2920+1))</f>
        <v/>
      </c>
      <c r="K2920" t="str">
        <f>IF(E2920="","",INDEX(Knutepunkter!$D:$D,E2920+1))</f>
        <v/>
      </c>
      <c r="L2920" t="str">
        <f t="shared" si="228"/>
        <v/>
      </c>
      <c r="M2920" t="str">
        <f t="shared" si="229"/>
        <v/>
      </c>
    </row>
    <row r="2921" spans="1:13" x14ac:dyDescent="0.3">
      <c r="A2921" t="str">
        <f>Segmenter!A2921</f>
        <v/>
      </c>
      <c r="B2921" t="str">
        <f>Segmenter!B2921</f>
        <v/>
      </c>
      <c r="C2921" t="str">
        <f t="shared" si="225"/>
        <v/>
      </c>
      <c r="D2921" t="str">
        <f t="shared" si="226"/>
        <v/>
      </c>
      <c r="E2921" t="str">
        <f t="shared" si="227"/>
        <v/>
      </c>
      <c r="F2921" t="str">
        <f>IF(D2921="","",INDEX(Knutepunkter!$B:$B,D2921+1))</f>
        <v/>
      </c>
      <c r="G2921" t="str">
        <f>IF(D2921="","",INDEX(Knutepunkter!$C:$C,D2921+1))</f>
        <v/>
      </c>
      <c r="H2921" t="str">
        <f>IF(D2921="","",INDEX(Knutepunkter!$D:$D,D2921+1))</f>
        <v/>
      </c>
      <c r="I2921" t="str">
        <f>IF(E2921="","",INDEX(Knutepunkter!$B:$B,E2921+1))</f>
        <v/>
      </c>
      <c r="J2921" t="str">
        <f>IF(E2921="","",INDEX(Knutepunkter!$C:$C,E2921+1))</f>
        <v/>
      </c>
      <c r="K2921" t="str">
        <f>IF(E2921="","",INDEX(Knutepunkter!$D:$D,E2921+1))</f>
        <v/>
      </c>
      <c r="L2921" t="str">
        <f t="shared" si="228"/>
        <v/>
      </c>
      <c r="M2921" t="str">
        <f t="shared" si="229"/>
        <v/>
      </c>
    </row>
    <row r="2922" spans="1:13" x14ac:dyDescent="0.3">
      <c r="A2922" t="str">
        <f>Segmenter!A2922</f>
        <v/>
      </c>
      <c r="B2922" t="str">
        <f>Segmenter!B2922</f>
        <v/>
      </c>
      <c r="C2922" t="str">
        <f t="shared" si="225"/>
        <v/>
      </c>
      <c r="D2922" t="str">
        <f t="shared" si="226"/>
        <v/>
      </c>
      <c r="E2922" t="str">
        <f t="shared" si="227"/>
        <v/>
      </c>
      <c r="F2922" t="str">
        <f>IF(D2922="","",INDEX(Knutepunkter!$B:$B,D2922+1))</f>
        <v/>
      </c>
      <c r="G2922" t="str">
        <f>IF(D2922="","",INDEX(Knutepunkter!$C:$C,D2922+1))</f>
        <v/>
      </c>
      <c r="H2922" t="str">
        <f>IF(D2922="","",INDEX(Knutepunkter!$D:$D,D2922+1))</f>
        <v/>
      </c>
      <c r="I2922" t="str">
        <f>IF(E2922="","",INDEX(Knutepunkter!$B:$B,E2922+1))</f>
        <v/>
      </c>
      <c r="J2922" t="str">
        <f>IF(E2922="","",INDEX(Knutepunkter!$C:$C,E2922+1))</f>
        <v/>
      </c>
      <c r="K2922" t="str">
        <f>IF(E2922="","",INDEX(Knutepunkter!$D:$D,E2922+1))</f>
        <v/>
      </c>
      <c r="L2922" t="str">
        <f t="shared" si="228"/>
        <v/>
      </c>
      <c r="M2922" t="str">
        <f t="shared" si="229"/>
        <v/>
      </c>
    </row>
    <row r="2923" spans="1:13" x14ac:dyDescent="0.3">
      <c r="A2923" t="str">
        <f>Segmenter!A2923</f>
        <v/>
      </c>
      <c r="B2923" t="str">
        <f>Segmenter!B2923</f>
        <v/>
      </c>
      <c r="C2923" t="str">
        <f t="shared" si="225"/>
        <v/>
      </c>
      <c r="D2923" t="str">
        <f t="shared" si="226"/>
        <v/>
      </c>
      <c r="E2923" t="str">
        <f t="shared" si="227"/>
        <v/>
      </c>
      <c r="F2923" t="str">
        <f>IF(D2923="","",INDEX(Knutepunkter!$B:$B,D2923+1))</f>
        <v/>
      </c>
      <c r="G2923" t="str">
        <f>IF(D2923="","",INDEX(Knutepunkter!$C:$C,D2923+1))</f>
        <v/>
      </c>
      <c r="H2923" t="str">
        <f>IF(D2923="","",INDEX(Knutepunkter!$D:$D,D2923+1))</f>
        <v/>
      </c>
      <c r="I2923" t="str">
        <f>IF(E2923="","",INDEX(Knutepunkter!$B:$B,E2923+1))</f>
        <v/>
      </c>
      <c r="J2923" t="str">
        <f>IF(E2923="","",INDEX(Knutepunkter!$C:$C,E2923+1))</f>
        <v/>
      </c>
      <c r="K2923" t="str">
        <f>IF(E2923="","",INDEX(Knutepunkter!$D:$D,E2923+1))</f>
        <v/>
      </c>
      <c r="L2923" t="str">
        <f t="shared" si="228"/>
        <v/>
      </c>
      <c r="M2923" t="str">
        <f t="shared" si="229"/>
        <v/>
      </c>
    </row>
    <row r="2924" spans="1:13" x14ac:dyDescent="0.3">
      <c r="A2924" t="str">
        <f>Segmenter!A2924</f>
        <v/>
      </c>
      <c r="B2924" t="str">
        <f>Segmenter!B2924</f>
        <v/>
      </c>
      <c r="C2924" t="str">
        <f t="shared" si="225"/>
        <v/>
      </c>
      <c r="D2924" t="str">
        <f t="shared" si="226"/>
        <v/>
      </c>
      <c r="E2924" t="str">
        <f t="shared" si="227"/>
        <v/>
      </c>
      <c r="F2924" t="str">
        <f>IF(D2924="","",INDEX(Knutepunkter!$B:$B,D2924+1))</f>
        <v/>
      </c>
      <c r="G2924" t="str">
        <f>IF(D2924="","",INDEX(Knutepunkter!$C:$C,D2924+1))</f>
        <v/>
      </c>
      <c r="H2924" t="str">
        <f>IF(D2924="","",INDEX(Knutepunkter!$D:$D,D2924+1))</f>
        <v/>
      </c>
      <c r="I2924" t="str">
        <f>IF(E2924="","",INDEX(Knutepunkter!$B:$B,E2924+1))</f>
        <v/>
      </c>
      <c r="J2924" t="str">
        <f>IF(E2924="","",INDEX(Knutepunkter!$C:$C,E2924+1))</f>
        <v/>
      </c>
      <c r="K2924" t="str">
        <f>IF(E2924="","",INDEX(Knutepunkter!$D:$D,E2924+1))</f>
        <v/>
      </c>
      <c r="L2924" t="str">
        <f t="shared" si="228"/>
        <v/>
      </c>
      <c r="M2924" t="str">
        <f t="shared" si="229"/>
        <v/>
      </c>
    </row>
    <row r="2925" spans="1:13" x14ac:dyDescent="0.3">
      <c r="A2925" t="str">
        <f>Segmenter!A2925</f>
        <v/>
      </c>
      <c r="B2925" t="str">
        <f>Segmenter!B2925</f>
        <v/>
      </c>
      <c r="C2925" t="str">
        <f t="shared" si="225"/>
        <v/>
      </c>
      <c r="D2925" t="str">
        <f t="shared" si="226"/>
        <v/>
      </c>
      <c r="E2925" t="str">
        <f t="shared" si="227"/>
        <v/>
      </c>
      <c r="F2925" t="str">
        <f>IF(D2925="","",INDEX(Knutepunkter!$B:$B,D2925+1))</f>
        <v/>
      </c>
      <c r="G2925" t="str">
        <f>IF(D2925="","",INDEX(Knutepunkter!$C:$C,D2925+1))</f>
        <v/>
      </c>
      <c r="H2925" t="str">
        <f>IF(D2925="","",INDEX(Knutepunkter!$D:$D,D2925+1))</f>
        <v/>
      </c>
      <c r="I2925" t="str">
        <f>IF(E2925="","",INDEX(Knutepunkter!$B:$B,E2925+1))</f>
        <v/>
      </c>
      <c r="J2925" t="str">
        <f>IF(E2925="","",INDEX(Knutepunkter!$C:$C,E2925+1))</f>
        <v/>
      </c>
      <c r="K2925" t="str">
        <f>IF(E2925="","",INDEX(Knutepunkter!$D:$D,E2925+1))</f>
        <v/>
      </c>
      <c r="L2925" t="str">
        <f t="shared" si="228"/>
        <v/>
      </c>
      <c r="M2925" t="str">
        <f t="shared" si="229"/>
        <v/>
      </c>
    </row>
    <row r="2926" spans="1:13" x14ac:dyDescent="0.3">
      <c r="A2926" t="str">
        <f>Segmenter!A2926</f>
        <v/>
      </c>
      <c r="B2926" t="str">
        <f>Segmenter!B2926</f>
        <v/>
      </c>
      <c r="C2926" t="str">
        <f t="shared" si="225"/>
        <v/>
      </c>
      <c r="D2926" t="str">
        <f t="shared" si="226"/>
        <v/>
      </c>
      <c r="E2926" t="str">
        <f t="shared" si="227"/>
        <v/>
      </c>
      <c r="F2926" t="str">
        <f>IF(D2926="","",INDEX(Knutepunkter!$B:$B,D2926+1))</f>
        <v/>
      </c>
      <c r="G2926" t="str">
        <f>IF(D2926="","",INDEX(Knutepunkter!$C:$C,D2926+1))</f>
        <v/>
      </c>
      <c r="H2926" t="str">
        <f>IF(D2926="","",INDEX(Knutepunkter!$D:$D,D2926+1))</f>
        <v/>
      </c>
      <c r="I2926" t="str">
        <f>IF(E2926="","",INDEX(Knutepunkter!$B:$B,E2926+1))</f>
        <v/>
      </c>
      <c r="J2926" t="str">
        <f>IF(E2926="","",INDEX(Knutepunkter!$C:$C,E2926+1))</f>
        <v/>
      </c>
      <c r="K2926" t="str">
        <f>IF(E2926="","",INDEX(Knutepunkter!$D:$D,E2926+1))</f>
        <v/>
      </c>
      <c r="L2926" t="str">
        <f t="shared" si="228"/>
        <v/>
      </c>
      <c r="M2926" t="str">
        <f t="shared" si="229"/>
        <v/>
      </c>
    </row>
    <row r="2927" spans="1:13" x14ac:dyDescent="0.3">
      <c r="A2927" t="str">
        <f>Segmenter!A2927</f>
        <v/>
      </c>
      <c r="B2927" t="str">
        <f>Segmenter!B2927</f>
        <v/>
      </c>
      <c r="C2927" t="str">
        <f t="shared" si="225"/>
        <v/>
      </c>
      <c r="D2927" t="str">
        <f t="shared" si="226"/>
        <v/>
      </c>
      <c r="E2927" t="str">
        <f t="shared" si="227"/>
        <v/>
      </c>
      <c r="F2927" t="str">
        <f>IF(D2927="","",INDEX(Knutepunkter!$B:$B,D2927+1))</f>
        <v/>
      </c>
      <c r="G2927" t="str">
        <f>IF(D2927="","",INDEX(Knutepunkter!$C:$C,D2927+1))</f>
        <v/>
      </c>
      <c r="H2927" t="str">
        <f>IF(D2927="","",INDEX(Knutepunkter!$D:$D,D2927+1))</f>
        <v/>
      </c>
      <c r="I2927" t="str">
        <f>IF(E2927="","",INDEX(Knutepunkter!$B:$B,E2927+1))</f>
        <v/>
      </c>
      <c r="J2927" t="str">
        <f>IF(E2927="","",INDEX(Knutepunkter!$C:$C,E2927+1))</f>
        <v/>
      </c>
      <c r="K2927" t="str">
        <f>IF(E2927="","",INDEX(Knutepunkter!$D:$D,E2927+1))</f>
        <v/>
      </c>
      <c r="L2927" t="str">
        <f t="shared" si="228"/>
        <v/>
      </c>
      <c r="M2927" t="str">
        <f t="shared" si="229"/>
        <v/>
      </c>
    </row>
    <row r="2928" spans="1:13" x14ac:dyDescent="0.3">
      <c r="A2928" t="str">
        <f>Segmenter!A2928</f>
        <v/>
      </c>
      <c r="B2928" t="str">
        <f>Segmenter!B2928</f>
        <v/>
      </c>
      <c r="C2928" t="str">
        <f t="shared" si="225"/>
        <v/>
      </c>
      <c r="D2928" t="str">
        <f t="shared" si="226"/>
        <v/>
      </c>
      <c r="E2928" t="str">
        <f t="shared" si="227"/>
        <v/>
      </c>
      <c r="F2928" t="str">
        <f>IF(D2928="","",INDEX(Knutepunkter!$B:$B,D2928+1))</f>
        <v/>
      </c>
      <c r="G2928" t="str">
        <f>IF(D2928="","",INDEX(Knutepunkter!$C:$C,D2928+1))</f>
        <v/>
      </c>
      <c r="H2928" t="str">
        <f>IF(D2928="","",INDEX(Knutepunkter!$D:$D,D2928+1))</f>
        <v/>
      </c>
      <c r="I2928" t="str">
        <f>IF(E2928="","",INDEX(Knutepunkter!$B:$B,E2928+1))</f>
        <v/>
      </c>
      <c r="J2928" t="str">
        <f>IF(E2928="","",INDEX(Knutepunkter!$C:$C,E2928+1))</f>
        <v/>
      </c>
      <c r="K2928" t="str">
        <f>IF(E2928="","",INDEX(Knutepunkter!$D:$D,E2928+1))</f>
        <v/>
      </c>
      <c r="L2928" t="str">
        <f t="shared" si="228"/>
        <v/>
      </c>
      <c r="M2928" t="str">
        <f t="shared" si="229"/>
        <v/>
      </c>
    </row>
    <row r="2929" spans="1:13" x14ac:dyDescent="0.3">
      <c r="A2929" t="str">
        <f>Segmenter!A2929</f>
        <v/>
      </c>
      <c r="B2929" t="str">
        <f>Segmenter!B2929</f>
        <v/>
      </c>
      <c r="C2929" t="str">
        <f t="shared" si="225"/>
        <v/>
      </c>
      <c r="D2929" t="str">
        <f t="shared" si="226"/>
        <v/>
      </c>
      <c r="E2929" t="str">
        <f t="shared" si="227"/>
        <v/>
      </c>
      <c r="F2929" t="str">
        <f>IF(D2929="","",INDEX(Knutepunkter!$B:$B,D2929+1))</f>
        <v/>
      </c>
      <c r="G2929" t="str">
        <f>IF(D2929="","",INDEX(Knutepunkter!$C:$C,D2929+1))</f>
        <v/>
      </c>
      <c r="H2929" t="str">
        <f>IF(D2929="","",INDEX(Knutepunkter!$D:$D,D2929+1))</f>
        <v/>
      </c>
      <c r="I2929" t="str">
        <f>IF(E2929="","",INDEX(Knutepunkter!$B:$B,E2929+1))</f>
        <v/>
      </c>
      <c r="J2929" t="str">
        <f>IF(E2929="","",INDEX(Knutepunkter!$C:$C,E2929+1))</f>
        <v/>
      </c>
      <c r="K2929" t="str">
        <f>IF(E2929="","",INDEX(Knutepunkter!$D:$D,E2929+1))</f>
        <v/>
      </c>
      <c r="L2929" t="str">
        <f t="shared" si="228"/>
        <v/>
      </c>
      <c r="M2929" t="str">
        <f t="shared" si="229"/>
        <v/>
      </c>
    </row>
    <row r="2930" spans="1:13" x14ac:dyDescent="0.3">
      <c r="A2930" t="str">
        <f>Segmenter!A2930</f>
        <v/>
      </c>
      <c r="B2930" t="str">
        <f>Segmenter!B2930</f>
        <v/>
      </c>
      <c r="C2930" t="str">
        <f t="shared" si="225"/>
        <v/>
      </c>
      <c r="D2930" t="str">
        <f t="shared" si="226"/>
        <v/>
      </c>
      <c r="E2930" t="str">
        <f t="shared" si="227"/>
        <v/>
      </c>
      <c r="F2930" t="str">
        <f>IF(D2930="","",INDEX(Knutepunkter!$B:$B,D2930+1))</f>
        <v/>
      </c>
      <c r="G2930" t="str">
        <f>IF(D2930="","",INDEX(Knutepunkter!$C:$C,D2930+1))</f>
        <v/>
      </c>
      <c r="H2930" t="str">
        <f>IF(D2930="","",INDEX(Knutepunkter!$D:$D,D2930+1))</f>
        <v/>
      </c>
      <c r="I2930" t="str">
        <f>IF(E2930="","",INDEX(Knutepunkter!$B:$B,E2930+1))</f>
        <v/>
      </c>
      <c r="J2930" t="str">
        <f>IF(E2930="","",INDEX(Knutepunkter!$C:$C,E2930+1))</f>
        <v/>
      </c>
      <c r="K2930" t="str">
        <f>IF(E2930="","",INDEX(Knutepunkter!$D:$D,E2930+1))</f>
        <v/>
      </c>
      <c r="L2930" t="str">
        <f t="shared" si="228"/>
        <v/>
      </c>
      <c r="M2930" t="str">
        <f t="shared" si="229"/>
        <v/>
      </c>
    </row>
    <row r="2931" spans="1:13" x14ac:dyDescent="0.3">
      <c r="A2931" t="str">
        <f>Segmenter!A2931</f>
        <v/>
      </c>
      <c r="B2931" t="str">
        <f>Segmenter!B2931</f>
        <v/>
      </c>
      <c r="C2931" t="str">
        <f t="shared" si="225"/>
        <v/>
      </c>
      <c r="D2931" t="str">
        <f t="shared" si="226"/>
        <v/>
      </c>
      <c r="E2931" t="str">
        <f t="shared" si="227"/>
        <v/>
      </c>
      <c r="F2931" t="str">
        <f>IF(D2931="","",INDEX(Knutepunkter!$B:$B,D2931+1))</f>
        <v/>
      </c>
      <c r="G2931" t="str">
        <f>IF(D2931="","",INDEX(Knutepunkter!$C:$C,D2931+1))</f>
        <v/>
      </c>
      <c r="H2931" t="str">
        <f>IF(D2931="","",INDEX(Knutepunkter!$D:$D,D2931+1))</f>
        <v/>
      </c>
      <c r="I2931" t="str">
        <f>IF(E2931="","",INDEX(Knutepunkter!$B:$B,E2931+1))</f>
        <v/>
      </c>
      <c r="J2931" t="str">
        <f>IF(E2931="","",INDEX(Knutepunkter!$C:$C,E2931+1))</f>
        <v/>
      </c>
      <c r="K2931" t="str">
        <f>IF(E2931="","",INDEX(Knutepunkter!$D:$D,E2931+1))</f>
        <v/>
      </c>
      <c r="L2931" t="str">
        <f t="shared" si="228"/>
        <v/>
      </c>
      <c r="M2931" t="str">
        <f t="shared" si="229"/>
        <v/>
      </c>
    </row>
    <row r="2932" spans="1:13" x14ac:dyDescent="0.3">
      <c r="A2932" t="str">
        <f>Segmenter!A2932</f>
        <v/>
      </c>
      <c r="B2932" t="str">
        <f>Segmenter!B2932</f>
        <v/>
      </c>
      <c r="C2932" t="str">
        <f t="shared" si="225"/>
        <v/>
      </c>
      <c r="D2932" t="str">
        <f t="shared" si="226"/>
        <v/>
      </c>
      <c r="E2932" t="str">
        <f t="shared" si="227"/>
        <v/>
      </c>
      <c r="F2932" t="str">
        <f>IF(D2932="","",INDEX(Knutepunkter!$B:$B,D2932+1))</f>
        <v/>
      </c>
      <c r="G2932" t="str">
        <f>IF(D2932="","",INDEX(Knutepunkter!$C:$C,D2932+1))</f>
        <v/>
      </c>
      <c r="H2932" t="str">
        <f>IF(D2932="","",INDEX(Knutepunkter!$D:$D,D2932+1))</f>
        <v/>
      </c>
      <c r="I2932" t="str">
        <f>IF(E2932="","",INDEX(Knutepunkter!$B:$B,E2932+1))</f>
        <v/>
      </c>
      <c r="J2932" t="str">
        <f>IF(E2932="","",INDEX(Knutepunkter!$C:$C,E2932+1))</f>
        <v/>
      </c>
      <c r="K2932" t="str">
        <f>IF(E2932="","",INDEX(Knutepunkter!$D:$D,E2932+1))</f>
        <v/>
      </c>
      <c r="L2932" t="str">
        <f t="shared" si="228"/>
        <v/>
      </c>
      <c r="M2932" t="str">
        <f t="shared" si="229"/>
        <v/>
      </c>
    </row>
    <row r="2933" spans="1:13" x14ac:dyDescent="0.3">
      <c r="A2933" t="str">
        <f>Segmenter!A2933</f>
        <v/>
      </c>
      <c r="B2933" t="str">
        <f>Segmenter!B2933</f>
        <v/>
      </c>
      <c r="C2933" t="str">
        <f t="shared" si="225"/>
        <v/>
      </c>
      <c r="D2933" t="str">
        <f t="shared" si="226"/>
        <v/>
      </c>
      <c r="E2933" t="str">
        <f t="shared" si="227"/>
        <v/>
      </c>
      <c r="F2933" t="str">
        <f>IF(D2933="","",INDEX(Knutepunkter!$B:$B,D2933+1))</f>
        <v/>
      </c>
      <c r="G2933" t="str">
        <f>IF(D2933="","",INDEX(Knutepunkter!$C:$C,D2933+1))</f>
        <v/>
      </c>
      <c r="H2933" t="str">
        <f>IF(D2933="","",INDEX(Knutepunkter!$D:$D,D2933+1))</f>
        <v/>
      </c>
      <c r="I2933" t="str">
        <f>IF(E2933="","",INDEX(Knutepunkter!$B:$B,E2933+1))</f>
        <v/>
      </c>
      <c r="J2933" t="str">
        <f>IF(E2933="","",INDEX(Knutepunkter!$C:$C,E2933+1))</f>
        <v/>
      </c>
      <c r="K2933" t="str">
        <f>IF(E2933="","",INDEX(Knutepunkter!$D:$D,E2933+1))</f>
        <v/>
      </c>
      <c r="L2933" t="str">
        <f t="shared" si="228"/>
        <v/>
      </c>
      <c r="M2933" t="str">
        <f t="shared" si="229"/>
        <v/>
      </c>
    </row>
    <row r="2934" spans="1:13" x14ac:dyDescent="0.3">
      <c r="A2934" t="str">
        <f>Segmenter!A2934</f>
        <v/>
      </c>
      <c r="B2934" t="str">
        <f>Segmenter!B2934</f>
        <v/>
      </c>
      <c r="C2934" t="str">
        <f t="shared" si="225"/>
        <v/>
      </c>
      <c r="D2934" t="str">
        <f t="shared" si="226"/>
        <v/>
      </c>
      <c r="E2934" t="str">
        <f t="shared" si="227"/>
        <v/>
      </c>
      <c r="F2934" t="str">
        <f>IF(D2934="","",INDEX(Knutepunkter!$B:$B,D2934+1))</f>
        <v/>
      </c>
      <c r="G2934" t="str">
        <f>IF(D2934="","",INDEX(Knutepunkter!$C:$C,D2934+1))</f>
        <v/>
      </c>
      <c r="H2934" t="str">
        <f>IF(D2934="","",INDEX(Knutepunkter!$D:$D,D2934+1))</f>
        <v/>
      </c>
      <c r="I2934" t="str">
        <f>IF(E2934="","",INDEX(Knutepunkter!$B:$B,E2934+1))</f>
        <v/>
      </c>
      <c r="J2934" t="str">
        <f>IF(E2934="","",INDEX(Knutepunkter!$C:$C,E2934+1))</f>
        <v/>
      </c>
      <c r="K2934" t="str">
        <f>IF(E2934="","",INDEX(Knutepunkter!$D:$D,E2934+1))</f>
        <v/>
      </c>
      <c r="L2934" t="str">
        <f t="shared" si="228"/>
        <v/>
      </c>
      <c r="M2934" t="str">
        <f t="shared" si="229"/>
        <v/>
      </c>
    </row>
    <row r="2935" spans="1:13" x14ac:dyDescent="0.3">
      <c r="A2935" t="str">
        <f>Segmenter!A2935</f>
        <v/>
      </c>
      <c r="B2935" t="str">
        <f>Segmenter!B2935</f>
        <v/>
      </c>
      <c r="C2935" t="str">
        <f t="shared" si="225"/>
        <v/>
      </c>
      <c r="D2935" t="str">
        <f t="shared" si="226"/>
        <v/>
      </c>
      <c r="E2935" t="str">
        <f t="shared" si="227"/>
        <v/>
      </c>
      <c r="F2935" t="str">
        <f>IF(D2935="","",INDEX(Knutepunkter!$B:$B,D2935+1))</f>
        <v/>
      </c>
      <c r="G2935" t="str">
        <f>IF(D2935="","",INDEX(Knutepunkter!$C:$C,D2935+1))</f>
        <v/>
      </c>
      <c r="H2935" t="str">
        <f>IF(D2935="","",INDEX(Knutepunkter!$D:$D,D2935+1))</f>
        <v/>
      </c>
      <c r="I2935" t="str">
        <f>IF(E2935="","",INDEX(Knutepunkter!$B:$B,E2935+1))</f>
        <v/>
      </c>
      <c r="J2935" t="str">
        <f>IF(E2935="","",INDEX(Knutepunkter!$C:$C,E2935+1))</f>
        <v/>
      </c>
      <c r="K2935" t="str">
        <f>IF(E2935="","",INDEX(Knutepunkter!$D:$D,E2935+1))</f>
        <v/>
      </c>
      <c r="L2935" t="str">
        <f t="shared" si="228"/>
        <v/>
      </c>
      <c r="M2935" t="str">
        <f t="shared" si="229"/>
        <v/>
      </c>
    </row>
    <row r="2936" spans="1:13" x14ac:dyDescent="0.3">
      <c r="A2936" t="str">
        <f>Segmenter!A2936</f>
        <v/>
      </c>
      <c r="B2936" t="str">
        <f>Segmenter!B2936</f>
        <v/>
      </c>
      <c r="C2936" t="str">
        <f t="shared" si="225"/>
        <v/>
      </c>
      <c r="D2936" t="str">
        <f t="shared" si="226"/>
        <v/>
      </c>
      <c r="E2936" t="str">
        <f t="shared" si="227"/>
        <v/>
      </c>
      <c r="F2936" t="str">
        <f>IF(D2936="","",INDEX(Knutepunkter!$B:$B,D2936+1))</f>
        <v/>
      </c>
      <c r="G2936" t="str">
        <f>IF(D2936="","",INDEX(Knutepunkter!$C:$C,D2936+1))</f>
        <v/>
      </c>
      <c r="H2936" t="str">
        <f>IF(D2936="","",INDEX(Knutepunkter!$D:$D,D2936+1))</f>
        <v/>
      </c>
      <c r="I2936" t="str">
        <f>IF(E2936="","",INDEX(Knutepunkter!$B:$B,E2936+1))</f>
        <v/>
      </c>
      <c r="J2936" t="str">
        <f>IF(E2936="","",INDEX(Knutepunkter!$C:$C,E2936+1))</f>
        <v/>
      </c>
      <c r="K2936" t="str">
        <f>IF(E2936="","",INDEX(Knutepunkter!$D:$D,E2936+1))</f>
        <v/>
      </c>
      <c r="L2936" t="str">
        <f t="shared" si="228"/>
        <v/>
      </c>
      <c r="M2936" t="str">
        <f t="shared" si="229"/>
        <v/>
      </c>
    </row>
    <row r="2937" spans="1:13" x14ac:dyDescent="0.3">
      <c r="A2937" t="str">
        <f>Segmenter!A2937</f>
        <v/>
      </c>
      <c r="B2937" t="str">
        <f>Segmenter!B2937</f>
        <v/>
      </c>
      <c r="C2937" t="str">
        <f t="shared" si="225"/>
        <v/>
      </c>
      <c r="D2937" t="str">
        <f t="shared" si="226"/>
        <v/>
      </c>
      <c r="E2937" t="str">
        <f t="shared" si="227"/>
        <v/>
      </c>
      <c r="F2937" t="str">
        <f>IF(D2937="","",INDEX(Knutepunkter!$B:$B,D2937+1))</f>
        <v/>
      </c>
      <c r="G2937" t="str">
        <f>IF(D2937="","",INDEX(Knutepunkter!$C:$C,D2937+1))</f>
        <v/>
      </c>
      <c r="H2937" t="str">
        <f>IF(D2937="","",INDEX(Knutepunkter!$D:$D,D2937+1))</f>
        <v/>
      </c>
      <c r="I2937" t="str">
        <f>IF(E2937="","",INDEX(Knutepunkter!$B:$B,E2937+1))</f>
        <v/>
      </c>
      <c r="J2937" t="str">
        <f>IF(E2937="","",INDEX(Knutepunkter!$C:$C,E2937+1))</f>
        <v/>
      </c>
      <c r="K2937" t="str">
        <f>IF(E2937="","",INDEX(Knutepunkter!$D:$D,E2937+1))</f>
        <v/>
      </c>
      <c r="L2937" t="str">
        <f t="shared" si="228"/>
        <v/>
      </c>
      <c r="M2937" t="str">
        <f t="shared" si="229"/>
        <v/>
      </c>
    </row>
    <row r="2938" spans="1:13" x14ac:dyDescent="0.3">
      <c r="A2938" t="str">
        <f>Segmenter!A2938</f>
        <v/>
      </c>
      <c r="B2938" t="str">
        <f>Segmenter!B2938</f>
        <v/>
      </c>
      <c r="C2938" t="str">
        <f t="shared" si="225"/>
        <v/>
      </c>
      <c r="D2938" t="str">
        <f t="shared" si="226"/>
        <v/>
      </c>
      <c r="E2938" t="str">
        <f t="shared" si="227"/>
        <v/>
      </c>
      <c r="F2938" t="str">
        <f>IF(D2938="","",INDEX(Knutepunkter!$B:$B,D2938+1))</f>
        <v/>
      </c>
      <c r="G2938" t="str">
        <f>IF(D2938="","",INDEX(Knutepunkter!$C:$C,D2938+1))</f>
        <v/>
      </c>
      <c r="H2938" t="str">
        <f>IF(D2938="","",INDEX(Knutepunkter!$D:$D,D2938+1))</f>
        <v/>
      </c>
      <c r="I2938" t="str">
        <f>IF(E2938="","",INDEX(Knutepunkter!$B:$B,E2938+1))</f>
        <v/>
      </c>
      <c r="J2938" t="str">
        <f>IF(E2938="","",INDEX(Knutepunkter!$C:$C,E2938+1))</f>
        <v/>
      </c>
      <c r="K2938" t="str">
        <f>IF(E2938="","",INDEX(Knutepunkter!$D:$D,E2938+1))</f>
        <v/>
      </c>
      <c r="L2938" t="str">
        <f t="shared" si="228"/>
        <v/>
      </c>
      <c r="M2938" t="str">
        <f t="shared" si="229"/>
        <v/>
      </c>
    </row>
    <row r="2939" spans="1:13" x14ac:dyDescent="0.3">
      <c r="A2939" t="str">
        <f>Segmenter!A2939</f>
        <v/>
      </c>
      <c r="B2939" t="str">
        <f>Segmenter!B2939</f>
        <v/>
      </c>
      <c r="C2939" t="str">
        <f t="shared" si="225"/>
        <v/>
      </c>
      <c r="D2939" t="str">
        <f t="shared" si="226"/>
        <v/>
      </c>
      <c r="E2939" t="str">
        <f t="shared" si="227"/>
        <v/>
      </c>
      <c r="F2939" t="str">
        <f>IF(D2939="","",INDEX(Knutepunkter!$B:$B,D2939+1))</f>
        <v/>
      </c>
      <c r="G2939" t="str">
        <f>IF(D2939="","",INDEX(Knutepunkter!$C:$C,D2939+1))</f>
        <v/>
      </c>
      <c r="H2939" t="str">
        <f>IF(D2939="","",INDEX(Knutepunkter!$D:$D,D2939+1))</f>
        <v/>
      </c>
      <c r="I2939" t="str">
        <f>IF(E2939="","",INDEX(Knutepunkter!$B:$B,E2939+1))</f>
        <v/>
      </c>
      <c r="J2939" t="str">
        <f>IF(E2939="","",INDEX(Knutepunkter!$C:$C,E2939+1))</f>
        <v/>
      </c>
      <c r="K2939" t="str">
        <f>IF(E2939="","",INDEX(Knutepunkter!$D:$D,E2939+1))</f>
        <v/>
      </c>
      <c r="L2939" t="str">
        <f t="shared" si="228"/>
        <v/>
      </c>
      <c r="M2939" t="str">
        <f t="shared" si="229"/>
        <v/>
      </c>
    </row>
    <row r="2940" spans="1:13" x14ac:dyDescent="0.3">
      <c r="A2940" t="str">
        <f>Segmenter!A2940</f>
        <v/>
      </c>
      <c r="B2940" t="str">
        <f>Segmenter!B2940</f>
        <v/>
      </c>
      <c r="C2940" t="str">
        <f t="shared" si="225"/>
        <v/>
      </c>
      <c r="D2940" t="str">
        <f t="shared" si="226"/>
        <v/>
      </c>
      <c r="E2940" t="str">
        <f t="shared" si="227"/>
        <v/>
      </c>
      <c r="F2940" t="str">
        <f>IF(D2940="","",INDEX(Knutepunkter!$B:$B,D2940+1))</f>
        <v/>
      </c>
      <c r="G2940" t="str">
        <f>IF(D2940="","",INDEX(Knutepunkter!$C:$C,D2940+1))</f>
        <v/>
      </c>
      <c r="H2940" t="str">
        <f>IF(D2940="","",INDEX(Knutepunkter!$D:$D,D2940+1))</f>
        <v/>
      </c>
      <c r="I2940" t="str">
        <f>IF(E2940="","",INDEX(Knutepunkter!$B:$B,E2940+1))</f>
        <v/>
      </c>
      <c r="J2940" t="str">
        <f>IF(E2940="","",INDEX(Knutepunkter!$C:$C,E2940+1))</f>
        <v/>
      </c>
      <c r="K2940" t="str">
        <f>IF(E2940="","",INDEX(Knutepunkter!$D:$D,E2940+1))</f>
        <v/>
      </c>
      <c r="L2940" t="str">
        <f t="shared" si="228"/>
        <v/>
      </c>
      <c r="M2940" t="str">
        <f t="shared" si="229"/>
        <v/>
      </c>
    </row>
    <row r="2941" spans="1:13" x14ac:dyDescent="0.3">
      <c r="A2941" t="str">
        <f>Segmenter!A2941</f>
        <v/>
      </c>
      <c r="B2941" t="str">
        <f>Segmenter!B2941</f>
        <v/>
      </c>
      <c r="C2941" t="str">
        <f t="shared" si="225"/>
        <v/>
      </c>
      <c r="D2941" t="str">
        <f t="shared" si="226"/>
        <v/>
      </c>
      <c r="E2941" t="str">
        <f t="shared" si="227"/>
        <v/>
      </c>
      <c r="F2941" t="str">
        <f>IF(D2941="","",INDEX(Knutepunkter!$B:$B,D2941+1))</f>
        <v/>
      </c>
      <c r="G2941" t="str">
        <f>IF(D2941="","",INDEX(Knutepunkter!$C:$C,D2941+1))</f>
        <v/>
      </c>
      <c r="H2941" t="str">
        <f>IF(D2941="","",INDEX(Knutepunkter!$D:$D,D2941+1))</f>
        <v/>
      </c>
      <c r="I2941" t="str">
        <f>IF(E2941="","",INDEX(Knutepunkter!$B:$B,E2941+1))</f>
        <v/>
      </c>
      <c r="J2941" t="str">
        <f>IF(E2941="","",INDEX(Knutepunkter!$C:$C,E2941+1))</f>
        <v/>
      </c>
      <c r="K2941" t="str">
        <f>IF(E2941="","",INDEX(Knutepunkter!$D:$D,E2941+1))</f>
        <v/>
      </c>
      <c r="L2941" t="str">
        <f t="shared" si="228"/>
        <v/>
      </c>
      <c r="M2941" t="str">
        <f t="shared" si="229"/>
        <v/>
      </c>
    </row>
    <row r="2942" spans="1:13" x14ac:dyDescent="0.3">
      <c r="A2942" t="str">
        <f>Segmenter!A2942</f>
        <v/>
      </c>
      <c r="B2942" t="str">
        <f>Segmenter!B2942</f>
        <v/>
      </c>
      <c r="C2942" t="str">
        <f t="shared" si="225"/>
        <v/>
      </c>
      <c r="D2942" t="str">
        <f t="shared" si="226"/>
        <v/>
      </c>
      <c r="E2942" t="str">
        <f t="shared" si="227"/>
        <v/>
      </c>
      <c r="F2942" t="str">
        <f>IF(D2942="","",INDEX(Knutepunkter!$B:$B,D2942+1))</f>
        <v/>
      </c>
      <c r="G2942" t="str">
        <f>IF(D2942="","",INDEX(Knutepunkter!$C:$C,D2942+1))</f>
        <v/>
      </c>
      <c r="H2942" t="str">
        <f>IF(D2942="","",INDEX(Knutepunkter!$D:$D,D2942+1))</f>
        <v/>
      </c>
      <c r="I2942" t="str">
        <f>IF(E2942="","",INDEX(Knutepunkter!$B:$B,E2942+1))</f>
        <v/>
      </c>
      <c r="J2942" t="str">
        <f>IF(E2942="","",INDEX(Knutepunkter!$C:$C,E2942+1))</f>
        <v/>
      </c>
      <c r="K2942" t="str">
        <f>IF(E2942="","",INDEX(Knutepunkter!$D:$D,E2942+1))</f>
        <v/>
      </c>
      <c r="L2942" t="str">
        <f t="shared" si="228"/>
        <v/>
      </c>
      <c r="M2942" t="str">
        <f t="shared" si="229"/>
        <v/>
      </c>
    </row>
    <row r="2943" spans="1:13" x14ac:dyDescent="0.3">
      <c r="A2943" t="str">
        <f>Segmenter!A2943</f>
        <v/>
      </c>
      <c r="B2943" t="str">
        <f>Segmenter!B2943</f>
        <v/>
      </c>
      <c r="C2943" t="str">
        <f t="shared" si="225"/>
        <v/>
      </c>
      <c r="D2943" t="str">
        <f t="shared" si="226"/>
        <v/>
      </c>
      <c r="E2943" t="str">
        <f t="shared" si="227"/>
        <v/>
      </c>
      <c r="F2943" t="str">
        <f>IF(D2943="","",INDEX(Knutepunkter!$B:$B,D2943+1))</f>
        <v/>
      </c>
      <c r="G2943" t="str">
        <f>IF(D2943="","",INDEX(Knutepunkter!$C:$C,D2943+1))</f>
        <v/>
      </c>
      <c r="H2943" t="str">
        <f>IF(D2943="","",INDEX(Knutepunkter!$D:$D,D2943+1))</f>
        <v/>
      </c>
      <c r="I2943" t="str">
        <f>IF(E2943="","",INDEX(Knutepunkter!$B:$B,E2943+1))</f>
        <v/>
      </c>
      <c r="J2943" t="str">
        <f>IF(E2943="","",INDEX(Knutepunkter!$C:$C,E2943+1))</f>
        <v/>
      </c>
      <c r="K2943" t="str">
        <f>IF(E2943="","",INDEX(Knutepunkter!$D:$D,E2943+1))</f>
        <v/>
      </c>
      <c r="L2943" t="str">
        <f t="shared" si="228"/>
        <v/>
      </c>
      <c r="M2943" t="str">
        <f t="shared" si="229"/>
        <v/>
      </c>
    </row>
    <row r="2944" spans="1:13" x14ac:dyDescent="0.3">
      <c r="A2944" t="str">
        <f>Segmenter!A2944</f>
        <v/>
      </c>
      <c r="B2944" t="str">
        <f>Segmenter!B2944</f>
        <v/>
      </c>
      <c r="C2944" t="str">
        <f t="shared" si="225"/>
        <v/>
      </c>
      <c r="D2944" t="str">
        <f t="shared" si="226"/>
        <v/>
      </c>
      <c r="E2944" t="str">
        <f t="shared" si="227"/>
        <v/>
      </c>
      <c r="F2944" t="str">
        <f>IF(D2944="","",INDEX(Knutepunkter!$B:$B,D2944+1))</f>
        <v/>
      </c>
      <c r="G2944" t="str">
        <f>IF(D2944="","",INDEX(Knutepunkter!$C:$C,D2944+1))</f>
        <v/>
      </c>
      <c r="H2944" t="str">
        <f>IF(D2944="","",INDEX(Knutepunkter!$D:$D,D2944+1))</f>
        <v/>
      </c>
      <c r="I2944" t="str">
        <f>IF(E2944="","",INDEX(Knutepunkter!$B:$B,E2944+1))</f>
        <v/>
      </c>
      <c r="J2944" t="str">
        <f>IF(E2944="","",INDEX(Knutepunkter!$C:$C,E2944+1))</f>
        <v/>
      </c>
      <c r="K2944" t="str">
        <f>IF(E2944="","",INDEX(Knutepunkter!$D:$D,E2944+1))</f>
        <v/>
      </c>
      <c r="L2944" t="str">
        <f t="shared" si="228"/>
        <v/>
      </c>
      <c r="M2944" t="str">
        <f t="shared" si="229"/>
        <v/>
      </c>
    </row>
    <row r="2945" spans="1:13" x14ac:dyDescent="0.3">
      <c r="A2945" t="str">
        <f>Segmenter!A2945</f>
        <v/>
      </c>
      <c r="B2945" t="str">
        <f>Segmenter!B2945</f>
        <v/>
      </c>
      <c r="C2945" t="str">
        <f t="shared" si="225"/>
        <v/>
      </c>
      <c r="D2945" t="str">
        <f t="shared" si="226"/>
        <v/>
      </c>
      <c r="E2945" t="str">
        <f t="shared" si="227"/>
        <v/>
      </c>
      <c r="F2945" t="str">
        <f>IF(D2945="","",INDEX(Knutepunkter!$B:$B,D2945+1))</f>
        <v/>
      </c>
      <c r="G2945" t="str">
        <f>IF(D2945="","",INDEX(Knutepunkter!$C:$C,D2945+1))</f>
        <v/>
      </c>
      <c r="H2945" t="str">
        <f>IF(D2945="","",INDEX(Knutepunkter!$D:$D,D2945+1))</f>
        <v/>
      </c>
      <c r="I2945" t="str">
        <f>IF(E2945="","",INDEX(Knutepunkter!$B:$B,E2945+1))</f>
        <v/>
      </c>
      <c r="J2945" t="str">
        <f>IF(E2945="","",INDEX(Knutepunkter!$C:$C,E2945+1))</f>
        <v/>
      </c>
      <c r="K2945" t="str">
        <f>IF(E2945="","",INDEX(Knutepunkter!$D:$D,E2945+1))</f>
        <v/>
      </c>
      <c r="L2945" t="str">
        <f t="shared" si="228"/>
        <v/>
      </c>
      <c r="M2945" t="str">
        <f t="shared" si="229"/>
        <v/>
      </c>
    </row>
    <row r="2946" spans="1:13" x14ac:dyDescent="0.3">
      <c r="A2946" t="str">
        <f>Segmenter!A2946</f>
        <v/>
      </c>
      <c r="B2946" t="str">
        <f>Segmenter!B2946</f>
        <v/>
      </c>
      <c r="C2946" t="str">
        <f t="shared" ref="C2946:C3009" si="230">IF(B2946="","",IF(AND(F2946=I2946,G2946=J2946,H2946&lt;&gt;K2946),"Søyle","Bjelke"))</f>
        <v/>
      </c>
      <c r="D2946" t="str">
        <f t="shared" ref="D2946:D3009" si="231">IF(B2946="","",VALUE(LEFT(B2946,FIND(" -&gt; ",B2946)-1)))</f>
        <v/>
      </c>
      <c r="E2946" t="str">
        <f t="shared" ref="E2946:E3009" si="232">IF(B2946="","",VALUE(MID(B2946,FIND(" -&gt; ",B2946)+4,99)))</f>
        <v/>
      </c>
      <c r="F2946" t="str">
        <f>IF(D2946="","",INDEX(Knutepunkter!$B:$B,D2946+1))</f>
        <v/>
      </c>
      <c r="G2946" t="str">
        <f>IF(D2946="","",INDEX(Knutepunkter!$C:$C,D2946+1))</f>
        <v/>
      </c>
      <c r="H2946" t="str">
        <f>IF(D2946="","",INDEX(Knutepunkter!$D:$D,D2946+1))</f>
        <v/>
      </c>
      <c r="I2946" t="str">
        <f>IF(E2946="","",INDEX(Knutepunkter!$B:$B,E2946+1))</f>
        <v/>
      </c>
      <c r="J2946" t="str">
        <f>IF(E2946="","",INDEX(Knutepunkter!$C:$C,E2946+1))</f>
        <v/>
      </c>
      <c r="K2946" t="str">
        <f>IF(E2946="","",INDEX(Knutepunkter!$D:$D,E2946+1))</f>
        <v/>
      </c>
      <c r="L2946" t="str">
        <f t="shared" ref="L2946:L3009" si="233">IF(B2946="","",SQRT((I2946-F2946)^2+(J2946-G2946)^2+(K2946-H2946)^2))</f>
        <v/>
      </c>
      <c r="M2946" t="str">
        <f t="shared" ref="M2946:M3009" si="234">IF(L2946="","",L2946/1000)</f>
        <v/>
      </c>
    </row>
    <row r="2947" spans="1:13" x14ac:dyDescent="0.3">
      <c r="A2947" t="str">
        <f>Segmenter!A2947</f>
        <v/>
      </c>
      <c r="B2947" t="str">
        <f>Segmenter!B2947</f>
        <v/>
      </c>
      <c r="C2947" t="str">
        <f t="shared" si="230"/>
        <v/>
      </c>
      <c r="D2947" t="str">
        <f t="shared" si="231"/>
        <v/>
      </c>
      <c r="E2947" t="str">
        <f t="shared" si="232"/>
        <v/>
      </c>
      <c r="F2947" t="str">
        <f>IF(D2947="","",INDEX(Knutepunkter!$B:$B,D2947+1))</f>
        <v/>
      </c>
      <c r="G2947" t="str">
        <f>IF(D2947="","",INDEX(Knutepunkter!$C:$C,D2947+1))</f>
        <v/>
      </c>
      <c r="H2947" t="str">
        <f>IF(D2947="","",INDEX(Knutepunkter!$D:$D,D2947+1))</f>
        <v/>
      </c>
      <c r="I2947" t="str">
        <f>IF(E2947="","",INDEX(Knutepunkter!$B:$B,E2947+1))</f>
        <v/>
      </c>
      <c r="J2947" t="str">
        <f>IF(E2947="","",INDEX(Knutepunkter!$C:$C,E2947+1))</f>
        <v/>
      </c>
      <c r="K2947" t="str">
        <f>IF(E2947="","",INDEX(Knutepunkter!$D:$D,E2947+1))</f>
        <v/>
      </c>
      <c r="L2947" t="str">
        <f t="shared" si="233"/>
        <v/>
      </c>
      <c r="M2947" t="str">
        <f t="shared" si="234"/>
        <v/>
      </c>
    </row>
    <row r="2948" spans="1:13" x14ac:dyDescent="0.3">
      <c r="A2948" t="str">
        <f>Segmenter!A2948</f>
        <v/>
      </c>
      <c r="B2948" t="str">
        <f>Segmenter!B2948</f>
        <v/>
      </c>
      <c r="C2948" t="str">
        <f t="shared" si="230"/>
        <v/>
      </c>
      <c r="D2948" t="str">
        <f t="shared" si="231"/>
        <v/>
      </c>
      <c r="E2948" t="str">
        <f t="shared" si="232"/>
        <v/>
      </c>
      <c r="F2948" t="str">
        <f>IF(D2948="","",INDEX(Knutepunkter!$B:$B,D2948+1))</f>
        <v/>
      </c>
      <c r="G2948" t="str">
        <f>IF(D2948="","",INDEX(Knutepunkter!$C:$C,D2948+1))</f>
        <v/>
      </c>
      <c r="H2948" t="str">
        <f>IF(D2948="","",INDEX(Knutepunkter!$D:$D,D2948+1))</f>
        <v/>
      </c>
      <c r="I2948" t="str">
        <f>IF(E2948="","",INDEX(Knutepunkter!$B:$B,E2948+1))</f>
        <v/>
      </c>
      <c r="J2948" t="str">
        <f>IF(E2948="","",INDEX(Knutepunkter!$C:$C,E2948+1))</f>
        <v/>
      </c>
      <c r="K2948" t="str">
        <f>IF(E2948="","",INDEX(Knutepunkter!$D:$D,E2948+1))</f>
        <v/>
      </c>
      <c r="L2948" t="str">
        <f t="shared" si="233"/>
        <v/>
      </c>
      <c r="M2948" t="str">
        <f t="shared" si="234"/>
        <v/>
      </c>
    </row>
    <row r="2949" spans="1:13" x14ac:dyDescent="0.3">
      <c r="A2949" t="str">
        <f>Segmenter!A2949</f>
        <v/>
      </c>
      <c r="B2949" t="str">
        <f>Segmenter!B2949</f>
        <v/>
      </c>
      <c r="C2949" t="str">
        <f t="shared" si="230"/>
        <v/>
      </c>
      <c r="D2949" t="str">
        <f t="shared" si="231"/>
        <v/>
      </c>
      <c r="E2949" t="str">
        <f t="shared" si="232"/>
        <v/>
      </c>
      <c r="F2949" t="str">
        <f>IF(D2949="","",INDEX(Knutepunkter!$B:$B,D2949+1))</f>
        <v/>
      </c>
      <c r="G2949" t="str">
        <f>IF(D2949="","",INDEX(Knutepunkter!$C:$C,D2949+1))</f>
        <v/>
      </c>
      <c r="H2949" t="str">
        <f>IF(D2949="","",INDEX(Knutepunkter!$D:$D,D2949+1))</f>
        <v/>
      </c>
      <c r="I2949" t="str">
        <f>IF(E2949="","",INDEX(Knutepunkter!$B:$B,E2949+1))</f>
        <v/>
      </c>
      <c r="J2949" t="str">
        <f>IF(E2949="","",INDEX(Knutepunkter!$C:$C,E2949+1))</f>
        <v/>
      </c>
      <c r="K2949" t="str">
        <f>IF(E2949="","",INDEX(Knutepunkter!$D:$D,E2949+1))</f>
        <v/>
      </c>
      <c r="L2949" t="str">
        <f t="shared" si="233"/>
        <v/>
      </c>
      <c r="M2949" t="str">
        <f t="shared" si="234"/>
        <v/>
      </c>
    </row>
    <row r="2950" spans="1:13" x14ac:dyDescent="0.3">
      <c r="A2950" t="str">
        <f>Segmenter!A2950</f>
        <v/>
      </c>
      <c r="B2950" t="str">
        <f>Segmenter!B2950</f>
        <v/>
      </c>
      <c r="C2950" t="str">
        <f t="shared" si="230"/>
        <v/>
      </c>
      <c r="D2950" t="str">
        <f t="shared" si="231"/>
        <v/>
      </c>
      <c r="E2950" t="str">
        <f t="shared" si="232"/>
        <v/>
      </c>
      <c r="F2950" t="str">
        <f>IF(D2950="","",INDEX(Knutepunkter!$B:$B,D2950+1))</f>
        <v/>
      </c>
      <c r="G2950" t="str">
        <f>IF(D2950="","",INDEX(Knutepunkter!$C:$C,D2950+1))</f>
        <v/>
      </c>
      <c r="H2950" t="str">
        <f>IF(D2950="","",INDEX(Knutepunkter!$D:$D,D2950+1))</f>
        <v/>
      </c>
      <c r="I2950" t="str">
        <f>IF(E2950="","",INDEX(Knutepunkter!$B:$B,E2950+1))</f>
        <v/>
      </c>
      <c r="J2950" t="str">
        <f>IF(E2950="","",INDEX(Knutepunkter!$C:$C,E2950+1))</f>
        <v/>
      </c>
      <c r="K2950" t="str">
        <f>IF(E2950="","",INDEX(Knutepunkter!$D:$D,E2950+1))</f>
        <v/>
      </c>
      <c r="L2950" t="str">
        <f t="shared" si="233"/>
        <v/>
      </c>
      <c r="M2950" t="str">
        <f t="shared" si="234"/>
        <v/>
      </c>
    </row>
    <row r="2951" spans="1:13" x14ac:dyDescent="0.3">
      <c r="A2951" t="str">
        <f>Segmenter!A2951</f>
        <v/>
      </c>
      <c r="B2951" t="str">
        <f>Segmenter!B2951</f>
        <v/>
      </c>
      <c r="C2951" t="str">
        <f t="shared" si="230"/>
        <v/>
      </c>
      <c r="D2951" t="str">
        <f t="shared" si="231"/>
        <v/>
      </c>
      <c r="E2951" t="str">
        <f t="shared" si="232"/>
        <v/>
      </c>
      <c r="F2951" t="str">
        <f>IF(D2951="","",INDEX(Knutepunkter!$B:$B,D2951+1))</f>
        <v/>
      </c>
      <c r="G2951" t="str">
        <f>IF(D2951="","",INDEX(Knutepunkter!$C:$C,D2951+1))</f>
        <v/>
      </c>
      <c r="H2951" t="str">
        <f>IF(D2951="","",INDEX(Knutepunkter!$D:$D,D2951+1))</f>
        <v/>
      </c>
      <c r="I2951" t="str">
        <f>IF(E2951="","",INDEX(Knutepunkter!$B:$B,E2951+1))</f>
        <v/>
      </c>
      <c r="J2951" t="str">
        <f>IF(E2951="","",INDEX(Knutepunkter!$C:$C,E2951+1))</f>
        <v/>
      </c>
      <c r="K2951" t="str">
        <f>IF(E2951="","",INDEX(Knutepunkter!$D:$D,E2951+1))</f>
        <v/>
      </c>
      <c r="L2951" t="str">
        <f t="shared" si="233"/>
        <v/>
      </c>
      <c r="M2951" t="str">
        <f t="shared" si="234"/>
        <v/>
      </c>
    </row>
    <row r="2952" spans="1:13" x14ac:dyDescent="0.3">
      <c r="A2952" t="str">
        <f>Segmenter!A2952</f>
        <v/>
      </c>
      <c r="B2952" t="str">
        <f>Segmenter!B2952</f>
        <v/>
      </c>
      <c r="C2952" t="str">
        <f t="shared" si="230"/>
        <v/>
      </c>
      <c r="D2952" t="str">
        <f t="shared" si="231"/>
        <v/>
      </c>
      <c r="E2952" t="str">
        <f t="shared" si="232"/>
        <v/>
      </c>
      <c r="F2952" t="str">
        <f>IF(D2952="","",INDEX(Knutepunkter!$B:$B,D2952+1))</f>
        <v/>
      </c>
      <c r="G2952" t="str">
        <f>IF(D2952="","",INDEX(Knutepunkter!$C:$C,D2952+1))</f>
        <v/>
      </c>
      <c r="H2952" t="str">
        <f>IF(D2952="","",INDEX(Knutepunkter!$D:$D,D2952+1))</f>
        <v/>
      </c>
      <c r="I2952" t="str">
        <f>IF(E2952="","",INDEX(Knutepunkter!$B:$B,E2952+1))</f>
        <v/>
      </c>
      <c r="J2952" t="str">
        <f>IF(E2952="","",INDEX(Knutepunkter!$C:$C,E2952+1))</f>
        <v/>
      </c>
      <c r="K2952" t="str">
        <f>IF(E2952="","",INDEX(Knutepunkter!$D:$D,E2952+1))</f>
        <v/>
      </c>
      <c r="L2952" t="str">
        <f t="shared" si="233"/>
        <v/>
      </c>
      <c r="M2952" t="str">
        <f t="shared" si="234"/>
        <v/>
      </c>
    </row>
    <row r="2953" spans="1:13" x14ac:dyDescent="0.3">
      <c r="A2953" t="str">
        <f>Segmenter!A2953</f>
        <v/>
      </c>
      <c r="B2953" t="str">
        <f>Segmenter!B2953</f>
        <v/>
      </c>
      <c r="C2953" t="str">
        <f t="shared" si="230"/>
        <v/>
      </c>
      <c r="D2953" t="str">
        <f t="shared" si="231"/>
        <v/>
      </c>
      <c r="E2953" t="str">
        <f t="shared" si="232"/>
        <v/>
      </c>
      <c r="F2953" t="str">
        <f>IF(D2953="","",INDEX(Knutepunkter!$B:$B,D2953+1))</f>
        <v/>
      </c>
      <c r="G2953" t="str">
        <f>IF(D2953="","",INDEX(Knutepunkter!$C:$C,D2953+1))</f>
        <v/>
      </c>
      <c r="H2953" t="str">
        <f>IF(D2953="","",INDEX(Knutepunkter!$D:$D,D2953+1))</f>
        <v/>
      </c>
      <c r="I2953" t="str">
        <f>IF(E2953="","",INDEX(Knutepunkter!$B:$B,E2953+1))</f>
        <v/>
      </c>
      <c r="J2953" t="str">
        <f>IF(E2953="","",INDEX(Knutepunkter!$C:$C,E2953+1))</f>
        <v/>
      </c>
      <c r="K2953" t="str">
        <f>IF(E2953="","",INDEX(Knutepunkter!$D:$D,E2953+1))</f>
        <v/>
      </c>
      <c r="L2953" t="str">
        <f t="shared" si="233"/>
        <v/>
      </c>
      <c r="M2953" t="str">
        <f t="shared" si="234"/>
        <v/>
      </c>
    </row>
    <row r="2954" spans="1:13" x14ac:dyDescent="0.3">
      <c r="A2954" t="str">
        <f>Segmenter!A2954</f>
        <v/>
      </c>
      <c r="B2954" t="str">
        <f>Segmenter!B2954</f>
        <v/>
      </c>
      <c r="C2954" t="str">
        <f t="shared" si="230"/>
        <v/>
      </c>
      <c r="D2954" t="str">
        <f t="shared" si="231"/>
        <v/>
      </c>
      <c r="E2954" t="str">
        <f t="shared" si="232"/>
        <v/>
      </c>
      <c r="F2954" t="str">
        <f>IF(D2954="","",INDEX(Knutepunkter!$B:$B,D2954+1))</f>
        <v/>
      </c>
      <c r="G2954" t="str">
        <f>IF(D2954="","",INDEX(Knutepunkter!$C:$C,D2954+1))</f>
        <v/>
      </c>
      <c r="H2954" t="str">
        <f>IF(D2954="","",INDEX(Knutepunkter!$D:$D,D2954+1))</f>
        <v/>
      </c>
      <c r="I2954" t="str">
        <f>IF(E2954="","",INDEX(Knutepunkter!$B:$B,E2954+1))</f>
        <v/>
      </c>
      <c r="J2954" t="str">
        <f>IF(E2954="","",INDEX(Knutepunkter!$C:$C,E2954+1))</f>
        <v/>
      </c>
      <c r="K2954" t="str">
        <f>IF(E2954="","",INDEX(Knutepunkter!$D:$D,E2954+1))</f>
        <v/>
      </c>
      <c r="L2954" t="str">
        <f t="shared" si="233"/>
        <v/>
      </c>
      <c r="M2954" t="str">
        <f t="shared" si="234"/>
        <v/>
      </c>
    </row>
    <row r="2955" spans="1:13" x14ac:dyDescent="0.3">
      <c r="A2955" t="str">
        <f>Segmenter!A2955</f>
        <v/>
      </c>
      <c r="B2955" t="str">
        <f>Segmenter!B2955</f>
        <v/>
      </c>
      <c r="C2955" t="str">
        <f t="shared" si="230"/>
        <v/>
      </c>
      <c r="D2955" t="str">
        <f t="shared" si="231"/>
        <v/>
      </c>
      <c r="E2955" t="str">
        <f t="shared" si="232"/>
        <v/>
      </c>
      <c r="F2955" t="str">
        <f>IF(D2955="","",INDEX(Knutepunkter!$B:$B,D2955+1))</f>
        <v/>
      </c>
      <c r="G2955" t="str">
        <f>IF(D2955="","",INDEX(Knutepunkter!$C:$C,D2955+1))</f>
        <v/>
      </c>
      <c r="H2955" t="str">
        <f>IF(D2955="","",INDEX(Knutepunkter!$D:$D,D2955+1))</f>
        <v/>
      </c>
      <c r="I2955" t="str">
        <f>IF(E2955="","",INDEX(Knutepunkter!$B:$B,E2955+1))</f>
        <v/>
      </c>
      <c r="J2955" t="str">
        <f>IF(E2955="","",INDEX(Knutepunkter!$C:$C,E2955+1))</f>
        <v/>
      </c>
      <c r="K2955" t="str">
        <f>IF(E2955="","",INDEX(Knutepunkter!$D:$D,E2955+1))</f>
        <v/>
      </c>
      <c r="L2955" t="str">
        <f t="shared" si="233"/>
        <v/>
      </c>
      <c r="M2955" t="str">
        <f t="shared" si="234"/>
        <v/>
      </c>
    </row>
    <row r="2956" spans="1:13" x14ac:dyDescent="0.3">
      <c r="A2956" t="str">
        <f>Segmenter!A2956</f>
        <v/>
      </c>
      <c r="B2956" t="str">
        <f>Segmenter!B2956</f>
        <v/>
      </c>
      <c r="C2956" t="str">
        <f t="shared" si="230"/>
        <v/>
      </c>
      <c r="D2956" t="str">
        <f t="shared" si="231"/>
        <v/>
      </c>
      <c r="E2956" t="str">
        <f t="shared" si="232"/>
        <v/>
      </c>
      <c r="F2956" t="str">
        <f>IF(D2956="","",INDEX(Knutepunkter!$B:$B,D2956+1))</f>
        <v/>
      </c>
      <c r="G2956" t="str">
        <f>IF(D2956="","",INDEX(Knutepunkter!$C:$C,D2956+1))</f>
        <v/>
      </c>
      <c r="H2956" t="str">
        <f>IF(D2956="","",INDEX(Knutepunkter!$D:$D,D2956+1))</f>
        <v/>
      </c>
      <c r="I2956" t="str">
        <f>IF(E2956="","",INDEX(Knutepunkter!$B:$B,E2956+1))</f>
        <v/>
      </c>
      <c r="J2956" t="str">
        <f>IF(E2956="","",INDEX(Knutepunkter!$C:$C,E2956+1))</f>
        <v/>
      </c>
      <c r="K2956" t="str">
        <f>IF(E2956="","",INDEX(Knutepunkter!$D:$D,E2956+1))</f>
        <v/>
      </c>
      <c r="L2956" t="str">
        <f t="shared" si="233"/>
        <v/>
      </c>
      <c r="M2956" t="str">
        <f t="shared" si="234"/>
        <v/>
      </c>
    </row>
    <row r="2957" spans="1:13" x14ac:dyDescent="0.3">
      <c r="A2957" t="str">
        <f>Segmenter!A2957</f>
        <v/>
      </c>
      <c r="B2957" t="str">
        <f>Segmenter!B2957</f>
        <v/>
      </c>
      <c r="C2957" t="str">
        <f t="shared" si="230"/>
        <v/>
      </c>
      <c r="D2957" t="str">
        <f t="shared" si="231"/>
        <v/>
      </c>
      <c r="E2957" t="str">
        <f t="shared" si="232"/>
        <v/>
      </c>
      <c r="F2957" t="str">
        <f>IF(D2957="","",INDEX(Knutepunkter!$B:$B,D2957+1))</f>
        <v/>
      </c>
      <c r="G2957" t="str">
        <f>IF(D2957="","",INDEX(Knutepunkter!$C:$C,D2957+1))</f>
        <v/>
      </c>
      <c r="H2957" t="str">
        <f>IF(D2957="","",INDEX(Knutepunkter!$D:$D,D2957+1))</f>
        <v/>
      </c>
      <c r="I2957" t="str">
        <f>IF(E2957="","",INDEX(Knutepunkter!$B:$B,E2957+1))</f>
        <v/>
      </c>
      <c r="J2957" t="str">
        <f>IF(E2957="","",INDEX(Knutepunkter!$C:$C,E2957+1))</f>
        <v/>
      </c>
      <c r="K2957" t="str">
        <f>IF(E2957="","",INDEX(Knutepunkter!$D:$D,E2957+1))</f>
        <v/>
      </c>
      <c r="L2957" t="str">
        <f t="shared" si="233"/>
        <v/>
      </c>
      <c r="M2957" t="str">
        <f t="shared" si="234"/>
        <v/>
      </c>
    </row>
    <row r="2958" spans="1:13" x14ac:dyDescent="0.3">
      <c r="A2958" t="str">
        <f>Segmenter!A2958</f>
        <v/>
      </c>
      <c r="B2958" t="str">
        <f>Segmenter!B2958</f>
        <v/>
      </c>
      <c r="C2958" t="str">
        <f t="shared" si="230"/>
        <v/>
      </c>
      <c r="D2958" t="str">
        <f t="shared" si="231"/>
        <v/>
      </c>
      <c r="E2958" t="str">
        <f t="shared" si="232"/>
        <v/>
      </c>
      <c r="F2958" t="str">
        <f>IF(D2958="","",INDEX(Knutepunkter!$B:$B,D2958+1))</f>
        <v/>
      </c>
      <c r="G2958" t="str">
        <f>IF(D2958="","",INDEX(Knutepunkter!$C:$C,D2958+1))</f>
        <v/>
      </c>
      <c r="H2958" t="str">
        <f>IF(D2958="","",INDEX(Knutepunkter!$D:$D,D2958+1))</f>
        <v/>
      </c>
      <c r="I2958" t="str">
        <f>IF(E2958="","",INDEX(Knutepunkter!$B:$B,E2958+1))</f>
        <v/>
      </c>
      <c r="J2958" t="str">
        <f>IF(E2958="","",INDEX(Knutepunkter!$C:$C,E2958+1))</f>
        <v/>
      </c>
      <c r="K2958" t="str">
        <f>IF(E2958="","",INDEX(Knutepunkter!$D:$D,E2958+1))</f>
        <v/>
      </c>
      <c r="L2958" t="str">
        <f t="shared" si="233"/>
        <v/>
      </c>
      <c r="M2958" t="str">
        <f t="shared" si="234"/>
        <v/>
      </c>
    </row>
    <row r="2959" spans="1:13" x14ac:dyDescent="0.3">
      <c r="A2959" t="str">
        <f>Segmenter!A2959</f>
        <v/>
      </c>
      <c r="B2959" t="str">
        <f>Segmenter!B2959</f>
        <v/>
      </c>
      <c r="C2959" t="str">
        <f t="shared" si="230"/>
        <v/>
      </c>
      <c r="D2959" t="str">
        <f t="shared" si="231"/>
        <v/>
      </c>
      <c r="E2959" t="str">
        <f t="shared" si="232"/>
        <v/>
      </c>
      <c r="F2959" t="str">
        <f>IF(D2959="","",INDEX(Knutepunkter!$B:$B,D2959+1))</f>
        <v/>
      </c>
      <c r="G2959" t="str">
        <f>IF(D2959="","",INDEX(Knutepunkter!$C:$C,D2959+1))</f>
        <v/>
      </c>
      <c r="H2959" t="str">
        <f>IF(D2959="","",INDEX(Knutepunkter!$D:$D,D2959+1))</f>
        <v/>
      </c>
      <c r="I2959" t="str">
        <f>IF(E2959="","",INDEX(Knutepunkter!$B:$B,E2959+1))</f>
        <v/>
      </c>
      <c r="J2959" t="str">
        <f>IF(E2959="","",INDEX(Knutepunkter!$C:$C,E2959+1))</f>
        <v/>
      </c>
      <c r="K2959" t="str">
        <f>IF(E2959="","",INDEX(Knutepunkter!$D:$D,E2959+1))</f>
        <v/>
      </c>
      <c r="L2959" t="str">
        <f t="shared" si="233"/>
        <v/>
      </c>
      <c r="M2959" t="str">
        <f t="shared" si="234"/>
        <v/>
      </c>
    </row>
    <row r="2960" spans="1:13" x14ac:dyDescent="0.3">
      <c r="A2960" t="str">
        <f>Segmenter!A2960</f>
        <v/>
      </c>
      <c r="B2960" t="str">
        <f>Segmenter!B2960</f>
        <v/>
      </c>
      <c r="C2960" t="str">
        <f t="shared" si="230"/>
        <v/>
      </c>
      <c r="D2960" t="str">
        <f t="shared" si="231"/>
        <v/>
      </c>
      <c r="E2960" t="str">
        <f t="shared" si="232"/>
        <v/>
      </c>
      <c r="F2960" t="str">
        <f>IF(D2960="","",INDEX(Knutepunkter!$B:$B,D2960+1))</f>
        <v/>
      </c>
      <c r="G2960" t="str">
        <f>IF(D2960="","",INDEX(Knutepunkter!$C:$C,D2960+1))</f>
        <v/>
      </c>
      <c r="H2960" t="str">
        <f>IF(D2960="","",INDEX(Knutepunkter!$D:$D,D2960+1))</f>
        <v/>
      </c>
      <c r="I2960" t="str">
        <f>IF(E2960="","",INDEX(Knutepunkter!$B:$B,E2960+1))</f>
        <v/>
      </c>
      <c r="J2960" t="str">
        <f>IF(E2960="","",INDEX(Knutepunkter!$C:$C,E2960+1))</f>
        <v/>
      </c>
      <c r="K2960" t="str">
        <f>IF(E2960="","",INDEX(Knutepunkter!$D:$D,E2960+1))</f>
        <v/>
      </c>
      <c r="L2960" t="str">
        <f t="shared" si="233"/>
        <v/>
      </c>
      <c r="M2960" t="str">
        <f t="shared" si="234"/>
        <v/>
      </c>
    </row>
    <row r="2961" spans="1:13" x14ac:dyDescent="0.3">
      <c r="A2961" t="str">
        <f>Segmenter!A2961</f>
        <v/>
      </c>
      <c r="B2961" t="str">
        <f>Segmenter!B2961</f>
        <v/>
      </c>
      <c r="C2961" t="str">
        <f t="shared" si="230"/>
        <v/>
      </c>
      <c r="D2961" t="str">
        <f t="shared" si="231"/>
        <v/>
      </c>
      <c r="E2961" t="str">
        <f t="shared" si="232"/>
        <v/>
      </c>
      <c r="F2961" t="str">
        <f>IF(D2961="","",INDEX(Knutepunkter!$B:$B,D2961+1))</f>
        <v/>
      </c>
      <c r="G2961" t="str">
        <f>IF(D2961="","",INDEX(Knutepunkter!$C:$C,D2961+1))</f>
        <v/>
      </c>
      <c r="H2961" t="str">
        <f>IF(D2961="","",INDEX(Knutepunkter!$D:$D,D2961+1))</f>
        <v/>
      </c>
      <c r="I2961" t="str">
        <f>IF(E2961="","",INDEX(Knutepunkter!$B:$B,E2961+1))</f>
        <v/>
      </c>
      <c r="J2961" t="str">
        <f>IF(E2961="","",INDEX(Knutepunkter!$C:$C,E2961+1))</f>
        <v/>
      </c>
      <c r="K2961" t="str">
        <f>IF(E2961="","",INDEX(Knutepunkter!$D:$D,E2961+1))</f>
        <v/>
      </c>
      <c r="L2961" t="str">
        <f t="shared" si="233"/>
        <v/>
      </c>
      <c r="M2961" t="str">
        <f t="shared" si="234"/>
        <v/>
      </c>
    </row>
    <row r="2962" spans="1:13" x14ac:dyDescent="0.3">
      <c r="A2962" t="str">
        <f>Segmenter!A2962</f>
        <v/>
      </c>
      <c r="B2962" t="str">
        <f>Segmenter!B2962</f>
        <v/>
      </c>
      <c r="C2962" t="str">
        <f t="shared" si="230"/>
        <v/>
      </c>
      <c r="D2962" t="str">
        <f t="shared" si="231"/>
        <v/>
      </c>
      <c r="E2962" t="str">
        <f t="shared" si="232"/>
        <v/>
      </c>
      <c r="F2962" t="str">
        <f>IF(D2962="","",INDEX(Knutepunkter!$B:$B,D2962+1))</f>
        <v/>
      </c>
      <c r="G2962" t="str">
        <f>IF(D2962="","",INDEX(Knutepunkter!$C:$C,D2962+1))</f>
        <v/>
      </c>
      <c r="H2962" t="str">
        <f>IF(D2962="","",INDEX(Knutepunkter!$D:$D,D2962+1))</f>
        <v/>
      </c>
      <c r="I2962" t="str">
        <f>IF(E2962="","",INDEX(Knutepunkter!$B:$B,E2962+1))</f>
        <v/>
      </c>
      <c r="J2962" t="str">
        <f>IF(E2962="","",INDEX(Knutepunkter!$C:$C,E2962+1))</f>
        <v/>
      </c>
      <c r="K2962" t="str">
        <f>IF(E2962="","",INDEX(Knutepunkter!$D:$D,E2962+1))</f>
        <v/>
      </c>
      <c r="L2962" t="str">
        <f t="shared" si="233"/>
        <v/>
      </c>
      <c r="M2962" t="str">
        <f t="shared" si="234"/>
        <v/>
      </c>
    </row>
    <row r="2963" spans="1:13" x14ac:dyDescent="0.3">
      <c r="A2963" t="str">
        <f>Segmenter!A2963</f>
        <v/>
      </c>
      <c r="B2963" t="str">
        <f>Segmenter!B2963</f>
        <v/>
      </c>
      <c r="C2963" t="str">
        <f t="shared" si="230"/>
        <v/>
      </c>
      <c r="D2963" t="str">
        <f t="shared" si="231"/>
        <v/>
      </c>
      <c r="E2963" t="str">
        <f t="shared" si="232"/>
        <v/>
      </c>
      <c r="F2963" t="str">
        <f>IF(D2963="","",INDEX(Knutepunkter!$B:$B,D2963+1))</f>
        <v/>
      </c>
      <c r="G2963" t="str">
        <f>IF(D2963="","",INDEX(Knutepunkter!$C:$C,D2963+1))</f>
        <v/>
      </c>
      <c r="H2963" t="str">
        <f>IF(D2963="","",INDEX(Knutepunkter!$D:$D,D2963+1))</f>
        <v/>
      </c>
      <c r="I2963" t="str">
        <f>IF(E2963="","",INDEX(Knutepunkter!$B:$B,E2963+1))</f>
        <v/>
      </c>
      <c r="J2963" t="str">
        <f>IF(E2963="","",INDEX(Knutepunkter!$C:$C,E2963+1))</f>
        <v/>
      </c>
      <c r="K2963" t="str">
        <f>IF(E2963="","",INDEX(Knutepunkter!$D:$D,E2963+1))</f>
        <v/>
      </c>
      <c r="L2963" t="str">
        <f t="shared" si="233"/>
        <v/>
      </c>
      <c r="M2963" t="str">
        <f t="shared" si="234"/>
        <v/>
      </c>
    </row>
    <row r="2964" spans="1:13" x14ac:dyDescent="0.3">
      <c r="A2964" t="str">
        <f>Segmenter!A2964</f>
        <v/>
      </c>
      <c r="B2964" t="str">
        <f>Segmenter!B2964</f>
        <v/>
      </c>
      <c r="C2964" t="str">
        <f t="shared" si="230"/>
        <v/>
      </c>
      <c r="D2964" t="str">
        <f t="shared" si="231"/>
        <v/>
      </c>
      <c r="E2964" t="str">
        <f t="shared" si="232"/>
        <v/>
      </c>
      <c r="F2964" t="str">
        <f>IF(D2964="","",INDEX(Knutepunkter!$B:$B,D2964+1))</f>
        <v/>
      </c>
      <c r="G2964" t="str">
        <f>IF(D2964="","",INDEX(Knutepunkter!$C:$C,D2964+1))</f>
        <v/>
      </c>
      <c r="H2964" t="str">
        <f>IF(D2964="","",INDEX(Knutepunkter!$D:$D,D2964+1))</f>
        <v/>
      </c>
      <c r="I2964" t="str">
        <f>IF(E2964="","",INDEX(Knutepunkter!$B:$B,E2964+1))</f>
        <v/>
      </c>
      <c r="J2964" t="str">
        <f>IF(E2964="","",INDEX(Knutepunkter!$C:$C,E2964+1))</f>
        <v/>
      </c>
      <c r="K2964" t="str">
        <f>IF(E2964="","",INDEX(Knutepunkter!$D:$D,E2964+1))</f>
        <v/>
      </c>
      <c r="L2964" t="str">
        <f t="shared" si="233"/>
        <v/>
      </c>
      <c r="M2964" t="str">
        <f t="shared" si="234"/>
        <v/>
      </c>
    </row>
    <row r="2965" spans="1:13" x14ac:dyDescent="0.3">
      <c r="A2965" t="str">
        <f>Segmenter!A2965</f>
        <v/>
      </c>
      <c r="B2965" t="str">
        <f>Segmenter!B2965</f>
        <v/>
      </c>
      <c r="C2965" t="str">
        <f t="shared" si="230"/>
        <v/>
      </c>
      <c r="D2965" t="str">
        <f t="shared" si="231"/>
        <v/>
      </c>
      <c r="E2965" t="str">
        <f t="shared" si="232"/>
        <v/>
      </c>
      <c r="F2965" t="str">
        <f>IF(D2965="","",INDEX(Knutepunkter!$B:$B,D2965+1))</f>
        <v/>
      </c>
      <c r="G2965" t="str">
        <f>IF(D2965="","",INDEX(Knutepunkter!$C:$C,D2965+1))</f>
        <v/>
      </c>
      <c r="H2965" t="str">
        <f>IF(D2965="","",INDEX(Knutepunkter!$D:$D,D2965+1))</f>
        <v/>
      </c>
      <c r="I2965" t="str">
        <f>IF(E2965="","",INDEX(Knutepunkter!$B:$B,E2965+1))</f>
        <v/>
      </c>
      <c r="J2965" t="str">
        <f>IF(E2965="","",INDEX(Knutepunkter!$C:$C,E2965+1))</f>
        <v/>
      </c>
      <c r="K2965" t="str">
        <f>IF(E2965="","",INDEX(Knutepunkter!$D:$D,E2965+1))</f>
        <v/>
      </c>
      <c r="L2965" t="str">
        <f t="shared" si="233"/>
        <v/>
      </c>
      <c r="M2965" t="str">
        <f t="shared" si="234"/>
        <v/>
      </c>
    </row>
    <row r="2966" spans="1:13" x14ac:dyDescent="0.3">
      <c r="A2966" t="str">
        <f>Segmenter!A2966</f>
        <v/>
      </c>
      <c r="B2966" t="str">
        <f>Segmenter!B2966</f>
        <v/>
      </c>
      <c r="C2966" t="str">
        <f t="shared" si="230"/>
        <v/>
      </c>
      <c r="D2966" t="str">
        <f t="shared" si="231"/>
        <v/>
      </c>
      <c r="E2966" t="str">
        <f t="shared" si="232"/>
        <v/>
      </c>
      <c r="F2966" t="str">
        <f>IF(D2966="","",INDEX(Knutepunkter!$B:$B,D2966+1))</f>
        <v/>
      </c>
      <c r="G2966" t="str">
        <f>IF(D2966="","",INDEX(Knutepunkter!$C:$C,D2966+1))</f>
        <v/>
      </c>
      <c r="H2966" t="str">
        <f>IF(D2966="","",INDEX(Knutepunkter!$D:$D,D2966+1))</f>
        <v/>
      </c>
      <c r="I2966" t="str">
        <f>IF(E2966="","",INDEX(Knutepunkter!$B:$B,E2966+1))</f>
        <v/>
      </c>
      <c r="J2966" t="str">
        <f>IF(E2966="","",INDEX(Knutepunkter!$C:$C,E2966+1))</f>
        <v/>
      </c>
      <c r="K2966" t="str">
        <f>IF(E2966="","",INDEX(Knutepunkter!$D:$D,E2966+1))</f>
        <v/>
      </c>
      <c r="L2966" t="str">
        <f t="shared" si="233"/>
        <v/>
      </c>
      <c r="M2966" t="str">
        <f t="shared" si="234"/>
        <v/>
      </c>
    </row>
    <row r="2967" spans="1:13" x14ac:dyDescent="0.3">
      <c r="A2967" t="str">
        <f>Segmenter!A2967</f>
        <v/>
      </c>
      <c r="B2967" t="str">
        <f>Segmenter!B2967</f>
        <v/>
      </c>
      <c r="C2967" t="str">
        <f t="shared" si="230"/>
        <v/>
      </c>
      <c r="D2967" t="str">
        <f t="shared" si="231"/>
        <v/>
      </c>
      <c r="E2967" t="str">
        <f t="shared" si="232"/>
        <v/>
      </c>
      <c r="F2967" t="str">
        <f>IF(D2967="","",INDEX(Knutepunkter!$B:$B,D2967+1))</f>
        <v/>
      </c>
      <c r="G2967" t="str">
        <f>IF(D2967="","",INDEX(Knutepunkter!$C:$C,D2967+1))</f>
        <v/>
      </c>
      <c r="H2967" t="str">
        <f>IF(D2967="","",INDEX(Knutepunkter!$D:$D,D2967+1))</f>
        <v/>
      </c>
      <c r="I2967" t="str">
        <f>IF(E2967="","",INDEX(Knutepunkter!$B:$B,E2967+1))</f>
        <v/>
      </c>
      <c r="J2967" t="str">
        <f>IF(E2967="","",INDEX(Knutepunkter!$C:$C,E2967+1))</f>
        <v/>
      </c>
      <c r="K2967" t="str">
        <f>IF(E2967="","",INDEX(Knutepunkter!$D:$D,E2967+1))</f>
        <v/>
      </c>
      <c r="L2967" t="str">
        <f t="shared" si="233"/>
        <v/>
      </c>
      <c r="M2967" t="str">
        <f t="shared" si="234"/>
        <v/>
      </c>
    </row>
    <row r="2968" spans="1:13" x14ac:dyDescent="0.3">
      <c r="A2968" t="str">
        <f>Segmenter!A2968</f>
        <v/>
      </c>
      <c r="B2968" t="str">
        <f>Segmenter!B2968</f>
        <v/>
      </c>
      <c r="C2968" t="str">
        <f t="shared" si="230"/>
        <v/>
      </c>
      <c r="D2968" t="str">
        <f t="shared" si="231"/>
        <v/>
      </c>
      <c r="E2968" t="str">
        <f t="shared" si="232"/>
        <v/>
      </c>
      <c r="F2968" t="str">
        <f>IF(D2968="","",INDEX(Knutepunkter!$B:$B,D2968+1))</f>
        <v/>
      </c>
      <c r="G2968" t="str">
        <f>IF(D2968="","",INDEX(Knutepunkter!$C:$C,D2968+1))</f>
        <v/>
      </c>
      <c r="H2968" t="str">
        <f>IF(D2968="","",INDEX(Knutepunkter!$D:$D,D2968+1))</f>
        <v/>
      </c>
      <c r="I2968" t="str">
        <f>IF(E2968="","",INDEX(Knutepunkter!$B:$B,E2968+1))</f>
        <v/>
      </c>
      <c r="J2968" t="str">
        <f>IF(E2968="","",INDEX(Knutepunkter!$C:$C,E2968+1))</f>
        <v/>
      </c>
      <c r="K2968" t="str">
        <f>IF(E2968="","",INDEX(Knutepunkter!$D:$D,E2968+1))</f>
        <v/>
      </c>
      <c r="L2968" t="str">
        <f t="shared" si="233"/>
        <v/>
      </c>
      <c r="M2968" t="str">
        <f t="shared" si="234"/>
        <v/>
      </c>
    </row>
    <row r="2969" spans="1:13" x14ac:dyDescent="0.3">
      <c r="A2969" t="str">
        <f>Segmenter!A2969</f>
        <v/>
      </c>
      <c r="B2969" t="str">
        <f>Segmenter!B2969</f>
        <v/>
      </c>
      <c r="C2969" t="str">
        <f t="shared" si="230"/>
        <v/>
      </c>
      <c r="D2969" t="str">
        <f t="shared" si="231"/>
        <v/>
      </c>
      <c r="E2969" t="str">
        <f t="shared" si="232"/>
        <v/>
      </c>
      <c r="F2969" t="str">
        <f>IF(D2969="","",INDEX(Knutepunkter!$B:$B,D2969+1))</f>
        <v/>
      </c>
      <c r="G2969" t="str">
        <f>IF(D2969="","",INDEX(Knutepunkter!$C:$C,D2969+1))</f>
        <v/>
      </c>
      <c r="H2969" t="str">
        <f>IF(D2969="","",INDEX(Knutepunkter!$D:$D,D2969+1))</f>
        <v/>
      </c>
      <c r="I2969" t="str">
        <f>IF(E2969="","",INDEX(Knutepunkter!$B:$B,E2969+1))</f>
        <v/>
      </c>
      <c r="J2969" t="str">
        <f>IF(E2969="","",INDEX(Knutepunkter!$C:$C,E2969+1))</f>
        <v/>
      </c>
      <c r="K2969" t="str">
        <f>IF(E2969="","",INDEX(Knutepunkter!$D:$D,E2969+1))</f>
        <v/>
      </c>
      <c r="L2969" t="str">
        <f t="shared" si="233"/>
        <v/>
      </c>
      <c r="M2969" t="str">
        <f t="shared" si="234"/>
        <v/>
      </c>
    </row>
    <row r="2970" spans="1:13" x14ac:dyDescent="0.3">
      <c r="A2970" t="str">
        <f>Segmenter!A2970</f>
        <v/>
      </c>
      <c r="B2970" t="str">
        <f>Segmenter!B2970</f>
        <v/>
      </c>
      <c r="C2970" t="str">
        <f t="shared" si="230"/>
        <v/>
      </c>
      <c r="D2970" t="str">
        <f t="shared" si="231"/>
        <v/>
      </c>
      <c r="E2970" t="str">
        <f t="shared" si="232"/>
        <v/>
      </c>
      <c r="F2970" t="str">
        <f>IF(D2970="","",INDEX(Knutepunkter!$B:$B,D2970+1))</f>
        <v/>
      </c>
      <c r="G2970" t="str">
        <f>IF(D2970="","",INDEX(Knutepunkter!$C:$C,D2970+1))</f>
        <v/>
      </c>
      <c r="H2970" t="str">
        <f>IF(D2970="","",INDEX(Knutepunkter!$D:$D,D2970+1))</f>
        <v/>
      </c>
      <c r="I2970" t="str">
        <f>IF(E2970="","",INDEX(Knutepunkter!$B:$B,E2970+1))</f>
        <v/>
      </c>
      <c r="J2970" t="str">
        <f>IF(E2970="","",INDEX(Knutepunkter!$C:$C,E2970+1))</f>
        <v/>
      </c>
      <c r="K2970" t="str">
        <f>IF(E2970="","",INDEX(Knutepunkter!$D:$D,E2970+1))</f>
        <v/>
      </c>
      <c r="L2970" t="str">
        <f t="shared" si="233"/>
        <v/>
      </c>
      <c r="M2970" t="str">
        <f t="shared" si="234"/>
        <v/>
      </c>
    </row>
    <row r="2971" spans="1:13" x14ac:dyDescent="0.3">
      <c r="A2971" t="str">
        <f>Segmenter!A2971</f>
        <v/>
      </c>
      <c r="B2971" t="str">
        <f>Segmenter!B2971</f>
        <v/>
      </c>
      <c r="C2971" t="str">
        <f t="shared" si="230"/>
        <v/>
      </c>
      <c r="D2971" t="str">
        <f t="shared" si="231"/>
        <v/>
      </c>
      <c r="E2971" t="str">
        <f t="shared" si="232"/>
        <v/>
      </c>
      <c r="F2971" t="str">
        <f>IF(D2971="","",INDEX(Knutepunkter!$B:$B,D2971+1))</f>
        <v/>
      </c>
      <c r="G2971" t="str">
        <f>IF(D2971="","",INDEX(Knutepunkter!$C:$C,D2971+1))</f>
        <v/>
      </c>
      <c r="H2971" t="str">
        <f>IF(D2971="","",INDEX(Knutepunkter!$D:$D,D2971+1))</f>
        <v/>
      </c>
      <c r="I2971" t="str">
        <f>IF(E2971="","",INDEX(Knutepunkter!$B:$B,E2971+1))</f>
        <v/>
      </c>
      <c r="J2971" t="str">
        <f>IF(E2971="","",INDEX(Knutepunkter!$C:$C,E2971+1))</f>
        <v/>
      </c>
      <c r="K2971" t="str">
        <f>IF(E2971="","",INDEX(Knutepunkter!$D:$D,E2971+1))</f>
        <v/>
      </c>
      <c r="L2971" t="str">
        <f t="shared" si="233"/>
        <v/>
      </c>
      <c r="M2971" t="str">
        <f t="shared" si="234"/>
        <v/>
      </c>
    </row>
    <row r="2972" spans="1:13" x14ac:dyDescent="0.3">
      <c r="A2972" t="str">
        <f>Segmenter!A2972</f>
        <v/>
      </c>
      <c r="B2972" t="str">
        <f>Segmenter!B2972</f>
        <v/>
      </c>
      <c r="C2972" t="str">
        <f t="shared" si="230"/>
        <v/>
      </c>
      <c r="D2972" t="str">
        <f t="shared" si="231"/>
        <v/>
      </c>
      <c r="E2972" t="str">
        <f t="shared" si="232"/>
        <v/>
      </c>
      <c r="F2972" t="str">
        <f>IF(D2972="","",INDEX(Knutepunkter!$B:$B,D2972+1))</f>
        <v/>
      </c>
      <c r="G2972" t="str">
        <f>IF(D2972="","",INDEX(Knutepunkter!$C:$C,D2972+1))</f>
        <v/>
      </c>
      <c r="H2972" t="str">
        <f>IF(D2972="","",INDEX(Knutepunkter!$D:$D,D2972+1))</f>
        <v/>
      </c>
      <c r="I2972" t="str">
        <f>IF(E2972="","",INDEX(Knutepunkter!$B:$B,E2972+1))</f>
        <v/>
      </c>
      <c r="J2972" t="str">
        <f>IF(E2972="","",INDEX(Knutepunkter!$C:$C,E2972+1))</f>
        <v/>
      </c>
      <c r="K2972" t="str">
        <f>IF(E2972="","",INDEX(Knutepunkter!$D:$D,E2972+1))</f>
        <v/>
      </c>
      <c r="L2972" t="str">
        <f t="shared" si="233"/>
        <v/>
      </c>
      <c r="M2972" t="str">
        <f t="shared" si="234"/>
        <v/>
      </c>
    </row>
    <row r="2973" spans="1:13" x14ac:dyDescent="0.3">
      <c r="A2973" t="str">
        <f>Segmenter!A2973</f>
        <v/>
      </c>
      <c r="B2973" t="str">
        <f>Segmenter!B2973</f>
        <v/>
      </c>
      <c r="C2973" t="str">
        <f t="shared" si="230"/>
        <v/>
      </c>
      <c r="D2973" t="str">
        <f t="shared" si="231"/>
        <v/>
      </c>
      <c r="E2973" t="str">
        <f t="shared" si="232"/>
        <v/>
      </c>
      <c r="F2973" t="str">
        <f>IF(D2973="","",INDEX(Knutepunkter!$B:$B,D2973+1))</f>
        <v/>
      </c>
      <c r="G2973" t="str">
        <f>IF(D2973="","",INDEX(Knutepunkter!$C:$C,D2973+1))</f>
        <v/>
      </c>
      <c r="H2973" t="str">
        <f>IF(D2973="","",INDEX(Knutepunkter!$D:$D,D2973+1))</f>
        <v/>
      </c>
      <c r="I2973" t="str">
        <f>IF(E2973="","",INDEX(Knutepunkter!$B:$B,E2973+1))</f>
        <v/>
      </c>
      <c r="J2973" t="str">
        <f>IF(E2973="","",INDEX(Knutepunkter!$C:$C,E2973+1))</f>
        <v/>
      </c>
      <c r="K2973" t="str">
        <f>IF(E2973="","",INDEX(Knutepunkter!$D:$D,E2973+1))</f>
        <v/>
      </c>
      <c r="L2973" t="str">
        <f t="shared" si="233"/>
        <v/>
      </c>
      <c r="M2973" t="str">
        <f t="shared" si="234"/>
        <v/>
      </c>
    </row>
    <row r="2974" spans="1:13" x14ac:dyDescent="0.3">
      <c r="A2974" t="str">
        <f>Segmenter!A2974</f>
        <v/>
      </c>
      <c r="B2974" t="str">
        <f>Segmenter!B2974</f>
        <v/>
      </c>
      <c r="C2974" t="str">
        <f t="shared" si="230"/>
        <v/>
      </c>
      <c r="D2974" t="str">
        <f t="shared" si="231"/>
        <v/>
      </c>
      <c r="E2974" t="str">
        <f t="shared" si="232"/>
        <v/>
      </c>
      <c r="F2974" t="str">
        <f>IF(D2974="","",INDEX(Knutepunkter!$B:$B,D2974+1))</f>
        <v/>
      </c>
      <c r="G2974" t="str">
        <f>IF(D2974="","",INDEX(Knutepunkter!$C:$C,D2974+1))</f>
        <v/>
      </c>
      <c r="H2974" t="str">
        <f>IF(D2974="","",INDEX(Knutepunkter!$D:$D,D2974+1))</f>
        <v/>
      </c>
      <c r="I2974" t="str">
        <f>IF(E2974="","",INDEX(Knutepunkter!$B:$B,E2974+1))</f>
        <v/>
      </c>
      <c r="J2974" t="str">
        <f>IF(E2974="","",INDEX(Knutepunkter!$C:$C,E2974+1))</f>
        <v/>
      </c>
      <c r="K2974" t="str">
        <f>IF(E2974="","",INDEX(Knutepunkter!$D:$D,E2974+1))</f>
        <v/>
      </c>
      <c r="L2974" t="str">
        <f t="shared" si="233"/>
        <v/>
      </c>
      <c r="M2974" t="str">
        <f t="shared" si="234"/>
        <v/>
      </c>
    </row>
    <row r="2975" spans="1:13" x14ac:dyDescent="0.3">
      <c r="A2975" t="str">
        <f>Segmenter!A2975</f>
        <v/>
      </c>
      <c r="B2975" t="str">
        <f>Segmenter!B2975</f>
        <v/>
      </c>
      <c r="C2975" t="str">
        <f t="shared" si="230"/>
        <v/>
      </c>
      <c r="D2975" t="str">
        <f t="shared" si="231"/>
        <v/>
      </c>
      <c r="E2975" t="str">
        <f t="shared" si="232"/>
        <v/>
      </c>
      <c r="F2975" t="str">
        <f>IF(D2975="","",INDEX(Knutepunkter!$B:$B,D2975+1))</f>
        <v/>
      </c>
      <c r="G2975" t="str">
        <f>IF(D2975="","",INDEX(Knutepunkter!$C:$C,D2975+1))</f>
        <v/>
      </c>
      <c r="H2975" t="str">
        <f>IF(D2975="","",INDEX(Knutepunkter!$D:$D,D2975+1))</f>
        <v/>
      </c>
      <c r="I2975" t="str">
        <f>IF(E2975="","",INDEX(Knutepunkter!$B:$B,E2975+1))</f>
        <v/>
      </c>
      <c r="J2975" t="str">
        <f>IF(E2975="","",INDEX(Knutepunkter!$C:$C,E2975+1))</f>
        <v/>
      </c>
      <c r="K2975" t="str">
        <f>IF(E2975="","",INDEX(Knutepunkter!$D:$D,E2975+1))</f>
        <v/>
      </c>
      <c r="L2975" t="str">
        <f t="shared" si="233"/>
        <v/>
      </c>
      <c r="M2975" t="str">
        <f t="shared" si="234"/>
        <v/>
      </c>
    </row>
    <row r="2976" spans="1:13" x14ac:dyDescent="0.3">
      <c r="A2976" t="str">
        <f>Segmenter!A2976</f>
        <v/>
      </c>
      <c r="B2976" t="str">
        <f>Segmenter!B2976</f>
        <v/>
      </c>
      <c r="C2976" t="str">
        <f t="shared" si="230"/>
        <v/>
      </c>
      <c r="D2976" t="str">
        <f t="shared" si="231"/>
        <v/>
      </c>
      <c r="E2976" t="str">
        <f t="shared" si="232"/>
        <v/>
      </c>
      <c r="F2976" t="str">
        <f>IF(D2976="","",INDEX(Knutepunkter!$B:$B,D2976+1))</f>
        <v/>
      </c>
      <c r="G2976" t="str">
        <f>IF(D2976="","",INDEX(Knutepunkter!$C:$C,D2976+1))</f>
        <v/>
      </c>
      <c r="H2976" t="str">
        <f>IF(D2976="","",INDEX(Knutepunkter!$D:$D,D2976+1))</f>
        <v/>
      </c>
      <c r="I2976" t="str">
        <f>IF(E2976="","",INDEX(Knutepunkter!$B:$B,E2976+1))</f>
        <v/>
      </c>
      <c r="J2976" t="str">
        <f>IF(E2976="","",INDEX(Knutepunkter!$C:$C,E2976+1))</f>
        <v/>
      </c>
      <c r="K2976" t="str">
        <f>IF(E2976="","",INDEX(Knutepunkter!$D:$D,E2976+1))</f>
        <v/>
      </c>
      <c r="L2976" t="str">
        <f t="shared" si="233"/>
        <v/>
      </c>
      <c r="M2976" t="str">
        <f t="shared" si="234"/>
        <v/>
      </c>
    </row>
    <row r="2977" spans="1:13" x14ac:dyDescent="0.3">
      <c r="A2977" t="str">
        <f>Segmenter!A2977</f>
        <v/>
      </c>
      <c r="B2977" t="str">
        <f>Segmenter!B2977</f>
        <v/>
      </c>
      <c r="C2977" t="str">
        <f t="shared" si="230"/>
        <v/>
      </c>
      <c r="D2977" t="str">
        <f t="shared" si="231"/>
        <v/>
      </c>
      <c r="E2977" t="str">
        <f t="shared" si="232"/>
        <v/>
      </c>
      <c r="F2977" t="str">
        <f>IF(D2977="","",INDEX(Knutepunkter!$B:$B,D2977+1))</f>
        <v/>
      </c>
      <c r="G2977" t="str">
        <f>IF(D2977="","",INDEX(Knutepunkter!$C:$C,D2977+1))</f>
        <v/>
      </c>
      <c r="H2977" t="str">
        <f>IF(D2977="","",INDEX(Knutepunkter!$D:$D,D2977+1))</f>
        <v/>
      </c>
      <c r="I2977" t="str">
        <f>IF(E2977="","",INDEX(Knutepunkter!$B:$B,E2977+1))</f>
        <v/>
      </c>
      <c r="J2977" t="str">
        <f>IF(E2977="","",INDEX(Knutepunkter!$C:$C,E2977+1))</f>
        <v/>
      </c>
      <c r="K2977" t="str">
        <f>IF(E2977="","",INDEX(Knutepunkter!$D:$D,E2977+1))</f>
        <v/>
      </c>
      <c r="L2977" t="str">
        <f t="shared" si="233"/>
        <v/>
      </c>
      <c r="M2977" t="str">
        <f t="shared" si="234"/>
        <v/>
      </c>
    </row>
    <row r="2978" spans="1:13" x14ac:dyDescent="0.3">
      <c r="A2978" t="str">
        <f>Segmenter!A2978</f>
        <v/>
      </c>
      <c r="B2978" t="str">
        <f>Segmenter!B2978</f>
        <v/>
      </c>
      <c r="C2978" t="str">
        <f t="shared" si="230"/>
        <v/>
      </c>
      <c r="D2978" t="str">
        <f t="shared" si="231"/>
        <v/>
      </c>
      <c r="E2978" t="str">
        <f t="shared" si="232"/>
        <v/>
      </c>
      <c r="F2978" t="str">
        <f>IF(D2978="","",INDEX(Knutepunkter!$B:$B,D2978+1))</f>
        <v/>
      </c>
      <c r="G2978" t="str">
        <f>IF(D2978="","",INDEX(Knutepunkter!$C:$C,D2978+1))</f>
        <v/>
      </c>
      <c r="H2978" t="str">
        <f>IF(D2978="","",INDEX(Knutepunkter!$D:$D,D2978+1))</f>
        <v/>
      </c>
      <c r="I2978" t="str">
        <f>IF(E2978="","",INDEX(Knutepunkter!$B:$B,E2978+1))</f>
        <v/>
      </c>
      <c r="J2978" t="str">
        <f>IF(E2978="","",INDEX(Knutepunkter!$C:$C,E2978+1))</f>
        <v/>
      </c>
      <c r="K2978" t="str">
        <f>IF(E2978="","",INDEX(Knutepunkter!$D:$D,E2978+1))</f>
        <v/>
      </c>
      <c r="L2978" t="str">
        <f t="shared" si="233"/>
        <v/>
      </c>
      <c r="M2978" t="str">
        <f t="shared" si="234"/>
        <v/>
      </c>
    </row>
    <row r="2979" spans="1:13" x14ac:dyDescent="0.3">
      <c r="A2979" t="str">
        <f>Segmenter!A2979</f>
        <v/>
      </c>
      <c r="B2979" t="str">
        <f>Segmenter!B2979</f>
        <v/>
      </c>
      <c r="C2979" t="str">
        <f t="shared" si="230"/>
        <v/>
      </c>
      <c r="D2979" t="str">
        <f t="shared" si="231"/>
        <v/>
      </c>
      <c r="E2979" t="str">
        <f t="shared" si="232"/>
        <v/>
      </c>
      <c r="F2979" t="str">
        <f>IF(D2979="","",INDEX(Knutepunkter!$B:$B,D2979+1))</f>
        <v/>
      </c>
      <c r="G2979" t="str">
        <f>IF(D2979="","",INDEX(Knutepunkter!$C:$C,D2979+1))</f>
        <v/>
      </c>
      <c r="H2979" t="str">
        <f>IF(D2979="","",INDEX(Knutepunkter!$D:$D,D2979+1))</f>
        <v/>
      </c>
      <c r="I2979" t="str">
        <f>IF(E2979="","",INDEX(Knutepunkter!$B:$B,E2979+1))</f>
        <v/>
      </c>
      <c r="J2979" t="str">
        <f>IF(E2979="","",INDEX(Knutepunkter!$C:$C,E2979+1))</f>
        <v/>
      </c>
      <c r="K2979" t="str">
        <f>IF(E2979="","",INDEX(Knutepunkter!$D:$D,E2979+1))</f>
        <v/>
      </c>
      <c r="L2979" t="str">
        <f t="shared" si="233"/>
        <v/>
      </c>
      <c r="M2979" t="str">
        <f t="shared" si="234"/>
        <v/>
      </c>
    </row>
    <row r="2980" spans="1:13" x14ac:dyDescent="0.3">
      <c r="A2980" t="str">
        <f>Segmenter!A2980</f>
        <v/>
      </c>
      <c r="B2980" t="str">
        <f>Segmenter!B2980</f>
        <v/>
      </c>
      <c r="C2980" t="str">
        <f t="shared" si="230"/>
        <v/>
      </c>
      <c r="D2980" t="str">
        <f t="shared" si="231"/>
        <v/>
      </c>
      <c r="E2980" t="str">
        <f t="shared" si="232"/>
        <v/>
      </c>
      <c r="F2980" t="str">
        <f>IF(D2980="","",INDEX(Knutepunkter!$B:$B,D2980+1))</f>
        <v/>
      </c>
      <c r="G2980" t="str">
        <f>IF(D2980="","",INDEX(Knutepunkter!$C:$C,D2980+1))</f>
        <v/>
      </c>
      <c r="H2980" t="str">
        <f>IF(D2980="","",INDEX(Knutepunkter!$D:$D,D2980+1))</f>
        <v/>
      </c>
      <c r="I2980" t="str">
        <f>IF(E2980="","",INDEX(Knutepunkter!$B:$B,E2980+1))</f>
        <v/>
      </c>
      <c r="J2980" t="str">
        <f>IF(E2980="","",INDEX(Knutepunkter!$C:$C,E2980+1))</f>
        <v/>
      </c>
      <c r="K2980" t="str">
        <f>IF(E2980="","",INDEX(Knutepunkter!$D:$D,E2980+1))</f>
        <v/>
      </c>
      <c r="L2980" t="str">
        <f t="shared" si="233"/>
        <v/>
      </c>
      <c r="M2980" t="str">
        <f t="shared" si="234"/>
        <v/>
      </c>
    </row>
    <row r="2981" spans="1:13" x14ac:dyDescent="0.3">
      <c r="A2981" t="str">
        <f>Segmenter!A2981</f>
        <v/>
      </c>
      <c r="B2981" t="str">
        <f>Segmenter!B2981</f>
        <v/>
      </c>
      <c r="C2981" t="str">
        <f t="shared" si="230"/>
        <v/>
      </c>
      <c r="D2981" t="str">
        <f t="shared" si="231"/>
        <v/>
      </c>
      <c r="E2981" t="str">
        <f t="shared" si="232"/>
        <v/>
      </c>
      <c r="F2981" t="str">
        <f>IF(D2981="","",INDEX(Knutepunkter!$B:$B,D2981+1))</f>
        <v/>
      </c>
      <c r="G2981" t="str">
        <f>IF(D2981="","",INDEX(Knutepunkter!$C:$C,D2981+1))</f>
        <v/>
      </c>
      <c r="H2981" t="str">
        <f>IF(D2981="","",INDEX(Knutepunkter!$D:$D,D2981+1))</f>
        <v/>
      </c>
      <c r="I2981" t="str">
        <f>IF(E2981="","",INDEX(Knutepunkter!$B:$B,E2981+1))</f>
        <v/>
      </c>
      <c r="J2981" t="str">
        <f>IF(E2981="","",INDEX(Knutepunkter!$C:$C,E2981+1))</f>
        <v/>
      </c>
      <c r="K2981" t="str">
        <f>IF(E2981="","",INDEX(Knutepunkter!$D:$D,E2981+1))</f>
        <v/>
      </c>
      <c r="L2981" t="str">
        <f t="shared" si="233"/>
        <v/>
      </c>
      <c r="M2981" t="str">
        <f t="shared" si="234"/>
        <v/>
      </c>
    </row>
    <row r="2982" spans="1:13" x14ac:dyDescent="0.3">
      <c r="A2982" t="str">
        <f>Segmenter!A2982</f>
        <v/>
      </c>
      <c r="B2982" t="str">
        <f>Segmenter!B2982</f>
        <v/>
      </c>
      <c r="C2982" t="str">
        <f t="shared" si="230"/>
        <v/>
      </c>
      <c r="D2982" t="str">
        <f t="shared" si="231"/>
        <v/>
      </c>
      <c r="E2982" t="str">
        <f t="shared" si="232"/>
        <v/>
      </c>
      <c r="F2982" t="str">
        <f>IF(D2982="","",INDEX(Knutepunkter!$B:$B,D2982+1))</f>
        <v/>
      </c>
      <c r="G2982" t="str">
        <f>IF(D2982="","",INDEX(Knutepunkter!$C:$C,D2982+1))</f>
        <v/>
      </c>
      <c r="H2982" t="str">
        <f>IF(D2982="","",INDEX(Knutepunkter!$D:$D,D2982+1))</f>
        <v/>
      </c>
      <c r="I2982" t="str">
        <f>IF(E2982="","",INDEX(Knutepunkter!$B:$B,E2982+1))</f>
        <v/>
      </c>
      <c r="J2982" t="str">
        <f>IF(E2982="","",INDEX(Knutepunkter!$C:$C,E2982+1))</f>
        <v/>
      </c>
      <c r="K2982" t="str">
        <f>IF(E2982="","",INDEX(Knutepunkter!$D:$D,E2982+1))</f>
        <v/>
      </c>
      <c r="L2982" t="str">
        <f t="shared" si="233"/>
        <v/>
      </c>
      <c r="M2982" t="str">
        <f t="shared" si="234"/>
        <v/>
      </c>
    </row>
    <row r="2983" spans="1:13" x14ac:dyDescent="0.3">
      <c r="A2983" t="str">
        <f>Segmenter!A2983</f>
        <v/>
      </c>
      <c r="B2983" t="str">
        <f>Segmenter!B2983</f>
        <v/>
      </c>
      <c r="C2983" t="str">
        <f t="shared" si="230"/>
        <v/>
      </c>
      <c r="D2983" t="str">
        <f t="shared" si="231"/>
        <v/>
      </c>
      <c r="E2983" t="str">
        <f t="shared" si="232"/>
        <v/>
      </c>
      <c r="F2983" t="str">
        <f>IF(D2983="","",INDEX(Knutepunkter!$B:$B,D2983+1))</f>
        <v/>
      </c>
      <c r="G2983" t="str">
        <f>IF(D2983="","",INDEX(Knutepunkter!$C:$C,D2983+1))</f>
        <v/>
      </c>
      <c r="H2983" t="str">
        <f>IF(D2983="","",INDEX(Knutepunkter!$D:$D,D2983+1))</f>
        <v/>
      </c>
      <c r="I2983" t="str">
        <f>IF(E2983="","",INDEX(Knutepunkter!$B:$B,E2983+1))</f>
        <v/>
      </c>
      <c r="J2983" t="str">
        <f>IF(E2983="","",INDEX(Knutepunkter!$C:$C,E2983+1))</f>
        <v/>
      </c>
      <c r="K2983" t="str">
        <f>IF(E2983="","",INDEX(Knutepunkter!$D:$D,E2983+1))</f>
        <v/>
      </c>
      <c r="L2983" t="str">
        <f t="shared" si="233"/>
        <v/>
      </c>
      <c r="M2983" t="str">
        <f t="shared" si="234"/>
        <v/>
      </c>
    </row>
    <row r="2984" spans="1:13" x14ac:dyDescent="0.3">
      <c r="A2984" t="str">
        <f>Segmenter!A2984</f>
        <v/>
      </c>
      <c r="B2984" t="str">
        <f>Segmenter!B2984</f>
        <v/>
      </c>
      <c r="C2984" t="str">
        <f t="shared" si="230"/>
        <v/>
      </c>
      <c r="D2984" t="str">
        <f t="shared" si="231"/>
        <v/>
      </c>
      <c r="E2984" t="str">
        <f t="shared" si="232"/>
        <v/>
      </c>
      <c r="F2984" t="str">
        <f>IF(D2984="","",INDEX(Knutepunkter!$B:$B,D2984+1))</f>
        <v/>
      </c>
      <c r="G2984" t="str">
        <f>IF(D2984="","",INDEX(Knutepunkter!$C:$C,D2984+1))</f>
        <v/>
      </c>
      <c r="H2984" t="str">
        <f>IF(D2984="","",INDEX(Knutepunkter!$D:$D,D2984+1))</f>
        <v/>
      </c>
      <c r="I2984" t="str">
        <f>IF(E2984="","",INDEX(Knutepunkter!$B:$B,E2984+1))</f>
        <v/>
      </c>
      <c r="J2984" t="str">
        <f>IF(E2984="","",INDEX(Knutepunkter!$C:$C,E2984+1))</f>
        <v/>
      </c>
      <c r="K2984" t="str">
        <f>IF(E2984="","",INDEX(Knutepunkter!$D:$D,E2984+1))</f>
        <v/>
      </c>
      <c r="L2984" t="str">
        <f t="shared" si="233"/>
        <v/>
      </c>
      <c r="M2984" t="str">
        <f t="shared" si="234"/>
        <v/>
      </c>
    </row>
    <row r="2985" spans="1:13" x14ac:dyDescent="0.3">
      <c r="A2985" t="str">
        <f>Segmenter!A2985</f>
        <v/>
      </c>
      <c r="B2985" t="str">
        <f>Segmenter!B2985</f>
        <v/>
      </c>
      <c r="C2985" t="str">
        <f t="shared" si="230"/>
        <v/>
      </c>
      <c r="D2985" t="str">
        <f t="shared" si="231"/>
        <v/>
      </c>
      <c r="E2985" t="str">
        <f t="shared" si="232"/>
        <v/>
      </c>
      <c r="F2985" t="str">
        <f>IF(D2985="","",INDEX(Knutepunkter!$B:$B,D2985+1))</f>
        <v/>
      </c>
      <c r="G2985" t="str">
        <f>IF(D2985="","",INDEX(Knutepunkter!$C:$C,D2985+1))</f>
        <v/>
      </c>
      <c r="H2985" t="str">
        <f>IF(D2985="","",INDEX(Knutepunkter!$D:$D,D2985+1))</f>
        <v/>
      </c>
      <c r="I2985" t="str">
        <f>IF(E2985="","",INDEX(Knutepunkter!$B:$B,E2985+1))</f>
        <v/>
      </c>
      <c r="J2985" t="str">
        <f>IF(E2985="","",INDEX(Knutepunkter!$C:$C,E2985+1))</f>
        <v/>
      </c>
      <c r="K2985" t="str">
        <f>IF(E2985="","",INDEX(Knutepunkter!$D:$D,E2985+1))</f>
        <v/>
      </c>
      <c r="L2985" t="str">
        <f t="shared" si="233"/>
        <v/>
      </c>
      <c r="M2985" t="str">
        <f t="shared" si="234"/>
        <v/>
      </c>
    </row>
    <row r="2986" spans="1:13" x14ac:dyDescent="0.3">
      <c r="A2986" t="str">
        <f>Segmenter!A2986</f>
        <v/>
      </c>
      <c r="B2986" t="str">
        <f>Segmenter!B2986</f>
        <v/>
      </c>
      <c r="C2986" t="str">
        <f t="shared" si="230"/>
        <v/>
      </c>
      <c r="D2986" t="str">
        <f t="shared" si="231"/>
        <v/>
      </c>
      <c r="E2986" t="str">
        <f t="shared" si="232"/>
        <v/>
      </c>
      <c r="F2986" t="str">
        <f>IF(D2986="","",INDEX(Knutepunkter!$B:$B,D2986+1))</f>
        <v/>
      </c>
      <c r="G2986" t="str">
        <f>IF(D2986="","",INDEX(Knutepunkter!$C:$C,D2986+1))</f>
        <v/>
      </c>
      <c r="H2986" t="str">
        <f>IF(D2986="","",INDEX(Knutepunkter!$D:$D,D2986+1))</f>
        <v/>
      </c>
      <c r="I2986" t="str">
        <f>IF(E2986="","",INDEX(Knutepunkter!$B:$B,E2986+1))</f>
        <v/>
      </c>
      <c r="J2986" t="str">
        <f>IF(E2986="","",INDEX(Knutepunkter!$C:$C,E2986+1))</f>
        <v/>
      </c>
      <c r="K2986" t="str">
        <f>IF(E2986="","",INDEX(Knutepunkter!$D:$D,E2986+1))</f>
        <v/>
      </c>
      <c r="L2986" t="str">
        <f t="shared" si="233"/>
        <v/>
      </c>
      <c r="M2986" t="str">
        <f t="shared" si="234"/>
        <v/>
      </c>
    </row>
    <row r="2987" spans="1:13" x14ac:dyDescent="0.3">
      <c r="A2987" t="str">
        <f>Segmenter!A2987</f>
        <v/>
      </c>
      <c r="B2987" t="str">
        <f>Segmenter!B2987</f>
        <v/>
      </c>
      <c r="C2987" t="str">
        <f t="shared" si="230"/>
        <v/>
      </c>
      <c r="D2987" t="str">
        <f t="shared" si="231"/>
        <v/>
      </c>
      <c r="E2987" t="str">
        <f t="shared" si="232"/>
        <v/>
      </c>
      <c r="F2987" t="str">
        <f>IF(D2987="","",INDEX(Knutepunkter!$B:$B,D2987+1))</f>
        <v/>
      </c>
      <c r="G2987" t="str">
        <f>IF(D2987="","",INDEX(Knutepunkter!$C:$C,D2987+1))</f>
        <v/>
      </c>
      <c r="H2987" t="str">
        <f>IF(D2987="","",INDEX(Knutepunkter!$D:$D,D2987+1))</f>
        <v/>
      </c>
      <c r="I2987" t="str">
        <f>IF(E2987="","",INDEX(Knutepunkter!$B:$B,E2987+1))</f>
        <v/>
      </c>
      <c r="J2987" t="str">
        <f>IF(E2987="","",INDEX(Knutepunkter!$C:$C,E2987+1))</f>
        <v/>
      </c>
      <c r="K2987" t="str">
        <f>IF(E2987="","",INDEX(Knutepunkter!$D:$D,E2987+1))</f>
        <v/>
      </c>
      <c r="L2987" t="str">
        <f t="shared" si="233"/>
        <v/>
      </c>
      <c r="M2987" t="str">
        <f t="shared" si="234"/>
        <v/>
      </c>
    </row>
    <row r="2988" spans="1:13" x14ac:dyDescent="0.3">
      <c r="A2988" t="str">
        <f>Segmenter!A2988</f>
        <v/>
      </c>
      <c r="B2988" t="str">
        <f>Segmenter!B2988</f>
        <v/>
      </c>
      <c r="C2988" t="str">
        <f t="shared" si="230"/>
        <v/>
      </c>
      <c r="D2988" t="str">
        <f t="shared" si="231"/>
        <v/>
      </c>
      <c r="E2988" t="str">
        <f t="shared" si="232"/>
        <v/>
      </c>
      <c r="F2988" t="str">
        <f>IF(D2988="","",INDEX(Knutepunkter!$B:$B,D2988+1))</f>
        <v/>
      </c>
      <c r="G2988" t="str">
        <f>IF(D2988="","",INDEX(Knutepunkter!$C:$C,D2988+1))</f>
        <v/>
      </c>
      <c r="H2988" t="str">
        <f>IF(D2988="","",INDEX(Knutepunkter!$D:$D,D2988+1))</f>
        <v/>
      </c>
      <c r="I2988" t="str">
        <f>IF(E2988="","",INDEX(Knutepunkter!$B:$B,E2988+1))</f>
        <v/>
      </c>
      <c r="J2988" t="str">
        <f>IF(E2988="","",INDEX(Knutepunkter!$C:$C,E2988+1))</f>
        <v/>
      </c>
      <c r="K2988" t="str">
        <f>IF(E2988="","",INDEX(Knutepunkter!$D:$D,E2988+1))</f>
        <v/>
      </c>
      <c r="L2988" t="str">
        <f t="shared" si="233"/>
        <v/>
      </c>
      <c r="M2988" t="str">
        <f t="shared" si="234"/>
        <v/>
      </c>
    </row>
    <row r="2989" spans="1:13" x14ac:dyDescent="0.3">
      <c r="A2989" t="str">
        <f>Segmenter!A2989</f>
        <v/>
      </c>
      <c r="B2989" t="str">
        <f>Segmenter!B2989</f>
        <v/>
      </c>
      <c r="C2989" t="str">
        <f t="shared" si="230"/>
        <v/>
      </c>
      <c r="D2989" t="str">
        <f t="shared" si="231"/>
        <v/>
      </c>
      <c r="E2989" t="str">
        <f t="shared" si="232"/>
        <v/>
      </c>
      <c r="F2989" t="str">
        <f>IF(D2989="","",INDEX(Knutepunkter!$B:$B,D2989+1))</f>
        <v/>
      </c>
      <c r="G2989" t="str">
        <f>IF(D2989="","",INDEX(Knutepunkter!$C:$C,D2989+1))</f>
        <v/>
      </c>
      <c r="H2989" t="str">
        <f>IF(D2989="","",INDEX(Knutepunkter!$D:$D,D2989+1))</f>
        <v/>
      </c>
      <c r="I2989" t="str">
        <f>IF(E2989="","",INDEX(Knutepunkter!$B:$B,E2989+1))</f>
        <v/>
      </c>
      <c r="J2989" t="str">
        <f>IF(E2989="","",INDEX(Knutepunkter!$C:$C,E2989+1))</f>
        <v/>
      </c>
      <c r="K2989" t="str">
        <f>IF(E2989="","",INDEX(Knutepunkter!$D:$D,E2989+1))</f>
        <v/>
      </c>
      <c r="L2989" t="str">
        <f t="shared" si="233"/>
        <v/>
      </c>
      <c r="M2989" t="str">
        <f t="shared" si="234"/>
        <v/>
      </c>
    </row>
    <row r="2990" spans="1:13" x14ac:dyDescent="0.3">
      <c r="A2990" t="str">
        <f>Segmenter!A2990</f>
        <v/>
      </c>
      <c r="B2990" t="str">
        <f>Segmenter!B2990</f>
        <v/>
      </c>
      <c r="C2990" t="str">
        <f t="shared" si="230"/>
        <v/>
      </c>
      <c r="D2990" t="str">
        <f t="shared" si="231"/>
        <v/>
      </c>
      <c r="E2990" t="str">
        <f t="shared" si="232"/>
        <v/>
      </c>
      <c r="F2990" t="str">
        <f>IF(D2990="","",INDEX(Knutepunkter!$B:$B,D2990+1))</f>
        <v/>
      </c>
      <c r="G2990" t="str">
        <f>IF(D2990="","",INDEX(Knutepunkter!$C:$C,D2990+1))</f>
        <v/>
      </c>
      <c r="H2990" t="str">
        <f>IF(D2990="","",INDEX(Knutepunkter!$D:$D,D2990+1))</f>
        <v/>
      </c>
      <c r="I2990" t="str">
        <f>IF(E2990="","",INDEX(Knutepunkter!$B:$B,E2990+1))</f>
        <v/>
      </c>
      <c r="J2990" t="str">
        <f>IF(E2990="","",INDEX(Knutepunkter!$C:$C,E2990+1))</f>
        <v/>
      </c>
      <c r="K2990" t="str">
        <f>IF(E2990="","",INDEX(Knutepunkter!$D:$D,E2990+1))</f>
        <v/>
      </c>
      <c r="L2990" t="str">
        <f t="shared" si="233"/>
        <v/>
      </c>
      <c r="M2990" t="str">
        <f t="shared" si="234"/>
        <v/>
      </c>
    </row>
    <row r="2991" spans="1:13" x14ac:dyDescent="0.3">
      <c r="A2991" t="str">
        <f>Segmenter!A2991</f>
        <v/>
      </c>
      <c r="B2991" t="str">
        <f>Segmenter!B2991</f>
        <v/>
      </c>
      <c r="C2991" t="str">
        <f t="shared" si="230"/>
        <v/>
      </c>
      <c r="D2991" t="str">
        <f t="shared" si="231"/>
        <v/>
      </c>
      <c r="E2991" t="str">
        <f t="shared" si="232"/>
        <v/>
      </c>
      <c r="F2991" t="str">
        <f>IF(D2991="","",INDEX(Knutepunkter!$B:$B,D2991+1))</f>
        <v/>
      </c>
      <c r="G2991" t="str">
        <f>IF(D2991="","",INDEX(Knutepunkter!$C:$C,D2991+1))</f>
        <v/>
      </c>
      <c r="H2991" t="str">
        <f>IF(D2991="","",INDEX(Knutepunkter!$D:$D,D2991+1))</f>
        <v/>
      </c>
      <c r="I2991" t="str">
        <f>IF(E2991="","",INDEX(Knutepunkter!$B:$B,E2991+1))</f>
        <v/>
      </c>
      <c r="J2991" t="str">
        <f>IF(E2991="","",INDEX(Knutepunkter!$C:$C,E2991+1))</f>
        <v/>
      </c>
      <c r="K2991" t="str">
        <f>IF(E2991="","",INDEX(Knutepunkter!$D:$D,E2991+1))</f>
        <v/>
      </c>
      <c r="L2991" t="str">
        <f t="shared" si="233"/>
        <v/>
      </c>
      <c r="M2991" t="str">
        <f t="shared" si="234"/>
        <v/>
      </c>
    </row>
    <row r="2992" spans="1:13" x14ac:dyDescent="0.3">
      <c r="A2992" t="str">
        <f>Segmenter!A2992</f>
        <v/>
      </c>
      <c r="B2992" t="str">
        <f>Segmenter!B2992</f>
        <v/>
      </c>
      <c r="C2992" t="str">
        <f t="shared" si="230"/>
        <v/>
      </c>
      <c r="D2992" t="str">
        <f t="shared" si="231"/>
        <v/>
      </c>
      <c r="E2992" t="str">
        <f t="shared" si="232"/>
        <v/>
      </c>
      <c r="F2992" t="str">
        <f>IF(D2992="","",INDEX(Knutepunkter!$B:$B,D2992+1))</f>
        <v/>
      </c>
      <c r="G2992" t="str">
        <f>IF(D2992="","",INDEX(Knutepunkter!$C:$C,D2992+1))</f>
        <v/>
      </c>
      <c r="H2992" t="str">
        <f>IF(D2992="","",INDEX(Knutepunkter!$D:$D,D2992+1))</f>
        <v/>
      </c>
      <c r="I2992" t="str">
        <f>IF(E2992="","",INDEX(Knutepunkter!$B:$B,E2992+1))</f>
        <v/>
      </c>
      <c r="J2992" t="str">
        <f>IF(E2992="","",INDEX(Knutepunkter!$C:$C,E2992+1))</f>
        <v/>
      </c>
      <c r="K2992" t="str">
        <f>IF(E2992="","",INDEX(Knutepunkter!$D:$D,E2992+1))</f>
        <v/>
      </c>
      <c r="L2992" t="str">
        <f t="shared" si="233"/>
        <v/>
      </c>
      <c r="M2992" t="str">
        <f t="shared" si="234"/>
        <v/>
      </c>
    </row>
    <row r="2993" spans="1:13" x14ac:dyDescent="0.3">
      <c r="A2993" t="str">
        <f>Segmenter!A2993</f>
        <v/>
      </c>
      <c r="B2993" t="str">
        <f>Segmenter!B2993</f>
        <v/>
      </c>
      <c r="C2993" t="str">
        <f t="shared" si="230"/>
        <v/>
      </c>
      <c r="D2993" t="str">
        <f t="shared" si="231"/>
        <v/>
      </c>
      <c r="E2993" t="str">
        <f t="shared" si="232"/>
        <v/>
      </c>
      <c r="F2993" t="str">
        <f>IF(D2993="","",INDEX(Knutepunkter!$B:$B,D2993+1))</f>
        <v/>
      </c>
      <c r="G2993" t="str">
        <f>IF(D2993="","",INDEX(Knutepunkter!$C:$C,D2993+1))</f>
        <v/>
      </c>
      <c r="H2993" t="str">
        <f>IF(D2993="","",INDEX(Knutepunkter!$D:$D,D2993+1))</f>
        <v/>
      </c>
      <c r="I2993" t="str">
        <f>IF(E2993="","",INDEX(Knutepunkter!$B:$B,E2993+1))</f>
        <v/>
      </c>
      <c r="J2993" t="str">
        <f>IF(E2993="","",INDEX(Knutepunkter!$C:$C,E2993+1))</f>
        <v/>
      </c>
      <c r="K2993" t="str">
        <f>IF(E2993="","",INDEX(Knutepunkter!$D:$D,E2993+1))</f>
        <v/>
      </c>
      <c r="L2993" t="str">
        <f t="shared" si="233"/>
        <v/>
      </c>
      <c r="M2993" t="str">
        <f t="shared" si="234"/>
        <v/>
      </c>
    </row>
    <row r="2994" spans="1:13" x14ac:dyDescent="0.3">
      <c r="A2994" t="str">
        <f>Segmenter!A2994</f>
        <v/>
      </c>
      <c r="B2994" t="str">
        <f>Segmenter!B2994</f>
        <v/>
      </c>
      <c r="C2994" t="str">
        <f t="shared" si="230"/>
        <v/>
      </c>
      <c r="D2994" t="str">
        <f t="shared" si="231"/>
        <v/>
      </c>
      <c r="E2994" t="str">
        <f t="shared" si="232"/>
        <v/>
      </c>
      <c r="F2994" t="str">
        <f>IF(D2994="","",INDEX(Knutepunkter!$B:$B,D2994+1))</f>
        <v/>
      </c>
      <c r="G2994" t="str">
        <f>IF(D2994="","",INDEX(Knutepunkter!$C:$C,D2994+1))</f>
        <v/>
      </c>
      <c r="H2994" t="str">
        <f>IF(D2994="","",INDEX(Knutepunkter!$D:$D,D2994+1))</f>
        <v/>
      </c>
      <c r="I2994" t="str">
        <f>IF(E2994="","",INDEX(Knutepunkter!$B:$B,E2994+1))</f>
        <v/>
      </c>
      <c r="J2994" t="str">
        <f>IF(E2994="","",INDEX(Knutepunkter!$C:$C,E2994+1))</f>
        <v/>
      </c>
      <c r="K2994" t="str">
        <f>IF(E2994="","",INDEX(Knutepunkter!$D:$D,E2994+1))</f>
        <v/>
      </c>
      <c r="L2994" t="str">
        <f t="shared" si="233"/>
        <v/>
      </c>
      <c r="M2994" t="str">
        <f t="shared" si="234"/>
        <v/>
      </c>
    </row>
    <row r="2995" spans="1:13" x14ac:dyDescent="0.3">
      <c r="A2995" t="str">
        <f>Segmenter!A2995</f>
        <v/>
      </c>
      <c r="B2995" t="str">
        <f>Segmenter!B2995</f>
        <v/>
      </c>
      <c r="C2995" t="str">
        <f t="shared" si="230"/>
        <v/>
      </c>
      <c r="D2995" t="str">
        <f t="shared" si="231"/>
        <v/>
      </c>
      <c r="E2995" t="str">
        <f t="shared" si="232"/>
        <v/>
      </c>
      <c r="F2995" t="str">
        <f>IF(D2995="","",INDEX(Knutepunkter!$B:$B,D2995+1))</f>
        <v/>
      </c>
      <c r="G2995" t="str">
        <f>IF(D2995="","",INDEX(Knutepunkter!$C:$C,D2995+1))</f>
        <v/>
      </c>
      <c r="H2995" t="str">
        <f>IF(D2995="","",INDEX(Knutepunkter!$D:$D,D2995+1))</f>
        <v/>
      </c>
      <c r="I2995" t="str">
        <f>IF(E2995="","",INDEX(Knutepunkter!$B:$B,E2995+1))</f>
        <v/>
      </c>
      <c r="J2995" t="str">
        <f>IF(E2995="","",INDEX(Knutepunkter!$C:$C,E2995+1))</f>
        <v/>
      </c>
      <c r="K2995" t="str">
        <f>IF(E2995="","",INDEX(Knutepunkter!$D:$D,E2995+1))</f>
        <v/>
      </c>
      <c r="L2995" t="str">
        <f t="shared" si="233"/>
        <v/>
      </c>
      <c r="M2995" t="str">
        <f t="shared" si="234"/>
        <v/>
      </c>
    </row>
    <row r="2996" spans="1:13" x14ac:dyDescent="0.3">
      <c r="A2996" t="str">
        <f>Segmenter!A2996</f>
        <v/>
      </c>
      <c r="B2996" t="str">
        <f>Segmenter!B2996</f>
        <v/>
      </c>
      <c r="C2996" t="str">
        <f t="shared" si="230"/>
        <v/>
      </c>
      <c r="D2996" t="str">
        <f t="shared" si="231"/>
        <v/>
      </c>
      <c r="E2996" t="str">
        <f t="shared" si="232"/>
        <v/>
      </c>
      <c r="F2996" t="str">
        <f>IF(D2996="","",INDEX(Knutepunkter!$B:$B,D2996+1))</f>
        <v/>
      </c>
      <c r="G2996" t="str">
        <f>IF(D2996="","",INDEX(Knutepunkter!$C:$C,D2996+1))</f>
        <v/>
      </c>
      <c r="H2996" t="str">
        <f>IF(D2996="","",INDEX(Knutepunkter!$D:$D,D2996+1))</f>
        <v/>
      </c>
      <c r="I2996" t="str">
        <f>IF(E2996="","",INDEX(Knutepunkter!$B:$B,E2996+1))</f>
        <v/>
      </c>
      <c r="J2996" t="str">
        <f>IF(E2996="","",INDEX(Knutepunkter!$C:$C,E2996+1))</f>
        <v/>
      </c>
      <c r="K2996" t="str">
        <f>IF(E2996="","",INDEX(Knutepunkter!$D:$D,E2996+1))</f>
        <v/>
      </c>
      <c r="L2996" t="str">
        <f t="shared" si="233"/>
        <v/>
      </c>
      <c r="M2996" t="str">
        <f t="shared" si="234"/>
        <v/>
      </c>
    </row>
    <row r="2997" spans="1:13" x14ac:dyDescent="0.3">
      <c r="A2997" t="str">
        <f>Segmenter!A2997</f>
        <v/>
      </c>
      <c r="B2997" t="str">
        <f>Segmenter!B2997</f>
        <v/>
      </c>
      <c r="C2997" t="str">
        <f t="shared" si="230"/>
        <v/>
      </c>
      <c r="D2997" t="str">
        <f t="shared" si="231"/>
        <v/>
      </c>
      <c r="E2997" t="str">
        <f t="shared" si="232"/>
        <v/>
      </c>
      <c r="F2997" t="str">
        <f>IF(D2997="","",INDEX(Knutepunkter!$B:$B,D2997+1))</f>
        <v/>
      </c>
      <c r="G2997" t="str">
        <f>IF(D2997="","",INDEX(Knutepunkter!$C:$C,D2997+1))</f>
        <v/>
      </c>
      <c r="H2997" t="str">
        <f>IF(D2997="","",INDEX(Knutepunkter!$D:$D,D2997+1))</f>
        <v/>
      </c>
      <c r="I2997" t="str">
        <f>IF(E2997="","",INDEX(Knutepunkter!$B:$B,E2997+1))</f>
        <v/>
      </c>
      <c r="J2997" t="str">
        <f>IF(E2997="","",INDEX(Knutepunkter!$C:$C,E2997+1))</f>
        <v/>
      </c>
      <c r="K2997" t="str">
        <f>IF(E2997="","",INDEX(Knutepunkter!$D:$D,E2997+1))</f>
        <v/>
      </c>
      <c r="L2997" t="str">
        <f t="shared" si="233"/>
        <v/>
      </c>
      <c r="M2997" t="str">
        <f t="shared" si="234"/>
        <v/>
      </c>
    </row>
    <row r="2998" spans="1:13" x14ac:dyDescent="0.3">
      <c r="A2998" t="str">
        <f>Segmenter!A2998</f>
        <v/>
      </c>
      <c r="B2998" t="str">
        <f>Segmenter!B2998</f>
        <v/>
      </c>
      <c r="C2998" t="str">
        <f t="shared" si="230"/>
        <v/>
      </c>
      <c r="D2998" t="str">
        <f t="shared" si="231"/>
        <v/>
      </c>
      <c r="E2998" t="str">
        <f t="shared" si="232"/>
        <v/>
      </c>
      <c r="F2998" t="str">
        <f>IF(D2998="","",INDEX(Knutepunkter!$B:$B,D2998+1))</f>
        <v/>
      </c>
      <c r="G2998" t="str">
        <f>IF(D2998="","",INDEX(Knutepunkter!$C:$C,D2998+1))</f>
        <v/>
      </c>
      <c r="H2998" t="str">
        <f>IF(D2998="","",INDEX(Knutepunkter!$D:$D,D2998+1))</f>
        <v/>
      </c>
      <c r="I2998" t="str">
        <f>IF(E2998="","",INDEX(Knutepunkter!$B:$B,E2998+1))</f>
        <v/>
      </c>
      <c r="J2998" t="str">
        <f>IF(E2998="","",INDEX(Knutepunkter!$C:$C,E2998+1))</f>
        <v/>
      </c>
      <c r="K2998" t="str">
        <f>IF(E2998="","",INDEX(Knutepunkter!$D:$D,E2998+1))</f>
        <v/>
      </c>
      <c r="L2998" t="str">
        <f t="shared" si="233"/>
        <v/>
      </c>
      <c r="M2998" t="str">
        <f t="shared" si="234"/>
        <v/>
      </c>
    </row>
    <row r="2999" spans="1:13" x14ac:dyDescent="0.3">
      <c r="A2999" t="str">
        <f>Segmenter!A2999</f>
        <v/>
      </c>
      <c r="B2999" t="str">
        <f>Segmenter!B2999</f>
        <v/>
      </c>
      <c r="C2999" t="str">
        <f t="shared" si="230"/>
        <v/>
      </c>
      <c r="D2999" t="str">
        <f t="shared" si="231"/>
        <v/>
      </c>
      <c r="E2999" t="str">
        <f t="shared" si="232"/>
        <v/>
      </c>
      <c r="F2999" t="str">
        <f>IF(D2999="","",INDEX(Knutepunkter!$B:$B,D2999+1))</f>
        <v/>
      </c>
      <c r="G2999" t="str">
        <f>IF(D2999="","",INDEX(Knutepunkter!$C:$C,D2999+1))</f>
        <v/>
      </c>
      <c r="H2999" t="str">
        <f>IF(D2999="","",INDEX(Knutepunkter!$D:$D,D2999+1))</f>
        <v/>
      </c>
      <c r="I2999" t="str">
        <f>IF(E2999="","",INDEX(Knutepunkter!$B:$B,E2999+1))</f>
        <v/>
      </c>
      <c r="J2999" t="str">
        <f>IF(E2999="","",INDEX(Knutepunkter!$C:$C,E2999+1))</f>
        <v/>
      </c>
      <c r="K2999" t="str">
        <f>IF(E2999="","",INDEX(Knutepunkter!$D:$D,E2999+1))</f>
        <v/>
      </c>
      <c r="L2999" t="str">
        <f t="shared" si="233"/>
        <v/>
      </c>
      <c r="M2999" t="str">
        <f t="shared" si="234"/>
        <v/>
      </c>
    </row>
    <row r="3000" spans="1:13" x14ac:dyDescent="0.3">
      <c r="A3000" t="str">
        <f>Segmenter!A3000</f>
        <v/>
      </c>
      <c r="B3000" t="str">
        <f>Segmenter!B3000</f>
        <v/>
      </c>
      <c r="C3000" t="str">
        <f t="shared" si="230"/>
        <v/>
      </c>
      <c r="D3000" t="str">
        <f t="shared" si="231"/>
        <v/>
      </c>
      <c r="E3000" t="str">
        <f t="shared" si="232"/>
        <v/>
      </c>
      <c r="F3000" t="str">
        <f>IF(D3000="","",INDEX(Knutepunkter!$B:$B,D3000+1))</f>
        <v/>
      </c>
      <c r="G3000" t="str">
        <f>IF(D3000="","",INDEX(Knutepunkter!$C:$C,D3000+1))</f>
        <v/>
      </c>
      <c r="H3000" t="str">
        <f>IF(D3000="","",INDEX(Knutepunkter!$D:$D,D3000+1))</f>
        <v/>
      </c>
      <c r="I3000" t="str">
        <f>IF(E3000="","",INDEX(Knutepunkter!$B:$B,E3000+1))</f>
        <v/>
      </c>
      <c r="J3000" t="str">
        <f>IF(E3000="","",INDEX(Knutepunkter!$C:$C,E3000+1))</f>
        <v/>
      </c>
      <c r="K3000" t="str">
        <f>IF(E3000="","",INDEX(Knutepunkter!$D:$D,E3000+1))</f>
        <v/>
      </c>
      <c r="L3000" t="str">
        <f t="shared" si="233"/>
        <v/>
      </c>
      <c r="M3000" t="str">
        <f t="shared" si="234"/>
        <v/>
      </c>
    </row>
    <row r="3001" spans="1:13" x14ac:dyDescent="0.3">
      <c r="A3001" t="str">
        <f>Segmenter!A3001</f>
        <v/>
      </c>
      <c r="B3001" t="str">
        <f>Segmenter!B3001</f>
        <v/>
      </c>
      <c r="C3001" t="str">
        <f t="shared" si="230"/>
        <v/>
      </c>
      <c r="D3001" t="str">
        <f t="shared" si="231"/>
        <v/>
      </c>
      <c r="E3001" t="str">
        <f t="shared" si="232"/>
        <v/>
      </c>
      <c r="F3001" t="str">
        <f>IF(D3001="","",INDEX(Knutepunkter!$B:$B,D3001+1))</f>
        <v/>
      </c>
      <c r="G3001" t="str">
        <f>IF(D3001="","",INDEX(Knutepunkter!$C:$C,D3001+1))</f>
        <v/>
      </c>
      <c r="H3001" t="str">
        <f>IF(D3001="","",INDEX(Knutepunkter!$D:$D,D3001+1))</f>
        <v/>
      </c>
      <c r="I3001" t="str">
        <f>IF(E3001="","",INDEX(Knutepunkter!$B:$B,E3001+1))</f>
        <v/>
      </c>
      <c r="J3001" t="str">
        <f>IF(E3001="","",INDEX(Knutepunkter!$C:$C,E3001+1))</f>
        <v/>
      </c>
      <c r="K3001" t="str">
        <f>IF(E3001="","",INDEX(Knutepunkter!$D:$D,E3001+1))</f>
        <v/>
      </c>
      <c r="L3001" t="str">
        <f t="shared" si="233"/>
        <v/>
      </c>
      <c r="M3001" t="str">
        <f t="shared" si="234"/>
        <v/>
      </c>
    </row>
    <row r="3002" spans="1:13" x14ac:dyDescent="0.3">
      <c r="A3002" t="str">
        <f>Segmenter!A3002</f>
        <v/>
      </c>
      <c r="B3002" t="str">
        <f>Segmenter!B3002</f>
        <v/>
      </c>
      <c r="C3002" t="str">
        <f t="shared" si="230"/>
        <v/>
      </c>
      <c r="D3002" t="str">
        <f t="shared" si="231"/>
        <v/>
      </c>
      <c r="E3002" t="str">
        <f t="shared" si="232"/>
        <v/>
      </c>
      <c r="F3002" t="str">
        <f>IF(D3002="","",INDEX(Knutepunkter!$B:$B,D3002+1))</f>
        <v/>
      </c>
      <c r="G3002" t="str">
        <f>IF(D3002="","",INDEX(Knutepunkter!$C:$C,D3002+1))</f>
        <v/>
      </c>
      <c r="H3002" t="str">
        <f>IF(D3002="","",INDEX(Knutepunkter!$D:$D,D3002+1))</f>
        <v/>
      </c>
      <c r="I3002" t="str">
        <f>IF(E3002="","",INDEX(Knutepunkter!$B:$B,E3002+1))</f>
        <v/>
      </c>
      <c r="J3002" t="str">
        <f>IF(E3002="","",INDEX(Knutepunkter!$C:$C,E3002+1))</f>
        <v/>
      </c>
      <c r="K3002" t="str">
        <f>IF(E3002="","",INDEX(Knutepunkter!$D:$D,E3002+1))</f>
        <v/>
      </c>
      <c r="L3002" t="str">
        <f t="shared" si="233"/>
        <v/>
      </c>
      <c r="M3002" t="str">
        <f t="shared" si="234"/>
        <v/>
      </c>
    </row>
    <row r="3003" spans="1:13" x14ac:dyDescent="0.3">
      <c r="A3003" t="str">
        <f>Segmenter!A3003</f>
        <v/>
      </c>
      <c r="B3003" t="str">
        <f>Segmenter!B3003</f>
        <v/>
      </c>
      <c r="C3003" t="str">
        <f t="shared" si="230"/>
        <v/>
      </c>
      <c r="D3003" t="str">
        <f t="shared" si="231"/>
        <v/>
      </c>
      <c r="E3003" t="str">
        <f t="shared" si="232"/>
        <v/>
      </c>
      <c r="F3003" t="str">
        <f>IF(D3003="","",INDEX(Knutepunkter!$B:$B,D3003+1))</f>
        <v/>
      </c>
      <c r="G3003" t="str">
        <f>IF(D3003="","",INDEX(Knutepunkter!$C:$C,D3003+1))</f>
        <v/>
      </c>
      <c r="H3003" t="str">
        <f>IF(D3003="","",INDEX(Knutepunkter!$D:$D,D3003+1))</f>
        <v/>
      </c>
      <c r="I3003" t="str">
        <f>IF(E3003="","",INDEX(Knutepunkter!$B:$B,E3003+1))</f>
        <v/>
      </c>
      <c r="J3003" t="str">
        <f>IF(E3003="","",INDEX(Knutepunkter!$C:$C,E3003+1))</f>
        <v/>
      </c>
      <c r="K3003" t="str">
        <f>IF(E3003="","",INDEX(Knutepunkter!$D:$D,E3003+1))</f>
        <v/>
      </c>
      <c r="L3003" t="str">
        <f t="shared" si="233"/>
        <v/>
      </c>
      <c r="M3003" t="str">
        <f t="shared" si="234"/>
        <v/>
      </c>
    </row>
    <row r="3004" spans="1:13" x14ac:dyDescent="0.3">
      <c r="A3004" t="str">
        <f>Segmenter!A3004</f>
        <v/>
      </c>
      <c r="B3004" t="str">
        <f>Segmenter!B3004</f>
        <v/>
      </c>
      <c r="C3004" t="str">
        <f t="shared" si="230"/>
        <v/>
      </c>
      <c r="D3004" t="str">
        <f t="shared" si="231"/>
        <v/>
      </c>
      <c r="E3004" t="str">
        <f t="shared" si="232"/>
        <v/>
      </c>
      <c r="F3004" t="str">
        <f>IF(D3004="","",INDEX(Knutepunkter!$B:$B,D3004+1))</f>
        <v/>
      </c>
      <c r="G3004" t="str">
        <f>IF(D3004="","",INDEX(Knutepunkter!$C:$C,D3004+1))</f>
        <v/>
      </c>
      <c r="H3004" t="str">
        <f>IF(D3004="","",INDEX(Knutepunkter!$D:$D,D3004+1))</f>
        <v/>
      </c>
      <c r="I3004" t="str">
        <f>IF(E3004="","",INDEX(Knutepunkter!$B:$B,E3004+1))</f>
        <v/>
      </c>
      <c r="J3004" t="str">
        <f>IF(E3004="","",INDEX(Knutepunkter!$C:$C,E3004+1))</f>
        <v/>
      </c>
      <c r="K3004" t="str">
        <f>IF(E3004="","",INDEX(Knutepunkter!$D:$D,E3004+1))</f>
        <v/>
      </c>
      <c r="L3004" t="str">
        <f t="shared" si="233"/>
        <v/>
      </c>
      <c r="M3004" t="str">
        <f t="shared" si="234"/>
        <v/>
      </c>
    </row>
    <row r="3005" spans="1:13" x14ac:dyDescent="0.3">
      <c r="A3005" t="str">
        <f>Segmenter!A3005</f>
        <v/>
      </c>
      <c r="B3005" t="str">
        <f>Segmenter!B3005</f>
        <v/>
      </c>
      <c r="C3005" t="str">
        <f t="shared" si="230"/>
        <v/>
      </c>
      <c r="D3005" t="str">
        <f t="shared" si="231"/>
        <v/>
      </c>
      <c r="E3005" t="str">
        <f t="shared" si="232"/>
        <v/>
      </c>
      <c r="F3005" t="str">
        <f>IF(D3005="","",INDEX(Knutepunkter!$B:$B,D3005+1))</f>
        <v/>
      </c>
      <c r="G3005" t="str">
        <f>IF(D3005="","",INDEX(Knutepunkter!$C:$C,D3005+1))</f>
        <v/>
      </c>
      <c r="H3005" t="str">
        <f>IF(D3005="","",INDEX(Knutepunkter!$D:$D,D3005+1))</f>
        <v/>
      </c>
      <c r="I3005" t="str">
        <f>IF(E3005="","",INDEX(Knutepunkter!$B:$B,E3005+1))</f>
        <v/>
      </c>
      <c r="J3005" t="str">
        <f>IF(E3005="","",INDEX(Knutepunkter!$C:$C,E3005+1))</f>
        <v/>
      </c>
      <c r="K3005" t="str">
        <f>IF(E3005="","",INDEX(Knutepunkter!$D:$D,E3005+1))</f>
        <v/>
      </c>
      <c r="L3005" t="str">
        <f t="shared" si="233"/>
        <v/>
      </c>
      <c r="M3005" t="str">
        <f t="shared" si="234"/>
        <v/>
      </c>
    </row>
    <row r="3006" spans="1:13" x14ac:dyDescent="0.3">
      <c r="A3006" t="str">
        <f>Segmenter!A3006</f>
        <v/>
      </c>
      <c r="B3006" t="str">
        <f>Segmenter!B3006</f>
        <v/>
      </c>
      <c r="C3006" t="str">
        <f t="shared" si="230"/>
        <v/>
      </c>
      <c r="D3006" t="str">
        <f t="shared" si="231"/>
        <v/>
      </c>
      <c r="E3006" t="str">
        <f t="shared" si="232"/>
        <v/>
      </c>
      <c r="F3006" t="str">
        <f>IF(D3006="","",INDEX(Knutepunkter!$B:$B,D3006+1))</f>
        <v/>
      </c>
      <c r="G3006" t="str">
        <f>IF(D3006="","",INDEX(Knutepunkter!$C:$C,D3006+1))</f>
        <v/>
      </c>
      <c r="H3006" t="str">
        <f>IF(D3006="","",INDEX(Knutepunkter!$D:$D,D3006+1))</f>
        <v/>
      </c>
      <c r="I3006" t="str">
        <f>IF(E3006="","",INDEX(Knutepunkter!$B:$B,E3006+1))</f>
        <v/>
      </c>
      <c r="J3006" t="str">
        <f>IF(E3006="","",INDEX(Knutepunkter!$C:$C,E3006+1))</f>
        <v/>
      </c>
      <c r="K3006" t="str">
        <f>IF(E3006="","",INDEX(Knutepunkter!$D:$D,E3006+1))</f>
        <v/>
      </c>
      <c r="L3006" t="str">
        <f t="shared" si="233"/>
        <v/>
      </c>
      <c r="M3006" t="str">
        <f t="shared" si="234"/>
        <v/>
      </c>
    </row>
    <row r="3007" spans="1:13" x14ac:dyDescent="0.3">
      <c r="A3007" t="str">
        <f>Segmenter!A3007</f>
        <v/>
      </c>
      <c r="B3007" t="str">
        <f>Segmenter!B3007</f>
        <v/>
      </c>
      <c r="C3007" t="str">
        <f t="shared" si="230"/>
        <v/>
      </c>
      <c r="D3007" t="str">
        <f t="shared" si="231"/>
        <v/>
      </c>
      <c r="E3007" t="str">
        <f t="shared" si="232"/>
        <v/>
      </c>
      <c r="F3007" t="str">
        <f>IF(D3007="","",INDEX(Knutepunkter!$B:$B,D3007+1))</f>
        <v/>
      </c>
      <c r="G3007" t="str">
        <f>IF(D3007="","",INDEX(Knutepunkter!$C:$C,D3007+1))</f>
        <v/>
      </c>
      <c r="H3007" t="str">
        <f>IF(D3007="","",INDEX(Knutepunkter!$D:$D,D3007+1))</f>
        <v/>
      </c>
      <c r="I3007" t="str">
        <f>IF(E3007="","",INDEX(Knutepunkter!$B:$B,E3007+1))</f>
        <v/>
      </c>
      <c r="J3007" t="str">
        <f>IF(E3007="","",INDEX(Knutepunkter!$C:$C,E3007+1))</f>
        <v/>
      </c>
      <c r="K3007" t="str">
        <f>IF(E3007="","",INDEX(Knutepunkter!$D:$D,E3007+1))</f>
        <v/>
      </c>
      <c r="L3007" t="str">
        <f t="shared" si="233"/>
        <v/>
      </c>
      <c r="M3007" t="str">
        <f t="shared" si="234"/>
        <v/>
      </c>
    </row>
    <row r="3008" spans="1:13" x14ac:dyDescent="0.3">
      <c r="A3008" t="str">
        <f>Segmenter!A3008</f>
        <v/>
      </c>
      <c r="B3008" t="str">
        <f>Segmenter!B3008</f>
        <v/>
      </c>
      <c r="C3008" t="str">
        <f t="shared" si="230"/>
        <v/>
      </c>
      <c r="D3008" t="str">
        <f t="shared" si="231"/>
        <v/>
      </c>
      <c r="E3008" t="str">
        <f t="shared" si="232"/>
        <v/>
      </c>
      <c r="F3008" t="str">
        <f>IF(D3008="","",INDEX(Knutepunkter!$B:$B,D3008+1))</f>
        <v/>
      </c>
      <c r="G3008" t="str">
        <f>IF(D3008="","",INDEX(Knutepunkter!$C:$C,D3008+1))</f>
        <v/>
      </c>
      <c r="H3008" t="str">
        <f>IF(D3008="","",INDEX(Knutepunkter!$D:$D,D3008+1))</f>
        <v/>
      </c>
      <c r="I3008" t="str">
        <f>IF(E3008="","",INDEX(Knutepunkter!$B:$B,E3008+1))</f>
        <v/>
      </c>
      <c r="J3008" t="str">
        <f>IF(E3008="","",INDEX(Knutepunkter!$C:$C,E3008+1))</f>
        <v/>
      </c>
      <c r="K3008" t="str">
        <f>IF(E3008="","",INDEX(Knutepunkter!$D:$D,E3008+1))</f>
        <v/>
      </c>
      <c r="L3008" t="str">
        <f t="shared" si="233"/>
        <v/>
      </c>
      <c r="M3008" t="str">
        <f t="shared" si="234"/>
        <v/>
      </c>
    </row>
    <row r="3009" spans="1:13" x14ac:dyDescent="0.3">
      <c r="A3009" t="str">
        <f>Segmenter!A3009</f>
        <v/>
      </c>
      <c r="B3009" t="str">
        <f>Segmenter!B3009</f>
        <v/>
      </c>
      <c r="C3009" t="str">
        <f t="shared" si="230"/>
        <v/>
      </c>
      <c r="D3009" t="str">
        <f t="shared" si="231"/>
        <v/>
      </c>
      <c r="E3009" t="str">
        <f t="shared" si="232"/>
        <v/>
      </c>
      <c r="F3009" t="str">
        <f>IF(D3009="","",INDEX(Knutepunkter!$B:$B,D3009+1))</f>
        <v/>
      </c>
      <c r="G3009" t="str">
        <f>IF(D3009="","",INDEX(Knutepunkter!$C:$C,D3009+1))</f>
        <v/>
      </c>
      <c r="H3009" t="str">
        <f>IF(D3009="","",INDEX(Knutepunkter!$D:$D,D3009+1))</f>
        <v/>
      </c>
      <c r="I3009" t="str">
        <f>IF(E3009="","",INDEX(Knutepunkter!$B:$B,E3009+1))</f>
        <v/>
      </c>
      <c r="J3009" t="str">
        <f>IF(E3009="","",INDEX(Knutepunkter!$C:$C,E3009+1))</f>
        <v/>
      </c>
      <c r="K3009" t="str">
        <f>IF(E3009="","",INDEX(Knutepunkter!$D:$D,E3009+1))</f>
        <v/>
      </c>
      <c r="L3009" t="str">
        <f t="shared" si="233"/>
        <v/>
      </c>
      <c r="M3009" t="str">
        <f t="shared" si="234"/>
        <v/>
      </c>
    </row>
    <row r="3010" spans="1:13" x14ac:dyDescent="0.3">
      <c r="A3010" t="str">
        <f>Segmenter!A3010</f>
        <v/>
      </c>
      <c r="B3010" t="str">
        <f>Segmenter!B3010</f>
        <v/>
      </c>
      <c r="C3010" t="str">
        <f t="shared" ref="C3010:C3073" si="235">IF(B3010="","",IF(AND(F3010=I3010,G3010=J3010,H3010&lt;&gt;K3010),"Søyle","Bjelke"))</f>
        <v/>
      </c>
      <c r="D3010" t="str">
        <f t="shared" ref="D3010:D3073" si="236">IF(B3010="","",VALUE(LEFT(B3010,FIND(" -&gt; ",B3010)-1)))</f>
        <v/>
      </c>
      <c r="E3010" t="str">
        <f t="shared" ref="E3010:E3073" si="237">IF(B3010="","",VALUE(MID(B3010,FIND(" -&gt; ",B3010)+4,99)))</f>
        <v/>
      </c>
      <c r="F3010" t="str">
        <f>IF(D3010="","",INDEX(Knutepunkter!$B:$B,D3010+1))</f>
        <v/>
      </c>
      <c r="G3010" t="str">
        <f>IF(D3010="","",INDEX(Knutepunkter!$C:$C,D3010+1))</f>
        <v/>
      </c>
      <c r="H3010" t="str">
        <f>IF(D3010="","",INDEX(Knutepunkter!$D:$D,D3010+1))</f>
        <v/>
      </c>
      <c r="I3010" t="str">
        <f>IF(E3010="","",INDEX(Knutepunkter!$B:$B,E3010+1))</f>
        <v/>
      </c>
      <c r="J3010" t="str">
        <f>IF(E3010="","",INDEX(Knutepunkter!$C:$C,E3010+1))</f>
        <v/>
      </c>
      <c r="K3010" t="str">
        <f>IF(E3010="","",INDEX(Knutepunkter!$D:$D,E3010+1))</f>
        <v/>
      </c>
      <c r="L3010" t="str">
        <f t="shared" ref="L3010:L3073" si="238">IF(B3010="","",SQRT((I3010-F3010)^2+(J3010-G3010)^2+(K3010-H3010)^2))</f>
        <v/>
      </c>
      <c r="M3010" t="str">
        <f t="shared" ref="M3010:M3073" si="239">IF(L3010="","",L3010/1000)</f>
        <v/>
      </c>
    </row>
    <row r="3011" spans="1:13" x14ac:dyDescent="0.3">
      <c r="A3011" t="str">
        <f>Segmenter!A3011</f>
        <v/>
      </c>
      <c r="B3011" t="str">
        <f>Segmenter!B3011</f>
        <v/>
      </c>
      <c r="C3011" t="str">
        <f t="shared" si="235"/>
        <v/>
      </c>
      <c r="D3011" t="str">
        <f t="shared" si="236"/>
        <v/>
      </c>
      <c r="E3011" t="str">
        <f t="shared" si="237"/>
        <v/>
      </c>
      <c r="F3011" t="str">
        <f>IF(D3011="","",INDEX(Knutepunkter!$B:$B,D3011+1))</f>
        <v/>
      </c>
      <c r="G3011" t="str">
        <f>IF(D3011="","",INDEX(Knutepunkter!$C:$C,D3011+1))</f>
        <v/>
      </c>
      <c r="H3011" t="str">
        <f>IF(D3011="","",INDEX(Knutepunkter!$D:$D,D3011+1))</f>
        <v/>
      </c>
      <c r="I3011" t="str">
        <f>IF(E3011="","",INDEX(Knutepunkter!$B:$B,E3011+1))</f>
        <v/>
      </c>
      <c r="J3011" t="str">
        <f>IF(E3011="","",INDEX(Knutepunkter!$C:$C,E3011+1))</f>
        <v/>
      </c>
      <c r="K3011" t="str">
        <f>IF(E3011="","",INDEX(Knutepunkter!$D:$D,E3011+1))</f>
        <v/>
      </c>
      <c r="L3011" t="str">
        <f t="shared" si="238"/>
        <v/>
      </c>
      <c r="M3011" t="str">
        <f t="shared" si="239"/>
        <v/>
      </c>
    </row>
    <row r="3012" spans="1:13" x14ac:dyDescent="0.3">
      <c r="A3012" t="str">
        <f>Segmenter!A3012</f>
        <v/>
      </c>
      <c r="B3012" t="str">
        <f>Segmenter!B3012</f>
        <v/>
      </c>
      <c r="C3012" t="str">
        <f t="shared" si="235"/>
        <v/>
      </c>
      <c r="D3012" t="str">
        <f t="shared" si="236"/>
        <v/>
      </c>
      <c r="E3012" t="str">
        <f t="shared" si="237"/>
        <v/>
      </c>
      <c r="F3012" t="str">
        <f>IF(D3012="","",INDEX(Knutepunkter!$B:$B,D3012+1))</f>
        <v/>
      </c>
      <c r="G3012" t="str">
        <f>IF(D3012="","",INDEX(Knutepunkter!$C:$C,D3012+1))</f>
        <v/>
      </c>
      <c r="H3012" t="str">
        <f>IF(D3012="","",INDEX(Knutepunkter!$D:$D,D3012+1))</f>
        <v/>
      </c>
      <c r="I3012" t="str">
        <f>IF(E3012="","",INDEX(Knutepunkter!$B:$B,E3012+1))</f>
        <v/>
      </c>
      <c r="J3012" t="str">
        <f>IF(E3012="","",INDEX(Knutepunkter!$C:$C,E3012+1))</f>
        <v/>
      </c>
      <c r="K3012" t="str">
        <f>IF(E3012="","",INDEX(Knutepunkter!$D:$D,E3012+1))</f>
        <v/>
      </c>
      <c r="L3012" t="str">
        <f t="shared" si="238"/>
        <v/>
      </c>
      <c r="M3012" t="str">
        <f t="shared" si="239"/>
        <v/>
      </c>
    </row>
    <row r="3013" spans="1:13" x14ac:dyDescent="0.3">
      <c r="A3013" t="str">
        <f>Segmenter!A3013</f>
        <v/>
      </c>
      <c r="B3013" t="str">
        <f>Segmenter!B3013</f>
        <v/>
      </c>
      <c r="C3013" t="str">
        <f t="shared" si="235"/>
        <v/>
      </c>
      <c r="D3013" t="str">
        <f t="shared" si="236"/>
        <v/>
      </c>
      <c r="E3013" t="str">
        <f t="shared" si="237"/>
        <v/>
      </c>
      <c r="F3013" t="str">
        <f>IF(D3013="","",INDEX(Knutepunkter!$B:$B,D3013+1))</f>
        <v/>
      </c>
      <c r="G3013" t="str">
        <f>IF(D3013="","",INDEX(Knutepunkter!$C:$C,D3013+1))</f>
        <v/>
      </c>
      <c r="H3013" t="str">
        <f>IF(D3013="","",INDEX(Knutepunkter!$D:$D,D3013+1))</f>
        <v/>
      </c>
      <c r="I3013" t="str">
        <f>IF(E3013="","",INDEX(Knutepunkter!$B:$B,E3013+1))</f>
        <v/>
      </c>
      <c r="J3013" t="str">
        <f>IF(E3013="","",INDEX(Knutepunkter!$C:$C,E3013+1))</f>
        <v/>
      </c>
      <c r="K3013" t="str">
        <f>IF(E3013="","",INDEX(Knutepunkter!$D:$D,E3013+1))</f>
        <v/>
      </c>
      <c r="L3013" t="str">
        <f t="shared" si="238"/>
        <v/>
      </c>
      <c r="M3013" t="str">
        <f t="shared" si="239"/>
        <v/>
      </c>
    </row>
    <row r="3014" spans="1:13" x14ac:dyDescent="0.3">
      <c r="A3014" t="str">
        <f>Segmenter!A3014</f>
        <v/>
      </c>
      <c r="B3014" t="str">
        <f>Segmenter!B3014</f>
        <v/>
      </c>
      <c r="C3014" t="str">
        <f t="shared" si="235"/>
        <v/>
      </c>
      <c r="D3014" t="str">
        <f t="shared" si="236"/>
        <v/>
      </c>
      <c r="E3014" t="str">
        <f t="shared" si="237"/>
        <v/>
      </c>
      <c r="F3014" t="str">
        <f>IF(D3014="","",INDEX(Knutepunkter!$B:$B,D3014+1))</f>
        <v/>
      </c>
      <c r="G3014" t="str">
        <f>IF(D3014="","",INDEX(Knutepunkter!$C:$C,D3014+1))</f>
        <v/>
      </c>
      <c r="H3014" t="str">
        <f>IF(D3014="","",INDEX(Knutepunkter!$D:$D,D3014+1))</f>
        <v/>
      </c>
      <c r="I3014" t="str">
        <f>IF(E3014="","",INDEX(Knutepunkter!$B:$B,E3014+1))</f>
        <v/>
      </c>
      <c r="J3014" t="str">
        <f>IF(E3014="","",INDEX(Knutepunkter!$C:$C,E3014+1))</f>
        <v/>
      </c>
      <c r="K3014" t="str">
        <f>IF(E3014="","",INDEX(Knutepunkter!$D:$D,E3014+1))</f>
        <v/>
      </c>
      <c r="L3014" t="str">
        <f t="shared" si="238"/>
        <v/>
      </c>
      <c r="M3014" t="str">
        <f t="shared" si="239"/>
        <v/>
      </c>
    </row>
    <row r="3015" spans="1:13" x14ac:dyDescent="0.3">
      <c r="A3015" t="str">
        <f>Segmenter!A3015</f>
        <v/>
      </c>
      <c r="B3015" t="str">
        <f>Segmenter!B3015</f>
        <v/>
      </c>
      <c r="C3015" t="str">
        <f t="shared" si="235"/>
        <v/>
      </c>
      <c r="D3015" t="str">
        <f t="shared" si="236"/>
        <v/>
      </c>
      <c r="E3015" t="str">
        <f t="shared" si="237"/>
        <v/>
      </c>
      <c r="F3015" t="str">
        <f>IF(D3015="","",INDEX(Knutepunkter!$B:$B,D3015+1))</f>
        <v/>
      </c>
      <c r="G3015" t="str">
        <f>IF(D3015="","",INDEX(Knutepunkter!$C:$C,D3015+1))</f>
        <v/>
      </c>
      <c r="H3015" t="str">
        <f>IF(D3015="","",INDEX(Knutepunkter!$D:$D,D3015+1))</f>
        <v/>
      </c>
      <c r="I3015" t="str">
        <f>IF(E3015="","",INDEX(Knutepunkter!$B:$B,E3015+1))</f>
        <v/>
      </c>
      <c r="J3015" t="str">
        <f>IF(E3015="","",INDEX(Knutepunkter!$C:$C,E3015+1))</f>
        <v/>
      </c>
      <c r="K3015" t="str">
        <f>IF(E3015="","",INDEX(Knutepunkter!$D:$D,E3015+1))</f>
        <v/>
      </c>
      <c r="L3015" t="str">
        <f t="shared" si="238"/>
        <v/>
      </c>
      <c r="M3015" t="str">
        <f t="shared" si="239"/>
        <v/>
      </c>
    </row>
    <row r="3016" spans="1:13" x14ac:dyDescent="0.3">
      <c r="A3016" t="str">
        <f>Segmenter!A3016</f>
        <v/>
      </c>
      <c r="B3016" t="str">
        <f>Segmenter!B3016</f>
        <v/>
      </c>
      <c r="C3016" t="str">
        <f t="shared" si="235"/>
        <v/>
      </c>
      <c r="D3016" t="str">
        <f t="shared" si="236"/>
        <v/>
      </c>
      <c r="E3016" t="str">
        <f t="shared" si="237"/>
        <v/>
      </c>
      <c r="F3016" t="str">
        <f>IF(D3016="","",INDEX(Knutepunkter!$B:$B,D3016+1))</f>
        <v/>
      </c>
      <c r="G3016" t="str">
        <f>IF(D3016="","",INDEX(Knutepunkter!$C:$C,D3016+1))</f>
        <v/>
      </c>
      <c r="H3016" t="str">
        <f>IF(D3016="","",INDEX(Knutepunkter!$D:$D,D3016+1))</f>
        <v/>
      </c>
      <c r="I3016" t="str">
        <f>IF(E3016="","",INDEX(Knutepunkter!$B:$B,E3016+1))</f>
        <v/>
      </c>
      <c r="J3016" t="str">
        <f>IF(E3016="","",INDEX(Knutepunkter!$C:$C,E3016+1))</f>
        <v/>
      </c>
      <c r="K3016" t="str">
        <f>IF(E3016="","",INDEX(Knutepunkter!$D:$D,E3016+1))</f>
        <v/>
      </c>
      <c r="L3016" t="str">
        <f t="shared" si="238"/>
        <v/>
      </c>
      <c r="M3016" t="str">
        <f t="shared" si="239"/>
        <v/>
      </c>
    </row>
    <row r="3017" spans="1:13" x14ac:dyDescent="0.3">
      <c r="A3017" t="str">
        <f>Segmenter!A3017</f>
        <v/>
      </c>
      <c r="B3017" t="str">
        <f>Segmenter!B3017</f>
        <v/>
      </c>
      <c r="C3017" t="str">
        <f t="shared" si="235"/>
        <v/>
      </c>
      <c r="D3017" t="str">
        <f t="shared" si="236"/>
        <v/>
      </c>
      <c r="E3017" t="str">
        <f t="shared" si="237"/>
        <v/>
      </c>
      <c r="F3017" t="str">
        <f>IF(D3017="","",INDEX(Knutepunkter!$B:$B,D3017+1))</f>
        <v/>
      </c>
      <c r="G3017" t="str">
        <f>IF(D3017="","",INDEX(Knutepunkter!$C:$C,D3017+1))</f>
        <v/>
      </c>
      <c r="H3017" t="str">
        <f>IF(D3017="","",INDEX(Knutepunkter!$D:$D,D3017+1))</f>
        <v/>
      </c>
      <c r="I3017" t="str">
        <f>IF(E3017="","",INDEX(Knutepunkter!$B:$B,E3017+1))</f>
        <v/>
      </c>
      <c r="J3017" t="str">
        <f>IF(E3017="","",INDEX(Knutepunkter!$C:$C,E3017+1))</f>
        <v/>
      </c>
      <c r="K3017" t="str">
        <f>IF(E3017="","",INDEX(Knutepunkter!$D:$D,E3017+1))</f>
        <v/>
      </c>
      <c r="L3017" t="str">
        <f t="shared" si="238"/>
        <v/>
      </c>
      <c r="M3017" t="str">
        <f t="shared" si="239"/>
        <v/>
      </c>
    </row>
    <row r="3018" spans="1:13" x14ac:dyDescent="0.3">
      <c r="A3018" t="str">
        <f>Segmenter!A3018</f>
        <v/>
      </c>
      <c r="B3018" t="str">
        <f>Segmenter!B3018</f>
        <v/>
      </c>
      <c r="C3018" t="str">
        <f t="shared" si="235"/>
        <v/>
      </c>
      <c r="D3018" t="str">
        <f t="shared" si="236"/>
        <v/>
      </c>
      <c r="E3018" t="str">
        <f t="shared" si="237"/>
        <v/>
      </c>
      <c r="F3018" t="str">
        <f>IF(D3018="","",INDEX(Knutepunkter!$B:$B,D3018+1))</f>
        <v/>
      </c>
      <c r="G3018" t="str">
        <f>IF(D3018="","",INDEX(Knutepunkter!$C:$C,D3018+1))</f>
        <v/>
      </c>
      <c r="H3018" t="str">
        <f>IF(D3018="","",INDEX(Knutepunkter!$D:$D,D3018+1))</f>
        <v/>
      </c>
      <c r="I3018" t="str">
        <f>IF(E3018="","",INDEX(Knutepunkter!$B:$B,E3018+1))</f>
        <v/>
      </c>
      <c r="J3018" t="str">
        <f>IF(E3018="","",INDEX(Knutepunkter!$C:$C,E3018+1))</f>
        <v/>
      </c>
      <c r="K3018" t="str">
        <f>IF(E3018="","",INDEX(Knutepunkter!$D:$D,E3018+1))</f>
        <v/>
      </c>
      <c r="L3018" t="str">
        <f t="shared" si="238"/>
        <v/>
      </c>
      <c r="M3018" t="str">
        <f t="shared" si="239"/>
        <v/>
      </c>
    </row>
    <row r="3019" spans="1:13" x14ac:dyDescent="0.3">
      <c r="A3019" t="str">
        <f>Segmenter!A3019</f>
        <v/>
      </c>
      <c r="B3019" t="str">
        <f>Segmenter!B3019</f>
        <v/>
      </c>
      <c r="C3019" t="str">
        <f t="shared" si="235"/>
        <v/>
      </c>
      <c r="D3019" t="str">
        <f t="shared" si="236"/>
        <v/>
      </c>
      <c r="E3019" t="str">
        <f t="shared" si="237"/>
        <v/>
      </c>
      <c r="F3019" t="str">
        <f>IF(D3019="","",INDEX(Knutepunkter!$B:$B,D3019+1))</f>
        <v/>
      </c>
      <c r="G3019" t="str">
        <f>IF(D3019="","",INDEX(Knutepunkter!$C:$C,D3019+1))</f>
        <v/>
      </c>
      <c r="H3019" t="str">
        <f>IF(D3019="","",INDEX(Knutepunkter!$D:$D,D3019+1))</f>
        <v/>
      </c>
      <c r="I3019" t="str">
        <f>IF(E3019="","",INDEX(Knutepunkter!$B:$B,E3019+1))</f>
        <v/>
      </c>
      <c r="J3019" t="str">
        <f>IF(E3019="","",INDEX(Knutepunkter!$C:$C,E3019+1))</f>
        <v/>
      </c>
      <c r="K3019" t="str">
        <f>IF(E3019="","",INDEX(Knutepunkter!$D:$D,E3019+1))</f>
        <v/>
      </c>
      <c r="L3019" t="str">
        <f t="shared" si="238"/>
        <v/>
      </c>
      <c r="M3019" t="str">
        <f t="shared" si="239"/>
        <v/>
      </c>
    </row>
    <row r="3020" spans="1:13" x14ac:dyDescent="0.3">
      <c r="A3020" t="str">
        <f>Segmenter!A3020</f>
        <v/>
      </c>
      <c r="B3020" t="str">
        <f>Segmenter!B3020</f>
        <v/>
      </c>
      <c r="C3020" t="str">
        <f t="shared" si="235"/>
        <v/>
      </c>
      <c r="D3020" t="str">
        <f t="shared" si="236"/>
        <v/>
      </c>
      <c r="E3020" t="str">
        <f t="shared" si="237"/>
        <v/>
      </c>
      <c r="F3020" t="str">
        <f>IF(D3020="","",INDEX(Knutepunkter!$B:$B,D3020+1))</f>
        <v/>
      </c>
      <c r="G3020" t="str">
        <f>IF(D3020="","",INDEX(Knutepunkter!$C:$C,D3020+1))</f>
        <v/>
      </c>
      <c r="H3020" t="str">
        <f>IF(D3020="","",INDEX(Knutepunkter!$D:$D,D3020+1))</f>
        <v/>
      </c>
      <c r="I3020" t="str">
        <f>IF(E3020="","",INDEX(Knutepunkter!$B:$B,E3020+1))</f>
        <v/>
      </c>
      <c r="J3020" t="str">
        <f>IF(E3020="","",INDEX(Knutepunkter!$C:$C,E3020+1))</f>
        <v/>
      </c>
      <c r="K3020" t="str">
        <f>IF(E3020="","",INDEX(Knutepunkter!$D:$D,E3020+1))</f>
        <v/>
      </c>
      <c r="L3020" t="str">
        <f t="shared" si="238"/>
        <v/>
      </c>
      <c r="M3020" t="str">
        <f t="shared" si="239"/>
        <v/>
      </c>
    </row>
    <row r="3021" spans="1:13" x14ac:dyDescent="0.3">
      <c r="A3021" t="str">
        <f>Segmenter!A3021</f>
        <v/>
      </c>
      <c r="B3021" t="str">
        <f>Segmenter!B3021</f>
        <v/>
      </c>
      <c r="C3021" t="str">
        <f t="shared" si="235"/>
        <v/>
      </c>
      <c r="D3021" t="str">
        <f t="shared" si="236"/>
        <v/>
      </c>
      <c r="E3021" t="str">
        <f t="shared" si="237"/>
        <v/>
      </c>
      <c r="F3021" t="str">
        <f>IF(D3021="","",INDEX(Knutepunkter!$B:$B,D3021+1))</f>
        <v/>
      </c>
      <c r="G3021" t="str">
        <f>IF(D3021="","",INDEX(Knutepunkter!$C:$C,D3021+1))</f>
        <v/>
      </c>
      <c r="H3021" t="str">
        <f>IF(D3021="","",INDEX(Knutepunkter!$D:$D,D3021+1))</f>
        <v/>
      </c>
      <c r="I3021" t="str">
        <f>IF(E3021="","",INDEX(Knutepunkter!$B:$B,E3021+1))</f>
        <v/>
      </c>
      <c r="J3021" t="str">
        <f>IF(E3021="","",INDEX(Knutepunkter!$C:$C,E3021+1))</f>
        <v/>
      </c>
      <c r="K3021" t="str">
        <f>IF(E3021="","",INDEX(Knutepunkter!$D:$D,E3021+1))</f>
        <v/>
      </c>
      <c r="L3021" t="str">
        <f t="shared" si="238"/>
        <v/>
      </c>
      <c r="M3021" t="str">
        <f t="shared" si="239"/>
        <v/>
      </c>
    </row>
    <row r="3022" spans="1:13" x14ac:dyDescent="0.3">
      <c r="A3022" t="str">
        <f>Segmenter!A3022</f>
        <v/>
      </c>
      <c r="B3022" t="str">
        <f>Segmenter!B3022</f>
        <v/>
      </c>
      <c r="C3022" t="str">
        <f t="shared" si="235"/>
        <v/>
      </c>
      <c r="D3022" t="str">
        <f t="shared" si="236"/>
        <v/>
      </c>
      <c r="E3022" t="str">
        <f t="shared" si="237"/>
        <v/>
      </c>
      <c r="F3022" t="str">
        <f>IF(D3022="","",INDEX(Knutepunkter!$B:$B,D3022+1))</f>
        <v/>
      </c>
      <c r="G3022" t="str">
        <f>IF(D3022="","",INDEX(Knutepunkter!$C:$C,D3022+1))</f>
        <v/>
      </c>
      <c r="H3022" t="str">
        <f>IF(D3022="","",INDEX(Knutepunkter!$D:$D,D3022+1))</f>
        <v/>
      </c>
      <c r="I3022" t="str">
        <f>IF(E3022="","",INDEX(Knutepunkter!$B:$B,E3022+1))</f>
        <v/>
      </c>
      <c r="J3022" t="str">
        <f>IF(E3022="","",INDEX(Knutepunkter!$C:$C,E3022+1))</f>
        <v/>
      </c>
      <c r="K3022" t="str">
        <f>IF(E3022="","",INDEX(Knutepunkter!$D:$D,E3022+1))</f>
        <v/>
      </c>
      <c r="L3022" t="str">
        <f t="shared" si="238"/>
        <v/>
      </c>
      <c r="M3022" t="str">
        <f t="shared" si="239"/>
        <v/>
      </c>
    </row>
    <row r="3023" spans="1:13" x14ac:dyDescent="0.3">
      <c r="A3023" t="str">
        <f>Segmenter!A3023</f>
        <v/>
      </c>
      <c r="B3023" t="str">
        <f>Segmenter!B3023</f>
        <v/>
      </c>
      <c r="C3023" t="str">
        <f t="shared" si="235"/>
        <v/>
      </c>
      <c r="D3023" t="str">
        <f t="shared" si="236"/>
        <v/>
      </c>
      <c r="E3023" t="str">
        <f t="shared" si="237"/>
        <v/>
      </c>
      <c r="F3023" t="str">
        <f>IF(D3023="","",INDEX(Knutepunkter!$B:$B,D3023+1))</f>
        <v/>
      </c>
      <c r="G3023" t="str">
        <f>IF(D3023="","",INDEX(Knutepunkter!$C:$C,D3023+1))</f>
        <v/>
      </c>
      <c r="H3023" t="str">
        <f>IF(D3023="","",INDEX(Knutepunkter!$D:$D,D3023+1))</f>
        <v/>
      </c>
      <c r="I3023" t="str">
        <f>IF(E3023="","",INDEX(Knutepunkter!$B:$B,E3023+1))</f>
        <v/>
      </c>
      <c r="J3023" t="str">
        <f>IF(E3023="","",INDEX(Knutepunkter!$C:$C,E3023+1))</f>
        <v/>
      </c>
      <c r="K3023" t="str">
        <f>IF(E3023="","",INDEX(Knutepunkter!$D:$D,E3023+1))</f>
        <v/>
      </c>
      <c r="L3023" t="str">
        <f t="shared" si="238"/>
        <v/>
      </c>
      <c r="M3023" t="str">
        <f t="shared" si="239"/>
        <v/>
      </c>
    </row>
    <row r="3024" spans="1:13" x14ac:dyDescent="0.3">
      <c r="A3024" t="str">
        <f>Segmenter!A3024</f>
        <v/>
      </c>
      <c r="B3024" t="str">
        <f>Segmenter!B3024</f>
        <v/>
      </c>
      <c r="C3024" t="str">
        <f t="shared" si="235"/>
        <v/>
      </c>
      <c r="D3024" t="str">
        <f t="shared" si="236"/>
        <v/>
      </c>
      <c r="E3024" t="str">
        <f t="shared" si="237"/>
        <v/>
      </c>
      <c r="F3024" t="str">
        <f>IF(D3024="","",INDEX(Knutepunkter!$B:$B,D3024+1))</f>
        <v/>
      </c>
      <c r="G3024" t="str">
        <f>IF(D3024="","",INDEX(Knutepunkter!$C:$C,D3024+1))</f>
        <v/>
      </c>
      <c r="H3024" t="str">
        <f>IF(D3024="","",INDEX(Knutepunkter!$D:$D,D3024+1))</f>
        <v/>
      </c>
      <c r="I3024" t="str">
        <f>IF(E3024="","",INDEX(Knutepunkter!$B:$B,E3024+1))</f>
        <v/>
      </c>
      <c r="J3024" t="str">
        <f>IF(E3024="","",INDEX(Knutepunkter!$C:$C,E3024+1))</f>
        <v/>
      </c>
      <c r="K3024" t="str">
        <f>IF(E3024="","",INDEX(Knutepunkter!$D:$D,E3024+1))</f>
        <v/>
      </c>
      <c r="L3024" t="str">
        <f t="shared" si="238"/>
        <v/>
      </c>
      <c r="M3024" t="str">
        <f t="shared" si="239"/>
        <v/>
      </c>
    </row>
    <row r="3025" spans="1:13" x14ac:dyDescent="0.3">
      <c r="A3025" t="str">
        <f>Segmenter!A3025</f>
        <v/>
      </c>
      <c r="B3025" t="str">
        <f>Segmenter!B3025</f>
        <v/>
      </c>
      <c r="C3025" t="str">
        <f t="shared" si="235"/>
        <v/>
      </c>
      <c r="D3025" t="str">
        <f t="shared" si="236"/>
        <v/>
      </c>
      <c r="E3025" t="str">
        <f t="shared" si="237"/>
        <v/>
      </c>
      <c r="F3025" t="str">
        <f>IF(D3025="","",INDEX(Knutepunkter!$B:$B,D3025+1))</f>
        <v/>
      </c>
      <c r="G3025" t="str">
        <f>IF(D3025="","",INDEX(Knutepunkter!$C:$C,D3025+1))</f>
        <v/>
      </c>
      <c r="H3025" t="str">
        <f>IF(D3025="","",INDEX(Knutepunkter!$D:$D,D3025+1))</f>
        <v/>
      </c>
      <c r="I3025" t="str">
        <f>IF(E3025="","",INDEX(Knutepunkter!$B:$B,E3025+1))</f>
        <v/>
      </c>
      <c r="J3025" t="str">
        <f>IF(E3025="","",INDEX(Knutepunkter!$C:$C,E3025+1))</f>
        <v/>
      </c>
      <c r="K3025" t="str">
        <f>IF(E3025="","",INDEX(Knutepunkter!$D:$D,E3025+1))</f>
        <v/>
      </c>
      <c r="L3025" t="str">
        <f t="shared" si="238"/>
        <v/>
      </c>
      <c r="M3025" t="str">
        <f t="shared" si="239"/>
        <v/>
      </c>
    </row>
    <row r="3026" spans="1:13" x14ac:dyDescent="0.3">
      <c r="A3026" t="str">
        <f>Segmenter!A3026</f>
        <v/>
      </c>
      <c r="B3026" t="str">
        <f>Segmenter!B3026</f>
        <v/>
      </c>
      <c r="C3026" t="str">
        <f t="shared" si="235"/>
        <v/>
      </c>
      <c r="D3026" t="str">
        <f t="shared" si="236"/>
        <v/>
      </c>
      <c r="E3026" t="str">
        <f t="shared" si="237"/>
        <v/>
      </c>
      <c r="F3026" t="str">
        <f>IF(D3026="","",INDEX(Knutepunkter!$B:$B,D3026+1))</f>
        <v/>
      </c>
      <c r="G3026" t="str">
        <f>IF(D3026="","",INDEX(Knutepunkter!$C:$C,D3026+1))</f>
        <v/>
      </c>
      <c r="H3026" t="str">
        <f>IF(D3026="","",INDEX(Knutepunkter!$D:$D,D3026+1))</f>
        <v/>
      </c>
      <c r="I3026" t="str">
        <f>IF(E3026="","",INDEX(Knutepunkter!$B:$B,E3026+1))</f>
        <v/>
      </c>
      <c r="J3026" t="str">
        <f>IF(E3026="","",INDEX(Knutepunkter!$C:$C,E3026+1))</f>
        <v/>
      </c>
      <c r="K3026" t="str">
        <f>IF(E3026="","",INDEX(Knutepunkter!$D:$D,E3026+1))</f>
        <v/>
      </c>
      <c r="L3026" t="str">
        <f t="shared" si="238"/>
        <v/>
      </c>
      <c r="M3026" t="str">
        <f t="shared" si="239"/>
        <v/>
      </c>
    </row>
    <row r="3027" spans="1:13" x14ac:dyDescent="0.3">
      <c r="A3027" t="str">
        <f>Segmenter!A3027</f>
        <v/>
      </c>
      <c r="B3027" t="str">
        <f>Segmenter!B3027</f>
        <v/>
      </c>
      <c r="C3027" t="str">
        <f t="shared" si="235"/>
        <v/>
      </c>
      <c r="D3027" t="str">
        <f t="shared" si="236"/>
        <v/>
      </c>
      <c r="E3027" t="str">
        <f t="shared" si="237"/>
        <v/>
      </c>
      <c r="F3027" t="str">
        <f>IF(D3027="","",INDEX(Knutepunkter!$B:$B,D3027+1))</f>
        <v/>
      </c>
      <c r="G3027" t="str">
        <f>IF(D3027="","",INDEX(Knutepunkter!$C:$C,D3027+1))</f>
        <v/>
      </c>
      <c r="H3027" t="str">
        <f>IF(D3027="","",INDEX(Knutepunkter!$D:$D,D3027+1))</f>
        <v/>
      </c>
      <c r="I3027" t="str">
        <f>IF(E3027="","",INDEX(Knutepunkter!$B:$B,E3027+1))</f>
        <v/>
      </c>
      <c r="J3027" t="str">
        <f>IF(E3027="","",INDEX(Knutepunkter!$C:$C,E3027+1))</f>
        <v/>
      </c>
      <c r="K3027" t="str">
        <f>IF(E3027="","",INDEX(Knutepunkter!$D:$D,E3027+1))</f>
        <v/>
      </c>
      <c r="L3027" t="str">
        <f t="shared" si="238"/>
        <v/>
      </c>
      <c r="M3027" t="str">
        <f t="shared" si="239"/>
        <v/>
      </c>
    </row>
    <row r="3028" spans="1:13" x14ac:dyDescent="0.3">
      <c r="A3028" t="str">
        <f>Segmenter!A3028</f>
        <v/>
      </c>
      <c r="B3028" t="str">
        <f>Segmenter!B3028</f>
        <v/>
      </c>
      <c r="C3028" t="str">
        <f t="shared" si="235"/>
        <v/>
      </c>
      <c r="D3028" t="str">
        <f t="shared" si="236"/>
        <v/>
      </c>
      <c r="E3028" t="str">
        <f t="shared" si="237"/>
        <v/>
      </c>
      <c r="F3028" t="str">
        <f>IF(D3028="","",INDEX(Knutepunkter!$B:$B,D3028+1))</f>
        <v/>
      </c>
      <c r="G3028" t="str">
        <f>IF(D3028="","",INDEX(Knutepunkter!$C:$C,D3028+1))</f>
        <v/>
      </c>
      <c r="H3028" t="str">
        <f>IF(D3028="","",INDEX(Knutepunkter!$D:$D,D3028+1))</f>
        <v/>
      </c>
      <c r="I3028" t="str">
        <f>IF(E3028="","",INDEX(Knutepunkter!$B:$B,E3028+1))</f>
        <v/>
      </c>
      <c r="J3028" t="str">
        <f>IF(E3028="","",INDEX(Knutepunkter!$C:$C,E3028+1))</f>
        <v/>
      </c>
      <c r="K3028" t="str">
        <f>IF(E3028="","",INDEX(Knutepunkter!$D:$D,E3028+1))</f>
        <v/>
      </c>
      <c r="L3028" t="str">
        <f t="shared" si="238"/>
        <v/>
      </c>
      <c r="M3028" t="str">
        <f t="shared" si="239"/>
        <v/>
      </c>
    </row>
    <row r="3029" spans="1:13" x14ac:dyDescent="0.3">
      <c r="A3029" t="str">
        <f>Segmenter!A3029</f>
        <v/>
      </c>
      <c r="B3029" t="str">
        <f>Segmenter!B3029</f>
        <v/>
      </c>
      <c r="C3029" t="str">
        <f t="shared" si="235"/>
        <v/>
      </c>
      <c r="D3029" t="str">
        <f t="shared" si="236"/>
        <v/>
      </c>
      <c r="E3029" t="str">
        <f t="shared" si="237"/>
        <v/>
      </c>
      <c r="F3029" t="str">
        <f>IF(D3029="","",INDEX(Knutepunkter!$B:$B,D3029+1))</f>
        <v/>
      </c>
      <c r="G3029" t="str">
        <f>IF(D3029="","",INDEX(Knutepunkter!$C:$C,D3029+1))</f>
        <v/>
      </c>
      <c r="H3029" t="str">
        <f>IF(D3029="","",INDEX(Knutepunkter!$D:$D,D3029+1))</f>
        <v/>
      </c>
      <c r="I3029" t="str">
        <f>IF(E3029="","",INDEX(Knutepunkter!$B:$B,E3029+1))</f>
        <v/>
      </c>
      <c r="J3029" t="str">
        <f>IF(E3029="","",INDEX(Knutepunkter!$C:$C,E3029+1))</f>
        <v/>
      </c>
      <c r="K3029" t="str">
        <f>IF(E3029="","",INDEX(Knutepunkter!$D:$D,E3029+1))</f>
        <v/>
      </c>
      <c r="L3029" t="str">
        <f t="shared" si="238"/>
        <v/>
      </c>
      <c r="M3029" t="str">
        <f t="shared" si="239"/>
        <v/>
      </c>
    </row>
    <row r="3030" spans="1:13" x14ac:dyDescent="0.3">
      <c r="A3030" t="str">
        <f>Segmenter!A3030</f>
        <v/>
      </c>
      <c r="B3030" t="str">
        <f>Segmenter!B3030</f>
        <v/>
      </c>
      <c r="C3030" t="str">
        <f t="shared" si="235"/>
        <v/>
      </c>
      <c r="D3030" t="str">
        <f t="shared" si="236"/>
        <v/>
      </c>
      <c r="E3030" t="str">
        <f t="shared" si="237"/>
        <v/>
      </c>
      <c r="F3030" t="str">
        <f>IF(D3030="","",INDEX(Knutepunkter!$B:$B,D3030+1))</f>
        <v/>
      </c>
      <c r="G3030" t="str">
        <f>IF(D3030="","",INDEX(Knutepunkter!$C:$C,D3030+1))</f>
        <v/>
      </c>
      <c r="H3030" t="str">
        <f>IF(D3030="","",INDEX(Knutepunkter!$D:$D,D3030+1))</f>
        <v/>
      </c>
      <c r="I3030" t="str">
        <f>IF(E3030="","",INDEX(Knutepunkter!$B:$B,E3030+1))</f>
        <v/>
      </c>
      <c r="J3030" t="str">
        <f>IF(E3030="","",INDEX(Knutepunkter!$C:$C,E3030+1))</f>
        <v/>
      </c>
      <c r="K3030" t="str">
        <f>IF(E3030="","",INDEX(Knutepunkter!$D:$D,E3030+1))</f>
        <v/>
      </c>
      <c r="L3030" t="str">
        <f t="shared" si="238"/>
        <v/>
      </c>
      <c r="M3030" t="str">
        <f t="shared" si="239"/>
        <v/>
      </c>
    </row>
    <row r="3031" spans="1:13" x14ac:dyDescent="0.3">
      <c r="A3031" t="str">
        <f>Segmenter!A3031</f>
        <v/>
      </c>
      <c r="B3031" t="str">
        <f>Segmenter!B3031</f>
        <v/>
      </c>
      <c r="C3031" t="str">
        <f t="shared" si="235"/>
        <v/>
      </c>
      <c r="D3031" t="str">
        <f t="shared" si="236"/>
        <v/>
      </c>
      <c r="E3031" t="str">
        <f t="shared" si="237"/>
        <v/>
      </c>
      <c r="F3031" t="str">
        <f>IF(D3031="","",INDEX(Knutepunkter!$B:$B,D3031+1))</f>
        <v/>
      </c>
      <c r="G3031" t="str">
        <f>IF(D3031="","",INDEX(Knutepunkter!$C:$C,D3031+1))</f>
        <v/>
      </c>
      <c r="H3031" t="str">
        <f>IF(D3031="","",INDEX(Knutepunkter!$D:$D,D3031+1))</f>
        <v/>
      </c>
      <c r="I3031" t="str">
        <f>IF(E3031="","",INDEX(Knutepunkter!$B:$B,E3031+1))</f>
        <v/>
      </c>
      <c r="J3031" t="str">
        <f>IF(E3031="","",INDEX(Knutepunkter!$C:$C,E3031+1))</f>
        <v/>
      </c>
      <c r="K3031" t="str">
        <f>IF(E3031="","",INDEX(Knutepunkter!$D:$D,E3031+1))</f>
        <v/>
      </c>
      <c r="L3031" t="str">
        <f t="shared" si="238"/>
        <v/>
      </c>
      <c r="M3031" t="str">
        <f t="shared" si="239"/>
        <v/>
      </c>
    </row>
    <row r="3032" spans="1:13" x14ac:dyDescent="0.3">
      <c r="A3032" t="str">
        <f>Segmenter!A3032</f>
        <v/>
      </c>
      <c r="B3032" t="str">
        <f>Segmenter!B3032</f>
        <v/>
      </c>
      <c r="C3032" t="str">
        <f t="shared" si="235"/>
        <v/>
      </c>
      <c r="D3032" t="str">
        <f t="shared" si="236"/>
        <v/>
      </c>
      <c r="E3032" t="str">
        <f t="shared" si="237"/>
        <v/>
      </c>
      <c r="F3032" t="str">
        <f>IF(D3032="","",INDEX(Knutepunkter!$B:$B,D3032+1))</f>
        <v/>
      </c>
      <c r="G3032" t="str">
        <f>IF(D3032="","",INDEX(Knutepunkter!$C:$C,D3032+1))</f>
        <v/>
      </c>
      <c r="H3032" t="str">
        <f>IF(D3032="","",INDEX(Knutepunkter!$D:$D,D3032+1))</f>
        <v/>
      </c>
      <c r="I3032" t="str">
        <f>IF(E3032="","",INDEX(Knutepunkter!$B:$B,E3032+1))</f>
        <v/>
      </c>
      <c r="J3032" t="str">
        <f>IF(E3032="","",INDEX(Knutepunkter!$C:$C,E3032+1))</f>
        <v/>
      </c>
      <c r="K3032" t="str">
        <f>IF(E3032="","",INDEX(Knutepunkter!$D:$D,E3032+1))</f>
        <v/>
      </c>
      <c r="L3032" t="str">
        <f t="shared" si="238"/>
        <v/>
      </c>
      <c r="M3032" t="str">
        <f t="shared" si="239"/>
        <v/>
      </c>
    </row>
    <row r="3033" spans="1:13" x14ac:dyDescent="0.3">
      <c r="A3033" t="str">
        <f>Segmenter!A3033</f>
        <v/>
      </c>
      <c r="B3033" t="str">
        <f>Segmenter!B3033</f>
        <v/>
      </c>
      <c r="C3033" t="str">
        <f t="shared" si="235"/>
        <v/>
      </c>
      <c r="D3033" t="str">
        <f t="shared" si="236"/>
        <v/>
      </c>
      <c r="E3033" t="str">
        <f t="shared" si="237"/>
        <v/>
      </c>
      <c r="F3033" t="str">
        <f>IF(D3033="","",INDEX(Knutepunkter!$B:$B,D3033+1))</f>
        <v/>
      </c>
      <c r="G3033" t="str">
        <f>IF(D3033="","",INDEX(Knutepunkter!$C:$C,D3033+1))</f>
        <v/>
      </c>
      <c r="H3033" t="str">
        <f>IF(D3033="","",INDEX(Knutepunkter!$D:$D,D3033+1))</f>
        <v/>
      </c>
      <c r="I3033" t="str">
        <f>IF(E3033="","",INDEX(Knutepunkter!$B:$B,E3033+1))</f>
        <v/>
      </c>
      <c r="J3033" t="str">
        <f>IF(E3033="","",INDEX(Knutepunkter!$C:$C,E3033+1))</f>
        <v/>
      </c>
      <c r="K3033" t="str">
        <f>IF(E3033="","",INDEX(Knutepunkter!$D:$D,E3033+1))</f>
        <v/>
      </c>
      <c r="L3033" t="str">
        <f t="shared" si="238"/>
        <v/>
      </c>
      <c r="M3033" t="str">
        <f t="shared" si="239"/>
        <v/>
      </c>
    </row>
    <row r="3034" spans="1:13" x14ac:dyDescent="0.3">
      <c r="A3034" t="str">
        <f>Segmenter!A3034</f>
        <v/>
      </c>
      <c r="B3034" t="str">
        <f>Segmenter!B3034</f>
        <v/>
      </c>
      <c r="C3034" t="str">
        <f t="shared" si="235"/>
        <v/>
      </c>
      <c r="D3034" t="str">
        <f t="shared" si="236"/>
        <v/>
      </c>
      <c r="E3034" t="str">
        <f t="shared" si="237"/>
        <v/>
      </c>
      <c r="F3034" t="str">
        <f>IF(D3034="","",INDEX(Knutepunkter!$B:$B,D3034+1))</f>
        <v/>
      </c>
      <c r="G3034" t="str">
        <f>IF(D3034="","",INDEX(Knutepunkter!$C:$C,D3034+1))</f>
        <v/>
      </c>
      <c r="H3034" t="str">
        <f>IF(D3034="","",INDEX(Knutepunkter!$D:$D,D3034+1))</f>
        <v/>
      </c>
      <c r="I3034" t="str">
        <f>IF(E3034="","",INDEX(Knutepunkter!$B:$B,E3034+1))</f>
        <v/>
      </c>
      <c r="J3034" t="str">
        <f>IF(E3034="","",INDEX(Knutepunkter!$C:$C,E3034+1))</f>
        <v/>
      </c>
      <c r="K3034" t="str">
        <f>IF(E3034="","",INDEX(Knutepunkter!$D:$D,E3034+1))</f>
        <v/>
      </c>
      <c r="L3034" t="str">
        <f t="shared" si="238"/>
        <v/>
      </c>
      <c r="M3034" t="str">
        <f t="shared" si="239"/>
        <v/>
      </c>
    </row>
    <row r="3035" spans="1:13" x14ac:dyDescent="0.3">
      <c r="A3035" t="str">
        <f>Segmenter!A3035</f>
        <v/>
      </c>
      <c r="B3035" t="str">
        <f>Segmenter!B3035</f>
        <v/>
      </c>
      <c r="C3035" t="str">
        <f t="shared" si="235"/>
        <v/>
      </c>
      <c r="D3035" t="str">
        <f t="shared" si="236"/>
        <v/>
      </c>
      <c r="E3035" t="str">
        <f t="shared" si="237"/>
        <v/>
      </c>
      <c r="F3035" t="str">
        <f>IF(D3035="","",INDEX(Knutepunkter!$B:$B,D3035+1))</f>
        <v/>
      </c>
      <c r="G3035" t="str">
        <f>IF(D3035="","",INDEX(Knutepunkter!$C:$C,D3035+1))</f>
        <v/>
      </c>
      <c r="H3035" t="str">
        <f>IF(D3035="","",INDEX(Knutepunkter!$D:$D,D3035+1))</f>
        <v/>
      </c>
      <c r="I3035" t="str">
        <f>IF(E3035="","",INDEX(Knutepunkter!$B:$B,E3035+1))</f>
        <v/>
      </c>
      <c r="J3035" t="str">
        <f>IF(E3035="","",INDEX(Knutepunkter!$C:$C,E3035+1))</f>
        <v/>
      </c>
      <c r="K3035" t="str">
        <f>IF(E3035="","",INDEX(Knutepunkter!$D:$D,E3035+1))</f>
        <v/>
      </c>
      <c r="L3035" t="str">
        <f t="shared" si="238"/>
        <v/>
      </c>
      <c r="M3035" t="str">
        <f t="shared" si="239"/>
        <v/>
      </c>
    </row>
    <row r="3036" spans="1:13" x14ac:dyDescent="0.3">
      <c r="A3036" t="str">
        <f>Segmenter!A3036</f>
        <v/>
      </c>
      <c r="B3036" t="str">
        <f>Segmenter!B3036</f>
        <v/>
      </c>
      <c r="C3036" t="str">
        <f t="shared" si="235"/>
        <v/>
      </c>
      <c r="D3036" t="str">
        <f t="shared" si="236"/>
        <v/>
      </c>
      <c r="E3036" t="str">
        <f t="shared" si="237"/>
        <v/>
      </c>
      <c r="F3036" t="str">
        <f>IF(D3036="","",INDEX(Knutepunkter!$B:$B,D3036+1))</f>
        <v/>
      </c>
      <c r="G3036" t="str">
        <f>IF(D3036="","",INDEX(Knutepunkter!$C:$C,D3036+1))</f>
        <v/>
      </c>
      <c r="H3036" t="str">
        <f>IF(D3036="","",INDEX(Knutepunkter!$D:$D,D3036+1))</f>
        <v/>
      </c>
      <c r="I3036" t="str">
        <f>IF(E3036="","",INDEX(Knutepunkter!$B:$B,E3036+1))</f>
        <v/>
      </c>
      <c r="J3036" t="str">
        <f>IF(E3036="","",INDEX(Knutepunkter!$C:$C,E3036+1))</f>
        <v/>
      </c>
      <c r="K3036" t="str">
        <f>IF(E3036="","",INDEX(Knutepunkter!$D:$D,E3036+1))</f>
        <v/>
      </c>
      <c r="L3036" t="str">
        <f t="shared" si="238"/>
        <v/>
      </c>
      <c r="M3036" t="str">
        <f t="shared" si="239"/>
        <v/>
      </c>
    </row>
    <row r="3037" spans="1:13" x14ac:dyDescent="0.3">
      <c r="A3037" t="str">
        <f>Segmenter!A3037</f>
        <v/>
      </c>
      <c r="B3037" t="str">
        <f>Segmenter!B3037</f>
        <v/>
      </c>
      <c r="C3037" t="str">
        <f t="shared" si="235"/>
        <v/>
      </c>
      <c r="D3037" t="str">
        <f t="shared" si="236"/>
        <v/>
      </c>
      <c r="E3037" t="str">
        <f t="shared" si="237"/>
        <v/>
      </c>
      <c r="F3037" t="str">
        <f>IF(D3037="","",INDEX(Knutepunkter!$B:$B,D3037+1))</f>
        <v/>
      </c>
      <c r="G3037" t="str">
        <f>IF(D3037="","",INDEX(Knutepunkter!$C:$C,D3037+1))</f>
        <v/>
      </c>
      <c r="H3037" t="str">
        <f>IF(D3037="","",INDEX(Knutepunkter!$D:$D,D3037+1))</f>
        <v/>
      </c>
      <c r="I3037" t="str">
        <f>IF(E3037="","",INDEX(Knutepunkter!$B:$B,E3037+1))</f>
        <v/>
      </c>
      <c r="J3037" t="str">
        <f>IF(E3037="","",INDEX(Knutepunkter!$C:$C,E3037+1))</f>
        <v/>
      </c>
      <c r="K3037" t="str">
        <f>IF(E3037="","",INDEX(Knutepunkter!$D:$D,E3037+1))</f>
        <v/>
      </c>
      <c r="L3037" t="str">
        <f t="shared" si="238"/>
        <v/>
      </c>
      <c r="M3037" t="str">
        <f t="shared" si="239"/>
        <v/>
      </c>
    </row>
    <row r="3038" spans="1:13" x14ac:dyDescent="0.3">
      <c r="A3038" t="str">
        <f>Segmenter!A3038</f>
        <v/>
      </c>
      <c r="B3038" t="str">
        <f>Segmenter!B3038</f>
        <v/>
      </c>
      <c r="C3038" t="str">
        <f t="shared" si="235"/>
        <v/>
      </c>
      <c r="D3038" t="str">
        <f t="shared" si="236"/>
        <v/>
      </c>
      <c r="E3038" t="str">
        <f t="shared" si="237"/>
        <v/>
      </c>
      <c r="F3038" t="str">
        <f>IF(D3038="","",INDEX(Knutepunkter!$B:$B,D3038+1))</f>
        <v/>
      </c>
      <c r="G3038" t="str">
        <f>IF(D3038="","",INDEX(Knutepunkter!$C:$C,D3038+1))</f>
        <v/>
      </c>
      <c r="H3038" t="str">
        <f>IF(D3038="","",INDEX(Knutepunkter!$D:$D,D3038+1))</f>
        <v/>
      </c>
      <c r="I3038" t="str">
        <f>IF(E3038="","",INDEX(Knutepunkter!$B:$B,E3038+1))</f>
        <v/>
      </c>
      <c r="J3038" t="str">
        <f>IF(E3038="","",INDEX(Knutepunkter!$C:$C,E3038+1))</f>
        <v/>
      </c>
      <c r="K3038" t="str">
        <f>IF(E3038="","",INDEX(Knutepunkter!$D:$D,E3038+1))</f>
        <v/>
      </c>
      <c r="L3038" t="str">
        <f t="shared" si="238"/>
        <v/>
      </c>
      <c r="M3038" t="str">
        <f t="shared" si="239"/>
        <v/>
      </c>
    </row>
    <row r="3039" spans="1:13" x14ac:dyDescent="0.3">
      <c r="A3039" t="str">
        <f>Segmenter!A3039</f>
        <v/>
      </c>
      <c r="B3039" t="str">
        <f>Segmenter!B3039</f>
        <v/>
      </c>
      <c r="C3039" t="str">
        <f t="shared" si="235"/>
        <v/>
      </c>
      <c r="D3039" t="str">
        <f t="shared" si="236"/>
        <v/>
      </c>
      <c r="E3039" t="str">
        <f t="shared" si="237"/>
        <v/>
      </c>
      <c r="F3039" t="str">
        <f>IF(D3039="","",INDEX(Knutepunkter!$B:$B,D3039+1))</f>
        <v/>
      </c>
      <c r="G3039" t="str">
        <f>IF(D3039="","",INDEX(Knutepunkter!$C:$C,D3039+1))</f>
        <v/>
      </c>
      <c r="H3039" t="str">
        <f>IF(D3039="","",INDEX(Knutepunkter!$D:$D,D3039+1))</f>
        <v/>
      </c>
      <c r="I3039" t="str">
        <f>IF(E3039="","",INDEX(Knutepunkter!$B:$B,E3039+1))</f>
        <v/>
      </c>
      <c r="J3039" t="str">
        <f>IF(E3039="","",INDEX(Knutepunkter!$C:$C,E3039+1))</f>
        <v/>
      </c>
      <c r="K3039" t="str">
        <f>IF(E3039="","",INDEX(Knutepunkter!$D:$D,E3039+1))</f>
        <v/>
      </c>
      <c r="L3039" t="str">
        <f t="shared" si="238"/>
        <v/>
      </c>
      <c r="M3039" t="str">
        <f t="shared" si="239"/>
        <v/>
      </c>
    </row>
    <row r="3040" spans="1:13" x14ac:dyDescent="0.3">
      <c r="A3040" t="str">
        <f>Segmenter!A3040</f>
        <v/>
      </c>
      <c r="B3040" t="str">
        <f>Segmenter!B3040</f>
        <v/>
      </c>
      <c r="C3040" t="str">
        <f t="shared" si="235"/>
        <v/>
      </c>
      <c r="D3040" t="str">
        <f t="shared" si="236"/>
        <v/>
      </c>
      <c r="E3040" t="str">
        <f t="shared" si="237"/>
        <v/>
      </c>
      <c r="F3040" t="str">
        <f>IF(D3040="","",INDEX(Knutepunkter!$B:$B,D3040+1))</f>
        <v/>
      </c>
      <c r="G3040" t="str">
        <f>IF(D3040="","",INDEX(Knutepunkter!$C:$C,D3040+1))</f>
        <v/>
      </c>
      <c r="H3040" t="str">
        <f>IF(D3040="","",INDEX(Knutepunkter!$D:$D,D3040+1))</f>
        <v/>
      </c>
      <c r="I3040" t="str">
        <f>IF(E3040="","",INDEX(Knutepunkter!$B:$B,E3040+1))</f>
        <v/>
      </c>
      <c r="J3040" t="str">
        <f>IF(E3040="","",INDEX(Knutepunkter!$C:$C,E3040+1))</f>
        <v/>
      </c>
      <c r="K3040" t="str">
        <f>IF(E3040="","",INDEX(Knutepunkter!$D:$D,E3040+1))</f>
        <v/>
      </c>
      <c r="L3040" t="str">
        <f t="shared" si="238"/>
        <v/>
      </c>
      <c r="M3040" t="str">
        <f t="shared" si="239"/>
        <v/>
      </c>
    </row>
    <row r="3041" spans="1:13" x14ac:dyDescent="0.3">
      <c r="A3041" t="str">
        <f>Segmenter!A3041</f>
        <v/>
      </c>
      <c r="B3041" t="str">
        <f>Segmenter!B3041</f>
        <v/>
      </c>
      <c r="C3041" t="str">
        <f t="shared" si="235"/>
        <v/>
      </c>
      <c r="D3041" t="str">
        <f t="shared" si="236"/>
        <v/>
      </c>
      <c r="E3041" t="str">
        <f t="shared" si="237"/>
        <v/>
      </c>
      <c r="F3041" t="str">
        <f>IF(D3041="","",INDEX(Knutepunkter!$B:$B,D3041+1))</f>
        <v/>
      </c>
      <c r="G3041" t="str">
        <f>IF(D3041="","",INDEX(Knutepunkter!$C:$C,D3041+1))</f>
        <v/>
      </c>
      <c r="H3041" t="str">
        <f>IF(D3041="","",INDEX(Knutepunkter!$D:$D,D3041+1))</f>
        <v/>
      </c>
      <c r="I3041" t="str">
        <f>IF(E3041="","",INDEX(Knutepunkter!$B:$B,E3041+1))</f>
        <v/>
      </c>
      <c r="J3041" t="str">
        <f>IF(E3041="","",INDEX(Knutepunkter!$C:$C,E3041+1))</f>
        <v/>
      </c>
      <c r="K3041" t="str">
        <f>IF(E3041="","",INDEX(Knutepunkter!$D:$D,E3041+1))</f>
        <v/>
      </c>
      <c r="L3041" t="str">
        <f t="shared" si="238"/>
        <v/>
      </c>
      <c r="M3041" t="str">
        <f t="shared" si="239"/>
        <v/>
      </c>
    </row>
    <row r="3042" spans="1:13" x14ac:dyDescent="0.3">
      <c r="A3042" t="str">
        <f>Segmenter!A3042</f>
        <v/>
      </c>
      <c r="B3042" t="str">
        <f>Segmenter!B3042</f>
        <v/>
      </c>
      <c r="C3042" t="str">
        <f t="shared" si="235"/>
        <v/>
      </c>
      <c r="D3042" t="str">
        <f t="shared" si="236"/>
        <v/>
      </c>
      <c r="E3042" t="str">
        <f t="shared" si="237"/>
        <v/>
      </c>
      <c r="F3042" t="str">
        <f>IF(D3042="","",INDEX(Knutepunkter!$B:$B,D3042+1))</f>
        <v/>
      </c>
      <c r="G3042" t="str">
        <f>IF(D3042="","",INDEX(Knutepunkter!$C:$C,D3042+1))</f>
        <v/>
      </c>
      <c r="H3042" t="str">
        <f>IF(D3042="","",INDEX(Knutepunkter!$D:$D,D3042+1))</f>
        <v/>
      </c>
      <c r="I3042" t="str">
        <f>IF(E3042="","",INDEX(Knutepunkter!$B:$B,E3042+1))</f>
        <v/>
      </c>
      <c r="J3042" t="str">
        <f>IF(E3042="","",INDEX(Knutepunkter!$C:$C,E3042+1))</f>
        <v/>
      </c>
      <c r="K3042" t="str">
        <f>IF(E3042="","",INDEX(Knutepunkter!$D:$D,E3042+1))</f>
        <v/>
      </c>
      <c r="L3042" t="str">
        <f t="shared" si="238"/>
        <v/>
      </c>
      <c r="M3042" t="str">
        <f t="shared" si="239"/>
        <v/>
      </c>
    </row>
    <row r="3043" spans="1:13" x14ac:dyDescent="0.3">
      <c r="A3043" t="str">
        <f>Segmenter!A3043</f>
        <v/>
      </c>
      <c r="B3043" t="str">
        <f>Segmenter!B3043</f>
        <v/>
      </c>
      <c r="C3043" t="str">
        <f t="shared" si="235"/>
        <v/>
      </c>
      <c r="D3043" t="str">
        <f t="shared" si="236"/>
        <v/>
      </c>
      <c r="E3043" t="str">
        <f t="shared" si="237"/>
        <v/>
      </c>
      <c r="F3043" t="str">
        <f>IF(D3043="","",INDEX(Knutepunkter!$B:$B,D3043+1))</f>
        <v/>
      </c>
      <c r="G3043" t="str">
        <f>IF(D3043="","",INDEX(Knutepunkter!$C:$C,D3043+1))</f>
        <v/>
      </c>
      <c r="H3043" t="str">
        <f>IF(D3043="","",INDEX(Knutepunkter!$D:$D,D3043+1))</f>
        <v/>
      </c>
      <c r="I3043" t="str">
        <f>IF(E3043="","",INDEX(Knutepunkter!$B:$B,E3043+1))</f>
        <v/>
      </c>
      <c r="J3043" t="str">
        <f>IF(E3043="","",INDEX(Knutepunkter!$C:$C,E3043+1))</f>
        <v/>
      </c>
      <c r="K3043" t="str">
        <f>IF(E3043="","",INDEX(Knutepunkter!$D:$D,E3043+1))</f>
        <v/>
      </c>
      <c r="L3043" t="str">
        <f t="shared" si="238"/>
        <v/>
      </c>
      <c r="M3043" t="str">
        <f t="shared" si="239"/>
        <v/>
      </c>
    </row>
    <row r="3044" spans="1:13" x14ac:dyDescent="0.3">
      <c r="A3044" t="str">
        <f>Segmenter!A3044</f>
        <v/>
      </c>
      <c r="B3044" t="str">
        <f>Segmenter!B3044</f>
        <v/>
      </c>
      <c r="C3044" t="str">
        <f t="shared" si="235"/>
        <v/>
      </c>
      <c r="D3044" t="str">
        <f t="shared" si="236"/>
        <v/>
      </c>
      <c r="E3044" t="str">
        <f t="shared" si="237"/>
        <v/>
      </c>
      <c r="F3044" t="str">
        <f>IF(D3044="","",INDEX(Knutepunkter!$B:$B,D3044+1))</f>
        <v/>
      </c>
      <c r="G3044" t="str">
        <f>IF(D3044="","",INDEX(Knutepunkter!$C:$C,D3044+1))</f>
        <v/>
      </c>
      <c r="H3044" t="str">
        <f>IF(D3044="","",INDEX(Knutepunkter!$D:$D,D3044+1))</f>
        <v/>
      </c>
      <c r="I3044" t="str">
        <f>IF(E3044="","",INDEX(Knutepunkter!$B:$B,E3044+1))</f>
        <v/>
      </c>
      <c r="J3044" t="str">
        <f>IF(E3044="","",INDEX(Knutepunkter!$C:$C,E3044+1))</f>
        <v/>
      </c>
      <c r="K3044" t="str">
        <f>IF(E3044="","",INDEX(Knutepunkter!$D:$D,E3044+1))</f>
        <v/>
      </c>
      <c r="L3044" t="str">
        <f t="shared" si="238"/>
        <v/>
      </c>
      <c r="M3044" t="str">
        <f t="shared" si="239"/>
        <v/>
      </c>
    </row>
    <row r="3045" spans="1:13" x14ac:dyDescent="0.3">
      <c r="A3045" t="str">
        <f>Segmenter!A3045</f>
        <v/>
      </c>
      <c r="B3045" t="str">
        <f>Segmenter!B3045</f>
        <v/>
      </c>
      <c r="C3045" t="str">
        <f t="shared" si="235"/>
        <v/>
      </c>
      <c r="D3045" t="str">
        <f t="shared" si="236"/>
        <v/>
      </c>
      <c r="E3045" t="str">
        <f t="shared" si="237"/>
        <v/>
      </c>
      <c r="F3045" t="str">
        <f>IF(D3045="","",INDEX(Knutepunkter!$B:$B,D3045+1))</f>
        <v/>
      </c>
      <c r="G3045" t="str">
        <f>IF(D3045="","",INDEX(Knutepunkter!$C:$C,D3045+1))</f>
        <v/>
      </c>
      <c r="H3045" t="str">
        <f>IF(D3045="","",INDEX(Knutepunkter!$D:$D,D3045+1))</f>
        <v/>
      </c>
      <c r="I3045" t="str">
        <f>IF(E3045="","",INDEX(Knutepunkter!$B:$B,E3045+1))</f>
        <v/>
      </c>
      <c r="J3045" t="str">
        <f>IF(E3045="","",INDEX(Knutepunkter!$C:$C,E3045+1))</f>
        <v/>
      </c>
      <c r="K3045" t="str">
        <f>IF(E3045="","",INDEX(Knutepunkter!$D:$D,E3045+1))</f>
        <v/>
      </c>
      <c r="L3045" t="str">
        <f t="shared" si="238"/>
        <v/>
      </c>
      <c r="M3045" t="str">
        <f t="shared" si="239"/>
        <v/>
      </c>
    </row>
    <row r="3046" spans="1:13" x14ac:dyDescent="0.3">
      <c r="A3046" t="str">
        <f>Segmenter!A3046</f>
        <v/>
      </c>
      <c r="B3046" t="str">
        <f>Segmenter!B3046</f>
        <v/>
      </c>
      <c r="C3046" t="str">
        <f t="shared" si="235"/>
        <v/>
      </c>
      <c r="D3046" t="str">
        <f t="shared" si="236"/>
        <v/>
      </c>
      <c r="E3046" t="str">
        <f t="shared" si="237"/>
        <v/>
      </c>
      <c r="F3046" t="str">
        <f>IF(D3046="","",INDEX(Knutepunkter!$B:$B,D3046+1))</f>
        <v/>
      </c>
      <c r="G3046" t="str">
        <f>IF(D3046="","",INDEX(Knutepunkter!$C:$C,D3046+1))</f>
        <v/>
      </c>
      <c r="H3046" t="str">
        <f>IF(D3046="","",INDEX(Knutepunkter!$D:$D,D3046+1))</f>
        <v/>
      </c>
      <c r="I3046" t="str">
        <f>IF(E3046="","",INDEX(Knutepunkter!$B:$B,E3046+1))</f>
        <v/>
      </c>
      <c r="J3046" t="str">
        <f>IF(E3046="","",INDEX(Knutepunkter!$C:$C,E3046+1))</f>
        <v/>
      </c>
      <c r="K3046" t="str">
        <f>IF(E3046="","",INDEX(Knutepunkter!$D:$D,E3046+1))</f>
        <v/>
      </c>
      <c r="L3046" t="str">
        <f t="shared" si="238"/>
        <v/>
      </c>
      <c r="M3046" t="str">
        <f t="shared" si="239"/>
        <v/>
      </c>
    </row>
    <row r="3047" spans="1:13" x14ac:dyDescent="0.3">
      <c r="A3047" t="str">
        <f>Segmenter!A3047</f>
        <v/>
      </c>
      <c r="B3047" t="str">
        <f>Segmenter!B3047</f>
        <v/>
      </c>
      <c r="C3047" t="str">
        <f t="shared" si="235"/>
        <v/>
      </c>
      <c r="D3047" t="str">
        <f t="shared" si="236"/>
        <v/>
      </c>
      <c r="E3047" t="str">
        <f t="shared" si="237"/>
        <v/>
      </c>
      <c r="F3047" t="str">
        <f>IF(D3047="","",INDEX(Knutepunkter!$B:$B,D3047+1))</f>
        <v/>
      </c>
      <c r="G3047" t="str">
        <f>IF(D3047="","",INDEX(Knutepunkter!$C:$C,D3047+1))</f>
        <v/>
      </c>
      <c r="H3047" t="str">
        <f>IF(D3047="","",INDEX(Knutepunkter!$D:$D,D3047+1))</f>
        <v/>
      </c>
      <c r="I3047" t="str">
        <f>IF(E3047="","",INDEX(Knutepunkter!$B:$B,E3047+1))</f>
        <v/>
      </c>
      <c r="J3047" t="str">
        <f>IF(E3047="","",INDEX(Knutepunkter!$C:$C,E3047+1))</f>
        <v/>
      </c>
      <c r="K3047" t="str">
        <f>IF(E3047="","",INDEX(Knutepunkter!$D:$D,E3047+1))</f>
        <v/>
      </c>
      <c r="L3047" t="str">
        <f t="shared" si="238"/>
        <v/>
      </c>
      <c r="M3047" t="str">
        <f t="shared" si="239"/>
        <v/>
      </c>
    </row>
    <row r="3048" spans="1:13" x14ac:dyDescent="0.3">
      <c r="A3048" t="str">
        <f>Segmenter!A3048</f>
        <v/>
      </c>
      <c r="B3048" t="str">
        <f>Segmenter!B3048</f>
        <v/>
      </c>
      <c r="C3048" t="str">
        <f t="shared" si="235"/>
        <v/>
      </c>
      <c r="D3048" t="str">
        <f t="shared" si="236"/>
        <v/>
      </c>
      <c r="E3048" t="str">
        <f t="shared" si="237"/>
        <v/>
      </c>
      <c r="F3048" t="str">
        <f>IF(D3048="","",INDEX(Knutepunkter!$B:$B,D3048+1))</f>
        <v/>
      </c>
      <c r="G3048" t="str">
        <f>IF(D3048="","",INDEX(Knutepunkter!$C:$C,D3048+1))</f>
        <v/>
      </c>
      <c r="H3048" t="str">
        <f>IF(D3048="","",INDEX(Knutepunkter!$D:$D,D3048+1))</f>
        <v/>
      </c>
      <c r="I3048" t="str">
        <f>IF(E3048="","",INDEX(Knutepunkter!$B:$B,E3048+1))</f>
        <v/>
      </c>
      <c r="J3048" t="str">
        <f>IF(E3048="","",INDEX(Knutepunkter!$C:$C,E3048+1))</f>
        <v/>
      </c>
      <c r="K3048" t="str">
        <f>IF(E3048="","",INDEX(Knutepunkter!$D:$D,E3048+1))</f>
        <v/>
      </c>
      <c r="L3048" t="str">
        <f t="shared" si="238"/>
        <v/>
      </c>
      <c r="M3048" t="str">
        <f t="shared" si="239"/>
        <v/>
      </c>
    </row>
    <row r="3049" spans="1:13" x14ac:dyDescent="0.3">
      <c r="A3049" t="str">
        <f>Segmenter!A3049</f>
        <v/>
      </c>
      <c r="B3049" t="str">
        <f>Segmenter!B3049</f>
        <v/>
      </c>
      <c r="C3049" t="str">
        <f t="shared" si="235"/>
        <v/>
      </c>
      <c r="D3049" t="str">
        <f t="shared" si="236"/>
        <v/>
      </c>
      <c r="E3049" t="str">
        <f t="shared" si="237"/>
        <v/>
      </c>
      <c r="F3049" t="str">
        <f>IF(D3049="","",INDEX(Knutepunkter!$B:$B,D3049+1))</f>
        <v/>
      </c>
      <c r="G3049" t="str">
        <f>IF(D3049="","",INDEX(Knutepunkter!$C:$C,D3049+1))</f>
        <v/>
      </c>
      <c r="H3049" t="str">
        <f>IF(D3049="","",INDEX(Knutepunkter!$D:$D,D3049+1))</f>
        <v/>
      </c>
      <c r="I3049" t="str">
        <f>IF(E3049="","",INDEX(Knutepunkter!$B:$B,E3049+1))</f>
        <v/>
      </c>
      <c r="J3049" t="str">
        <f>IF(E3049="","",INDEX(Knutepunkter!$C:$C,E3049+1))</f>
        <v/>
      </c>
      <c r="K3049" t="str">
        <f>IF(E3049="","",INDEX(Knutepunkter!$D:$D,E3049+1))</f>
        <v/>
      </c>
      <c r="L3049" t="str">
        <f t="shared" si="238"/>
        <v/>
      </c>
      <c r="M3049" t="str">
        <f t="shared" si="239"/>
        <v/>
      </c>
    </row>
    <row r="3050" spans="1:13" x14ac:dyDescent="0.3">
      <c r="A3050" t="str">
        <f>Segmenter!A3050</f>
        <v/>
      </c>
      <c r="B3050" t="str">
        <f>Segmenter!B3050</f>
        <v/>
      </c>
      <c r="C3050" t="str">
        <f t="shared" si="235"/>
        <v/>
      </c>
      <c r="D3050" t="str">
        <f t="shared" si="236"/>
        <v/>
      </c>
      <c r="E3050" t="str">
        <f t="shared" si="237"/>
        <v/>
      </c>
      <c r="F3050" t="str">
        <f>IF(D3050="","",INDEX(Knutepunkter!$B:$B,D3050+1))</f>
        <v/>
      </c>
      <c r="G3050" t="str">
        <f>IF(D3050="","",INDEX(Knutepunkter!$C:$C,D3050+1))</f>
        <v/>
      </c>
      <c r="H3050" t="str">
        <f>IF(D3050="","",INDEX(Knutepunkter!$D:$D,D3050+1))</f>
        <v/>
      </c>
      <c r="I3050" t="str">
        <f>IF(E3050="","",INDEX(Knutepunkter!$B:$B,E3050+1))</f>
        <v/>
      </c>
      <c r="J3050" t="str">
        <f>IF(E3050="","",INDEX(Knutepunkter!$C:$C,E3050+1))</f>
        <v/>
      </c>
      <c r="K3050" t="str">
        <f>IF(E3050="","",INDEX(Knutepunkter!$D:$D,E3050+1))</f>
        <v/>
      </c>
      <c r="L3050" t="str">
        <f t="shared" si="238"/>
        <v/>
      </c>
      <c r="M3050" t="str">
        <f t="shared" si="239"/>
        <v/>
      </c>
    </row>
    <row r="3051" spans="1:13" x14ac:dyDescent="0.3">
      <c r="A3051" t="str">
        <f>Segmenter!A3051</f>
        <v/>
      </c>
      <c r="B3051" t="str">
        <f>Segmenter!B3051</f>
        <v/>
      </c>
      <c r="C3051" t="str">
        <f t="shared" si="235"/>
        <v/>
      </c>
      <c r="D3051" t="str">
        <f t="shared" si="236"/>
        <v/>
      </c>
      <c r="E3051" t="str">
        <f t="shared" si="237"/>
        <v/>
      </c>
      <c r="F3051" t="str">
        <f>IF(D3051="","",INDEX(Knutepunkter!$B:$B,D3051+1))</f>
        <v/>
      </c>
      <c r="G3051" t="str">
        <f>IF(D3051="","",INDEX(Knutepunkter!$C:$C,D3051+1))</f>
        <v/>
      </c>
      <c r="H3051" t="str">
        <f>IF(D3051="","",INDEX(Knutepunkter!$D:$D,D3051+1))</f>
        <v/>
      </c>
      <c r="I3051" t="str">
        <f>IF(E3051="","",INDEX(Knutepunkter!$B:$B,E3051+1))</f>
        <v/>
      </c>
      <c r="J3051" t="str">
        <f>IF(E3051="","",INDEX(Knutepunkter!$C:$C,E3051+1))</f>
        <v/>
      </c>
      <c r="K3051" t="str">
        <f>IF(E3051="","",INDEX(Knutepunkter!$D:$D,E3051+1))</f>
        <v/>
      </c>
      <c r="L3051" t="str">
        <f t="shared" si="238"/>
        <v/>
      </c>
      <c r="M3051" t="str">
        <f t="shared" si="239"/>
        <v/>
      </c>
    </row>
    <row r="3052" spans="1:13" x14ac:dyDescent="0.3">
      <c r="A3052" t="str">
        <f>Segmenter!A3052</f>
        <v/>
      </c>
      <c r="B3052" t="str">
        <f>Segmenter!B3052</f>
        <v/>
      </c>
      <c r="C3052" t="str">
        <f t="shared" si="235"/>
        <v/>
      </c>
      <c r="D3052" t="str">
        <f t="shared" si="236"/>
        <v/>
      </c>
      <c r="E3052" t="str">
        <f t="shared" si="237"/>
        <v/>
      </c>
      <c r="F3052" t="str">
        <f>IF(D3052="","",INDEX(Knutepunkter!$B:$B,D3052+1))</f>
        <v/>
      </c>
      <c r="G3052" t="str">
        <f>IF(D3052="","",INDEX(Knutepunkter!$C:$C,D3052+1))</f>
        <v/>
      </c>
      <c r="H3052" t="str">
        <f>IF(D3052="","",INDEX(Knutepunkter!$D:$D,D3052+1))</f>
        <v/>
      </c>
      <c r="I3052" t="str">
        <f>IF(E3052="","",INDEX(Knutepunkter!$B:$B,E3052+1))</f>
        <v/>
      </c>
      <c r="J3052" t="str">
        <f>IF(E3052="","",INDEX(Knutepunkter!$C:$C,E3052+1))</f>
        <v/>
      </c>
      <c r="K3052" t="str">
        <f>IF(E3052="","",INDEX(Knutepunkter!$D:$D,E3052+1))</f>
        <v/>
      </c>
      <c r="L3052" t="str">
        <f t="shared" si="238"/>
        <v/>
      </c>
      <c r="M3052" t="str">
        <f t="shared" si="239"/>
        <v/>
      </c>
    </row>
    <row r="3053" spans="1:13" x14ac:dyDescent="0.3">
      <c r="A3053" t="str">
        <f>Segmenter!A3053</f>
        <v/>
      </c>
      <c r="B3053" t="str">
        <f>Segmenter!B3053</f>
        <v/>
      </c>
      <c r="C3053" t="str">
        <f t="shared" si="235"/>
        <v/>
      </c>
      <c r="D3053" t="str">
        <f t="shared" si="236"/>
        <v/>
      </c>
      <c r="E3053" t="str">
        <f t="shared" si="237"/>
        <v/>
      </c>
      <c r="F3053" t="str">
        <f>IF(D3053="","",INDEX(Knutepunkter!$B:$B,D3053+1))</f>
        <v/>
      </c>
      <c r="G3053" t="str">
        <f>IF(D3053="","",INDEX(Knutepunkter!$C:$C,D3053+1))</f>
        <v/>
      </c>
      <c r="H3053" t="str">
        <f>IF(D3053="","",INDEX(Knutepunkter!$D:$D,D3053+1))</f>
        <v/>
      </c>
      <c r="I3053" t="str">
        <f>IF(E3053="","",INDEX(Knutepunkter!$B:$B,E3053+1))</f>
        <v/>
      </c>
      <c r="J3053" t="str">
        <f>IF(E3053="","",INDEX(Knutepunkter!$C:$C,E3053+1))</f>
        <v/>
      </c>
      <c r="K3053" t="str">
        <f>IF(E3053="","",INDEX(Knutepunkter!$D:$D,E3053+1))</f>
        <v/>
      </c>
      <c r="L3053" t="str">
        <f t="shared" si="238"/>
        <v/>
      </c>
      <c r="M3053" t="str">
        <f t="shared" si="239"/>
        <v/>
      </c>
    </row>
    <row r="3054" spans="1:13" x14ac:dyDescent="0.3">
      <c r="A3054" t="str">
        <f>Segmenter!A3054</f>
        <v/>
      </c>
      <c r="B3054" t="str">
        <f>Segmenter!B3054</f>
        <v/>
      </c>
      <c r="C3054" t="str">
        <f t="shared" si="235"/>
        <v/>
      </c>
      <c r="D3054" t="str">
        <f t="shared" si="236"/>
        <v/>
      </c>
      <c r="E3054" t="str">
        <f t="shared" si="237"/>
        <v/>
      </c>
      <c r="F3054" t="str">
        <f>IF(D3054="","",INDEX(Knutepunkter!$B:$B,D3054+1))</f>
        <v/>
      </c>
      <c r="G3054" t="str">
        <f>IF(D3054="","",INDEX(Knutepunkter!$C:$C,D3054+1))</f>
        <v/>
      </c>
      <c r="H3054" t="str">
        <f>IF(D3054="","",INDEX(Knutepunkter!$D:$D,D3054+1))</f>
        <v/>
      </c>
      <c r="I3054" t="str">
        <f>IF(E3054="","",INDEX(Knutepunkter!$B:$B,E3054+1))</f>
        <v/>
      </c>
      <c r="J3054" t="str">
        <f>IF(E3054="","",INDEX(Knutepunkter!$C:$C,E3054+1))</f>
        <v/>
      </c>
      <c r="K3054" t="str">
        <f>IF(E3054="","",INDEX(Knutepunkter!$D:$D,E3054+1))</f>
        <v/>
      </c>
      <c r="L3054" t="str">
        <f t="shared" si="238"/>
        <v/>
      </c>
      <c r="M3054" t="str">
        <f t="shared" si="239"/>
        <v/>
      </c>
    </row>
    <row r="3055" spans="1:13" x14ac:dyDescent="0.3">
      <c r="A3055" t="str">
        <f>Segmenter!A3055</f>
        <v/>
      </c>
      <c r="B3055" t="str">
        <f>Segmenter!B3055</f>
        <v/>
      </c>
      <c r="C3055" t="str">
        <f t="shared" si="235"/>
        <v/>
      </c>
      <c r="D3055" t="str">
        <f t="shared" si="236"/>
        <v/>
      </c>
      <c r="E3055" t="str">
        <f t="shared" si="237"/>
        <v/>
      </c>
      <c r="F3055" t="str">
        <f>IF(D3055="","",INDEX(Knutepunkter!$B:$B,D3055+1))</f>
        <v/>
      </c>
      <c r="G3055" t="str">
        <f>IF(D3055="","",INDEX(Knutepunkter!$C:$C,D3055+1))</f>
        <v/>
      </c>
      <c r="H3055" t="str">
        <f>IF(D3055="","",INDEX(Knutepunkter!$D:$D,D3055+1))</f>
        <v/>
      </c>
      <c r="I3055" t="str">
        <f>IF(E3055="","",INDEX(Knutepunkter!$B:$B,E3055+1))</f>
        <v/>
      </c>
      <c r="J3055" t="str">
        <f>IF(E3055="","",INDEX(Knutepunkter!$C:$C,E3055+1))</f>
        <v/>
      </c>
      <c r="K3055" t="str">
        <f>IF(E3055="","",INDEX(Knutepunkter!$D:$D,E3055+1))</f>
        <v/>
      </c>
      <c r="L3055" t="str">
        <f t="shared" si="238"/>
        <v/>
      </c>
      <c r="M3055" t="str">
        <f t="shared" si="239"/>
        <v/>
      </c>
    </row>
    <row r="3056" spans="1:13" x14ac:dyDescent="0.3">
      <c r="A3056" t="str">
        <f>Segmenter!A3056</f>
        <v/>
      </c>
      <c r="B3056" t="str">
        <f>Segmenter!B3056</f>
        <v/>
      </c>
      <c r="C3056" t="str">
        <f t="shared" si="235"/>
        <v/>
      </c>
      <c r="D3056" t="str">
        <f t="shared" si="236"/>
        <v/>
      </c>
      <c r="E3056" t="str">
        <f t="shared" si="237"/>
        <v/>
      </c>
      <c r="F3056" t="str">
        <f>IF(D3056="","",INDEX(Knutepunkter!$B:$B,D3056+1))</f>
        <v/>
      </c>
      <c r="G3056" t="str">
        <f>IF(D3056="","",INDEX(Knutepunkter!$C:$C,D3056+1))</f>
        <v/>
      </c>
      <c r="H3056" t="str">
        <f>IF(D3056="","",INDEX(Knutepunkter!$D:$D,D3056+1))</f>
        <v/>
      </c>
      <c r="I3056" t="str">
        <f>IF(E3056="","",INDEX(Knutepunkter!$B:$B,E3056+1))</f>
        <v/>
      </c>
      <c r="J3056" t="str">
        <f>IF(E3056="","",INDEX(Knutepunkter!$C:$C,E3056+1))</f>
        <v/>
      </c>
      <c r="K3056" t="str">
        <f>IF(E3056="","",INDEX(Knutepunkter!$D:$D,E3056+1))</f>
        <v/>
      </c>
      <c r="L3056" t="str">
        <f t="shared" si="238"/>
        <v/>
      </c>
      <c r="M3056" t="str">
        <f t="shared" si="239"/>
        <v/>
      </c>
    </row>
    <row r="3057" spans="1:13" x14ac:dyDescent="0.3">
      <c r="A3057" t="str">
        <f>Segmenter!A3057</f>
        <v/>
      </c>
      <c r="B3057" t="str">
        <f>Segmenter!B3057</f>
        <v/>
      </c>
      <c r="C3057" t="str">
        <f t="shared" si="235"/>
        <v/>
      </c>
      <c r="D3057" t="str">
        <f t="shared" si="236"/>
        <v/>
      </c>
      <c r="E3057" t="str">
        <f t="shared" si="237"/>
        <v/>
      </c>
      <c r="F3057" t="str">
        <f>IF(D3057="","",INDEX(Knutepunkter!$B:$B,D3057+1))</f>
        <v/>
      </c>
      <c r="G3057" t="str">
        <f>IF(D3057="","",INDEX(Knutepunkter!$C:$C,D3057+1))</f>
        <v/>
      </c>
      <c r="H3057" t="str">
        <f>IF(D3057="","",INDEX(Knutepunkter!$D:$D,D3057+1))</f>
        <v/>
      </c>
      <c r="I3057" t="str">
        <f>IF(E3057="","",INDEX(Knutepunkter!$B:$B,E3057+1))</f>
        <v/>
      </c>
      <c r="J3057" t="str">
        <f>IF(E3057="","",INDEX(Knutepunkter!$C:$C,E3057+1))</f>
        <v/>
      </c>
      <c r="K3057" t="str">
        <f>IF(E3057="","",INDEX(Knutepunkter!$D:$D,E3057+1))</f>
        <v/>
      </c>
      <c r="L3057" t="str">
        <f t="shared" si="238"/>
        <v/>
      </c>
      <c r="M3057" t="str">
        <f t="shared" si="239"/>
        <v/>
      </c>
    </row>
    <row r="3058" spans="1:13" x14ac:dyDescent="0.3">
      <c r="A3058" t="str">
        <f>Segmenter!A3058</f>
        <v/>
      </c>
      <c r="B3058" t="str">
        <f>Segmenter!B3058</f>
        <v/>
      </c>
      <c r="C3058" t="str">
        <f t="shared" si="235"/>
        <v/>
      </c>
      <c r="D3058" t="str">
        <f t="shared" si="236"/>
        <v/>
      </c>
      <c r="E3058" t="str">
        <f t="shared" si="237"/>
        <v/>
      </c>
      <c r="F3058" t="str">
        <f>IF(D3058="","",INDEX(Knutepunkter!$B:$B,D3058+1))</f>
        <v/>
      </c>
      <c r="G3058" t="str">
        <f>IF(D3058="","",INDEX(Knutepunkter!$C:$C,D3058+1))</f>
        <v/>
      </c>
      <c r="H3058" t="str">
        <f>IF(D3058="","",INDEX(Knutepunkter!$D:$D,D3058+1))</f>
        <v/>
      </c>
      <c r="I3058" t="str">
        <f>IF(E3058="","",INDEX(Knutepunkter!$B:$B,E3058+1))</f>
        <v/>
      </c>
      <c r="J3058" t="str">
        <f>IF(E3058="","",INDEX(Knutepunkter!$C:$C,E3058+1))</f>
        <v/>
      </c>
      <c r="K3058" t="str">
        <f>IF(E3058="","",INDEX(Knutepunkter!$D:$D,E3058+1))</f>
        <v/>
      </c>
      <c r="L3058" t="str">
        <f t="shared" si="238"/>
        <v/>
      </c>
      <c r="M3058" t="str">
        <f t="shared" si="239"/>
        <v/>
      </c>
    </row>
    <row r="3059" spans="1:13" x14ac:dyDescent="0.3">
      <c r="A3059" t="str">
        <f>Segmenter!A3059</f>
        <v/>
      </c>
      <c r="B3059" t="str">
        <f>Segmenter!B3059</f>
        <v/>
      </c>
      <c r="C3059" t="str">
        <f t="shared" si="235"/>
        <v/>
      </c>
      <c r="D3059" t="str">
        <f t="shared" si="236"/>
        <v/>
      </c>
      <c r="E3059" t="str">
        <f t="shared" si="237"/>
        <v/>
      </c>
      <c r="F3059" t="str">
        <f>IF(D3059="","",INDEX(Knutepunkter!$B:$B,D3059+1))</f>
        <v/>
      </c>
      <c r="G3059" t="str">
        <f>IF(D3059="","",INDEX(Knutepunkter!$C:$C,D3059+1))</f>
        <v/>
      </c>
      <c r="H3059" t="str">
        <f>IF(D3059="","",INDEX(Knutepunkter!$D:$D,D3059+1))</f>
        <v/>
      </c>
      <c r="I3059" t="str">
        <f>IF(E3059="","",INDEX(Knutepunkter!$B:$B,E3059+1))</f>
        <v/>
      </c>
      <c r="J3059" t="str">
        <f>IF(E3059="","",INDEX(Knutepunkter!$C:$C,E3059+1))</f>
        <v/>
      </c>
      <c r="K3059" t="str">
        <f>IF(E3059="","",INDEX(Knutepunkter!$D:$D,E3059+1))</f>
        <v/>
      </c>
      <c r="L3059" t="str">
        <f t="shared" si="238"/>
        <v/>
      </c>
      <c r="M3059" t="str">
        <f t="shared" si="239"/>
        <v/>
      </c>
    </row>
    <row r="3060" spans="1:13" x14ac:dyDescent="0.3">
      <c r="A3060" t="str">
        <f>Segmenter!A3060</f>
        <v/>
      </c>
      <c r="B3060" t="str">
        <f>Segmenter!B3060</f>
        <v/>
      </c>
      <c r="C3060" t="str">
        <f t="shared" si="235"/>
        <v/>
      </c>
      <c r="D3060" t="str">
        <f t="shared" si="236"/>
        <v/>
      </c>
      <c r="E3060" t="str">
        <f t="shared" si="237"/>
        <v/>
      </c>
      <c r="F3060" t="str">
        <f>IF(D3060="","",INDEX(Knutepunkter!$B:$B,D3060+1))</f>
        <v/>
      </c>
      <c r="G3060" t="str">
        <f>IF(D3060="","",INDEX(Knutepunkter!$C:$C,D3060+1))</f>
        <v/>
      </c>
      <c r="H3060" t="str">
        <f>IF(D3060="","",INDEX(Knutepunkter!$D:$D,D3060+1))</f>
        <v/>
      </c>
      <c r="I3060" t="str">
        <f>IF(E3060="","",INDEX(Knutepunkter!$B:$B,E3060+1))</f>
        <v/>
      </c>
      <c r="J3060" t="str">
        <f>IF(E3060="","",INDEX(Knutepunkter!$C:$C,E3060+1))</f>
        <v/>
      </c>
      <c r="K3060" t="str">
        <f>IF(E3060="","",INDEX(Knutepunkter!$D:$D,E3060+1))</f>
        <v/>
      </c>
      <c r="L3060" t="str">
        <f t="shared" si="238"/>
        <v/>
      </c>
      <c r="M3060" t="str">
        <f t="shared" si="239"/>
        <v/>
      </c>
    </row>
    <row r="3061" spans="1:13" x14ac:dyDescent="0.3">
      <c r="A3061" t="str">
        <f>Segmenter!A3061</f>
        <v/>
      </c>
      <c r="B3061" t="str">
        <f>Segmenter!B3061</f>
        <v/>
      </c>
      <c r="C3061" t="str">
        <f t="shared" si="235"/>
        <v/>
      </c>
      <c r="D3061" t="str">
        <f t="shared" si="236"/>
        <v/>
      </c>
      <c r="E3061" t="str">
        <f t="shared" si="237"/>
        <v/>
      </c>
      <c r="F3061" t="str">
        <f>IF(D3061="","",INDEX(Knutepunkter!$B:$B,D3061+1))</f>
        <v/>
      </c>
      <c r="G3061" t="str">
        <f>IF(D3061="","",INDEX(Knutepunkter!$C:$C,D3061+1))</f>
        <v/>
      </c>
      <c r="H3061" t="str">
        <f>IF(D3061="","",INDEX(Knutepunkter!$D:$D,D3061+1))</f>
        <v/>
      </c>
      <c r="I3061" t="str">
        <f>IF(E3061="","",INDEX(Knutepunkter!$B:$B,E3061+1))</f>
        <v/>
      </c>
      <c r="J3061" t="str">
        <f>IF(E3061="","",INDEX(Knutepunkter!$C:$C,E3061+1))</f>
        <v/>
      </c>
      <c r="K3061" t="str">
        <f>IF(E3061="","",INDEX(Knutepunkter!$D:$D,E3061+1))</f>
        <v/>
      </c>
      <c r="L3061" t="str">
        <f t="shared" si="238"/>
        <v/>
      </c>
      <c r="M3061" t="str">
        <f t="shared" si="239"/>
        <v/>
      </c>
    </row>
    <row r="3062" spans="1:13" x14ac:dyDescent="0.3">
      <c r="A3062" t="str">
        <f>Segmenter!A3062</f>
        <v/>
      </c>
      <c r="B3062" t="str">
        <f>Segmenter!B3062</f>
        <v/>
      </c>
      <c r="C3062" t="str">
        <f t="shared" si="235"/>
        <v/>
      </c>
      <c r="D3062" t="str">
        <f t="shared" si="236"/>
        <v/>
      </c>
      <c r="E3062" t="str">
        <f t="shared" si="237"/>
        <v/>
      </c>
      <c r="F3062" t="str">
        <f>IF(D3062="","",INDEX(Knutepunkter!$B:$B,D3062+1))</f>
        <v/>
      </c>
      <c r="G3062" t="str">
        <f>IF(D3062="","",INDEX(Knutepunkter!$C:$C,D3062+1))</f>
        <v/>
      </c>
      <c r="H3062" t="str">
        <f>IF(D3062="","",INDEX(Knutepunkter!$D:$D,D3062+1))</f>
        <v/>
      </c>
      <c r="I3062" t="str">
        <f>IF(E3062="","",INDEX(Knutepunkter!$B:$B,E3062+1))</f>
        <v/>
      </c>
      <c r="J3062" t="str">
        <f>IF(E3062="","",INDEX(Knutepunkter!$C:$C,E3062+1))</f>
        <v/>
      </c>
      <c r="K3062" t="str">
        <f>IF(E3062="","",INDEX(Knutepunkter!$D:$D,E3062+1))</f>
        <v/>
      </c>
      <c r="L3062" t="str">
        <f t="shared" si="238"/>
        <v/>
      </c>
      <c r="M3062" t="str">
        <f t="shared" si="239"/>
        <v/>
      </c>
    </row>
    <row r="3063" spans="1:13" x14ac:dyDescent="0.3">
      <c r="A3063" t="str">
        <f>Segmenter!A3063</f>
        <v/>
      </c>
      <c r="B3063" t="str">
        <f>Segmenter!B3063</f>
        <v/>
      </c>
      <c r="C3063" t="str">
        <f t="shared" si="235"/>
        <v/>
      </c>
      <c r="D3063" t="str">
        <f t="shared" si="236"/>
        <v/>
      </c>
      <c r="E3063" t="str">
        <f t="shared" si="237"/>
        <v/>
      </c>
      <c r="F3063" t="str">
        <f>IF(D3063="","",INDEX(Knutepunkter!$B:$B,D3063+1))</f>
        <v/>
      </c>
      <c r="G3063" t="str">
        <f>IF(D3063="","",INDEX(Knutepunkter!$C:$C,D3063+1))</f>
        <v/>
      </c>
      <c r="H3063" t="str">
        <f>IF(D3063="","",INDEX(Knutepunkter!$D:$D,D3063+1))</f>
        <v/>
      </c>
      <c r="I3063" t="str">
        <f>IF(E3063="","",INDEX(Knutepunkter!$B:$B,E3063+1))</f>
        <v/>
      </c>
      <c r="J3063" t="str">
        <f>IF(E3063="","",INDEX(Knutepunkter!$C:$C,E3063+1))</f>
        <v/>
      </c>
      <c r="K3063" t="str">
        <f>IF(E3063="","",INDEX(Knutepunkter!$D:$D,E3063+1))</f>
        <v/>
      </c>
      <c r="L3063" t="str">
        <f t="shared" si="238"/>
        <v/>
      </c>
      <c r="M3063" t="str">
        <f t="shared" si="239"/>
        <v/>
      </c>
    </row>
    <row r="3064" spans="1:13" x14ac:dyDescent="0.3">
      <c r="A3064" t="str">
        <f>Segmenter!A3064</f>
        <v/>
      </c>
      <c r="B3064" t="str">
        <f>Segmenter!B3064</f>
        <v/>
      </c>
      <c r="C3064" t="str">
        <f t="shared" si="235"/>
        <v/>
      </c>
      <c r="D3064" t="str">
        <f t="shared" si="236"/>
        <v/>
      </c>
      <c r="E3064" t="str">
        <f t="shared" si="237"/>
        <v/>
      </c>
      <c r="F3064" t="str">
        <f>IF(D3064="","",INDEX(Knutepunkter!$B:$B,D3064+1))</f>
        <v/>
      </c>
      <c r="G3064" t="str">
        <f>IF(D3064="","",INDEX(Knutepunkter!$C:$C,D3064+1))</f>
        <v/>
      </c>
      <c r="H3064" t="str">
        <f>IF(D3064="","",INDEX(Knutepunkter!$D:$D,D3064+1))</f>
        <v/>
      </c>
      <c r="I3064" t="str">
        <f>IF(E3064="","",INDEX(Knutepunkter!$B:$B,E3064+1))</f>
        <v/>
      </c>
      <c r="J3064" t="str">
        <f>IF(E3064="","",INDEX(Knutepunkter!$C:$C,E3064+1))</f>
        <v/>
      </c>
      <c r="K3064" t="str">
        <f>IF(E3064="","",INDEX(Knutepunkter!$D:$D,E3064+1))</f>
        <v/>
      </c>
      <c r="L3064" t="str">
        <f t="shared" si="238"/>
        <v/>
      </c>
      <c r="M3064" t="str">
        <f t="shared" si="239"/>
        <v/>
      </c>
    </row>
    <row r="3065" spans="1:13" x14ac:dyDescent="0.3">
      <c r="A3065" t="str">
        <f>Segmenter!A3065</f>
        <v/>
      </c>
      <c r="B3065" t="str">
        <f>Segmenter!B3065</f>
        <v/>
      </c>
      <c r="C3065" t="str">
        <f t="shared" si="235"/>
        <v/>
      </c>
      <c r="D3065" t="str">
        <f t="shared" si="236"/>
        <v/>
      </c>
      <c r="E3065" t="str">
        <f t="shared" si="237"/>
        <v/>
      </c>
      <c r="F3065" t="str">
        <f>IF(D3065="","",INDEX(Knutepunkter!$B:$B,D3065+1))</f>
        <v/>
      </c>
      <c r="G3065" t="str">
        <f>IF(D3065="","",INDEX(Knutepunkter!$C:$C,D3065+1))</f>
        <v/>
      </c>
      <c r="H3065" t="str">
        <f>IF(D3065="","",INDEX(Knutepunkter!$D:$D,D3065+1))</f>
        <v/>
      </c>
      <c r="I3065" t="str">
        <f>IF(E3065="","",INDEX(Knutepunkter!$B:$B,E3065+1))</f>
        <v/>
      </c>
      <c r="J3065" t="str">
        <f>IF(E3065="","",INDEX(Knutepunkter!$C:$C,E3065+1))</f>
        <v/>
      </c>
      <c r="K3065" t="str">
        <f>IF(E3065="","",INDEX(Knutepunkter!$D:$D,E3065+1))</f>
        <v/>
      </c>
      <c r="L3065" t="str">
        <f t="shared" si="238"/>
        <v/>
      </c>
      <c r="M3065" t="str">
        <f t="shared" si="239"/>
        <v/>
      </c>
    </row>
    <row r="3066" spans="1:13" x14ac:dyDescent="0.3">
      <c r="A3066" t="str">
        <f>Segmenter!A3066</f>
        <v/>
      </c>
      <c r="B3066" t="str">
        <f>Segmenter!B3066</f>
        <v/>
      </c>
      <c r="C3066" t="str">
        <f t="shared" si="235"/>
        <v/>
      </c>
      <c r="D3066" t="str">
        <f t="shared" si="236"/>
        <v/>
      </c>
      <c r="E3066" t="str">
        <f t="shared" si="237"/>
        <v/>
      </c>
      <c r="F3066" t="str">
        <f>IF(D3066="","",INDEX(Knutepunkter!$B:$B,D3066+1))</f>
        <v/>
      </c>
      <c r="G3066" t="str">
        <f>IF(D3066="","",INDEX(Knutepunkter!$C:$C,D3066+1))</f>
        <v/>
      </c>
      <c r="H3066" t="str">
        <f>IF(D3066="","",INDEX(Knutepunkter!$D:$D,D3066+1))</f>
        <v/>
      </c>
      <c r="I3066" t="str">
        <f>IF(E3066="","",INDEX(Knutepunkter!$B:$B,E3066+1))</f>
        <v/>
      </c>
      <c r="J3066" t="str">
        <f>IF(E3066="","",INDEX(Knutepunkter!$C:$C,E3066+1))</f>
        <v/>
      </c>
      <c r="K3066" t="str">
        <f>IF(E3066="","",INDEX(Knutepunkter!$D:$D,E3066+1))</f>
        <v/>
      </c>
      <c r="L3066" t="str">
        <f t="shared" si="238"/>
        <v/>
      </c>
      <c r="M3066" t="str">
        <f t="shared" si="239"/>
        <v/>
      </c>
    </row>
    <row r="3067" spans="1:13" x14ac:dyDescent="0.3">
      <c r="A3067" t="str">
        <f>Segmenter!A3067</f>
        <v/>
      </c>
      <c r="B3067" t="str">
        <f>Segmenter!B3067</f>
        <v/>
      </c>
      <c r="C3067" t="str">
        <f t="shared" si="235"/>
        <v/>
      </c>
      <c r="D3067" t="str">
        <f t="shared" si="236"/>
        <v/>
      </c>
      <c r="E3067" t="str">
        <f t="shared" si="237"/>
        <v/>
      </c>
      <c r="F3067" t="str">
        <f>IF(D3067="","",INDEX(Knutepunkter!$B:$B,D3067+1))</f>
        <v/>
      </c>
      <c r="G3067" t="str">
        <f>IF(D3067="","",INDEX(Knutepunkter!$C:$C,D3067+1))</f>
        <v/>
      </c>
      <c r="H3067" t="str">
        <f>IF(D3067="","",INDEX(Knutepunkter!$D:$D,D3067+1))</f>
        <v/>
      </c>
      <c r="I3067" t="str">
        <f>IF(E3067="","",INDEX(Knutepunkter!$B:$B,E3067+1))</f>
        <v/>
      </c>
      <c r="J3067" t="str">
        <f>IF(E3067="","",INDEX(Knutepunkter!$C:$C,E3067+1))</f>
        <v/>
      </c>
      <c r="K3067" t="str">
        <f>IF(E3067="","",INDEX(Knutepunkter!$D:$D,E3067+1))</f>
        <v/>
      </c>
      <c r="L3067" t="str">
        <f t="shared" si="238"/>
        <v/>
      </c>
      <c r="M3067" t="str">
        <f t="shared" si="239"/>
        <v/>
      </c>
    </row>
    <row r="3068" spans="1:13" x14ac:dyDescent="0.3">
      <c r="A3068" t="str">
        <f>Segmenter!A3068</f>
        <v/>
      </c>
      <c r="B3068" t="str">
        <f>Segmenter!B3068</f>
        <v/>
      </c>
      <c r="C3068" t="str">
        <f t="shared" si="235"/>
        <v/>
      </c>
      <c r="D3068" t="str">
        <f t="shared" si="236"/>
        <v/>
      </c>
      <c r="E3068" t="str">
        <f t="shared" si="237"/>
        <v/>
      </c>
      <c r="F3068" t="str">
        <f>IF(D3068="","",INDEX(Knutepunkter!$B:$B,D3068+1))</f>
        <v/>
      </c>
      <c r="G3068" t="str">
        <f>IF(D3068="","",INDEX(Knutepunkter!$C:$C,D3068+1))</f>
        <v/>
      </c>
      <c r="H3068" t="str">
        <f>IF(D3068="","",INDEX(Knutepunkter!$D:$D,D3068+1))</f>
        <v/>
      </c>
      <c r="I3068" t="str">
        <f>IF(E3068="","",INDEX(Knutepunkter!$B:$B,E3068+1))</f>
        <v/>
      </c>
      <c r="J3068" t="str">
        <f>IF(E3068="","",INDEX(Knutepunkter!$C:$C,E3068+1))</f>
        <v/>
      </c>
      <c r="K3068" t="str">
        <f>IF(E3068="","",INDEX(Knutepunkter!$D:$D,E3068+1))</f>
        <v/>
      </c>
      <c r="L3068" t="str">
        <f t="shared" si="238"/>
        <v/>
      </c>
      <c r="M3068" t="str">
        <f t="shared" si="239"/>
        <v/>
      </c>
    </row>
    <row r="3069" spans="1:13" x14ac:dyDescent="0.3">
      <c r="A3069" t="str">
        <f>Segmenter!A3069</f>
        <v/>
      </c>
      <c r="B3069" t="str">
        <f>Segmenter!B3069</f>
        <v/>
      </c>
      <c r="C3069" t="str">
        <f t="shared" si="235"/>
        <v/>
      </c>
      <c r="D3069" t="str">
        <f t="shared" si="236"/>
        <v/>
      </c>
      <c r="E3069" t="str">
        <f t="shared" si="237"/>
        <v/>
      </c>
      <c r="F3069" t="str">
        <f>IF(D3069="","",INDEX(Knutepunkter!$B:$B,D3069+1))</f>
        <v/>
      </c>
      <c r="G3069" t="str">
        <f>IF(D3069="","",INDEX(Knutepunkter!$C:$C,D3069+1))</f>
        <v/>
      </c>
      <c r="H3069" t="str">
        <f>IF(D3069="","",INDEX(Knutepunkter!$D:$D,D3069+1))</f>
        <v/>
      </c>
      <c r="I3069" t="str">
        <f>IF(E3069="","",INDEX(Knutepunkter!$B:$B,E3069+1))</f>
        <v/>
      </c>
      <c r="J3069" t="str">
        <f>IF(E3069="","",INDEX(Knutepunkter!$C:$C,E3069+1))</f>
        <v/>
      </c>
      <c r="K3069" t="str">
        <f>IF(E3069="","",INDEX(Knutepunkter!$D:$D,E3069+1))</f>
        <v/>
      </c>
      <c r="L3069" t="str">
        <f t="shared" si="238"/>
        <v/>
      </c>
      <c r="M3069" t="str">
        <f t="shared" si="239"/>
        <v/>
      </c>
    </row>
    <row r="3070" spans="1:13" x14ac:dyDescent="0.3">
      <c r="A3070" t="str">
        <f>Segmenter!A3070</f>
        <v/>
      </c>
      <c r="B3070" t="str">
        <f>Segmenter!B3070</f>
        <v/>
      </c>
      <c r="C3070" t="str">
        <f t="shared" si="235"/>
        <v/>
      </c>
      <c r="D3070" t="str">
        <f t="shared" si="236"/>
        <v/>
      </c>
      <c r="E3070" t="str">
        <f t="shared" si="237"/>
        <v/>
      </c>
      <c r="F3070" t="str">
        <f>IF(D3070="","",INDEX(Knutepunkter!$B:$B,D3070+1))</f>
        <v/>
      </c>
      <c r="G3070" t="str">
        <f>IF(D3070="","",INDEX(Knutepunkter!$C:$C,D3070+1))</f>
        <v/>
      </c>
      <c r="H3070" t="str">
        <f>IF(D3070="","",INDEX(Knutepunkter!$D:$D,D3070+1))</f>
        <v/>
      </c>
      <c r="I3070" t="str">
        <f>IF(E3070="","",INDEX(Knutepunkter!$B:$B,E3070+1))</f>
        <v/>
      </c>
      <c r="J3070" t="str">
        <f>IF(E3070="","",INDEX(Knutepunkter!$C:$C,E3070+1))</f>
        <v/>
      </c>
      <c r="K3070" t="str">
        <f>IF(E3070="","",INDEX(Knutepunkter!$D:$D,E3070+1))</f>
        <v/>
      </c>
      <c r="L3070" t="str">
        <f t="shared" si="238"/>
        <v/>
      </c>
      <c r="M3070" t="str">
        <f t="shared" si="239"/>
        <v/>
      </c>
    </row>
    <row r="3071" spans="1:13" x14ac:dyDescent="0.3">
      <c r="A3071" t="str">
        <f>Segmenter!A3071</f>
        <v/>
      </c>
      <c r="B3071" t="str">
        <f>Segmenter!B3071</f>
        <v/>
      </c>
      <c r="C3071" t="str">
        <f t="shared" si="235"/>
        <v/>
      </c>
      <c r="D3071" t="str">
        <f t="shared" si="236"/>
        <v/>
      </c>
      <c r="E3071" t="str">
        <f t="shared" si="237"/>
        <v/>
      </c>
      <c r="F3071" t="str">
        <f>IF(D3071="","",INDEX(Knutepunkter!$B:$B,D3071+1))</f>
        <v/>
      </c>
      <c r="G3071" t="str">
        <f>IF(D3071="","",INDEX(Knutepunkter!$C:$C,D3071+1))</f>
        <v/>
      </c>
      <c r="H3071" t="str">
        <f>IF(D3071="","",INDEX(Knutepunkter!$D:$D,D3071+1))</f>
        <v/>
      </c>
      <c r="I3071" t="str">
        <f>IF(E3071="","",INDEX(Knutepunkter!$B:$B,E3071+1))</f>
        <v/>
      </c>
      <c r="J3071" t="str">
        <f>IF(E3071="","",INDEX(Knutepunkter!$C:$C,E3071+1))</f>
        <v/>
      </c>
      <c r="K3071" t="str">
        <f>IF(E3071="","",INDEX(Knutepunkter!$D:$D,E3071+1))</f>
        <v/>
      </c>
      <c r="L3071" t="str">
        <f t="shared" si="238"/>
        <v/>
      </c>
      <c r="M3071" t="str">
        <f t="shared" si="239"/>
        <v/>
      </c>
    </row>
    <row r="3072" spans="1:13" x14ac:dyDescent="0.3">
      <c r="A3072" t="str">
        <f>Segmenter!A3072</f>
        <v/>
      </c>
      <c r="B3072" t="str">
        <f>Segmenter!B3072</f>
        <v/>
      </c>
      <c r="C3072" t="str">
        <f t="shared" si="235"/>
        <v/>
      </c>
      <c r="D3072" t="str">
        <f t="shared" si="236"/>
        <v/>
      </c>
      <c r="E3072" t="str">
        <f t="shared" si="237"/>
        <v/>
      </c>
      <c r="F3072" t="str">
        <f>IF(D3072="","",INDEX(Knutepunkter!$B:$B,D3072+1))</f>
        <v/>
      </c>
      <c r="G3072" t="str">
        <f>IF(D3072="","",INDEX(Knutepunkter!$C:$C,D3072+1))</f>
        <v/>
      </c>
      <c r="H3072" t="str">
        <f>IF(D3072="","",INDEX(Knutepunkter!$D:$D,D3072+1))</f>
        <v/>
      </c>
      <c r="I3072" t="str">
        <f>IF(E3072="","",INDEX(Knutepunkter!$B:$B,E3072+1))</f>
        <v/>
      </c>
      <c r="J3072" t="str">
        <f>IF(E3072="","",INDEX(Knutepunkter!$C:$C,E3072+1))</f>
        <v/>
      </c>
      <c r="K3072" t="str">
        <f>IF(E3072="","",INDEX(Knutepunkter!$D:$D,E3072+1))</f>
        <v/>
      </c>
      <c r="L3072" t="str">
        <f t="shared" si="238"/>
        <v/>
      </c>
      <c r="M3072" t="str">
        <f t="shared" si="239"/>
        <v/>
      </c>
    </row>
    <row r="3073" spans="1:13" x14ac:dyDescent="0.3">
      <c r="A3073" t="str">
        <f>Segmenter!A3073</f>
        <v/>
      </c>
      <c r="B3073" t="str">
        <f>Segmenter!B3073</f>
        <v/>
      </c>
      <c r="C3073" t="str">
        <f t="shared" si="235"/>
        <v/>
      </c>
      <c r="D3073" t="str">
        <f t="shared" si="236"/>
        <v/>
      </c>
      <c r="E3073" t="str">
        <f t="shared" si="237"/>
        <v/>
      </c>
      <c r="F3073" t="str">
        <f>IF(D3073="","",INDEX(Knutepunkter!$B:$B,D3073+1))</f>
        <v/>
      </c>
      <c r="G3073" t="str">
        <f>IF(D3073="","",INDEX(Knutepunkter!$C:$C,D3073+1))</f>
        <v/>
      </c>
      <c r="H3073" t="str">
        <f>IF(D3073="","",INDEX(Knutepunkter!$D:$D,D3073+1))</f>
        <v/>
      </c>
      <c r="I3073" t="str">
        <f>IF(E3073="","",INDEX(Knutepunkter!$B:$B,E3073+1))</f>
        <v/>
      </c>
      <c r="J3073" t="str">
        <f>IF(E3073="","",INDEX(Knutepunkter!$C:$C,E3073+1))</f>
        <v/>
      </c>
      <c r="K3073" t="str">
        <f>IF(E3073="","",INDEX(Knutepunkter!$D:$D,E3073+1))</f>
        <v/>
      </c>
      <c r="L3073" t="str">
        <f t="shared" si="238"/>
        <v/>
      </c>
      <c r="M3073" t="str">
        <f t="shared" si="239"/>
        <v/>
      </c>
    </row>
    <row r="3074" spans="1:13" x14ac:dyDescent="0.3">
      <c r="A3074" t="str">
        <f>Segmenter!A3074</f>
        <v/>
      </c>
      <c r="B3074" t="str">
        <f>Segmenter!B3074</f>
        <v/>
      </c>
      <c r="C3074" t="str">
        <f t="shared" ref="C3074:C3137" si="240">IF(B3074="","",IF(AND(F3074=I3074,G3074=J3074,H3074&lt;&gt;K3074),"Søyle","Bjelke"))</f>
        <v/>
      </c>
      <c r="D3074" t="str">
        <f t="shared" ref="D3074:D3137" si="241">IF(B3074="","",VALUE(LEFT(B3074,FIND(" -&gt; ",B3074)-1)))</f>
        <v/>
      </c>
      <c r="E3074" t="str">
        <f t="shared" ref="E3074:E3137" si="242">IF(B3074="","",VALUE(MID(B3074,FIND(" -&gt; ",B3074)+4,99)))</f>
        <v/>
      </c>
      <c r="F3074" t="str">
        <f>IF(D3074="","",INDEX(Knutepunkter!$B:$B,D3074+1))</f>
        <v/>
      </c>
      <c r="G3074" t="str">
        <f>IF(D3074="","",INDEX(Knutepunkter!$C:$C,D3074+1))</f>
        <v/>
      </c>
      <c r="H3074" t="str">
        <f>IF(D3074="","",INDEX(Knutepunkter!$D:$D,D3074+1))</f>
        <v/>
      </c>
      <c r="I3074" t="str">
        <f>IF(E3074="","",INDEX(Knutepunkter!$B:$B,E3074+1))</f>
        <v/>
      </c>
      <c r="J3074" t="str">
        <f>IF(E3074="","",INDEX(Knutepunkter!$C:$C,E3074+1))</f>
        <v/>
      </c>
      <c r="K3074" t="str">
        <f>IF(E3074="","",INDEX(Knutepunkter!$D:$D,E3074+1))</f>
        <v/>
      </c>
      <c r="L3074" t="str">
        <f t="shared" ref="L3074:L3137" si="243">IF(B3074="","",SQRT((I3074-F3074)^2+(J3074-G3074)^2+(K3074-H3074)^2))</f>
        <v/>
      </c>
      <c r="M3074" t="str">
        <f t="shared" ref="M3074:M3137" si="244">IF(L3074="","",L3074/1000)</f>
        <v/>
      </c>
    </row>
    <row r="3075" spans="1:13" x14ac:dyDescent="0.3">
      <c r="A3075" t="str">
        <f>Segmenter!A3075</f>
        <v/>
      </c>
      <c r="B3075" t="str">
        <f>Segmenter!B3075</f>
        <v/>
      </c>
      <c r="C3075" t="str">
        <f t="shared" si="240"/>
        <v/>
      </c>
      <c r="D3075" t="str">
        <f t="shared" si="241"/>
        <v/>
      </c>
      <c r="E3075" t="str">
        <f t="shared" si="242"/>
        <v/>
      </c>
      <c r="F3075" t="str">
        <f>IF(D3075="","",INDEX(Knutepunkter!$B:$B,D3075+1))</f>
        <v/>
      </c>
      <c r="G3075" t="str">
        <f>IF(D3075="","",INDEX(Knutepunkter!$C:$C,D3075+1))</f>
        <v/>
      </c>
      <c r="H3075" t="str">
        <f>IF(D3075="","",INDEX(Knutepunkter!$D:$D,D3075+1))</f>
        <v/>
      </c>
      <c r="I3075" t="str">
        <f>IF(E3075="","",INDEX(Knutepunkter!$B:$B,E3075+1))</f>
        <v/>
      </c>
      <c r="J3075" t="str">
        <f>IF(E3075="","",INDEX(Knutepunkter!$C:$C,E3075+1))</f>
        <v/>
      </c>
      <c r="K3075" t="str">
        <f>IF(E3075="","",INDEX(Knutepunkter!$D:$D,E3075+1))</f>
        <v/>
      </c>
      <c r="L3075" t="str">
        <f t="shared" si="243"/>
        <v/>
      </c>
      <c r="M3075" t="str">
        <f t="shared" si="244"/>
        <v/>
      </c>
    </row>
    <row r="3076" spans="1:13" x14ac:dyDescent="0.3">
      <c r="A3076" t="str">
        <f>Segmenter!A3076</f>
        <v/>
      </c>
      <c r="B3076" t="str">
        <f>Segmenter!B3076</f>
        <v/>
      </c>
      <c r="C3076" t="str">
        <f t="shared" si="240"/>
        <v/>
      </c>
      <c r="D3076" t="str">
        <f t="shared" si="241"/>
        <v/>
      </c>
      <c r="E3076" t="str">
        <f t="shared" si="242"/>
        <v/>
      </c>
      <c r="F3076" t="str">
        <f>IF(D3076="","",INDEX(Knutepunkter!$B:$B,D3076+1))</f>
        <v/>
      </c>
      <c r="G3076" t="str">
        <f>IF(D3076="","",INDEX(Knutepunkter!$C:$C,D3076+1))</f>
        <v/>
      </c>
      <c r="H3076" t="str">
        <f>IF(D3076="","",INDEX(Knutepunkter!$D:$D,D3076+1))</f>
        <v/>
      </c>
      <c r="I3076" t="str">
        <f>IF(E3076="","",INDEX(Knutepunkter!$B:$B,E3076+1))</f>
        <v/>
      </c>
      <c r="J3076" t="str">
        <f>IF(E3076="","",INDEX(Knutepunkter!$C:$C,E3076+1))</f>
        <v/>
      </c>
      <c r="K3076" t="str">
        <f>IF(E3076="","",INDEX(Knutepunkter!$D:$D,E3076+1))</f>
        <v/>
      </c>
      <c r="L3076" t="str">
        <f t="shared" si="243"/>
        <v/>
      </c>
      <c r="M3076" t="str">
        <f t="shared" si="244"/>
        <v/>
      </c>
    </row>
    <row r="3077" spans="1:13" x14ac:dyDescent="0.3">
      <c r="A3077" t="str">
        <f>Segmenter!A3077</f>
        <v/>
      </c>
      <c r="B3077" t="str">
        <f>Segmenter!B3077</f>
        <v/>
      </c>
      <c r="C3077" t="str">
        <f t="shared" si="240"/>
        <v/>
      </c>
      <c r="D3077" t="str">
        <f t="shared" si="241"/>
        <v/>
      </c>
      <c r="E3077" t="str">
        <f t="shared" si="242"/>
        <v/>
      </c>
      <c r="F3077" t="str">
        <f>IF(D3077="","",INDEX(Knutepunkter!$B:$B,D3077+1))</f>
        <v/>
      </c>
      <c r="G3077" t="str">
        <f>IF(D3077="","",INDEX(Knutepunkter!$C:$C,D3077+1))</f>
        <v/>
      </c>
      <c r="H3077" t="str">
        <f>IF(D3077="","",INDEX(Knutepunkter!$D:$D,D3077+1))</f>
        <v/>
      </c>
      <c r="I3077" t="str">
        <f>IF(E3077="","",INDEX(Knutepunkter!$B:$B,E3077+1))</f>
        <v/>
      </c>
      <c r="J3077" t="str">
        <f>IF(E3077="","",INDEX(Knutepunkter!$C:$C,E3077+1))</f>
        <v/>
      </c>
      <c r="K3077" t="str">
        <f>IF(E3077="","",INDEX(Knutepunkter!$D:$D,E3077+1))</f>
        <v/>
      </c>
      <c r="L3077" t="str">
        <f t="shared" si="243"/>
        <v/>
      </c>
      <c r="M3077" t="str">
        <f t="shared" si="244"/>
        <v/>
      </c>
    </row>
    <row r="3078" spans="1:13" x14ac:dyDescent="0.3">
      <c r="A3078" t="str">
        <f>Segmenter!A3078</f>
        <v/>
      </c>
      <c r="B3078" t="str">
        <f>Segmenter!B3078</f>
        <v/>
      </c>
      <c r="C3078" t="str">
        <f t="shared" si="240"/>
        <v/>
      </c>
      <c r="D3078" t="str">
        <f t="shared" si="241"/>
        <v/>
      </c>
      <c r="E3078" t="str">
        <f t="shared" si="242"/>
        <v/>
      </c>
      <c r="F3078" t="str">
        <f>IF(D3078="","",INDEX(Knutepunkter!$B:$B,D3078+1))</f>
        <v/>
      </c>
      <c r="G3078" t="str">
        <f>IF(D3078="","",INDEX(Knutepunkter!$C:$C,D3078+1))</f>
        <v/>
      </c>
      <c r="H3078" t="str">
        <f>IF(D3078="","",INDEX(Knutepunkter!$D:$D,D3078+1))</f>
        <v/>
      </c>
      <c r="I3078" t="str">
        <f>IF(E3078="","",INDEX(Knutepunkter!$B:$B,E3078+1))</f>
        <v/>
      </c>
      <c r="J3078" t="str">
        <f>IF(E3078="","",INDEX(Knutepunkter!$C:$C,E3078+1))</f>
        <v/>
      </c>
      <c r="K3078" t="str">
        <f>IF(E3078="","",INDEX(Knutepunkter!$D:$D,E3078+1))</f>
        <v/>
      </c>
      <c r="L3078" t="str">
        <f t="shared" si="243"/>
        <v/>
      </c>
      <c r="M3078" t="str">
        <f t="shared" si="244"/>
        <v/>
      </c>
    </row>
    <row r="3079" spans="1:13" x14ac:dyDescent="0.3">
      <c r="A3079" t="str">
        <f>Segmenter!A3079</f>
        <v/>
      </c>
      <c r="B3079" t="str">
        <f>Segmenter!B3079</f>
        <v/>
      </c>
      <c r="C3079" t="str">
        <f t="shared" si="240"/>
        <v/>
      </c>
      <c r="D3079" t="str">
        <f t="shared" si="241"/>
        <v/>
      </c>
      <c r="E3079" t="str">
        <f t="shared" si="242"/>
        <v/>
      </c>
      <c r="F3079" t="str">
        <f>IF(D3079="","",INDEX(Knutepunkter!$B:$B,D3079+1))</f>
        <v/>
      </c>
      <c r="G3079" t="str">
        <f>IF(D3079="","",INDEX(Knutepunkter!$C:$C,D3079+1))</f>
        <v/>
      </c>
      <c r="H3079" t="str">
        <f>IF(D3079="","",INDEX(Knutepunkter!$D:$D,D3079+1))</f>
        <v/>
      </c>
      <c r="I3079" t="str">
        <f>IF(E3079="","",INDEX(Knutepunkter!$B:$B,E3079+1))</f>
        <v/>
      </c>
      <c r="J3079" t="str">
        <f>IF(E3079="","",INDEX(Knutepunkter!$C:$C,E3079+1))</f>
        <v/>
      </c>
      <c r="K3079" t="str">
        <f>IF(E3079="","",INDEX(Knutepunkter!$D:$D,E3079+1))</f>
        <v/>
      </c>
      <c r="L3079" t="str">
        <f t="shared" si="243"/>
        <v/>
      </c>
      <c r="M3079" t="str">
        <f t="shared" si="244"/>
        <v/>
      </c>
    </row>
    <row r="3080" spans="1:13" x14ac:dyDescent="0.3">
      <c r="A3080" t="str">
        <f>Segmenter!A3080</f>
        <v/>
      </c>
      <c r="B3080" t="str">
        <f>Segmenter!B3080</f>
        <v/>
      </c>
      <c r="C3080" t="str">
        <f t="shared" si="240"/>
        <v/>
      </c>
      <c r="D3080" t="str">
        <f t="shared" si="241"/>
        <v/>
      </c>
      <c r="E3080" t="str">
        <f t="shared" si="242"/>
        <v/>
      </c>
      <c r="F3080" t="str">
        <f>IF(D3080="","",INDEX(Knutepunkter!$B:$B,D3080+1))</f>
        <v/>
      </c>
      <c r="G3080" t="str">
        <f>IF(D3080="","",INDEX(Knutepunkter!$C:$C,D3080+1))</f>
        <v/>
      </c>
      <c r="H3080" t="str">
        <f>IF(D3080="","",INDEX(Knutepunkter!$D:$D,D3080+1))</f>
        <v/>
      </c>
      <c r="I3080" t="str">
        <f>IF(E3080="","",INDEX(Knutepunkter!$B:$B,E3080+1))</f>
        <v/>
      </c>
      <c r="J3080" t="str">
        <f>IF(E3080="","",INDEX(Knutepunkter!$C:$C,E3080+1))</f>
        <v/>
      </c>
      <c r="K3080" t="str">
        <f>IF(E3080="","",INDEX(Knutepunkter!$D:$D,E3080+1))</f>
        <v/>
      </c>
      <c r="L3080" t="str">
        <f t="shared" si="243"/>
        <v/>
      </c>
      <c r="M3080" t="str">
        <f t="shared" si="244"/>
        <v/>
      </c>
    </row>
    <row r="3081" spans="1:13" x14ac:dyDescent="0.3">
      <c r="A3081" t="str">
        <f>Segmenter!A3081</f>
        <v/>
      </c>
      <c r="B3081" t="str">
        <f>Segmenter!B3081</f>
        <v/>
      </c>
      <c r="C3081" t="str">
        <f t="shared" si="240"/>
        <v/>
      </c>
      <c r="D3081" t="str">
        <f t="shared" si="241"/>
        <v/>
      </c>
      <c r="E3081" t="str">
        <f t="shared" si="242"/>
        <v/>
      </c>
      <c r="F3081" t="str">
        <f>IF(D3081="","",INDEX(Knutepunkter!$B:$B,D3081+1))</f>
        <v/>
      </c>
      <c r="G3081" t="str">
        <f>IF(D3081="","",INDEX(Knutepunkter!$C:$C,D3081+1))</f>
        <v/>
      </c>
      <c r="H3081" t="str">
        <f>IF(D3081="","",INDEX(Knutepunkter!$D:$D,D3081+1))</f>
        <v/>
      </c>
      <c r="I3081" t="str">
        <f>IF(E3081="","",INDEX(Knutepunkter!$B:$B,E3081+1))</f>
        <v/>
      </c>
      <c r="J3081" t="str">
        <f>IF(E3081="","",INDEX(Knutepunkter!$C:$C,E3081+1))</f>
        <v/>
      </c>
      <c r="K3081" t="str">
        <f>IF(E3081="","",INDEX(Knutepunkter!$D:$D,E3081+1))</f>
        <v/>
      </c>
      <c r="L3081" t="str">
        <f t="shared" si="243"/>
        <v/>
      </c>
      <c r="M3081" t="str">
        <f t="shared" si="244"/>
        <v/>
      </c>
    </row>
    <row r="3082" spans="1:13" x14ac:dyDescent="0.3">
      <c r="A3082" t="str">
        <f>Segmenter!A3082</f>
        <v/>
      </c>
      <c r="B3082" t="str">
        <f>Segmenter!B3082</f>
        <v/>
      </c>
      <c r="C3082" t="str">
        <f t="shared" si="240"/>
        <v/>
      </c>
      <c r="D3082" t="str">
        <f t="shared" si="241"/>
        <v/>
      </c>
      <c r="E3082" t="str">
        <f t="shared" si="242"/>
        <v/>
      </c>
      <c r="F3082" t="str">
        <f>IF(D3082="","",INDEX(Knutepunkter!$B:$B,D3082+1))</f>
        <v/>
      </c>
      <c r="G3082" t="str">
        <f>IF(D3082="","",INDEX(Knutepunkter!$C:$C,D3082+1))</f>
        <v/>
      </c>
      <c r="H3082" t="str">
        <f>IF(D3082="","",INDEX(Knutepunkter!$D:$D,D3082+1))</f>
        <v/>
      </c>
      <c r="I3082" t="str">
        <f>IF(E3082="","",INDEX(Knutepunkter!$B:$B,E3082+1))</f>
        <v/>
      </c>
      <c r="J3082" t="str">
        <f>IF(E3082="","",INDEX(Knutepunkter!$C:$C,E3082+1))</f>
        <v/>
      </c>
      <c r="K3082" t="str">
        <f>IF(E3082="","",INDEX(Knutepunkter!$D:$D,E3082+1))</f>
        <v/>
      </c>
      <c r="L3082" t="str">
        <f t="shared" si="243"/>
        <v/>
      </c>
      <c r="M3082" t="str">
        <f t="shared" si="244"/>
        <v/>
      </c>
    </row>
    <row r="3083" spans="1:13" x14ac:dyDescent="0.3">
      <c r="A3083" t="str">
        <f>Segmenter!A3083</f>
        <v/>
      </c>
      <c r="B3083" t="str">
        <f>Segmenter!B3083</f>
        <v/>
      </c>
      <c r="C3083" t="str">
        <f t="shared" si="240"/>
        <v/>
      </c>
      <c r="D3083" t="str">
        <f t="shared" si="241"/>
        <v/>
      </c>
      <c r="E3083" t="str">
        <f t="shared" si="242"/>
        <v/>
      </c>
      <c r="F3083" t="str">
        <f>IF(D3083="","",INDEX(Knutepunkter!$B:$B,D3083+1))</f>
        <v/>
      </c>
      <c r="G3083" t="str">
        <f>IF(D3083="","",INDEX(Knutepunkter!$C:$C,D3083+1))</f>
        <v/>
      </c>
      <c r="H3083" t="str">
        <f>IF(D3083="","",INDEX(Knutepunkter!$D:$D,D3083+1))</f>
        <v/>
      </c>
      <c r="I3083" t="str">
        <f>IF(E3083="","",INDEX(Knutepunkter!$B:$B,E3083+1))</f>
        <v/>
      </c>
      <c r="J3083" t="str">
        <f>IF(E3083="","",INDEX(Knutepunkter!$C:$C,E3083+1))</f>
        <v/>
      </c>
      <c r="K3083" t="str">
        <f>IF(E3083="","",INDEX(Knutepunkter!$D:$D,E3083+1))</f>
        <v/>
      </c>
      <c r="L3083" t="str">
        <f t="shared" si="243"/>
        <v/>
      </c>
      <c r="M3083" t="str">
        <f t="shared" si="244"/>
        <v/>
      </c>
    </row>
    <row r="3084" spans="1:13" x14ac:dyDescent="0.3">
      <c r="A3084" t="str">
        <f>Segmenter!A3084</f>
        <v/>
      </c>
      <c r="B3084" t="str">
        <f>Segmenter!B3084</f>
        <v/>
      </c>
      <c r="C3084" t="str">
        <f t="shared" si="240"/>
        <v/>
      </c>
      <c r="D3084" t="str">
        <f t="shared" si="241"/>
        <v/>
      </c>
      <c r="E3084" t="str">
        <f t="shared" si="242"/>
        <v/>
      </c>
      <c r="F3084" t="str">
        <f>IF(D3084="","",INDEX(Knutepunkter!$B:$B,D3084+1))</f>
        <v/>
      </c>
      <c r="G3084" t="str">
        <f>IF(D3084="","",INDEX(Knutepunkter!$C:$C,D3084+1))</f>
        <v/>
      </c>
      <c r="H3084" t="str">
        <f>IF(D3084="","",INDEX(Knutepunkter!$D:$D,D3084+1))</f>
        <v/>
      </c>
      <c r="I3084" t="str">
        <f>IF(E3084="","",INDEX(Knutepunkter!$B:$B,E3084+1))</f>
        <v/>
      </c>
      <c r="J3084" t="str">
        <f>IF(E3084="","",INDEX(Knutepunkter!$C:$C,E3084+1))</f>
        <v/>
      </c>
      <c r="K3084" t="str">
        <f>IF(E3084="","",INDEX(Knutepunkter!$D:$D,E3084+1))</f>
        <v/>
      </c>
      <c r="L3084" t="str">
        <f t="shared" si="243"/>
        <v/>
      </c>
      <c r="M3084" t="str">
        <f t="shared" si="244"/>
        <v/>
      </c>
    </row>
    <row r="3085" spans="1:13" x14ac:dyDescent="0.3">
      <c r="A3085" t="str">
        <f>Segmenter!A3085</f>
        <v/>
      </c>
      <c r="B3085" t="str">
        <f>Segmenter!B3085</f>
        <v/>
      </c>
      <c r="C3085" t="str">
        <f t="shared" si="240"/>
        <v/>
      </c>
      <c r="D3085" t="str">
        <f t="shared" si="241"/>
        <v/>
      </c>
      <c r="E3085" t="str">
        <f t="shared" si="242"/>
        <v/>
      </c>
      <c r="F3085" t="str">
        <f>IF(D3085="","",INDEX(Knutepunkter!$B:$B,D3085+1))</f>
        <v/>
      </c>
      <c r="G3085" t="str">
        <f>IF(D3085="","",INDEX(Knutepunkter!$C:$C,D3085+1))</f>
        <v/>
      </c>
      <c r="H3085" t="str">
        <f>IF(D3085="","",INDEX(Knutepunkter!$D:$D,D3085+1))</f>
        <v/>
      </c>
      <c r="I3085" t="str">
        <f>IF(E3085="","",INDEX(Knutepunkter!$B:$B,E3085+1))</f>
        <v/>
      </c>
      <c r="J3085" t="str">
        <f>IF(E3085="","",INDEX(Knutepunkter!$C:$C,E3085+1))</f>
        <v/>
      </c>
      <c r="K3085" t="str">
        <f>IF(E3085="","",INDEX(Knutepunkter!$D:$D,E3085+1))</f>
        <v/>
      </c>
      <c r="L3085" t="str">
        <f t="shared" si="243"/>
        <v/>
      </c>
      <c r="M3085" t="str">
        <f t="shared" si="244"/>
        <v/>
      </c>
    </row>
    <row r="3086" spans="1:13" x14ac:dyDescent="0.3">
      <c r="A3086" t="str">
        <f>Segmenter!A3086</f>
        <v/>
      </c>
      <c r="B3086" t="str">
        <f>Segmenter!B3086</f>
        <v/>
      </c>
      <c r="C3086" t="str">
        <f t="shared" si="240"/>
        <v/>
      </c>
      <c r="D3086" t="str">
        <f t="shared" si="241"/>
        <v/>
      </c>
      <c r="E3086" t="str">
        <f t="shared" si="242"/>
        <v/>
      </c>
      <c r="F3086" t="str">
        <f>IF(D3086="","",INDEX(Knutepunkter!$B:$B,D3086+1))</f>
        <v/>
      </c>
      <c r="G3086" t="str">
        <f>IF(D3086="","",INDEX(Knutepunkter!$C:$C,D3086+1))</f>
        <v/>
      </c>
      <c r="H3086" t="str">
        <f>IF(D3086="","",INDEX(Knutepunkter!$D:$D,D3086+1))</f>
        <v/>
      </c>
      <c r="I3086" t="str">
        <f>IF(E3086="","",INDEX(Knutepunkter!$B:$B,E3086+1))</f>
        <v/>
      </c>
      <c r="J3086" t="str">
        <f>IF(E3086="","",INDEX(Knutepunkter!$C:$C,E3086+1))</f>
        <v/>
      </c>
      <c r="K3086" t="str">
        <f>IF(E3086="","",INDEX(Knutepunkter!$D:$D,E3086+1))</f>
        <v/>
      </c>
      <c r="L3086" t="str">
        <f t="shared" si="243"/>
        <v/>
      </c>
      <c r="M3086" t="str">
        <f t="shared" si="244"/>
        <v/>
      </c>
    </row>
    <row r="3087" spans="1:13" x14ac:dyDescent="0.3">
      <c r="A3087" t="str">
        <f>Segmenter!A3087</f>
        <v/>
      </c>
      <c r="B3087" t="str">
        <f>Segmenter!B3087</f>
        <v/>
      </c>
      <c r="C3087" t="str">
        <f t="shared" si="240"/>
        <v/>
      </c>
      <c r="D3087" t="str">
        <f t="shared" si="241"/>
        <v/>
      </c>
      <c r="E3087" t="str">
        <f t="shared" si="242"/>
        <v/>
      </c>
      <c r="F3087" t="str">
        <f>IF(D3087="","",INDEX(Knutepunkter!$B:$B,D3087+1))</f>
        <v/>
      </c>
      <c r="G3087" t="str">
        <f>IF(D3087="","",INDEX(Knutepunkter!$C:$C,D3087+1))</f>
        <v/>
      </c>
      <c r="H3087" t="str">
        <f>IF(D3087="","",INDEX(Knutepunkter!$D:$D,D3087+1))</f>
        <v/>
      </c>
      <c r="I3087" t="str">
        <f>IF(E3087="","",INDEX(Knutepunkter!$B:$B,E3087+1))</f>
        <v/>
      </c>
      <c r="J3087" t="str">
        <f>IF(E3087="","",INDEX(Knutepunkter!$C:$C,E3087+1))</f>
        <v/>
      </c>
      <c r="K3087" t="str">
        <f>IF(E3087="","",INDEX(Knutepunkter!$D:$D,E3087+1))</f>
        <v/>
      </c>
      <c r="L3087" t="str">
        <f t="shared" si="243"/>
        <v/>
      </c>
      <c r="M3087" t="str">
        <f t="shared" si="244"/>
        <v/>
      </c>
    </row>
    <row r="3088" spans="1:13" x14ac:dyDescent="0.3">
      <c r="A3088" t="str">
        <f>Segmenter!A3088</f>
        <v/>
      </c>
      <c r="B3088" t="str">
        <f>Segmenter!B3088</f>
        <v/>
      </c>
      <c r="C3088" t="str">
        <f t="shared" si="240"/>
        <v/>
      </c>
      <c r="D3088" t="str">
        <f t="shared" si="241"/>
        <v/>
      </c>
      <c r="E3088" t="str">
        <f t="shared" si="242"/>
        <v/>
      </c>
      <c r="F3088" t="str">
        <f>IF(D3088="","",INDEX(Knutepunkter!$B:$B,D3088+1))</f>
        <v/>
      </c>
      <c r="G3088" t="str">
        <f>IF(D3088="","",INDEX(Knutepunkter!$C:$C,D3088+1))</f>
        <v/>
      </c>
      <c r="H3088" t="str">
        <f>IF(D3088="","",INDEX(Knutepunkter!$D:$D,D3088+1))</f>
        <v/>
      </c>
      <c r="I3088" t="str">
        <f>IF(E3088="","",INDEX(Knutepunkter!$B:$B,E3088+1))</f>
        <v/>
      </c>
      <c r="J3088" t="str">
        <f>IF(E3088="","",INDEX(Knutepunkter!$C:$C,E3088+1))</f>
        <v/>
      </c>
      <c r="K3088" t="str">
        <f>IF(E3088="","",INDEX(Knutepunkter!$D:$D,E3088+1))</f>
        <v/>
      </c>
      <c r="L3088" t="str">
        <f t="shared" si="243"/>
        <v/>
      </c>
      <c r="M3088" t="str">
        <f t="shared" si="244"/>
        <v/>
      </c>
    </row>
    <row r="3089" spans="1:13" x14ac:dyDescent="0.3">
      <c r="A3089" t="str">
        <f>Segmenter!A3089</f>
        <v/>
      </c>
      <c r="B3089" t="str">
        <f>Segmenter!B3089</f>
        <v/>
      </c>
      <c r="C3089" t="str">
        <f t="shared" si="240"/>
        <v/>
      </c>
      <c r="D3089" t="str">
        <f t="shared" si="241"/>
        <v/>
      </c>
      <c r="E3089" t="str">
        <f t="shared" si="242"/>
        <v/>
      </c>
      <c r="F3089" t="str">
        <f>IF(D3089="","",INDEX(Knutepunkter!$B:$B,D3089+1))</f>
        <v/>
      </c>
      <c r="G3089" t="str">
        <f>IF(D3089="","",INDEX(Knutepunkter!$C:$C,D3089+1))</f>
        <v/>
      </c>
      <c r="H3089" t="str">
        <f>IF(D3089="","",INDEX(Knutepunkter!$D:$D,D3089+1))</f>
        <v/>
      </c>
      <c r="I3089" t="str">
        <f>IF(E3089="","",INDEX(Knutepunkter!$B:$B,E3089+1))</f>
        <v/>
      </c>
      <c r="J3089" t="str">
        <f>IF(E3089="","",INDEX(Knutepunkter!$C:$C,E3089+1))</f>
        <v/>
      </c>
      <c r="K3089" t="str">
        <f>IF(E3089="","",INDEX(Knutepunkter!$D:$D,E3089+1))</f>
        <v/>
      </c>
      <c r="L3089" t="str">
        <f t="shared" si="243"/>
        <v/>
      </c>
      <c r="M3089" t="str">
        <f t="shared" si="244"/>
        <v/>
      </c>
    </row>
    <row r="3090" spans="1:13" x14ac:dyDescent="0.3">
      <c r="A3090" t="str">
        <f>Segmenter!A3090</f>
        <v/>
      </c>
      <c r="B3090" t="str">
        <f>Segmenter!B3090</f>
        <v/>
      </c>
      <c r="C3090" t="str">
        <f t="shared" si="240"/>
        <v/>
      </c>
      <c r="D3090" t="str">
        <f t="shared" si="241"/>
        <v/>
      </c>
      <c r="E3090" t="str">
        <f t="shared" si="242"/>
        <v/>
      </c>
      <c r="F3090" t="str">
        <f>IF(D3090="","",INDEX(Knutepunkter!$B:$B,D3090+1))</f>
        <v/>
      </c>
      <c r="G3090" t="str">
        <f>IF(D3090="","",INDEX(Knutepunkter!$C:$C,D3090+1))</f>
        <v/>
      </c>
      <c r="H3090" t="str">
        <f>IF(D3090="","",INDEX(Knutepunkter!$D:$D,D3090+1))</f>
        <v/>
      </c>
      <c r="I3090" t="str">
        <f>IF(E3090="","",INDEX(Knutepunkter!$B:$B,E3090+1))</f>
        <v/>
      </c>
      <c r="J3090" t="str">
        <f>IF(E3090="","",INDEX(Knutepunkter!$C:$C,E3090+1))</f>
        <v/>
      </c>
      <c r="K3090" t="str">
        <f>IF(E3090="","",INDEX(Knutepunkter!$D:$D,E3090+1))</f>
        <v/>
      </c>
      <c r="L3090" t="str">
        <f t="shared" si="243"/>
        <v/>
      </c>
      <c r="M3090" t="str">
        <f t="shared" si="244"/>
        <v/>
      </c>
    </row>
    <row r="3091" spans="1:13" x14ac:dyDescent="0.3">
      <c r="A3091" t="str">
        <f>Segmenter!A3091</f>
        <v/>
      </c>
      <c r="B3091" t="str">
        <f>Segmenter!B3091</f>
        <v/>
      </c>
      <c r="C3091" t="str">
        <f t="shared" si="240"/>
        <v/>
      </c>
      <c r="D3091" t="str">
        <f t="shared" si="241"/>
        <v/>
      </c>
      <c r="E3091" t="str">
        <f t="shared" si="242"/>
        <v/>
      </c>
      <c r="F3091" t="str">
        <f>IF(D3091="","",INDEX(Knutepunkter!$B:$B,D3091+1))</f>
        <v/>
      </c>
      <c r="G3091" t="str">
        <f>IF(D3091="","",INDEX(Knutepunkter!$C:$C,D3091+1))</f>
        <v/>
      </c>
      <c r="H3091" t="str">
        <f>IF(D3091="","",INDEX(Knutepunkter!$D:$D,D3091+1))</f>
        <v/>
      </c>
      <c r="I3091" t="str">
        <f>IF(E3091="","",INDEX(Knutepunkter!$B:$B,E3091+1))</f>
        <v/>
      </c>
      <c r="J3091" t="str">
        <f>IF(E3091="","",INDEX(Knutepunkter!$C:$C,E3091+1))</f>
        <v/>
      </c>
      <c r="K3091" t="str">
        <f>IF(E3091="","",INDEX(Knutepunkter!$D:$D,E3091+1))</f>
        <v/>
      </c>
      <c r="L3091" t="str">
        <f t="shared" si="243"/>
        <v/>
      </c>
      <c r="M3091" t="str">
        <f t="shared" si="244"/>
        <v/>
      </c>
    </row>
    <row r="3092" spans="1:13" x14ac:dyDescent="0.3">
      <c r="A3092" t="str">
        <f>Segmenter!A3092</f>
        <v/>
      </c>
      <c r="B3092" t="str">
        <f>Segmenter!B3092</f>
        <v/>
      </c>
      <c r="C3092" t="str">
        <f t="shared" si="240"/>
        <v/>
      </c>
      <c r="D3092" t="str">
        <f t="shared" si="241"/>
        <v/>
      </c>
      <c r="E3092" t="str">
        <f t="shared" si="242"/>
        <v/>
      </c>
      <c r="F3092" t="str">
        <f>IF(D3092="","",INDEX(Knutepunkter!$B:$B,D3092+1))</f>
        <v/>
      </c>
      <c r="G3092" t="str">
        <f>IF(D3092="","",INDEX(Knutepunkter!$C:$C,D3092+1))</f>
        <v/>
      </c>
      <c r="H3092" t="str">
        <f>IF(D3092="","",INDEX(Knutepunkter!$D:$D,D3092+1))</f>
        <v/>
      </c>
      <c r="I3092" t="str">
        <f>IF(E3092="","",INDEX(Knutepunkter!$B:$B,E3092+1))</f>
        <v/>
      </c>
      <c r="J3092" t="str">
        <f>IF(E3092="","",INDEX(Knutepunkter!$C:$C,E3092+1))</f>
        <v/>
      </c>
      <c r="K3092" t="str">
        <f>IF(E3092="","",INDEX(Knutepunkter!$D:$D,E3092+1))</f>
        <v/>
      </c>
      <c r="L3092" t="str">
        <f t="shared" si="243"/>
        <v/>
      </c>
      <c r="M3092" t="str">
        <f t="shared" si="244"/>
        <v/>
      </c>
    </row>
    <row r="3093" spans="1:13" x14ac:dyDescent="0.3">
      <c r="A3093" t="str">
        <f>Segmenter!A3093</f>
        <v/>
      </c>
      <c r="B3093" t="str">
        <f>Segmenter!B3093</f>
        <v/>
      </c>
      <c r="C3093" t="str">
        <f t="shared" si="240"/>
        <v/>
      </c>
      <c r="D3093" t="str">
        <f t="shared" si="241"/>
        <v/>
      </c>
      <c r="E3093" t="str">
        <f t="shared" si="242"/>
        <v/>
      </c>
      <c r="F3093" t="str">
        <f>IF(D3093="","",INDEX(Knutepunkter!$B:$B,D3093+1))</f>
        <v/>
      </c>
      <c r="G3093" t="str">
        <f>IF(D3093="","",INDEX(Knutepunkter!$C:$C,D3093+1))</f>
        <v/>
      </c>
      <c r="H3093" t="str">
        <f>IF(D3093="","",INDEX(Knutepunkter!$D:$D,D3093+1))</f>
        <v/>
      </c>
      <c r="I3093" t="str">
        <f>IF(E3093="","",INDEX(Knutepunkter!$B:$B,E3093+1))</f>
        <v/>
      </c>
      <c r="J3093" t="str">
        <f>IF(E3093="","",INDEX(Knutepunkter!$C:$C,E3093+1))</f>
        <v/>
      </c>
      <c r="K3093" t="str">
        <f>IF(E3093="","",INDEX(Knutepunkter!$D:$D,E3093+1))</f>
        <v/>
      </c>
      <c r="L3093" t="str">
        <f t="shared" si="243"/>
        <v/>
      </c>
      <c r="M3093" t="str">
        <f t="shared" si="244"/>
        <v/>
      </c>
    </row>
    <row r="3094" spans="1:13" x14ac:dyDescent="0.3">
      <c r="A3094" t="str">
        <f>Segmenter!A3094</f>
        <v/>
      </c>
      <c r="B3094" t="str">
        <f>Segmenter!B3094</f>
        <v/>
      </c>
      <c r="C3094" t="str">
        <f t="shared" si="240"/>
        <v/>
      </c>
      <c r="D3094" t="str">
        <f t="shared" si="241"/>
        <v/>
      </c>
      <c r="E3094" t="str">
        <f t="shared" si="242"/>
        <v/>
      </c>
      <c r="F3094" t="str">
        <f>IF(D3094="","",INDEX(Knutepunkter!$B:$B,D3094+1))</f>
        <v/>
      </c>
      <c r="G3094" t="str">
        <f>IF(D3094="","",INDEX(Knutepunkter!$C:$C,D3094+1))</f>
        <v/>
      </c>
      <c r="H3094" t="str">
        <f>IF(D3094="","",INDEX(Knutepunkter!$D:$D,D3094+1))</f>
        <v/>
      </c>
      <c r="I3094" t="str">
        <f>IF(E3094="","",INDEX(Knutepunkter!$B:$B,E3094+1))</f>
        <v/>
      </c>
      <c r="J3094" t="str">
        <f>IF(E3094="","",INDEX(Knutepunkter!$C:$C,E3094+1))</f>
        <v/>
      </c>
      <c r="K3094" t="str">
        <f>IF(E3094="","",INDEX(Knutepunkter!$D:$D,E3094+1))</f>
        <v/>
      </c>
      <c r="L3094" t="str">
        <f t="shared" si="243"/>
        <v/>
      </c>
      <c r="M3094" t="str">
        <f t="shared" si="244"/>
        <v/>
      </c>
    </row>
    <row r="3095" spans="1:13" x14ac:dyDescent="0.3">
      <c r="A3095" t="str">
        <f>Segmenter!A3095</f>
        <v/>
      </c>
      <c r="B3095" t="str">
        <f>Segmenter!B3095</f>
        <v/>
      </c>
      <c r="C3095" t="str">
        <f t="shared" si="240"/>
        <v/>
      </c>
      <c r="D3095" t="str">
        <f t="shared" si="241"/>
        <v/>
      </c>
      <c r="E3095" t="str">
        <f t="shared" si="242"/>
        <v/>
      </c>
      <c r="F3095" t="str">
        <f>IF(D3095="","",INDEX(Knutepunkter!$B:$B,D3095+1))</f>
        <v/>
      </c>
      <c r="G3095" t="str">
        <f>IF(D3095="","",INDEX(Knutepunkter!$C:$C,D3095+1))</f>
        <v/>
      </c>
      <c r="H3095" t="str">
        <f>IF(D3095="","",INDEX(Knutepunkter!$D:$D,D3095+1))</f>
        <v/>
      </c>
      <c r="I3095" t="str">
        <f>IF(E3095="","",INDEX(Knutepunkter!$B:$B,E3095+1))</f>
        <v/>
      </c>
      <c r="J3095" t="str">
        <f>IF(E3095="","",INDEX(Knutepunkter!$C:$C,E3095+1))</f>
        <v/>
      </c>
      <c r="K3095" t="str">
        <f>IF(E3095="","",INDEX(Knutepunkter!$D:$D,E3095+1))</f>
        <v/>
      </c>
      <c r="L3095" t="str">
        <f t="shared" si="243"/>
        <v/>
      </c>
      <c r="M3095" t="str">
        <f t="shared" si="244"/>
        <v/>
      </c>
    </row>
    <row r="3096" spans="1:13" x14ac:dyDescent="0.3">
      <c r="A3096" t="str">
        <f>Segmenter!A3096</f>
        <v/>
      </c>
      <c r="B3096" t="str">
        <f>Segmenter!B3096</f>
        <v/>
      </c>
      <c r="C3096" t="str">
        <f t="shared" si="240"/>
        <v/>
      </c>
      <c r="D3096" t="str">
        <f t="shared" si="241"/>
        <v/>
      </c>
      <c r="E3096" t="str">
        <f t="shared" si="242"/>
        <v/>
      </c>
      <c r="F3096" t="str">
        <f>IF(D3096="","",INDEX(Knutepunkter!$B:$B,D3096+1))</f>
        <v/>
      </c>
      <c r="G3096" t="str">
        <f>IF(D3096="","",INDEX(Knutepunkter!$C:$C,D3096+1))</f>
        <v/>
      </c>
      <c r="H3096" t="str">
        <f>IF(D3096="","",INDEX(Knutepunkter!$D:$D,D3096+1))</f>
        <v/>
      </c>
      <c r="I3096" t="str">
        <f>IF(E3096="","",INDEX(Knutepunkter!$B:$B,E3096+1))</f>
        <v/>
      </c>
      <c r="J3096" t="str">
        <f>IF(E3096="","",INDEX(Knutepunkter!$C:$C,E3096+1))</f>
        <v/>
      </c>
      <c r="K3096" t="str">
        <f>IF(E3096="","",INDEX(Knutepunkter!$D:$D,E3096+1))</f>
        <v/>
      </c>
      <c r="L3096" t="str">
        <f t="shared" si="243"/>
        <v/>
      </c>
      <c r="M3096" t="str">
        <f t="shared" si="244"/>
        <v/>
      </c>
    </row>
    <row r="3097" spans="1:13" x14ac:dyDescent="0.3">
      <c r="A3097" t="str">
        <f>Segmenter!A3097</f>
        <v/>
      </c>
      <c r="B3097" t="str">
        <f>Segmenter!B3097</f>
        <v/>
      </c>
      <c r="C3097" t="str">
        <f t="shared" si="240"/>
        <v/>
      </c>
      <c r="D3097" t="str">
        <f t="shared" si="241"/>
        <v/>
      </c>
      <c r="E3097" t="str">
        <f t="shared" si="242"/>
        <v/>
      </c>
      <c r="F3097" t="str">
        <f>IF(D3097="","",INDEX(Knutepunkter!$B:$B,D3097+1))</f>
        <v/>
      </c>
      <c r="G3097" t="str">
        <f>IF(D3097="","",INDEX(Knutepunkter!$C:$C,D3097+1))</f>
        <v/>
      </c>
      <c r="H3097" t="str">
        <f>IF(D3097="","",INDEX(Knutepunkter!$D:$D,D3097+1))</f>
        <v/>
      </c>
      <c r="I3097" t="str">
        <f>IF(E3097="","",INDEX(Knutepunkter!$B:$B,E3097+1))</f>
        <v/>
      </c>
      <c r="J3097" t="str">
        <f>IF(E3097="","",INDEX(Knutepunkter!$C:$C,E3097+1))</f>
        <v/>
      </c>
      <c r="K3097" t="str">
        <f>IF(E3097="","",INDEX(Knutepunkter!$D:$D,E3097+1))</f>
        <v/>
      </c>
      <c r="L3097" t="str">
        <f t="shared" si="243"/>
        <v/>
      </c>
      <c r="M3097" t="str">
        <f t="shared" si="244"/>
        <v/>
      </c>
    </row>
    <row r="3098" spans="1:13" x14ac:dyDescent="0.3">
      <c r="A3098" t="str">
        <f>Segmenter!A3098</f>
        <v/>
      </c>
      <c r="B3098" t="str">
        <f>Segmenter!B3098</f>
        <v/>
      </c>
      <c r="C3098" t="str">
        <f t="shared" si="240"/>
        <v/>
      </c>
      <c r="D3098" t="str">
        <f t="shared" si="241"/>
        <v/>
      </c>
      <c r="E3098" t="str">
        <f t="shared" si="242"/>
        <v/>
      </c>
      <c r="F3098" t="str">
        <f>IF(D3098="","",INDEX(Knutepunkter!$B:$B,D3098+1))</f>
        <v/>
      </c>
      <c r="G3098" t="str">
        <f>IF(D3098="","",INDEX(Knutepunkter!$C:$C,D3098+1))</f>
        <v/>
      </c>
      <c r="H3098" t="str">
        <f>IF(D3098="","",INDEX(Knutepunkter!$D:$D,D3098+1))</f>
        <v/>
      </c>
      <c r="I3098" t="str">
        <f>IF(E3098="","",INDEX(Knutepunkter!$B:$B,E3098+1))</f>
        <v/>
      </c>
      <c r="J3098" t="str">
        <f>IF(E3098="","",INDEX(Knutepunkter!$C:$C,E3098+1))</f>
        <v/>
      </c>
      <c r="K3098" t="str">
        <f>IF(E3098="","",INDEX(Knutepunkter!$D:$D,E3098+1))</f>
        <v/>
      </c>
      <c r="L3098" t="str">
        <f t="shared" si="243"/>
        <v/>
      </c>
      <c r="M3098" t="str">
        <f t="shared" si="244"/>
        <v/>
      </c>
    </row>
    <row r="3099" spans="1:13" x14ac:dyDescent="0.3">
      <c r="A3099" t="str">
        <f>Segmenter!A3099</f>
        <v/>
      </c>
      <c r="B3099" t="str">
        <f>Segmenter!B3099</f>
        <v/>
      </c>
      <c r="C3099" t="str">
        <f t="shared" si="240"/>
        <v/>
      </c>
      <c r="D3099" t="str">
        <f t="shared" si="241"/>
        <v/>
      </c>
      <c r="E3099" t="str">
        <f t="shared" si="242"/>
        <v/>
      </c>
      <c r="F3099" t="str">
        <f>IF(D3099="","",INDEX(Knutepunkter!$B:$B,D3099+1))</f>
        <v/>
      </c>
      <c r="G3099" t="str">
        <f>IF(D3099="","",INDEX(Knutepunkter!$C:$C,D3099+1))</f>
        <v/>
      </c>
      <c r="H3099" t="str">
        <f>IF(D3099="","",INDEX(Knutepunkter!$D:$D,D3099+1))</f>
        <v/>
      </c>
      <c r="I3099" t="str">
        <f>IF(E3099="","",INDEX(Knutepunkter!$B:$B,E3099+1))</f>
        <v/>
      </c>
      <c r="J3099" t="str">
        <f>IF(E3099="","",INDEX(Knutepunkter!$C:$C,E3099+1))</f>
        <v/>
      </c>
      <c r="K3099" t="str">
        <f>IF(E3099="","",INDEX(Knutepunkter!$D:$D,E3099+1))</f>
        <v/>
      </c>
      <c r="L3099" t="str">
        <f t="shared" si="243"/>
        <v/>
      </c>
      <c r="M3099" t="str">
        <f t="shared" si="244"/>
        <v/>
      </c>
    </row>
    <row r="3100" spans="1:13" x14ac:dyDescent="0.3">
      <c r="A3100" t="str">
        <f>Segmenter!A3100</f>
        <v/>
      </c>
      <c r="B3100" t="str">
        <f>Segmenter!B3100</f>
        <v/>
      </c>
      <c r="C3100" t="str">
        <f t="shared" si="240"/>
        <v/>
      </c>
      <c r="D3100" t="str">
        <f t="shared" si="241"/>
        <v/>
      </c>
      <c r="E3100" t="str">
        <f t="shared" si="242"/>
        <v/>
      </c>
      <c r="F3100" t="str">
        <f>IF(D3100="","",INDEX(Knutepunkter!$B:$B,D3100+1))</f>
        <v/>
      </c>
      <c r="G3100" t="str">
        <f>IF(D3100="","",INDEX(Knutepunkter!$C:$C,D3100+1))</f>
        <v/>
      </c>
      <c r="H3100" t="str">
        <f>IF(D3100="","",INDEX(Knutepunkter!$D:$D,D3100+1))</f>
        <v/>
      </c>
      <c r="I3100" t="str">
        <f>IF(E3100="","",INDEX(Knutepunkter!$B:$B,E3100+1))</f>
        <v/>
      </c>
      <c r="J3100" t="str">
        <f>IF(E3100="","",INDEX(Knutepunkter!$C:$C,E3100+1))</f>
        <v/>
      </c>
      <c r="K3100" t="str">
        <f>IF(E3100="","",INDEX(Knutepunkter!$D:$D,E3100+1))</f>
        <v/>
      </c>
      <c r="L3100" t="str">
        <f t="shared" si="243"/>
        <v/>
      </c>
      <c r="M3100" t="str">
        <f t="shared" si="244"/>
        <v/>
      </c>
    </row>
    <row r="3101" spans="1:13" x14ac:dyDescent="0.3">
      <c r="A3101" t="str">
        <f>Segmenter!A3101</f>
        <v/>
      </c>
      <c r="B3101" t="str">
        <f>Segmenter!B3101</f>
        <v/>
      </c>
      <c r="C3101" t="str">
        <f t="shared" si="240"/>
        <v/>
      </c>
      <c r="D3101" t="str">
        <f t="shared" si="241"/>
        <v/>
      </c>
      <c r="E3101" t="str">
        <f t="shared" si="242"/>
        <v/>
      </c>
      <c r="F3101" t="str">
        <f>IF(D3101="","",INDEX(Knutepunkter!$B:$B,D3101+1))</f>
        <v/>
      </c>
      <c r="G3101" t="str">
        <f>IF(D3101="","",INDEX(Knutepunkter!$C:$C,D3101+1))</f>
        <v/>
      </c>
      <c r="H3101" t="str">
        <f>IF(D3101="","",INDEX(Knutepunkter!$D:$D,D3101+1))</f>
        <v/>
      </c>
      <c r="I3101" t="str">
        <f>IF(E3101="","",INDEX(Knutepunkter!$B:$B,E3101+1))</f>
        <v/>
      </c>
      <c r="J3101" t="str">
        <f>IF(E3101="","",INDEX(Knutepunkter!$C:$C,E3101+1))</f>
        <v/>
      </c>
      <c r="K3101" t="str">
        <f>IF(E3101="","",INDEX(Knutepunkter!$D:$D,E3101+1))</f>
        <v/>
      </c>
      <c r="L3101" t="str">
        <f t="shared" si="243"/>
        <v/>
      </c>
      <c r="M3101" t="str">
        <f t="shared" si="244"/>
        <v/>
      </c>
    </row>
    <row r="3102" spans="1:13" x14ac:dyDescent="0.3">
      <c r="A3102" t="str">
        <f>Segmenter!A3102</f>
        <v/>
      </c>
      <c r="B3102" t="str">
        <f>Segmenter!B3102</f>
        <v/>
      </c>
      <c r="C3102" t="str">
        <f t="shared" si="240"/>
        <v/>
      </c>
      <c r="D3102" t="str">
        <f t="shared" si="241"/>
        <v/>
      </c>
      <c r="E3102" t="str">
        <f t="shared" si="242"/>
        <v/>
      </c>
      <c r="F3102" t="str">
        <f>IF(D3102="","",INDEX(Knutepunkter!$B:$B,D3102+1))</f>
        <v/>
      </c>
      <c r="G3102" t="str">
        <f>IF(D3102="","",INDEX(Knutepunkter!$C:$C,D3102+1))</f>
        <v/>
      </c>
      <c r="H3102" t="str">
        <f>IF(D3102="","",INDEX(Knutepunkter!$D:$D,D3102+1))</f>
        <v/>
      </c>
      <c r="I3102" t="str">
        <f>IF(E3102="","",INDEX(Knutepunkter!$B:$B,E3102+1))</f>
        <v/>
      </c>
      <c r="J3102" t="str">
        <f>IF(E3102="","",INDEX(Knutepunkter!$C:$C,E3102+1))</f>
        <v/>
      </c>
      <c r="K3102" t="str">
        <f>IF(E3102="","",INDEX(Knutepunkter!$D:$D,E3102+1))</f>
        <v/>
      </c>
      <c r="L3102" t="str">
        <f t="shared" si="243"/>
        <v/>
      </c>
      <c r="M3102" t="str">
        <f t="shared" si="244"/>
        <v/>
      </c>
    </row>
    <row r="3103" spans="1:13" x14ac:dyDescent="0.3">
      <c r="A3103" t="str">
        <f>Segmenter!A3103</f>
        <v/>
      </c>
      <c r="B3103" t="str">
        <f>Segmenter!B3103</f>
        <v/>
      </c>
      <c r="C3103" t="str">
        <f t="shared" si="240"/>
        <v/>
      </c>
      <c r="D3103" t="str">
        <f t="shared" si="241"/>
        <v/>
      </c>
      <c r="E3103" t="str">
        <f t="shared" si="242"/>
        <v/>
      </c>
      <c r="F3103" t="str">
        <f>IF(D3103="","",INDEX(Knutepunkter!$B:$B,D3103+1))</f>
        <v/>
      </c>
      <c r="G3103" t="str">
        <f>IF(D3103="","",INDEX(Knutepunkter!$C:$C,D3103+1))</f>
        <v/>
      </c>
      <c r="H3103" t="str">
        <f>IF(D3103="","",INDEX(Knutepunkter!$D:$D,D3103+1))</f>
        <v/>
      </c>
      <c r="I3103" t="str">
        <f>IF(E3103="","",INDEX(Knutepunkter!$B:$B,E3103+1))</f>
        <v/>
      </c>
      <c r="J3103" t="str">
        <f>IF(E3103="","",INDEX(Knutepunkter!$C:$C,E3103+1))</f>
        <v/>
      </c>
      <c r="K3103" t="str">
        <f>IF(E3103="","",INDEX(Knutepunkter!$D:$D,E3103+1))</f>
        <v/>
      </c>
      <c r="L3103" t="str">
        <f t="shared" si="243"/>
        <v/>
      </c>
      <c r="M3103" t="str">
        <f t="shared" si="244"/>
        <v/>
      </c>
    </row>
    <row r="3104" spans="1:13" x14ac:dyDescent="0.3">
      <c r="A3104" t="str">
        <f>Segmenter!A3104</f>
        <v/>
      </c>
      <c r="B3104" t="str">
        <f>Segmenter!B3104</f>
        <v/>
      </c>
      <c r="C3104" t="str">
        <f t="shared" si="240"/>
        <v/>
      </c>
      <c r="D3104" t="str">
        <f t="shared" si="241"/>
        <v/>
      </c>
      <c r="E3104" t="str">
        <f t="shared" si="242"/>
        <v/>
      </c>
      <c r="F3104" t="str">
        <f>IF(D3104="","",INDEX(Knutepunkter!$B:$B,D3104+1))</f>
        <v/>
      </c>
      <c r="G3104" t="str">
        <f>IF(D3104="","",INDEX(Knutepunkter!$C:$C,D3104+1))</f>
        <v/>
      </c>
      <c r="H3104" t="str">
        <f>IF(D3104="","",INDEX(Knutepunkter!$D:$D,D3104+1))</f>
        <v/>
      </c>
      <c r="I3104" t="str">
        <f>IF(E3104="","",INDEX(Knutepunkter!$B:$B,E3104+1))</f>
        <v/>
      </c>
      <c r="J3104" t="str">
        <f>IF(E3104="","",INDEX(Knutepunkter!$C:$C,E3104+1))</f>
        <v/>
      </c>
      <c r="K3104" t="str">
        <f>IF(E3104="","",INDEX(Knutepunkter!$D:$D,E3104+1))</f>
        <v/>
      </c>
      <c r="L3104" t="str">
        <f t="shared" si="243"/>
        <v/>
      </c>
      <c r="M3104" t="str">
        <f t="shared" si="244"/>
        <v/>
      </c>
    </row>
    <row r="3105" spans="1:13" x14ac:dyDescent="0.3">
      <c r="A3105" t="str">
        <f>Segmenter!A3105</f>
        <v/>
      </c>
      <c r="B3105" t="str">
        <f>Segmenter!B3105</f>
        <v/>
      </c>
      <c r="C3105" t="str">
        <f t="shared" si="240"/>
        <v/>
      </c>
      <c r="D3105" t="str">
        <f t="shared" si="241"/>
        <v/>
      </c>
      <c r="E3105" t="str">
        <f t="shared" si="242"/>
        <v/>
      </c>
      <c r="F3105" t="str">
        <f>IF(D3105="","",INDEX(Knutepunkter!$B:$B,D3105+1))</f>
        <v/>
      </c>
      <c r="G3105" t="str">
        <f>IF(D3105="","",INDEX(Knutepunkter!$C:$C,D3105+1))</f>
        <v/>
      </c>
      <c r="H3105" t="str">
        <f>IF(D3105="","",INDEX(Knutepunkter!$D:$D,D3105+1))</f>
        <v/>
      </c>
      <c r="I3105" t="str">
        <f>IF(E3105="","",INDEX(Knutepunkter!$B:$B,E3105+1))</f>
        <v/>
      </c>
      <c r="J3105" t="str">
        <f>IF(E3105="","",INDEX(Knutepunkter!$C:$C,E3105+1))</f>
        <v/>
      </c>
      <c r="K3105" t="str">
        <f>IF(E3105="","",INDEX(Knutepunkter!$D:$D,E3105+1))</f>
        <v/>
      </c>
      <c r="L3105" t="str">
        <f t="shared" si="243"/>
        <v/>
      </c>
      <c r="M3105" t="str">
        <f t="shared" si="244"/>
        <v/>
      </c>
    </row>
    <row r="3106" spans="1:13" x14ac:dyDescent="0.3">
      <c r="A3106" t="str">
        <f>Segmenter!A3106</f>
        <v/>
      </c>
      <c r="B3106" t="str">
        <f>Segmenter!B3106</f>
        <v/>
      </c>
      <c r="C3106" t="str">
        <f t="shared" si="240"/>
        <v/>
      </c>
      <c r="D3106" t="str">
        <f t="shared" si="241"/>
        <v/>
      </c>
      <c r="E3106" t="str">
        <f t="shared" si="242"/>
        <v/>
      </c>
      <c r="F3106" t="str">
        <f>IF(D3106="","",INDEX(Knutepunkter!$B:$B,D3106+1))</f>
        <v/>
      </c>
      <c r="G3106" t="str">
        <f>IF(D3106="","",INDEX(Knutepunkter!$C:$C,D3106+1))</f>
        <v/>
      </c>
      <c r="H3106" t="str">
        <f>IF(D3106="","",INDEX(Knutepunkter!$D:$D,D3106+1))</f>
        <v/>
      </c>
      <c r="I3106" t="str">
        <f>IF(E3106="","",INDEX(Knutepunkter!$B:$B,E3106+1))</f>
        <v/>
      </c>
      <c r="J3106" t="str">
        <f>IF(E3106="","",INDEX(Knutepunkter!$C:$C,E3106+1))</f>
        <v/>
      </c>
      <c r="K3106" t="str">
        <f>IF(E3106="","",INDEX(Knutepunkter!$D:$D,E3106+1))</f>
        <v/>
      </c>
      <c r="L3106" t="str">
        <f t="shared" si="243"/>
        <v/>
      </c>
      <c r="M3106" t="str">
        <f t="shared" si="244"/>
        <v/>
      </c>
    </row>
    <row r="3107" spans="1:13" x14ac:dyDescent="0.3">
      <c r="A3107" t="str">
        <f>Segmenter!A3107</f>
        <v/>
      </c>
      <c r="B3107" t="str">
        <f>Segmenter!B3107</f>
        <v/>
      </c>
      <c r="C3107" t="str">
        <f t="shared" si="240"/>
        <v/>
      </c>
      <c r="D3107" t="str">
        <f t="shared" si="241"/>
        <v/>
      </c>
      <c r="E3107" t="str">
        <f t="shared" si="242"/>
        <v/>
      </c>
      <c r="F3107" t="str">
        <f>IF(D3107="","",INDEX(Knutepunkter!$B:$B,D3107+1))</f>
        <v/>
      </c>
      <c r="G3107" t="str">
        <f>IF(D3107="","",INDEX(Knutepunkter!$C:$C,D3107+1))</f>
        <v/>
      </c>
      <c r="H3107" t="str">
        <f>IF(D3107="","",INDEX(Knutepunkter!$D:$D,D3107+1))</f>
        <v/>
      </c>
      <c r="I3107" t="str">
        <f>IF(E3107="","",INDEX(Knutepunkter!$B:$B,E3107+1))</f>
        <v/>
      </c>
      <c r="J3107" t="str">
        <f>IF(E3107="","",INDEX(Knutepunkter!$C:$C,E3107+1))</f>
        <v/>
      </c>
      <c r="K3107" t="str">
        <f>IF(E3107="","",INDEX(Knutepunkter!$D:$D,E3107+1))</f>
        <v/>
      </c>
      <c r="L3107" t="str">
        <f t="shared" si="243"/>
        <v/>
      </c>
      <c r="M3107" t="str">
        <f t="shared" si="244"/>
        <v/>
      </c>
    </row>
    <row r="3108" spans="1:13" x14ac:dyDescent="0.3">
      <c r="A3108" t="str">
        <f>Segmenter!A3108</f>
        <v/>
      </c>
      <c r="B3108" t="str">
        <f>Segmenter!B3108</f>
        <v/>
      </c>
      <c r="C3108" t="str">
        <f t="shared" si="240"/>
        <v/>
      </c>
      <c r="D3108" t="str">
        <f t="shared" si="241"/>
        <v/>
      </c>
      <c r="E3108" t="str">
        <f t="shared" si="242"/>
        <v/>
      </c>
      <c r="F3108" t="str">
        <f>IF(D3108="","",INDEX(Knutepunkter!$B:$B,D3108+1))</f>
        <v/>
      </c>
      <c r="G3108" t="str">
        <f>IF(D3108="","",INDEX(Knutepunkter!$C:$C,D3108+1))</f>
        <v/>
      </c>
      <c r="H3108" t="str">
        <f>IF(D3108="","",INDEX(Knutepunkter!$D:$D,D3108+1))</f>
        <v/>
      </c>
      <c r="I3108" t="str">
        <f>IF(E3108="","",INDEX(Knutepunkter!$B:$B,E3108+1))</f>
        <v/>
      </c>
      <c r="J3108" t="str">
        <f>IF(E3108="","",INDEX(Knutepunkter!$C:$C,E3108+1))</f>
        <v/>
      </c>
      <c r="K3108" t="str">
        <f>IF(E3108="","",INDEX(Knutepunkter!$D:$D,E3108+1))</f>
        <v/>
      </c>
      <c r="L3108" t="str">
        <f t="shared" si="243"/>
        <v/>
      </c>
      <c r="M3108" t="str">
        <f t="shared" si="244"/>
        <v/>
      </c>
    </row>
    <row r="3109" spans="1:13" x14ac:dyDescent="0.3">
      <c r="A3109" t="str">
        <f>Segmenter!A3109</f>
        <v/>
      </c>
      <c r="B3109" t="str">
        <f>Segmenter!B3109</f>
        <v/>
      </c>
      <c r="C3109" t="str">
        <f t="shared" si="240"/>
        <v/>
      </c>
      <c r="D3109" t="str">
        <f t="shared" si="241"/>
        <v/>
      </c>
      <c r="E3109" t="str">
        <f t="shared" si="242"/>
        <v/>
      </c>
      <c r="F3109" t="str">
        <f>IF(D3109="","",INDEX(Knutepunkter!$B:$B,D3109+1))</f>
        <v/>
      </c>
      <c r="G3109" t="str">
        <f>IF(D3109="","",INDEX(Knutepunkter!$C:$C,D3109+1))</f>
        <v/>
      </c>
      <c r="H3109" t="str">
        <f>IF(D3109="","",INDEX(Knutepunkter!$D:$D,D3109+1))</f>
        <v/>
      </c>
      <c r="I3109" t="str">
        <f>IF(E3109="","",INDEX(Knutepunkter!$B:$B,E3109+1))</f>
        <v/>
      </c>
      <c r="J3109" t="str">
        <f>IF(E3109="","",INDEX(Knutepunkter!$C:$C,E3109+1))</f>
        <v/>
      </c>
      <c r="K3109" t="str">
        <f>IF(E3109="","",INDEX(Knutepunkter!$D:$D,E3109+1))</f>
        <v/>
      </c>
      <c r="L3109" t="str">
        <f t="shared" si="243"/>
        <v/>
      </c>
      <c r="M3109" t="str">
        <f t="shared" si="244"/>
        <v/>
      </c>
    </row>
    <row r="3110" spans="1:13" x14ac:dyDescent="0.3">
      <c r="A3110" t="str">
        <f>Segmenter!A3110</f>
        <v/>
      </c>
      <c r="B3110" t="str">
        <f>Segmenter!B3110</f>
        <v/>
      </c>
      <c r="C3110" t="str">
        <f t="shared" si="240"/>
        <v/>
      </c>
      <c r="D3110" t="str">
        <f t="shared" si="241"/>
        <v/>
      </c>
      <c r="E3110" t="str">
        <f t="shared" si="242"/>
        <v/>
      </c>
      <c r="F3110" t="str">
        <f>IF(D3110="","",INDEX(Knutepunkter!$B:$B,D3110+1))</f>
        <v/>
      </c>
      <c r="G3110" t="str">
        <f>IF(D3110="","",INDEX(Knutepunkter!$C:$C,D3110+1))</f>
        <v/>
      </c>
      <c r="H3110" t="str">
        <f>IF(D3110="","",INDEX(Knutepunkter!$D:$D,D3110+1))</f>
        <v/>
      </c>
      <c r="I3110" t="str">
        <f>IF(E3110="","",INDEX(Knutepunkter!$B:$B,E3110+1))</f>
        <v/>
      </c>
      <c r="J3110" t="str">
        <f>IF(E3110="","",INDEX(Knutepunkter!$C:$C,E3110+1))</f>
        <v/>
      </c>
      <c r="K3110" t="str">
        <f>IF(E3110="","",INDEX(Knutepunkter!$D:$D,E3110+1))</f>
        <v/>
      </c>
      <c r="L3110" t="str">
        <f t="shared" si="243"/>
        <v/>
      </c>
      <c r="M3110" t="str">
        <f t="shared" si="244"/>
        <v/>
      </c>
    </row>
    <row r="3111" spans="1:13" x14ac:dyDescent="0.3">
      <c r="A3111" t="str">
        <f>Segmenter!A3111</f>
        <v/>
      </c>
      <c r="B3111" t="str">
        <f>Segmenter!B3111</f>
        <v/>
      </c>
      <c r="C3111" t="str">
        <f t="shared" si="240"/>
        <v/>
      </c>
      <c r="D3111" t="str">
        <f t="shared" si="241"/>
        <v/>
      </c>
      <c r="E3111" t="str">
        <f t="shared" si="242"/>
        <v/>
      </c>
      <c r="F3111" t="str">
        <f>IF(D3111="","",INDEX(Knutepunkter!$B:$B,D3111+1))</f>
        <v/>
      </c>
      <c r="G3111" t="str">
        <f>IF(D3111="","",INDEX(Knutepunkter!$C:$C,D3111+1))</f>
        <v/>
      </c>
      <c r="H3111" t="str">
        <f>IF(D3111="","",INDEX(Knutepunkter!$D:$D,D3111+1))</f>
        <v/>
      </c>
      <c r="I3111" t="str">
        <f>IF(E3111="","",INDEX(Knutepunkter!$B:$B,E3111+1))</f>
        <v/>
      </c>
      <c r="J3111" t="str">
        <f>IF(E3111="","",INDEX(Knutepunkter!$C:$C,E3111+1))</f>
        <v/>
      </c>
      <c r="K3111" t="str">
        <f>IF(E3111="","",INDEX(Knutepunkter!$D:$D,E3111+1))</f>
        <v/>
      </c>
      <c r="L3111" t="str">
        <f t="shared" si="243"/>
        <v/>
      </c>
      <c r="M3111" t="str">
        <f t="shared" si="244"/>
        <v/>
      </c>
    </row>
    <row r="3112" spans="1:13" x14ac:dyDescent="0.3">
      <c r="A3112" t="str">
        <f>Segmenter!A3112</f>
        <v/>
      </c>
      <c r="B3112" t="str">
        <f>Segmenter!B3112</f>
        <v/>
      </c>
      <c r="C3112" t="str">
        <f t="shared" si="240"/>
        <v/>
      </c>
      <c r="D3112" t="str">
        <f t="shared" si="241"/>
        <v/>
      </c>
      <c r="E3112" t="str">
        <f t="shared" si="242"/>
        <v/>
      </c>
      <c r="F3112" t="str">
        <f>IF(D3112="","",INDEX(Knutepunkter!$B:$B,D3112+1))</f>
        <v/>
      </c>
      <c r="G3112" t="str">
        <f>IF(D3112="","",INDEX(Knutepunkter!$C:$C,D3112+1))</f>
        <v/>
      </c>
      <c r="H3112" t="str">
        <f>IF(D3112="","",INDEX(Knutepunkter!$D:$D,D3112+1))</f>
        <v/>
      </c>
      <c r="I3112" t="str">
        <f>IF(E3112="","",INDEX(Knutepunkter!$B:$B,E3112+1))</f>
        <v/>
      </c>
      <c r="J3112" t="str">
        <f>IF(E3112="","",INDEX(Knutepunkter!$C:$C,E3112+1))</f>
        <v/>
      </c>
      <c r="K3112" t="str">
        <f>IF(E3112="","",INDEX(Knutepunkter!$D:$D,E3112+1))</f>
        <v/>
      </c>
      <c r="L3112" t="str">
        <f t="shared" si="243"/>
        <v/>
      </c>
      <c r="M3112" t="str">
        <f t="shared" si="244"/>
        <v/>
      </c>
    </row>
    <row r="3113" spans="1:13" x14ac:dyDescent="0.3">
      <c r="A3113" t="str">
        <f>Segmenter!A3113</f>
        <v/>
      </c>
      <c r="B3113" t="str">
        <f>Segmenter!B3113</f>
        <v/>
      </c>
      <c r="C3113" t="str">
        <f t="shared" si="240"/>
        <v/>
      </c>
      <c r="D3113" t="str">
        <f t="shared" si="241"/>
        <v/>
      </c>
      <c r="E3113" t="str">
        <f t="shared" si="242"/>
        <v/>
      </c>
      <c r="F3113" t="str">
        <f>IF(D3113="","",INDEX(Knutepunkter!$B:$B,D3113+1))</f>
        <v/>
      </c>
      <c r="G3113" t="str">
        <f>IF(D3113="","",INDEX(Knutepunkter!$C:$C,D3113+1))</f>
        <v/>
      </c>
      <c r="H3113" t="str">
        <f>IF(D3113="","",INDEX(Knutepunkter!$D:$D,D3113+1))</f>
        <v/>
      </c>
      <c r="I3113" t="str">
        <f>IF(E3113="","",INDEX(Knutepunkter!$B:$B,E3113+1))</f>
        <v/>
      </c>
      <c r="J3113" t="str">
        <f>IF(E3113="","",INDEX(Knutepunkter!$C:$C,E3113+1))</f>
        <v/>
      </c>
      <c r="K3113" t="str">
        <f>IF(E3113="","",INDEX(Knutepunkter!$D:$D,E3113+1))</f>
        <v/>
      </c>
      <c r="L3113" t="str">
        <f t="shared" si="243"/>
        <v/>
      </c>
      <c r="M3113" t="str">
        <f t="shared" si="244"/>
        <v/>
      </c>
    </row>
    <row r="3114" spans="1:13" x14ac:dyDescent="0.3">
      <c r="A3114" t="str">
        <f>Segmenter!A3114</f>
        <v/>
      </c>
      <c r="B3114" t="str">
        <f>Segmenter!B3114</f>
        <v/>
      </c>
      <c r="C3114" t="str">
        <f t="shared" si="240"/>
        <v/>
      </c>
      <c r="D3114" t="str">
        <f t="shared" si="241"/>
        <v/>
      </c>
      <c r="E3114" t="str">
        <f t="shared" si="242"/>
        <v/>
      </c>
      <c r="F3114" t="str">
        <f>IF(D3114="","",INDEX(Knutepunkter!$B:$B,D3114+1))</f>
        <v/>
      </c>
      <c r="G3114" t="str">
        <f>IF(D3114="","",INDEX(Knutepunkter!$C:$C,D3114+1))</f>
        <v/>
      </c>
      <c r="H3114" t="str">
        <f>IF(D3114="","",INDEX(Knutepunkter!$D:$D,D3114+1))</f>
        <v/>
      </c>
      <c r="I3114" t="str">
        <f>IF(E3114="","",INDEX(Knutepunkter!$B:$B,E3114+1))</f>
        <v/>
      </c>
      <c r="J3114" t="str">
        <f>IF(E3114="","",INDEX(Knutepunkter!$C:$C,E3114+1))</f>
        <v/>
      </c>
      <c r="K3114" t="str">
        <f>IF(E3114="","",INDEX(Knutepunkter!$D:$D,E3114+1))</f>
        <v/>
      </c>
      <c r="L3114" t="str">
        <f t="shared" si="243"/>
        <v/>
      </c>
      <c r="M3114" t="str">
        <f t="shared" si="244"/>
        <v/>
      </c>
    </row>
    <row r="3115" spans="1:13" x14ac:dyDescent="0.3">
      <c r="A3115" t="str">
        <f>Segmenter!A3115</f>
        <v/>
      </c>
      <c r="B3115" t="str">
        <f>Segmenter!B3115</f>
        <v/>
      </c>
      <c r="C3115" t="str">
        <f t="shared" si="240"/>
        <v/>
      </c>
      <c r="D3115" t="str">
        <f t="shared" si="241"/>
        <v/>
      </c>
      <c r="E3115" t="str">
        <f t="shared" si="242"/>
        <v/>
      </c>
      <c r="F3115" t="str">
        <f>IF(D3115="","",INDEX(Knutepunkter!$B:$B,D3115+1))</f>
        <v/>
      </c>
      <c r="G3115" t="str">
        <f>IF(D3115="","",INDEX(Knutepunkter!$C:$C,D3115+1))</f>
        <v/>
      </c>
      <c r="H3115" t="str">
        <f>IF(D3115="","",INDEX(Knutepunkter!$D:$D,D3115+1))</f>
        <v/>
      </c>
      <c r="I3115" t="str">
        <f>IF(E3115="","",INDEX(Knutepunkter!$B:$B,E3115+1))</f>
        <v/>
      </c>
      <c r="J3115" t="str">
        <f>IF(E3115="","",INDEX(Knutepunkter!$C:$C,E3115+1))</f>
        <v/>
      </c>
      <c r="K3115" t="str">
        <f>IF(E3115="","",INDEX(Knutepunkter!$D:$D,E3115+1))</f>
        <v/>
      </c>
      <c r="L3115" t="str">
        <f t="shared" si="243"/>
        <v/>
      </c>
      <c r="M3115" t="str">
        <f t="shared" si="244"/>
        <v/>
      </c>
    </row>
    <row r="3116" spans="1:13" x14ac:dyDescent="0.3">
      <c r="A3116" t="str">
        <f>Segmenter!A3116</f>
        <v/>
      </c>
      <c r="B3116" t="str">
        <f>Segmenter!B3116</f>
        <v/>
      </c>
      <c r="C3116" t="str">
        <f t="shared" si="240"/>
        <v/>
      </c>
      <c r="D3116" t="str">
        <f t="shared" si="241"/>
        <v/>
      </c>
      <c r="E3116" t="str">
        <f t="shared" si="242"/>
        <v/>
      </c>
      <c r="F3116" t="str">
        <f>IF(D3116="","",INDEX(Knutepunkter!$B:$B,D3116+1))</f>
        <v/>
      </c>
      <c r="G3116" t="str">
        <f>IF(D3116="","",INDEX(Knutepunkter!$C:$C,D3116+1))</f>
        <v/>
      </c>
      <c r="H3116" t="str">
        <f>IF(D3116="","",INDEX(Knutepunkter!$D:$D,D3116+1))</f>
        <v/>
      </c>
      <c r="I3116" t="str">
        <f>IF(E3116="","",INDEX(Knutepunkter!$B:$B,E3116+1))</f>
        <v/>
      </c>
      <c r="J3116" t="str">
        <f>IF(E3116="","",INDEX(Knutepunkter!$C:$C,E3116+1))</f>
        <v/>
      </c>
      <c r="K3116" t="str">
        <f>IF(E3116="","",INDEX(Knutepunkter!$D:$D,E3116+1))</f>
        <v/>
      </c>
      <c r="L3116" t="str">
        <f t="shared" si="243"/>
        <v/>
      </c>
      <c r="M3116" t="str">
        <f t="shared" si="244"/>
        <v/>
      </c>
    </row>
    <row r="3117" spans="1:13" x14ac:dyDescent="0.3">
      <c r="A3117" t="str">
        <f>Segmenter!A3117</f>
        <v/>
      </c>
      <c r="B3117" t="str">
        <f>Segmenter!B3117</f>
        <v/>
      </c>
      <c r="C3117" t="str">
        <f t="shared" si="240"/>
        <v/>
      </c>
      <c r="D3117" t="str">
        <f t="shared" si="241"/>
        <v/>
      </c>
      <c r="E3117" t="str">
        <f t="shared" si="242"/>
        <v/>
      </c>
      <c r="F3117" t="str">
        <f>IF(D3117="","",INDEX(Knutepunkter!$B:$B,D3117+1))</f>
        <v/>
      </c>
      <c r="G3117" t="str">
        <f>IF(D3117="","",INDEX(Knutepunkter!$C:$C,D3117+1))</f>
        <v/>
      </c>
      <c r="H3117" t="str">
        <f>IF(D3117="","",INDEX(Knutepunkter!$D:$D,D3117+1))</f>
        <v/>
      </c>
      <c r="I3117" t="str">
        <f>IF(E3117="","",INDEX(Knutepunkter!$B:$B,E3117+1))</f>
        <v/>
      </c>
      <c r="J3117" t="str">
        <f>IF(E3117="","",INDEX(Knutepunkter!$C:$C,E3117+1))</f>
        <v/>
      </c>
      <c r="K3117" t="str">
        <f>IF(E3117="","",INDEX(Knutepunkter!$D:$D,E3117+1))</f>
        <v/>
      </c>
      <c r="L3117" t="str">
        <f t="shared" si="243"/>
        <v/>
      </c>
      <c r="M3117" t="str">
        <f t="shared" si="244"/>
        <v/>
      </c>
    </row>
    <row r="3118" spans="1:13" x14ac:dyDescent="0.3">
      <c r="A3118" t="str">
        <f>Segmenter!A3118</f>
        <v/>
      </c>
      <c r="B3118" t="str">
        <f>Segmenter!B3118</f>
        <v/>
      </c>
      <c r="C3118" t="str">
        <f t="shared" si="240"/>
        <v/>
      </c>
      <c r="D3118" t="str">
        <f t="shared" si="241"/>
        <v/>
      </c>
      <c r="E3118" t="str">
        <f t="shared" si="242"/>
        <v/>
      </c>
      <c r="F3118" t="str">
        <f>IF(D3118="","",INDEX(Knutepunkter!$B:$B,D3118+1))</f>
        <v/>
      </c>
      <c r="G3118" t="str">
        <f>IF(D3118="","",INDEX(Knutepunkter!$C:$C,D3118+1))</f>
        <v/>
      </c>
      <c r="H3118" t="str">
        <f>IF(D3118="","",INDEX(Knutepunkter!$D:$D,D3118+1))</f>
        <v/>
      </c>
      <c r="I3118" t="str">
        <f>IF(E3118="","",INDEX(Knutepunkter!$B:$B,E3118+1))</f>
        <v/>
      </c>
      <c r="J3118" t="str">
        <f>IF(E3118="","",INDEX(Knutepunkter!$C:$C,E3118+1))</f>
        <v/>
      </c>
      <c r="K3118" t="str">
        <f>IF(E3118="","",INDEX(Knutepunkter!$D:$D,E3118+1))</f>
        <v/>
      </c>
      <c r="L3118" t="str">
        <f t="shared" si="243"/>
        <v/>
      </c>
      <c r="M3118" t="str">
        <f t="shared" si="244"/>
        <v/>
      </c>
    </row>
    <row r="3119" spans="1:13" x14ac:dyDescent="0.3">
      <c r="A3119" t="str">
        <f>Segmenter!A3119</f>
        <v/>
      </c>
      <c r="B3119" t="str">
        <f>Segmenter!B3119</f>
        <v/>
      </c>
      <c r="C3119" t="str">
        <f t="shared" si="240"/>
        <v/>
      </c>
      <c r="D3119" t="str">
        <f t="shared" si="241"/>
        <v/>
      </c>
      <c r="E3119" t="str">
        <f t="shared" si="242"/>
        <v/>
      </c>
      <c r="F3119" t="str">
        <f>IF(D3119="","",INDEX(Knutepunkter!$B:$B,D3119+1))</f>
        <v/>
      </c>
      <c r="G3119" t="str">
        <f>IF(D3119="","",INDEX(Knutepunkter!$C:$C,D3119+1))</f>
        <v/>
      </c>
      <c r="H3119" t="str">
        <f>IF(D3119="","",INDEX(Knutepunkter!$D:$D,D3119+1))</f>
        <v/>
      </c>
      <c r="I3119" t="str">
        <f>IF(E3119="","",INDEX(Knutepunkter!$B:$B,E3119+1))</f>
        <v/>
      </c>
      <c r="J3119" t="str">
        <f>IF(E3119="","",INDEX(Knutepunkter!$C:$C,E3119+1))</f>
        <v/>
      </c>
      <c r="K3119" t="str">
        <f>IF(E3119="","",INDEX(Knutepunkter!$D:$D,E3119+1))</f>
        <v/>
      </c>
      <c r="L3119" t="str">
        <f t="shared" si="243"/>
        <v/>
      </c>
      <c r="M3119" t="str">
        <f t="shared" si="244"/>
        <v/>
      </c>
    </row>
    <row r="3120" spans="1:13" x14ac:dyDescent="0.3">
      <c r="A3120" t="str">
        <f>Segmenter!A3120</f>
        <v/>
      </c>
      <c r="B3120" t="str">
        <f>Segmenter!B3120</f>
        <v/>
      </c>
      <c r="C3120" t="str">
        <f t="shared" si="240"/>
        <v/>
      </c>
      <c r="D3120" t="str">
        <f t="shared" si="241"/>
        <v/>
      </c>
      <c r="E3120" t="str">
        <f t="shared" si="242"/>
        <v/>
      </c>
      <c r="F3120" t="str">
        <f>IF(D3120="","",INDEX(Knutepunkter!$B:$B,D3120+1))</f>
        <v/>
      </c>
      <c r="G3120" t="str">
        <f>IF(D3120="","",INDEX(Knutepunkter!$C:$C,D3120+1))</f>
        <v/>
      </c>
      <c r="H3120" t="str">
        <f>IF(D3120="","",INDEX(Knutepunkter!$D:$D,D3120+1))</f>
        <v/>
      </c>
      <c r="I3120" t="str">
        <f>IF(E3120="","",INDEX(Knutepunkter!$B:$B,E3120+1))</f>
        <v/>
      </c>
      <c r="J3120" t="str">
        <f>IF(E3120="","",INDEX(Knutepunkter!$C:$C,E3120+1))</f>
        <v/>
      </c>
      <c r="K3120" t="str">
        <f>IF(E3120="","",INDEX(Knutepunkter!$D:$D,E3120+1))</f>
        <v/>
      </c>
      <c r="L3120" t="str">
        <f t="shared" si="243"/>
        <v/>
      </c>
      <c r="M3120" t="str">
        <f t="shared" si="244"/>
        <v/>
      </c>
    </row>
    <row r="3121" spans="1:13" x14ac:dyDescent="0.3">
      <c r="A3121" t="str">
        <f>Segmenter!A3121</f>
        <v/>
      </c>
      <c r="B3121" t="str">
        <f>Segmenter!B3121</f>
        <v/>
      </c>
      <c r="C3121" t="str">
        <f t="shared" si="240"/>
        <v/>
      </c>
      <c r="D3121" t="str">
        <f t="shared" si="241"/>
        <v/>
      </c>
      <c r="E3121" t="str">
        <f t="shared" si="242"/>
        <v/>
      </c>
      <c r="F3121" t="str">
        <f>IF(D3121="","",INDEX(Knutepunkter!$B:$B,D3121+1))</f>
        <v/>
      </c>
      <c r="G3121" t="str">
        <f>IF(D3121="","",INDEX(Knutepunkter!$C:$C,D3121+1))</f>
        <v/>
      </c>
      <c r="H3121" t="str">
        <f>IF(D3121="","",INDEX(Knutepunkter!$D:$D,D3121+1))</f>
        <v/>
      </c>
      <c r="I3121" t="str">
        <f>IF(E3121="","",INDEX(Knutepunkter!$B:$B,E3121+1))</f>
        <v/>
      </c>
      <c r="J3121" t="str">
        <f>IF(E3121="","",INDEX(Knutepunkter!$C:$C,E3121+1))</f>
        <v/>
      </c>
      <c r="K3121" t="str">
        <f>IF(E3121="","",INDEX(Knutepunkter!$D:$D,E3121+1))</f>
        <v/>
      </c>
      <c r="L3121" t="str">
        <f t="shared" si="243"/>
        <v/>
      </c>
      <c r="M3121" t="str">
        <f t="shared" si="244"/>
        <v/>
      </c>
    </row>
    <row r="3122" spans="1:13" x14ac:dyDescent="0.3">
      <c r="A3122" t="str">
        <f>Segmenter!A3122</f>
        <v/>
      </c>
      <c r="B3122" t="str">
        <f>Segmenter!B3122</f>
        <v/>
      </c>
      <c r="C3122" t="str">
        <f t="shared" si="240"/>
        <v/>
      </c>
      <c r="D3122" t="str">
        <f t="shared" si="241"/>
        <v/>
      </c>
      <c r="E3122" t="str">
        <f t="shared" si="242"/>
        <v/>
      </c>
      <c r="F3122" t="str">
        <f>IF(D3122="","",INDEX(Knutepunkter!$B:$B,D3122+1))</f>
        <v/>
      </c>
      <c r="G3122" t="str">
        <f>IF(D3122="","",INDEX(Knutepunkter!$C:$C,D3122+1))</f>
        <v/>
      </c>
      <c r="H3122" t="str">
        <f>IF(D3122="","",INDEX(Knutepunkter!$D:$D,D3122+1))</f>
        <v/>
      </c>
      <c r="I3122" t="str">
        <f>IF(E3122="","",INDEX(Knutepunkter!$B:$B,E3122+1))</f>
        <v/>
      </c>
      <c r="J3122" t="str">
        <f>IF(E3122="","",INDEX(Knutepunkter!$C:$C,E3122+1))</f>
        <v/>
      </c>
      <c r="K3122" t="str">
        <f>IF(E3122="","",INDEX(Knutepunkter!$D:$D,E3122+1))</f>
        <v/>
      </c>
      <c r="L3122" t="str">
        <f t="shared" si="243"/>
        <v/>
      </c>
      <c r="M3122" t="str">
        <f t="shared" si="244"/>
        <v/>
      </c>
    </row>
    <row r="3123" spans="1:13" x14ac:dyDescent="0.3">
      <c r="A3123" t="str">
        <f>Segmenter!A3123</f>
        <v/>
      </c>
      <c r="B3123" t="str">
        <f>Segmenter!B3123</f>
        <v/>
      </c>
      <c r="C3123" t="str">
        <f t="shared" si="240"/>
        <v/>
      </c>
      <c r="D3123" t="str">
        <f t="shared" si="241"/>
        <v/>
      </c>
      <c r="E3123" t="str">
        <f t="shared" si="242"/>
        <v/>
      </c>
      <c r="F3123" t="str">
        <f>IF(D3123="","",INDEX(Knutepunkter!$B:$B,D3123+1))</f>
        <v/>
      </c>
      <c r="G3123" t="str">
        <f>IF(D3123="","",INDEX(Knutepunkter!$C:$C,D3123+1))</f>
        <v/>
      </c>
      <c r="H3123" t="str">
        <f>IF(D3123="","",INDEX(Knutepunkter!$D:$D,D3123+1))</f>
        <v/>
      </c>
      <c r="I3123" t="str">
        <f>IF(E3123="","",INDEX(Knutepunkter!$B:$B,E3123+1))</f>
        <v/>
      </c>
      <c r="J3123" t="str">
        <f>IF(E3123="","",INDEX(Knutepunkter!$C:$C,E3123+1))</f>
        <v/>
      </c>
      <c r="K3123" t="str">
        <f>IF(E3123="","",INDEX(Knutepunkter!$D:$D,E3123+1))</f>
        <v/>
      </c>
      <c r="L3123" t="str">
        <f t="shared" si="243"/>
        <v/>
      </c>
      <c r="M3123" t="str">
        <f t="shared" si="244"/>
        <v/>
      </c>
    </row>
    <row r="3124" spans="1:13" x14ac:dyDescent="0.3">
      <c r="A3124" t="str">
        <f>Segmenter!A3124</f>
        <v/>
      </c>
      <c r="B3124" t="str">
        <f>Segmenter!B3124</f>
        <v/>
      </c>
      <c r="C3124" t="str">
        <f t="shared" si="240"/>
        <v/>
      </c>
      <c r="D3124" t="str">
        <f t="shared" si="241"/>
        <v/>
      </c>
      <c r="E3124" t="str">
        <f t="shared" si="242"/>
        <v/>
      </c>
      <c r="F3124" t="str">
        <f>IF(D3124="","",INDEX(Knutepunkter!$B:$B,D3124+1))</f>
        <v/>
      </c>
      <c r="G3124" t="str">
        <f>IF(D3124="","",INDEX(Knutepunkter!$C:$C,D3124+1))</f>
        <v/>
      </c>
      <c r="H3124" t="str">
        <f>IF(D3124="","",INDEX(Knutepunkter!$D:$D,D3124+1))</f>
        <v/>
      </c>
      <c r="I3124" t="str">
        <f>IF(E3124="","",INDEX(Knutepunkter!$B:$B,E3124+1))</f>
        <v/>
      </c>
      <c r="J3124" t="str">
        <f>IF(E3124="","",INDEX(Knutepunkter!$C:$C,E3124+1))</f>
        <v/>
      </c>
      <c r="K3124" t="str">
        <f>IF(E3124="","",INDEX(Knutepunkter!$D:$D,E3124+1))</f>
        <v/>
      </c>
      <c r="L3124" t="str">
        <f t="shared" si="243"/>
        <v/>
      </c>
      <c r="M3124" t="str">
        <f t="shared" si="244"/>
        <v/>
      </c>
    </row>
    <row r="3125" spans="1:13" x14ac:dyDescent="0.3">
      <c r="A3125" t="str">
        <f>Segmenter!A3125</f>
        <v/>
      </c>
      <c r="B3125" t="str">
        <f>Segmenter!B3125</f>
        <v/>
      </c>
      <c r="C3125" t="str">
        <f t="shared" si="240"/>
        <v/>
      </c>
      <c r="D3125" t="str">
        <f t="shared" si="241"/>
        <v/>
      </c>
      <c r="E3125" t="str">
        <f t="shared" si="242"/>
        <v/>
      </c>
      <c r="F3125" t="str">
        <f>IF(D3125="","",INDEX(Knutepunkter!$B:$B,D3125+1))</f>
        <v/>
      </c>
      <c r="G3125" t="str">
        <f>IF(D3125="","",INDEX(Knutepunkter!$C:$C,D3125+1))</f>
        <v/>
      </c>
      <c r="H3125" t="str">
        <f>IF(D3125="","",INDEX(Knutepunkter!$D:$D,D3125+1))</f>
        <v/>
      </c>
      <c r="I3125" t="str">
        <f>IF(E3125="","",INDEX(Knutepunkter!$B:$B,E3125+1))</f>
        <v/>
      </c>
      <c r="J3125" t="str">
        <f>IF(E3125="","",INDEX(Knutepunkter!$C:$C,E3125+1))</f>
        <v/>
      </c>
      <c r="K3125" t="str">
        <f>IF(E3125="","",INDEX(Knutepunkter!$D:$D,E3125+1))</f>
        <v/>
      </c>
      <c r="L3125" t="str">
        <f t="shared" si="243"/>
        <v/>
      </c>
      <c r="M3125" t="str">
        <f t="shared" si="244"/>
        <v/>
      </c>
    </row>
    <row r="3126" spans="1:13" x14ac:dyDescent="0.3">
      <c r="A3126" t="str">
        <f>Segmenter!A3126</f>
        <v/>
      </c>
      <c r="B3126" t="str">
        <f>Segmenter!B3126</f>
        <v/>
      </c>
      <c r="C3126" t="str">
        <f t="shared" si="240"/>
        <v/>
      </c>
      <c r="D3126" t="str">
        <f t="shared" si="241"/>
        <v/>
      </c>
      <c r="E3126" t="str">
        <f t="shared" si="242"/>
        <v/>
      </c>
      <c r="F3126" t="str">
        <f>IF(D3126="","",INDEX(Knutepunkter!$B:$B,D3126+1))</f>
        <v/>
      </c>
      <c r="G3126" t="str">
        <f>IF(D3126="","",INDEX(Knutepunkter!$C:$C,D3126+1))</f>
        <v/>
      </c>
      <c r="H3126" t="str">
        <f>IF(D3126="","",INDEX(Knutepunkter!$D:$D,D3126+1))</f>
        <v/>
      </c>
      <c r="I3126" t="str">
        <f>IF(E3126="","",INDEX(Knutepunkter!$B:$B,E3126+1))</f>
        <v/>
      </c>
      <c r="J3126" t="str">
        <f>IF(E3126="","",INDEX(Knutepunkter!$C:$C,E3126+1))</f>
        <v/>
      </c>
      <c r="K3126" t="str">
        <f>IF(E3126="","",INDEX(Knutepunkter!$D:$D,E3126+1))</f>
        <v/>
      </c>
      <c r="L3126" t="str">
        <f t="shared" si="243"/>
        <v/>
      </c>
      <c r="M3126" t="str">
        <f t="shared" si="244"/>
        <v/>
      </c>
    </row>
    <row r="3127" spans="1:13" x14ac:dyDescent="0.3">
      <c r="A3127" t="str">
        <f>Segmenter!A3127</f>
        <v/>
      </c>
      <c r="B3127" t="str">
        <f>Segmenter!B3127</f>
        <v/>
      </c>
      <c r="C3127" t="str">
        <f t="shared" si="240"/>
        <v/>
      </c>
      <c r="D3127" t="str">
        <f t="shared" si="241"/>
        <v/>
      </c>
      <c r="E3127" t="str">
        <f t="shared" si="242"/>
        <v/>
      </c>
      <c r="F3127" t="str">
        <f>IF(D3127="","",INDEX(Knutepunkter!$B:$B,D3127+1))</f>
        <v/>
      </c>
      <c r="G3127" t="str">
        <f>IF(D3127="","",INDEX(Knutepunkter!$C:$C,D3127+1))</f>
        <v/>
      </c>
      <c r="H3127" t="str">
        <f>IF(D3127="","",INDEX(Knutepunkter!$D:$D,D3127+1))</f>
        <v/>
      </c>
      <c r="I3127" t="str">
        <f>IF(E3127="","",INDEX(Knutepunkter!$B:$B,E3127+1))</f>
        <v/>
      </c>
      <c r="J3127" t="str">
        <f>IF(E3127="","",INDEX(Knutepunkter!$C:$C,E3127+1))</f>
        <v/>
      </c>
      <c r="K3127" t="str">
        <f>IF(E3127="","",INDEX(Knutepunkter!$D:$D,E3127+1))</f>
        <v/>
      </c>
      <c r="L3127" t="str">
        <f t="shared" si="243"/>
        <v/>
      </c>
      <c r="M3127" t="str">
        <f t="shared" si="244"/>
        <v/>
      </c>
    </row>
    <row r="3128" spans="1:13" x14ac:dyDescent="0.3">
      <c r="A3128" t="str">
        <f>Segmenter!A3128</f>
        <v/>
      </c>
      <c r="B3128" t="str">
        <f>Segmenter!B3128</f>
        <v/>
      </c>
      <c r="C3128" t="str">
        <f t="shared" si="240"/>
        <v/>
      </c>
      <c r="D3128" t="str">
        <f t="shared" si="241"/>
        <v/>
      </c>
      <c r="E3128" t="str">
        <f t="shared" si="242"/>
        <v/>
      </c>
      <c r="F3128" t="str">
        <f>IF(D3128="","",INDEX(Knutepunkter!$B:$B,D3128+1))</f>
        <v/>
      </c>
      <c r="G3128" t="str">
        <f>IF(D3128="","",INDEX(Knutepunkter!$C:$C,D3128+1))</f>
        <v/>
      </c>
      <c r="H3128" t="str">
        <f>IF(D3128="","",INDEX(Knutepunkter!$D:$D,D3128+1))</f>
        <v/>
      </c>
      <c r="I3128" t="str">
        <f>IF(E3128="","",INDEX(Knutepunkter!$B:$B,E3128+1))</f>
        <v/>
      </c>
      <c r="J3128" t="str">
        <f>IF(E3128="","",INDEX(Knutepunkter!$C:$C,E3128+1))</f>
        <v/>
      </c>
      <c r="K3128" t="str">
        <f>IF(E3128="","",INDEX(Knutepunkter!$D:$D,E3128+1))</f>
        <v/>
      </c>
      <c r="L3128" t="str">
        <f t="shared" si="243"/>
        <v/>
      </c>
      <c r="M3128" t="str">
        <f t="shared" si="244"/>
        <v/>
      </c>
    </row>
    <row r="3129" spans="1:13" x14ac:dyDescent="0.3">
      <c r="A3129" t="str">
        <f>Segmenter!A3129</f>
        <v/>
      </c>
      <c r="B3129" t="str">
        <f>Segmenter!B3129</f>
        <v/>
      </c>
      <c r="C3129" t="str">
        <f t="shared" si="240"/>
        <v/>
      </c>
      <c r="D3129" t="str">
        <f t="shared" si="241"/>
        <v/>
      </c>
      <c r="E3129" t="str">
        <f t="shared" si="242"/>
        <v/>
      </c>
      <c r="F3129" t="str">
        <f>IF(D3129="","",INDEX(Knutepunkter!$B:$B,D3129+1))</f>
        <v/>
      </c>
      <c r="G3129" t="str">
        <f>IF(D3129="","",INDEX(Knutepunkter!$C:$C,D3129+1))</f>
        <v/>
      </c>
      <c r="H3129" t="str">
        <f>IF(D3129="","",INDEX(Knutepunkter!$D:$D,D3129+1))</f>
        <v/>
      </c>
      <c r="I3129" t="str">
        <f>IF(E3129="","",INDEX(Knutepunkter!$B:$B,E3129+1))</f>
        <v/>
      </c>
      <c r="J3129" t="str">
        <f>IF(E3129="","",INDEX(Knutepunkter!$C:$C,E3129+1))</f>
        <v/>
      </c>
      <c r="K3129" t="str">
        <f>IF(E3129="","",INDEX(Knutepunkter!$D:$D,E3129+1))</f>
        <v/>
      </c>
      <c r="L3129" t="str">
        <f t="shared" si="243"/>
        <v/>
      </c>
      <c r="M3129" t="str">
        <f t="shared" si="244"/>
        <v/>
      </c>
    </row>
    <row r="3130" spans="1:13" x14ac:dyDescent="0.3">
      <c r="A3130" t="str">
        <f>Segmenter!A3130</f>
        <v/>
      </c>
      <c r="B3130" t="str">
        <f>Segmenter!B3130</f>
        <v/>
      </c>
      <c r="C3130" t="str">
        <f t="shared" si="240"/>
        <v/>
      </c>
      <c r="D3130" t="str">
        <f t="shared" si="241"/>
        <v/>
      </c>
      <c r="E3130" t="str">
        <f t="shared" si="242"/>
        <v/>
      </c>
      <c r="F3130" t="str">
        <f>IF(D3130="","",INDEX(Knutepunkter!$B:$B,D3130+1))</f>
        <v/>
      </c>
      <c r="G3130" t="str">
        <f>IF(D3130="","",INDEX(Knutepunkter!$C:$C,D3130+1))</f>
        <v/>
      </c>
      <c r="H3130" t="str">
        <f>IF(D3130="","",INDEX(Knutepunkter!$D:$D,D3130+1))</f>
        <v/>
      </c>
      <c r="I3130" t="str">
        <f>IF(E3130="","",INDEX(Knutepunkter!$B:$B,E3130+1))</f>
        <v/>
      </c>
      <c r="J3130" t="str">
        <f>IF(E3130="","",INDEX(Knutepunkter!$C:$C,E3130+1))</f>
        <v/>
      </c>
      <c r="K3130" t="str">
        <f>IF(E3130="","",INDEX(Knutepunkter!$D:$D,E3130+1))</f>
        <v/>
      </c>
      <c r="L3130" t="str">
        <f t="shared" si="243"/>
        <v/>
      </c>
      <c r="M3130" t="str">
        <f t="shared" si="244"/>
        <v/>
      </c>
    </row>
    <row r="3131" spans="1:13" x14ac:dyDescent="0.3">
      <c r="A3131" t="str">
        <f>Segmenter!A3131</f>
        <v/>
      </c>
      <c r="B3131" t="str">
        <f>Segmenter!B3131</f>
        <v/>
      </c>
      <c r="C3131" t="str">
        <f t="shared" si="240"/>
        <v/>
      </c>
      <c r="D3131" t="str">
        <f t="shared" si="241"/>
        <v/>
      </c>
      <c r="E3131" t="str">
        <f t="shared" si="242"/>
        <v/>
      </c>
      <c r="F3131" t="str">
        <f>IF(D3131="","",INDEX(Knutepunkter!$B:$B,D3131+1))</f>
        <v/>
      </c>
      <c r="G3131" t="str">
        <f>IF(D3131="","",INDEX(Knutepunkter!$C:$C,D3131+1))</f>
        <v/>
      </c>
      <c r="H3131" t="str">
        <f>IF(D3131="","",INDEX(Knutepunkter!$D:$D,D3131+1))</f>
        <v/>
      </c>
      <c r="I3131" t="str">
        <f>IF(E3131="","",INDEX(Knutepunkter!$B:$B,E3131+1))</f>
        <v/>
      </c>
      <c r="J3131" t="str">
        <f>IF(E3131="","",INDEX(Knutepunkter!$C:$C,E3131+1))</f>
        <v/>
      </c>
      <c r="K3131" t="str">
        <f>IF(E3131="","",INDEX(Knutepunkter!$D:$D,E3131+1))</f>
        <v/>
      </c>
      <c r="L3131" t="str">
        <f t="shared" si="243"/>
        <v/>
      </c>
      <c r="M3131" t="str">
        <f t="shared" si="244"/>
        <v/>
      </c>
    </row>
    <row r="3132" spans="1:13" x14ac:dyDescent="0.3">
      <c r="A3132" t="str">
        <f>Segmenter!A3132</f>
        <v/>
      </c>
      <c r="B3132" t="str">
        <f>Segmenter!B3132</f>
        <v/>
      </c>
      <c r="C3132" t="str">
        <f t="shared" si="240"/>
        <v/>
      </c>
      <c r="D3132" t="str">
        <f t="shared" si="241"/>
        <v/>
      </c>
      <c r="E3132" t="str">
        <f t="shared" si="242"/>
        <v/>
      </c>
      <c r="F3132" t="str">
        <f>IF(D3132="","",INDEX(Knutepunkter!$B:$B,D3132+1))</f>
        <v/>
      </c>
      <c r="G3132" t="str">
        <f>IF(D3132="","",INDEX(Knutepunkter!$C:$C,D3132+1))</f>
        <v/>
      </c>
      <c r="H3132" t="str">
        <f>IF(D3132="","",INDEX(Knutepunkter!$D:$D,D3132+1))</f>
        <v/>
      </c>
      <c r="I3132" t="str">
        <f>IF(E3132="","",INDEX(Knutepunkter!$B:$B,E3132+1))</f>
        <v/>
      </c>
      <c r="J3132" t="str">
        <f>IF(E3132="","",INDEX(Knutepunkter!$C:$C,E3132+1))</f>
        <v/>
      </c>
      <c r="K3132" t="str">
        <f>IF(E3132="","",INDEX(Knutepunkter!$D:$D,E3132+1))</f>
        <v/>
      </c>
      <c r="L3132" t="str">
        <f t="shared" si="243"/>
        <v/>
      </c>
      <c r="M3132" t="str">
        <f t="shared" si="244"/>
        <v/>
      </c>
    </row>
    <row r="3133" spans="1:13" x14ac:dyDescent="0.3">
      <c r="A3133" t="str">
        <f>Segmenter!A3133</f>
        <v/>
      </c>
      <c r="B3133" t="str">
        <f>Segmenter!B3133</f>
        <v/>
      </c>
      <c r="C3133" t="str">
        <f t="shared" si="240"/>
        <v/>
      </c>
      <c r="D3133" t="str">
        <f t="shared" si="241"/>
        <v/>
      </c>
      <c r="E3133" t="str">
        <f t="shared" si="242"/>
        <v/>
      </c>
      <c r="F3133" t="str">
        <f>IF(D3133="","",INDEX(Knutepunkter!$B:$B,D3133+1))</f>
        <v/>
      </c>
      <c r="G3133" t="str">
        <f>IF(D3133="","",INDEX(Knutepunkter!$C:$C,D3133+1))</f>
        <v/>
      </c>
      <c r="H3133" t="str">
        <f>IF(D3133="","",INDEX(Knutepunkter!$D:$D,D3133+1))</f>
        <v/>
      </c>
      <c r="I3133" t="str">
        <f>IF(E3133="","",INDEX(Knutepunkter!$B:$B,E3133+1))</f>
        <v/>
      </c>
      <c r="J3133" t="str">
        <f>IF(E3133="","",INDEX(Knutepunkter!$C:$C,E3133+1))</f>
        <v/>
      </c>
      <c r="K3133" t="str">
        <f>IF(E3133="","",INDEX(Knutepunkter!$D:$D,E3133+1))</f>
        <v/>
      </c>
      <c r="L3133" t="str">
        <f t="shared" si="243"/>
        <v/>
      </c>
      <c r="M3133" t="str">
        <f t="shared" si="244"/>
        <v/>
      </c>
    </row>
    <row r="3134" spans="1:13" x14ac:dyDescent="0.3">
      <c r="A3134" t="str">
        <f>Segmenter!A3134</f>
        <v/>
      </c>
      <c r="B3134" t="str">
        <f>Segmenter!B3134</f>
        <v/>
      </c>
      <c r="C3134" t="str">
        <f t="shared" si="240"/>
        <v/>
      </c>
      <c r="D3134" t="str">
        <f t="shared" si="241"/>
        <v/>
      </c>
      <c r="E3134" t="str">
        <f t="shared" si="242"/>
        <v/>
      </c>
      <c r="F3134" t="str">
        <f>IF(D3134="","",INDEX(Knutepunkter!$B:$B,D3134+1))</f>
        <v/>
      </c>
      <c r="G3134" t="str">
        <f>IF(D3134="","",INDEX(Knutepunkter!$C:$C,D3134+1))</f>
        <v/>
      </c>
      <c r="H3134" t="str">
        <f>IF(D3134="","",INDEX(Knutepunkter!$D:$D,D3134+1))</f>
        <v/>
      </c>
      <c r="I3134" t="str">
        <f>IF(E3134="","",INDEX(Knutepunkter!$B:$B,E3134+1))</f>
        <v/>
      </c>
      <c r="J3134" t="str">
        <f>IF(E3134="","",INDEX(Knutepunkter!$C:$C,E3134+1))</f>
        <v/>
      </c>
      <c r="K3134" t="str">
        <f>IF(E3134="","",INDEX(Knutepunkter!$D:$D,E3134+1))</f>
        <v/>
      </c>
      <c r="L3134" t="str">
        <f t="shared" si="243"/>
        <v/>
      </c>
      <c r="M3134" t="str">
        <f t="shared" si="244"/>
        <v/>
      </c>
    </row>
    <row r="3135" spans="1:13" x14ac:dyDescent="0.3">
      <c r="A3135" t="str">
        <f>Segmenter!A3135</f>
        <v/>
      </c>
      <c r="B3135" t="str">
        <f>Segmenter!B3135</f>
        <v/>
      </c>
      <c r="C3135" t="str">
        <f t="shared" si="240"/>
        <v/>
      </c>
      <c r="D3135" t="str">
        <f t="shared" si="241"/>
        <v/>
      </c>
      <c r="E3135" t="str">
        <f t="shared" si="242"/>
        <v/>
      </c>
      <c r="F3135" t="str">
        <f>IF(D3135="","",INDEX(Knutepunkter!$B:$B,D3135+1))</f>
        <v/>
      </c>
      <c r="G3135" t="str">
        <f>IF(D3135="","",INDEX(Knutepunkter!$C:$C,D3135+1))</f>
        <v/>
      </c>
      <c r="H3135" t="str">
        <f>IF(D3135="","",INDEX(Knutepunkter!$D:$D,D3135+1))</f>
        <v/>
      </c>
      <c r="I3135" t="str">
        <f>IF(E3135="","",INDEX(Knutepunkter!$B:$B,E3135+1))</f>
        <v/>
      </c>
      <c r="J3135" t="str">
        <f>IF(E3135="","",INDEX(Knutepunkter!$C:$C,E3135+1))</f>
        <v/>
      </c>
      <c r="K3135" t="str">
        <f>IF(E3135="","",INDEX(Knutepunkter!$D:$D,E3135+1))</f>
        <v/>
      </c>
      <c r="L3135" t="str">
        <f t="shared" si="243"/>
        <v/>
      </c>
      <c r="M3135" t="str">
        <f t="shared" si="244"/>
        <v/>
      </c>
    </row>
    <row r="3136" spans="1:13" x14ac:dyDescent="0.3">
      <c r="A3136" t="str">
        <f>Segmenter!A3136</f>
        <v/>
      </c>
      <c r="B3136" t="str">
        <f>Segmenter!B3136</f>
        <v/>
      </c>
      <c r="C3136" t="str">
        <f t="shared" si="240"/>
        <v/>
      </c>
      <c r="D3136" t="str">
        <f t="shared" si="241"/>
        <v/>
      </c>
      <c r="E3136" t="str">
        <f t="shared" si="242"/>
        <v/>
      </c>
      <c r="F3136" t="str">
        <f>IF(D3136="","",INDEX(Knutepunkter!$B:$B,D3136+1))</f>
        <v/>
      </c>
      <c r="G3136" t="str">
        <f>IF(D3136="","",INDEX(Knutepunkter!$C:$C,D3136+1))</f>
        <v/>
      </c>
      <c r="H3136" t="str">
        <f>IF(D3136="","",INDEX(Knutepunkter!$D:$D,D3136+1))</f>
        <v/>
      </c>
      <c r="I3136" t="str">
        <f>IF(E3136="","",INDEX(Knutepunkter!$B:$B,E3136+1))</f>
        <v/>
      </c>
      <c r="J3136" t="str">
        <f>IF(E3136="","",INDEX(Knutepunkter!$C:$C,E3136+1))</f>
        <v/>
      </c>
      <c r="K3136" t="str">
        <f>IF(E3136="","",INDEX(Knutepunkter!$D:$D,E3136+1))</f>
        <v/>
      </c>
      <c r="L3136" t="str">
        <f t="shared" si="243"/>
        <v/>
      </c>
      <c r="M3136" t="str">
        <f t="shared" si="244"/>
        <v/>
      </c>
    </row>
    <row r="3137" spans="1:13" x14ac:dyDescent="0.3">
      <c r="A3137" t="str">
        <f>Segmenter!A3137</f>
        <v/>
      </c>
      <c r="B3137" t="str">
        <f>Segmenter!B3137</f>
        <v/>
      </c>
      <c r="C3137" t="str">
        <f t="shared" si="240"/>
        <v/>
      </c>
      <c r="D3137" t="str">
        <f t="shared" si="241"/>
        <v/>
      </c>
      <c r="E3137" t="str">
        <f t="shared" si="242"/>
        <v/>
      </c>
      <c r="F3137" t="str">
        <f>IF(D3137="","",INDEX(Knutepunkter!$B:$B,D3137+1))</f>
        <v/>
      </c>
      <c r="G3137" t="str">
        <f>IF(D3137="","",INDEX(Knutepunkter!$C:$C,D3137+1))</f>
        <v/>
      </c>
      <c r="H3137" t="str">
        <f>IF(D3137="","",INDEX(Knutepunkter!$D:$D,D3137+1))</f>
        <v/>
      </c>
      <c r="I3137" t="str">
        <f>IF(E3137="","",INDEX(Knutepunkter!$B:$B,E3137+1))</f>
        <v/>
      </c>
      <c r="J3137" t="str">
        <f>IF(E3137="","",INDEX(Knutepunkter!$C:$C,E3137+1))</f>
        <v/>
      </c>
      <c r="K3137" t="str">
        <f>IF(E3137="","",INDEX(Knutepunkter!$D:$D,E3137+1))</f>
        <v/>
      </c>
      <c r="L3137" t="str">
        <f t="shared" si="243"/>
        <v/>
      </c>
      <c r="M3137" t="str">
        <f t="shared" si="244"/>
        <v/>
      </c>
    </row>
    <row r="3138" spans="1:13" x14ac:dyDescent="0.3">
      <c r="A3138" t="str">
        <f>Segmenter!A3138</f>
        <v/>
      </c>
      <c r="B3138" t="str">
        <f>Segmenter!B3138</f>
        <v/>
      </c>
      <c r="C3138" t="str">
        <f t="shared" ref="C3138:C3201" si="245">IF(B3138="","",IF(AND(F3138=I3138,G3138=J3138,H3138&lt;&gt;K3138),"Søyle","Bjelke"))</f>
        <v/>
      </c>
      <c r="D3138" t="str">
        <f t="shared" ref="D3138:D3201" si="246">IF(B3138="","",VALUE(LEFT(B3138,FIND(" -&gt; ",B3138)-1)))</f>
        <v/>
      </c>
      <c r="E3138" t="str">
        <f t="shared" ref="E3138:E3201" si="247">IF(B3138="","",VALUE(MID(B3138,FIND(" -&gt; ",B3138)+4,99)))</f>
        <v/>
      </c>
      <c r="F3138" t="str">
        <f>IF(D3138="","",INDEX(Knutepunkter!$B:$B,D3138+1))</f>
        <v/>
      </c>
      <c r="G3138" t="str">
        <f>IF(D3138="","",INDEX(Knutepunkter!$C:$C,D3138+1))</f>
        <v/>
      </c>
      <c r="H3138" t="str">
        <f>IF(D3138="","",INDEX(Knutepunkter!$D:$D,D3138+1))</f>
        <v/>
      </c>
      <c r="I3138" t="str">
        <f>IF(E3138="","",INDEX(Knutepunkter!$B:$B,E3138+1))</f>
        <v/>
      </c>
      <c r="J3138" t="str">
        <f>IF(E3138="","",INDEX(Knutepunkter!$C:$C,E3138+1))</f>
        <v/>
      </c>
      <c r="K3138" t="str">
        <f>IF(E3138="","",INDEX(Knutepunkter!$D:$D,E3138+1))</f>
        <v/>
      </c>
      <c r="L3138" t="str">
        <f t="shared" ref="L3138:L3201" si="248">IF(B3138="","",SQRT((I3138-F3138)^2+(J3138-G3138)^2+(K3138-H3138)^2))</f>
        <v/>
      </c>
      <c r="M3138" t="str">
        <f t="shared" ref="M3138:M3201" si="249">IF(L3138="","",L3138/1000)</f>
        <v/>
      </c>
    </row>
    <row r="3139" spans="1:13" x14ac:dyDescent="0.3">
      <c r="A3139" t="str">
        <f>Segmenter!A3139</f>
        <v/>
      </c>
      <c r="B3139" t="str">
        <f>Segmenter!B3139</f>
        <v/>
      </c>
      <c r="C3139" t="str">
        <f t="shared" si="245"/>
        <v/>
      </c>
      <c r="D3139" t="str">
        <f t="shared" si="246"/>
        <v/>
      </c>
      <c r="E3139" t="str">
        <f t="shared" si="247"/>
        <v/>
      </c>
      <c r="F3139" t="str">
        <f>IF(D3139="","",INDEX(Knutepunkter!$B:$B,D3139+1))</f>
        <v/>
      </c>
      <c r="G3139" t="str">
        <f>IF(D3139="","",INDEX(Knutepunkter!$C:$C,D3139+1))</f>
        <v/>
      </c>
      <c r="H3139" t="str">
        <f>IF(D3139="","",INDEX(Knutepunkter!$D:$D,D3139+1))</f>
        <v/>
      </c>
      <c r="I3139" t="str">
        <f>IF(E3139="","",INDEX(Knutepunkter!$B:$B,E3139+1))</f>
        <v/>
      </c>
      <c r="J3139" t="str">
        <f>IF(E3139="","",INDEX(Knutepunkter!$C:$C,E3139+1))</f>
        <v/>
      </c>
      <c r="K3139" t="str">
        <f>IF(E3139="","",INDEX(Knutepunkter!$D:$D,E3139+1))</f>
        <v/>
      </c>
      <c r="L3139" t="str">
        <f t="shared" si="248"/>
        <v/>
      </c>
      <c r="M3139" t="str">
        <f t="shared" si="249"/>
        <v/>
      </c>
    </row>
    <row r="3140" spans="1:13" x14ac:dyDescent="0.3">
      <c r="A3140" t="str">
        <f>Segmenter!A3140</f>
        <v/>
      </c>
      <c r="B3140" t="str">
        <f>Segmenter!B3140</f>
        <v/>
      </c>
      <c r="C3140" t="str">
        <f t="shared" si="245"/>
        <v/>
      </c>
      <c r="D3140" t="str">
        <f t="shared" si="246"/>
        <v/>
      </c>
      <c r="E3140" t="str">
        <f t="shared" si="247"/>
        <v/>
      </c>
      <c r="F3140" t="str">
        <f>IF(D3140="","",INDEX(Knutepunkter!$B:$B,D3140+1))</f>
        <v/>
      </c>
      <c r="G3140" t="str">
        <f>IF(D3140="","",INDEX(Knutepunkter!$C:$C,D3140+1))</f>
        <v/>
      </c>
      <c r="H3140" t="str">
        <f>IF(D3140="","",INDEX(Knutepunkter!$D:$D,D3140+1))</f>
        <v/>
      </c>
      <c r="I3140" t="str">
        <f>IF(E3140="","",INDEX(Knutepunkter!$B:$B,E3140+1))</f>
        <v/>
      </c>
      <c r="J3140" t="str">
        <f>IF(E3140="","",INDEX(Knutepunkter!$C:$C,E3140+1))</f>
        <v/>
      </c>
      <c r="K3140" t="str">
        <f>IF(E3140="","",INDEX(Knutepunkter!$D:$D,E3140+1))</f>
        <v/>
      </c>
      <c r="L3140" t="str">
        <f t="shared" si="248"/>
        <v/>
      </c>
      <c r="M3140" t="str">
        <f t="shared" si="249"/>
        <v/>
      </c>
    </row>
    <row r="3141" spans="1:13" x14ac:dyDescent="0.3">
      <c r="A3141" t="str">
        <f>Segmenter!A3141</f>
        <v/>
      </c>
      <c r="B3141" t="str">
        <f>Segmenter!B3141</f>
        <v/>
      </c>
      <c r="C3141" t="str">
        <f t="shared" si="245"/>
        <v/>
      </c>
      <c r="D3141" t="str">
        <f t="shared" si="246"/>
        <v/>
      </c>
      <c r="E3141" t="str">
        <f t="shared" si="247"/>
        <v/>
      </c>
      <c r="F3141" t="str">
        <f>IF(D3141="","",INDEX(Knutepunkter!$B:$B,D3141+1))</f>
        <v/>
      </c>
      <c r="G3141" t="str">
        <f>IF(D3141="","",INDEX(Knutepunkter!$C:$C,D3141+1))</f>
        <v/>
      </c>
      <c r="H3141" t="str">
        <f>IF(D3141="","",INDEX(Knutepunkter!$D:$D,D3141+1))</f>
        <v/>
      </c>
      <c r="I3141" t="str">
        <f>IF(E3141="","",INDEX(Knutepunkter!$B:$B,E3141+1))</f>
        <v/>
      </c>
      <c r="J3141" t="str">
        <f>IF(E3141="","",INDEX(Knutepunkter!$C:$C,E3141+1))</f>
        <v/>
      </c>
      <c r="K3141" t="str">
        <f>IF(E3141="","",INDEX(Knutepunkter!$D:$D,E3141+1))</f>
        <v/>
      </c>
      <c r="L3141" t="str">
        <f t="shared" si="248"/>
        <v/>
      </c>
      <c r="M3141" t="str">
        <f t="shared" si="249"/>
        <v/>
      </c>
    </row>
    <row r="3142" spans="1:13" x14ac:dyDescent="0.3">
      <c r="A3142" t="str">
        <f>Segmenter!A3142</f>
        <v/>
      </c>
      <c r="B3142" t="str">
        <f>Segmenter!B3142</f>
        <v/>
      </c>
      <c r="C3142" t="str">
        <f t="shared" si="245"/>
        <v/>
      </c>
      <c r="D3142" t="str">
        <f t="shared" si="246"/>
        <v/>
      </c>
      <c r="E3142" t="str">
        <f t="shared" si="247"/>
        <v/>
      </c>
      <c r="F3142" t="str">
        <f>IF(D3142="","",INDEX(Knutepunkter!$B:$B,D3142+1))</f>
        <v/>
      </c>
      <c r="G3142" t="str">
        <f>IF(D3142="","",INDEX(Knutepunkter!$C:$C,D3142+1))</f>
        <v/>
      </c>
      <c r="H3142" t="str">
        <f>IF(D3142="","",INDEX(Knutepunkter!$D:$D,D3142+1))</f>
        <v/>
      </c>
      <c r="I3142" t="str">
        <f>IF(E3142="","",INDEX(Knutepunkter!$B:$B,E3142+1))</f>
        <v/>
      </c>
      <c r="J3142" t="str">
        <f>IF(E3142="","",INDEX(Knutepunkter!$C:$C,E3142+1))</f>
        <v/>
      </c>
      <c r="K3142" t="str">
        <f>IF(E3142="","",INDEX(Knutepunkter!$D:$D,E3142+1))</f>
        <v/>
      </c>
      <c r="L3142" t="str">
        <f t="shared" si="248"/>
        <v/>
      </c>
      <c r="M3142" t="str">
        <f t="shared" si="249"/>
        <v/>
      </c>
    </row>
    <row r="3143" spans="1:13" x14ac:dyDescent="0.3">
      <c r="A3143" t="str">
        <f>Segmenter!A3143</f>
        <v/>
      </c>
      <c r="B3143" t="str">
        <f>Segmenter!B3143</f>
        <v/>
      </c>
      <c r="C3143" t="str">
        <f t="shared" si="245"/>
        <v/>
      </c>
      <c r="D3143" t="str">
        <f t="shared" si="246"/>
        <v/>
      </c>
      <c r="E3143" t="str">
        <f t="shared" si="247"/>
        <v/>
      </c>
      <c r="F3143" t="str">
        <f>IF(D3143="","",INDEX(Knutepunkter!$B:$B,D3143+1))</f>
        <v/>
      </c>
      <c r="G3143" t="str">
        <f>IF(D3143="","",INDEX(Knutepunkter!$C:$C,D3143+1))</f>
        <v/>
      </c>
      <c r="H3143" t="str">
        <f>IF(D3143="","",INDEX(Knutepunkter!$D:$D,D3143+1))</f>
        <v/>
      </c>
      <c r="I3143" t="str">
        <f>IF(E3143="","",INDEX(Knutepunkter!$B:$B,E3143+1))</f>
        <v/>
      </c>
      <c r="J3143" t="str">
        <f>IF(E3143="","",INDEX(Knutepunkter!$C:$C,E3143+1))</f>
        <v/>
      </c>
      <c r="K3143" t="str">
        <f>IF(E3143="","",INDEX(Knutepunkter!$D:$D,E3143+1))</f>
        <v/>
      </c>
      <c r="L3143" t="str">
        <f t="shared" si="248"/>
        <v/>
      </c>
      <c r="M3143" t="str">
        <f t="shared" si="249"/>
        <v/>
      </c>
    </row>
    <row r="3144" spans="1:13" x14ac:dyDescent="0.3">
      <c r="A3144" t="str">
        <f>Segmenter!A3144</f>
        <v/>
      </c>
      <c r="B3144" t="str">
        <f>Segmenter!B3144</f>
        <v/>
      </c>
      <c r="C3144" t="str">
        <f t="shared" si="245"/>
        <v/>
      </c>
      <c r="D3144" t="str">
        <f t="shared" si="246"/>
        <v/>
      </c>
      <c r="E3144" t="str">
        <f t="shared" si="247"/>
        <v/>
      </c>
      <c r="F3144" t="str">
        <f>IF(D3144="","",INDEX(Knutepunkter!$B:$B,D3144+1))</f>
        <v/>
      </c>
      <c r="G3144" t="str">
        <f>IF(D3144="","",INDEX(Knutepunkter!$C:$C,D3144+1))</f>
        <v/>
      </c>
      <c r="H3144" t="str">
        <f>IF(D3144="","",INDEX(Knutepunkter!$D:$D,D3144+1))</f>
        <v/>
      </c>
      <c r="I3144" t="str">
        <f>IF(E3144="","",INDEX(Knutepunkter!$B:$B,E3144+1))</f>
        <v/>
      </c>
      <c r="J3144" t="str">
        <f>IF(E3144="","",INDEX(Knutepunkter!$C:$C,E3144+1))</f>
        <v/>
      </c>
      <c r="K3144" t="str">
        <f>IF(E3144="","",INDEX(Knutepunkter!$D:$D,E3144+1))</f>
        <v/>
      </c>
      <c r="L3144" t="str">
        <f t="shared" si="248"/>
        <v/>
      </c>
      <c r="M3144" t="str">
        <f t="shared" si="249"/>
        <v/>
      </c>
    </row>
    <row r="3145" spans="1:13" x14ac:dyDescent="0.3">
      <c r="A3145" t="str">
        <f>Segmenter!A3145</f>
        <v/>
      </c>
      <c r="B3145" t="str">
        <f>Segmenter!B3145</f>
        <v/>
      </c>
      <c r="C3145" t="str">
        <f t="shared" si="245"/>
        <v/>
      </c>
      <c r="D3145" t="str">
        <f t="shared" si="246"/>
        <v/>
      </c>
      <c r="E3145" t="str">
        <f t="shared" si="247"/>
        <v/>
      </c>
      <c r="F3145" t="str">
        <f>IF(D3145="","",INDEX(Knutepunkter!$B:$B,D3145+1))</f>
        <v/>
      </c>
      <c r="G3145" t="str">
        <f>IF(D3145="","",INDEX(Knutepunkter!$C:$C,D3145+1))</f>
        <v/>
      </c>
      <c r="H3145" t="str">
        <f>IF(D3145="","",INDEX(Knutepunkter!$D:$D,D3145+1))</f>
        <v/>
      </c>
      <c r="I3145" t="str">
        <f>IF(E3145="","",INDEX(Knutepunkter!$B:$B,E3145+1))</f>
        <v/>
      </c>
      <c r="J3145" t="str">
        <f>IF(E3145="","",INDEX(Knutepunkter!$C:$C,E3145+1))</f>
        <v/>
      </c>
      <c r="K3145" t="str">
        <f>IF(E3145="","",INDEX(Knutepunkter!$D:$D,E3145+1))</f>
        <v/>
      </c>
      <c r="L3145" t="str">
        <f t="shared" si="248"/>
        <v/>
      </c>
      <c r="M3145" t="str">
        <f t="shared" si="249"/>
        <v/>
      </c>
    </row>
    <row r="3146" spans="1:13" x14ac:dyDescent="0.3">
      <c r="A3146" t="str">
        <f>Segmenter!A3146</f>
        <v/>
      </c>
      <c r="B3146" t="str">
        <f>Segmenter!B3146</f>
        <v/>
      </c>
      <c r="C3146" t="str">
        <f t="shared" si="245"/>
        <v/>
      </c>
      <c r="D3146" t="str">
        <f t="shared" si="246"/>
        <v/>
      </c>
      <c r="E3146" t="str">
        <f t="shared" si="247"/>
        <v/>
      </c>
      <c r="F3146" t="str">
        <f>IF(D3146="","",INDEX(Knutepunkter!$B:$B,D3146+1))</f>
        <v/>
      </c>
      <c r="G3146" t="str">
        <f>IF(D3146="","",INDEX(Knutepunkter!$C:$C,D3146+1))</f>
        <v/>
      </c>
      <c r="H3146" t="str">
        <f>IF(D3146="","",INDEX(Knutepunkter!$D:$D,D3146+1))</f>
        <v/>
      </c>
      <c r="I3146" t="str">
        <f>IF(E3146="","",INDEX(Knutepunkter!$B:$B,E3146+1))</f>
        <v/>
      </c>
      <c r="J3146" t="str">
        <f>IF(E3146="","",INDEX(Knutepunkter!$C:$C,E3146+1))</f>
        <v/>
      </c>
      <c r="K3146" t="str">
        <f>IF(E3146="","",INDEX(Knutepunkter!$D:$D,E3146+1))</f>
        <v/>
      </c>
      <c r="L3146" t="str">
        <f t="shared" si="248"/>
        <v/>
      </c>
      <c r="M3146" t="str">
        <f t="shared" si="249"/>
        <v/>
      </c>
    </row>
    <row r="3147" spans="1:13" x14ac:dyDescent="0.3">
      <c r="A3147" t="str">
        <f>Segmenter!A3147</f>
        <v/>
      </c>
      <c r="B3147" t="str">
        <f>Segmenter!B3147</f>
        <v/>
      </c>
      <c r="C3147" t="str">
        <f t="shared" si="245"/>
        <v/>
      </c>
      <c r="D3147" t="str">
        <f t="shared" si="246"/>
        <v/>
      </c>
      <c r="E3147" t="str">
        <f t="shared" si="247"/>
        <v/>
      </c>
      <c r="F3147" t="str">
        <f>IF(D3147="","",INDEX(Knutepunkter!$B:$B,D3147+1))</f>
        <v/>
      </c>
      <c r="G3147" t="str">
        <f>IF(D3147="","",INDEX(Knutepunkter!$C:$C,D3147+1))</f>
        <v/>
      </c>
      <c r="H3147" t="str">
        <f>IF(D3147="","",INDEX(Knutepunkter!$D:$D,D3147+1))</f>
        <v/>
      </c>
      <c r="I3147" t="str">
        <f>IF(E3147="","",INDEX(Knutepunkter!$B:$B,E3147+1))</f>
        <v/>
      </c>
      <c r="J3147" t="str">
        <f>IF(E3147="","",INDEX(Knutepunkter!$C:$C,E3147+1))</f>
        <v/>
      </c>
      <c r="K3147" t="str">
        <f>IF(E3147="","",INDEX(Knutepunkter!$D:$D,E3147+1))</f>
        <v/>
      </c>
      <c r="L3147" t="str">
        <f t="shared" si="248"/>
        <v/>
      </c>
      <c r="M3147" t="str">
        <f t="shared" si="249"/>
        <v/>
      </c>
    </row>
    <row r="3148" spans="1:13" x14ac:dyDescent="0.3">
      <c r="A3148" t="str">
        <f>Segmenter!A3148</f>
        <v/>
      </c>
      <c r="B3148" t="str">
        <f>Segmenter!B3148</f>
        <v/>
      </c>
      <c r="C3148" t="str">
        <f t="shared" si="245"/>
        <v/>
      </c>
      <c r="D3148" t="str">
        <f t="shared" si="246"/>
        <v/>
      </c>
      <c r="E3148" t="str">
        <f t="shared" si="247"/>
        <v/>
      </c>
      <c r="F3148" t="str">
        <f>IF(D3148="","",INDEX(Knutepunkter!$B:$B,D3148+1))</f>
        <v/>
      </c>
      <c r="G3148" t="str">
        <f>IF(D3148="","",INDEX(Knutepunkter!$C:$C,D3148+1))</f>
        <v/>
      </c>
      <c r="H3148" t="str">
        <f>IF(D3148="","",INDEX(Knutepunkter!$D:$D,D3148+1))</f>
        <v/>
      </c>
      <c r="I3148" t="str">
        <f>IF(E3148="","",INDEX(Knutepunkter!$B:$B,E3148+1))</f>
        <v/>
      </c>
      <c r="J3148" t="str">
        <f>IF(E3148="","",INDEX(Knutepunkter!$C:$C,E3148+1))</f>
        <v/>
      </c>
      <c r="K3148" t="str">
        <f>IF(E3148="","",INDEX(Knutepunkter!$D:$D,E3148+1))</f>
        <v/>
      </c>
      <c r="L3148" t="str">
        <f t="shared" si="248"/>
        <v/>
      </c>
      <c r="M3148" t="str">
        <f t="shared" si="249"/>
        <v/>
      </c>
    </row>
    <row r="3149" spans="1:13" x14ac:dyDescent="0.3">
      <c r="A3149" t="str">
        <f>Segmenter!A3149</f>
        <v/>
      </c>
      <c r="B3149" t="str">
        <f>Segmenter!B3149</f>
        <v/>
      </c>
      <c r="C3149" t="str">
        <f t="shared" si="245"/>
        <v/>
      </c>
      <c r="D3149" t="str">
        <f t="shared" si="246"/>
        <v/>
      </c>
      <c r="E3149" t="str">
        <f t="shared" si="247"/>
        <v/>
      </c>
      <c r="F3149" t="str">
        <f>IF(D3149="","",INDEX(Knutepunkter!$B:$B,D3149+1))</f>
        <v/>
      </c>
      <c r="G3149" t="str">
        <f>IF(D3149="","",INDEX(Knutepunkter!$C:$C,D3149+1))</f>
        <v/>
      </c>
      <c r="H3149" t="str">
        <f>IF(D3149="","",INDEX(Knutepunkter!$D:$D,D3149+1))</f>
        <v/>
      </c>
      <c r="I3149" t="str">
        <f>IF(E3149="","",INDEX(Knutepunkter!$B:$B,E3149+1))</f>
        <v/>
      </c>
      <c r="J3149" t="str">
        <f>IF(E3149="","",INDEX(Knutepunkter!$C:$C,E3149+1))</f>
        <v/>
      </c>
      <c r="K3149" t="str">
        <f>IF(E3149="","",INDEX(Knutepunkter!$D:$D,E3149+1))</f>
        <v/>
      </c>
      <c r="L3149" t="str">
        <f t="shared" si="248"/>
        <v/>
      </c>
      <c r="M3149" t="str">
        <f t="shared" si="249"/>
        <v/>
      </c>
    </row>
    <row r="3150" spans="1:13" x14ac:dyDescent="0.3">
      <c r="A3150" t="str">
        <f>Segmenter!A3150</f>
        <v/>
      </c>
      <c r="B3150" t="str">
        <f>Segmenter!B3150</f>
        <v/>
      </c>
      <c r="C3150" t="str">
        <f t="shared" si="245"/>
        <v/>
      </c>
      <c r="D3150" t="str">
        <f t="shared" si="246"/>
        <v/>
      </c>
      <c r="E3150" t="str">
        <f t="shared" si="247"/>
        <v/>
      </c>
      <c r="F3150" t="str">
        <f>IF(D3150="","",INDEX(Knutepunkter!$B:$B,D3150+1))</f>
        <v/>
      </c>
      <c r="G3150" t="str">
        <f>IF(D3150="","",INDEX(Knutepunkter!$C:$C,D3150+1))</f>
        <v/>
      </c>
      <c r="H3150" t="str">
        <f>IF(D3150="","",INDEX(Knutepunkter!$D:$D,D3150+1))</f>
        <v/>
      </c>
      <c r="I3150" t="str">
        <f>IF(E3150="","",INDEX(Knutepunkter!$B:$B,E3150+1))</f>
        <v/>
      </c>
      <c r="J3150" t="str">
        <f>IF(E3150="","",INDEX(Knutepunkter!$C:$C,E3150+1))</f>
        <v/>
      </c>
      <c r="K3150" t="str">
        <f>IF(E3150="","",INDEX(Knutepunkter!$D:$D,E3150+1))</f>
        <v/>
      </c>
      <c r="L3150" t="str">
        <f t="shared" si="248"/>
        <v/>
      </c>
      <c r="M3150" t="str">
        <f t="shared" si="249"/>
        <v/>
      </c>
    </row>
    <row r="3151" spans="1:13" x14ac:dyDescent="0.3">
      <c r="A3151" t="str">
        <f>Segmenter!A3151</f>
        <v/>
      </c>
      <c r="B3151" t="str">
        <f>Segmenter!B3151</f>
        <v/>
      </c>
      <c r="C3151" t="str">
        <f t="shared" si="245"/>
        <v/>
      </c>
      <c r="D3151" t="str">
        <f t="shared" si="246"/>
        <v/>
      </c>
      <c r="E3151" t="str">
        <f t="shared" si="247"/>
        <v/>
      </c>
      <c r="F3151" t="str">
        <f>IF(D3151="","",INDEX(Knutepunkter!$B:$B,D3151+1))</f>
        <v/>
      </c>
      <c r="G3151" t="str">
        <f>IF(D3151="","",INDEX(Knutepunkter!$C:$C,D3151+1))</f>
        <v/>
      </c>
      <c r="H3151" t="str">
        <f>IF(D3151="","",INDEX(Knutepunkter!$D:$D,D3151+1))</f>
        <v/>
      </c>
      <c r="I3151" t="str">
        <f>IF(E3151="","",INDEX(Knutepunkter!$B:$B,E3151+1))</f>
        <v/>
      </c>
      <c r="J3151" t="str">
        <f>IF(E3151="","",INDEX(Knutepunkter!$C:$C,E3151+1))</f>
        <v/>
      </c>
      <c r="K3151" t="str">
        <f>IF(E3151="","",INDEX(Knutepunkter!$D:$D,E3151+1))</f>
        <v/>
      </c>
      <c r="L3151" t="str">
        <f t="shared" si="248"/>
        <v/>
      </c>
      <c r="M3151" t="str">
        <f t="shared" si="249"/>
        <v/>
      </c>
    </row>
    <row r="3152" spans="1:13" x14ac:dyDescent="0.3">
      <c r="A3152" t="str">
        <f>Segmenter!A3152</f>
        <v/>
      </c>
      <c r="B3152" t="str">
        <f>Segmenter!B3152</f>
        <v/>
      </c>
      <c r="C3152" t="str">
        <f t="shared" si="245"/>
        <v/>
      </c>
      <c r="D3152" t="str">
        <f t="shared" si="246"/>
        <v/>
      </c>
      <c r="E3152" t="str">
        <f t="shared" si="247"/>
        <v/>
      </c>
      <c r="F3152" t="str">
        <f>IF(D3152="","",INDEX(Knutepunkter!$B:$B,D3152+1))</f>
        <v/>
      </c>
      <c r="G3152" t="str">
        <f>IF(D3152="","",INDEX(Knutepunkter!$C:$C,D3152+1))</f>
        <v/>
      </c>
      <c r="H3152" t="str">
        <f>IF(D3152="","",INDEX(Knutepunkter!$D:$D,D3152+1))</f>
        <v/>
      </c>
      <c r="I3152" t="str">
        <f>IF(E3152="","",INDEX(Knutepunkter!$B:$B,E3152+1))</f>
        <v/>
      </c>
      <c r="J3152" t="str">
        <f>IF(E3152="","",INDEX(Knutepunkter!$C:$C,E3152+1))</f>
        <v/>
      </c>
      <c r="K3152" t="str">
        <f>IF(E3152="","",INDEX(Knutepunkter!$D:$D,E3152+1))</f>
        <v/>
      </c>
      <c r="L3152" t="str">
        <f t="shared" si="248"/>
        <v/>
      </c>
      <c r="M3152" t="str">
        <f t="shared" si="249"/>
        <v/>
      </c>
    </row>
    <row r="3153" spans="1:13" x14ac:dyDescent="0.3">
      <c r="A3153" t="str">
        <f>Segmenter!A3153</f>
        <v/>
      </c>
      <c r="B3153" t="str">
        <f>Segmenter!B3153</f>
        <v/>
      </c>
      <c r="C3153" t="str">
        <f t="shared" si="245"/>
        <v/>
      </c>
      <c r="D3153" t="str">
        <f t="shared" si="246"/>
        <v/>
      </c>
      <c r="E3153" t="str">
        <f t="shared" si="247"/>
        <v/>
      </c>
      <c r="F3153" t="str">
        <f>IF(D3153="","",INDEX(Knutepunkter!$B:$B,D3153+1))</f>
        <v/>
      </c>
      <c r="G3153" t="str">
        <f>IF(D3153="","",INDEX(Knutepunkter!$C:$C,D3153+1))</f>
        <v/>
      </c>
      <c r="H3153" t="str">
        <f>IF(D3153="","",INDEX(Knutepunkter!$D:$D,D3153+1))</f>
        <v/>
      </c>
      <c r="I3153" t="str">
        <f>IF(E3153="","",INDEX(Knutepunkter!$B:$B,E3153+1))</f>
        <v/>
      </c>
      <c r="J3153" t="str">
        <f>IF(E3153="","",INDEX(Knutepunkter!$C:$C,E3153+1))</f>
        <v/>
      </c>
      <c r="K3153" t="str">
        <f>IF(E3153="","",INDEX(Knutepunkter!$D:$D,E3153+1))</f>
        <v/>
      </c>
      <c r="L3153" t="str">
        <f t="shared" si="248"/>
        <v/>
      </c>
      <c r="M3153" t="str">
        <f t="shared" si="249"/>
        <v/>
      </c>
    </row>
    <row r="3154" spans="1:13" x14ac:dyDescent="0.3">
      <c r="A3154" t="str">
        <f>Segmenter!A3154</f>
        <v/>
      </c>
      <c r="B3154" t="str">
        <f>Segmenter!B3154</f>
        <v/>
      </c>
      <c r="C3154" t="str">
        <f t="shared" si="245"/>
        <v/>
      </c>
      <c r="D3154" t="str">
        <f t="shared" si="246"/>
        <v/>
      </c>
      <c r="E3154" t="str">
        <f t="shared" si="247"/>
        <v/>
      </c>
      <c r="F3154" t="str">
        <f>IF(D3154="","",INDEX(Knutepunkter!$B:$B,D3154+1))</f>
        <v/>
      </c>
      <c r="G3154" t="str">
        <f>IF(D3154="","",INDEX(Knutepunkter!$C:$C,D3154+1))</f>
        <v/>
      </c>
      <c r="H3154" t="str">
        <f>IF(D3154="","",INDEX(Knutepunkter!$D:$D,D3154+1))</f>
        <v/>
      </c>
      <c r="I3154" t="str">
        <f>IF(E3154="","",INDEX(Knutepunkter!$B:$B,E3154+1))</f>
        <v/>
      </c>
      <c r="J3154" t="str">
        <f>IF(E3154="","",INDEX(Knutepunkter!$C:$C,E3154+1))</f>
        <v/>
      </c>
      <c r="K3154" t="str">
        <f>IF(E3154="","",INDEX(Knutepunkter!$D:$D,E3154+1))</f>
        <v/>
      </c>
      <c r="L3154" t="str">
        <f t="shared" si="248"/>
        <v/>
      </c>
      <c r="M3154" t="str">
        <f t="shared" si="249"/>
        <v/>
      </c>
    </row>
    <row r="3155" spans="1:13" x14ac:dyDescent="0.3">
      <c r="A3155" t="str">
        <f>Segmenter!A3155</f>
        <v/>
      </c>
      <c r="B3155" t="str">
        <f>Segmenter!B3155</f>
        <v/>
      </c>
      <c r="C3155" t="str">
        <f t="shared" si="245"/>
        <v/>
      </c>
      <c r="D3155" t="str">
        <f t="shared" si="246"/>
        <v/>
      </c>
      <c r="E3155" t="str">
        <f t="shared" si="247"/>
        <v/>
      </c>
      <c r="F3155" t="str">
        <f>IF(D3155="","",INDEX(Knutepunkter!$B:$B,D3155+1))</f>
        <v/>
      </c>
      <c r="G3155" t="str">
        <f>IF(D3155="","",INDEX(Knutepunkter!$C:$C,D3155+1))</f>
        <v/>
      </c>
      <c r="H3155" t="str">
        <f>IF(D3155="","",INDEX(Knutepunkter!$D:$D,D3155+1))</f>
        <v/>
      </c>
      <c r="I3155" t="str">
        <f>IF(E3155="","",INDEX(Knutepunkter!$B:$B,E3155+1))</f>
        <v/>
      </c>
      <c r="J3155" t="str">
        <f>IF(E3155="","",INDEX(Knutepunkter!$C:$C,E3155+1))</f>
        <v/>
      </c>
      <c r="K3155" t="str">
        <f>IF(E3155="","",INDEX(Knutepunkter!$D:$D,E3155+1))</f>
        <v/>
      </c>
      <c r="L3155" t="str">
        <f t="shared" si="248"/>
        <v/>
      </c>
      <c r="M3155" t="str">
        <f t="shared" si="249"/>
        <v/>
      </c>
    </row>
    <row r="3156" spans="1:13" x14ac:dyDescent="0.3">
      <c r="A3156" t="str">
        <f>Segmenter!A3156</f>
        <v/>
      </c>
      <c r="B3156" t="str">
        <f>Segmenter!B3156</f>
        <v/>
      </c>
      <c r="C3156" t="str">
        <f t="shared" si="245"/>
        <v/>
      </c>
      <c r="D3156" t="str">
        <f t="shared" si="246"/>
        <v/>
      </c>
      <c r="E3156" t="str">
        <f t="shared" si="247"/>
        <v/>
      </c>
      <c r="F3156" t="str">
        <f>IF(D3156="","",INDEX(Knutepunkter!$B:$B,D3156+1))</f>
        <v/>
      </c>
      <c r="G3156" t="str">
        <f>IF(D3156="","",INDEX(Knutepunkter!$C:$C,D3156+1))</f>
        <v/>
      </c>
      <c r="H3156" t="str">
        <f>IF(D3156="","",INDEX(Knutepunkter!$D:$D,D3156+1))</f>
        <v/>
      </c>
      <c r="I3156" t="str">
        <f>IF(E3156="","",INDEX(Knutepunkter!$B:$B,E3156+1))</f>
        <v/>
      </c>
      <c r="J3156" t="str">
        <f>IF(E3156="","",INDEX(Knutepunkter!$C:$C,E3156+1))</f>
        <v/>
      </c>
      <c r="K3156" t="str">
        <f>IF(E3156="","",INDEX(Knutepunkter!$D:$D,E3156+1))</f>
        <v/>
      </c>
      <c r="L3156" t="str">
        <f t="shared" si="248"/>
        <v/>
      </c>
      <c r="M3156" t="str">
        <f t="shared" si="249"/>
        <v/>
      </c>
    </row>
    <row r="3157" spans="1:13" x14ac:dyDescent="0.3">
      <c r="A3157" t="str">
        <f>Segmenter!A3157</f>
        <v/>
      </c>
      <c r="B3157" t="str">
        <f>Segmenter!B3157</f>
        <v/>
      </c>
      <c r="C3157" t="str">
        <f t="shared" si="245"/>
        <v/>
      </c>
      <c r="D3157" t="str">
        <f t="shared" si="246"/>
        <v/>
      </c>
      <c r="E3157" t="str">
        <f t="shared" si="247"/>
        <v/>
      </c>
      <c r="F3157" t="str">
        <f>IF(D3157="","",INDEX(Knutepunkter!$B:$B,D3157+1))</f>
        <v/>
      </c>
      <c r="G3157" t="str">
        <f>IF(D3157="","",INDEX(Knutepunkter!$C:$C,D3157+1))</f>
        <v/>
      </c>
      <c r="H3157" t="str">
        <f>IF(D3157="","",INDEX(Knutepunkter!$D:$D,D3157+1))</f>
        <v/>
      </c>
      <c r="I3157" t="str">
        <f>IF(E3157="","",INDEX(Knutepunkter!$B:$B,E3157+1))</f>
        <v/>
      </c>
      <c r="J3157" t="str">
        <f>IF(E3157="","",INDEX(Knutepunkter!$C:$C,E3157+1))</f>
        <v/>
      </c>
      <c r="K3157" t="str">
        <f>IF(E3157="","",INDEX(Knutepunkter!$D:$D,E3157+1))</f>
        <v/>
      </c>
      <c r="L3157" t="str">
        <f t="shared" si="248"/>
        <v/>
      </c>
      <c r="M3157" t="str">
        <f t="shared" si="249"/>
        <v/>
      </c>
    </row>
    <row r="3158" spans="1:13" x14ac:dyDescent="0.3">
      <c r="A3158" t="str">
        <f>Segmenter!A3158</f>
        <v/>
      </c>
      <c r="B3158" t="str">
        <f>Segmenter!B3158</f>
        <v/>
      </c>
      <c r="C3158" t="str">
        <f t="shared" si="245"/>
        <v/>
      </c>
      <c r="D3158" t="str">
        <f t="shared" si="246"/>
        <v/>
      </c>
      <c r="E3158" t="str">
        <f t="shared" si="247"/>
        <v/>
      </c>
      <c r="F3158" t="str">
        <f>IF(D3158="","",INDEX(Knutepunkter!$B:$B,D3158+1))</f>
        <v/>
      </c>
      <c r="G3158" t="str">
        <f>IF(D3158="","",INDEX(Knutepunkter!$C:$C,D3158+1))</f>
        <v/>
      </c>
      <c r="H3158" t="str">
        <f>IF(D3158="","",INDEX(Knutepunkter!$D:$D,D3158+1))</f>
        <v/>
      </c>
      <c r="I3158" t="str">
        <f>IF(E3158="","",INDEX(Knutepunkter!$B:$B,E3158+1))</f>
        <v/>
      </c>
      <c r="J3158" t="str">
        <f>IF(E3158="","",INDEX(Knutepunkter!$C:$C,E3158+1))</f>
        <v/>
      </c>
      <c r="K3158" t="str">
        <f>IF(E3158="","",INDEX(Knutepunkter!$D:$D,E3158+1))</f>
        <v/>
      </c>
      <c r="L3158" t="str">
        <f t="shared" si="248"/>
        <v/>
      </c>
      <c r="M3158" t="str">
        <f t="shared" si="249"/>
        <v/>
      </c>
    </row>
    <row r="3159" spans="1:13" x14ac:dyDescent="0.3">
      <c r="A3159" t="str">
        <f>Segmenter!A3159</f>
        <v/>
      </c>
      <c r="B3159" t="str">
        <f>Segmenter!B3159</f>
        <v/>
      </c>
      <c r="C3159" t="str">
        <f t="shared" si="245"/>
        <v/>
      </c>
      <c r="D3159" t="str">
        <f t="shared" si="246"/>
        <v/>
      </c>
      <c r="E3159" t="str">
        <f t="shared" si="247"/>
        <v/>
      </c>
      <c r="F3159" t="str">
        <f>IF(D3159="","",INDEX(Knutepunkter!$B:$B,D3159+1))</f>
        <v/>
      </c>
      <c r="G3159" t="str">
        <f>IF(D3159="","",INDEX(Knutepunkter!$C:$C,D3159+1))</f>
        <v/>
      </c>
      <c r="H3159" t="str">
        <f>IF(D3159="","",INDEX(Knutepunkter!$D:$D,D3159+1))</f>
        <v/>
      </c>
      <c r="I3159" t="str">
        <f>IF(E3159="","",INDEX(Knutepunkter!$B:$B,E3159+1))</f>
        <v/>
      </c>
      <c r="J3159" t="str">
        <f>IF(E3159="","",INDEX(Knutepunkter!$C:$C,E3159+1))</f>
        <v/>
      </c>
      <c r="K3159" t="str">
        <f>IF(E3159="","",INDEX(Knutepunkter!$D:$D,E3159+1))</f>
        <v/>
      </c>
      <c r="L3159" t="str">
        <f t="shared" si="248"/>
        <v/>
      </c>
      <c r="M3159" t="str">
        <f t="shared" si="249"/>
        <v/>
      </c>
    </row>
    <row r="3160" spans="1:13" x14ac:dyDescent="0.3">
      <c r="A3160" t="str">
        <f>Segmenter!A3160</f>
        <v/>
      </c>
      <c r="B3160" t="str">
        <f>Segmenter!B3160</f>
        <v/>
      </c>
      <c r="C3160" t="str">
        <f t="shared" si="245"/>
        <v/>
      </c>
      <c r="D3160" t="str">
        <f t="shared" si="246"/>
        <v/>
      </c>
      <c r="E3160" t="str">
        <f t="shared" si="247"/>
        <v/>
      </c>
      <c r="F3160" t="str">
        <f>IF(D3160="","",INDEX(Knutepunkter!$B:$B,D3160+1))</f>
        <v/>
      </c>
      <c r="G3160" t="str">
        <f>IF(D3160="","",INDEX(Knutepunkter!$C:$C,D3160+1))</f>
        <v/>
      </c>
      <c r="H3160" t="str">
        <f>IF(D3160="","",INDEX(Knutepunkter!$D:$D,D3160+1))</f>
        <v/>
      </c>
      <c r="I3160" t="str">
        <f>IF(E3160="","",INDEX(Knutepunkter!$B:$B,E3160+1))</f>
        <v/>
      </c>
      <c r="J3160" t="str">
        <f>IF(E3160="","",INDEX(Knutepunkter!$C:$C,E3160+1))</f>
        <v/>
      </c>
      <c r="K3160" t="str">
        <f>IF(E3160="","",INDEX(Knutepunkter!$D:$D,E3160+1))</f>
        <v/>
      </c>
      <c r="L3160" t="str">
        <f t="shared" si="248"/>
        <v/>
      </c>
      <c r="M3160" t="str">
        <f t="shared" si="249"/>
        <v/>
      </c>
    </row>
    <row r="3161" spans="1:13" x14ac:dyDescent="0.3">
      <c r="A3161" t="str">
        <f>Segmenter!A3161</f>
        <v/>
      </c>
      <c r="B3161" t="str">
        <f>Segmenter!B3161</f>
        <v/>
      </c>
      <c r="C3161" t="str">
        <f t="shared" si="245"/>
        <v/>
      </c>
      <c r="D3161" t="str">
        <f t="shared" si="246"/>
        <v/>
      </c>
      <c r="E3161" t="str">
        <f t="shared" si="247"/>
        <v/>
      </c>
      <c r="F3161" t="str">
        <f>IF(D3161="","",INDEX(Knutepunkter!$B:$B,D3161+1))</f>
        <v/>
      </c>
      <c r="G3161" t="str">
        <f>IF(D3161="","",INDEX(Knutepunkter!$C:$C,D3161+1))</f>
        <v/>
      </c>
      <c r="H3161" t="str">
        <f>IF(D3161="","",INDEX(Knutepunkter!$D:$D,D3161+1))</f>
        <v/>
      </c>
      <c r="I3161" t="str">
        <f>IF(E3161="","",INDEX(Knutepunkter!$B:$B,E3161+1))</f>
        <v/>
      </c>
      <c r="J3161" t="str">
        <f>IF(E3161="","",INDEX(Knutepunkter!$C:$C,E3161+1))</f>
        <v/>
      </c>
      <c r="K3161" t="str">
        <f>IF(E3161="","",INDEX(Knutepunkter!$D:$D,E3161+1))</f>
        <v/>
      </c>
      <c r="L3161" t="str">
        <f t="shared" si="248"/>
        <v/>
      </c>
      <c r="M3161" t="str">
        <f t="shared" si="249"/>
        <v/>
      </c>
    </row>
    <row r="3162" spans="1:13" x14ac:dyDescent="0.3">
      <c r="A3162" t="str">
        <f>Segmenter!A3162</f>
        <v/>
      </c>
      <c r="B3162" t="str">
        <f>Segmenter!B3162</f>
        <v/>
      </c>
      <c r="C3162" t="str">
        <f t="shared" si="245"/>
        <v/>
      </c>
      <c r="D3162" t="str">
        <f t="shared" si="246"/>
        <v/>
      </c>
      <c r="E3162" t="str">
        <f t="shared" si="247"/>
        <v/>
      </c>
      <c r="F3162" t="str">
        <f>IF(D3162="","",INDEX(Knutepunkter!$B:$B,D3162+1))</f>
        <v/>
      </c>
      <c r="G3162" t="str">
        <f>IF(D3162="","",INDEX(Knutepunkter!$C:$C,D3162+1))</f>
        <v/>
      </c>
      <c r="H3162" t="str">
        <f>IF(D3162="","",INDEX(Knutepunkter!$D:$D,D3162+1))</f>
        <v/>
      </c>
      <c r="I3162" t="str">
        <f>IF(E3162="","",INDEX(Knutepunkter!$B:$B,E3162+1))</f>
        <v/>
      </c>
      <c r="J3162" t="str">
        <f>IF(E3162="","",INDEX(Knutepunkter!$C:$C,E3162+1))</f>
        <v/>
      </c>
      <c r="K3162" t="str">
        <f>IF(E3162="","",INDEX(Knutepunkter!$D:$D,E3162+1))</f>
        <v/>
      </c>
      <c r="L3162" t="str">
        <f t="shared" si="248"/>
        <v/>
      </c>
      <c r="M3162" t="str">
        <f t="shared" si="249"/>
        <v/>
      </c>
    </row>
    <row r="3163" spans="1:13" x14ac:dyDescent="0.3">
      <c r="A3163" t="str">
        <f>Segmenter!A3163</f>
        <v/>
      </c>
      <c r="B3163" t="str">
        <f>Segmenter!B3163</f>
        <v/>
      </c>
      <c r="C3163" t="str">
        <f t="shared" si="245"/>
        <v/>
      </c>
      <c r="D3163" t="str">
        <f t="shared" si="246"/>
        <v/>
      </c>
      <c r="E3163" t="str">
        <f t="shared" si="247"/>
        <v/>
      </c>
      <c r="F3163" t="str">
        <f>IF(D3163="","",INDEX(Knutepunkter!$B:$B,D3163+1))</f>
        <v/>
      </c>
      <c r="G3163" t="str">
        <f>IF(D3163="","",INDEX(Knutepunkter!$C:$C,D3163+1))</f>
        <v/>
      </c>
      <c r="H3163" t="str">
        <f>IF(D3163="","",INDEX(Knutepunkter!$D:$D,D3163+1))</f>
        <v/>
      </c>
      <c r="I3163" t="str">
        <f>IF(E3163="","",INDEX(Knutepunkter!$B:$B,E3163+1))</f>
        <v/>
      </c>
      <c r="J3163" t="str">
        <f>IF(E3163="","",INDEX(Knutepunkter!$C:$C,E3163+1))</f>
        <v/>
      </c>
      <c r="K3163" t="str">
        <f>IF(E3163="","",INDEX(Knutepunkter!$D:$D,E3163+1))</f>
        <v/>
      </c>
      <c r="L3163" t="str">
        <f t="shared" si="248"/>
        <v/>
      </c>
      <c r="M3163" t="str">
        <f t="shared" si="249"/>
        <v/>
      </c>
    </row>
    <row r="3164" spans="1:13" x14ac:dyDescent="0.3">
      <c r="A3164" t="str">
        <f>Segmenter!A3164</f>
        <v/>
      </c>
      <c r="B3164" t="str">
        <f>Segmenter!B3164</f>
        <v/>
      </c>
      <c r="C3164" t="str">
        <f t="shared" si="245"/>
        <v/>
      </c>
      <c r="D3164" t="str">
        <f t="shared" si="246"/>
        <v/>
      </c>
      <c r="E3164" t="str">
        <f t="shared" si="247"/>
        <v/>
      </c>
      <c r="F3164" t="str">
        <f>IF(D3164="","",INDEX(Knutepunkter!$B:$B,D3164+1))</f>
        <v/>
      </c>
      <c r="G3164" t="str">
        <f>IF(D3164="","",INDEX(Knutepunkter!$C:$C,D3164+1))</f>
        <v/>
      </c>
      <c r="H3164" t="str">
        <f>IF(D3164="","",INDEX(Knutepunkter!$D:$D,D3164+1))</f>
        <v/>
      </c>
      <c r="I3164" t="str">
        <f>IF(E3164="","",INDEX(Knutepunkter!$B:$B,E3164+1))</f>
        <v/>
      </c>
      <c r="J3164" t="str">
        <f>IF(E3164="","",INDEX(Knutepunkter!$C:$C,E3164+1))</f>
        <v/>
      </c>
      <c r="K3164" t="str">
        <f>IF(E3164="","",INDEX(Knutepunkter!$D:$D,E3164+1))</f>
        <v/>
      </c>
      <c r="L3164" t="str">
        <f t="shared" si="248"/>
        <v/>
      </c>
      <c r="M3164" t="str">
        <f t="shared" si="249"/>
        <v/>
      </c>
    </row>
    <row r="3165" spans="1:13" x14ac:dyDescent="0.3">
      <c r="A3165" t="str">
        <f>Segmenter!A3165</f>
        <v/>
      </c>
      <c r="B3165" t="str">
        <f>Segmenter!B3165</f>
        <v/>
      </c>
      <c r="C3165" t="str">
        <f t="shared" si="245"/>
        <v/>
      </c>
      <c r="D3165" t="str">
        <f t="shared" si="246"/>
        <v/>
      </c>
      <c r="E3165" t="str">
        <f t="shared" si="247"/>
        <v/>
      </c>
      <c r="F3165" t="str">
        <f>IF(D3165="","",INDEX(Knutepunkter!$B:$B,D3165+1))</f>
        <v/>
      </c>
      <c r="G3165" t="str">
        <f>IF(D3165="","",INDEX(Knutepunkter!$C:$C,D3165+1))</f>
        <v/>
      </c>
      <c r="H3165" t="str">
        <f>IF(D3165="","",INDEX(Knutepunkter!$D:$D,D3165+1))</f>
        <v/>
      </c>
      <c r="I3165" t="str">
        <f>IF(E3165="","",INDEX(Knutepunkter!$B:$B,E3165+1))</f>
        <v/>
      </c>
      <c r="J3165" t="str">
        <f>IF(E3165="","",INDEX(Knutepunkter!$C:$C,E3165+1))</f>
        <v/>
      </c>
      <c r="K3165" t="str">
        <f>IF(E3165="","",INDEX(Knutepunkter!$D:$D,E3165+1))</f>
        <v/>
      </c>
      <c r="L3165" t="str">
        <f t="shared" si="248"/>
        <v/>
      </c>
      <c r="M3165" t="str">
        <f t="shared" si="249"/>
        <v/>
      </c>
    </row>
    <row r="3166" spans="1:13" x14ac:dyDescent="0.3">
      <c r="A3166" t="str">
        <f>Segmenter!A3166</f>
        <v/>
      </c>
      <c r="B3166" t="str">
        <f>Segmenter!B3166</f>
        <v/>
      </c>
      <c r="C3166" t="str">
        <f t="shared" si="245"/>
        <v/>
      </c>
      <c r="D3166" t="str">
        <f t="shared" si="246"/>
        <v/>
      </c>
      <c r="E3166" t="str">
        <f t="shared" si="247"/>
        <v/>
      </c>
      <c r="F3166" t="str">
        <f>IF(D3166="","",INDEX(Knutepunkter!$B:$B,D3166+1))</f>
        <v/>
      </c>
      <c r="G3166" t="str">
        <f>IF(D3166="","",INDEX(Knutepunkter!$C:$C,D3166+1))</f>
        <v/>
      </c>
      <c r="H3166" t="str">
        <f>IF(D3166="","",INDEX(Knutepunkter!$D:$D,D3166+1))</f>
        <v/>
      </c>
      <c r="I3166" t="str">
        <f>IF(E3166="","",INDEX(Knutepunkter!$B:$B,E3166+1))</f>
        <v/>
      </c>
      <c r="J3166" t="str">
        <f>IF(E3166="","",INDEX(Knutepunkter!$C:$C,E3166+1))</f>
        <v/>
      </c>
      <c r="K3166" t="str">
        <f>IF(E3166="","",INDEX(Knutepunkter!$D:$D,E3166+1))</f>
        <v/>
      </c>
      <c r="L3166" t="str">
        <f t="shared" si="248"/>
        <v/>
      </c>
      <c r="M3166" t="str">
        <f t="shared" si="249"/>
        <v/>
      </c>
    </row>
    <row r="3167" spans="1:13" x14ac:dyDescent="0.3">
      <c r="A3167" t="str">
        <f>Segmenter!A3167</f>
        <v/>
      </c>
      <c r="B3167" t="str">
        <f>Segmenter!B3167</f>
        <v/>
      </c>
      <c r="C3167" t="str">
        <f t="shared" si="245"/>
        <v/>
      </c>
      <c r="D3167" t="str">
        <f t="shared" si="246"/>
        <v/>
      </c>
      <c r="E3167" t="str">
        <f t="shared" si="247"/>
        <v/>
      </c>
      <c r="F3167" t="str">
        <f>IF(D3167="","",INDEX(Knutepunkter!$B:$B,D3167+1))</f>
        <v/>
      </c>
      <c r="G3167" t="str">
        <f>IF(D3167="","",INDEX(Knutepunkter!$C:$C,D3167+1))</f>
        <v/>
      </c>
      <c r="H3167" t="str">
        <f>IF(D3167="","",INDEX(Knutepunkter!$D:$D,D3167+1))</f>
        <v/>
      </c>
      <c r="I3167" t="str">
        <f>IF(E3167="","",INDEX(Knutepunkter!$B:$B,E3167+1))</f>
        <v/>
      </c>
      <c r="J3167" t="str">
        <f>IF(E3167="","",INDEX(Knutepunkter!$C:$C,E3167+1))</f>
        <v/>
      </c>
      <c r="K3167" t="str">
        <f>IF(E3167="","",INDEX(Knutepunkter!$D:$D,E3167+1))</f>
        <v/>
      </c>
      <c r="L3167" t="str">
        <f t="shared" si="248"/>
        <v/>
      </c>
      <c r="M3167" t="str">
        <f t="shared" si="249"/>
        <v/>
      </c>
    </row>
    <row r="3168" spans="1:13" x14ac:dyDescent="0.3">
      <c r="A3168" t="str">
        <f>Segmenter!A3168</f>
        <v/>
      </c>
      <c r="B3168" t="str">
        <f>Segmenter!B3168</f>
        <v/>
      </c>
      <c r="C3168" t="str">
        <f t="shared" si="245"/>
        <v/>
      </c>
      <c r="D3168" t="str">
        <f t="shared" si="246"/>
        <v/>
      </c>
      <c r="E3168" t="str">
        <f t="shared" si="247"/>
        <v/>
      </c>
      <c r="F3168" t="str">
        <f>IF(D3168="","",INDEX(Knutepunkter!$B:$B,D3168+1))</f>
        <v/>
      </c>
      <c r="G3168" t="str">
        <f>IF(D3168="","",INDEX(Knutepunkter!$C:$C,D3168+1))</f>
        <v/>
      </c>
      <c r="H3168" t="str">
        <f>IF(D3168="","",INDEX(Knutepunkter!$D:$D,D3168+1))</f>
        <v/>
      </c>
      <c r="I3168" t="str">
        <f>IF(E3168="","",INDEX(Knutepunkter!$B:$B,E3168+1))</f>
        <v/>
      </c>
      <c r="J3168" t="str">
        <f>IF(E3168="","",INDEX(Knutepunkter!$C:$C,E3168+1))</f>
        <v/>
      </c>
      <c r="K3168" t="str">
        <f>IF(E3168="","",INDEX(Knutepunkter!$D:$D,E3168+1))</f>
        <v/>
      </c>
      <c r="L3168" t="str">
        <f t="shared" si="248"/>
        <v/>
      </c>
      <c r="M3168" t="str">
        <f t="shared" si="249"/>
        <v/>
      </c>
    </row>
    <row r="3169" spans="1:13" x14ac:dyDescent="0.3">
      <c r="A3169" t="str">
        <f>Segmenter!A3169</f>
        <v/>
      </c>
      <c r="B3169" t="str">
        <f>Segmenter!B3169</f>
        <v/>
      </c>
      <c r="C3169" t="str">
        <f t="shared" si="245"/>
        <v/>
      </c>
      <c r="D3169" t="str">
        <f t="shared" si="246"/>
        <v/>
      </c>
      <c r="E3169" t="str">
        <f t="shared" si="247"/>
        <v/>
      </c>
      <c r="F3169" t="str">
        <f>IF(D3169="","",INDEX(Knutepunkter!$B:$B,D3169+1))</f>
        <v/>
      </c>
      <c r="G3169" t="str">
        <f>IF(D3169="","",INDEX(Knutepunkter!$C:$C,D3169+1))</f>
        <v/>
      </c>
      <c r="H3169" t="str">
        <f>IF(D3169="","",INDEX(Knutepunkter!$D:$D,D3169+1))</f>
        <v/>
      </c>
      <c r="I3169" t="str">
        <f>IF(E3169="","",INDEX(Knutepunkter!$B:$B,E3169+1))</f>
        <v/>
      </c>
      <c r="J3169" t="str">
        <f>IF(E3169="","",INDEX(Knutepunkter!$C:$C,E3169+1))</f>
        <v/>
      </c>
      <c r="K3169" t="str">
        <f>IF(E3169="","",INDEX(Knutepunkter!$D:$D,E3169+1))</f>
        <v/>
      </c>
      <c r="L3169" t="str">
        <f t="shared" si="248"/>
        <v/>
      </c>
      <c r="M3169" t="str">
        <f t="shared" si="249"/>
        <v/>
      </c>
    </row>
    <row r="3170" spans="1:13" x14ac:dyDescent="0.3">
      <c r="A3170" t="str">
        <f>Segmenter!A3170</f>
        <v/>
      </c>
      <c r="B3170" t="str">
        <f>Segmenter!B3170</f>
        <v/>
      </c>
      <c r="C3170" t="str">
        <f t="shared" si="245"/>
        <v/>
      </c>
      <c r="D3170" t="str">
        <f t="shared" si="246"/>
        <v/>
      </c>
      <c r="E3170" t="str">
        <f t="shared" si="247"/>
        <v/>
      </c>
      <c r="F3170" t="str">
        <f>IF(D3170="","",INDEX(Knutepunkter!$B:$B,D3170+1))</f>
        <v/>
      </c>
      <c r="G3170" t="str">
        <f>IF(D3170="","",INDEX(Knutepunkter!$C:$C,D3170+1))</f>
        <v/>
      </c>
      <c r="H3170" t="str">
        <f>IF(D3170="","",INDEX(Knutepunkter!$D:$D,D3170+1))</f>
        <v/>
      </c>
      <c r="I3170" t="str">
        <f>IF(E3170="","",INDEX(Knutepunkter!$B:$B,E3170+1))</f>
        <v/>
      </c>
      <c r="J3170" t="str">
        <f>IF(E3170="","",INDEX(Knutepunkter!$C:$C,E3170+1))</f>
        <v/>
      </c>
      <c r="K3170" t="str">
        <f>IF(E3170="","",INDEX(Knutepunkter!$D:$D,E3170+1))</f>
        <v/>
      </c>
      <c r="L3170" t="str">
        <f t="shared" si="248"/>
        <v/>
      </c>
      <c r="M3170" t="str">
        <f t="shared" si="249"/>
        <v/>
      </c>
    </row>
    <row r="3171" spans="1:13" x14ac:dyDescent="0.3">
      <c r="A3171" t="str">
        <f>Segmenter!A3171</f>
        <v/>
      </c>
      <c r="B3171" t="str">
        <f>Segmenter!B3171</f>
        <v/>
      </c>
      <c r="C3171" t="str">
        <f t="shared" si="245"/>
        <v/>
      </c>
      <c r="D3171" t="str">
        <f t="shared" si="246"/>
        <v/>
      </c>
      <c r="E3171" t="str">
        <f t="shared" si="247"/>
        <v/>
      </c>
      <c r="F3171" t="str">
        <f>IF(D3171="","",INDEX(Knutepunkter!$B:$B,D3171+1))</f>
        <v/>
      </c>
      <c r="G3171" t="str">
        <f>IF(D3171="","",INDEX(Knutepunkter!$C:$C,D3171+1))</f>
        <v/>
      </c>
      <c r="H3171" t="str">
        <f>IF(D3171="","",INDEX(Knutepunkter!$D:$D,D3171+1))</f>
        <v/>
      </c>
      <c r="I3171" t="str">
        <f>IF(E3171="","",INDEX(Knutepunkter!$B:$B,E3171+1))</f>
        <v/>
      </c>
      <c r="J3171" t="str">
        <f>IF(E3171="","",INDEX(Knutepunkter!$C:$C,E3171+1))</f>
        <v/>
      </c>
      <c r="K3171" t="str">
        <f>IF(E3171="","",INDEX(Knutepunkter!$D:$D,E3171+1))</f>
        <v/>
      </c>
      <c r="L3171" t="str">
        <f t="shared" si="248"/>
        <v/>
      </c>
      <c r="M3171" t="str">
        <f t="shared" si="249"/>
        <v/>
      </c>
    </row>
    <row r="3172" spans="1:13" x14ac:dyDescent="0.3">
      <c r="A3172" t="str">
        <f>Segmenter!A3172</f>
        <v/>
      </c>
      <c r="B3172" t="str">
        <f>Segmenter!B3172</f>
        <v/>
      </c>
      <c r="C3172" t="str">
        <f t="shared" si="245"/>
        <v/>
      </c>
      <c r="D3172" t="str">
        <f t="shared" si="246"/>
        <v/>
      </c>
      <c r="E3172" t="str">
        <f t="shared" si="247"/>
        <v/>
      </c>
      <c r="F3172" t="str">
        <f>IF(D3172="","",INDEX(Knutepunkter!$B:$B,D3172+1))</f>
        <v/>
      </c>
      <c r="G3172" t="str">
        <f>IF(D3172="","",INDEX(Knutepunkter!$C:$C,D3172+1))</f>
        <v/>
      </c>
      <c r="H3172" t="str">
        <f>IF(D3172="","",INDEX(Knutepunkter!$D:$D,D3172+1))</f>
        <v/>
      </c>
      <c r="I3172" t="str">
        <f>IF(E3172="","",INDEX(Knutepunkter!$B:$B,E3172+1))</f>
        <v/>
      </c>
      <c r="J3172" t="str">
        <f>IF(E3172="","",INDEX(Knutepunkter!$C:$C,E3172+1))</f>
        <v/>
      </c>
      <c r="K3172" t="str">
        <f>IF(E3172="","",INDEX(Knutepunkter!$D:$D,E3172+1))</f>
        <v/>
      </c>
      <c r="L3172" t="str">
        <f t="shared" si="248"/>
        <v/>
      </c>
      <c r="M3172" t="str">
        <f t="shared" si="249"/>
        <v/>
      </c>
    </row>
    <row r="3173" spans="1:13" x14ac:dyDescent="0.3">
      <c r="A3173" t="str">
        <f>Segmenter!A3173</f>
        <v/>
      </c>
      <c r="B3173" t="str">
        <f>Segmenter!B3173</f>
        <v/>
      </c>
      <c r="C3173" t="str">
        <f t="shared" si="245"/>
        <v/>
      </c>
      <c r="D3173" t="str">
        <f t="shared" si="246"/>
        <v/>
      </c>
      <c r="E3173" t="str">
        <f t="shared" si="247"/>
        <v/>
      </c>
      <c r="F3173" t="str">
        <f>IF(D3173="","",INDEX(Knutepunkter!$B:$B,D3173+1))</f>
        <v/>
      </c>
      <c r="G3173" t="str">
        <f>IF(D3173="","",INDEX(Knutepunkter!$C:$C,D3173+1))</f>
        <v/>
      </c>
      <c r="H3173" t="str">
        <f>IF(D3173="","",INDEX(Knutepunkter!$D:$D,D3173+1))</f>
        <v/>
      </c>
      <c r="I3173" t="str">
        <f>IF(E3173="","",INDEX(Knutepunkter!$B:$B,E3173+1))</f>
        <v/>
      </c>
      <c r="J3173" t="str">
        <f>IF(E3173="","",INDEX(Knutepunkter!$C:$C,E3173+1))</f>
        <v/>
      </c>
      <c r="K3173" t="str">
        <f>IF(E3173="","",INDEX(Knutepunkter!$D:$D,E3173+1))</f>
        <v/>
      </c>
      <c r="L3173" t="str">
        <f t="shared" si="248"/>
        <v/>
      </c>
      <c r="M3173" t="str">
        <f t="shared" si="249"/>
        <v/>
      </c>
    </row>
    <row r="3174" spans="1:13" x14ac:dyDescent="0.3">
      <c r="A3174" t="str">
        <f>Segmenter!A3174</f>
        <v/>
      </c>
      <c r="B3174" t="str">
        <f>Segmenter!B3174</f>
        <v/>
      </c>
      <c r="C3174" t="str">
        <f t="shared" si="245"/>
        <v/>
      </c>
      <c r="D3174" t="str">
        <f t="shared" si="246"/>
        <v/>
      </c>
      <c r="E3174" t="str">
        <f t="shared" si="247"/>
        <v/>
      </c>
      <c r="F3174" t="str">
        <f>IF(D3174="","",INDEX(Knutepunkter!$B:$B,D3174+1))</f>
        <v/>
      </c>
      <c r="G3174" t="str">
        <f>IF(D3174="","",INDEX(Knutepunkter!$C:$C,D3174+1))</f>
        <v/>
      </c>
      <c r="H3174" t="str">
        <f>IF(D3174="","",INDEX(Knutepunkter!$D:$D,D3174+1))</f>
        <v/>
      </c>
      <c r="I3174" t="str">
        <f>IF(E3174="","",INDEX(Knutepunkter!$B:$B,E3174+1))</f>
        <v/>
      </c>
      <c r="J3174" t="str">
        <f>IF(E3174="","",INDEX(Knutepunkter!$C:$C,E3174+1))</f>
        <v/>
      </c>
      <c r="K3174" t="str">
        <f>IF(E3174="","",INDEX(Knutepunkter!$D:$D,E3174+1))</f>
        <v/>
      </c>
      <c r="L3174" t="str">
        <f t="shared" si="248"/>
        <v/>
      </c>
      <c r="M3174" t="str">
        <f t="shared" si="249"/>
        <v/>
      </c>
    </row>
    <row r="3175" spans="1:13" x14ac:dyDescent="0.3">
      <c r="A3175" t="str">
        <f>Segmenter!A3175</f>
        <v/>
      </c>
      <c r="B3175" t="str">
        <f>Segmenter!B3175</f>
        <v/>
      </c>
      <c r="C3175" t="str">
        <f t="shared" si="245"/>
        <v/>
      </c>
      <c r="D3175" t="str">
        <f t="shared" si="246"/>
        <v/>
      </c>
      <c r="E3175" t="str">
        <f t="shared" si="247"/>
        <v/>
      </c>
      <c r="F3175" t="str">
        <f>IF(D3175="","",INDEX(Knutepunkter!$B:$B,D3175+1))</f>
        <v/>
      </c>
      <c r="G3175" t="str">
        <f>IF(D3175="","",INDEX(Knutepunkter!$C:$C,D3175+1))</f>
        <v/>
      </c>
      <c r="H3175" t="str">
        <f>IF(D3175="","",INDEX(Knutepunkter!$D:$D,D3175+1))</f>
        <v/>
      </c>
      <c r="I3175" t="str">
        <f>IF(E3175="","",INDEX(Knutepunkter!$B:$B,E3175+1))</f>
        <v/>
      </c>
      <c r="J3175" t="str">
        <f>IF(E3175="","",INDEX(Knutepunkter!$C:$C,E3175+1))</f>
        <v/>
      </c>
      <c r="K3175" t="str">
        <f>IF(E3175="","",INDEX(Knutepunkter!$D:$D,E3175+1))</f>
        <v/>
      </c>
      <c r="L3175" t="str">
        <f t="shared" si="248"/>
        <v/>
      </c>
      <c r="M3175" t="str">
        <f t="shared" si="249"/>
        <v/>
      </c>
    </row>
    <row r="3176" spans="1:13" x14ac:dyDescent="0.3">
      <c r="A3176" t="str">
        <f>Segmenter!A3176</f>
        <v/>
      </c>
      <c r="B3176" t="str">
        <f>Segmenter!B3176</f>
        <v/>
      </c>
      <c r="C3176" t="str">
        <f t="shared" si="245"/>
        <v/>
      </c>
      <c r="D3176" t="str">
        <f t="shared" si="246"/>
        <v/>
      </c>
      <c r="E3176" t="str">
        <f t="shared" si="247"/>
        <v/>
      </c>
      <c r="F3176" t="str">
        <f>IF(D3176="","",INDEX(Knutepunkter!$B:$B,D3176+1))</f>
        <v/>
      </c>
      <c r="G3176" t="str">
        <f>IF(D3176="","",INDEX(Knutepunkter!$C:$C,D3176+1))</f>
        <v/>
      </c>
      <c r="H3176" t="str">
        <f>IF(D3176="","",INDEX(Knutepunkter!$D:$D,D3176+1))</f>
        <v/>
      </c>
      <c r="I3176" t="str">
        <f>IF(E3176="","",INDEX(Knutepunkter!$B:$B,E3176+1))</f>
        <v/>
      </c>
      <c r="J3176" t="str">
        <f>IF(E3176="","",INDEX(Knutepunkter!$C:$C,E3176+1))</f>
        <v/>
      </c>
      <c r="K3176" t="str">
        <f>IF(E3176="","",INDEX(Knutepunkter!$D:$D,E3176+1))</f>
        <v/>
      </c>
      <c r="L3176" t="str">
        <f t="shared" si="248"/>
        <v/>
      </c>
      <c r="M3176" t="str">
        <f t="shared" si="249"/>
        <v/>
      </c>
    </row>
    <row r="3177" spans="1:13" x14ac:dyDescent="0.3">
      <c r="A3177" t="str">
        <f>Segmenter!A3177</f>
        <v/>
      </c>
      <c r="B3177" t="str">
        <f>Segmenter!B3177</f>
        <v/>
      </c>
      <c r="C3177" t="str">
        <f t="shared" si="245"/>
        <v/>
      </c>
      <c r="D3177" t="str">
        <f t="shared" si="246"/>
        <v/>
      </c>
      <c r="E3177" t="str">
        <f t="shared" si="247"/>
        <v/>
      </c>
      <c r="F3177" t="str">
        <f>IF(D3177="","",INDEX(Knutepunkter!$B:$B,D3177+1))</f>
        <v/>
      </c>
      <c r="G3177" t="str">
        <f>IF(D3177="","",INDEX(Knutepunkter!$C:$C,D3177+1))</f>
        <v/>
      </c>
      <c r="H3177" t="str">
        <f>IF(D3177="","",INDEX(Knutepunkter!$D:$D,D3177+1))</f>
        <v/>
      </c>
      <c r="I3177" t="str">
        <f>IF(E3177="","",INDEX(Knutepunkter!$B:$B,E3177+1))</f>
        <v/>
      </c>
      <c r="J3177" t="str">
        <f>IF(E3177="","",INDEX(Knutepunkter!$C:$C,E3177+1))</f>
        <v/>
      </c>
      <c r="K3177" t="str">
        <f>IF(E3177="","",INDEX(Knutepunkter!$D:$D,E3177+1))</f>
        <v/>
      </c>
      <c r="L3177" t="str">
        <f t="shared" si="248"/>
        <v/>
      </c>
      <c r="M3177" t="str">
        <f t="shared" si="249"/>
        <v/>
      </c>
    </row>
    <row r="3178" spans="1:13" x14ac:dyDescent="0.3">
      <c r="A3178" t="str">
        <f>Segmenter!A3178</f>
        <v/>
      </c>
      <c r="B3178" t="str">
        <f>Segmenter!B3178</f>
        <v/>
      </c>
      <c r="C3178" t="str">
        <f t="shared" si="245"/>
        <v/>
      </c>
      <c r="D3178" t="str">
        <f t="shared" si="246"/>
        <v/>
      </c>
      <c r="E3178" t="str">
        <f t="shared" si="247"/>
        <v/>
      </c>
      <c r="F3178" t="str">
        <f>IF(D3178="","",INDEX(Knutepunkter!$B:$B,D3178+1))</f>
        <v/>
      </c>
      <c r="G3178" t="str">
        <f>IF(D3178="","",INDEX(Knutepunkter!$C:$C,D3178+1))</f>
        <v/>
      </c>
      <c r="H3178" t="str">
        <f>IF(D3178="","",INDEX(Knutepunkter!$D:$D,D3178+1))</f>
        <v/>
      </c>
      <c r="I3178" t="str">
        <f>IF(E3178="","",INDEX(Knutepunkter!$B:$B,E3178+1))</f>
        <v/>
      </c>
      <c r="J3178" t="str">
        <f>IF(E3178="","",INDEX(Knutepunkter!$C:$C,E3178+1))</f>
        <v/>
      </c>
      <c r="K3178" t="str">
        <f>IF(E3178="","",INDEX(Knutepunkter!$D:$D,E3178+1))</f>
        <v/>
      </c>
      <c r="L3178" t="str">
        <f t="shared" si="248"/>
        <v/>
      </c>
      <c r="M3178" t="str">
        <f t="shared" si="249"/>
        <v/>
      </c>
    </row>
    <row r="3179" spans="1:13" x14ac:dyDescent="0.3">
      <c r="A3179" t="str">
        <f>Segmenter!A3179</f>
        <v/>
      </c>
      <c r="B3179" t="str">
        <f>Segmenter!B3179</f>
        <v/>
      </c>
      <c r="C3179" t="str">
        <f t="shared" si="245"/>
        <v/>
      </c>
      <c r="D3179" t="str">
        <f t="shared" si="246"/>
        <v/>
      </c>
      <c r="E3179" t="str">
        <f t="shared" si="247"/>
        <v/>
      </c>
      <c r="F3179" t="str">
        <f>IF(D3179="","",INDEX(Knutepunkter!$B:$B,D3179+1))</f>
        <v/>
      </c>
      <c r="G3179" t="str">
        <f>IF(D3179="","",INDEX(Knutepunkter!$C:$C,D3179+1))</f>
        <v/>
      </c>
      <c r="H3179" t="str">
        <f>IF(D3179="","",INDEX(Knutepunkter!$D:$D,D3179+1))</f>
        <v/>
      </c>
      <c r="I3179" t="str">
        <f>IF(E3179="","",INDEX(Knutepunkter!$B:$B,E3179+1))</f>
        <v/>
      </c>
      <c r="J3179" t="str">
        <f>IF(E3179="","",INDEX(Knutepunkter!$C:$C,E3179+1))</f>
        <v/>
      </c>
      <c r="K3179" t="str">
        <f>IF(E3179="","",INDEX(Knutepunkter!$D:$D,E3179+1))</f>
        <v/>
      </c>
      <c r="L3179" t="str">
        <f t="shared" si="248"/>
        <v/>
      </c>
      <c r="M3179" t="str">
        <f t="shared" si="249"/>
        <v/>
      </c>
    </row>
    <row r="3180" spans="1:13" x14ac:dyDescent="0.3">
      <c r="A3180" t="str">
        <f>Segmenter!A3180</f>
        <v/>
      </c>
      <c r="B3180" t="str">
        <f>Segmenter!B3180</f>
        <v/>
      </c>
      <c r="C3180" t="str">
        <f t="shared" si="245"/>
        <v/>
      </c>
      <c r="D3180" t="str">
        <f t="shared" si="246"/>
        <v/>
      </c>
      <c r="E3180" t="str">
        <f t="shared" si="247"/>
        <v/>
      </c>
      <c r="F3180" t="str">
        <f>IF(D3180="","",INDEX(Knutepunkter!$B:$B,D3180+1))</f>
        <v/>
      </c>
      <c r="G3180" t="str">
        <f>IF(D3180="","",INDEX(Knutepunkter!$C:$C,D3180+1))</f>
        <v/>
      </c>
      <c r="H3180" t="str">
        <f>IF(D3180="","",INDEX(Knutepunkter!$D:$D,D3180+1))</f>
        <v/>
      </c>
      <c r="I3180" t="str">
        <f>IF(E3180="","",INDEX(Knutepunkter!$B:$B,E3180+1))</f>
        <v/>
      </c>
      <c r="J3180" t="str">
        <f>IF(E3180="","",INDEX(Knutepunkter!$C:$C,E3180+1))</f>
        <v/>
      </c>
      <c r="K3180" t="str">
        <f>IF(E3180="","",INDEX(Knutepunkter!$D:$D,E3180+1))</f>
        <v/>
      </c>
      <c r="L3180" t="str">
        <f t="shared" si="248"/>
        <v/>
      </c>
      <c r="M3180" t="str">
        <f t="shared" si="249"/>
        <v/>
      </c>
    </row>
    <row r="3181" spans="1:13" x14ac:dyDescent="0.3">
      <c r="A3181" t="str">
        <f>Segmenter!A3181</f>
        <v/>
      </c>
      <c r="B3181" t="str">
        <f>Segmenter!B3181</f>
        <v/>
      </c>
      <c r="C3181" t="str">
        <f t="shared" si="245"/>
        <v/>
      </c>
      <c r="D3181" t="str">
        <f t="shared" si="246"/>
        <v/>
      </c>
      <c r="E3181" t="str">
        <f t="shared" si="247"/>
        <v/>
      </c>
      <c r="F3181" t="str">
        <f>IF(D3181="","",INDEX(Knutepunkter!$B:$B,D3181+1))</f>
        <v/>
      </c>
      <c r="G3181" t="str">
        <f>IF(D3181="","",INDEX(Knutepunkter!$C:$C,D3181+1))</f>
        <v/>
      </c>
      <c r="H3181" t="str">
        <f>IF(D3181="","",INDEX(Knutepunkter!$D:$D,D3181+1))</f>
        <v/>
      </c>
      <c r="I3181" t="str">
        <f>IF(E3181="","",INDEX(Knutepunkter!$B:$B,E3181+1))</f>
        <v/>
      </c>
      <c r="J3181" t="str">
        <f>IF(E3181="","",INDEX(Knutepunkter!$C:$C,E3181+1))</f>
        <v/>
      </c>
      <c r="K3181" t="str">
        <f>IF(E3181="","",INDEX(Knutepunkter!$D:$D,E3181+1))</f>
        <v/>
      </c>
      <c r="L3181" t="str">
        <f t="shared" si="248"/>
        <v/>
      </c>
      <c r="M3181" t="str">
        <f t="shared" si="249"/>
        <v/>
      </c>
    </row>
    <row r="3182" spans="1:13" x14ac:dyDescent="0.3">
      <c r="A3182" t="str">
        <f>Segmenter!A3182</f>
        <v/>
      </c>
      <c r="B3182" t="str">
        <f>Segmenter!B3182</f>
        <v/>
      </c>
      <c r="C3182" t="str">
        <f t="shared" si="245"/>
        <v/>
      </c>
      <c r="D3182" t="str">
        <f t="shared" si="246"/>
        <v/>
      </c>
      <c r="E3182" t="str">
        <f t="shared" si="247"/>
        <v/>
      </c>
      <c r="F3182" t="str">
        <f>IF(D3182="","",INDEX(Knutepunkter!$B:$B,D3182+1))</f>
        <v/>
      </c>
      <c r="G3182" t="str">
        <f>IF(D3182="","",INDEX(Knutepunkter!$C:$C,D3182+1))</f>
        <v/>
      </c>
      <c r="H3182" t="str">
        <f>IF(D3182="","",INDEX(Knutepunkter!$D:$D,D3182+1))</f>
        <v/>
      </c>
      <c r="I3182" t="str">
        <f>IF(E3182="","",INDEX(Knutepunkter!$B:$B,E3182+1))</f>
        <v/>
      </c>
      <c r="J3182" t="str">
        <f>IF(E3182="","",INDEX(Knutepunkter!$C:$C,E3182+1))</f>
        <v/>
      </c>
      <c r="K3182" t="str">
        <f>IF(E3182="","",INDEX(Knutepunkter!$D:$D,E3182+1))</f>
        <v/>
      </c>
      <c r="L3182" t="str">
        <f t="shared" si="248"/>
        <v/>
      </c>
      <c r="M3182" t="str">
        <f t="shared" si="249"/>
        <v/>
      </c>
    </row>
    <row r="3183" spans="1:13" x14ac:dyDescent="0.3">
      <c r="A3183" t="str">
        <f>Segmenter!A3183</f>
        <v/>
      </c>
      <c r="B3183" t="str">
        <f>Segmenter!B3183</f>
        <v/>
      </c>
      <c r="C3183" t="str">
        <f t="shared" si="245"/>
        <v/>
      </c>
      <c r="D3183" t="str">
        <f t="shared" si="246"/>
        <v/>
      </c>
      <c r="E3183" t="str">
        <f t="shared" si="247"/>
        <v/>
      </c>
      <c r="F3183" t="str">
        <f>IF(D3183="","",INDEX(Knutepunkter!$B:$B,D3183+1))</f>
        <v/>
      </c>
      <c r="G3183" t="str">
        <f>IF(D3183="","",INDEX(Knutepunkter!$C:$C,D3183+1))</f>
        <v/>
      </c>
      <c r="H3183" t="str">
        <f>IF(D3183="","",INDEX(Knutepunkter!$D:$D,D3183+1))</f>
        <v/>
      </c>
      <c r="I3183" t="str">
        <f>IF(E3183="","",INDEX(Knutepunkter!$B:$B,E3183+1))</f>
        <v/>
      </c>
      <c r="J3183" t="str">
        <f>IF(E3183="","",INDEX(Knutepunkter!$C:$C,E3183+1))</f>
        <v/>
      </c>
      <c r="K3183" t="str">
        <f>IF(E3183="","",INDEX(Knutepunkter!$D:$D,E3183+1))</f>
        <v/>
      </c>
      <c r="L3183" t="str">
        <f t="shared" si="248"/>
        <v/>
      </c>
      <c r="M3183" t="str">
        <f t="shared" si="249"/>
        <v/>
      </c>
    </row>
    <row r="3184" spans="1:13" x14ac:dyDescent="0.3">
      <c r="A3184" t="str">
        <f>Segmenter!A3184</f>
        <v/>
      </c>
      <c r="B3184" t="str">
        <f>Segmenter!B3184</f>
        <v/>
      </c>
      <c r="C3184" t="str">
        <f t="shared" si="245"/>
        <v/>
      </c>
      <c r="D3184" t="str">
        <f t="shared" si="246"/>
        <v/>
      </c>
      <c r="E3184" t="str">
        <f t="shared" si="247"/>
        <v/>
      </c>
      <c r="F3184" t="str">
        <f>IF(D3184="","",INDEX(Knutepunkter!$B:$B,D3184+1))</f>
        <v/>
      </c>
      <c r="G3184" t="str">
        <f>IF(D3184="","",INDEX(Knutepunkter!$C:$C,D3184+1))</f>
        <v/>
      </c>
      <c r="H3184" t="str">
        <f>IF(D3184="","",INDEX(Knutepunkter!$D:$D,D3184+1))</f>
        <v/>
      </c>
      <c r="I3184" t="str">
        <f>IF(E3184="","",INDEX(Knutepunkter!$B:$B,E3184+1))</f>
        <v/>
      </c>
      <c r="J3184" t="str">
        <f>IF(E3184="","",INDEX(Knutepunkter!$C:$C,E3184+1))</f>
        <v/>
      </c>
      <c r="K3184" t="str">
        <f>IF(E3184="","",INDEX(Knutepunkter!$D:$D,E3184+1))</f>
        <v/>
      </c>
      <c r="L3184" t="str">
        <f t="shared" si="248"/>
        <v/>
      </c>
      <c r="M3184" t="str">
        <f t="shared" si="249"/>
        <v/>
      </c>
    </row>
    <row r="3185" spans="1:13" x14ac:dyDescent="0.3">
      <c r="A3185" t="str">
        <f>Segmenter!A3185</f>
        <v/>
      </c>
      <c r="B3185" t="str">
        <f>Segmenter!B3185</f>
        <v/>
      </c>
      <c r="C3185" t="str">
        <f t="shared" si="245"/>
        <v/>
      </c>
      <c r="D3185" t="str">
        <f t="shared" si="246"/>
        <v/>
      </c>
      <c r="E3185" t="str">
        <f t="shared" si="247"/>
        <v/>
      </c>
      <c r="F3185" t="str">
        <f>IF(D3185="","",INDEX(Knutepunkter!$B:$B,D3185+1))</f>
        <v/>
      </c>
      <c r="G3185" t="str">
        <f>IF(D3185="","",INDEX(Knutepunkter!$C:$C,D3185+1))</f>
        <v/>
      </c>
      <c r="H3185" t="str">
        <f>IF(D3185="","",INDEX(Knutepunkter!$D:$D,D3185+1))</f>
        <v/>
      </c>
      <c r="I3185" t="str">
        <f>IF(E3185="","",INDEX(Knutepunkter!$B:$B,E3185+1))</f>
        <v/>
      </c>
      <c r="J3185" t="str">
        <f>IF(E3185="","",INDEX(Knutepunkter!$C:$C,E3185+1))</f>
        <v/>
      </c>
      <c r="K3185" t="str">
        <f>IF(E3185="","",INDEX(Knutepunkter!$D:$D,E3185+1))</f>
        <v/>
      </c>
      <c r="L3185" t="str">
        <f t="shared" si="248"/>
        <v/>
      </c>
      <c r="M3185" t="str">
        <f t="shared" si="249"/>
        <v/>
      </c>
    </row>
    <row r="3186" spans="1:13" x14ac:dyDescent="0.3">
      <c r="A3186" t="str">
        <f>Segmenter!A3186</f>
        <v/>
      </c>
      <c r="B3186" t="str">
        <f>Segmenter!B3186</f>
        <v/>
      </c>
      <c r="C3186" t="str">
        <f t="shared" si="245"/>
        <v/>
      </c>
      <c r="D3186" t="str">
        <f t="shared" si="246"/>
        <v/>
      </c>
      <c r="E3186" t="str">
        <f t="shared" si="247"/>
        <v/>
      </c>
      <c r="F3186" t="str">
        <f>IF(D3186="","",INDEX(Knutepunkter!$B:$B,D3186+1))</f>
        <v/>
      </c>
      <c r="G3186" t="str">
        <f>IF(D3186="","",INDEX(Knutepunkter!$C:$C,D3186+1))</f>
        <v/>
      </c>
      <c r="H3186" t="str">
        <f>IF(D3186="","",INDEX(Knutepunkter!$D:$D,D3186+1))</f>
        <v/>
      </c>
      <c r="I3186" t="str">
        <f>IF(E3186="","",INDEX(Knutepunkter!$B:$B,E3186+1))</f>
        <v/>
      </c>
      <c r="J3186" t="str">
        <f>IF(E3186="","",INDEX(Knutepunkter!$C:$C,E3186+1))</f>
        <v/>
      </c>
      <c r="K3186" t="str">
        <f>IF(E3186="","",INDEX(Knutepunkter!$D:$D,E3186+1))</f>
        <v/>
      </c>
      <c r="L3186" t="str">
        <f t="shared" si="248"/>
        <v/>
      </c>
      <c r="M3186" t="str">
        <f t="shared" si="249"/>
        <v/>
      </c>
    </row>
    <row r="3187" spans="1:13" x14ac:dyDescent="0.3">
      <c r="A3187" t="str">
        <f>Segmenter!A3187</f>
        <v/>
      </c>
      <c r="B3187" t="str">
        <f>Segmenter!B3187</f>
        <v/>
      </c>
      <c r="C3187" t="str">
        <f t="shared" si="245"/>
        <v/>
      </c>
      <c r="D3187" t="str">
        <f t="shared" si="246"/>
        <v/>
      </c>
      <c r="E3187" t="str">
        <f t="shared" si="247"/>
        <v/>
      </c>
      <c r="F3187" t="str">
        <f>IF(D3187="","",INDEX(Knutepunkter!$B:$B,D3187+1))</f>
        <v/>
      </c>
      <c r="G3187" t="str">
        <f>IF(D3187="","",INDEX(Knutepunkter!$C:$C,D3187+1))</f>
        <v/>
      </c>
      <c r="H3187" t="str">
        <f>IF(D3187="","",INDEX(Knutepunkter!$D:$D,D3187+1))</f>
        <v/>
      </c>
      <c r="I3187" t="str">
        <f>IF(E3187="","",INDEX(Knutepunkter!$B:$B,E3187+1))</f>
        <v/>
      </c>
      <c r="J3187" t="str">
        <f>IF(E3187="","",INDEX(Knutepunkter!$C:$C,E3187+1))</f>
        <v/>
      </c>
      <c r="K3187" t="str">
        <f>IF(E3187="","",INDEX(Knutepunkter!$D:$D,E3187+1))</f>
        <v/>
      </c>
      <c r="L3187" t="str">
        <f t="shared" si="248"/>
        <v/>
      </c>
      <c r="M3187" t="str">
        <f t="shared" si="249"/>
        <v/>
      </c>
    </row>
    <row r="3188" spans="1:13" x14ac:dyDescent="0.3">
      <c r="A3188" t="str">
        <f>Segmenter!A3188</f>
        <v/>
      </c>
      <c r="B3188" t="str">
        <f>Segmenter!B3188</f>
        <v/>
      </c>
      <c r="C3188" t="str">
        <f t="shared" si="245"/>
        <v/>
      </c>
      <c r="D3188" t="str">
        <f t="shared" si="246"/>
        <v/>
      </c>
      <c r="E3188" t="str">
        <f t="shared" si="247"/>
        <v/>
      </c>
      <c r="F3188" t="str">
        <f>IF(D3188="","",INDEX(Knutepunkter!$B:$B,D3188+1))</f>
        <v/>
      </c>
      <c r="G3188" t="str">
        <f>IF(D3188="","",INDEX(Knutepunkter!$C:$C,D3188+1))</f>
        <v/>
      </c>
      <c r="H3188" t="str">
        <f>IF(D3188="","",INDEX(Knutepunkter!$D:$D,D3188+1))</f>
        <v/>
      </c>
      <c r="I3188" t="str">
        <f>IF(E3188="","",INDEX(Knutepunkter!$B:$B,E3188+1))</f>
        <v/>
      </c>
      <c r="J3188" t="str">
        <f>IF(E3188="","",INDEX(Knutepunkter!$C:$C,E3188+1))</f>
        <v/>
      </c>
      <c r="K3188" t="str">
        <f>IF(E3188="","",INDEX(Knutepunkter!$D:$D,E3188+1))</f>
        <v/>
      </c>
      <c r="L3188" t="str">
        <f t="shared" si="248"/>
        <v/>
      </c>
      <c r="M3188" t="str">
        <f t="shared" si="249"/>
        <v/>
      </c>
    </row>
    <row r="3189" spans="1:13" x14ac:dyDescent="0.3">
      <c r="A3189" t="str">
        <f>Segmenter!A3189</f>
        <v/>
      </c>
      <c r="B3189" t="str">
        <f>Segmenter!B3189</f>
        <v/>
      </c>
      <c r="C3189" t="str">
        <f t="shared" si="245"/>
        <v/>
      </c>
      <c r="D3189" t="str">
        <f t="shared" si="246"/>
        <v/>
      </c>
      <c r="E3189" t="str">
        <f t="shared" si="247"/>
        <v/>
      </c>
      <c r="F3189" t="str">
        <f>IF(D3189="","",INDEX(Knutepunkter!$B:$B,D3189+1))</f>
        <v/>
      </c>
      <c r="G3189" t="str">
        <f>IF(D3189="","",INDEX(Knutepunkter!$C:$C,D3189+1))</f>
        <v/>
      </c>
      <c r="H3189" t="str">
        <f>IF(D3189="","",INDEX(Knutepunkter!$D:$D,D3189+1))</f>
        <v/>
      </c>
      <c r="I3189" t="str">
        <f>IF(E3189="","",INDEX(Knutepunkter!$B:$B,E3189+1))</f>
        <v/>
      </c>
      <c r="J3189" t="str">
        <f>IF(E3189="","",INDEX(Knutepunkter!$C:$C,E3189+1))</f>
        <v/>
      </c>
      <c r="K3189" t="str">
        <f>IF(E3189="","",INDEX(Knutepunkter!$D:$D,E3189+1))</f>
        <v/>
      </c>
      <c r="L3189" t="str">
        <f t="shared" si="248"/>
        <v/>
      </c>
      <c r="M3189" t="str">
        <f t="shared" si="249"/>
        <v/>
      </c>
    </row>
    <row r="3190" spans="1:13" x14ac:dyDescent="0.3">
      <c r="A3190" t="str">
        <f>Segmenter!A3190</f>
        <v/>
      </c>
      <c r="B3190" t="str">
        <f>Segmenter!B3190</f>
        <v/>
      </c>
      <c r="C3190" t="str">
        <f t="shared" si="245"/>
        <v/>
      </c>
      <c r="D3190" t="str">
        <f t="shared" si="246"/>
        <v/>
      </c>
      <c r="E3190" t="str">
        <f t="shared" si="247"/>
        <v/>
      </c>
      <c r="F3190" t="str">
        <f>IF(D3190="","",INDEX(Knutepunkter!$B:$B,D3190+1))</f>
        <v/>
      </c>
      <c r="G3190" t="str">
        <f>IF(D3190="","",INDEX(Knutepunkter!$C:$C,D3190+1))</f>
        <v/>
      </c>
      <c r="H3190" t="str">
        <f>IF(D3190="","",INDEX(Knutepunkter!$D:$D,D3190+1))</f>
        <v/>
      </c>
      <c r="I3190" t="str">
        <f>IF(E3190="","",INDEX(Knutepunkter!$B:$B,E3190+1))</f>
        <v/>
      </c>
      <c r="J3190" t="str">
        <f>IF(E3190="","",INDEX(Knutepunkter!$C:$C,E3190+1))</f>
        <v/>
      </c>
      <c r="K3190" t="str">
        <f>IF(E3190="","",INDEX(Knutepunkter!$D:$D,E3190+1))</f>
        <v/>
      </c>
      <c r="L3190" t="str">
        <f t="shared" si="248"/>
        <v/>
      </c>
      <c r="M3190" t="str">
        <f t="shared" si="249"/>
        <v/>
      </c>
    </row>
    <row r="3191" spans="1:13" x14ac:dyDescent="0.3">
      <c r="A3191" t="str">
        <f>Segmenter!A3191</f>
        <v/>
      </c>
      <c r="B3191" t="str">
        <f>Segmenter!B3191</f>
        <v/>
      </c>
      <c r="C3191" t="str">
        <f t="shared" si="245"/>
        <v/>
      </c>
      <c r="D3191" t="str">
        <f t="shared" si="246"/>
        <v/>
      </c>
      <c r="E3191" t="str">
        <f t="shared" si="247"/>
        <v/>
      </c>
      <c r="F3191" t="str">
        <f>IF(D3191="","",INDEX(Knutepunkter!$B:$B,D3191+1))</f>
        <v/>
      </c>
      <c r="G3191" t="str">
        <f>IF(D3191="","",INDEX(Knutepunkter!$C:$C,D3191+1))</f>
        <v/>
      </c>
      <c r="H3191" t="str">
        <f>IF(D3191="","",INDEX(Knutepunkter!$D:$D,D3191+1))</f>
        <v/>
      </c>
      <c r="I3191" t="str">
        <f>IF(E3191="","",INDEX(Knutepunkter!$B:$B,E3191+1))</f>
        <v/>
      </c>
      <c r="J3191" t="str">
        <f>IF(E3191="","",INDEX(Knutepunkter!$C:$C,E3191+1))</f>
        <v/>
      </c>
      <c r="K3191" t="str">
        <f>IF(E3191="","",INDEX(Knutepunkter!$D:$D,E3191+1))</f>
        <v/>
      </c>
      <c r="L3191" t="str">
        <f t="shared" si="248"/>
        <v/>
      </c>
      <c r="M3191" t="str">
        <f t="shared" si="249"/>
        <v/>
      </c>
    </row>
    <row r="3192" spans="1:13" x14ac:dyDescent="0.3">
      <c r="A3192" t="str">
        <f>Segmenter!A3192</f>
        <v/>
      </c>
      <c r="B3192" t="str">
        <f>Segmenter!B3192</f>
        <v/>
      </c>
      <c r="C3192" t="str">
        <f t="shared" si="245"/>
        <v/>
      </c>
      <c r="D3192" t="str">
        <f t="shared" si="246"/>
        <v/>
      </c>
      <c r="E3192" t="str">
        <f t="shared" si="247"/>
        <v/>
      </c>
      <c r="F3192" t="str">
        <f>IF(D3192="","",INDEX(Knutepunkter!$B:$B,D3192+1))</f>
        <v/>
      </c>
      <c r="G3192" t="str">
        <f>IF(D3192="","",INDEX(Knutepunkter!$C:$C,D3192+1))</f>
        <v/>
      </c>
      <c r="H3192" t="str">
        <f>IF(D3192="","",INDEX(Knutepunkter!$D:$D,D3192+1))</f>
        <v/>
      </c>
      <c r="I3192" t="str">
        <f>IF(E3192="","",INDEX(Knutepunkter!$B:$B,E3192+1))</f>
        <v/>
      </c>
      <c r="J3192" t="str">
        <f>IF(E3192="","",INDEX(Knutepunkter!$C:$C,E3192+1))</f>
        <v/>
      </c>
      <c r="K3192" t="str">
        <f>IF(E3192="","",INDEX(Knutepunkter!$D:$D,E3192+1))</f>
        <v/>
      </c>
      <c r="L3192" t="str">
        <f t="shared" si="248"/>
        <v/>
      </c>
      <c r="M3192" t="str">
        <f t="shared" si="249"/>
        <v/>
      </c>
    </row>
    <row r="3193" spans="1:13" x14ac:dyDescent="0.3">
      <c r="A3193" t="str">
        <f>Segmenter!A3193</f>
        <v/>
      </c>
      <c r="B3193" t="str">
        <f>Segmenter!B3193</f>
        <v/>
      </c>
      <c r="C3193" t="str">
        <f t="shared" si="245"/>
        <v/>
      </c>
      <c r="D3193" t="str">
        <f t="shared" si="246"/>
        <v/>
      </c>
      <c r="E3193" t="str">
        <f t="shared" si="247"/>
        <v/>
      </c>
      <c r="F3193" t="str">
        <f>IF(D3193="","",INDEX(Knutepunkter!$B:$B,D3193+1))</f>
        <v/>
      </c>
      <c r="G3193" t="str">
        <f>IF(D3193="","",INDEX(Knutepunkter!$C:$C,D3193+1))</f>
        <v/>
      </c>
      <c r="H3193" t="str">
        <f>IF(D3193="","",INDEX(Knutepunkter!$D:$D,D3193+1))</f>
        <v/>
      </c>
      <c r="I3193" t="str">
        <f>IF(E3193="","",INDEX(Knutepunkter!$B:$B,E3193+1))</f>
        <v/>
      </c>
      <c r="J3193" t="str">
        <f>IF(E3193="","",INDEX(Knutepunkter!$C:$C,E3193+1))</f>
        <v/>
      </c>
      <c r="K3193" t="str">
        <f>IF(E3193="","",INDEX(Knutepunkter!$D:$D,E3193+1))</f>
        <v/>
      </c>
      <c r="L3193" t="str">
        <f t="shared" si="248"/>
        <v/>
      </c>
      <c r="M3193" t="str">
        <f t="shared" si="249"/>
        <v/>
      </c>
    </row>
    <row r="3194" spans="1:13" x14ac:dyDescent="0.3">
      <c r="A3194" t="str">
        <f>Segmenter!A3194</f>
        <v/>
      </c>
      <c r="B3194" t="str">
        <f>Segmenter!B3194</f>
        <v/>
      </c>
      <c r="C3194" t="str">
        <f t="shared" si="245"/>
        <v/>
      </c>
      <c r="D3194" t="str">
        <f t="shared" si="246"/>
        <v/>
      </c>
      <c r="E3194" t="str">
        <f t="shared" si="247"/>
        <v/>
      </c>
      <c r="F3194" t="str">
        <f>IF(D3194="","",INDEX(Knutepunkter!$B:$B,D3194+1))</f>
        <v/>
      </c>
      <c r="G3194" t="str">
        <f>IF(D3194="","",INDEX(Knutepunkter!$C:$C,D3194+1))</f>
        <v/>
      </c>
      <c r="H3194" t="str">
        <f>IF(D3194="","",INDEX(Knutepunkter!$D:$D,D3194+1))</f>
        <v/>
      </c>
      <c r="I3194" t="str">
        <f>IF(E3194="","",INDEX(Knutepunkter!$B:$B,E3194+1))</f>
        <v/>
      </c>
      <c r="J3194" t="str">
        <f>IF(E3194="","",INDEX(Knutepunkter!$C:$C,E3194+1))</f>
        <v/>
      </c>
      <c r="K3194" t="str">
        <f>IF(E3194="","",INDEX(Knutepunkter!$D:$D,E3194+1))</f>
        <v/>
      </c>
      <c r="L3194" t="str">
        <f t="shared" si="248"/>
        <v/>
      </c>
      <c r="M3194" t="str">
        <f t="shared" si="249"/>
        <v/>
      </c>
    </row>
    <row r="3195" spans="1:13" x14ac:dyDescent="0.3">
      <c r="A3195" t="str">
        <f>Segmenter!A3195</f>
        <v/>
      </c>
      <c r="B3195" t="str">
        <f>Segmenter!B3195</f>
        <v/>
      </c>
      <c r="C3195" t="str">
        <f t="shared" si="245"/>
        <v/>
      </c>
      <c r="D3195" t="str">
        <f t="shared" si="246"/>
        <v/>
      </c>
      <c r="E3195" t="str">
        <f t="shared" si="247"/>
        <v/>
      </c>
      <c r="F3195" t="str">
        <f>IF(D3195="","",INDEX(Knutepunkter!$B:$B,D3195+1))</f>
        <v/>
      </c>
      <c r="G3195" t="str">
        <f>IF(D3195="","",INDEX(Knutepunkter!$C:$C,D3195+1))</f>
        <v/>
      </c>
      <c r="H3195" t="str">
        <f>IF(D3195="","",INDEX(Knutepunkter!$D:$D,D3195+1))</f>
        <v/>
      </c>
      <c r="I3195" t="str">
        <f>IF(E3195="","",INDEX(Knutepunkter!$B:$B,E3195+1))</f>
        <v/>
      </c>
      <c r="J3195" t="str">
        <f>IF(E3195="","",INDEX(Knutepunkter!$C:$C,E3195+1))</f>
        <v/>
      </c>
      <c r="K3195" t="str">
        <f>IF(E3195="","",INDEX(Knutepunkter!$D:$D,E3195+1))</f>
        <v/>
      </c>
      <c r="L3195" t="str">
        <f t="shared" si="248"/>
        <v/>
      </c>
      <c r="M3195" t="str">
        <f t="shared" si="249"/>
        <v/>
      </c>
    </row>
    <row r="3196" spans="1:13" x14ac:dyDescent="0.3">
      <c r="A3196" t="str">
        <f>Segmenter!A3196</f>
        <v/>
      </c>
      <c r="B3196" t="str">
        <f>Segmenter!B3196</f>
        <v/>
      </c>
      <c r="C3196" t="str">
        <f t="shared" si="245"/>
        <v/>
      </c>
      <c r="D3196" t="str">
        <f t="shared" si="246"/>
        <v/>
      </c>
      <c r="E3196" t="str">
        <f t="shared" si="247"/>
        <v/>
      </c>
      <c r="F3196" t="str">
        <f>IF(D3196="","",INDEX(Knutepunkter!$B:$B,D3196+1))</f>
        <v/>
      </c>
      <c r="G3196" t="str">
        <f>IF(D3196="","",INDEX(Knutepunkter!$C:$C,D3196+1))</f>
        <v/>
      </c>
      <c r="H3196" t="str">
        <f>IF(D3196="","",INDEX(Knutepunkter!$D:$D,D3196+1))</f>
        <v/>
      </c>
      <c r="I3196" t="str">
        <f>IF(E3196="","",INDEX(Knutepunkter!$B:$B,E3196+1))</f>
        <v/>
      </c>
      <c r="J3196" t="str">
        <f>IF(E3196="","",INDEX(Knutepunkter!$C:$C,E3196+1))</f>
        <v/>
      </c>
      <c r="K3196" t="str">
        <f>IF(E3196="","",INDEX(Knutepunkter!$D:$D,E3196+1))</f>
        <v/>
      </c>
      <c r="L3196" t="str">
        <f t="shared" si="248"/>
        <v/>
      </c>
      <c r="M3196" t="str">
        <f t="shared" si="249"/>
        <v/>
      </c>
    </row>
    <row r="3197" spans="1:13" x14ac:dyDescent="0.3">
      <c r="A3197" t="str">
        <f>Segmenter!A3197</f>
        <v/>
      </c>
      <c r="B3197" t="str">
        <f>Segmenter!B3197</f>
        <v/>
      </c>
      <c r="C3197" t="str">
        <f t="shared" si="245"/>
        <v/>
      </c>
      <c r="D3197" t="str">
        <f t="shared" si="246"/>
        <v/>
      </c>
      <c r="E3197" t="str">
        <f t="shared" si="247"/>
        <v/>
      </c>
      <c r="F3197" t="str">
        <f>IF(D3197="","",INDEX(Knutepunkter!$B:$B,D3197+1))</f>
        <v/>
      </c>
      <c r="G3197" t="str">
        <f>IF(D3197="","",INDEX(Knutepunkter!$C:$C,D3197+1))</f>
        <v/>
      </c>
      <c r="H3197" t="str">
        <f>IF(D3197="","",INDEX(Knutepunkter!$D:$D,D3197+1))</f>
        <v/>
      </c>
      <c r="I3197" t="str">
        <f>IF(E3197="","",INDEX(Knutepunkter!$B:$B,E3197+1))</f>
        <v/>
      </c>
      <c r="J3197" t="str">
        <f>IF(E3197="","",INDEX(Knutepunkter!$C:$C,E3197+1))</f>
        <v/>
      </c>
      <c r="K3197" t="str">
        <f>IF(E3197="","",INDEX(Knutepunkter!$D:$D,E3197+1))</f>
        <v/>
      </c>
      <c r="L3197" t="str">
        <f t="shared" si="248"/>
        <v/>
      </c>
      <c r="M3197" t="str">
        <f t="shared" si="249"/>
        <v/>
      </c>
    </row>
    <row r="3198" spans="1:13" x14ac:dyDescent="0.3">
      <c r="A3198" t="str">
        <f>Segmenter!A3198</f>
        <v/>
      </c>
      <c r="B3198" t="str">
        <f>Segmenter!B3198</f>
        <v/>
      </c>
      <c r="C3198" t="str">
        <f t="shared" si="245"/>
        <v/>
      </c>
      <c r="D3198" t="str">
        <f t="shared" si="246"/>
        <v/>
      </c>
      <c r="E3198" t="str">
        <f t="shared" si="247"/>
        <v/>
      </c>
      <c r="F3198" t="str">
        <f>IF(D3198="","",INDEX(Knutepunkter!$B:$B,D3198+1))</f>
        <v/>
      </c>
      <c r="G3198" t="str">
        <f>IF(D3198="","",INDEX(Knutepunkter!$C:$C,D3198+1))</f>
        <v/>
      </c>
      <c r="H3198" t="str">
        <f>IF(D3198="","",INDEX(Knutepunkter!$D:$D,D3198+1))</f>
        <v/>
      </c>
      <c r="I3198" t="str">
        <f>IF(E3198="","",INDEX(Knutepunkter!$B:$B,E3198+1))</f>
        <v/>
      </c>
      <c r="J3198" t="str">
        <f>IF(E3198="","",INDEX(Knutepunkter!$C:$C,E3198+1))</f>
        <v/>
      </c>
      <c r="K3198" t="str">
        <f>IF(E3198="","",INDEX(Knutepunkter!$D:$D,E3198+1))</f>
        <v/>
      </c>
      <c r="L3198" t="str">
        <f t="shared" si="248"/>
        <v/>
      </c>
      <c r="M3198" t="str">
        <f t="shared" si="249"/>
        <v/>
      </c>
    </row>
    <row r="3199" spans="1:13" x14ac:dyDescent="0.3">
      <c r="A3199" t="str">
        <f>Segmenter!A3199</f>
        <v/>
      </c>
      <c r="B3199" t="str">
        <f>Segmenter!B3199</f>
        <v/>
      </c>
      <c r="C3199" t="str">
        <f t="shared" si="245"/>
        <v/>
      </c>
      <c r="D3199" t="str">
        <f t="shared" si="246"/>
        <v/>
      </c>
      <c r="E3199" t="str">
        <f t="shared" si="247"/>
        <v/>
      </c>
      <c r="F3199" t="str">
        <f>IF(D3199="","",INDEX(Knutepunkter!$B:$B,D3199+1))</f>
        <v/>
      </c>
      <c r="G3199" t="str">
        <f>IF(D3199="","",INDEX(Knutepunkter!$C:$C,D3199+1))</f>
        <v/>
      </c>
      <c r="H3199" t="str">
        <f>IF(D3199="","",INDEX(Knutepunkter!$D:$D,D3199+1))</f>
        <v/>
      </c>
      <c r="I3199" t="str">
        <f>IF(E3199="","",INDEX(Knutepunkter!$B:$B,E3199+1))</f>
        <v/>
      </c>
      <c r="J3199" t="str">
        <f>IF(E3199="","",INDEX(Knutepunkter!$C:$C,E3199+1))</f>
        <v/>
      </c>
      <c r="K3199" t="str">
        <f>IF(E3199="","",INDEX(Knutepunkter!$D:$D,E3199+1))</f>
        <v/>
      </c>
      <c r="L3199" t="str">
        <f t="shared" si="248"/>
        <v/>
      </c>
      <c r="M3199" t="str">
        <f t="shared" si="249"/>
        <v/>
      </c>
    </row>
    <row r="3200" spans="1:13" x14ac:dyDescent="0.3">
      <c r="A3200" t="str">
        <f>Segmenter!A3200</f>
        <v/>
      </c>
      <c r="B3200" t="str">
        <f>Segmenter!B3200</f>
        <v/>
      </c>
      <c r="C3200" t="str">
        <f t="shared" si="245"/>
        <v/>
      </c>
      <c r="D3200" t="str">
        <f t="shared" si="246"/>
        <v/>
      </c>
      <c r="E3200" t="str">
        <f t="shared" si="247"/>
        <v/>
      </c>
      <c r="F3200" t="str">
        <f>IF(D3200="","",INDEX(Knutepunkter!$B:$B,D3200+1))</f>
        <v/>
      </c>
      <c r="G3200" t="str">
        <f>IF(D3200="","",INDEX(Knutepunkter!$C:$C,D3200+1))</f>
        <v/>
      </c>
      <c r="H3200" t="str">
        <f>IF(D3200="","",INDEX(Knutepunkter!$D:$D,D3200+1))</f>
        <v/>
      </c>
      <c r="I3200" t="str">
        <f>IF(E3200="","",INDEX(Knutepunkter!$B:$B,E3200+1))</f>
        <v/>
      </c>
      <c r="J3200" t="str">
        <f>IF(E3200="","",INDEX(Knutepunkter!$C:$C,E3200+1))</f>
        <v/>
      </c>
      <c r="K3200" t="str">
        <f>IF(E3200="","",INDEX(Knutepunkter!$D:$D,E3200+1))</f>
        <v/>
      </c>
      <c r="L3200" t="str">
        <f t="shared" si="248"/>
        <v/>
      </c>
      <c r="M3200" t="str">
        <f t="shared" si="249"/>
        <v/>
      </c>
    </row>
    <row r="3201" spans="1:13" x14ac:dyDescent="0.3">
      <c r="A3201" t="str">
        <f>Segmenter!A3201</f>
        <v/>
      </c>
      <c r="B3201" t="str">
        <f>Segmenter!B3201</f>
        <v/>
      </c>
      <c r="C3201" t="str">
        <f t="shared" si="245"/>
        <v/>
      </c>
      <c r="D3201" t="str">
        <f t="shared" si="246"/>
        <v/>
      </c>
      <c r="E3201" t="str">
        <f t="shared" si="247"/>
        <v/>
      </c>
      <c r="F3201" t="str">
        <f>IF(D3201="","",INDEX(Knutepunkter!$B:$B,D3201+1))</f>
        <v/>
      </c>
      <c r="G3201" t="str">
        <f>IF(D3201="","",INDEX(Knutepunkter!$C:$C,D3201+1))</f>
        <v/>
      </c>
      <c r="H3201" t="str">
        <f>IF(D3201="","",INDEX(Knutepunkter!$D:$D,D3201+1))</f>
        <v/>
      </c>
      <c r="I3201" t="str">
        <f>IF(E3201="","",INDEX(Knutepunkter!$B:$B,E3201+1))</f>
        <v/>
      </c>
      <c r="J3201" t="str">
        <f>IF(E3201="","",INDEX(Knutepunkter!$C:$C,E3201+1))</f>
        <v/>
      </c>
      <c r="K3201" t="str">
        <f>IF(E3201="","",INDEX(Knutepunkter!$D:$D,E3201+1))</f>
        <v/>
      </c>
      <c r="L3201" t="str">
        <f t="shared" si="248"/>
        <v/>
      </c>
      <c r="M3201" t="str">
        <f t="shared" si="249"/>
        <v/>
      </c>
    </row>
    <row r="3202" spans="1:13" x14ac:dyDescent="0.3">
      <c r="A3202" t="str">
        <f>Segmenter!A3202</f>
        <v/>
      </c>
      <c r="B3202" t="str">
        <f>Segmenter!B3202</f>
        <v/>
      </c>
      <c r="C3202" t="str">
        <f t="shared" ref="C3202:C3265" si="250">IF(B3202="","",IF(AND(F3202=I3202,G3202=J3202,H3202&lt;&gt;K3202),"Søyle","Bjelke"))</f>
        <v/>
      </c>
      <c r="D3202" t="str">
        <f t="shared" ref="D3202:D3265" si="251">IF(B3202="","",VALUE(LEFT(B3202,FIND(" -&gt; ",B3202)-1)))</f>
        <v/>
      </c>
      <c r="E3202" t="str">
        <f t="shared" ref="E3202:E3265" si="252">IF(B3202="","",VALUE(MID(B3202,FIND(" -&gt; ",B3202)+4,99)))</f>
        <v/>
      </c>
      <c r="F3202" t="str">
        <f>IF(D3202="","",INDEX(Knutepunkter!$B:$B,D3202+1))</f>
        <v/>
      </c>
      <c r="G3202" t="str">
        <f>IF(D3202="","",INDEX(Knutepunkter!$C:$C,D3202+1))</f>
        <v/>
      </c>
      <c r="H3202" t="str">
        <f>IF(D3202="","",INDEX(Knutepunkter!$D:$D,D3202+1))</f>
        <v/>
      </c>
      <c r="I3202" t="str">
        <f>IF(E3202="","",INDEX(Knutepunkter!$B:$B,E3202+1))</f>
        <v/>
      </c>
      <c r="J3202" t="str">
        <f>IF(E3202="","",INDEX(Knutepunkter!$C:$C,E3202+1))</f>
        <v/>
      </c>
      <c r="K3202" t="str">
        <f>IF(E3202="","",INDEX(Knutepunkter!$D:$D,E3202+1))</f>
        <v/>
      </c>
      <c r="L3202" t="str">
        <f t="shared" ref="L3202:L3265" si="253">IF(B3202="","",SQRT((I3202-F3202)^2+(J3202-G3202)^2+(K3202-H3202)^2))</f>
        <v/>
      </c>
      <c r="M3202" t="str">
        <f t="shared" ref="M3202:M3265" si="254">IF(L3202="","",L3202/1000)</f>
        <v/>
      </c>
    </row>
    <row r="3203" spans="1:13" x14ac:dyDescent="0.3">
      <c r="A3203" t="str">
        <f>Segmenter!A3203</f>
        <v/>
      </c>
      <c r="B3203" t="str">
        <f>Segmenter!B3203</f>
        <v/>
      </c>
      <c r="C3203" t="str">
        <f t="shared" si="250"/>
        <v/>
      </c>
      <c r="D3203" t="str">
        <f t="shared" si="251"/>
        <v/>
      </c>
      <c r="E3203" t="str">
        <f t="shared" si="252"/>
        <v/>
      </c>
      <c r="F3203" t="str">
        <f>IF(D3203="","",INDEX(Knutepunkter!$B:$B,D3203+1))</f>
        <v/>
      </c>
      <c r="G3203" t="str">
        <f>IF(D3203="","",INDEX(Knutepunkter!$C:$C,D3203+1))</f>
        <v/>
      </c>
      <c r="H3203" t="str">
        <f>IF(D3203="","",INDEX(Knutepunkter!$D:$D,D3203+1))</f>
        <v/>
      </c>
      <c r="I3203" t="str">
        <f>IF(E3203="","",INDEX(Knutepunkter!$B:$B,E3203+1))</f>
        <v/>
      </c>
      <c r="J3203" t="str">
        <f>IF(E3203="","",INDEX(Knutepunkter!$C:$C,E3203+1))</f>
        <v/>
      </c>
      <c r="K3203" t="str">
        <f>IF(E3203="","",INDEX(Knutepunkter!$D:$D,E3203+1))</f>
        <v/>
      </c>
      <c r="L3203" t="str">
        <f t="shared" si="253"/>
        <v/>
      </c>
      <c r="M3203" t="str">
        <f t="shared" si="254"/>
        <v/>
      </c>
    </row>
    <row r="3204" spans="1:13" x14ac:dyDescent="0.3">
      <c r="A3204" t="str">
        <f>Segmenter!A3204</f>
        <v/>
      </c>
      <c r="B3204" t="str">
        <f>Segmenter!B3204</f>
        <v/>
      </c>
      <c r="C3204" t="str">
        <f t="shared" si="250"/>
        <v/>
      </c>
      <c r="D3204" t="str">
        <f t="shared" si="251"/>
        <v/>
      </c>
      <c r="E3204" t="str">
        <f t="shared" si="252"/>
        <v/>
      </c>
      <c r="F3204" t="str">
        <f>IF(D3204="","",INDEX(Knutepunkter!$B:$B,D3204+1))</f>
        <v/>
      </c>
      <c r="G3204" t="str">
        <f>IF(D3204="","",INDEX(Knutepunkter!$C:$C,D3204+1))</f>
        <v/>
      </c>
      <c r="H3204" t="str">
        <f>IF(D3204="","",INDEX(Knutepunkter!$D:$D,D3204+1))</f>
        <v/>
      </c>
      <c r="I3204" t="str">
        <f>IF(E3204="","",INDEX(Knutepunkter!$B:$B,E3204+1))</f>
        <v/>
      </c>
      <c r="J3204" t="str">
        <f>IF(E3204="","",INDEX(Knutepunkter!$C:$C,E3204+1))</f>
        <v/>
      </c>
      <c r="K3204" t="str">
        <f>IF(E3204="","",INDEX(Knutepunkter!$D:$D,E3204+1))</f>
        <v/>
      </c>
      <c r="L3204" t="str">
        <f t="shared" si="253"/>
        <v/>
      </c>
      <c r="M3204" t="str">
        <f t="shared" si="254"/>
        <v/>
      </c>
    </row>
    <row r="3205" spans="1:13" x14ac:dyDescent="0.3">
      <c r="A3205" t="str">
        <f>Segmenter!A3205</f>
        <v/>
      </c>
      <c r="B3205" t="str">
        <f>Segmenter!B3205</f>
        <v/>
      </c>
      <c r="C3205" t="str">
        <f t="shared" si="250"/>
        <v/>
      </c>
      <c r="D3205" t="str">
        <f t="shared" si="251"/>
        <v/>
      </c>
      <c r="E3205" t="str">
        <f t="shared" si="252"/>
        <v/>
      </c>
      <c r="F3205" t="str">
        <f>IF(D3205="","",INDEX(Knutepunkter!$B:$B,D3205+1))</f>
        <v/>
      </c>
      <c r="G3205" t="str">
        <f>IF(D3205="","",INDEX(Knutepunkter!$C:$C,D3205+1))</f>
        <v/>
      </c>
      <c r="H3205" t="str">
        <f>IF(D3205="","",INDEX(Knutepunkter!$D:$D,D3205+1))</f>
        <v/>
      </c>
      <c r="I3205" t="str">
        <f>IF(E3205="","",INDEX(Knutepunkter!$B:$B,E3205+1))</f>
        <v/>
      </c>
      <c r="J3205" t="str">
        <f>IF(E3205="","",INDEX(Knutepunkter!$C:$C,E3205+1))</f>
        <v/>
      </c>
      <c r="K3205" t="str">
        <f>IF(E3205="","",INDEX(Knutepunkter!$D:$D,E3205+1))</f>
        <v/>
      </c>
      <c r="L3205" t="str">
        <f t="shared" si="253"/>
        <v/>
      </c>
      <c r="M3205" t="str">
        <f t="shared" si="254"/>
        <v/>
      </c>
    </row>
    <row r="3206" spans="1:13" x14ac:dyDescent="0.3">
      <c r="A3206" t="str">
        <f>Segmenter!A3206</f>
        <v/>
      </c>
      <c r="B3206" t="str">
        <f>Segmenter!B3206</f>
        <v/>
      </c>
      <c r="C3206" t="str">
        <f t="shared" si="250"/>
        <v/>
      </c>
      <c r="D3206" t="str">
        <f t="shared" si="251"/>
        <v/>
      </c>
      <c r="E3206" t="str">
        <f t="shared" si="252"/>
        <v/>
      </c>
      <c r="F3206" t="str">
        <f>IF(D3206="","",INDEX(Knutepunkter!$B:$B,D3206+1))</f>
        <v/>
      </c>
      <c r="G3206" t="str">
        <f>IF(D3206="","",INDEX(Knutepunkter!$C:$C,D3206+1))</f>
        <v/>
      </c>
      <c r="H3206" t="str">
        <f>IF(D3206="","",INDEX(Knutepunkter!$D:$D,D3206+1))</f>
        <v/>
      </c>
      <c r="I3206" t="str">
        <f>IF(E3206="","",INDEX(Knutepunkter!$B:$B,E3206+1))</f>
        <v/>
      </c>
      <c r="J3206" t="str">
        <f>IF(E3206="","",INDEX(Knutepunkter!$C:$C,E3206+1))</f>
        <v/>
      </c>
      <c r="K3206" t="str">
        <f>IF(E3206="","",INDEX(Knutepunkter!$D:$D,E3206+1))</f>
        <v/>
      </c>
      <c r="L3206" t="str">
        <f t="shared" si="253"/>
        <v/>
      </c>
      <c r="M3206" t="str">
        <f t="shared" si="254"/>
        <v/>
      </c>
    </row>
    <row r="3207" spans="1:13" x14ac:dyDescent="0.3">
      <c r="A3207" t="str">
        <f>Segmenter!A3207</f>
        <v/>
      </c>
      <c r="B3207" t="str">
        <f>Segmenter!B3207</f>
        <v/>
      </c>
      <c r="C3207" t="str">
        <f t="shared" si="250"/>
        <v/>
      </c>
      <c r="D3207" t="str">
        <f t="shared" si="251"/>
        <v/>
      </c>
      <c r="E3207" t="str">
        <f t="shared" si="252"/>
        <v/>
      </c>
      <c r="F3207" t="str">
        <f>IF(D3207="","",INDEX(Knutepunkter!$B:$B,D3207+1))</f>
        <v/>
      </c>
      <c r="G3207" t="str">
        <f>IF(D3207="","",INDEX(Knutepunkter!$C:$C,D3207+1))</f>
        <v/>
      </c>
      <c r="H3207" t="str">
        <f>IF(D3207="","",INDEX(Knutepunkter!$D:$D,D3207+1))</f>
        <v/>
      </c>
      <c r="I3207" t="str">
        <f>IF(E3207="","",INDEX(Knutepunkter!$B:$B,E3207+1))</f>
        <v/>
      </c>
      <c r="J3207" t="str">
        <f>IF(E3207="","",INDEX(Knutepunkter!$C:$C,E3207+1))</f>
        <v/>
      </c>
      <c r="K3207" t="str">
        <f>IF(E3207="","",INDEX(Knutepunkter!$D:$D,E3207+1))</f>
        <v/>
      </c>
      <c r="L3207" t="str">
        <f t="shared" si="253"/>
        <v/>
      </c>
      <c r="M3207" t="str">
        <f t="shared" si="254"/>
        <v/>
      </c>
    </row>
    <row r="3208" spans="1:13" x14ac:dyDescent="0.3">
      <c r="A3208" t="str">
        <f>Segmenter!A3208</f>
        <v/>
      </c>
      <c r="B3208" t="str">
        <f>Segmenter!B3208</f>
        <v/>
      </c>
      <c r="C3208" t="str">
        <f t="shared" si="250"/>
        <v/>
      </c>
      <c r="D3208" t="str">
        <f t="shared" si="251"/>
        <v/>
      </c>
      <c r="E3208" t="str">
        <f t="shared" si="252"/>
        <v/>
      </c>
      <c r="F3208" t="str">
        <f>IF(D3208="","",INDEX(Knutepunkter!$B:$B,D3208+1))</f>
        <v/>
      </c>
      <c r="G3208" t="str">
        <f>IF(D3208="","",INDEX(Knutepunkter!$C:$C,D3208+1))</f>
        <v/>
      </c>
      <c r="H3208" t="str">
        <f>IF(D3208="","",INDEX(Knutepunkter!$D:$D,D3208+1))</f>
        <v/>
      </c>
      <c r="I3208" t="str">
        <f>IF(E3208="","",INDEX(Knutepunkter!$B:$B,E3208+1))</f>
        <v/>
      </c>
      <c r="J3208" t="str">
        <f>IF(E3208="","",INDEX(Knutepunkter!$C:$C,E3208+1))</f>
        <v/>
      </c>
      <c r="K3208" t="str">
        <f>IF(E3208="","",INDEX(Knutepunkter!$D:$D,E3208+1))</f>
        <v/>
      </c>
      <c r="L3208" t="str">
        <f t="shared" si="253"/>
        <v/>
      </c>
      <c r="M3208" t="str">
        <f t="shared" si="254"/>
        <v/>
      </c>
    </row>
    <row r="3209" spans="1:13" x14ac:dyDescent="0.3">
      <c r="A3209" t="str">
        <f>Segmenter!A3209</f>
        <v/>
      </c>
      <c r="B3209" t="str">
        <f>Segmenter!B3209</f>
        <v/>
      </c>
      <c r="C3209" t="str">
        <f t="shared" si="250"/>
        <v/>
      </c>
      <c r="D3209" t="str">
        <f t="shared" si="251"/>
        <v/>
      </c>
      <c r="E3209" t="str">
        <f t="shared" si="252"/>
        <v/>
      </c>
      <c r="F3209" t="str">
        <f>IF(D3209="","",INDEX(Knutepunkter!$B:$B,D3209+1))</f>
        <v/>
      </c>
      <c r="G3209" t="str">
        <f>IF(D3209="","",INDEX(Knutepunkter!$C:$C,D3209+1))</f>
        <v/>
      </c>
      <c r="H3209" t="str">
        <f>IF(D3209="","",INDEX(Knutepunkter!$D:$D,D3209+1))</f>
        <v/>
      </c>
      <c r="I3209" t="str">
        <f>IF(E3209="","",INDEX(Knutepunkter!$B:$B,E3209+1))</f>
        <v/>
      </c>
      <c r="J3209" t="str">
        <f>IF(E3209="","",INDEX(Knutepunkter!$C:$C,E3209+1))</f>
        <v/>
      </c>
      <c r="K3209" t="str">
        <f>IF(E3209="","",INDEX(Knutepunkter!$D:$D,E3209+1))</f>
        <v/>
      </c>
      <c r="L3209" t="str">
        <f t="shared" si="253"/>
        <v/>
      </c>
      <c r="M3209" t="str">
        <f t="shared" si="254"/>
        <v/>
      </c>
    </row>
    <row r="3210" spans="1:13" x14ac:dyDescent="0.3">
      <c r="A3210" t="str">
        <f>Segmenter!A3210</f>
        <v/>
      </c>
      <c r="B3210" t="str">
        <f>Segmenter!B3210</f>
        <v/>
      </c>
      <c r="C3210" t="str">
        <f t="shared" si="250"/>
        <v/>
      </c>
      <c r="D3210" t="str">
        <f t="shared" si="251"/>
        <v/>
      </c>
      <c r="E3210" t="str">
        <f t="shared" si="252"/>
        <v/>
      </c>
      <c r="F3210" t="str">
        <f>IF(D3210="","",INDEX(Knutepunkter!$B:$B,D3210+1))</f>
        <v/>
      </c>
      <c r="G3210" t="str">
        <f>IF(D3210="","",INDEX(Knutepunkter!$C:$C,D3210+1))</f>
        <v/>
      </c>
      <c r="H3210" t="str">
        <f>IF(D3210="","",INDEX(Knutepunkter!$D:$D,D3210+1))</f>
        <v/>
      </c>
      <c r="I3210" t="str">
        <f>IF(E3210="","",INDEX(Knutepunkter!$B:$B,E3210+1))</f>
        <v/>
      </c>
      <c r="J3210" t="str">
        <f>IF(E3210="","",INDEX(Knutepunkter!$C:$C,E3210+1))</f>
        <v/>
      </c>
      <c r="K3210" t="str">
        <f>IF(E3210="","",INDEX(Knutepunkter!$D:$D,E3210+1))</f>
        <v/>
      </c>
      <c r="L3210" t="str">
        <f t="shared" si="253"/>
        <v/>
      </c>
      <c r="M3210" t="str">
        <f t="shared" si="254"/>
        <v/>
      </c>
    </row>
    <row r="3211" spans="1:13" x14ac:dyDescent="0.3">
      <c r="A3211" t="str">
        <f>Segmenter!A3211</f>
        <v/>
      </c>
      <c r="B3211" t="str">
        <f>Segmenter!B3211</f>
        <v/>
      </c>
      <c r="C3211" t="str">
        <f t="shared" si="250"/>
        <v/>
      </c>
      <c r="D3211" t="str">
        <f t="shared" si="251"/>
        <v/>
      </c>
      <c r="E3211" t="str">
        <f t="shared" si="252"/>
        <v/>
      </c>
      <c r="F3211" t="str">
        <f>IF(D3211="","",INDEX(Knutepunkter!$B:$B,D3211+1))</f>
        <v/>
      </c>
      <c r="G3211" t="str">
        <f>IF(D3211="","",INDEX(Knutepunkter!$C:$C,D3211+1))</f>
        <v/>
      </c>
      <c r="H3211" t="str">
        <f>IF(D3211="","",INDEX(Knutepunkter!$D:$D,D3211+1))</f>
        <v/>
      </c>
      <c r="I3211" t="str">
        <f>IF(E3211="","",INDEX(Knutepunkter!$B:$B,E3211+1))</f>
        <v/>
      </c>
      <c r="J3211" t="str">
        <f>IF(E3211="","",INDEX(Knutepunkter!$C:$C,E3211+1))</f>
        <v/>
      </c>
      <c r="K3211" t="str">
        <f>IF(E3211="","",INDEX(Knutepunkter!$D:$D,E3211+1))</f>
        <v/>
      </c>
      <c r="L3211" t="str">
        <f t="shared" si="253"/>
        <v/>
      </c>
      <c r="M3211" t="str">
        <f t="shared" si="254"/>
        <v/>
      </c>
    </row>
    <row r="3212" spans="1:13" x14ac:dyDescent="0.3">
      <c r="A3212" t="str">
        <f>Segmenter!A3212</f>
        <v/>
      </c>
      <c r="B3212" t="str">
        <f>Segmenter!B3212</f>
        <v/>
      </c>
      <c r="C3212" t="str">
        <f t="shared" si="250"/>
        <v/>
      </c>
      <c r="D3212" t="str">
        <f t="shared" si="251"/>
        <v/>
      </c>
      <c r="E3212" t="str">
        <f t="shared" si="252"/>
        <v/>
      </c>
      <c r="F3212" t="str">
        <f>IF(D3212="","",INDEX(Knutepunkter!$B:$B,D3212+1))</f>
        <v/>
      </c>
      <c r="G3212" t="str">
        <f>IF(D3212="","",INDEX(Knutepunkter!$C:$C,D3212+1))</f>
        <v/>
      </c>
      <c r="H3212" t="str">
        <f>IF(D3212="","",INDEX(Knutepunkter!$D:$D,D3212+1))</f>
        <v/>
      </c>
      <c r="I3212" t="str">
        <f>IF(E3212="","",INDEX(Knutepunkter!$B:$B,E3212+1))</f>
        <v/>
      </c>
      <c r="J3212" t="str">
        <f>IF(E3212="","",INDEX(Knutepunkter!$C:$C,E3212+1))</f>
        <v/>
      </c>
      <c r="K3212" t="str">
        <f>IF(E3212="","",INDEX(Knutepunkter!$D:$D,E3212+1))</f>
        <v/>
      </c>
      <c r="L3212" t="str">
        <f t="shared" si="253"/>
        <v/>
      </c>
      <c r="M3212" t="str">
        <f t="shared" si="254"/>
        <v/>
      </c>
    </row>
    <row r="3213" spans="1:13" x14ac:dyDescent="0.3">
      <c r="A3213" t="str">
        <f>Segmenter!A3213</f>
        <v/>
      </c>
      <c r="B3213" t="str">
        <f>Segmenter!B3213</f>
        <v/>
      </c>
      <c r="C3213" t="str">
        <f t="shared" si="250"/>
        <v/>
      </c>
      <c r="D3213" t="str">
        <f t="shared" si="251"/>
        <v/>
      </c>
      <c r="E3213" t="str">
        <f t="shared" si="252"/>
        <v/>
      </c>
      <c r="F3213" t="str">
        <f>IF(D3213="","",INDEX(Knutepunkter!$B:$B,D3213+1))</f>
        <v/>
      </c>
      <c r="G3213" t="str">
        <f>IF(D3213="","",INDEX(Knutepunkter!$C:$C,D3213+1))</f>
        <v/>
      </c>
      <c r="H3213" t="str">
        <f>IF(D3213="","",INDEX(Knutepunkter!$D:$D,D3213+1))</f>
        <v/>
      </c>
      <c r="I3213" t="str">
        <f>IF(E3213="","",INDEX(Knutepunkter!$B:$B,E3213+1))</f>
        <v/>
      </c>
      <c r="J3213" t="str">
        <f>IF(E3213="","",INDEX(Knutepunkter!$C:$C,E3213+1))</f>
        <v/>
      </c>
      <c r="K3213" t="str">
        <f>IF(E3213="","",INDEX(Knutepunkter!$D:$D,E3213+1))</f>
        <v/>
      </c>
      <c r="L3213" t="str">
        <f t="shared" si="253"/>
        <v/>
      </c>
      <c r="M3213" t="str">
        <f t="shared" si="254"/>
        <v/>
      </c>
    </row>
    <row r="3214" spans="1:13" x14ac:dyDescent="0.3">
      <c r="A3214" t="str">
        <f>Segmenter!A3214</f>
        <v/>
      </c>
      <c r="B3214" t="str">
        <f>Segmenter!B3214</f>
        <v/>
      </c>
      <c r="C3214" t="str">
        <f t="shared" si="250"/>
        <v/>
      </c>
      <c r="D3214" t="str">
        <f t="shared" si="251"/>
        <v/>
      </c>
      <c r="E3214" t="str">
        <f t="shared" si="252"/>
        <v/>
      </c>
      <c r="F3214" t="str">
        <f>IF(D3214="","",INDEX(Knutepunkter!$B:$B,D3214+1))</f>
        <v/>
      </c>
      <c r="G3214" t="str">
        <f>IF(D3214="","",INDEX(Knutepunkter!$C:$C,D3214+1))</f>
        <v/>
      </c>
      <c r="H3214" t="str">
        <f>IF(D3214="","",INDEX(Knutepunkter!$D:$D,D3214+1))</f>
        <v/>
      </c>
      <c r="I3214" t="str">
        <f>IF(E3214="","",INDEX(Knutepunkter!$B:$B,E3214+1))</f>
        <v/>
      </c>
      <c r="J3214" t="str">
        <f>IF(E3214="","",INDEX(Knutepunkter!$C:$C,E3214+1))</f>
        <v/>
      </c>
      <c r="K3214" t="str">
        <f>IF(E3214="","",INDEX(Knutepunkter!$D:$D,E3214+1))</f>
        <v/>
      </c>
      <c r="L3214" t="str">
        <f t="shared" si="253"/>
        <v/>
      </c>
      <c r="M3214" t="str">
        <f t="shared" si="254"/>
        <v/>
      </c>
    </row>
    <row r="3215" spans="1:13" x14ac:dyDescent="0.3">
      <c r="A3215" t="str">
        <f>Segmenter!A3215</f>
        <v/>
      </c>
      <c r="B3215" t="str">
        <f>Segmenter!B3215</f>
        <v/>
      </c>
      <c r="C3215" t="str">
        <f t="shared" si="250"/>
        <v/>
      </c>
      <c r="D3215" t="str">
        <f t="shared" si="251"/>
        <v/>
      </c>
      <c r="E3215" t="str">
        <f t="shared" si="252"/>
        <v/>
      </c>
      <c r="F3215" t="str">
        <f>IF(D3215="","",INDEX(Knutepunkter!$B:$B,D3215+1))</f>
        <v/>
      </c>
      <c r="G3215" t="str">
        <f>IF(D3215="","",INDEX(Knutepunkter!$C:$C,D3215+1))</f>
        <v/>
      </c>
      <c r="H3215" t="str">
        <f>IF(D3215="","",INDEX(Knutepunkter!$D:$D,D3215+1))</f>
        <v/>
      </c>
      <c r="I3215" t="str">
        <f>IF(E3215="","",INDEX(Knutepunkter!$B:$B,E3215+1))</f>
        <v/>
      </c>
      <c r="J3215" t="str">
        <f>IF(E3215="","",INDEX(Knutepunkter!$C:$C,E3215+1))</f>
        <v/>
      </c>
      <c r="K3215" t="str">
        <f>IF(E3215="","",INDEX(Knutepunkter!$D:$D,E3215+1))</f>
        <v/>
      </c>
      <c r="L3215" t="str">
        <f t="shared" si="253"/>
        <v/>
      </c>
      <c r="M3215" t="str">
        <f t="shared" si="254"/>
        <v/>
      </c>
    </row>
    <row r="3216" spans="1:13" x14ac:dyDescent="0.3">
      <c r="A3216" t="str">
        <f>Segmenter!A3216</f>
        <v/>
      </c>
      <c r="B3216" t="str">
        <f>Segmenter!B3216</f>
        <v/>
      </c>
      <c r="C3216" t="str">
        <f t="shared" si="250"/>
        <v/>
      </c>
      <c r="D3216" t="str">
        <f t="shared" si="251"/>
        <v/>
      </c>
      <c r="E3216" t="str">
        <f t="shared" si="252"/>
        <v/>
      </c>
      <c r="F3216" t="str">
        <f>IF(D3216="","",INDEX(Knutepunkter!$B:$B,D3216+1))</f>
        <v/>
      </c>
      <c r="G3216" t="str">
        <f>IF(D3216="","",INDEX(Knutepunkter!$C:$C,D3216+1))</f>
        <v/>
      </c>
      <c r="H3216" t="str">
        <f>IF(D3216="","",INDEX(Knutepunkter!$D:$D,D3216+1))</f>
        <v/>
      </c>
      <c r="I3216" t="str">
        <f>IF(E3216="","",INDEX(Knutepunkter!$B:$B,E3216+1))</f>
        <v/>
      </c>
      <c r="J3216" t="str">
        <f>IF(E3216="","",INDEX(Knutepunkter!$C:$C,E3216+1))</f>
        <v/>
      </c>
      <c r="K3216" t="str">
        <f>IF(E3216="","",INDEX(Knutepunkter!$D:$D,E3216+1))</f>
        <v/>
      </c>
      <c r="L3216" t="str">
        <f t="shared" si="253"/>
        <v/>
      </c>
      <c r="M3216" t="str">
        <f t="shared" si="254"/>
        <v/>
      </c>
    </row>
    <row r="3217" spans="1:13" x14ac:dyDescent="0.3">
      <c r="A3217" t="str">
        <f>Segmenter!A3217</f>
        <v/>
      </c>
      <c r="B3217" t="str">
        <f>Segmenter!B3217</f>
        <v/>
      </c>
      <c r="C3217" t="str">
        <f t="shared" si="250"/>
        <v/>
      </c>
      <c r="D3217" t="str">
        <f t="shared" si="251"/>
        <v/>
      </c>
      <c r="E3217" t="str">
        <f t="shared" si="252"/>
        <v/>
      </c>
      <c r="F3217" t="str">
        <f>IF(D3217="","",INDEX(Knutepunkter!$B:$B,D3217+1))</f>
        <v/>
      </c>
      <c r="G3217" t="str">
        <f>IF(D3217="","",INDEX(Knutepunkter!$C:$C,D3217+1))</f>
        <v/>
      </c>
      <c r="H3217" t="str">
        <f>IF(D3217="","",INDEX(Knutepunkter!$D:$D,D3217+1))</f>
        <v/>
      </c>
      <c r="I3217" t="str">
        <f>IF(E3217="","",INDEX(Knutepunkter!$B:$B,E3217+1))</f>
        <v/>
      </c>
      <c r="J3217" t="str">
        <f>IF(E3217="","",INDEX(Knutepunkter!$C:$C,E3217+1))</f>
        <v/>
      </c>
      <c r="K3217" t="str">
        <f>IF(E3217="","",INDEX(Knutepunkter!$D:$D,E3217+1))</f>
        <v/>
      </c>
      <c r="L3217" t="str">
        <f t="shared" si="253"/>
        <v/>
      </c>
      <c r="M3217" t="str">
        <f t="shared" si="254"/>
        <v/>
      </c>
    </row>
    <row r="3218" spans="1:13" x14ac:dyDescent="0.3">
      <c r="A3218" t="str">
        <f>Segmenter!A3218</f>
        <v/>
      </c>
      <c r="B3218" t="str">
        <f>Segmenter!B3218</f>
        <v/>
      </c>
      <c r="C3218" t="str">
        <f t="shared" si="250"/>
        <v/>
      </c>
      <c r="D3218" t="str">
        <f t="shared" si="251"/>
        <v/>
      </c>
      <c r="E3218" t="str">
        <f t="shared" si="252"/>
        <v/>
      </c>
      <c r="F3218" t="str">
        <f>IF(D3218="","",INDEX(Knutepunkter!$B:$B,D3218+1))</f>
        <v/>
      </c>
      <c r="G3218" t="str">
        <f>IF(D3218="","",INDEX(Knutepunkter!$C:$C,D3218+1))</f>
        <v/>
      </c>
      <c r="H3218" t="str">
        <f>IF(D3218="","",INDEX(Knutepunkter!$D:$D,D3218+1))</f>
        <v/>
      </c>
      <c r="I3218" t="str">
        <f>IF(E3218="","",INDEX(Knutepunkter!$B:$B,E3218+1))</f>
        <v/>
      </c>
      <c r="J3218" t="str">
        <f>IF(E3218="","",INDEX(Knutepunkter!$C:$C,E3218+1))</f>
        <v/>
      </c>
      <c r="K3218" t="str">
        <f>IF(E3218="","",INDEX(Knutepunkter!$D:$D,E3218+1))</f>
        <v/>
      </c>
      <c r="L3218" t="str">
        <f t="shared" si="253"/>
        <v/>
      </c>
      <c r="M3218" t="str">
        <f t="shared" si="254"/>
        <v/>
      </c>
    </row>
    <row r="3219" spans="1:13" x14ac:dyDescent="0.3">
      <c r="A3219" t="str">
        <f>Segmenter!A3219</f>
        <v/>
      </c>
      <c r="B3219" t="str">
        <f>Segmenter!B3219</f>
        <v/>
      </c>
      <c r="C3219" t="str">
        <f t="shared" si="250"/>
        <v/>
      </c>
      <c r="D3219" t="str">
        <f t="shared" si="251"/>
        <v/>
      </c>
      <c r="E3219" t="str">
        <f t="shared" si="252"/>
        <v/>
      </c>
      <c r="F3219" t="str">
        <f>IF(D3219="","",INDEX(Knutepunkter!$B:$B,D3219+1))</f>
        <v/>
      </c>
      <c r="G3219" t="str">
        <f>IF(D3219="","",INDEX(Knutepunkter!$C:$C,D3219+1))</f>
        <v/>
      </c>
      <c r="H3219" t="str">
        <f>IF(D3219="","",INDEX(Knutepunkter!$D:$D,D3219+1))</f>
        <v/>
      </c>
      <c r="I3219" t="str">
        <f>IF(E3219="","",INDEX(Knutepunkter!$B:$B,E3219+1))</f>
        <v/>
      </c>
      <c r="J3219" t="str">
        <f>IF(E3219="","",INDEX(Knutepunkter!$C:$C,E3219+1))</f>
        <v/>
      </c>
      <c r="K3219" t="str">
        <f>IF(E3219="","",INDEX(Knutepunkter!$D:$D,E3219+1))</f>
        <v/>
      </c>
      <c r="L3219" t="str">
        <f t="shared" si="253"/>
        <v/>
      </c>
      <c r="M3219" t="str">
        <f t="shared" si="254"/>
        <v/>
      </c>
    </row>
    <row r="3220" spans="1:13" x14ac:dyDescent="0.3">
      <c r="A3220" t="str">
        <f>Segmenter!A3220</f>
        <v/>
      </c>
      <c r="B3220" t="str">
        <f>Segmenter!B3220</f>
        <v/>
      </c>
      <c r="C3220" t="str">
        <f t="shared" si="250"/>
        <v/>
      </c>
      <c r="D3220" t="str">
        <f t="shared" si="251"/>
        <v/>
      </c>
      <c r="E3220" t="str">
        <f t="shared" si="252"/>
        <v/>
      </c>
      <c r="F3220" t="str">
        <f>IF(D3220="","",INDEX(Knutepunkter!$B:$B,D3220+1))</f>
        <v/>
      </c>
      <c r="G3220" t="str">
        <f>IF(D3220="","",INDEX(Knutepunkter!$C:$C,D3220+1))</f>
        <v/>
      </c>
      <c r="H3220" t="str">
        <f>IF(D3220="","",INDEX(Knutepunkter!$D:$D,D3220+1))</f>
        <v/>
      </c>
      <c r="I3220" t="str">
        <f>IF(E3220="","",INDEX(Knutepunkter!$B:$B,E3220+1))</f>
        <v/>
      </c>
      <c r="J3220" t="str">
        <f>IF(E3220="","",INDEX(Knutepunkter!$C:$C,E3220+1))</f>
        <v/>
      </c>
      <c r="K3220" t="str">
        <f>IF(E3220="","",INDEX(Knutepunkter!$D:$D,E3220+1))</f>
        <v/>
      </c>
      <c r="L3220" t="str">
        <f t="shared" si="253"/>
        <v/>
      </c>
      <c r="M3220" t="str">
        <f t="shared" si="254"/>
        <v/>
      </c>
    </row>
    <row r="3221" spans="1:13" x14ac:dyDescent="0.3">
      <c r="A3221" t="str">
        <f>Segmenter!A3221</f>
        <v/>
      </c>
      <c r="B3221" t="str">
        <f>Segmenter!B3221</f>
        <v/>
      </c>
      <c r="C3221" t="str">
        <f t="shared" si="250"/>
        <v/>
      </c>
      <c r="D3221" t="str">
        <f t="shared" si="251"/>
        <v/>
      </c>
      <c r="E3221" t="str">
        <f t="shared" si="252"/>
        <v/>
      </c>
      <c r="F3221" t="str">
        <f>IF(D3221="","",INDEX(Knutepunkter!$B:$B,D3221+1))</f>
        <v/>
      </c>
      <c r="G3221" t="str">
        <f>IF(D3221="","",INDEX(Knutepunkter!$C:$C,D3221+1))</f>
        <v/>
      </c>
      <c r="H3221" t="str">
        <f>IF(D3221="","",INDEX(Knutepunkter!$D:$D,D3221+1))</f>
        <v/>
      </c>
      <c r="I3221" t="str">
        <f>IF(E3221="","",INDEX(Knutepunkter!$B:$B,E3221+1))</f>
        <v/>
      </c>
      <c r="J3221" t="str">
        <f>IF(E3221="","",INDEX(Knutepunkter!$C:$C,E3221+1))</f>
        <v/>
      </c>
      <c r="K3221" t="str">
        <f>IF(E3221="","",INDEX(Knutepunkter!$D:$D,E3221+1))</f>
        <v/>
      </c>
      <c r="L3221" t="str">
        <f t="shared" si="253"/>
        <v/>
      </c>
      <c r="M3221" t="str">
        <f t="shared" si="254"/>
        <v/>
      </c>
    </row>
    <row r="3222" spans="1:13" x14ac:dyDescent="0.3">
      <c r="A3222" t="str">
        <f>Segmenter!A3222</f>
        <v/>
      </c>
      <c r="B3222" t="str">
        <f>Segmenter!B3222</f>
        <v/>
      </c>
      <c r="C3222" t="str">
        <f t="shared" si="250"/>
        <v/>
      </c>
      <c r="D3222" t="str">
        <f t="shared" si="251"/>
        <v/>
      </c>
      <c r="E3222" t="str">
        <f t="shared" si="252"/>
        <v/>
      </c>
      <c r="F3222" t="str">
        <f>IF(D3222="","",INDEX(Knutepunkter!$B:$B,D3222+1))</f>
        <v/>
      </c>
      <c r="G3222" t="str">
        <f>IF(D3222="","",INDEX(Knutepunkter!$C:$C,D3222+1))</f>
        <v/>
      </c>
      <c r="H3222" t="str">
        <f>IF(D3222="","",INDEX(Knutepunkter!$D:$D,D3222+1))</f>
        <v/>
      </c>
      <c r="I3222" t="str">
        <f>IF(E3222="","",INDEX(Knutepunkter!$B:$B,E3222+1))</f>
        <v/>
      </c>
      <c r="J3222" t="str">
        <f>IF(E3222="","",INDEX(Knutepunkter!$C:$C,E3222+1))</f>
        <v/>
      </c>
      <c r="K3222" t="str">
        <f>IF(E3222="","",INDEX(Knutepunkter!$D:$D,E3222+1))</f>
        <v/>
      </c>
      <c r="L3222" t="str">
        <f t="shared" si="253"/>
        <v/>
      </c>
      <c r="M3222" t="str">
        <f t="shared" si="254"/>
        <v/>
      </c>
    </row>
    <row r="3223" spans="1:13" x14ac:dyDescent="0.3">
      <c r="A3223" t="str">
        <f>Segmenter!A3223</f>
        <v/>
      </c>
      <c r="B3223" t="str">
        <f>Segmenter!B3223</f>
        <v/>
      </c>
      <c r="C3223" t="str">
        <f t="shared" si="250"/>
        <v/>
      </c>
      <c r="D3223" t="str">
        <f t="shared" si="251"/>
        <v/>
      </c>
      <c r="E3223" t="str">
        <f t="shared" si="252"/>
        <v/>
      </c>
      <c r="F3223" t="str">
        <f>IF(D3223="","",INDEX(Knutepunkter!$B:$B,D3223+1))</f>
        <v/>
      </c>
      <c r="G3223" t="str">
        <f>IF(D3223="","",INDEX(Knutepunkter!$C:$C,D3223+1))</f>
        <v/>
      </c>
      <c r="H3223" t="str">
        <f>IF(D3223="","",INDEX(Knutepunkter!$D:$D,D3223+1))</f>
        <v/>
      </c>
      <c r="I3223" t="str">
        <f>IF(E3223="","",INDEX(Knutepunkter!$B:$B,E3223+1))</f>
        <v/>
      </c>
      <c r="J3223" t="str">
        <f>IF(E3223="","",INDEX(Knutepunkter!$C:$C,E3223+1))</f>
        <v/>
      </c>
      <c r="K3223" t="str">
        <f>IF(E3223="","",INDEX(Knutepunkter!$D:$D,E3223+1))</f>
        <v/>
      </c>
      <c r="L3223" t="str">
        <f t="shared" si="253"/>
        <v/>
      </c>
      <c r="M3223" t="str">
        <f t="shared" si="254"/>
        <v/>
      </c>
    </row>
    <row r="3224" spans="1:13" x14ac:dyDescent="0.3">
      <c r="A3224" t="str">
        <f>Segmenter!A3224</f>
        <v/>
      </c>
      <c r="B3224" t="str">
        <f>Segmenter!B3224</f>
        <v/>
      </c>
      <c r="C3224" t="str">
        <f t="shared" si="250"/>
        <v/>
      </c>
      <c r="D3224" t="str">
        <f t="shared" si="251"/>
        <v/>
      </c>
      <c r="E3224" t="str">
        <f t="shared" si="252"/>
        <v/>
      </c>
      <c r="F3224" t="str">
        <f>IF(D3224="","",INDEX(Knutepunkter!$B:$B,D3224+1))</f>
        <v/>
      </c>
      <c r="G3224" t="str">
        <f>IF(D3224="","",INDEX(Knutepunkter!$C:$C,D3224+1))</f>
        <v/>
      </c>
      <c r="H3224" t="str">
        <f>IF(D3224="","",INDEX(Knutepunkter!$D:$D,D3224+1))</f>
        <v/>
      </c>
      <c r="I3224" t="str">
        <f>IF(E3224="","",INDEX(Knutepunkter!$B:$B,E3224+1))</f>
        <v/>
      </c>
      <c r="J3224" t="str">
        <f>IF(E3224="","",INDEX(Knutepunkter!$C:$C,E3224+1))</f>
        <v/>
      </c>
      <c r="K3224" t="str">
        <f>IF(E3224="","",INDEX(Knutepunkter!$D:$D,E3224+1))</f>
        <v/>
      </c>
      <c r="L3224" t="str">
        <f t="shared" si="253"/>
        <v/>
      </c>
      <c r="M3224" t="str">
        <f t="shared" si="254"/>
        <v/>
      </c>
    </row>
    <row r="3225" spans="1:13" x14ac:dyDescent="0.3">
      <c r="A3225" t="str">
        <f>Segmenter!A3225</f>
        <v/>
      </c>
      <c r="B3225" t="str">
        <f>Segmenter!B3225</f>
        <v/>
      </c>
      <c r="C3225" t="str">
        <f t="shared" si="250"/>
        <v/>
      </c>
      <c r="D3225" t="str">
        <f t="shared" si="251"/>
        <v/>
      </c>
      <c r="E3225" t="str">
        <f t="shared" si="252"/>
        <v/>
      </c>
      <c r="F3225" t="str">
        <f>IF(D3225="","",INDEX(Knutepunkter!$B:$B,D3225+1))</f>
        <v/>
      </c>
      <c r="G3225" t="str">
        <f>IF(D3225="","",INDEX(Knutepunkter!$C:$C,D3225+1))</f>
        <v/>
      </c>
      <c r="H3225" t="str">
        <f>IF(D3225="","",INDEX(Knutepunkter!$D:$D,D3225+1))</f>
        <v/>
      </c>
      <c r="I3225" t="str">
        <f>IF(E3225="","",INDEX(Knutepunkter!$B:$B,E3225+1))</f>
        <v/>
      </c>
      <c r="J3225" t="str">
        <f>IF(E3225="","",INDEX(Knutepunkter!$C:$C,E3225+1))</f>
        <v/>
      </c>
      <c r="K3225" t="str">
        <f>IF(E3225="","",INDEX(Knutepunkter!$D:$D,E3225+1))</f>
        <v/>
      </c>
      <c r="L3225" t="str">
        <f t="shared" si="253"/>
        <v/>
      </c>
      <c r="M3225" t="str">
        <f t="shared" si="254"/>
        <v/>
      </c>
    </row>
    <row r="3226" spans="1:13" x14ac:dyDescent="0.3">
      <c r="A3226" t="str">
        <f>Segmenter!A3226</f>
        <v/>
      </c>
      <c r="B3226" t="str">
        <f>Segmenter!B3226</f>
        <v/>
      </c>
      <c r="C3226" t="str">
        <f t="shared" si="250"/>
        <v/>
      </c>
      <c r="D3226" t="str">
        <f t="shared" si="251"/>
        <v/>
      </c>
      <c r="E3226" t="str">
        <f t="shared" si="252"/>
        <v/>
      </c>
      <c r="F3226" t="str">
        <f>IF(D3226="","",INDEX(Knutepunkter!$B:$B,D3226+1))</f>
        <v/>
      </c>
      <c r="G3226" t="str">
        <f>IF(D3226="","",INDEX(Knutepunkter!$C:$C,D3226+1))</f>
        <v/>
      </c>
      <c r="H3226" t="str">
        <f>IF(D3226="","",INDEX(Knutepunkter!$D:$D,D3226+1))</f>
        <v/>
      </c>
      <c r="I3226" t="str">
        <f>IF(E3226="","",INDEX(Knutepunkter!$B:$B,E3226+1))</f>
        <v/>
      </c>
      <c r="J3226" t="str">
        <f>IF(E3226="","",INDEX(Knutepunkter!$C:$C,E3226+1))</f>
        <v/>
      </c>
      <c r="K3226" t="str">
        <f>IF(E3226="","",INDEX(Knutepunkter!$D:$D,E3226+1))</f>
        <v/>
      </c>
      <c r="L3226" t="str">
        <f t="shared" si="253"/>
        <v/>
      </c>
      <c r="M3226" t="str">
        <f t="shared" si="254"/>
        <v/>
      </c>
    </row>
    <row r="3227" spans="1:13" x14ac:dyDescent="0.3">
      <c r="A3227" t="str">
        <f>Segmenter!A3227</f>
        <v/>
      </c>
      <c r="B3227" t="str">
        <f>Segmenter!B3227</f>
        <v/>
      </c>
      <c r="C3227" t="str">
        <f t="shared" si="250"/>
        <v/>
      </c>
      <c r="D3227" t="str">
        <f t="shared" si="251"/>
        <v/>
      </c>
      <c r="E3227" t="str">
        <f t="shared" si="252"/>
        <v/>
      </c>
      <c r="F3227" t="str">
        <f>IF(D3227="","",INDEX(Knutepunkter!$B:$B,D3227+1))</f>
        <v/>
      </c>
      <c r="G3227" t="str">
        <f>IF(D3227="","",INDEX(Knutepunkter!$C:$C,D3227+1))</f>
        <v/>
      </c>
      <c r="H3227" t="str">
        <f>IF(D3227="","",INDEX(Knutepunkter!$D:$D,D3227+1))</f>
        <v/>
      </c>
      <c r="I3227" t="str">
        <f>IF(E3227="","",INDEX(Knutepunkter!$B:$B,E3227+1))</f>
        <v/>
      </c>
      <c r="J3227" t="str">
        <f>IF(E3227="","",INDEX(Knutepunkter!$C:$C,E3227+1))</f>
        <v/>
      </c>
      <c r="K3227" t="str">
        <f>IF(E3227="","",INDEX(Knutepunkter!$D:$D,E3227+1))</f>
        <v/>
      </c>
      <c r="L3227" t="str">
        <f t="shared" si="253"/>
        <v/>
      </c>
      <c r="M3227" t="str">
        <f t="shared" si="254"/>
        <v/>
      </c>
    </row>
    <row r="3228" spans="1:13" x14ac:dyDescent="0.3">
      <c r="A3228" t="str">
        <f>Segmenter!A3228</f>
        <v/>
      </c>
      <c r="B3228" t="str">
        <f>Segmenter!B3228</f>
        <v/>
      </c>
      <c r="C3228" t="str">
        <f t="shared" si="250"/>
        <v/>
      </c>
      <c r="D3228" t="str">
        <f t="shared" si="251"/>
        <v/>
      </c>
      <c r="E3228" t="str">
        <f t="shared" si="252"/>
        <v/>
      </c>
      <c r="F3228" t="str">
        <f>IF(D3228="","",INDEX(Knutepunkter!$B:$B,D3228+1))</f>
        <v/>
      </c>
      <c r="G3228" t="str">
        <f>IF(D3228="","",INDEX(Knutepunkter!$C:$C,D3228+1))</f>
        <v/>
      </c>
      <c r="H3228" t="str">
        <f>IF(D3228="","",INDEX(Knutepunkter!$D:$D,D3228+1))</f>
        <v/>
      </c>
      <c r="I3228" t="str">
        <f>IF(E3228="","",INDEX(Knutepunkter!$B:$B,E3228+1))</f>
        <v/>
      </c>
      <c r="J3228" t="str">
        <f>IF(E3228="","",INDEX(Knutepunkter!$C:$C,E3228+1))</f>
        <v/>
      </c>
      <c r="K3228" t="str">
        <f>IF(E3228="","",INDEX(Knutepunkter!$D:$D,E3228+1))</f>
        <v/>
      </c>
      <c r="L3228" t="str">
        <f t="shared" si="253"/>
        <v/>
      </c>
      <c r="M3228" t="str">
        <f t="shared" si="254"/>
        <v/>
      </c>
    </row>
    <row r="3229" spans="1:13" x14ac:dyDescent="0.3">
      <c r="A3229" t="str">
        <f>Segmenter!A3229</f>
        <v/>
      </c>
      <c r="B3229" t="str">
        <f>Segmenter!B3229</f>
        <v/>
      </c>
      <c r="C3229" t="str">
        <f t="shared" si="250"/>
        <v/>
      </c>
      <c r="D3229" t="str">
        <f t="shared" si="251"/>
        <v/>
      </c>
      <c r="E3229" t="str">
        <f t="shared" si="252"/>
        <v/>
      </c>
      <c r="F3229" t="str">
        <f>IF(D3229="","",INDEX(Knutepunkter!$B:$B,D3229+1))</f>
        <v/>
      </c>
      <c r="G3229" t="str">
        <f>IF(D3229="","",INDEX(Knutepunkter!$C:$C,D3229+1))</f>
        <v/>
      </c>
      <c r="H3229" t="str">
        <f>IF(D3229="","",INDEX(Knutepunkter!$D:$D,D3229+1))</f>
        <v/>
      </c>
      <c r="I3229" t="str">
        <f>IF(E3229="","",INDEX(Knutepunkter!$B:$B,E3229+1))</f>
        <v/>
      </c>
      <c r="J3229" t="str">
        <f>IF(E3229="","",INDEX(Knutepunkter!$C:$C,E3229+1))</f>
        <v/>
      </c>
      <c r="K3229" t="str">
        <f>IF(E3229="","",INDEX(Knutepunkter!$D:$D,E3229+1))</f>
        <v/>
      </c>
      <c r="L3229" t="str">
        <f t="shared" si="253"/>
        <v/>
      </c>
      <c r="M3229" t="str">
        <f t="shared" si="254"/>
        <v/>
      </c>
    </row>
    <row r="3230" spans="1:13" x14ac:dyDescent="0.3">
      <c r="A3230" t="str">
        <f>Segmenter!A3230</f>
        <v/>
      </c>
      <c r="B3230" t="str">
        <f>Segmenter!B3230</f>
        <v/>
      </c>
      <c r="C3230" t="str">
        <f t="shared" si="250"/>
        <v/>
      </c>
      <c r="D3230" t="str">
        <f t="shared" si="251"/>
        <v/>
      </c>
      <c r="E3230" t="str">
        <f t="shared" si="252"/>
        <v/>
      </c>
      <c r="F3230" t="str">
        <f>IF(D3230="","",INDEX(Knutepunkter!$B:$B,D3230+1))</f>
        <v/>
      </c>
      <c r="G3230" t="str">
        <f>IF(D3230="","",INDEX(Knutepunkter!$C:$C,D3230+1))</f>
        <v/>
      </c>
      <c r="H3230" t="str">
        <f>IF(D3230="","",INDEX(Knutepunkter!$D:$D,D3230+1))</f>
        <v/>
      </c>
      <c r="I3230" t="str">
        <f>IF(E3230="","",INDEX(Knutepunkter!$B:$B,E3230+1))</f>
        <v/>
      </c>
      <c r="J3230" t="str">
        <f>IF(E3230="","",INDEX(Knutepunkter!$C:$C,E3230+1))</f>
        <v/>
      </c>
      <c r="K3230" t="str">
        <f>IF(E3230="","",INDEX(Knutepunkter!$D:$D,E3230+1))</f>
        <v/>
      </c>
      <c r="L3230" t="str">
        <f t="shared" si="253"/>
        <v/>
      </c>
      <c r="M3230" t="str">
        <f t="shared" si="254"/>
        <v/>
      </c>
    </row>
    <row r="3231" spans="1:13" x14ac:dyDescent="0.3">
      <c r="A3231" t="str">
        <f>Segmenter!A3231</f>
        <v/>
      </c>
      <c r="B3231" t="str">
        <f>Segmenter!B3231</f>
        <v/>
      </c>
      <c r="C3231" t="str">
        <f t="shared" si="250"/>
        <v/>
      </c>
      <c r="D3231" t="str">
        <f t="shared" si="251"/>
        <v/>
      </c>
      <c r="E3231" t="str">
        <f t="shared" si="252"/>
        <v/>
      </c>
      <c r="F3231" t="str">
        <f>IF(D3231="","",INDEX(Knutepunkter!$B:$B,D3231+1))</f>
        <v/>
      </c>
      <c r="G3231" t="str">
        <f>IF(D3231="","",INDEX(Knutepunkter!$C:$C,D3231+1))</f>
        <v/>
      </c>
      <c r="H3231" t="str">
        <f>IF(D3231="","",INDEX(Knutepunkter!$D:$D,D3231+1))</f>
        <v/>
      </c>
      <c r="I3231" t="str">
        <f>IF(E3231="","",INDEX(Knutepunkter!$B:$B,E3231+1))</f>
        <v/>
      </c>
      <c r="J3231" t="str">
        <f>IF(E3231="","",INDEX(Knutepunkter!$C:$C,E3231+1))</f>
        <v/>
      </c>
      <c r="K3231" t="str">
        <f>IF(E3231="","",INDEX(Knutepunkter!$D:$D,E3231+1))</f>
        <v/>
      </c>
      <c r="L3231" t="str">
        <f t="shared" si="253"/>
        <v/>
      </c>
      <c r="M3231" t="str">
        <f t="shared" si="254"/>
        <v/>
      </c>
    </row>
    <row r="3232" spans="1:13" x14ac:dyDescent="0.3">
      <c r="A3232" t="str">
        <f>Segmenter!A3232</f>
        <v/>
      </c>
      <c r="B3232" t="str">
        <f>Segmenter!B3232</f>
        <v/>
      </c>
      <c r="C3232" t="str">
        <f t="shared" si="250"/>
        <v/>
      </c>
      <c r="D3232" t="str">
        <f t="shared" si="251"/>
        <v/>
      </c>
      <c r="E3232" t="str">
        <f t="shared" si="252"/>
        <v/>
      </c>
      <c r="F3232" t="str">
        <f>IF(D3232="","",INDEX(Knutepunkter!$B:$B,D3232+1))</f>
        <v/>
      </c>
      <c r="G3232" t="str">
        <f>IF(D3232="","",INDEX(Knutepunkter!$C:$C,D3232+1))</f>
        <v/>
      </c>
      <c r="H3232" t="str">
        <f>IF(D3232="","",INDEX(Knutepunkter!$D:$D,D3232+1))</f>
        <v/>
      </c>
      <c r="I3232" t="str">
        <f>IF(E3232="","",INDEX(Knutepunkter!$B:$B,E3232+1))</f>
        <v/>
      </c>
      <c r="J3232" t="str">
        <f>IF(E3232="","",INDEX(Knutepunkter!$C:$C,E3232+1))</f>
        <v/>
      </c>
      <c r="K3232" t="str">
        <f>IF(E3232="","",INDEX(Knutepunkter!$D:$D,E3232+1))</f>
        <v/>
      </c>
      <c r="L3232" t="str">
        <f t="shared" si="253"/>
        <v/>
      </c>
      <c r="M3232" t="str">
        <f t="shared" si="254"/>
        <v/>
      </c>
    </row>
    <row r="3233" spans="1:13" x14ac:dyDescent="0.3">
      <c r="A3233" t="str">
        <f>Segmenter!A3233</f>
        <v/>
      </c>
      <c r="B3233" t="str">
        <f>Segmenter!B3233</f>
        <v/>
      </c>
      <c r="C3233" t="str">
        <f t="shared" si="250"/>
        <v/>
      </c>
      <c r="D3233" t="str">
        <f t="shared" si="251"/>
        <v/>
      </c>
      <c r="E3233" t="str">
        <f t="shared" si="252"/>
        <v/>
      </c>
      <c r="F3233" t="str">
        <f>IF(D3233="","",INDEX(Knutepunkter!$B:$B,D3233+1))</f>
        <v/>
      </c>
      <c r="G3233" t="str">
        <f>IF(D3233="","",INDEX(Knutepunkter!$C:$C,D3233+1))</f>
        <v/>
      </c>
      <c r="H3233" t="str">
        <f>IF(D3233="","",INDEX(Knutepunkter!$D:$D,D3233+1))</f>
        <v/>
      </c>
      <c r="I3233" t="str">
        <f>IF(E3233="","",INDEX(Knutepunkter!$B:$B,E3233+1))</f>
        <v/>
      </c>
      <c r="J3233" t="str">
        <f>IF(E3233="","",INDEX(Knutepunkter!$C:$C,E3233+1))</f>
        <v/>
      </c>
      <c r="K3233" t="str">
        <f>IF(E3233="","",INDEX(Knutepunkter!$D:$D,E3233+1))</f>
        <v/>
      </c>
      <c r="L3233" t="str">
        <f t="shared" si="253"/>
        <v/>
      </c>
      <c r="M3233" t="str">
        <f t="shared" si="254"/>
        <v/>
      </c>
    </row>
    <row r="3234" spans="1:13" x14ac:dyDescent="0.3">
      <c r="A3234" t="str">
        <f>Segmenter!A3234</f>
        <v/>
      </c>
      <c r="B3234" t="str">
        <f>Segmenter!B3234</f>
        <v/>
      </c>
      <c r="C3234" t="str">
        <f t="shared" si="250"/>
        <v/>
      </c>
      <c r="D3234" t="str">
        <f t="shared" si="251"/>
        <v/>
      </c>
      <c r="E3234" t="str">
        <f t="shared" si="252"/>
        <v/>
      </c>
      <c r="F3234" t="str">
        <f>IF(D3234="","",INDEX(Knutepunkter!$B:$B,D3234+1))</f>
        <v/>
      </c>
      <c r="G3234" t="str">
        <f>IF(D3234="","",INDEX(Knutepunkter!$C:$C,D3234+1))</f>
        <v/>
      </c>
      <c r="H3234" t="str">
        <f>IF(D3234="","",INDEX(Knutepunkter!$D:$D,D3234+1))</f>
        <v/>
      </c>
      <c r="I3234" t="str">
        <f>IF(E3234="","",INDEX(Knutepunkter!$B:$B,E3234+1))</f>
        <v/>
      </c>
      <c r="J3234" t="str">
        <f>IF(E3234="","",INDEX(Knutepunkter!$C:$C,E3234+1))</f>
        <v/>
      </c>
      <c r="K3234" t="str">
        <f>IF(E3234="","",INDEX(Knutepunkter!$D:$D,E3234+1))</f>
        <v/>
      </c>
      <c r="L3234" t="str">
        <f t="shared" si="253"/>
        <v/>
      </c>
      <c r="M3234" t="str">
        <f t="shared" si="254"/>
        <v/>
      </c>
    </row>
    <row r="3235" spans="1:13" x14ac:dyDescent="0.3">
      <c r="A3235" t="str">
        <f>Segmenter!A3235</f>
        <v/>
      </c>
      <c r="B3235" t="str">
        <f>Segmenter!B3235</f>
        <v/>
      </c>
      <c r="C3235" t="str">
        <f t="shared" si="250"/>
        <v/>
      </c>
      <c r="D3235" t="str">
        <f t="shared" si="251"/>
        <v/>
      </c>
      <c r="E3235" t="str">
        <f t="shared" si="252"/>
        <v/>
      </c>
      <c r="F3235" t="str">
        <f>IF(D3235="","",INDEX(Knutepunkter!$B:$B,D3235+1))</f>
        <v/>
      </c>
      <c r="G3235" t="str">
        <f>IF(D3235="","",INDEX(Knutepunkter!$C:$C,D3235+1))</f>
        <v/>
      </c>
      <c r="H3235" t="str">
        <f>IF(D3235="","",INDEX(Knutepunkter!$D:$D,D3235+1))</f>
        <v/>
      </c>
      <c r="I3235" t="str">
        <f>IF(E3235="","",INDEX(Knutepunkter!$B:$B,E3235+1))</f>
        <v/>
      </c>
      <c r="J3235" t="str">
        <f>IF(E3235="","",INDEX(Knutepunkter!$C:$C,E3235+1))</f>
        <v/>
      </c>
      <c r="K3235" t="str">
        <f>IF(E3235="","",INDEX(Knutepunkter!$D:$D,E3235+1))</f>
        <v/>
      </c>
      <c r="L3235" t="str">
        <f t="shared" si="253"/>
        <v/>
      </c>
      <c r="M3235" t="str">
        <f t="shared" si="254"/>
        <v/>
      </c>
    </row>
    <row r="3236" spans="1:13" x14ac:dyDescent="0.3">
      <c r="A3236" t="str">
        <f>Segmenter!A3236</f>
        <v/>
      </c>
      <c r="B3236" t="str">
        <f>Segmenter!B3236</f>
        <v/>
      </c>
      <c r="C3236" t="str">
        <f t="shared" si="250"/>
        <v/>
      </c>
      <c r="D3236" t="str">
        <f t="shared" si="251"/>
        <v/>
      </c>
      <c r="E3236" t="str">
        <f t="shared" si="252"/>
        <v/>
      </c>
      <c r="F3236" t="str">
        <f>IF(D3236="","",INDEX(Knutepunkter!$B:$B,D3236+1))</f>
        <v/>
      </c>
      <c r="G3236" t="str">
        <f>IF(D3236="","",INDEX(Knutepunkter!$C:$C,D3236+1))</f>
        <v/>
      </c>
      <c r="H3236" t="str">
        <f>IF(D3236="","",INDEX(Knutepunkter!$D:$D,D3236+1))</f>
        <v/>
      </c>
      <c r="I3236" t="str">
        <f>IF(E3236="","",INDEX(Knutepunkter!$B:$B,E3236+1))</f>
        <v/>
      </c>
      <c r="J3236" t="str">
        <f>IF(E3236="","",INDEX(Knutepunkter!$C:$C,E3236+1))</f>
        <v/>
      </c>
      <c r="K3236" t="str">
        <f>IF(E3236="","",INDEX(Knutepunkter!$D:$D,E3236+1))</f>
        <v/>
      </c>
      <c r="L3236" t="str">
        <f t="shared" si="253"/>
        <v/>
      </c>
      <c r="M3236" t="str">
        <f t="shared" si="254"/>
        <v/>
      </c>
    </row>
    <row r="3237" spans="1:13" x14ac:dyDescent="0.3">
      <c r="A3237" t="str">
        <f>Segmenter!A3237</f>
        <v/>
      </c>
      <c r="B3237" t="str">
        <f>Segmenter!B3237</f>
        <v/>
      </c>
      <c r="C3237" t="str">
        <f t="shared" si="250"/>
        <v/>
      </c>
      <c r="D3237" t="str">
        <f t="shared" si="251"/>
        <v/>
      </c>
      <c r="E3237" t="str">
        <f t="shared" si="252"/>
        <v/>
      </c>
      <c r="F3237" t="str">
        <f>IF(D3237="","",INDEX(Knutepunkter!$B:$B,D3237+1))</f>
        <v/>
      </c>
      <c r="G3237" t="str">
        <f>IF(D3237="","",INDEX(Knutepunkter!$C:$C,D3237+1))</f>
        <v/>
      </c>
      <c r="H3237" t="str">
        <f>IF(D3237="","",INDEX(Knutepunkter!$D:$D,D3237+1))</f>
        <v/>
      </c>
      <c r="I3237" t="str">
        <f>IF(E3237="","",INDEX(Knutepunkter!$B:$B,E3237+1))</f>
        <v/>
      </c>
      <c r="J3237" t="str">
        <f>IF(E3237="","",INDEX(Knutepunkter!$C:$C,E3237+1))</f>
        <v/>
      </c>
      <c r="K3237" t="str">
        <f>IF(E3237="","",INDEX(Knutepunkter!$D:$D,E3237+1))</f>
        <v/>
      </c>
      <c r="L3237" t="str">
        <f t="shared" si="253"/>
        <v/>
      </c>
      <c r="M3237" t="str">
        <f t="shared" si="254"/>
        <v/>
      </c>
    </row>
    <row r="3238" spans="1:13" x14ac:dyDescent="0.3">
      <c r="A3238" t="str">
        <f>Segmenter!A3238</f>
        <v/>
      </c>
      <c r="B3238" t="str">
        <f>Segmenter!B3238</f>
        <v/>
      </c>
      <c r="C3238" t="str">
        <f t="shared" si="250"/>
        <v/>
      </c>
      <c r="D3238" t="str">
        <f t="shared" si="251"/>
        <v/>
      </c>
      <c r="E3238" t="str">
        <f t="shared" si="252"/>
        <v/>
      </c>
      <c r="F3238" t="str">
        <f>IF(D3238="","",INDEX(Knutepunkter!$B:$B,D3238+1))</f>
        <v/>
      </c>
      <c r="G3238" t="str">
        <f>IF(D3238="","",INDEX(Knutepunkter!$C:$C,D3238+1))</f>
        <v/>
      </c>
      <c r="H3238" t="str">
        <f>IF(D3238="","",INDEX(Knutepunkter!$D:$D,D3238+1))</f>
        <v/>
      </c>
      <c r="I3238" t="str">
        <f>IF(E3238="","",INDEX(Knutepunkter!$B:$B,E3238+1))</f>
        <v/>
      </c>
      <c r="J3238" t="str">
        <f>IF(E3238="","",INDEX(Knutepunkter!$C:$C,E3238+1))</f>
        <v/>
      </c>
      <c r="K3238" t="str">
        <f>IF(E3238="","",INDEX(Knutepunkter!$D:$D,E3238+1))</f>
        <v/>
      </c>
      <c r="L3238" t="str">
        <f t="shared" si="253"/>
        <v/>
      </c>
      <c r="M3238" t="str">
        <f t="shared" si="254"/>
        <v/>
      </c>
    </row>
    <row r="3239" spans="1:13" x14ac:dyDescent="0.3">
      <c r="A3239" t="str">
        <f>Segmenter!A3239</f>
        <v/>
      </c>
      <c r="B3239" t="str">
        <f>Segmenter!B3239</f>
        <v/>
      </c>
      <c r="C3239" t="str">
        <f t="shared" si="250"/>
        <v/>
      </c>
      <c r="D3239" t="str">
        <f t="shared" si="251"/>
        <v/>
      </c>
      <c r="E3239" t="str">
        <f t="shared" si="252"/>
        <v/>
      </c>
      <c r="F3239" t="str">
        <f>IF(D3239="","",INDEX(Knutepunkter!$B:$B,D3239+1))</f>
        <v/>
      </c>
      <c r="G3239" t="str">
        <f>IF(D3239="","",INDEX(Knutepunkter!$C:$C,D3239+1))</f>
        <v/>
      </c>
      <c r="H3239" t="str">
        <f>IF(D3239="","",INDEX(Knutepunkter!$D:$D,D3239+1))</f>
        <v/>
      </c>
      <c r="I3239" t="str">
        <f>IF(E3239="","",INDEX(Knutepunkter!$B:$B,E3239+1))</f>
        <v/>
      </c>
      <c r="J3239" t="str">
        <f>IF(E3239="","",INDEX(Knutepunkter!$C:$C,E3239+1))</f>
        <v/>
      </c>
      <c r="K3239" t="str">
        <f>IF(E3239="","",INDEX(Knutepunkter!$D:$D,E3239+1))</f>
        <v/>
      </c>
      <c r="L3239" t="str">
        <f t="shared" si="253"/>
        <v/>
      </c>
      <c r="M3239" t="str">
        <f t="shared" si="254"/>
        <v/>
      </c>
    </row>
    <row r="3240" spans="1:13" x14ac:dyDescent="0.3">
      <c r="A3240" t="str">
        <f>Segmenter!A3240</f>
        <v/>
      </c>
      <c r="B3240" t="str">
        <f>Segmenter!B3240</f>
        <v/>
      </c>
      <c r="C3240" t="str">
        <f t="shared" si="250"/>
        <v/>
      </c>
      <c r="D3240" t="str">
        <f t="shared" si="251"/>
        <v/>
      </c>
      <c r="E3240" t="str">
        <f t="shared" si="252"/>
        <v/>
      </c>
      <c r="F3240" t="str">
        <f>IF(D3240="","",INDEX(Knutepunkter!$B:$B,D3240+1))</f>
        <v/>
      </c>
      <c r="G3240" t="str">
        <f>IF(D3240="","",INDEX(Knutepunkter!$C:$C,D3240+1))</f>
        <v/>
      </c>
      <c r="H3240" t="str">
        <f>IF(D3240="","",INDEX(Knutepunkter!$D:$D,D3240+1))</f>
        <v/>
      </c>
      <c r="I3240" t="str">
        <f>IF(E3240="","",INDEX(Knutepunkter!$B:$B,E3240+1))</f>
        <v/>
      </c>
      <c r="J3240" t="str">
        <f>IF(E3240="","",INDEX(Knutepunkter!$C:$C,E3240+1))</f>
        <v/>
      </c>
      <c r="K3240" t="str">
        <f>IF(E3240="","",INDEX(Knutepunkter!$D:$D,E3240+1))</f>
        <v/>
      </c>
      <c r="L3240" t="str">
        <f t="shared" si="253"/>
        <v/>
      </c>
      <c r="M3240" t="str">
        <f t="shared" si="254"/>
        <v/>
      </c>
    </row>
    <row r="3241" spans="1:13" x14ac:dyDescent="0.3">
      <c r="A3241" t="str">
        <f>Segmenter!A3241</f>
        <v/>
      </c>
      <c r="B3241" t="str">
        <f>Segmenter!B3241</f>
        <v/>
      </c>
      <c r="C3241" t="str">
        <f t="shared" si="250"/>
        <v/>
      </c>
      <c r="D3241" t="str">
        <f t="shared" si="251"/>
        <v/>
      </c>
      <c r="E3241" t="str">
        <f t="shared" si="252"/>
        <v/>
      </c>
      <c r="F3241" t="str">
        <f>IF(D3241="","",INDEX(Knutepunkter!$B:$B,D3241+1))</f>
        <v/>
      </c>
      <c r="G3241" t="str">
        <f>IF(D3241="","",INDEX(Knutepunkter!$C:$C,D3241+1))</f>
        <v/>
      </c>
      <c r="H3241" t="str">
        <f>IF(D3241="","",INDEX(Knutepunkter!$D:$D,D3241+1))</f>
        <v/>
      </c>
      <c r="I3241" t="str">
        <f>IF(E3241="","",INDEX(Knutepunkter!$B:$B,E3241+1))</f>
        <v/>
      </c>
      <c r="J3241" t="str">
        <f>IF(E3241="","",INDEX(Knutepunkter!$C:$C,E3241+1))</f>
        <v/>
      </c>
      <c r="K3241" t="str">
        <f>IF(E3241="","",INDEX(Knutepunkter!$D:$D,E3241+1))</f>
        <v/>
      </c>
      <c r="L3241" t="str">
        <f t="shared" si="253"/>
        <v/>
      </c>
      <c r="M3241" t="str">
        <f t="shared" si="254"/>
        <v/>
      </c>
    </row>
    <row r="3242" spans="1:13" x14ac:dyDescent="0.3">
      <c r="A3242" t="str">
        <f>Segmenter!A3242</f>
        <v/>
      </c>
      <c r="B3242" t="str">
        <f>Segmenter!B3242</f>
        <v/>
      </c>
      <c r="C3242" t="str">
        <f t="shared" si="250"/>
        <v/>
      </c>
      <c r="D3242" t="str">
        <f t="shared" si="251"/>
        <v/>
      </c>
      <c r="E3242" t="str">
        <f t="shared" si="252"/>
        <v/>
      </c>
      <c r="F3242" t="str">
        <f>IF(D3242="","",INDEX(Knutepunkter!$B:$B,D3242+1))</f>
        <v/>
      </c>
      <c r="G3242" t="str">
        <f>IF(D3242="","",INDEX(Knutepunkter!$C:$C,D3242+1))</f>
        <v/>
      </c>
      <c r="H3242" t="str">
        <f>IF(D3242="","",INDEX(Knutepunkter!$D:$D,D3242+1))</f>
        <v/>
      </c>
      <c r="I3242" t="str">
        <f>IF(E3242="","",INDEX(Knutepunkter!$B:$B,E3242+1))</f>
        <v/>
      </c>
      <c r="J3242" t="str">
        <f>IF(E3242="","",INDEX(Knutepunkter!$C:$C,E3242+1))</f>
        <v/>
      </c>
      <c r="K3242" t="str">
        <f>IF(E3242="","",INDEX(Knutepunkter!$D:$D,E3242+1))</f>
        <v/>
      </c>
      <c r="L3242" t="str">
        <f t="shared" si="253"/>
        <v/>
      </c>
      <c r="M3242" t="str">
        <f t="shared" si="254"/>
        <v/>
      </c>
    </row>
    <row r="3243" spans="1:13" x14ac:dyDescent="0.3">
      <c r="A3243" t="str">
        <f>Segmenter!A3243</f>
        <v/>
      </c>
      <c r="B3243" t="str">
        <f>Segmenter!B3243</f>
        <v/>
      </c>
      <c r="C3243" t="str">
        <f t="shared" si="250"/>
        <v/>
      </c>
      <c r="D3243" t="str">
        <f t="shared" si="251"/>
        <v/>
      </c>
      <c r="E3243" t="str">
        <f t="shared" si="252"/>
        <v/>
      </c>
      <c r="F3243" t="str">
        <f>IF(D3243="","",INDEX(Knutepunkter!$B:$B,D3243+1))</f>
        <v/>
      </c>
      <c r="G3243" t="str">
        <f>IF(D3243="","",INDEX(Knutepunkter!$C:$C,D3243+1))</f>
        <v/>
      </c>
      <c r="H3243" t="str">
        <f>IF(D3243="","",INDEX(Knutepunkter!$D:$D,D3243+1))</f>
        <v/>
      </c>
      <c r="I3243" t="str">
        <f>IF(E3243="","",INDEX(Knutepunkter!$B:$B,E3243+1))</f>
        <v/>
      </c>
      <c r="J3243" t="str">
        <f>IF(E3243="","",INDEX(Knutepunkter!$C:$C,E3243+1))</f>
        <v/>
      </c>
      <c r="K3243" t="str">
        <f>IF(E3243="","",INDEX(Knutepunkter!$D:$D,E3243+1))</f>
        <v/>
      </c>
      <c r="L3243" t="str">
        <f t="shared" si="253"/>
        <v/>
      </c>
      <c r="M3243" t="str">
        <f t="shared" si="254"/>
        <v/>
      </c>
    </row>
    <row r="3244" spans="1:13" x14ac:dyDescent="0.3">
      <c r="A3244" t="str">
        <f>Segmenter!A3244</f>
        <v/>
      </c>
      <c r="B3244" t="str">
        <f>Segmenter!B3244</f>
        <v/>
      </c>
      <c r="C3244" t="str">
        <f t="shared" si="250"/>
        <v/>
      </c>
      <c r="D3244" t="str">
        <f t="shared" si="251"/>
        <v/>
      </c>
      <c r="E3244" t="str">
        <f t="shared" si="252"/>
        <v/>
      </c>
      <c r="F3244" t="str">
        <f>IF(D3244="","",INDEX(Knutepunkter!$B:$B,D3244+1))</f>
        <v/>
      </c>
      <c r="G3244" t="str">
        <f>IF(D3244="","",INDEX(Knutepunkter!$C:$C,D3244+1))</f>
        <v/>
      </c>
      <c r="H3244" t="str">
        <f>IF(D3244="","",INDEX(Knutepunkter!$D:$D,D3244+1))</f>
        <v/>
      </c>
      <c r="I3244" t="str">
        <f>IF(E3244="","",INDEX(Knutepunkter!$B:$B,E3244+1))</f>
        <v/>
      </c>
      <c r="J3244" t="str">
        <f>IF(E3244="","",INDEX(Knutepunkter!$C:$C,E3244+1))</f>
        <v/>
      </c>
      <c r="K3244" t="str">
        <f>IF(E3244="","",INDEX(Knutepunkter!$D:$D,E3244+1))</f>
        <v/>
      </c>
      <c r="L3244" t="str">
        <f t="shared" si="253"/>
        <v/>
      </c>
      <c r="M3244" t="str">
        <f t="shared" si="254"/>
        <v/>
      </c>
    </row>
    <row r="3245" spans="1:13" x14ac:dyDescent="0.3">
      <c r="A3245" t="str">
        <f>Segmenter!A3245</f>
        <v/>
      </c>
      <c r="B3245" t="str">
        <f>Segmenter!B3245</f>
        <v/>
      </c>
      <c r="C3245" t="str">
        <f t="shared" si="250"/>
        <v/>
      </c>
      <c r="D3245" t="str">
        <f t="shared" si="251"/>
        <v/>
      </c>
      <c r="E3245" t="str">
        <f t="shared" si="252"/>
        <v/>
      </c>
      <c r="F3245" t="str">
        <f>IF(D3245="","",INDEX(Knutepunkter!$B:$B,D3245+1))</f>
        <v/>
      </c>
      <c r="G3245" t="str">
        <f>IF(D3245="","",INDEX(Knutepunkter!$C:$C,D3245+1))</f>
        <v/>
      </c>
      <c r="H3245" t="str">
        <f>IF(D3245="","",INDEX(Knutepunkter!$D:$D,D3245+1))</f>
        <v/>
      </c>
      <c r="I3245" t="str">
        <f>IF(E3245="","",INDEX(Knutepunkter!$B:$B,E3245+1))</f>
        <v/>
      </c>
      <c r="J3245" t="str">
        <f>IF(E3245="","",INDEX(Knutepunkter!$C:$C,E3245+1))</f>
        <v/>
      </c>
      <c r="K3245" t="str">
        <f>IF(E3245="","",INDEX(Knutepunkter!$D:$D,E3245+1))</f>
        <v/>
      </c>
      <c r="L3245" t="str">
        <f t="shared" si="253"/>
        <v/>
      </c>
      <c r="M3245" t="str">
        <f t="shared" si="254"/>
        <v/>
      </c>
    </row>
    <row r="3246" spans="1:13" x14ac:dyDescent="0.3">
      <c r="A3246" t="str">
        <f>Segmenter!A3246</f>
        <v/>
      </c>
      <c r="B3246" t="str">
        <f>Segmenter!B3246</f>
        <v/>
      </c>
      <c r="C3246" t="str">
        <f t="shared" si="250"/>
        <v/>
      </c>
      <c r="D3246" t="str">
        <f t="shared" si="251"/>
        <v/>
      </c>
      <c r="E3246" t="str">
        <f t="shared" si="252"/>
        <v/>
      </c>
      <c r="F3246" t="str">
        <f>IF(D3246="","",INDEX(Knutepunkter!$B:$B,D3246+1))</f>
        <v/>
      </c>
      <c r="G3246" t="str">
        <f>IF(D3246="","",INDEX(Knutepunkter!$C:$C,D3246+1))</f>
        <v/>
      </c>
      <c r="H3246" t="str">
        <f>IF(D3246="","",INDEX(Knutepunkter!$D:$D,D3246+1))</f>
        <v/>
      </c>
      <c r="I3246" t="str">
        <f>IF(E3246="","",INDEX(Knutepunkter!$B:$B,E3246+1))</f>
        <v/>
      </c>
      <c r="J3246" t="str">
        <f>IF(E3246="","",INDEX(Knutepunkter!$C:$C,E3246+1))</f>
        <v/>
      </c>
      <c r="K3246" t="str">
        <f>IF(E3246="","",INDEX(Knutepunkter!$D:$D,E3246+1))</f>
        <v/>
      </c>
      <c r="L3246" t="str">
        <f t="shared" si="253"/>
        <v/>
      </c>
      <c r="M3246" t="str">
        <f t="shared" si="254"/>
        <v/>
      </c>
    </row>
    <row r="3247" spans="1:13" x14ac:dyDescent="0.3">
      <c r="A3247" t="str">
        <f>Segmenter!A3247</f>
        <v/>
      </c>
      <c r="B3247" t="str">
        <f>Segmenter!B3247</f>
        <v/>
      </c>
      <c r="C3247" t="str">
        <f t="shared" si="250"/>
        <v/>
      </c>
      <c r="D3247" t="str">
        <f t="shared" si="251"/>
        <v/>
      </c>
      <c r="E3247" t="str">
        <f t="shared" si="252"/>
        <v/>
      </c>
      <c r="F3247" t="str">
        <f>IF(D3247="","",INDEX(Knutepunkter!$B:$B,D3247+1))</f>
        <v/>
      </c>
      <c r="G3247" t="str">
        <f>IF(D3247="","",INDEX(Knutepunkter!$C:$C,D3247+1))</f>
        <v/>
      </c>
      <c r="H3247" t="str">
        <f>IF(D3247="","",INDEX(Knutepunkter!$D:$D,D3247+1))</f>
        <v/>
      </c>
      <c r="I3247" t="str">
        <f>IF(E3247="","",INDEX(Knutepunkter!$B:$B,E3247+1))</f>
        <v/>
      </c>
      <c r="J3247" t="str">
        <f>IF(E3247="","",INDEX(Knutepunkter!$C:$C,E3247+1))</f>
        <v/>
      </c>
      <c r="K3247" t="str">
        <f>IF(E3247="","",INDEX(Knutepunkter!$D:$D,E3247+1))</f>
        <v/>
      </c>
      <c r="L3247" t="str">
        <f t="shared" si="253"/>
        <v/>
      </c>
      <c r="M3247" t="str">
        <f t="shared" si="254"/>
        <v/>
      </c>
    </row>
    <row r="3248" spans="1:13" x14ac:dyDescent="0.3">
      <c r="A3248" t="str">
        <f>Segmenter!A3248</f>
        <v/>
      </c>
      <c r="B3248" t="str">
        <f>Segmenter!B3248</f>
        <v/>
      </c>
      <c r="C3248" t="str">
        <f t="shared" si="250"/>
        <v/>
      </c>
      <c r="D3248" t="str">
        <f t="shared" si="251"/>
        <v/>
      </c>
      <c r="E3248" t="str">
        <f t="shared" si="252"/>
        <v/>
      </c>
      <c r="F3248" t="str">
        <f>IF(D3248="","",INDEX(Knutepunkter!$B:$B,D3248+1))</f>
        <v/>
      </c>
      <c r="G3248" t="str">
        <f>IF(D3248="","",INDEX(Knutepunkter!$C:$C,D3248+1))</f>
        <v/>
      </c>
      <c r="H3248" t="str">
        <f>IF(D3248="","",INDEX(Knutepunkter!$D:$D,D3248+1))</f>
        <v/>
      </c>
      <c r="I3248" t="str">
        <f>IF(E3248="","",INDEX(Knutepunkter!$B:$B,E3248+1))</f>
        <v/>
      </c>
      <c r="J3248" t="str">
        <f>IF(E3248="","",INDEX(Knutepunkter!$C:$C,E3248+1))</f>
        <v/>
      </c>
      <c r="K3248" t="str">
        <f>IF(E3248="","",INDEX(Knutepunkter!$D:$D,E3248+1))</f>
        <v/>
      </c>
      <c r="L3248" t="str">
        <f t="shared" si="253"/>
        <v/>
      </c>
      <c r="M3248" t="str">
        <f t="shared" si="254"/>
        <v/>
      </c>
    </row>
    <row r="3249" spans="1:13" x14ac:dyDescent="0.3">
      <c r="A3249" t="str">
        <f>Segmenter!A3249</f>
        <v/>
      </c>
      <c r="B3249" t="str">
        <f>Segmenter!B3249</f>
        <v/>
      </c>
      <c r="C3249" t="str">
        <f t="shared" si="250"/>
        <v/>
      </c>
      <c r="D3249" t="str">
        <f t="shared" si="251"/>
        <v/>
      </c>
      <c r="E3249" t="str">
        <f t="shared" si="252"/>
        <v/>
      </c>
      <c r="F3249" t="str">
        <f>IF(D3249="","",INDEX(Knutepunkter!$B:$B,D3249+1))</f>
        <v/>
      </c>
      <c r="G3249" t="str">
        <f>IF(D3249="","",INDEX(Knutepunkter!$C:$C,D3249+1))</f>
        <v/>
      </c>
      <c r="H3249" t="str">
        <f>IF(D3249="","",INDEX(Knutepunkter!$D:$D,D3249+1))</f>
        <v/>
      </c>
      <c r="I3249" t="str">
        <f>IF(E3249="","",INDEX(Knutepunkter!$B:$B,E3249+1))</f>
        <v/>
      </c>
      <c r="J3249" t="str">
        <f>IF(E3249="","",INDEX(Knutepunkter!$C:$C,E3249+1))</f>
        <v/>
      </c>
      <c r="K3249" t="str">
        <f>IF(E3249="","",INDEX(Knutepunkter!$D:$D,E3249+1))</f>
        <v/>
      </c>
      <c r="L3249" t="str">
        <f t="shared" si="253"/>
        <v/>
      </c>
      <c r="M3249" t="str">
        <f t="shared" si="254"/>
        <v/>
      </c>
    </row>
    <row r="3250" spans="1:13" x14ac:dyDescent="0.3">
      <c r="A3250" t="str">
        <f>Segmenter!A3250</f>
        <v/>
      </c>
      <c r="B3250" t="str">
        <f>Segmenter!B3250</f>
        <v/>
      </c>
      <c r="C3250" t="str">
        <f t="shared" si="250"/>
        <v/>
      </c>
      <c r="D3250" t="str">
        <f t="shared" si="251"/>
        <v/>
      </c>
      <c r="E3250" t="str">
        <f t="shared" si="252"/>
        <v/>
      </c>
      <c r="F3250" t="str">
        <f>IF(D3250="","",INDEX(Knutepunkter!$B:$B,D3250+1))</f>
        <v/>
      </c>
      <c r="G3250" t="str">
        <f>IF(D3250="","",INDEX(Knutepunkter!$C:$C,D3250+1))</f>
        <v/>
      </c>
      <c r="H3250" t="str">
        <f>IF(D3250="","",INDEX(Knutepunkter!$D:$D,D3250+1))</f>
        <v/>
      </c>
      <c r="I3250" t="str">
        <f>IF(E3250="","",INDEX(Knutepunkter!$B:$B,E3250+1))</f>
        <v/>
      </c>
      <c r="J3250" t="str">
        <f>IF(E3250="","",INDEX(Knutepunkter!$C:$C,E3250+1))</f>
        <v/>
      </c>
      <c r="K3250" t="str">
        <f>IF(E3250="","",INDEX(Knutepunkter!$D:$D,E3250+1))</f>
        <v/>
      </c>
      <c r="L3250" t="str">
        <f t="shared" si="253"/>
        <v/>
      </c>
      <c r="M3250" t="str">
        <f t="shared" si="254"/>
        <v/>
      </c>
    </row>
    <row r="3251" spans="1:13" x14ac:dyDescent="0.3">
      <c r="A3251" t="str">
        <f>Segmenter!A3251</f>
        <v/>
      </c>
      <c r="B3251" t="str">
        <f>Segmenter!B3251</f>
        <v/>
      </c>
      <c r="C3251" t="str">
        <f t="shared" si="250"/>
        <v/>
      </c>
      <c r="D3251" t="str">
        <f t="shared" si="251"/>
        <v/>
      </c>
      <c r="E3251" t="str">
        <f t="shared" si="252"/>
        <v/>
      </c>
      <c r="F3251" t="str">
        <f>IF(D3251="","",INDEX(Knutepunkter!$B:$B,D3251+1))</f>
        <v/>
      </c>
      <c r="G3251" t="str">
        <f>IF(D3251="","",INDEX(Knutepunkter!$C:$C,D3251+1))</f>
        <v/>
      </c>
      <c r="H3251" t="str">
        <f>IF(D3251="","",INDEX(Knutepunkter!$D:$D,D3251+1))</f>
        <v/>
      </c>
      <c r="I3251" t="str">
        <f>IF(E3251="","",INDEX(Knutepunkter!$B:$B,E3251+1))</f>
        <v/>
      </c>
      <c r="J3251" t="str">
        <f>IF(E3251="","",INDEX(Knutepunkter!$C:$C,E3251+1))</f>
        <v/>
      </c>
      <c r="K3251" t="str">
        <f>IF(E3251="","",INDEX(Knutepunkter!$D:$D,E3251+1))</f>
        <v/>
      </c>
      <c r="L3251" t="str">
        <f t="shared" si="253"/>
        <v/>
      </c>
      <c r="M3251" t="str">
        <f t="shared" si="254"/>
        <v/>
      </c>
    </row>
    <row r="3252" spans="1:13" x14ac:dyDescent="0.3">
      <c r="A3252" t="str">
        <f>Segmenter!A3252</f>
        <v/>
      </c>
      <c r="B3252" t="str">
        <f>Segmenter!B3252</f>
        <v/>
      </c>
      <c r="C3252" t="str">
        <f t="shared" si="250"/>
        <v/>
      </c>
      <c r="D3252" t="str">
        <f t="shared" si="251"/>
        <v/>
      </c>
      <c r="E3252" t="str">
        <f t="shared" si="252"/>
        <v/>
      </c>
      <c r="F3252" t="str">
        <f>IF(D3252="","",INDEX(Knutepunkter!$B:$B,D3252+1))</f>
        <v/>
      </c>
      <c r="G3252" t="str">
        <f>IF(D3252="","",INDEX(Knutepunkter!$C:$C,D3252+1))</f>
        <v/>
      </c>
      <c r="H3252" t="str">
        <f>IF(D3252="","",INDEX(Knutepunkter!$D:$D,D3252+1))</f>
        <v/>
      </c>
      <c r="I3252" t="str">
        <f>IF(E3252="","",INDEX(Knutepunkter!$B:$B,E3252+1))</f>
        <v/>
      </c>
      <c r="J3252" t="str">
        <f>IF(E3252="","",INDEX(Knutepunkter!$C:$C,E3252+1))</f>
        <v/>
      </c>
      <c r="K3252" t="str">
        <f>IF(E3252="","",INDEX(Knutepunkter!$D:$D,E3252+1))</f>
        <v/>
      </c>
      <c r="L3252" t="str">
        <f t="shared" si="253"/>
        <v/>
      </c>
      <c r="M3252" t="str">
        <f t="shared" si="254"/>
        <v/>
      </c>
    </row>
    <row r="3253" spans="1:13" x14ac:dyDescent="0.3">
      <c r="A3253" t="str">
        <f>Segmenter!A3253</f>
        <v/>
      </c>
      <c r="B3253" t="str">
        <f>Segmenter!B3253</f>
        <v/>
      </c>
      <c r="C3253" t="str">
        <f t="shared" si="250"/>
        <v/>
      </c>
      <c r="D3253" t="str">
        <f t="shared" si="251"/>
        <v/>
      </c>
      <c r="E3253" t="str">
        <f t="shared" si="252"/>
        <v/>
      </c>
      <c r="F3253" t="str">
        <f>IF(D3253="","",INDEX(Knutepunkter!$B:$B,D3253+1))</f>
        <v/>
      </c>
      <c r="G3253" t="str">
        <f>IF(D3253="","",INDEX(Knutepunkter!$C:$C,D3253+1))</f>
        <v/>
      </c>
      <c r="H3253" t="str">
        <f>IF(D3253="","",INDEX(Knutepunkter!$D:$D,D3253+1))</f>
        <v/>
      </c>
      <c r="I3253" t="str">
        <f>IF(E3253="","",INDEX(Knutepunkter!$B:$B,E3253+1))</f>
        <v/>
      </c>
      <c r="J3253" t="str">
        <f>IF(E3253="","",INDEX(Knutepunkter!$C:$C,E3253+1))</f>
        <v/>
      </c>
      <c r="K3253" t="str">
        <f>IF(E3253="","",INDEX(Knutepunkter!$D:$D,E3253+1))</f>
        <v/>
      </c>
      <c r="L3253" t="str">
        <f t="shared" si="253"/>
        <v/>
      </c>
      <c r="M3253" t="str">
        <f t="shared" si="254"/>
        <v/>
      </c>
    </row>
    <row r="3254" spans="1:13" x14ac:dyDescent="0.3">
      <c r="A3254" t="str">
        <f>Segmenter!A3254</f>
        <v/>
      </c>
      <c r="B3254" t="str">
        <f>Segmenter!B3254</f>
        <v/>
      </c>
      <c r="C3254" t="str">
        <f t="shared" si="250"/>
        <v/>
      </c>
      <c r="D3254" t="str">
        <f t="shared" si="251"/>
        <v/>
      </c>
      <c r="E3254" t="str">
        <f t="shared" si="252"/>
        <v/>
      </c>
      <c r="F3254" t="str">
        <f>IF(D3254="","",INDEX(Knutepunkter!$B:$B,D3254+1))</f>
        <v/>
      </c>
      <c r="G3254" t="str">
        <f>IF(D3254="","",INDEX(Knutepunkter!$C:$C,D3254+1))</f>
        <v/>
      </c>
      <c r="H3254" t="str">
        <f>IF(D3254="","",INDEX(Knutepunkter!$D:$D,D3254+1))</f>
        <v/>
      </c>
      <c r="I3254" t="str">
        <f>IF(E3254="","",INDEX(Knutepunkter!$B:$B,E3254+1))</f>
        <v/>
      </c>
      <c r="J3254" t="str">
        <f>IF(E3254="","",INDEX(Knutepunkter!$C:$C,E3254+1))</f>
        <v/>
      </c>
      <c r="K3254" t="str">
        <f>IF(E3254="","",INDEX(Knutepunkter!$D:$D,E3254+1))</f>
        <v/>
      </c>
      <c r="L3254" t="str">
        <f t="shared" si="253"/>
        <v/>
      </c>
      <c r="M3254" t="str">
        <f t="shared" si="254"/>
        <v/>
      </c>
    </row>
    <row r="3255" spans="1:13" x14ac:dyDescent="0.3">
      <c r="A3255" t="str">
        <f>Segmenter!A3255</f>
        <v/>
      </c>
      <c r="B3255" t="str">
        <f>Segmenter!B3255</f>
        <v/>
      </c>
      <c r="C3255" t="str">
        <f t="shared" si="250"/>
        <v/>
      </c>
      <c r="D3255" t="str">
        <f t="shared" si="251"/>
        <v/>
      </c>
      <c r="E3255" t="str">
        <f t="shared" si="252"/>
        <v/>
      </c>
      <c r="F3255" t="str">
        <f>IF(D3255="","",INDEX(Knutepunkter!$B:$B,D3255+1))</f>
        <v/>
      </c>
      <c r="G3255" t="str">
        <f>IF(D3255="","",INDEX(Knutepunkter!$C:$C,D3255+1))</f>
        <v/>
      </c>
      <c r="H3255" t="str">
        <f>IF(D3255="","",INDEX(Knutepunkter!$D:$D,D3255+1))</f>
        <v/>
      </c>
      <c r="I3255" t="str">
        <f>IF(E3255="","",INDEX(Knutepunkter!$B:$B,E3255+1))</f>
        <v/>
      </c>
      <c r="J3255" t="str">
        <f>IF(E3255="","",INDEX(Knutepunkter!$C:$C,E3255+1))</f>
        <v/>
      </c>
      <c r="K3255" t="str">
        <f>IF(E3255="","",INDEX(Knutepunkter!$D:$D,E3255+1))</f>
        <v/>
      </c>
      <c r="L3255" t="str">
        <f t="shared" si="253"/>
        <v/>
      </c>
      <c r="M3255" t="str">
        <f t="shared" si="254"/>
        <v/>
      </c>
    </row>
    <row r="3256" spans="1:13" x14ac:dyDescent="0.3">
      <c r="A3256" t="str">
        <f>Segmenter!A3256</f>
        <v/>
      </c>
      <c r="B3256" t="str">
        <f>Segmenter!B3256</f>
        <v/>
      </c>
      <c r="C3256" t="str">
        <f t="shared" si="250"/>
        <v/>
      </c>
      <c r="D3256" t="str">
        <f t="shared" si="251"/>
        <v/>
      </c>
      <c r="E3256" t="str">
        <f t="shared" si="252"/>
        <v/>
      </c>
      <c r="F3256" t="str">
        <f>IF(D3256="","",INDEX(Knutepunkter!$B:$B,D3256+1))</f>
        <v/>
      </c>
      <c r="G3256" t="str">
        <f>IF(D3256="","",INDEX(Knutepunkter!$C:$C,D3256+1))</f>
        <v/>
      </c>
      <c r="H3256" t="str">
        <f>IF(D3256="","",INDEX(Knutepunkter!$D:$D,D3256+1))</f>
        <v/>
      </c>
      <c r="I3256" t="str">
        <f>IF(E3256="","",INDEX(Knutepunkter!$B:$B,E3256+1))</f>
        <v/>
      </c>
      <c r="J3256" t="str">
        <f>IF(E3256="","",INDEX(Knutepunkter!$C:$C,E3256+1))</f>
        <v/>
      </c>
      <c r="K3256" t="str">
        <f>IF(E3256="","",INDEX(Knutepunkter!$D:$D,E3256+1))</f>
        <v/>
      </c>
      <c r="L3256" t="str">
        <f t="shared" si="253"/>
        <v/>
      </c>
      <c r="M3256" t="str">
        <f t="shared" si="254"/>
        <v/>
      </c>
    </row>
    <row r="3257" spans="1:13" x14ac:dyDescent="0.3">
      <c r="A3257" t="str">
        <f>Segmenter!A3257</f>
        <v/>
      </c>
      <c r="B3257" t="str">
        <f>Segmenter!B3257</f>
        <v/>
      </c>
      <c r="C3257" t="str">
        <f t="shared" si="250"/>
        <v/>
      </c>
      <c r="D3257" t="str">
        <f t="shared" si="251"/>
        <v/>
      </c>
      <c r="E3257" t="str">
        <f t="shared" si="252"/>
        <v/>
      </c>
      <c r="F3257" t="str">
        <f>IF(D3257="","",INDEX(Knutepunkter!$B:$B,D3257+1))</f>
        <v/>
      </c>
      <c r="G3257" t="str">
        <f>IF(D3257="","",INDEX(Knutepunkter!$C:$C,D3257+1))</f>
        <v/>
      </c>
      <c r="H3257" t="str">
        <f>IF(D3257="","",INDEX(Knutepunkter!$D:$D,D3257+1))</f>
        <v/>
      </c>
      <c r="I3257" t="str">
        <f>IF(E3257="","",INDEX(Knutepunkter!$B:$B,E3257+1))</f>
        <v/>
      </c>
      <c r="J3257" t="str">
        <f>IF(E3257="","",INDEX(Knutepunkter!$C:$C,E3257+1))</f>
        <v/>
      </c>
      <c r="K3257" t="str">
        <f>IF(E3257="","",INDEX(Knutepunkter!$D:$D,E3257+1))</f>
        <v/>
      </c>
      <c r="L3257" t="str">
        <f t="shared" si="253"/>
        <v/>
      </c>
      <c r="M3257" t="str">
        <f t="shared" si="254"/>
        <v/>
      </c>
    </row>
    <row r="3258" spans="1:13" x14ac:dyDescent="0.3">
      <c r="A3258" t="str">
        <f>Segmenter!A3258</f>
        <v/>
      </c>
      <c r="B3258" t="str">
        <f>Segmenter!B3258</f>
        <v/>
      </c>
      <c r="C3258" t="str">
        <f t="shared" si="250"/>
        <v/>
      </c>
      <c r="D3258" t="str">
        <f t="shared" si="251"/>
        <v/>
      </c>
      <c r="E3258" t="str">
        <f t="shared" si="252"/>
        <v/>
      </c>
      <c r="F3258" t="str">
        <f>IF(D3258="","",INDEX(Knutepunkter!$B:$B,D3258+1))</f>
        <v/>
      </c>
      <c r="G3258" t="str">
        <f>IF(D3258="","",INDEX(Knutepunkter!$C:$C,D3258+1))</f>
        <v/>
      </c>
      <c r="H3258" t="str">
        <f>IF(D3258="","",INDEX(Knutepunkter!$D:$D,D3258+1))</f>
        <v/>
      </c>
      <c r="I3258" t="str">
        <f>IF(E3258="","",INDEX(Knutepunkter!$B:$B,E3258+1))</f>
        <v/>
      </c>
      <c r="J3258" t="str">
        <f>IF(E3258="","",INDEX(Knutepunkter!$C:$C,E3258+1))</f>
        <v/>
      </c>
      <c r="K3258" t="str">
        <f>IF(E3258="","",INDEX(Knutepunkter!$D:$D,E3258+1))</f>
        <v/>
      </c>
      <c r="L3258" t="str">
        <f t="shared" si="253"/>
        <v/>
      </c>
      <c r="M3258" t="str">
        <f t="shared" si="254"/>
        <v/>
      </c>
    </row>
    <row r="3259" spans="1:13" x14ac:dyDescent="0.3">
      <c r="A3259" t="str">
        <f>Segmenter!A3259</f>
        <v/>
      </c>
      <c r="B3259" t="str">
        <f>Segmenter!B3259</f>
        <v/>
      </c>
      <c r="C3259" t="str">
        <f t="shared" si="250"/>
        <v/>
      </c>
      <c r="D3259" t="str">
        <f t="shared" si="251"/>
        <v/>
      </c>
      <c r="E3259" t="str">
        <f t="shared" si="252"/>
        <v/>
      </c>
      <c r="F3259" t="str">
        <f>IF(D3259="","",INDEX(Knutepunkter!$B:$B,D3259+1))</f>
        <v/>
      </c>
      <c r="G3259" t="str">
        <f>IF(D3259="","",INDEX(Knutepunkter!$C:$C,D3259+1))</f>
        <v/>
      </c>
      <c r="H3259" t="str">
        <f>IF(D3259="","",INDEX(Knutepunkter!$D:$D,D3259+1))</f>
        <v/>
      </c>
      <c r="I3259" t="str">
        <f>IF(E3259="","",INDEX(Knutepunkter!$B:$B,E3259+1))</f>
        <v/>
      </c>
      <c r="J3259" t="str">
        <f>IF(E3259="","",INDEX(Knutepunkter!$C:$C,E3259+1))</f>
        <v/>
      </c>
      <c r="K3259" t="str">
        <f>IF(E3259="","",INDEX(Knutepunkter!$D:$D,E3259+1))</f>
        <v/>
      </c>
      <c r="L3259" t="str">
        <f t="shared" si="253"/>
        <v/>
      </c>
      <c r="M3259" t="str">
        <f t="shared" si="254"/>
        <v/>
      </c>
    </row>
    <row r="3260" spans="1:13" x14ac:dyDescent="0.3">
      <c r="A3260" t="str">
        <f>Segmenter!A3260</f>
        <v/>
      </c>
      <c r="B3260" t="str">
        <f>Segmenter!B3260</f>
        <v/>
      </c>
      <c r="C3260" t="str">
        <f t="shared" si="250"/>
        <v/>
      </c>
      <c r="D3260" t="str">
        <f t="shared" si="251"/>
        <v/>
      </c>
      <c r="E3260" t="str">
        <f t="shared" si="252"/>
        <v/>
      </c>
      <c r="F3260" t="str">
        <f>IF(D3260="","",INDEX(Knutepunkter!$B:$B,D3260+1))</f>
        <v/>
      </c>
      <c r="G3260" t="str">
        <f>IF(D3260="","",INDEX(Knutepunkter!$C:$C,D3260+1))</f>
        <v/>
      </c>
      <c r="H3260" t="str">
        <f>IF(D3260="","",INDEX(Knutepunkter!$D:$D,D3260+1))</f>
        <v/>
      </c>
      <c r="I3260" t="str">
        <f>IF(E3260="","",INDEX(Knutepunkter!$B:$B,E3260+1))</f>
        <v/>
      </c>
      <c r="J3260" t="str">
        <f>IF(E3260="","",INDEX(Knutepunkter!$C:$C,E3260+1))</f>
        <v/>
      </c>
      <c r="K3260" t="str">
        <f>IF(E3260="","",INDEX(Knutepunkter!$D:$D,E3260+1))</f>
        <v/>
      </c>
      <c r="L3260" t="str">
        <f t="shared" si="253"/>
        <v/>
      </c>
      <c r="M3260" t="str">
        <f t="shared" si="254"/>
        <v/>
      </c>
    </row>
    <row r="3261" spans="1:13" x14ac:dyDescent="0.3">
      <c r="A3261" t="str">
        <f>Segmenter!A3261</f>
        <v/>
      </c>
      <c r="B3261" t="str">
        <f>Segmenter!B3261</f>
        <v/>
      </c>
      <c r="C3261" t="str">
        <f t="shared" si="250"/>
        <v/>
      </c>
      <c r="D3261" t="str">
        <f t="shared" si="251"/>
        <v/>
      </c>
      <c r="E3261" t="str">
        <f t="shared" si="252"/>
        <v/>
      </c>
      <c r="F3261" t="str">
        <f>IF(D3261="","",INDEX(Knutepunkter!$B:$B,D3261+1))</f>
        <v/>
      </c>
      <c r="G3261" t="str">
        <f>IF(D3261="","",INDEX(Knutepunkter!$C:$C,D3261+1))</f>
        <v/>
      </c>
      <c r="H3261" t="str">
        <f>IF(D3261="","",INDEX(Knutepunkter!$D:$D,D3261+1))</f>
        <v/>
      </c>
      <c r="I3261" t="str">
        <f>IF(E3261="","",INDEX(Knutepunkter!$B:$B,E3261+1))</f>
        <v/>
      </c>
      <c r="J3261" t="str">
        <f>IF(E3261="","",INDEX(Knutepunkter!$C:$C,E3261+1))</f>
        <v/>
      </c>
      <c r="K3261" t="str">
        <f>IF(E3261="","",INDEX(Knutepunkter!$D:$D,E3261+1))</f>
        <v/>
      </c>
      <c r="L3261" t="str">
        <f t="shared" si="253"/>
        <v/>
      </c>
      <c r="M3261" t="str">
        <f t="shared" si="254"/>
        <v/>
      </c>
    </row>
    <row r="3262" spans="1:13" x14ac:dyDescent="0.3">
      <c r="A3262" t="str">
        <f>Segmenter!A3262</f>
        <v/>
      </c>
      <c r="B3262" t="str">
        <f>Segmenter!B3262</f>
        <v/>
      </c>
      <c r="C3262" t="str">
        <f t="shared" si="250"/>
        <v/>
      </c>
      <c r="D3262" t="str">
        <f t="shared" si="251"/>
        <v/>
      </c>
      <c r="E3262" t="str">
        <f t="shared" si="252"/>
        <v/>
      </c>
      <c r="F3262" t="str">
        <f>IF(D3262="","",INDEX(Knutepunkter!$B:$B,D3262+1))</f>
        <v/>
      </c>
      <c r="G3262" t="str">
        <f>IF(D3262="","",INDEX(Knutepunkter!$C:$C,D3262+1))</f>
        <v/>
      </c>
      <c r="H3262" t="str">
        <f>IF(D3262="","",INDEX(Knutepunkter!$D:$D,D3262+1))</f>
        <v/>
      </c>
      <c r="I3262" t="str">
        <f>IF(E3262="","",INDEX(Knutepunkter!$B:$B,E3262+1))</f>
        <v/>
      </c>
      <c r="J3262" t="str">
        <f>IF(E3262="","",INDEX(Knutepunkter!$C:$C,E3262+1))</f>
        <v/>
      </c>
      <c r="K3262" t="str">
        <f>IF(E3262="","",INDEX(Knutepunkter!$D:$D,E3262+1))</f>
        <v/>
      </c>
      <c r="L3262" t="str">
        <f t="shared" si="253"/>
        <v/>
      </c>
      <c r="M3262" t="str">
        <f t="shared" si="254"/>
        <v/>
      </c>
    </row>
    <row r="3263" spans="1:13" x14ac:dyDescent="0.3">
      <c r="A3263" t="str">
        <f>Segmenter!A3263</f>
        <v/>
      </c>
      <c r="B3263" t="str">
        <f>Segmenter!B3263</f>
        <v/>
      </c>
      <c r="C3263" t="str">
        <f t="shared" si="250"/>
        <v/>
      </c>
      <c r="D3263" t="str">
        <f t="shared" si="251"/>
        <v/>
      </c>
      <c r="E3263" t="str">
        <f t="shared" si="252"/>
        <v/>
      </c>
      <c r="F3263" t="str">
        <f>IF(D3263="","",INDEX(Knutepunkter!$B:$B,D3263+1))</f>
        <v/>
      </c>
      <c r="G3263" t="str">
        <f>IF(D3263="","",INDEX(Knutepunkter!$C:$C,D3263+1))</f>
        <v/>
      </c>
      <c r="H3263" t="str">
        <f>IF(D3263="","",INDEX(Knutepunkter!$D:$D,D3263+1))</f>
        <v/>
      </c>
      <c r="I3263" t="str">
        <f>IF(E3263="","",INDEX(Knutepunkter!$B:$B,E3263+1))</f>
        <v/>
      </c>
      <c r="J3263" t="str">
        <f>IF(E3263="","",INDEX(Knutepunkter!$C:$C,E3263+1))</f>
        <v/>
      </c>
      <c r="K3263" t="str">
        <f>IF(E3263="","",INDEX(Knutepunkter!$D:$D,E3263+1))</f>
        <v/>
      </c>
      <c r="L3263" t="str">
        <f t="shared" si="253"/>
        <v/>
      </c>
      <c r="M3263" t="str">
        <f t="shared" si="254"/>
        <v/>
      </c>
    </row>
    <row r="3264" spans="1:13" x14ac:dyDescent="0.3">
      <c r="A3264" t="str">
        <f>Segmenter!A3264</f>
        <v/>
      </c>
      <c r="B3264" t="str">
        <f>Segmenter!B3264</f>
        <v/>
      </c>
      <c r="C3264" t="str">
        <f t="shared" si="250"/>
        <v/>
      </c>
      <c r="D3264" t="str">
        <f t="shared" si="251"/>
        <v/>
      </c>
      <c r="E3264" t="str">
        <f t="shared" si="252"/>
        <v/>
      </c>
      <c r="F3264" t="str">
        <f>IF(D3264="","",INDEX(Knutepunkter!$B:$B,D3264+1))</f>
        <v/>
      </c>
      <c r="G3264" t="str">
        <f>IF(D3264="","",INDEX(Knutepunkter!$C:$C,D3264+1))</f>
        <v/>
      </c>
      <c r="H3264" t="str">
        <f>IF(D3264="","",INDEX(Knutepunkter!$D:$D,D3264+1))</f>
        <v/>
      </c>
      <c r="I3264" t="str">
        <f>IF(E3264="","",INDEX(Knutepunkter!$B:$B,E3264+1))</f>
        <v/>
      </c>
      <c r="J3264" t="str">
        <f>IF(E3264="","",INDEX(Knutepunkter!$C:$C,E3264+1))</f>
        <v/>
      </c>
      <c r="K3264" t="str">
        <f>IF(E3264="","",INDEX(Knutepunkter!$D:$D,E3264+1))</f>
        <v/>
      </c>
      <c r="L3264" t="str">
        <f t="shared" si="253"/>
        <v/>
      </c>
      <c r="M3264" t="str">
        <f t="shared" si="254"/>
        <v/>
      </c>
    </row>
    <row r="3265" spans="1:13" x14ac:dyDescent="0.3">
      <c r="A3265" t="str">
        <f>Segmenter!A3265</f>
        <v/>
      </c>
      <c r="B3265" t="str">
        <f>Segmenter!B3265</f>
        <v/>
      </c>
      <c r="C3265" t="str">
        <f t="shared" si="250"/>
        <v/>
      </c>
      <c r="D3265" t="str">
        <f t="shared" si="251"/>
        <v/>
      </c>
      <c r="E3265" t="str">
        <f t="shared" si="252"/>
        <v/>
      </c>
      <c r="F3265" t="str">
        <f>IF(D3265="","",INDEX(Knutepunkter!$B:$B,D3265+1))</f>
        <v/>
      </c>
      <c r="G3265" t="str">
        <f>IF(D3265="","",INDEX(Knutepunkter!$C:$C,D3265+1))</f>
        <v/>
      </c>
      <c r="H3265" t="str">
        <f>IF(D3265="","",INDEX(Knutepunkter!$D:$D,D3265+1))</f>
        <v/>
      </c>
      <c r="I3265" t="str">
        <f>IF(E3265="","",INDEX(Knutepunkter!$B:$B,E3265+1))</f>
        <v/>
      </c>
      <c r="J3265" t="str">
        <f>IF(E3265="","",INDEX(Knutepunkter!$C:$C,E3265+1))</f>
        <v/>
      </c>
      <c r="K3265" t="str">
        <f>IF(E3265="","",INDEX(Knutepunkter!$D:$D,E3265+1))</f>
        <v/>
      </c>
      <c r="L3265" t="str">
        <f t="shared" si="253"/>
        <v/>
      </c>
      <c r="M3265" t="str">
        <f t="shared" si="254"/>
        <v/>
      </c>
    </row>
    <row r="3266" spans="1:13" x14ac:dyDescent="0.3">
      <c r="A3266" t="str">
        <f>Segmenter!A3266</f>
        <v/>
      </c>
      <c r="B3266" t="str">
        <f>Segmenter!B3266</f>
        <v/>
      </c>
      <c r="C3266" t="str">
        <f t="shared" ref="C3266:C3329" si="255">IF(B3266="","",IF(AND(F3266=I3266,G3266=J3266,H3266&lt;&gt;K3266),"Søyle","Bjelke"))</f>
        <v/>
      </c>
      <c r="D3266" t="str">
        <f t="shared" ref="D3266:D3329" si="256">IF(B3266="","",VALUE(LEFT(B3266,FIND(" -&gt; ",B3266)-1)))</f>
        <v/>
      </c>
      <c r="E3266" t="str">
        <f t="shared" ref="E3266:E3329" si="257">IF(B3266="","",VALUE(MID(B3266,FIND(" -&gt; ",B3266)+4,99)))</f>
        <v/>
      </c>
      <c r="F3266" t="str">
        <f>IF(D3266="","",INDEX(Knutepunkter!$B:$B,D3266+1))</f>
        <v/>
      </c>
      <c r="G3266" t="str">
        <f>IF(D3266="","",INDEX(Knutepunkter!$C:$C,D3266+1))</f>
        <v/>
      </c>
      <c r="H3266" t="str">
        <f>IF(D3266="","",INDEX(Knutepunkter!$D:$D,D3266+1))</f>
        <v/>
      </c>
      <c r="I3266" t="str">
        <f>IF(E3266="","",INDEX(Knutepunkter!$B:$B,E3266+1))</f>
        <v/>
      </c>
      <c r="J3266" t="str">
        <f>IF(E3266="","",INDEX(Knutepunkter!$C:$C,E3266+1))</f>
        <v/>
      </c>
      <c r="K3266" t="str">
        <f>IF(E3266="","",INDEX(Knutepunkter!$D:$D,E3266+1))</f>
        <v/>
      </c>
      <c r="L3266" t="str">
        <f t="shared" ref="L3266:L3329" si="258">IF(B3266="","",SQRT((I3266-F3266)^2+(J3266-G3266)^2+(K3266-H3266)^2))</f>
        <v/>
      </c>
      <c r="M3266" t="str">
        <f t="shared" ref="M3266:M3329" si="259">IF(L3266="","",L3266/1000)</f>
        <v/>
      </c>
    </row>
    <row r="3267" spans="1:13" x14ac:dyDescent="0.3">
      <c r="A3267" t="str">
        <f>Segmenter!A3267</f>
        <v/>
      </c>
      <c r="B3267" t="str">
        <f>Segmenter!B3267</f>
        <v/>
      </c>
      <c r="C3267" t="str">
        <f t="shared" si="255"/>
        <v/>
      </c>
      <c r="D3267" t="str">
        <f t="shared" si="256"/>
        <v/>
      </c>
      <c r="E3267" t="str">
        <f t="shared" si="257"/>
        <v/>
      </c>
      <c r="F3267" t="str">
        <f>IF(D3267="","",INDEX(Knutepunkter!$B:$B,D3267+1))</f>
        <v/>
      </c>
      <c r="G3267" t="str">
        <f>IF(D3267="","",INDEX(Knutepunkter!$C:$C,D3267+1))</f>
        <v/>
      </c>
      <c r="H3267" t="str">
        <f>IF(D3267="","",INDEX(Knutepunkter!$D:$D,D3267+1))</f>
        <v/>
      </c>
      <c r="I3267" t="str">
        <f>IF(E3267="","",INDEX(Knutepunkter!$B:$B,E3267+1))</f>
        <v/>
      </c>
      <c r="J3267" t="str">
        <f>IF(E3267="","",INDEX(Knutepunkter!$C:$C,E3267+1))</f>
        <v/>
      </c>
      <c r="K3267" t="str">
        <f>IF(E3267="","",INDEX(Knutepunkter!$D:$D,E3267+1))</f>
        <v/>
      </c>
      <c r="L3267" t="str">
        <f t="shared" si="258"/>
        <v/>
      </c>
      <c r="M3267" t="str">
        <f t="shared" si="259"/>
        <v/>
      </c>
    </row>
    <row r="3268" spans="1:13" x14ac:dyDescent="0.3">
      <c r="A3268" t="str">
        <f>Segmenter!A3268</f>
        <v/>
      </c>
      <c r="B3268" t="str">
        <f>Segmenter!B3268</f>
        <v/>
      </c>
      <c r="C3268" t="str">
        <f t="shared" si="255"/>
        <v/>
      </c>
      <c r="D3268" t="str">
        <f t="shared" si="256"/>
        <v/>
      </c>
      <c r="E3268" t="str">
        <f t="shared" si="257"/>
        <v/>
      </c>
      <c r="F3268" t="str">
        <f>IF(D3268="","",INDEX(Knutepunkter!$B:$B,D3268+1))</f>
        <v/>
      </c>
      <c r="G3268" t="str">
        <f>IF(D3268="","",INDEX(Knutepunkter!$C:$C,D3268+1))</f>
        <v/>
      </c>
      <c r="H3268" t="str">
        <f>IF(D3268="","",INDEX(Knutepunkter!$D:$D,D3268+1))</f>
        <v/>
      </c>
      <c r="I3268" t="str">
        <f>IF(E3268="","",INDEX(Knutepunkter!$B:$B,E3268+1))</f>
        <v/>
      </c>
      <c r="J3268" t="str">
        <f>IF(E3268="","",INDEX(Knutepunkter!$C:$C,E3268+1))</f>
        <v/>
      </c>
      <c r="K3268" t="str">
        <f>IF(E3268="","",INDEX(Knutepunkter!$D:$D,E3268+1))</f>
        <v/>
      </c>
      <c r="L3268" t="str">
        <f t="shared" si="258"/>
        <v/>
      </c>
      <c r="M3268" t="str">
        <f t="shared" si="259"/>
        <v/>
      </c>
    </row>
    <row r="3269" spans="1:13" x14ac:dyDescent="0.3">
      <c r="A3269" t="str">
        <f>Segmenter!A3269</f>
        <v/>
      </c>
      <c r="B3269" t="str">
        <f>Segmenter!B3269</f>
        <v/>
      </c>
      <c r="C3269" t="str">
        <f t="shared" si="255"/>
        <v/>
      </c>
      <c r="D3269" t="str">
        <f t="shared" si="256"/>
        <v/>
      </c>
      <c r="E3269" t="str">
        <f t="shared" si="257"/>
        <v/>
      </c>
      <c r="F3269" t="str">
        <f>IF(D3269="","",INDEX(Knutepunkter!$B:$B,D3269+1))</f>
        <v/>
      </c>
      <c r="G3269" t="str">
        <f>IF(D3269="","",INDEX(Knutepunkter!$C:$C,D3269+1))</f>
        <v/>
      </c>
      <c r="H3269" t="str">
        <f>IF(D3269="","",INDEX(Knutepunkter!$D:$D,D3269+1))</f>
        <v/>
      </c>
      <c r="I3269" t="str">
        <f>IF(E3269="","",INDEX(Knutepunkter!$B:$B,E3269+1))</f>
        <v/>
      </c>
      <c r="J3269" t="str">
        <f>IF(E3269="","",INDEX(Knutepunkter!$C:$C,E3269+1))</f>
        <v/>
      </c>
      <c r="K3269" t="str">
        <f>IF(E3269="","",INDEX(Knutepunkter!$D:$D,E3269+1))</f>
        <v/>
      </c>
      <c r="L3269" t="str">
        <f t="shared" si="258"/>
        <v/>
      </c>
      <c r="M3269" t="str">
        <f t="shared" si="259"/>
        <v/>
      </c>
    </row>
    <row r="3270" spans="1:13" x14ac:dyDescent="0.3">
      <c r="A3270" t="str">
        <f>Segmenter!A3270</f>
        <v/>
      </c>
      <c r="B3270" t="str">
        <f>Segmenter!B3270</f>
        <v/>
      </c>
      <c r="C3270" t="str">
        <f t="shared" si="255"/>
        <v/>
      </c>
      <c r="D3270" t="str">
        <f t="shared" si="256"/>
        <v/>
      </c>
      <c r="E3270" t="str">
        <f t="shared" si="257"/>
        <v/>
      </c>
      <c r="F3270" t="str">
        <f>IF(D3270="","",INDEX(Knutepunkter!$B:$B,D3270+1))</f>
        <v/>
      </c>
      <c r="G3270" t="str">
        <f>IF(D3270="","",INDEX(Knutepunkter!$C:$C,D3270+1))</f>
        <v/>
      </c>
      <c r="H3270" t="str">
        <f>IF(D3270="","",INDEX(Knutepunkter!$D:$D,D3270+1))</f>
        <v/>
      </c>
      <c r="I3270" t="str">
        <f>IF(E3270="","",INDEX(Knutepunkter!$B:$B,E3270+1))</f>
        <v/>
      </c>
      <c r="J3270" t="str">
        <f>IF(E3270="","",INDEX(Knutepunkter!$C:$C,E3270+1))</f>
        <v/>
      </c>
      <c r="K3270" t="str">
        <f>IF(E3270="","",INDEX(Knutepunkter!$D:$D,E3270+1))</f>
        <v/>
      </c>
      <c r="L3270" t="str">
        <f t="shared" si="258"/>
        <v/>
      </c>
      <c r="M3270" t="str">
        <f t="shared" si="259"/>
        <v/>
      </c>
    </row>
    <row r="3271" spans="1:13" x14ac:dyDescent="0.3">
      <c r="A3271" t="str">
        <f>Segmenter!A3271</f>
        <v/>
      </c>
      <c r="B3271" t="str">
        <f>Segmenter!B3271</f>
        <v/>
      </c>
      <c r="C3271" t="str">
        <f t="shared" si="255"/>
        <v/>
      </c>
      <c r="D3271" t="str">
        <f t="shared" si="256"/>
        <v/>
      </c>
      <c r="E3271" t="str">
        <f t="shared" si="257"/>
        <v/>
      </c>
      <c r="F3271" t="str">
        <f>IF(D3271="","",INDEX(Knutepunkter!$B:$B,D3271+1))</f>
        <v/>
      </c>
      <c r="G3271" t="str">
        <f>IF(D3271="","",INDEX(Knutepunkter!$C:$C,D3271+1))</f>
        <v/>
      </c>
      <c r="H3271" t="str">
        <f>IF(D3271="","",INDEX(Knutepunkter!$D:$D,D3271+1))</f>
        <v/>
      </c>
      <c r="I3271" t="str">
        <f>IF(E3271="","",INDEX(Knutepunkter!$B:$B,E3271+1))</f>
        <v/>
      </c>
      <c r="J3271" t="str">
        <f>IF(E3271="","",INDEX(Knutepunkter!$C:$C,E3271+1))</f>
        <v/>
      </c>
      <c r="K3271" t="str">
        <f>IF(E3271="","",INDEX(Knutepunkter!$D:$D,E3271+1))</f>
        <v/>
      </c>
      <c r="L3271" t="str">
        <f t="shared" si="258"/>
        <v/>
      </c>
      <c r="M3271" t="str">
        <f t="shared" si="259"/>
        <v/>
      </c>
    </row>
    <row r="3272" spans="1:13" x14ac:dyDescent="0.3">
      <c r="A3272" t="str">
        <f>Segmenter!A3272</f>
        <v/>
      </c>
      <c r="B3272" t="str">
        <f>Segmenter!B3272</f>
        <v/>
      </c>
      <c r="C3272" t="str">
        <f t="shared" si="255"/>
        <v/>
      </c>
      <c r="D3272" t="str">
        <f t="shared" si="256"/>
        <v/>
      </c>
      <c r="E3272" t="str">
        <f t="shared" si="257"/>
        <v/>
      </c>
      <c r="F3272" t="str">
        <f>IF(D3272="","",INDEX(Knutepunkter!$B:$B,D3272+1))</f>
        <v/>
      </c>
      <c r="G3272" t="str">
        <f>IF(D3272="","",INDEX(Knutepunkter!$C:$C,D3272+1))</f>
        <v/>
      </c>
      <c r="H3272" t="str">
        <f>IF(D3272="","",INDEX(Knutepunkter!$D:$D,D3272+1))</f>
        <v/>
      </c>
      <c r="I3272" t="str">
        <f>IF(E3272="","",INDEX(Knutepunkter!$B:$B,E3272+1))</f>
        <v/>
      </c>
      <c r="J3272" t="str">
        <f>IF(E3272="","",INDEX(Knutepunkter!$C:$C,E3272+1))</f>
        <v/>
      </c>
      <c r="K3272" t="str">
        <f>IF(E3272="","",INDEX(Knutepunkter!$D:$D,E3272+1))</f>
        <v/>
      </c>
      <c r="L3272" t="str">
        <f t="shared" si="258"/>
        <v/>
      </c>
      <c r="M3272" t="str">
        <f t="shared" si="259"/>
        <v/>
      </c>
    </row>
    <row r="3273" spans="1:13" x14ac:dyDescent="0.3">
      <c r="A3273" t="str">
        <f>Segmenter!A3273</f>
        <v/>
      </c>
      <c r="B3273" t="str">
        <f>Segmenter!B3273</f>
        <v/>
      </c>
      <c r="C3273" t="str">
        <f t="shared" si="255"/>
        <v/>
      </c>
      <c r="D3273" t="str">
        <f t="shared" si="256"/>
        <v/>
      </c>
      <c r="E3273" t="str">
        <f t="shared" si="257"/>
        <v/>
      </c>
      <c r="F3273" t="str">
        <f>IF(D3273="","",INDEX(Knutepunkter!$B:$B,D3273+1))</f>
        <v/>
      </c>
      <c r="G3273" t="str">
        <f>IF(D3273="","",INDEX(Knutepunkter!$C:$C,D3273+1))</f>
        <v/>
      </c>
      <c r="H3273" t="str">
        <f>IF(D3273="","",INDEX(Knutepunkter!$D:$D,D3273+1))</f>
        <v/>
      </c>
      <c r="I3273" t="str">
        <f>IF(E3273="","",INDEX(Knutepunkter!$B:$B,E3273+1))</f>
        <v/>
      </c>
      <c r="J3273" t="str">
        <f>IF(E3273="","",INDEX(Knutepunkter!$C:$C,E3273+1))</f>
        <v/>
      </c>
      <c r="K3273" t="str">
        <f>IF(E3273="","",INDEX(Knutepunkter!$D:$D,E3273+1))</f>
        <v/>
      </c>
      <c r="L3273" t="str">
        <f t="shared" si="258"/>
        <v/>
      </c>
      <c r="M3273" t="str">
        <f t="shared" si="259"/>
        <v/>
      </c>
    </row>
    <row r="3274" spans="1:13" x14ac:dyDescent="0.3">
      <c r="A3274" t="str">
        <f>Segmenter!A3274</f>
        <v/>
      </c>
      <c r="B3274" t="str">
        <f>Segmenter!B3274</f>
        <v/>
      </c>
      <c r="C3274" t="str">
        <f t="shared" si="255"/>
        <v/>
      </c>
      <c r="D3274" t="str">
        <f t="shared" si="256"/>
        <v/>
      </c>
      <c r="E3274" t="str">
        <f t="shared" si="257"/>
        <v/>
      </c>
      <c r="F3274" t="str">
        <f>IF(D3274="","",INDEX(Knutepunkter!$B:$B,D3274+1))</f>
        <v/>
      </c>
      <c r="G3274" t="str">
        <f>IF(D3274="","",INDEX(Knutepunkter!$C:$C,D3274+1))</f>
        <v/>
      </c>
      <c r="H3274" t="str">
        <f>IF(D3274="","",INDEX(Knutepunkter!$D:$D,D3274+1))</f>
        <v/>
      </c>
      <c r="I3274" t="str">
        <f>IF(E3274="","",INDEX(Knutepunkter!$B:$B,E3274+1))</f>
        <v/>
      </c>
      <c r="J3274" t="str">
        <f>IF(E3274="","",INDEX(Knutepunkter!$C:$C,E3274+1))</f>
        <v/>
      </c>
      <c r="K3274" t="str">
        <f>IF(E3274="","",INDEX(Knutepunkter!$D:$D,E3274+1))</f>
        <v/>
      </c>
      <c r="L3274" t="str">
        <f t="shared" si="258"/>
        <v/>
      </c>
      <c r="M3274" t="str">
        <f t="shared" si="259"/>
        <v/>
      </c>
    </row>
    <row r="3275" spans="1:13" x14ac:dyDescent="0.3">
      <c r="A3275" t="str">
        <f>Segmenter!A3275</f>
        <v/>
      </c>
      <c r="B3275" t="str">
        <f>Segmenter!B3275</f>
        <v/>
      </c>
      <c r="C3275" t="str">
        <f t="shared" si="255"/>
        <v/>
      </c>
      <c r="D3275" t="str">
        <f t="shared" si="256"/>
        <v/>
      </c>
      <c r="E3275" t="str">
        <f t="shared" si="257"/>
        <v/>
      </c>
      <c r="F3275" t="str">
        <f>IF(D3275="","",INDEX(Knutepunkter!$B:$B,D3275+1))</f>
        <v/>
      </c>
      <c r="G3275" t="str">
        <f>IF(D3275="","",INDEX(Knutepunkter!$C:$C,D3275+1))</f>
        <v/>
      </c>
      <c r="H3275" t="str">
        <f>IF(D3275="","",INDEX(Knutepunkter!$D:$D,D3275+1))</f>
        <v/>
      </c>
      <c r="I3275" t="str">
        <f>IF(E3275="","",INDEX(Knutepunkter!$B:$B,E3275+1))</f>
        <v/>
      </c>
      <c r="J3275" t="str">
        <f>IF(E3275="","",INDEX(Knutepunkter!$C:$C,E3275+1))</f>
        <v/>
      </c>
      <c r="K3275" t="str">
        <f>IF(E3275="","",INDEX(Knutepunkter!$D:$D,E3275+1))</f>
        <v/>
      </c>
      <c r="L3275" t="str">
        <f t="shared" si="258"/>
        <v/>
      </c>
      <c r="M3275" t="str">
        <f t="shared" si="259"/>
        <v/>
      </c>
    </row>
    <row r="3276" spans="1:13" x14ac:dyDescent="0.3">
      <c r="A3276" t="str">
        <f>Segmenter!A3276</f>
        <v/>
      </c>
      <c r="B3276" t="str">
        <f>Segmenter!B3276</f>
        <v/>
      </c>
      <c r="C3276" t="str">
        <f t="shared" si="255"/>
        <v/>
      </c>
      <c r="D3276" t="str">
        <f t="shared" si="256"/>
        <v/>
      </c>
      <c r="E3276" t="str">
        <f t="shared" si="257"/>
        <v/>
      </c>
      <c r="F3276" t="str">
        <f>IF(D3276="","",INDEX(Knutepunkter!$B:$B,D3276+1))</f>
        <v/>
      </c>
      <c r="G3276" t="str">
        <f>IF(D3276="","",INDEX(Knutepunkter!$C:$C,D3276+1))</f>
        <v/>
      </c>
      <c r="H3276" t="str">
        <f>IF(D3276="","",INDEX(Knutepunkter!$D:$D,D3276+1))</f>
        <v/>
      </c>
      <c r="I3276" t="str">
        <f>IF(E3276="","",INDEX(Knutepunkter!$B:$B,E3276+1))</f>
        <v/>
      </c>
      <c r="J3276" t="str">
        <f>IF(E3276="","",INDEX(Knutepunkter!$C:$C,E3276+1))</f>
        <v/>
      </c>
      <c r="K3276" t="str">
        <f>IF(E3276="","",INDEX(Knutepunkter!$D:$D,E3276+1))</f>
        <v/>
      </c>
      <c r="L3276" t="str">
        <f t="shared" si="258"/>
        <v/>
      </c>
      <c r="M3276" t="str">
        <f t="shared" si="259"/>
        <v/>
      </c>
    </row>
    <row r="3277" spans="1:13" x14ac:dyDescent="0.3">
      <c r="A3277" t="str">
        <f>Segmenter!A3277</f>
        <v/>
      </c>
      <c r="B3277" t="str">
        <f>Segmenter!B3277</f>
        <v/>
      </c>
      <c r="C3277" t="str">
        <f t="shared" si="255"/>
        <v/>
      </c>
      <c r="D3277" t="str">
        <f t="shared" si="256"/>
        <v/>
      </c>
      <c r="E3277" t="str">
        <f t="shared" si="257"/>
        <v/>
      </c>
      <c r="F3277" t="str">
        <f>IF(D3277="","",INDEX(Knutepunkter!$B:$B,D3277+1))</f>
        <v/>
      </c>
      <c r="G3277" t="str">
        <f>IF(D3277="","",INDEX(Knutepunkter!$C:$C,D3277+1))</f>
        <v/>
      </c>
      <c r="H3277" t="str">
        <f>IF(D3277="","",INDEX(Knutepunkter!$D:$D,D3277+1))</f>
        <v/>
      </c>
      <c r="I3277" t="str">
        <f>IF(E3277="","",INDEX(Knutepunkter!$B:$B,E3277+1))</f>
        <v/>
      </c>
      <c r="J3277" t="str">
        <f>IF(E3277="","",INDEX(Knutepunkter!$C:$C,E3277+1))</f>
        <v/>
      </c>
      <c r="K3277" t="str">
        <f>IF(E3277="","",INDEX(Knutepunkter!$D:$D,E3277+1))</f>
        <v/>
      </c>
      <c r="L3277" t="str">
        <f t="shared" si="258"/>
        <v/>
      </c>
      <c r="M3277" t="str">
        <f t="shared" si="259"/>
        <v/>
      </c>
    </row>
    <row r="3278" spans="1:13" x14ac:dyDescent="0.3">
      <c r="A3278" t="str">
        <f>Segmenter!A3278</f>
        <v/>
      </c>
      <c r="B3278" t="str">
        <f>Segmenter!B3278</f>
        <v/>
      </c>
      <c r="C3278" t="str">
        <f t="shared" si="255"/>
        <v/>
      </c>
      <c r="D3278" t="str">
        <f t="shared" si="256"/>
        <v/>
      </c>
      <c r="E3278" t="str">
        <f t="shared" si="257"/>
        <v/>
      </c>
      <c r="F3278" t="str">
        <f>IF(D3278="","",INDEX(Knutepunkter!$B:$B,D3278+1))</f>
        <v/>
      </c>
      <c r="G3278" t="str">
        <f>IF(D3278="","",INDEX(Knutepunkter!$C:$C,D3278+1))</f>
        <v/>
      </c>
      <c r="H3278" t="str">
        <f>IF(D3278="","",INDEX(Knutepunkter!$D:$D,D3278+1))</f>
        <v/>
      </c>
      <c r="I3278" t="str">
        <f>IF(E3278="","",INDEX(Knutepunkter!$B:$B,E3278+1))</f>
        <v/>
      </c>
      <c r="J3278" t="str">
        <f>IF(E3278="","",INDEX(Knutepunkter!$C:$C,E3278+1))</f>
        <v/>
      </c>
      <c r="K3278" t="str">
        <f>IF(E3278="","",INDEX(Knutepunkter!$D:$D,E3278+1))</f>
        <v/>
      </c>
      <c r="L3278" t="str">
        <f t="shared" si="258"/>
        <v/>
      </c>
      <c r="M3278" t="str">
        <f t="shared" si="259"/>
        <v/>
      </c>
    </row>
    <row r="3279" spans="1:13" x14ac:dyDescent="0.3">
      <c r="A3279" t="str">
        <f>Segmenter!A3279</f>
        <v/>
      </c>
      <c r="B3279" t="str">
        <f>Segmenter!B3279</f>
        <v/>
      </c>
      <c r="C3279" t="str">
        <f t="shared" si="255"/>
        <v/>
      </c>
      <c r="D3279" t="str">
        <f t="shared" si="256"/>
        <v/>
      </c>
      <c r="E3279" t="str">
        <f t="shared" si="257"/>
        <v/>
      </c>
      <c r="F3279" t="str">
        <f>IF(D3279="","",INDEX(Knutepunkter!$B:$B,D3279+1))</f>
        <v/>
      </c>
      <c r="G3279" t="str">
        <f>IF(D3279="","",INDEX(Knutepunkter!$C:$C,D3279+1))</f>
        <v/>
      </c>
      <c r="H3279" t="str">
        <f>IF(D3279="","",INDEX(Knutepunkter!$D:$D,D3279+1))</f>
        <v/>
      </c>
      <c r="I3279" t="str">
        <f>IF(E3279="","",INDEX(Knutepunkter!$B:$B,E3279+1))</f>
        <v/>
      </c>
      <c r="J3279" t="str">
        <f>IF(E3279="","",INDEX(Knutepunkter!$C:$C,E3279+1))</f>
        <v/>
      </c>
      <c r="K3279" t="str">
        <f>IF(E3279="","",INDEX(Knutepunkter!$D:$D,E3279+1))</f>
        <v/>
      </c>
      <c r="L3279" t="str">
        <f t="shared" si="258"/>
        <v/>
      </c>
      <c r="M3279" t="str">
        <f t="shared" si="259"/>
        <v/>
      </c>
    </row>
    <row r="3280" spans="1:13" x14ac:dyDescent="0.3">
      <c r="A3280" t="str">
        <f>Segmenter!A3280</f>
        <v/>
      </c>
      <c r="B3280" t="str">
        <f>Segmenter!B3280</f>
        <v/>
      </c>
      <c r="C3280" t="str">
        <f t="shared" si="255"/>
        <v/>
      </c>
      <c r="D3280" t="str">
        <f t="shared" si="256"/>
        <v/>
      </c>
      <c r="E3280" t="str">
        <f t="shared" si="257"/>
        <v/>
      </c>
      <c r="F3280" t="str">
        <f>IF(D3280="","",INDEX(Knutepunkter!$B:$B,D3280+1))</f>
        <v/>
      </c>
      <c r="G3280" t="str">
        <f>IF(D3280="","",INDEX(Knutepunkter!$C:$C,D3280+1))</f>
        <v/>
      </c>
      <c r="H3280" t="str">
        <f>IF(D3280="","",INDEX(Knutepunkter!$D:$D,D3280+1))</f>
        <v/>
      </c>
      <c r="I3280" t="str">
        <f>IF(E3280="","",INDEX(Knutepunkter!$B:$B,E3280+1))</f>
        <v/>
      </c>
      <c r="J3280" t="str">
        <f>IF(E3280="","",INDEX(Knutepunkter!$C:$C,E3280+1))</f>
        <v/>
      </c>
      <c r="K3280" t="str">
        <f>IF(E3280="","",INDEX(Knutepunkter!$D:$D,E3280+1))</f>
        <v/>
      </c>
      <c r="L3280" t="str">
        <f t="shared" si="258"/>
        <v/>
      </c>
      <c r="M3280" t="str">
        <f t="shared" si="259"/>
        <v/>
      </c>
    </row>
    <row r="3281" spans="1:13" x14ac:dyDescent="0.3">
      <c r="A3281" t="str">
        <f>Segmenter!A3281</f>
        <v/>
      </c>
      <c r="B3281" t="str">
        <f>Segmenter!B3281</f>
        <v/>
      </c>
      <c r="C3281" t="str">
        <f t="shared" si="255"/>
        <v/>
      </c>
      <c r="D3281" t="str">
        <f t="shared" si="256"/>
        <v/>
      </c>
      <c r="E3281" t="str">
        <f t="shared" si="257"/>
        <v/>
      </c>
      <c r="F3281" t="str">
        <f>IF(D3281="","",INDEX(Knutepunkter!$B:$B,D3281+1))</f>
        <v/>
      </c>
      <c r="G3281" t="str">
        <f>IF(D3281="","",INDEX(Knutepunkter!$C:$C,D3281+1))</f>
        <v/>
      </c>
      <c r="H3281" t="str">
        <f>IF(D3281="","",INDEX(Knutepunkter!$D:$D,D3281+1))</f>
        <v/>
      </c>
      <c r="I3281" t="str">
        <f>IF(E3281="","",INDEX(Knutepunkter!$B:$B,E3281+1))</f>
        <v/>
      </c>
      <c r="J3281" t="str">
        <f>IF(E3281="","",INDEX(Knutepunkter!$C:$C,E3281+1))</f>
        <v/>
      </c>
      <c r="K3281" t="str">
        <f>IF(E3281="","",INDEX(Knutepunkter!$D:$D,E3281+1))</f>
        <v/>
      </c>
      <c r="L3281" t="str">
        <f t="shared" si="258"/>
        <v/>
      </c>
      <c r="M3281" t="str">
        <f t="shared" si="259"/>
        <v/>
      </c>
    </row>
    <row r="3282" spans="1:13" x14ac:dyDescent="0.3">
      <c r="A3282" t="str">
        <f>Segmenter!A3282</f>
        <v/>
      </c>
      <c r="B3282" t="str">
        <f>Segmenter!B3282</f>
        <v/>
      </c>
      <c r="C3282" t="str">
        <f t="shared" si="255"/>
        <v/>
      </c>
      <c r="D3282" t="str">
        <f t="shared" si="256"/>
        <v/>
      </c>
      <c r="E3282" t="str">
        <f t="shared" si="257"/>
        <v/>
      </c>
      <c r="F3282" t="str">
        <f>IF(D3282="","",INDEX(Knutepunkter!$B:$B,D3282+1))</f>
        <v/>
      </c>
      <c r="G3282" t="str">
        <f>IF(D3282="","",INDEX(Knutepunkter!$C:$C,D3282+1))</f>
        <v/>
      </c>
      <c r="H3282" t="str">
        <f>IF(D3282="","",INDEX(Knutepunkter!$D:$D,D3282+1))</f>
        <v/>
      </c>
      <c r="I3282" t="str">
        <f>IF(E3282="","",INDEX(Knutepunkter!$B:$B,E3282+1))</f>
        <v/>
      </c>
      <c r="J3282" t="str">
        <f>IF(E3282="","",INDEX(Knutepunkter!$C:$C,E3282+1))</f>
        <v/>
      </c>
      <c r="K3282" t="str">
        <f>IF(E3282="","",INDEX(Knutepunkter!$D:$D,E3282+1))</f>
        <v/>
      </c>
      <c r="L3282" t="str">
        <f t="shared" si="258"/>
        <v/>
      </c>
      <c r="M3282" t="str">
        <f t="shared" si="259"/>
        <v/>
      </c>
    </row>
    <row r="3283" spans="1:13" x14ac:dyDescent="0.3">
      <c r="A3283" t="str">
        <f>Segmenter!A3283</f>
        <v/>
      </c>
      <c r="B3283" t="str">
        <f>Segmenter!B3283</f>
        <v/>
      </c>
      <c r="C3283" t="str">
        <f t="shared" si="255"/>
        <v/>
      </c>
      <c r="D3283" t="str">
        <f t="shared" si="256"/>
        <v/>
      </c>
      <c r="E3283" t="str">
        <f t="shared" si="257"/>
        <v/>
      </c>
      <c r="F3283" t="str">
        <f>IF(D3283="","",INDEX(Knutepunkter!$B:$B,D3283+1))</f>
        <v/>
      </c>
      <c r="G3283" t="str">
        <f>IF(D3283="","",INDEX(Knutepunkter!$C:$C,D3283+1))</f>
        <v/>
      </c>
      <c r="H3283" t="str">
        <f>IF(D3283="","",INDEX(Knutepunkter!$D:$D,D3283+1))</f>
        <v/>
      </c>
      <c r="I3283" t="str">
        <f>IF(E3283="","",INDEX(Knutepunkter!$B:$B,E3283+1))</f>
        <v/>
      </c>
      <c r="J3283" t="str">
        <f>IF(E3283="","",INDEX(Knutepunkter!$C:$C,E3283+1))</f>
        <v/>
      </c>
      <c r="K3283" t="str">
        <f>IF(E3283="","",INDEX(Knutepunkter!$D:$D,E3283+1))</f>
        <v/>
      </c>
      <c r="L3283" t="str">
        <f t="shared" si="258"/>
        <v/>
      </c>
      <c r="M3283" t="str">
        <f t="shared" si="259"/>
        <v/>
      </c>
    </row>
    <row r="3284" spans="1:13" x14ac:dyDescent="0.3">
      <c r="A3284" t="str">
        <f>Segmenter!A3284</f>
        <v/>
      </c>
      <c r="B3284" t="str">
        <f>Segmenter!B3284</f>
        <v/>
      </c>
      <c r="C3284" t="str">
        <f t="shared" si="255"/>
        <v/>
      </c>
      <c r="D3284" t="str">
        <f t="shared" si="256"/>
        <v/>
      </c>
      <c r="E3284" t="str">
        <f t="shared" si="257"/>
        <v/>
      </c>
      <c r="F3284" t="str">
        <f>IF(D3284="","",INDEX(Knutepunkter!$B:$B,D3284+1))</f>
        <v/>
      </c>
      <c r="G3284" t="str">
        <f>IF(D3284="","",INDEX(Knutepunkter!$C:$C,D3284+1))</f>
        <v/>
      </c>
      <c r="H3284" t="str">
        <f>IF(D3284="","",INDEX(Knutepunkter!$D:$D,D3284+1))</f>
        <v/>
      </c>
      <c r="I3284" t="str">
        <f>IF(E3284="","",INDEX(Knutepunkter!$B:$B,E3284+1))</f>
        <v/>
      </c>
      <c r="J3284" t="str">
        <f>IF(E3284="","",INDEX(Knutepunkter!$C:$C,E3284+1))</f>
        <v/>
      </c>
      <c r="K3284" t="str">
        <f>IF(E3284="","",INDEX(Knutepunkter!$D:$D,E3284+1))</f>
        <v/>
      </c>
      <c r="L3284" t="str">
        <f t="shared" si="258"/>
        <v/>
      </c>
      <c r="M3284" t="str">
        <f t="shared" si="259"/>
        <v/>
      </c>
    </row>
    <row r="3285" spans="1:13" x14ac:dyDescent="0.3">
      <c r="A3285" t="str">
        <f>Segmenter!A3285</f>
        <v/>
      </c>
      <c r="B3285" t="str">
        <f>Segmenter!B3285</f>
        <v/>
      </c>
      <c r="C3285" t="str">
        <f t="shared" si="255"/>
        <v/>
      </c>
      <c r="D3285" t="str">
        <f t="shared" si="256"/>
        <v/>
      </c>
      <c r="E3285" t="str">
        <f t="shared" si="257"/>
        <v/>
      </c>
      <c r="F3285" t="str">
        <f>IF(D3285="","",INDEX(Knutepunkter!$B:$B,D3285+1))</f>
        <v/>
      </c>
      <c r="G3285" t="str">
        <f>IF(D3285="","",INDEX(Knutepunkter!$C:$C,D3285+1))</f>
        <v/>
      </c>
      <c r="H3285" t="str">
        <f>IF(D3285="","",INDEX(Knutepunkter!$D:$D,D3285+1))</f>
        <v/>
      </c>
      <c r="I3285" t="str">
        <f>IF(E3285="","",INDEX(Knutepunkter!$B:$B,E3285+1))</f>
        <v/>
      </c>
      <c r="J3285" t="str">
        <f>IF(E3285="","",INDEX(Knutepunkter!$C:$C,E3285+1))</f>
        <v/>
      </c>
      <c r="K3285" t="str">
        <f>IF(E3285="","",INDEX(Knutepunkter!$D:$D,E3285+1))</f>
        <v/>
      </c>
      <c r="L3285" t="str">
        <f t="shared" si="258"/>
        <v/>
      </c>
      <c r="M3285" t="str">
        <f t="shared" si="259"/>
        <v/>
      </c>
    </row>
    <row r="3286" spans="1:13" x14ac:dyDescent="0.3">
      <c r="A3286" t="str">
        <f>Segmenter!A3286</f>
        <v/>
      </c>
      <c r="B3286" t="str">
        <f>Segmenter!B3286</f>
        <v/>
      </c>
      <c r="C3286" t="str">
        <f t="shared" si="255"/>
        <v/>
      </c>
      <c r="D3286" t="str">
        <f t="shared" si="256"/>
        <v/>
      </c>
      <c r="E3286" t="str">
        <f t="shared" si="257"/>
        <v/>
      </c>
      <c r="F3286" t="str">
        <f>IF(D3286="","",INDEX(Knutepunkter!$B:$B,D3286+1))</f>
        <v/>
      </c>
      <c r="G3286" t="str">
        <f>IF(D3286="","",INDEX(Knutepunkter!$C:$C,D3286+1))</f>
        <v/>
      </c>
      <c r="H3286" t="str">
        <f>IF(D3286="","",INDEX(Knutepunkter!$D:$D,D3286+1))</f>
        <v/>
      </c>
      <c r="I3286" t="str">
        <f>IF(E3286="","",INDEX(Knutepunkter!$B:$B,E3286+1))</f>
        <v/>
      </c>
      <c r="J3286" t="str">
        <f>IF(E3286="","",INDEX(Knutepunkter!$C:$C,E3286+1))</f>
        <v/>
      </c>
      <c r="K3286" t="str">
        <f>IF(E3286="","",INDEX(Knutepunkter!$D:$D,E3286+1))</f>
        <v/>
      </c>
      <c r="L3286" t="str">
        <f t="shared" si="258"/>
        <v/>
      </c>
      <c r="M3286" t="str">
        <f t="shared" si="259"/>
        <v/>
      </c>
    </row>
    <row r="3287" spans="1:13" x14ac:dyDescent="0.3">
      <c r="A3287" t="str">
        <f>Segmenter!A3287</f>
        <v/>
      </c>
      <c r="B3287" t="str">
        <f>Segmenter!B3287</f>
        <v/>
      </c>
      <c r="C3287" t="str">
        <f t="shared" si="255"/>
        <v/>
      </c>
      <c r="D3287" t="str">
        <f t="shared" si="256"/>
        <v/>
      </c>
      <c r="E3287" t="str">
        <f t="shared" si="257"/>
        <v/>
      </c>
      <c r="F3287" t="str">
        <f>IF(D3287="","",INDEX(Knutepunkter!$B:$B,D3287+1))</f>
        <v/>
      </c>
      <c r="G3287" t="str">
        <f>IF(D3287="","",INDEX(Knutepunkter!$C:$C,D3287+1))</f>
        <v/>
      </c>
      <c r="H3287" t="str">
        <f>IF(D3287="","",INDEX(Knutepunkter!$D:$D,D3287+1))</f>
        <v/>
      </c>
      <c r="I3287" t="str">
        <f>IF(E3287="","",INDEX(Knutepunkter!$B:$B,E3287+1))</f>
        <v/>
      </c>
      <c r="J3287" t="str">
        <f>IF(E3287="","",INDEX(Knutepunkter!$C:$C,E3287+1))</f>
        <v/>
      </c>
      <c r="K3287" t="str">
        <f>IF(E3287="","",INDEX(Knutepunkter!$D:$D,E3287+1))</f>
        <v/>
      </c>
      <c r="L3287" t="str">
        <f t="shared" si="258"/>
        <v/>
      </c>
      <c r="M3287" t="str">
        <f t="shared" si="259"/>
        <v/>
      </c>
    </row>
    <row r="3288" spans="1:13" x14ac:dyDescent="0.3">
      <c r="A3288" t="str">
        <f>Segmenter!A3288</f>
        <v/>
      </c>
      <c r="B3288" t="str">
        <f>Segmenter!B3288</f>
        <v/>
      </c>
      <c r="C3288" t="str">
        <f t="shared" si="255"/>
        <v/>
      </c>
      <c r="D3288" t="str">
        <f t="shared" si="256"/>
        <v/>
      </c>
      <c r="E3288" t="str">
        <f t="shared" si="257"/>
        <v/>
      </c>
      <c r="F3288" t="str">
        <f>IF(D3288="","",INDEX(Knutepunkter!$B:$B,D3288+1))</f>
        <v/>
      </c>
      <c r="G3288" t="str">
        <f>IF(D3288="","",INDEX(Knutepunkter!$C:$C,D3288+1))</f>
        <v/>
      </c>
      <c r="H3288" t="str">
        <f>IF(D3288="","",INDEX(Knutepunkter!$D:$D,D3288+1))</f>
        <v/>
      </c>
      <c r="I3288" t="str">
        <f>IF(E3288="","",INDEX(Knutepunkter!$B:$B,E3288+1))</f>
        <v/>
      </c>
      <c r="J3288" t="str">
        <f>IF(E3288="","",INDEX(Knutepunkter!$C:$C,E3288+1))</f>
        <v/>
      </c>
      <c r="K3288" t="str">
        <f>IF(E3288="","",INDEX(Knutepunkter!$D:$D,E3288+1))</f>
        <v/>
      </c>
      <c r="L3288" t="str">
        <f t="shared" si="258"/>
        <v/>
      </c>
      <c r="M3288" t="str">
        <f t="shared" si="259"/>
        <v/>
      </c>
    </row>
    <row r="3289" spans="1:13" x14ac:dyDescent="0.3">
      <c r="A3289" t="str">
        <f>Segmenter!A3289</f>
        <v/>
      </c>
      <c r="B3289" t="str">
        <f>Segmenter!B3289</f>
        <v/>
      </c>
      <c r="C3289" t="str">
        <f t="shared" si="255"/>
        <v/>
      </c>
      <c r="D3289" t="str">
        <f t="shared" si="256"/>
        <v/>
      </c>
      <c r="E3289" t="str">
        <f t="shared" si="257"/>
        <v/>
      </c>
      <c r="F3289" t="str">
        <f>IF(D3289="","",INDEX(Knutepunkter!$B:$B,D3289+1))</f>
        <v/>
      </c>
      <c r="G3289" t="str">
        <f>IF(D3289="","",INDEX(Knutepunkter!$C:$C,D3289+1))</f>
        <v/>
      </c>
      <c r="H3289" t="str">
        <f>IF(D3289="","",INDEX(Knutepunkter!$D:$D,D3289+1))</f>
        <v/>
      </c>
      <c r="I3289" t="str">
        <f>IF(E3289="","",INDEX(Knutepunkter!$B:$B,E3289+1))</f>
        <v/>
      </c>
      <c r="J3289" t="str">
        <f>IF(E3289="","",INDEX(Knutepunkter!$C:$C,E3289+1))</f>
        <v/>
      </c>
      <c r="K3289" t="str">
        <f>IF(E3289="","",INDEX(Knutepunkter!$D:$D,E3289+1))</f>
        <v/>
      </c>
      <c r="L3289" t="str">
        <f t="shared" si="258"/>
        <v/>
      </c>
      <c r="M3289" t="str">
        <f t="shared" si="259"/>
        <v/>
      </c>
    </row>
    <row r="3290" spans="1:13" x14ac:dyDescent="0.3">
      <c r="A3290" t="str">
        <f>Segmenter!A3290</f>
        <v/>
      </c>
      <c r="B3290" t="str">
        <f>Segmenter!B3290</f>
        <v/>
      </c>
      <c r="C3290" t="str">
        <f t="shared" si="255"/>
        <v/>
      </c>
      <c r="D3290" t="str">
        <f t="shared" si="256"/>
        <v/>
      </c>
      <c r="E3290" t="str">
        <f t="shared" si="257"/>
        <v/>
      </c>
      <c r="F3290" t="str">
        <f>IF(D3290="","",INDEX(Knutepunkter!$B:$B,D3290+1))</f>
        <v/>
      </c>
      <c r="G3290" t="str">
        <f>IF(D3290="","",INDEX(Knutepunkter!$C:$C,D3290+1))</f>
        <v/>
      </c>
      <c r="H3290" t="str">
        <f>IF(D3290="","",INDEX(Knutepunkter!$D:$D,D3290+1))</f>
        <v/>
      </c>
      <c r="I3290" t="str">
        <f>IF(E3290="","",INDEX(Knutepunkter!$B:$B,E3290+1))</f>
        <v/>
      </c>
      <c r="J3290" t="str">
        <f>IF(E3290="","",INDEX(Knutepunkter!$C:$C,E3290+1))</f>
        <v/>
      </c>
      <c r="K3290" t="str">
        <f>IF(E3290="","",INDEX(Knutepunkter!$D:$D,E3290+1))</f>
        <v/>
      </c>
      <c r="L3290" t="str">
        <f t="shared" si="258"/>
        <v/>
      </c>
      <c r="M3290" t="str">
        <f t="shared" si="259"/>
        <v/>
      </c>
    </row>
    <row r="3291" spans="1:13" x14ac:dyDescent="0.3">
      <c r="A3291" t="str">
        <f>Segmenter!A3291</f>
        <v/>
      </c>
      <c r="B3291" t="str">
        <f>Segmenter!B3291</f>
        <v/>
      </c>
      <c r="C3291" t="str">
        <f t="shared" si="255"/>
        <v/>
      </c>
      <c r="D3291" t="str">
        <f t="shared" si="256"/>
        <v/>
      </c>
      <c r="E3291" t="str">
        <f t="shared" si="257"/>
        <v/>
      </c>
      <c r="F3291" t="str">
        <f>IF(D3291="","",INDEX(Knutepunkter!$B:$B,D3291+1))</f>
        <v/>
      </c>
      <c r="G3291" t="str">
        <f>IF(D3291="","",INDEX(Knutepunkter!$C:$C,D3291+1))</f>
        <v/>
      </c>
      <c r="H3291" t="str">
        <f>IF(D3291="","",INDEX(Knutepunkter!$D:$D,D3291+1))</f>
        <v/>
      </c>
      <c r="I3291" t="str">
        <f>IF(E3291="","",INDEX(Knutepunkter!$B:$B,E3291+1))</f>
        <v/>
      </c>
      <c r="J3291" t="str">
        <f>IF(E3291="","",INDEX(Knutepunkter!$C:$C,E3291+1))</f>
        <v/>
      </c>
      <c r="K3291" t="str">
        <f>IF(E3291="","",INDEX(Knutepunkter!$D:$D,E3291+1))</f>
        <v/>
      </c>
      <c r="L3291" t="str">
        <f t="shared" si="258"/>
        <v/>
      </c>
      <c r="M3291" t="str">
        <f t="shared" si="259"/>
        <v/>
      </c>
    </row>
    <row r="3292" spans="1:13" x14ac:dyDescent="0.3">
      <c r="A3292" t="str">
        <f>Segmenter!A3292</f>
        <v/>
      </c>
      <c r="B3292" t="str">
        <f>Segmenter!B3292</f>
        <v/>
      </c>
      <c r="C3292" t="str">
        <f t="shared" si="255"/>
        <v/>
      </c>
      <c r="D3292" t="str">
        <f t="shared" si="256"/>
        <v/>
      </c>
      <c r="E3292" t="str">
        <f t="shared" si="257"/>
        <v/>
      </c>
      <c r="F3292" t="str">
        <f>IF(D3292="","",INDEX(Knutepunkter!$B:$B,D3292+1))</f>
        <v/>
      </c>
      <c r="G3292" t="str">
        <f>IF(D3292="","",INDEX(Knutepunkter!$C:$C,D3292+1))</f>
        <v/>
      </c>
      <c r="H3292" t="str">
        <f>IF(D3292="","",INDEX(Knutepunkter!$D:$D,D3292+1))</f>
        <v/>
      </c>
      <c r="I3292" t="str">
        <f>IF(E3292="","",INDEX(Knutepunkter!$B:$B,E3292+1))</f>
        <v/>
      </c>
      <c r="J3292" t="str">
        <f>IF(E3292="","",INDEX(Knutepunkter!$C:$C,E3292+1))</f>
        <v/>
      </c>
      <c r="K3292" t="str">
        <f>IF(E3292="","",INDEX(Knutepunkter!$D:$D,E3292+1))</f>
        <v/>
      </c>
      <c r="L3292" t="str">
        <f t="shared" si="258"/>
        <v/>
      </c>
      <c r="M3292" t="str">
        <f t="shared" si="259"/>
        <v/>
      </c>
    </row>
    <row r="3293" spans="1:13" x14ac:dyDescent="0.3">
      <c r="A3293" t="str">
        <f>Segmenter!A3293</f>
        <v/>
      </c>
      <c r="B3293" t="str">
        <f>Segmenter!B3293</f>
        <v/>
      </c>
      <c r="C3293" t="str">
        <f t="shared" si="255"/>
        <v/>
      </c>
      <c r="D3293" t="str">
        <f t="shared" si="256"/>
        <v/>
      </c>
      <c r="E3293" t="str">
        <f t="shared" si="257"/>
        <v/>
      </c>
      <c r="F3293" t="str">
        <f>IF(D3293="","",INDEX(Knutepunkter!$B:$B,D3293+1))</f>
        <v/>
      </c>
      <c r="G3293" t="str">
        <f>IF(D3293="","",INDEX(Knutepunkter!$C:$C,D3293+1))</f>
        <v/>
      </c>
      <c r="H3293" t="str">
        <f>IF(D3293="","",INDEX(Knutepunkter!$D:$D,D3293+1))</f>
        <v/>
      </c>
      <c r="I3293" t="str">
        <f>IF(E3293="","",INDEX(Knutepunkter!$B:$B,E3293+1))</f>
        <v/>
      </c>
      <c r="J3293" t="str">
        <f>IF(E3293="","",INDEX(Knutepunkter!$C:$C,E3293+1))</f>
        <v/>
      </c>
      <c r="K3293" t="str">
        <f>IF(E3293="","",INDEX(Knutepunkter!$D:$D,E3293+1))</f>
        <v/>
      </c>
      <c r="L3293" t="str">
        <f t="shared" si="258"/>
        <v/>
      </c>
      <c r="M3293" t="str">
        <f t="shared" si="259"/>
        <v/>
      </c>
    </row>
    <row r="3294" spans="1:13" x14ac:dyDescent="0.3">
      <c r="A3294" t="str">
        <f>Segmenter!A3294</f>
        <v/>
      </c>
      <c r="B3294" t="str">
        <f>Segmenter!B3294</f>
        <v/>
      </c>
      <c r="C3294" t="str">
        <f t="shared" si="255"/>
        <v/>
      </c>
      <c r="D3294" t="str">
        <f t="shared" si="256"/>
        <v/>
      </c>
      <c r="E3294" t="str">
        <f t="shared" si="257"/>
        <v/>
      </c>
      <c r="F3294" t="str">
        <f>IF(D3294="","",INDEX(Knutepunkter!$B:$B,D3294+1))</f>
        <v/>
      </c>
      <c r="G3294" t="str">
        <f>IF(D3294="","",INDEX(Knutepunkter!$C:$C,D3294+1))</f>
        <v/>
      </c>
      <c r="H3294" t="str">
        <f>IF(D3294="","",INDEX(Knutepunkter!$D:$D,D3294+1))</f>
        <v/>
      </c>
      <c r="I3294" t="str">
        <f>IF(E3294="","",INDEX(Knutepunkter!$B:$B,E3294+1))</f>
        <v/>
      </c>
      <c r="J3294" t="str">
        <f>IF(E3294="","",INDEX(Knutepunkter!$C:$C,E3294+1))</f>
        <v/>
      </c>
      <c r="K3294" t="str">
        <f>IF(E3294="","",INDEX(Knutepunkter!$D:$D,E3294+1))</f>
        <v/>
      </c>
      <c r="L3294" t="str">
        <f t="shared" si="258"/>
        <v/>
      </c>
      <c r="M3294" t="str">
        <f t="shared" si="259"/>
        <v/>
      </c>
    </row>
    <row r="3295" spans="1:13" x14ac:dyDescent="0.3">
      <c r="A3295" t="str">
        <f>Segmenter!A3295</f>
        <v/>
      </c>
      <c r="B3295" t="str">
        <f>Segmenter!B3295</f>
        <v/>
      </c>
      <c r="C3295" t="str">
        <f t="shared" si="255"/>
        <v/>
      </c>
      <c r="D3295" t="str">
        <f t="shared" si="256"/>
        <v/>
      </c>
      <c r="E3295" t="str">
        <f t="shared" si="257"/>
        <v/>
      </c>
      <c r="F3295" t="str">
        <f>IF(D3295="","",INDEX(Knutepunkter!$B:$B,D3295+1))</f>
        <v/>
      </c>
      <c r="G3295" t="str">
        <f>IF(D3295="","",INDEX(Knutepunkter!$C:$C,D3295+1))</f>
        <v/>
      </c>
      <c r="H3295" t="str">
        <f>IF(D3295="","",INDEX(Knutepunkter!$D:$D,D3295+1))</f>
        <v/>
      </c>
      <c r="I3295" t="str">
        <f>IF(E3295="","",INDEX(Knutepunkter!$B:$B,E3295+1))</f>
        <v/>
      </c>
      <c r="J3295" t="str">
        <f>IF(E3295="","",INDEX(Knutepunkter!$C:$C,E3295+1))</f>
        <v/>
      </c>
      <c r="K3295" t="str">
        <f>IF(E3295="","",INDEX(Knutepunkter!$D:$D,E3295+1))</f>
        <v/>
      </c>
      <c r="L3295" t="str">
        <f t="shared" si="258"/>
        <v/>
      </c>
      <c r="M3295" t="str">
        <f t="shared" si="259"/>
        <v/>
      </c>
    </row>
    <row r="3296" spans="1:13" x14ac:dyDescent="0.3">
      <c r="A3296" t="str">
        <f>Segmenter!A3296</f>
        <v/>
      </c>
      <c r="B3296" t="str">
        <f>Segmenter!B3296</f>
        <v/>
      </c>
      <c r="C3296" t="str">
        <f t="shared" si="255"/>
        <v/>
      </c>
      <c r="D3296" t="str">
        <f t="shared" si="256"/>
        <v/>
      </c>
      <c r="E3296" t="str">
        <f t="shared" si="257"/>
        <v/>
      </c>
      <c r="F3296" t="str">
        <f>IF(D3296="","",INDEX(Knutepunkter!$B:$B,D3296+1))</f>
        <v/>
      </c>
      <c r="G3296" t="str">
        <f>IF(D3296="","",INDEX(Knutepunkter!$C:$C,D3296+1))</f>
        <v/>
      </c>
      <c r="H3296" t="str">
        <f>IF(D3296="","",INDEX(Knutepunkter!$D:$D,D3296+1))</f>
        <v/>
      </c>
      <c r="I3296" t="str">
        <f>IF(E3296="","",INDEX(Knutepunkter!$B:$B,E3296+1))</f>
        <v/>
      </c>
      <c r="J3296" t="str">
        <f>IF(E3296="","",INDEX(Knutepunkter!$C:$C,E3296+1))</f>
        <v/>
      </c>
      <c r="K3296" t="str">
        <f>IF(E3296="","",INDEX(Knutepunkter!$D:$D,E3296+1))</f>
        <v/>
      </c>
      <c r="L3296" t="str">
        <f t="shared" si="258"/>
        <v/>
      </c>
      <c r="M3296" t="str">
        <f t="shared" si="259"/>
        <v/>
      </c>
    </row>
    <row r="3297" spans="1:13" x14ac:dyDescent="0.3">
      <c r="A3297" t="str">
        <f>Segmenter!A3297</f>
        <v/>
      </c>
      <c r="B3297" t="str">
        <f>Segmenter!B3297</f>
        <v/>
      </c>
      <c r="C3297" t="str">
        <f t="shared" si="255"/>
        <v/>
      </c>
      <c r="D3297" t="str">
        <f t="shared" si="256"/>
        <v/>
      </c>
      <c r="E3297" t="str">
        <f t="shared" si="257"/>
        <v/>
      </c>
      <c r="F3297" t="str">
        <f>IF(D3297="","",INDEX(Knutepunkter!$B:$B,D3297+1))</f>
        <v/>
      </c>
      <c r="G3297" t="str">
        <f>IF(D3297="","",INDEX(Knutepunkter!$C:$C,D3297+1))</f>
        <v/>
      </c>
      <c r="H3297" t="str">
        <f>IF(D3297="","",INDEX(Knutepunkter!$D:$D,D3297+1))</f>
        <v/>
      </c>
      <c r="I3297" t="str">
        <f>IF(E3297="","",INDEX(Knutepunkter!$B:$B,E3297+1))</f>
        <v/>
      </c>
      <c r="J3297" t="str">
        <f>IF(E3297="","",INDEX(Knutepunkter!$C:$C,E3297+1))</f>
        <v/>
      </c>
      <c r="K3297" t="str">
        <f>IF(E3297="","",INDEX(Knutepunkter!$D:$D,E3297+1))</f>
        <v/>
      </c>
      <c r="L3297" t="str">
        <f t="shared" si="258"/>
        <v/>
      </c>
      <c r="M3297" t="str">
        <f t="shared" si="259"/>
        <v/>
      </c>
    </row>
    <row r="3298" spans="1:13" x14ac:dyDescent="0.3">
      <c r="A3298" t="str">
        <f>Segmenter!A3298</f>
        <v/>
      </c>
      <c r="B3298" t="str">
        <f>Segmenter!B3298</f>
        <v/>
      </c>
      <c r="C3298" t="str">
        <f t="shared" si="255"/>
        <v/>
      </c>
      <c r="D3298" t="str">
        <f t="shared" si="256"/>
        <v/>
      </c>
      <c r="E3298" t="str">
        <f t="shared" si="257"/>
        <v/>
      </c>
      <c r="F3298" t="str">
        <f>IF(D3298="","",INDEX(Knutepunkter!$B:$B,D3298+1))</f>
        <v/>
      </c>
      <c r="G3298" t="str">
        <f>IF(D3298="","",INDEX(Knutepunkter!$C:$C,D3298+1))</f>
        <v/>
      </c>
      <c r="H3298" t="str">
        <f>IF(D3298="","",INDEX(Knutepunkter!$D:$D,D3298+1))</f>
        <v/>
      </c>
      <c r="I3298" t="str">
        <f>IF(E3298="","",INDEX(Knutepunkter!$B:$B,E3298+1))</f>
        <v/>
      </c>
      <c r="J3298" t="str">
        <f>IF(E3298="","",INDEX(Knutepunkter!$C:$C,E3298+1))</f>
        <v/>
      </c>
      <c r="K3298" t="str">
        <f>IF(E3298="","",INDEX(Knutepunkter!$D:$D,E3298+1))</f>
        <v/>
      </c>
      <c r="L3298" t="str">
        <f t="shared" si="258"/>
        <v/>
      </c>
      <c r="M3298" t="str">
        <f t="shared" si="259"/>
        <v/>
      </c>
    </row>
    <row r="3299" spans="1:13" x14ac:dyDescent="0.3">
      <c r="A3299" t="str">
        <f>Segmenter!A3299</f>
        <v/>
      </c>
      <c r="B3299" t="str">
        <f>Segmenter!B3299</f>
        <v/>
      </c>
      <c r="C3299" t="str">
        <f t="shared" si="255"/>
        <v/>
      </c>
      <c r="D3299" t="str">
        <f t="shared" si="256"/>
        <v/>
      </c>
      <c r="E3299" t="str">
        <f t="shared" si="257"/>
        <v/>
      </c>
      <c r="F3299" t="str">
        <f>IF(D3299="","",INDEX(Knutepunkter!$B:$B,D3299+1))</f>
        <v/>
      </c>
      <c r="G3299" t="str">
        <f>IF(D3299="","",INDEX(Knutepunkter!$C:$C,D3299+1))</f>
        <v/>
      </c>
      <c r="H3299" t="str">
        <f>IF(D3299="","",INDEX(Knutepunkter!$D:$D,D3299+1))</f>
        <v/>
      </c>
      <c r="I3299" t="str">
        <f>IF(E3299="","",INDEX(Knutepunkter!$B:$B,E3299+1))</f>
        <v/>
      </c>
      <c r="J3299" t="str">
        <f>IF(E3299="","",INDEX(Knutepunkter!$C:$C,E3299+1))</f>
        <v/>
      </c>
      <c r="K3299" t="str">
        <f>IF(E3299="","",INDEX(Knutepunkter!$D:$D,E3299+1))</f>
        <v/>
      </c>
      <c r="L3299" t="str">
        <f t="shared" si="258"/>
        <v/>
      </c>
      <c r="M3299" t="str">
        <f t="shared" si="259"/>
        <v/>
      </c>
    </row>
    <row r="3300" spans="1:13" x14ac:dyDescent="0.3">
      <c r="A3300" t="str">
        <f>Segmenter!A3300</f>
        <v/>
      </c>
      <c r="B3300" t="str">
        <f>Segmenter!B3300</f>
        <v/>
      </c>
      <c r="C3300" t="str">
        <f t="shared" si="255"/>
        <v/>
      </c>
      <c r="D3300" t="str">
        <f t="shared" si="256"/>
        <v/>
      </c>
      <c r="E3300" t="str">
        <f t="shared" si="257"/>
        <v/>
      </c>
      <c r="F3300" t="str">
        <f>IF(D3300="","",INDEX(Knutepunkter!$B:$B,D3300+1))</f>
        <v/>
      </c>
      <c r="G3300" t="str">
        <f>IF(D3300="","",INDEX(Knutepunkter!$C:$C,D3300+1))</f>
        <v/>
      </c>
      <c r="H3300" t="str">
        <f>IF(D3300="","",INDEX(Knutepunkter!$D:$D,D3300+1))</f>
        <v/>
      </c>
      <c r="I3300" t="str">
        <f>IF(E3300="","",INDEX(Knutepunkter!$B:$B,E3300+1))</f>
        <v/>
      </c>
      <c r="J3300" t="str">
        <f>IF(E3300="","",INDEX(Knutepunkter!$C:$C,E3300+1))</f>
        <v/>
      </c>
      <c r="K3300" t="str">
        <f>IF(E3300="","",INDEX(Knutepunkter!$D:$D,E3300+1))</f>
        <v/>
      </c>
      <c r="L3300" t="str">
        <f t="shared" si="258"/>
        <v/>
      </c>
      <c r="M3300" t="str">
        <f t="shared" si="259"/>
        <v/>
      </c>
    </row>
    <row r="3301" spans="1:13" x14ac:dyDescent="0.3">
      <c r="A3301" t="str">
        <f>Segmenter!A3301</f>
        <v/>
      </c>
      <c r="B3301" t="str">
        <f>Segmenter!B3301</f>
        <v/>
      </c>
      <c r="C3301" t="str">
        <f t="shared" si="255"/>
        <v/>
      </c>
      <c r="D3301" t="str">
        <f t="shared" si="256"/>
        <v/>
      </c>
      <c r="E3301" t="str">
        <f t="shared" si="257"/>
        <v/>
      </c>
      <c r="F3301" t="str">
        <f>IF(D3301="","",INDEX(Knutepunkter!$B:$B,D3301+1))</f>
        <v/>
      </c>
      <c r="G3301" t="str">
        <f>IF(D3301="","",INDEX(Knutepunkter!$C:$C,D3301+1))</f>
        <v/>
      </c>
      <c r="H3301" t="str">
        <f>IF(D3301="","",INDEX(Knutepunkter!$D:$D,D3301+1))</f>
        <v/>
      </c>
      <c r="I3301" t="str">
        <f>IF(E3301="","",INDEX(Knutepunkter!$B:$B,E3301+1))</f>
        <v/>
      </c>
      <c r="J3301" t="str">
        <f>IF(E3301="","",INDEX(Knutepunkter!$C:$C,E3301+1))</f>
        <v/>
      </c>
      <c r="K3301" t="str">
        <f>IF(E3301="","",INDEX(Knutepunkter!$D:$D,E3301+1))</f>
        <v/>
      </c>
      <c r="L3301" t="str">
        <f t="shared" si="258"/>
        <v/>
      </c>
      <c r="M3301" t="str">
        <f t="shared" si="259"/>
        <v/>
      </c>
    </row>
    <row r="3302" spans="1:13" x14ac:dyDescent="0.3">
      <c r="A3302" t="str">
        <f>Segmenter!A3302</f>
        <v/>
      </c>
      <c r="B3302" t="str">
        <f>Segmenter!B3302</f>
        <v/>
      </c>
      <c r="C3302" t="str">
        <f t="shared" si="255"/>
        <v/>
      </c>
      <c r="D3302" t="str">
        <f t="shared" si="256"/>
        <v/>
      </c>
      <c r="E3302" t="str">
        <f t="shared" si="257"/>
        <v/>
      </c>
      <c r="F3302" t="str">
        <f>IF(D3302="","",INDEX(Knutepunkter!$B:$B,D3302+1))</f>
        <v/>
      </c>
      <c r="G3302" t="str">
        <f>IF(D3302="","",INDEX(Knutepunkter!$C:$C,D3302+1))</f>
        <v/>
      </c>
      <c r="H3302" t="str">
        <f>IF(D3302="","",INDEX(Knutepunkter!$D:$D,D3302+1))</f>
        <v/>
      </c>
      <c r="I3302" t="str">
        <f>IF(E3302="","",INDEX(Knutepunkter!$B:$B,E3302+1))</f>
        <v/>
      </c>
      <c r="J3302" t="str">
        <f>IF(E3302="","",INDEX(Knutepunkter!$C:$C,E3302+1))</f>
        <v/>
      </c>
      <c r="K3302" t="str">
        <f>IF(E3302="","",INDEX(Knutepunkter!$D:$D,E3302+1))</f>
        <v/>
      </c>
      <c r="L3302" t="str">
        <f t="shared" si="258"/>
        <v/>
      </c>
      <c r="M3302" t="str">
        <f t="shared" si="259"/>
        <v/>
      </c>
    </row>
    <row r="3303" spans="1:13" x14ac:dyDescent="0.3">
      <c r="A3303" t="str">
        <f>Segmenter!A3303</f>
        <v/>
      </c>
      <c r="B3303" t="str">
        <f>Segmenter!B3303</f>
        <v/>
      </c>
      <c r="C3303" t="str">
        <f t="shared" si="255"/>
        <v/>
      </c>
      <c r="D3303" t="str">
        <f t="shared" si="256"/>
        <v/>
      </c>
      <c r="E3303" t="str">
        <f t="shared" si="257"/>
        <v/>
      </c>
      <c r="F3303" t="str">
        <f>IF(D3303="","",INDEX(Knutepunkter!$B:$B,D3303+1))</f>
        <v/>
      </c>
      <c r="G3303" t="str">
        <f>IF(D3303="","",INDEX(Knutepunkter!$C:$C,D3303+1))</f>
        <v/>
      </c>
      <c r="H3303" t="str">
        <f>IF(D3303="","",INDEX(Knutepunkter!$D:$D,D3303+1))</f>
        <v/>
      </c>
      <c r="I3303" t="str">
        <f>IF(E3303="","",INDEX(Knutepunkter!$B:$B,E3303+1))</f>
        <v/>
      </c>
      <c r="J3303" t="str">
        <f>IF(E3303="","",INDEX(Knutepunkter!$C:$C,E3303+1))</f>
        <v/>
      </c>
      <c r="K3303" t="str">
        <f>IF(E3303="","",INDEX(Knutepunkter!$D:$D,E3303+1))</f>
        <v/>
      </c>
      <c r="L3303" t="str">
        <f t="shared" si="258"/>
        <v/>
      </c>
      <c r="M3303" t="str">
        <f t="shared" si="259"/>
        <v/>
      </c>
    </row>
    <row r="3304" spans="1:13" x14ac:dyDescent="0.3">
      <c r="A3304" t="str">
        <f>Segmenter!A3304</f>
        <v/>
      </c>
      <c r="B3304" t="str">
        <f>Segmenter!B3304</f>
        <v/>
      </c>
      <c r="C3304" t="str">
        <f t="shared" si="255"/>
        <v/>
      </c>
      <c r="D3304" t="str">
        <f t="shared" si="256"/>
        <v/>
      </c>
      <c r="E3304" t="str">
        <f t="shared" si="257"/>
        <v/>
      </c>
      <c r="F3304" t="str">
        <f>IF(D3304="","",INDEX(Knutepunkter!$B:$B,D3304+1))</f>
        <v/>
      </c>
      <c r="G3304" t="str">
        <f>IF(D3304="","",INDEX(Knutepunkter!$C:$C,D3304+1))</f>
        <v/>
      </c>
      <c r="H3304" t="str">
        <f>IF(D3304="","",INDEX(Knutepunkter!$D:$D,D3304+1))</f>
        <v/>
      </c>
      <c r="I3304" t="str">
        <f>IF(E3304="","",INDEX(Knutepunkter!$B:$B,E3304+1))</f>
        <v/>
      </c>
      <c r="J3304" t="str">
        <f>IF(E3304="","",INDEX(Knutepunkter!$C:$C,E3304+1))</f>
        <v/>
      </c>
      <c r="K3304" t="str">
        <f>IF(E3304="","",INDEX(Knutepunkter!$D:$D,E3304+1))</f>
        <v/>
      </c>
      <c r="L3304" t="str">
        <f t="shared" si="258"/>
        <v/>
      </c>
      <c r="M3304" t="str">
        <f t="shared" si="259"/>
        <v/>
      </c>
    </row>
    <row r="3305" spans="1:13" x14ac:dyDescent="0.3">
      <c r="A3305" t="str">
        <f>Segmenter!A3305</f>
        <v/>
      </c>
      <c r="B3305" t="str">
        <f>Segmenter!B3305</f>
        <v/>
      </c>
      <c r="C3305" t="str">
        <f t="shared" si="255"/>
        <v/>
      </c>
      <c r="D3305" t="str">
        <f t="shared" si="256"/>
        <v/>
      </c>
      <c r="E3305" t="str">
        <f t="shared" si="257"/>
        <v/>
      </c>
      <c r="F3305" t="str">
        <f>IF(D3305="","",INDEX(Knutepunkter!$B:$B,D3305+1))</f>
        <v/>
      </c>
      <c r="G3305" t="str">
        <f>IF(D3305="","",INDEX(Knutepunkter!$C:$C,D3305+1))</f>
        <v/>
      </c>
      <c r="H3305" t="str">
        <f>IF(D3305="","",INDEX(Knutepunkter!$D:$D,D3305+1))</f>
        <v/>
      </c>
      <c r="I3305" t="str">
        <f>IF(E3305="","",INDEX(Knutepunkter!$B:$B,E3305+1))</f>
        <v/>
      </c>
      <c r="J3305" t="str">
        <f>IF(E3305="","",INDEX(Knutepunkter!$C:$C,E3305+1))</f>
        <v/>
      </c>
      <c r="K3305" t="str">
        <f>IF(E3305="","",INDEX(Knutepunkter!$D:$D,E3305+1))</f>
        <v/>
      </c>
      <c r="L3305" t="str">
        <f t="shared" si="258"/>
        <v/>
      </c>
      <c r="M3305" t="str">
        <f t="shared" si="259"/>
        <v/>
      </c>
    </row>
    <row r="3306" spans="1:13" x14ac:dyDescent="0.3">
      <c r="A3306" t="str">
        <f>Segmenter!A3306</f>
        <v/>
      </c>
      <c r="B3306" t="str">
        <f>Segmenter!B3306</f>
        <v/>
      </c>
      <c r="C3306" t="str">
        <f t="shared" si="255"/>
        <v/>
      </c>
      <c r="D3306" t="str">
        <f t="shared" si="256"/>
        <v/>
      </c>
      <c r="E3306" t="str">
        <f t="shared" si="257"/>
        <v/>
      </c>
      <c r="F3306" t="str">
        <f>IF(D3306="","",INDEX(Knutepunkter!$B:$B,D3306+1))</f>
        <v/>
      </c>
      <c r="G3306" t="str">
        <f>IF(D3306="","",INDEX(Knutepunkter!$C:$C,D3306+1))</f>
        <v/>
      </c>
      <c r="H3306" t="str">
        <f>IF(D3306="","",INDEX(Knutepunkter!$D:$D,D3306+1))</f>
        <v/>
      </c>
      <c r="I3306" t="str">
        <f>IF(E3306="","",INDEX(Knutepunkter!$B:$B,E3306+1))</f>
        <v/>
      </c>
      <c r="J3306" t="str">
        <f>IF(E3306="","",INDEX(Knutepunkter!$C:$C,E3306+1))</f>
        <v/>
      </c>
      <c r="K3306" t="str">
        <f>IF(E3306="","",INDEX(Knutepunkter!$D:$D,E3306+1))</f>
        <v/>
      </c>
      <c r="L3306" t="str">
        <f t="shared" si="258"/>
        <v/>
      </c>
      <c r="M3306" t="str">
        <f t="shared" si="259"/>
        <v/>
      </c>
    </row>
    <row r="3307" spans="1:13" x14ac:dyDescent="0.3">
      <c r="A3307" t="str">
        <f>Segmenter!A3307</f>
        <v/>
      </c>
      <c r="B3307" t="str">
        <f>Segmenter!B3307</f>
        <v/>
      </c>
      <c r="C3307" t="str">
        <f t="shared" si="255"/>
        <v/>
      </c>
      <c r="D3307" t="str">
        <f t="shared" si="256"/>
        <v/>
      </c>
      <c r="E3307" t="str">
        <f t="shared" si="257"/>
        <v/>
      </c>
      <c r="F3307" t="str">
        <f>IF(D3307="","",INDEX(Knutepunkter!$B:$B,D3307+1))</f>
        <v/>
      </c>
      <c r="G3307" t="str">
        <f>IF(D3307="","",INDEX(Knutepunkter!$C:$C,D3307+1))</f>
        <v/>
      </c>
      <c r="H3307" t="str">
        <f>IF(D3307="","",INDEX(Knutepunkter!$D:$D,D3307+1))</f>
        <v/>
      </c>
      <c r="I3307" t="str">
        <f>IF(E3307="","",INDEX(Knutepunkter!$B:$B,E3307+1))</f>
        <v/>
      </c>
      <c r="J3307" t="str">
        <f>IF(E3307="","",INDEX(Knutepunkter!$C:$C,E3307+1))</f>
        <v/>
      </c>
      <c r="K3307" t="str">
        <f>IF(E3307="","",INDEX(Knutepunkter!$D:$D,E3307+1))</f>
        <v/>
      </c>
      <c r="L3307" t="str">
        <f t="shared" si="258"/>
        <v/>
      </c>
      <c r="M3307" t="str">
        <f t="shared" si="259"/>
        <v/>
      </c>
    </row>
    <row r="3308" spans="1:13" x14ac:dyDescent="0.3">
      <c r="A3308" t="str">
        <f>Segmenter!A3308</f>
        <v/>
      </c>
      <c r="B3308" t="str">
        <f>Segmenter!B3308</f>
        <v/>
      </c>
      <c r="C3308" t="str">
        <f t="shared" si="255"/>
        <v/>
      </c>
      <c r="D3308" t="str">
        <f t="shared" si="256"/>
        <v/>
      </c>
      <c r="E3308" t="str">
        <f t="shared" si="257"/>
        <v/>
      </c>
      <c r="F3308" t="str">
        <f>IF(D3308="","",INDEX(Knutepunkter!$B:$B,D3308+1))</f>
        <v/>
      </c>
      <c r="G3308" t="str">
        <f>IF(D3308="","",INDEX(Knutepunkter!$C:$C,D3308+1))</f>
        <v/>
      </c>
      <c r="H3308" t="str">
        <f>IF(D3308="","",INDEX(Knutepunkter!$D:$D,D3308+1))</f>
        <v/>
      </c>
      <c r="I3308" t="str">
        <f>IF(E3308="","",INDEX(Knutepunkter!$B:$B,E3308+1))</f>
        <v/>
      </c>
      <c r="J3308" t="str">
        <f>IF(E3308="","",INDEX(Knutepunkter!$C:$C,E3308+1))</f>
        <v/>
      </c>
      <c r="K3308" t="str">
        <f>IF(E3308="","",INDEX(Knutepunkter!$D:$D,E3308+1))</f>
        <v/>
      </c>
      <c r="L3308" t="str">
        <f t="shared" si="258"/>
        <v/>
      </c>
      <c r="M3308" t="str">
        <f t="shared" si="259"/>
        <v/>
      </c>
    </row>
    <row r="3309" spans="1:13" x14ac:dyDescent="0.3">
      <c r="A3309" t="str">
        <f>Segmenter!A3309</f>
        <v/>
      </c>
      <c r="B3309" t="str">
        <f>Segmenter!B3309</f>
        <v/>
      </c>
      <c r="C3309" t="str">
        <f t="shared" si="255"/>
        <v/>
      </c>
      <c r="D3309" t="str">
        <f t="shared" si="256"/>
        <v/>
      </c>
      <c r="E3309" t="str">
        <f t="shared" si="257"/>
        <v/>
      </c>
      <c r="F3309" t="str">
        <f>IF(D3309="","",INDEX(Knutepunkter!$B:$B,D3309+1))</f>
        <v/>
      </c>
      <c r="G3309" t="str">
        <f>IF(D3309="","",INDEX(Knutepunkter!$C:$C,D3309+1))</f>
        <v/>
      </c>
      <c r="H3309" t="str">
        <f>IF(D3309="","",INDEX(Knutepunkter!$D:$D,D3309+1))</f>
        <v/>
      </c>
      <c r="I3309" t="str">
        <f>IF(E3309="","",INDEX(Knutepunkter!$B:$B,E3309+1))</f>
        <v/>
      </c>
      <c r="J3309" t="str">
        <f>IF(E3309="","",INDEX(Knutepunkter!$C:$C,E3309+1))</f>
        <v/>
      </c>
      <c r="K3309" t="str">
        <f>IF(E3309="","",INDEX(Knutepunkter!$D:$D,E3309+1))</f>
        <v/>
      </c>
      <c r="L3309" t="str">
        <f t="shared" si="258"/>
        <v/>
      </c>
      <c r="M3309" t="str">
        <f t="shared" si="259"/>
        <v/>
      </c>
    </row>
    <row r="3310" spans="1:13" x14ac:dyDescent="0.3">
      <c r="A3310" t="str">
        <f>Segmenter!A3310</f>
        <v/>
      </c>
      <c r="B3310" t="str">
        <f>Segmenter!B3310</f>
        <v/>
      </c>
      <c r="C3310" t="str">
        <f t="shared" si="255"/>
        <v/>
      </c>
      <c r="D3310" t="str">
        <f t="shared" si="256"/>
        <v/>
      </c>
      <c r="E3310" t="str">
        <f t="shared" si="257"/>
        <v/>
      </c>
      <c r="F3310" t="str">
        <f>IF(D3310="","",INDEX(Knutepunkter!$B:$B,D3310+1))</f>
        <v/>
      </c>
      <c r="G3310" t="str">
        <f>IF(D3310="","",INDEX(Knutepunkter!$C:$C,D3310+1))</f>
        <v/>
      </c>
      <c r="H3310" t="str">
        <f>IF(D3310="","",INDEX(Knutepunkter!$D:$D,D3310+1))</f>
        <v/>
      </c>
      <c r="I3310" t="str">
        <f>IF(E3310="","",INDEX(Knutepunkter!$B:$B,E3310+1))</f>
        <v/>
      </c>
      <c r="J3310" t="str">
        <f>IF(E3310="","",INDEX(Knutepunkter!$C:$C,E3310+1))</f>
        <v/>
      </c>
      <c r="K3310" t="str">
        <f>IF(E3310="","",INDEX(Knutepunkter!$D:$D,E3310+1))</f>
        <v/>
      </c>
      <c r="L3310" t="str">
        <f t="shared" si="258"/>
        <v/>
      </c>
      <c r="M3310" t="str">
        <f t="shared" si="259"/>
        <v/>
      </c>
    </row>
    <row r="3311" spans="1:13" x14ac:dyDescent="0.3">
      <c r="A3311" t="str">
        <f>Segmenter!A3311</f>
        <v/>
      </c>
      <c r="B3311" t="str">
        <f>Segmenter!B3311</f>
        <v/>
      </c>
      <c r="C3311" t="str">
        <f t="shared" si="255"/>
        <v/>
      </c>
      <c r="D3311" t="str">
        <f t="shared" si="256"/>
        <v/>
      </c>
      <c r="E3311" t="str">
        <f t="shared" si="257"/>
        <v/>
      </c>
      <c r="F3311" t="str">
        <f>IF(D3311="","",INDEX(Knutepunkter!$B:$B,D3311+1))</f>
        <v/>
      </c>
      <c r="G3311" t="str">
        <f>IF(D3311="","",INDEX(Knutepunkter!$C:$C,D3311+1))</f>
        <v/>
      </c>
      <c r="H3311" t="str">
        <f>IF(D3311="","",INDEX(Knutepunkter!$D:$D,D3311+1))</f>
        <v/>
      </c>
      <c r="I3311" t="str">
        <f>IF(E3311="","",INDEX(Knutepunkter!$B:$B,E3311+1))</f>
        <v/>
      </c>
      <c r="J3311" t="str">
        <f>IF(E3311="","",INDEX(Knutepunkter!$C:$C,E3311+1))</f>
        <v/>
      </c>
      <c r="K3311" t="str">
        <f>IF(E3311="","",INDEX(Knutepunkter!$D:$D,E3311+1))</f>
        <v/>
      </c>
      <c r="L3311" t="str">
        <f t="shared" si="258"/>
        <v/>
      </c>
      <c r="M3311" t="str">
        <f t="shared" si="259"/>
        <v/>
      </c>
    </row>
    <row r="3312" spans="1:13" x14ac:dyDescent="0.3">
      <c r="A3312" t="str">
        <f>Segmenter!A3312</f>
        <v/>
      </c>
      <c r="B3312" t="str">
        <f>Segmenter!B3312</f>
        <v/>
      </c>
      <c r="C3312" t="str">
        <f t="shared" si="255"/>
        <v/>
      </c>
      <c r="D3312" t="str">
        <f t="shared" si="256"/>
        <v/>
      </c>
      <c r="E3312" t="str">
        <f t="shared" si="257"/>
        <v/>
      </c>
      <c r="F3312" t="str">
        <f>IF(D3312="","",INDEX(Knutepunkter!$B:$B,D3312+1))</f>
        <v/>
      </c>
      <c r="G3312" t="str">
        <f>IF(D3312="","",INDEX(Knutepunkter!$C:$C,D3312+1))</f>
        <v/>
      </c>
      <c r="H3312" t="str">
        <f>IF(D3312="","",INDEX(Knutepunkter!$D:$D,D3312+1))</f>
        <v/>
      </c>
      <c r="I3312" t="str">
        <f>IF(E3312="","",INDEX(Knutepunkter!$B:$B,E3312+1))</f>
        <v/>
      </c>
      <c r="J3312" t="str">
        <f>IF(E3312="","",INDEX(Knutepunkter!$C:$C,E3312+1))</f>
        <v/>
      </c>
      <c r="K3312" t="str">
        <f>IF(E3312="","",INDEX(Knutepunkter!$D:$D,E3312+1))</f>
        <v/>
      </c>
      <c r="L3312" t="str">
        <f t="shared" si="258"/>
        <v/>
      </c>
      <c r="M3312" t="str">
        <f t="shared" si="259"/>
        <v/>
      </c>
    </row>
    <row r="3313" spans="1:13" x14ac:dyDescent="0.3">
      <c r="A3313" t="str">
        <f>Segmenter!A3313</f>
        <v/>
      </c>
      <c r="B3313" t="str">
        <f>Segmenter!B3313</f>
        <v/>
      </c>
      <c r="C3313" t="str">
        <f t="shared" si="255"/>
        <v/>
      </c>
      <c r="D3313" t="str">
        <f t="shared" si="256"/>
        <v/>
      </c>
      <c r="E3313" t="str">
        <f t="shared" si="257"/>
        <v/>
      </c>
      <c r="F3313" t="str">
        <f>IF(D3313="","",INDEX(Knutepunkter!$B:$B,D3313+1))</f>
        <v/>
      </c>
      <c r="G3313" t="str">
        <f>IF(D3313="","",INDEX(Knutepunkter!$C:$C,D3313+1))</f>
        <v/>
      </c>
      <c r="H3313" t="str">
        <f>IF(D3313="","",INDEX(Knutepunkter!$D:$D,D3313+1))</f>
        <v/>
      </c>
      <c r="I3313" t="str">
        <f>IF(E3313="","",INDEX(Knutepunkter!$B:$B,E3313+1))</f>
        <v/>
      </c>
      <c r="J3313" t="str">
        <f>IF(E3313="","",INDEX(Knutepunkter!$C:$C,E3313+1))</f>
        <v/>
      </c>
      <c r="K3313" t="str">
        <f>IF(E3313="","",INDEX(Knutepunkter!$D:$D,E3313+1))</f>
        <v/>
      </c>
      <c r="L3313" t="str">
        <f t="shared" si="258"/>
        <v/>
      </c>
      <c r="M3313" t="str">
        <f t="shared" si="259"/>
        <v/>
      </c>
    </row>
    <row r="3314" spans="1:13" x14ac:dyDescent="0.3">
      <c r="A3314" t="str">
        <f>Segmenter!A3314</f>
        <v/>
      </c>
      <c r="B3314" t="str">
        <f>Segmenter!B3314</f>
        <v/>
      </c>
      <c r="C3314" t="str">
        <f t="shared" si="255"/>
        <v/>
      </c>
      <c r="D3314" t="str">
        <f t="shared" si="256"/>
        <v/>
      </c>
      <c r="E3314" t="str">
        <f t="shared" si="257"/>
        <v/>
      </c>
      <c r="F3314" t="str">
        <f>IF(D3314="","",INDEX(Knutepunkter!$B:$B,D3314+1))</f>
        <v/>
      </c>
      <c r="G3314" t="str">
        <f>IF(D3314="","",INDEX(Knutepunkter!$C:$C,D3314+1))</f>
        <v/>
      </c>
      <c r="H3314" t="str">
        <f>IF(D3314="","",INDEX(Knutepunkter!$D:$D,D3314+1))</f>
        <v/>
      </c>
      <c r="I3314" t="str">
        <f>IF(E3314="","",INDEX(Knutepunkter!$B:$B,E3314+1))</f>
        <v/>
      </c>
      <c r="J3314" t="str">
        <f>IF(E3314="","",INDEX(Knutepunkter!$C:$C,E3314+1))</f>
        <v/>
      </c>
      <c r="K3314" t="str">
        <f>IF(E3314="","",INDEX(Knutepunkter!$D:$D,E3314+1))</f>
        <v/>
      </c>
      <c r="L3314" t="str">
        <f t="shared" si="258"/>
        <v/>
      </c>
      <c r="M3314" t="str">
        <f t="shared" si="259"/>
        <v/>
      </c>
    </row>
    <row r="3315" spans="1:13" x14ac:dyDescent="0.3">
      <c r="A3315" t="str">
        <f>Segmenter!A3315</f>
        <v/>
      </c>
      <c r="B3315" t="str">
        <f>Segmenter!B3315</f>
        <v/>
      </c>
      <c r="C3315" t="str">
        <f t="shared" si="255"/>
        <v/>
      </c>
      <c r="D3315" t="str">
        <f t="shared" si="256"/>
        <v/>
      </c>
      <c r="E3315" t="str">
        <f t="shared" si="257"/>
        <v/>
      </c>
      <c r="F3315" t="str">
        <f>IF(D3315="","",INDEX(Knutepunkter!$B:$B,D3315+1))</f>
        <v/>
      </c>
      <c r="G3315" t="str">
        <f>IF(D3315="","",INDEX(Knutepunkter!$C:$C,D3315+1))</f>
        <v/>
      </c>
      <c r="H3315" t="str">
        <f>IF(D3315="","",INDEX(Knutepunkter!$D:$D,D3315+1))</f>
        <v/>
      </c>
      <c r="I3315" t="str">
        <f>IF(E3315="","",INDEX(Knutepunkter!$B:$B,E3315+1))</f>
        <v/>
      </c>
      <c r="J3315" t="str">
        <f>IF(E3315="","",INDEX(Knutepunkter!$C:$C,E3315+1))</f>
        <v/>
      </c>
      <c r="K3315" t="str">
        <f>IF(E3315="","",INDEX(Knutepunkter!$D:$D,E3315+1))</f>
        <v/>
      </c>
      <c r="L3315" t="str">
        <f t="shared" si="258"/>
        <v/>
      </c>
      <c r="M3315" t="str">
        <f t="shared" si="259"/>
        <v/>
      </c>
    </row>
    <row r="3316" spans="1:13" x14ac:dyDescent="0.3">
      <c r="A3316" t="str">
        <f>Segmenter!A3316</f>
        <v/>
      </c>
      <c r="B3316" t="str">
        <f>Segmenter!B3316</f>
        <v/>
      </c>
      <c r="C3316" t="str">
        <f t="shared" si="255"/>
        <v/>
      </c>
      <c r="D3316" t="str">
        <f t="shared" si="256"/>
        <v/>
      </c>
      <c r="E3316" t="str">
        <f t="shared" si="257"/>
        <v/>
      </c>
      <c r="F3316" t="str">
        <f>IF(D3316="","",INDEX(Knutepunkter!$B:$B,D3316+1))</f>
        <v/>
      </c>
      <c r="G3316" t="str">
        <f>IF(D3316="","",INDEX(Knutepunkter!$C:$C,D3316+1))</f>
        <v/>
      </c>
      <c r="H3316" t="str">
        <f>IF(D3316="","",INDEX(Knutepunkter!$D:$D,D3316+1))</f>
        <v/>
      </c>
      <c r="I3316" t="str">
        <f>IF(E3316="","",INDEX(Knutepunkter!$B:$B,E3316+1))</f>
        <v/>
      </c>
      <c r="J3316" t="str">
        <f>IF(E3316="","",INDEX(Knutepunkter!$C:$C,E3316+1))</f>
        <v/>
      </c>
      <c r="K3316" t="str">
        <f>IF(E3316="","",INDEX(Knutepunkter!$D:$D,E3316+1))</f>
        <v/>
      </c>
      <c r="L3316" t="str">
        <f t="shared" si="258"/>
        <v/>
      </c>
      <c r="M3316" t="str">
        <f t="shared" si="259"/>
        <v/>
      </c>
    </row>
    <row r="3317" spans="1:13" x14ac:dyDescent="0.3">
      <c r="A3317" t="str">
        <f>Segmenter!A3317</f>
        <v/>
      </c>
      <c r="B3317" t="str">
        <f>Segmenter!B3317</f>
        <v/>
      </c>
      <c r="C3317" t="str">
        <f t="shared" si="255"/>
        <v/>
      </c>
      <c r="D3317" t="str">
        <f t="shared" si="256"/>
        <v/>
      </c>
      <c r="E3317" t="str">
        <f t="shared" si="257"/>
        <v/>
      </c>
      <c r="F3317" t="str">
        <f>IF(D3317="","",INDEX(Knutepunkter!$B:$B,D3317+1))</f>
        <v/>
      </c>
      <c r="G3317" t="str">
        <f>IF(D3317="","",INDEX(Knutepunkter!$C:$C,D3317+1))</f>
        <v/>
      </c>
      <c r="H3317" t="str">
        <f>IF(D3317="","",INDEX(Knutepunkter!$D:$D,D3317+1))</f>
        <v/>
      </c>
      <c r="I3317" t="str">
        <f>IF(E3317="","",INDEX(Knutepunkter!$B:$B,E3317+1))</f>
        <v/>
      </c>
      <c r="J3317" t="str">
        <f>IF(E3317="","",INDEX(Knutepunkter!$C:$C,E3317+1))</f>
        <v/>
      </c>
      <c r="K3317" t="str">
        <f>IF(E3317="","",INDEX(Knutepunkter!$D:$D,E3317+1))</f>
        <v/>
      </c>
      <c r="L3317" t="str">
        <f t="shared" si="258"/>
        <v/>
      </c>
      <c r="M3317" t="str">
        <f t="shared" si="259"/>
        <v/>
      </c>
    </row>
    <row r="3318" spans="1:13" x14ac:dyDescent="0.3">
      <c r="A3318" t="str">
        <f>Segmenter!A3318</f>
        <v/>
      </c>
      <c r="B3318" t="str">
        <f>Segmenter!B3318</f>
        <v/>
      </c>
      <c r="C3318" t="str">
        <f t="shared" si="255"/>
        <v/>
      </c>
      <c r="D3318" t="str">
        <f t="shared" si="256"/>
        <v/>
      </c>
      <c r="E3318" t="str">
        <f t="shared" si="257"/>
        <v/>
      </c>
      <c r="F3318" t="str">
        <f>IF(D3318="","",INDEX(Knutepunkter!$B:$B,D3318+1))</f>
        <v/>
      </c>
      <c r="G3318" t="str">
        <f>IF(D3318="","",INDEX(Knutepunkter!$C:$C,D3318+1))</f>
        <v/>
      </c>
      <c r="H3318" t="str">
        <f>IF(D3318="","",INDEX(Knutepunkter!$D:$D,D3318+1))</f>
        <v/>
      </c>
      <c r="I3318" t="str">
        <f>IF(E3318="","",INDEX(Knutepunkter!$B:$B,E3318+1))</f>
        <v/>
      </c>
      <c r="J3318" t="str">
        <f>IF(E3318="","",INDEX(Knutepunkter!$C:$C,E3318+1))</f>
        <v/>
      </c>
      <c r="K3318" t="str">
        <f>IF(E3318="","",INDEX(Knutepunkter!$D:$D,E3318+1))</f>
        <v/>
      </c>
      <c r="L3318" t="str">
        <f t="shared" si="258"/>
        <v/>
      </c>
      <c r="M3318" t="str">
        <f t="shared" si="259"/>
        <v/>
      </c>
    </row>
    <row r="3319" spans="1:13" x14ac:dyDescent="0.3">
      <c r="A3319" t="str">
        <f>Segmenter!A3319</f>
        <v/>
      </c>
      <c r="B3319" t="str">
        <f>Segmenter!B3319</f>
        <v/>
      </c>
      <c r="C3319" t="str">
        <f t="shared" si="255"/>
        <v/>
      </c>
      <c r="D3319" t="str">
        <f t="shared" si="256"/>
        <v/>
      </c>
      <c r="E3319" t="str">
        <f t="shared" si="257"/>
        <v/>
      </c>
      <c r="F3319" t="str">
        <f>IF(D3319="","",INDEX(Knutepunkter!$B:$B,D3319+1))</f>
        <v/>
      </c>
      <c r="G3319" t="str">
        <f>IF(D3319="","",INDEX(Knutepunkter!$C:$C,D3319+1))</f>
        <v/>
      </c>
      <c r="H3319" t="str">
        <f>IF(D3319="","",INDEX(Knutepunkter!$D:$D,D3319+1))</f>
        <v/>
      </c>
      <c r="I3319" t="str">
        <f>IF(E3319="","",INDEX(Knutepunkter!$B:$B,E3319+1))</f>
        <v/>
      </c>
      <c r="J3319" t="str">
        <f>IF(E3319="","",INDEX(Knutepunkter!$C:$C,E3319+1))</f>
        <v/>
      </c>
      <c r="K3319" t="str">
        <f>IF(E3319="","",INDEX(Knutepunkter!$D:$D,E3319+1))</f>
        <v/>
      </c>
      <c r="L3319" t="str">
        <f t="shared" si="258"/>
        <v/>
      </c>
      <c r="M3319" t="str">
        <f t="shared" si="259"/>
        <v/>
      </c>
    </row>
    <row r="3320" spans="1:13" x14ac:dyDescent="0.3">
      <c r="A3320" t="str">
        <f>Segmenter!A3320</f>
        <v/>
      </c>
      <c r="B3320" t="str">
        <f>Segmenter!B3320</f>
        <v/>
      </c>
      <c r="C3320" t="str">
        <f t="shared" si="255"/>
        <v/>
      </c>
      <c r="D3320" t="str">
        <f t="shared" si="256"/>
        <v/>
      </c>
      <c r="E3320" t="str">
        <f t="shared" si="257"/>
        <v/>
      </c>
      <c r="F3320" t="str">
        <f>IF(D3320="","",INDEX(Knutepunkter!$B:$B,D3320+1))</f>
        <v/>
      </c>
      <c r="G3320" t="str">
        <f>IF(D3320="","",INDEX(Knutepunkter!$C:$C,D3320+1))</f>
        <v/>
      </c>
      <c r="H3320" t="str">
        <f>IF(D3320="","",INDEX(Knutepunkter!$D:$D,D3320+1))</f>
        <v/>
      </c>
      <c r="I3320" t="str">
        <f>IF(E3320="","",INDEX(Knutepunkter!$B:$B,E3320+1))</f>
        <v/>
      </c>
      <c r="J3320" t="str">
        <f>IF(E3320="","",INDEX(Knutepunkter!$C:$C,E3320+1))</f>
        <v/>
      </c>
      <c r="K3320" t="str">
        <f>IF(E3320="","",INDEX(Knutepunkter!$D:$D,E3320+1))</f>
        <v/>
      </c>
      <c r="L3320" t="str">
        <f t="shared" si="258"/>
        <v/>
      </c>
      <c r="M3320" t="str">
        <f t="shared" si="259"/>
        <v/>
      </c>
    </row>
    <row r="3321" spans="1:13" x14ac:dyDescent="0.3">
      <c r="A3321" t="str">
        <f>Segmenter!A3321</f>
        <v/>
      </c>
      <c r="B3321" t="str">
        <f>Segmenter!B3321</f>
        <v/>
      </c>
      <c r="C3321" t="str">
        <f t="shared" si="255"/>
        <v/>
      </c>
      <c r="D3321" t="str">
        <f t="shared" si="256"/>
        <v/>
      </c>
      <c r="E3321" t="str">
        <f t="shared" si="257"/>
        <v/>
      </c>
      <c r="F3321" t="str">
        <f>IF(D3321="","",INDEX(Knutepunkter!$B:$B,D3321+1))</f>
        <v/>
      </c>
      <c r="G3321" t="str">
        <f>IF(D3321="","",INDEX(Knutepunkter!$C:$C,D3321+1))</f>
        <v/>
      </c>
      <c r="H3321" t="str">
        <f>IF(D3321="","",INDEX(Knutepunkter!$D:$D,D3321+1))</f>
        <v/>
      </c>
      <c r="I3321" t="str">
        <f>IF(E3321="","",INDEX(Knutepunkter!$B:$B,E3321+1))</f>
        <v/>
      </c>
      <c r="J3321" t="str">
        <f>IF(E3321="","",INDEX(Knutepunkter!$C:$C,E3321+1))</f>
        <v/>
      </c>
      <c r="K3321" t="str">
        <f>IF(E3321="","",INDEX(Knutepunkter!$D:$D,E3321+1))</f>
        <v/>
      </c>
      <c r="L3321" t="str">
        <f t="shared" si="258"/>
        <v/>
      </c>
      <c r="M3321" t="str">
        <f t="shared" si="259"/>
        <v/>
      </c>
    </row>
    <row r="3322" spans="1:13" x14ac:dyDescent="0.3">
      <c r="A3322" t="str">
        <f>Segmenter!A3322</f>
        <v/>
      </c>
      <c r="B3322" t="str">
        <f>Segmenter!B3322</f>
        <v/>
      </c>
      <c r="C3322" t="str">
        <f t="shared" si="255"/>
        <v/>
      </c>
      <c r="D3322" t="str">
        <f t="shared" si="256"/>
        <v/>
      </c>
      <c r="E3322" t="str">
        <f t="shared" si="257"/>
        <v/>
      </c>
      <c r="F3322" t="str">
        <f>IF(D3322="","",INDEX(Knutepunkter!$B:$B,D3322+1))</f>
        <v/>
      </c>
      <c r="G3322" t="str">
        <f>IF(D3322="","",INDEX(Knutepunkter!$C:$C,D3322+1))</f>
        <v/>
      </c>
      <c r="H3322" t="str">
        <f>IF(D3322="","",INDEX(Knutepunkter!$D:$D,D3322+1))</f>
        <v/>
      </c>
      <c r="I3322" t="str">
        <f>IF(E3322="","",INDEX(Knutepunkter!$B:$B,E3322+1))</f>
        <v/>
      </c>
      <c r="J3322" t="str">
        <f>IF(E3322="","",INDEX(Knutepunkter!$C:$C,E3322+1))</f>
        <v/>
      </c>
      <c r="K3322" t="str">
        <f>IF(E3322="","",INDEX(Knutepunkter!$D:$D,E3322+1))</f>
        <v/>
      </c>
      <c r="L3322" t="str">
        <f t="shared" si="258"/>
        <v/>
      </c>
      <c r="M3322" t="str">
        <f t="shared" si="259"/>
        <v/>
      </c>
    </row>
    <row r="3323" spans="1:13" x14ac:dyDescent="0.3">
      <c r="A3323" t="str">
        <f>Segmenter!A3323</f>
        <v/>
      </c>
      <c r="B3323" t="str">
        <f>Segmenter!B3323</f>
        <v/>
      </c>
      <c r="C3323" t="str">
        <f t="shared" si="255"/>
        <v/>
      </c>
      <c r="D3323" t="str">
        <f t="shared" si="256"/>
        <v/>
      </c>
      <c r="E3323" t="str">
        <f t="shared" si="257"/>
        <v/>
      </c>
      <c r="F3323" t="str">
        <f>IF(D3323="","",INDEX(Knutepunkter!$B:$B,D3323+1))</f>
        <v/>
      </c>
      <c r="G3323" t="str">
        <f>IF(D3323="","",INDEX(Knutepunkter!$C:$C,D3323+1))</f>
        <v/>
      </c>
      <c r="H3323" t="str">
        <f>IF(D3323="","",INDEX(Knutepunkter!$D:$D,D3323+1))</f>
        <v/>
      </c>
      <c r="I3323" t="str">
        <f>IF(E3323="","",INDEX(Knutepunkter!$B:$B,E3323+1))</f>
        <v/>
      </c>
      <c r="J3323" t="str">
        <f>IF(E3323="","",INDEX(Knutepunkter!$C:$C,E3323+1))</f>
        <v/>
      </c>
      <c r="K3323" t="str">
        <f>IF(E3323="","",INDEX(Knutepunkter!$D:$D,E3323+1))</f>
        <v/>
      </c>
      <c r="L3323" t="str">
        <f t="shared" si="258"/>
        <v/>
      </c>
      <c r="M3323" t="str">
        <f t="shared" si="259"/>
        <v/>
      </c>
    </row>
    <row r="3324" spans="1:13" x14ac:dyDescent="0.3">
      <c r="A3324" t="str">
        <f>Segmenter!A3324</f>
        <v/>
      </c>
      <c r="B3324" t="str">
        <f>Segmenter!B3324</f>
        <v/>
      </c>
      <c r="C3324" t="str">
        <f t="shared" si="255"/>
        <v/>
      </c>
      <c r="D3324" t="str">
        <f t="shared" si="256"/>
        <v/>
      </c>
      <c r="E3324" t="str">
        <f t="shared" si="257"/>
        <v/>
      </c>
      <c r="F3324" t="str">
        <f>IF(D3324="","",INDEX(Knutepunkter!$B:$B,D3324+1))</f>
        <v/>
      </c>
      <c r="G3324" t="str">
        <f>IF(D3324="","",INDEX(Knutepunkter!$C:$C,D3324+1))</f>
        <v/>
      </c>
      <c r="H3324" t="str">
        <f>IF(D3324="","",INDEX(Knutepunkter!$D:$D,D3324+1))</f>
        <v/>
      </c>
      <c r="I3324" t="str">
        <f>IF(E3324="","",INDEX(Knutepunkter!$B:$B,E3324+1))</f>
        <v/>
      </c>
      <c r="J3324" t="str">
        <f>IF(E3324="","",INDEX(Knutepunkter!$C:$C,E3324+1))</f>
        <v/>
      </c>
      <c r="K3324" t="str">
        <f>IF(E3324="","",INDEX(Knutepunkter!$D:$D,E3324+1))</f>
        <v/>
      </c>
      <c r="L3324" t="str">
        <f t="shared" si="258"/>
        <v/>
      </c>
      <c r="M3324" t="str">
        <f t="shared" si="259"/>
        <v/>
      </c>
    </row>
    <row r="3325" spans="1:13" x14ac:dyDescent="0.3">
      <c r="A3325" t="str">
        <f>Segmenter!A3325</f>
        <v/>
      </c>
      <c r="B3325" t="str">
        <f>Segmenter!B3325</f>
        <v/>
      </c>
      <c r="C3325" t="str">
        <f t="shared" si="255"/>
        <v/>
      </c>
      <c r="D3325" t="str">
        <f t="shared" si="256"/>
        <v/>
      </c>
      <c r="E3325" t="str">
        <f t="shared" si="257"/>
        <v/>
      </c>
      <c r="F3325" t="str">
        <f>IF(D3325="","",INDEX(Knutepunkter!$B:$B,D3325+1))</f>
        <v/>
      </c>
      <c r="G3325" t="str">
        <f>IF(D3325="","",INDEX(Knutepunkter!$C:$C,D3325+1))</f>
        <v/>
      </c>
      <c r="H3325" t="str">
        <f>IF(D3325="","",INDEX(Knutepunkter!$D:$D,D3325+1))</f>
        <v/>
      </c>
      <c r="I3325" t="str">
        <f>IF(E3325="","",INDEX(Knutepunkter!$B:$B,E3325+1))</f>
        <v/>
      </c>
      <c r="J3325" t="str">
        <f>IF(E3325="","",INDEX(Knutepunkter!$C:$C,E3325+1))</f>
        <v/>
      </c>
      <c r="K3325" t="str">
        <f>IF(E3325="","",INDEX(Knutepunkter!$D:$D,E3325+1))</f>
        <v/>
      </c>
      <c r="L3325" t="str">
        <f t="shared" si="258"/>
        <v/>
      </c>
      <c r="M3325" t="str">
        <f t="shared" si="259"/>
        <v/>
      </c>
    </row>
    <row r="3326" spans="1:13" x14ac:dyDescent="0.3">
      <c r="A3326" t="str">
        <f>Segmenter!A3326</f>
        <v/>
      </c>
      <c r="B3326" t="str">
        <f>Segmenter!B3326</f>
        <v/>
      </c>
      <c r="C3326" t="str">
        <f t="shared" si="255"/>
        <v/>
      </c>
      <c r="D3326" t="str">
        <f t="shared" si="256"/>
        <v/>
      </c>
      <c r="E3326" t="str">
        <f t="shared" si="257"/>
        <v/>
      </c>
      <c r="F3326" t="str">
        <f>IF(D3326="","",INDEX(Knutepunkter!$B:$B,D3326+1))</f>
        <v/>
      </c>
      <c r="G3326" t="str">
        <f>IF(D3326="","",INDEX(Knutepunkter!$C:$C,D3326+1))</f>
        <v/>
      </c>
      <c r="H3326" t="str">
        <f>IF(D3326="","",INDEX(Knutepunkter!$D:$D,D3326+1))</f>
        <v/>
      </c>
      <c r="I3326" t="str">
        <f>IF(E3326="","",INDEX(Knutepunkter!$B:$B,E3326+1))</f>
        <v/>
      </c>
      <c r="J3326" t="str">
        <f>IF(E3326="","",INDEX(Knutepunkter!$C:$C,E3326+1))</f>
        <v/>
      </c>
      <c r="K3326" t="str">
        <f>IF(E3326="","",INDEX(Knutepunkter!$D:$D,E3326+1))</f>
        <v/>
      </c>
      <c r="L3326" t="str">
        <f t="shared" si="258"/>
        <v/>
      </c>
      <c r="M3326" t="str">
        <f t="shared" si="259"/>
        <v/>
      </c>
    </row>
    <row r="3327" spans="1:13" x14ac:dyDescent="0.3">
      <c r="A3327" t="str">
        <f>Segmenter!A3327</f>
        <v/>
      </c>
      <c r="B3327" t="str">
        <f>Segmenter!B3327</f>
        <v/>
      </c>
      <c r="C3327" t="str">
        <f t="shared" si="255"/>
        <v/>
      </c>
      <c r="D3327" t="str">
        <f t="shared" si="256"/>
        <v/>
      </c>
      <c r="E3327" t="str">
        <f t="shared" si="257"/>
        <v/>
      </c>
      <c r="F3327" t="str">
        <f>IF(D3327="","",INDEX(Knutepunkter!$B:$B,D3327+1))</f>
        <v/>
      </c>
      <c r="G3327" t="str">
        <f>IF(D3327="","",INDEX(Knutepunkter!$C:$C,D3327+1))</f>
        <v/>
      </c>
      <c r="H3327" t="str">
        <f>IF(D3327="","",INDEX(Knutepunkter!$D:$D,D3327+1))</f>
        <v/>
      </c>
      <c r="I3327" t="str">
        <f>IF(E3327="","",INDEX(Knutepunkter!$B:$B,E3327+1))</f>
        <v/>
      </c>
      <c r="J3327" t="str">
        <f>IF(E3327="","",INDEX(Knutepunkter!$C:$C,E3327+1))</f>
        <v/>
      </c>
      <c r="K3327" t="str">
        <f>IF(E3327="","",INDEX(Knutepunkter!$D:$D,E3327+1))</f>
        <v/>
      </c>
      <c r="L3327" t="str">
        <f t="shared" si="258"/>
        <v/>
      </c>
      <c r="M3327" t="str">
        <f t="shared" si="259"/>
        <v/>
      </c>
    </row>
    <row r="3328" spans="1:13" x14ac:dyDescent="0.3">
      <c r="A3328" t="str">
        <f>Segmenter!A3328</f>
        <v/>
      </c>
      <c r="B3328" t="str">
        <f>Segmenter!B3328</f>
        <v/>
      </c>
      <c r="C3328" t="str">
        <f t="shared" si="255"/>
        <v/>
      </c>
      <c r="D3328" t="str">
        <f t="shared" si="256"/>
        <v/>
      </c>
      <c r="E3328" t="str">
        <f t="shared" si="257"/>
        <v/>
      </c>
      <c r="F3328" t="str">
        <f>IF(D3328="","",INDEX(Knutepunkter!$B:$B,D3328+1))</f>
        <v/>
      </c>
      <c r="G3328" t="str">
        <f>IF(D3328="","",INDEX(Knutepunkter!$C:$C,D3328+1))</f>
        <v/>
      </c>
      <c r="H3328" t="str">
        <f>IF(D3328="","",INDEX(Knutepunkter!$D:$D,D3328+1))</f>
        <v/>
      </c>
      <c r="I3328" t="str">
        <f>IF(E3328="","",INDEX(Knutepunkter!$B:$B,E3328+1))</f>
        <v/>
      </c>
      <c r="J3328" t="str">
        <f>IF(E3328="","",INDEX(Knutepunkter!$C:$C,E3328+1))</f>
        <v/>
      </c>
      <c r="K3328" t="str">
        <f>IF(E3328="","",INDEX(Knutepunkter!$D:$D,E3328+1))</f>
        <v/>
      </c>
      <c r="L3328" t="str">
        <f t="shared" si="258"/>
        <v/>
      </c>
      <c r="M3328" t="str">
        <f t="shared" si="259"/>
        <v/>
      </c>
    </row>
    <row r="3329" spans="1:13" x14ac:dyDescent="0.3">
      <c r="A3329" t="str">
        <f>Segmenter!A3329</f>
        <v/>
      </c>
      <c r="B3329" t="str">
        <f>Segmenter!B3329</f>
        <v/>
      </c>
      <c r="C3329" t="str">
        <f t="shared" si="255"/>
        <v/>
      </c>
      <c r="D3329" t="str">
        <f t="shared" si="256"/>
        <v/>
      </c>
      <c r="E3329" t="str">
        <f t="shared" si="257"/>
        <v/>
      </c>
      <c r="F3329" t="str">
        <f>IF(D3329="","",INDEX(Knutepunkter!$B:$B,D3329+1))</f>
        <v/>
      </c>
      <c r="G3329" t="str">
        <f>IF(D3329="","",INDEX(Knutepunkter!$C:$C,D3329+1))</f>
        <v/>
      </c>
      <c r="H3329" t="str">
        <f>IF(D3329="","",INDEX(Knutepunkter!$D:$D,D3329+1))</f>
        <v/>
      </c>
      <c r="I3329" t="str">
        <f>IF(E3329="","",INDEX(Knutepunkter!$B:$B,E3329+1))</f>
        <v/>
      </c>
      <c r="J3329" t="str">
        <f>IF(E3329="","",INDEX(Knutepunkter!$C:$C,E3329+1))</f>
        <v/>
      </c>
      <c r="K3329" t="str">
        <f>IF(E3329="","",INDEX(Knutepunkter!$D:$D,E3329+1))</f>
        <v/>
      </c>
      <c r="L3329" t="str">
        <f t="shared" si="258"/>
        <v/>
      </c>
      <c r="M3329" t="str">
        <f t="shared" si="259"/>
        <v/>
      </c>
    </row>
    <row r="3330" spans="1:13" x14ac:dyDescent="0.3">
      <c r="A3330" t="str">
        <f>Segmenter!A3330</f>
        <v/>
      </c>
      <c r="B3330" t="str">
        <f>Segmenter!B3330</f>
        <v/>
      </c>
      <c r="C3330" t="str">
        <f t="shared" ref="C3330:C3393" si="260">IF(B3330="","",IF(AND(F3330=I3330,G3330=J3330,H3330&lt;&gt;K3330),"Søyle","Bjelke"))</f>
        <v/>
      </c>
      <c r="D3330" t="str">
        <f t="shared" ref="D3330:D3393" si="261">IF(B3330="","",VALUE(LEFT(B3330,FIND(" -&gt; ",B3330)-1)))</f>
        <v/>
      </c>
      <c r="E3330" t="str">
        <f t="shared" ref="E3330:E3393" si="262">IF(B3330="","",VALUE(MID(B3330,FIND(" -&gt; ",B3330)+4,99)))</f>
        <v/>
      </c>
      <c r="F3330" t="str">
        <f>IF(D3330="","",INDEX(Knutepunkter!$B:$B,D3330+1))</f>
        <v/>
      </c>
      <c r="G3330" t="str">
        <f>IF(D3330="","",INDEX(Knutepunkter!$C:$C,D3330+1))</f>
        <v/>
      </c>
      <c r="H3330" t="str">
        <f>IF(D3330="","",INDEX(Knutepunkter!$D:$D,D3330+1))</f>
        <v/>
      </c>
      <c r="I3330" t="str">
        <f>IF(E3330="","",INDEX(Knutepunkter!$B:$B,E3330+1))</f>
        <v/>
      </c>
      <c r="J3330" t="str">
        <f>IF(E3330="","",INDEX(Knutepunkter!$C:$C,E3330+1))</f>
        <v/>
      </c>
      <c r="K3330" t="str">
        <f>IF(E3330="","",INDEX(Knutepunkter!$D:$D,E3330+1))</f>
        <v/>
      </c>
      <c r="L3330" t="str">
        <f t="shared" ref="L3330:L3393" si="263">IF(B3330="","",SQRT((I3330-F3330)^2+(J3330-G3330)^2+(K3330-H3330)^2))</f>
        <v/>
      </c>
      <c r="M3330" t="str">
        <f t="shared" ref="M3330:M3393" si="264">IF(L3330="","",L3330/1000)</f>
        <v/>
      </c>
    </row>
    <row r="3331" spans="1:13" x14ac:dyDescent="0.3">
      <c r="A3331" t="str">
        <f>Segmenter!A3331</f>
        <v/>
      </c>
      <c r="B3331" t="str">
        <f>Segmenter!B3331</f>
        <v/>
      </c>
      <c r="C3331" t="str">
        <f t="shared" si="260"/>
        <v/>
      </c>
      <c r="D3331" t="str">
        <f t="shared" si="261"/>
        <v/>
      </c>
      <c r="E3331" t="str">
        <f t="shared" si="262"/>
        <v/>
      </c>
      <c r="F3331" t="str">
        <f>IF(D3331="","",INDEX(Knutepunkter!$B:$B,D3331+1))</f>
        <v/>
      </c>
      <c r="G3331" t="str">
        <f>IF(D3331="","",INDEX(Knutepunkter!$C:$C,D3331+1))</f>
        <v/>
      </c>
      <c r="H3331" t="str">
        <f>IF(D3331="","",INDEX(Knutepunkter!$D:$D,D3331+1))</f>
        <v/>
      </c>
      <c r="I3331" t="str">
        <f>IF(E3331="","",INDEX(Knutepunkter!$B:$B,E3331+1))</f>
        <v/>
      </c>
      <c r="J3331" t="str">
        <f>IF(E3331="","",INDEX(Knutepunkter!$C:$C,E3331+1))</f>
        <v/>
      </c>
      <c r="K3331" t="str">
        <f>IF(E3331="","",INDEX(Knutepunkter!$D:$D,E3331+1))</f>
        <v/>
      </c>
      <c r="L3331" t="str">
        <f t="shared" si="263"/>
        <v/>
      </c>
      <c r="M3331" t="str">
        <f t="shared" si="264"/>
        <v/>
      </c>
    </row>
    <row r="3332" spans="1:13" x14ac:dyDescent="0.3">
      <c r="A3332" t="str">
        <f>Segmenter!A3332</f>
        <v/>
      </c>
      <c r="B3332" t="str">
        <f>Segmenter!B3332</f>
        <v/>
      </c>
      <c r="C3332" t="str">
        <f t="shared" si="260"/>
        <v/>
      </c>
      <c r="D3332" t="str">
        <f t="shared" si="261"/>
        <v/>
      </c>
      <c r="E3332" t="str">
        <f t="shared" si="262"/>
        <v/>
      </c>
      <c r="F3332" t="str">
        <f>IF(D3332="","",INDEX(Knutepunkter!$B:$B,D3332+1))</f>
        <v/>
      </c>
      <c r="G3332" t="str">
        <f>IF(D3332="","",INDEX(Knutepunkter!$C:$C,D3332+1))</f>
        <v/>
      </c>
      <c r="H3332" t="str">
        <f>IF(D3332="","",INDEX(Knutepunkter!$D:$D,D3332+1))</f>
        <v/>
      </c>
      <c r="I3332" t="str">
        <f>IF(E3332="","",INDEX(Knutepunkter!$B:$B,E3332+1))</f>
        <v/>
      </c>
      <c r="J3332" t="str">
        <f>IF(E3332="","",INDEX(Knutepunkter!$C:$C,E3332+1))</f>
        <v/>
      </c>
      <c r="K3332" t="str">
        <f>IF(E3332="","",INDEX(Knutepunkter!$D:$D,E3332+1))</f>
        <v/>
      </c>
      <c r="L3332" t="str">
        <f t="shared" si="263"/>
        <v/>
      </c>
      <c r="M3332" t="str">
        <f t="shared" si="264"/>
        <v/>
      </c>
    </row>
    <row r="3333" spans="1:13" x14ac:dyDescent="0.3">
      <c r="A3333" t="str">
        <f>Segmenter!A3333</f>
        <v/>
      </c>
      <c r="B3333" t="str">
        <f>Segmenter!B3333</f>
        <v/>
      </c>
      <c r="C3333" t="str">
        <f t="shared" si="260"/>
        <v/>
      </c>
      <c r="D3333" t="str">
        <f t="shared" si="261"/>
        <v/>
      </c>
      <c r="E3333" t="str">
        <f t="shared" si="262"/>
        <v/>
      </c>
      <c r="F3333" t="str">
        <f>IF(D3333="","",INDEX(Knutepunkter!$B:$B,D3333+1))</f>
        <v/>
      </c>
      <c r="G3333" t="str">
        <f>IF(D3333="","",INDEX(Knutepunkter!$C:$C,D3333+1))</f>
        <v/>
      </c>
      <c r="H3333" t="str">
        <f>IF(D3333="","",INDEX(Knutepunkter!$D:$D,D3333+1))</f>
        <v/>
      </c>
      <c r="I3333" t="str">
        <f>IF(E3333="","",INDEX(Knutepunkter!$B:$B,E3333+1))</f>
        <v/>
      </c>
      <c r="J3333" t="str">
        <f>IF(E3333="","",INDEX(Knutepunkter!$C:$C,E3333+1))</f>
        <v/>
      </c>
      <c r="K3333" t="str">
        <f>IF(E3333="","",INDEX(Knutepunkter!$D:$D,E3333+1))</f>
        <v/>
      </c>
      <c r="L3333" t="str">
        <f t="shared" si="263"/>
        <v/>
      </c>
      <c r="M3333" t="str">
        <f t="shared" si="264"/>
        <v/>
      </c>
    </row>
    <row r="3334" spans="1:13" x14ac:dyDescent="0.3">
      <c r="A3334" t="str">
        <f>Segmenter!A3334</f>
        <v/>
      </c>
      <c r="B3334" t="str">
        <f>Segmenter!B3334</f>
        <v/>
      </c>
      <c r="C3334" t="str">
        <f t="shared" si="260"/>
        <v/>
      </c>
      <c r="D3334" t="str">
        <f t="shared" si="261"/>
        <v/>
      </c>
      <c r="E3334" t="str">
        <f t="shared" si="262"/>
        <v/>
      </c>
      <c r="F3334" t="str">
        <f>IF(D3334="","",INDEX(Knutepunkter!$B:$B,D3334+1))</f>
        <v/>
      </c>
      <c r="G3334" t="str">
        <f>IF(D3334="","",INDEX(Knutepunkter!$C:$C,D3334+1))</f>
        <v/>
      </c>
      <c r="H3334" t="str">
        <f>IF(D3334="","",INDEX(Knutepunkter!$D:$D,D3334+1))</f>
        <v/>
      </c>
      <c r="I3334" t="str">
        <f>IF(E3334="","",INDEX(Knutepunkter!$B:$B,E3334+1))</f>
        <v/>
      </c>
      <c r="J3334" t="str">
        <f>IF(E3334="","",INDEX(Knutepunkter!$C:$C,E3334+1))</f>
        <v/>
      </c>
      <c r="K3334" t="str">
        <f>IF(E3334="","",INDEX(Knutepunkter!$D:$D,E3334+1))</f>
        <v/>
      </c>
      <c r="L3334" t="str">
        <f t="shared" si="263"/>
        <v/>
      </c>
      <c r="M3334" t="str">
        <f t="shared" si="264"/>
        <v/>
      </c>
    </row>
    <row r="3335" spans="1:13" x14ac:dyDescent="0.3">
      <c r="A3335" t="str">
        <f>Segmenter!A3335</f>
        <v/>
      </c>
      <c r="B3335" t="str">
        <f>Segmenter!B3335</f>
        <v/>
      </c>
      <c r="C3335" t="str">
        <f t="shared" si="260"/>
        <v/>
      </c>
      <c r="D3335" t="str">
        <f t="shared" si="261"/>
        <v/>
      </c>
      <c r="E3335" t="str">
        <f t="shared" si="262"/>
        <v/>
      </c>
      <c r="F3335" t="str">
        <f>IF(D3335="","",INDEX(Knutepunkter!$B:$B,D3335+1))</f>
        <v/>
      </c>
      <c r="G3335" t="str">
        <f>IF(D3335="","",INDEX(Knutepunkter!$C:$C,D3335+1))</f>
        <v/>
      </c>
      <c r="H3335" t="str">
        <f>IF(D3335="","",INDEX(Knutepunkter!$D:$D,D3335+1))</f>
        <v/>
      </c>
      <c r="I3335" t="str">
        <f>IF(E3335="","",INDEX(Knutepunkter!$B:$B,E3335+1))</f>
        <v/>
      </c>
      <c r="J3335" t="str">
        <f>IF(E3335="","",INDEX(Knutepunkter!$C:$C,E3335+1))</f>
        <v/>
      </c>
      <c r="K3335" t="str">
        <f>IF(E3335="","",INDEX(Knutepunkter!$D:$D,E3335+1))</f>
        <v/>
      </c>
      <c r="L3335" t="str">
        <f t="shared" si="263"/>
        <v/>
      </c>
      <c r="M3335" t="str">
        <f t="shared" si="264"/>
        <v/>
      </c>
    </row>
    <row r="3336" spans="1:13" x14ac:dyDescent="0.3">
      <c r="A3336" t="str">
        <f>Segmenter!A3336</f>
        <v/>
      </c>
      <c r="B3336" t="str">
        <f>Segmenter!B3336</f>
        <v/>
      </c>
      <c r="C3336" t="str">
        <f t="shared" si="260"/>
        <v/>
      </c>
      <c r="D3336" t="str">
        <f t="shared" si="261"/>
        <v/>
      </c>
      <c r="E3336" t="str">
        <f t="shared" si="262"/>
        <v/>
      </c>
      <c r="F3336" t="str">
        <f>IF(D3336="","",INDEX(Knutepunkter!$B:$B,D3336+1))</f>
        <v/>
      </c>
      <c r="G3336" t="str">
        <f>IF(D3336="","",INDEX(Knutepunkter!$C:$C,D3336+1))</f>
        <v/>
      </c>
      <c r="H3336" t="str">
        <f>IF(D3336="","",INDEX(Knutepunkter!$D:$D,D3336+1))</f>
        <v/>
      </c>
      <c r="I3336" t="str">
        <f>IF(E3336="","",INDEX(Knutepunkter!$B:$B,E3336+1))</f>
        <v/>
      </c>
      <c r="J3336" t="str">
        <f>IF(E3336="","",INDEX(Knutepunkter!$C:$C,E3336+1))</f>
        <v/>
      </c>
      <c r="K3336" t="str">
        <f>IF(E3336="","",INDEX(Knutepunkter!$D:$D,E3336+1))</f>
        <v/>
      </c>
      <c r="L3336" t="str">
        <f t="shared" si="263"/>
        <v/>
      </c>
      <c r="M3336" t="str">
        <f t="shared" si="264"/>
        <v/>
      </c>
    </row>
    <row r="3337" spans="1:13" x14ac:dyDescent="0.3">
      <c r="A3337" t="str">
        <f>Segmenter!A3337</f>
        <v/>
      </c>
      <c r="B3337" t="str">
        <f>Segmenter!B3337</f>
        <v/>
      </c>
      <c r="C3337" t="str">
        <f t="shared" si="260"/>
        <v/>
      </c>
      <c r="D3337" t="str">
        <f t="shared" si="261"/>
        <v/>
      </c>
      <c r="E3337" t="str">
        <f t="shared" si="262"/>
        <v/>
      </c>
      <c r="F3337" t="str">
        <f>IF(D3337="","",INDEX(Knutepunkter!$B:$B,D3337+1))</f>
        <v/>
      </c>
      <c r="G3337" t="str">
        <f>IF(D3337="","",INDEX(Knutepunkter!$C:$C,D3337+1))</f>
        <v/>
      </c>
      <c r="H3337" t="str">
        <f>IF(D3337="","",INDEX(Knutepunkter!$D:$D,D3337+1))</f>
        <v/>
      </c>
      <c r="I3337" t="str">
        <f>IF(E3337="","",INDEX(Knutepunkter!$B:$B,E3337+1))</f>
        <v/>
      </c>
      <c r="J3337" t="str">
        <f>IF(E3337="","",INDEX(Knutepunkter!$C:$C,E3337+1))</f>
        <v/>
      </c>
      <c r="K3337" t="str">
        <f>IF(E3337="","",INDEX(Knutepunkter!$D:$D,E3337+1))</f>
        <v/>
      </c>
      <c r="L3337" t="str">
        <f t="shared" si="263"/>
        <v/>
      </c>
      <c r="M3337" t="str">
        <f t="shared" si="264"/>
        <v/>
      </c>
    </row>
    <row r="3338" spans="1:13" x14ac:dyDescent="0.3">
      <c r="A3338" t="str">
        <f>Segmenter!A3338</f>
        <v/>
      </c>
      <c r="B3338" t="str">
        <f>Segmenter!B3338</f>
        <v/>
      </c>
      <c r="C3338" t="str">
        <f t="shared" si="260"/>
        <v/>
      </c>
      <c r="D3338" t="str">
        <f t="shared" si="261"/>
        <v/>
      </c>
      <c r="E3338" t="str">
        <f t="shared" si="262"/>
        <v/>
      </c>
      <c r="F3338" t="str">
        <f>IF(D3338="","",INDEX(Knutepunkter!$B:$B,D3338+1))</f>
        <v/>
      </c>
      <c r="G3338" t="str">
        <f>IF(D3338="","",INDEX(Knutepunkter!$C:$C,D3338+1))</f>
        <v/>
      </c>
      <c r="H3338" t="str">
        <f>IF(D3338="","",INDEX(Knutepunkter!$D:$D,D3338+1))</f>
        <v/>
      </c>
      <c r="I3338" t="str">
        <f>IF(E3338="","",INDEX(Knutepunkter!$B:$B,E3338+1))</f>
        <v/>
      </c>
      <c r="J3338" t="str">
        <f>IF(E3338="","",INDEX(Knutepunkter!$C:$C,E3338+1))</f>
        <v/>
      </c>
      <c r="K3338" t="str">
        <f>IF(E3338="","",INDEX(Knutepunkter!$D:$D,E3338+1))</f>
        <v/>
      </c>
      <c r="L3338" t="str">
        <f t="shared" si="263"/>
        <v/>
      </c>
      <c r="M3338" t="str">
        <f t="shared" si="264"/>
        <v/>
      </c>
    </row>
    <row r="3339" spans="1:13" x14ac:dyDescent="0.3">
      <c r="A3339" t="str">
        <f>Segmenter!A3339</f>
        <v/>
      </c>
      <c r="B3339" t="str">
        <f>Segmenter!B3339</f>
        <v/>
      </c>
      <c r="C3339" t="str">
        <f t="shared" si="260"/>
        <v/>
      </c>
      <c r="D3339" t="str">
        <f t="shared" si="261"/>
        <v/>
      </c>
      <c r="E3339" t="str">
        <f t="shared" si="262"/>
        <v/>
      </c>
      <c r="F3339" t="str">
        <f>IF(D3339="","",INDEX(Knutepunkter!$B:$B,D3339+1))</f>
        <v/>
      </c>
      <c r="G3339" t="str">
        <f>IF(D3339="","",INDEX(Knutepunkter!$C:$C,D3339+1))</f>
        <v/>
      </c>
      <c r="H3339" t="str">
        <f>IF(D3339="","",INDEX(Knutepunkter!$D:$D,D3339+1))</f>
        <v/>
      </c>
      <c r="I3339" t="str">
        <f>IF(E3339="","",INDEX(Knutepunkter!$B:$B,E3339+1))</f>
        <v/>
      </c>
      <c r="J3339" t="str">
        <f>IF(E3339="","",INDEX(Knutepunkter!$C:$C,E3339+1))</f>
        <v/>
      </c>
      <c r="K3339" t="str">
        <f>IF(E3339="","",INDEX(Knutepunkter!$D:$D,E3339+1))</f>
        <v/>
      </c>
      <c r="L3339" t="str">
        <f t="shared" si="263"/>
        <v/>
      </c>
      <c r="M3339" t="str">
        <f t="shared" si="264"/>
        <v/>
      </c>
    </row>
    <row r="3340" spans="1:13" x14ac:dyDescent="0.3">
      <c r="A3340" t="str">
        <f>Segmenter!A3340</f>
        <v/>
      </c>
      <c r="B3340" t="str">
        <f>Segmenter!B3340</f>
        <v/>
      </c>
      <c r="C3340" t="str">
        <f t="shared" si="260"/>
        <v/>
      </c>
      <c r="D3340" t="str">
        <f t="shared" si="261"/>
        <v/>
      </c>
      <c r="E3340" t="str">
        <f t="shared" si="262"/>
        <v/>
      </c>
      <c r="F3340" t="str">
        <f>IF(D3340="","",INDEX(Knutepunkter!$B:$B,D3340+1))</f>
        <v/>
      </c>
      <c r="G3340" t="str">
        <f>IF(D3340="","",INDEX(Knutepunkter!$C:$C,D3340+1))</f>
        <v/>
      </c>
      <c r="H3340" t="str">
        <f>IF(D3340="","",INDEX(Knutepunkter!$D:$D,D3340+1))</f>
        <v/>
      </c>
      <c r="I3340" t="str">
        <f>IF(E3340="","",INDEX(Knutepunkter!$B:$B,E3340+1))</f>
        <v/>
      </c>
      <c r="J3340" t="str">
        <f>IF(E3340="","",INDEX(Knutepunkter!$C:$C,E3340+1))</f>
        <v/>
      </c>
      <c r="K3340" t="str">
        <f>IF(E3340="","",INDEX(Knutepunkter!$D:$D,E3340+1))</f>
        <v/>
      </c>
      <c r="L3340" t="str">
        <f t="shared" si="263"/>
        <v/>
      </c>
      <c r="M3340" t="str">
        <f t="shared" si="264"/>
        <v/>
      </c>
    </row>
    <row r="3341" spans="1:13" x14ac:dyDescent="0.3">
      <c r="A3341" t="str">
        <f>Segmenter!A3341</f>
        <v/>
      </c>
      <c r="B3341" t="str">
        <f>Segmenter!B3341</f>
        <v/>
      </c>
      <c r="C3341" t="str">
        <f t="shared" si="260"/>
        <v/>
      </c>
      <c r="D3341" t="str">
        <f t="shared" si="261"/>
        <v/>
      </c>
      <c r="E3341" t="str">
        <f t="shared" si="262"/>
        <v/>
      </c>
      <c r="F3341" t="str">
        <f>IF(D3341="","",INDEX(Knutepunkter!$B:$B,D3341+1))</f>
        <v/>
      </c>
      <c r="G3341" t="str">
        <f>IF(D3341="","",INDEX(Knutepunkter!$C:$C,D3341+1))</f>
        <v/>
      </c>
      <c r="H3341" t="str">
        <f>IF(D3341="","",INDEX(Knutepunkter!$D:$D,D3341+1))</f>
        <v/>
      </c>
      <c r="I3341" t="str">
        <f>IF(E3341="","",INDEX(Knutepunkter!$B:$B,E3341+1))</f>
        <v/>
      </c>
      <c r="J3341" t="str">
        <f>IF(E3341="","",INDEX(Knutepunkter!$C:$C,E3341+1))</f>
        <v/>
      </c>
      <c r="K3341" t="str">
        <f>IF(E3341="","",INDEX(Knutepunkter!$D:$D,E3341+1))</f>
        <v/>
      </c>
      <c r="L3341" t="str">
        <f t="shared" si="263"/>
        <v/>
      </c>
      <c r="M3341" t="str">
        <f t="shared" si="264"/>
        <v/>
      </c>
    </row>
    <row r="3342" spans="1:13" x14ac:dyDescent="0.3">
      <c r="A3342" t="str">
        <f>Segmenter!A3342</f>
        <v/>
      </c>
      <c r="B3342" t="str">
        <f>Segmenter!B3342</f>
        <v/>
      </c>
      <c r="C3342" t="str">
        <f t="shared" si="260"/>
        <v/>
      </c>
      <c r="D3342" t="str">
        <f t="shared" si="261"/>
        <v/>
      </c>
      <c r="E3342" t="str">
        <f t="shared" si="262"/>
        <v/>
      </c>
      <c r="F3342" t="str">
        <f>IF(D3342="","",INDEX(Knutepunkter!$B:$B,D3342+1))</f>
        <v/>
      </c>
      <c r="G3342" t="str">
        <f>IF(D3342="","",INDEX(Knutepunkter!$C:$C,D3342+1))</f>
        <v/>
      </c>
      <c r="H3342" t="str">
        <f>IF(D3342="","",INDEX(Knutepunkter!$D:$D,D3342+1))</f>
        <v/>
      </c>
      <c r="I3342" t="str">
        <f>IF(E3342="","",INDEX(Knutepunkter!$B:$B,E3342+1))</f>
        <v/>
      </c>
      <c r="J3342" t="str">
        <f>IF(E3342="","",INDEX(Knutepunkter!$C:$C,E3342+1))</f>
        <v/>
      </c>
      <c r="K3342" t="str">
        <f>IF(E3342="","",INDEX(Knutepunkter!$D:$D,E3342+1))</f>
        <v/>
      </c>
      <c r="L3342" t="str">
        <f t="shared" si="263"/>
        <v/>
      </c>
      <c r="M3342" t="str">
        <f t="shared" si="264"/>
        <v/>
      </c>
    </row>
    <row r="3343" spans="1:13" x14ac:dyDescent="0.3">
      <c r="A3343" t="str">
        <f>Segmenter!A3343</f>
        <v/>
      </c>
      <c r="B3343" t="str">
        <f>Segmenter!B3343</f>
        <v/>
      </c>
      <c r="C3343" t="str">
        <f t="shared" si="260"/>
        <v/>
      </c>
      <c r="D3343" t="str">
        <f t="shared" si="261"/>
        <v/>
      </c>
      <c r="E3343" t="str">
        <f t="shared" si="262"/>
        <v/>
      </c>
      <c r="F3343" t="str">
        <f>IF(D3343="","",INDEX(Knutepunkter!$B:$B,D3343+1))</f>
        <v/>
      </c>
      <c r="G3343" t="str">
        <f>IF(D3343="","",INDEX(Knutepunkter!$C:$C,D3343+1))</f>
        <v/>
      </c>
      <c r="H3343" t="str">
        <f>IF(D3343="","",INDEX(Knutepunkter!$D:$D,D3343+1))</f>
        <v/>
      </c>
      <c r="I3343" t="str">
        <f>IF(E3343="","",INDEX(Knutepunkter!$B:$B,E3343+1))</f>
        <v/>
      </c>
      <c r="J3343" t="str">
        <f>IF(E3343="","",INDEX(Knutepunkter!$C:$C,E3343+1))</f>
        <v/>
      </c>
      <c r="K3343" t="str">
        <f>IF(E3343="","",INDEX(Knutepunkter!$D:$D,E3343+1))</f>
        <v/>
      </c>
      <c r="L3343" t="str">
        <f t="shared" si="263"/>
        <v/>
      </c>
      <c r="M3343" t="str">
        <f t="shared" si="264"/>
        <v/>
      </c>
    </row>
    <row r="3344" spans="1:13" x14ac:dyDescent="0.3">
      <c r="A3344" t="str">
        <f>Segmenter!A3344</f>
        <v/>
      </c>
      <c r="B3344" t="str">
        <f>Segmenter!B3344</f>
        <v/>
      </c>
      <c r="C3344" t="str">
        <f t="shared" si="260"/>
        <v/>
      </c>
      <c r="D3344" t="str">
        <f t="shared" si="261"/>
        <v/>
      </c>
      <c r="E3344" t="str">
        <f t="shared" si="262"/>
        <v/>
      </c>
      <c r="F3344" t="str">
        <f>IF(D3344="","",INDEX(Knutepunkter!$B:$B,D3344+1))</f>
        <v/>
      </c>
      <c r="G3344" t="str">
        <f>IF(D3344="","",INDEX(Knutepunkter!$C:$C,D3344+1))</f>
        <v/>
      </c>
      <c r="H3344" t="str">
        <f>IF(D3344="","",INDEX(Knutepunkter!$D:$D,D3344+1))</f>
        <v/>
      </c>
      <c r="I3344" t="str">
        <f>IF(E3344="","",INDEX(Knutepunkter!$B:$B,E3344+1))</f>
        <v/>
      </c>
      <c r="J3344" t="str">
        <f>IF(E3344="","",INDEX(Knutepunkter!$C:$C,E3344+1))</f>
        <v/>
      </c>
      <c r="K3344" t="str">
        <f>IF(E3344="","",INDEX(Knutepunkter!$D:$D,E3344+1))</f>
        <v/>
      </c>
      <c r="L3344" t="str">
        <f t="shared" si="263"/>
        <v/>
      </c>
      <c r="M3344" t="str">
        <f t="shared" si="264"/>
        <v/>
      </c>
    </row>
    <row r="3345" spans="1:13" x14ac:dyDescent="0.3">
      <c r="A3345" t="str">
        <f>Segmenter!A3345</f>
        <v/>
      </c>
      <c r="B3345" t="str">
        <f>Segmenter!B3345</f>
        <v/>
      </c>
      <c r="C3345" t="str">
        <f t="shared" si="260"/>
        <v/>
      </c>
      <c r="D3345" t="str">
        <f t="shared" si="261"/>
        <v/>
      </c>
      <c r="E3345" t="str">
        <f t="shared" si="262"/>
        <v/>
      </c>
      <c r="F3345" t="str">
        <f>IF(D3345="","",INDEX(Knutepunkter!$B:$B,D3345+1))</f>
        <v/>
      </c>
      <c r="G3345" t="str">
        <f>IF(D3345="","",INDEX(Knutepunkter!$C:$C,D3345+1))</f>
        <v/>
      </c>
      <c r="H3345" t="str">
        <f>IF(D3345="","",INDEX(Knutepunkter!$D:$D,D3345+1))</f>
        <v/>
      </c>
      <c r="I3345" t="str">
        <f>IF(E3345="","",INDEX(Knutepunkter!$B:$B,E3345+1))</f>
        <v/>
      </c>
      <c r="J3345" t="str">
        <f>IF(E3345="","",INDEX(Knutepunkter!$C:$C,E3345+1))</f>
        <v/>
      </c>
      <c r="K3345" t="str">
        <f>IF(E3345="","",INDEX(Knutepunkter!$D:$D,E3345+1))</f>
        <v/>
      </c>
      <c r="L3345" t="str">
        <f t="shared" si="263"/>
        <v/>
      </c>
      <c r="M3345" t="str">
        <f t="shared" si="264"/>
        <v/>
      </c>
    </row>
    <row r="3346" spans="1:13" x14ac:dyDescent="0.3">
      <c r="A3346" t="str">
        <f>Segmenter!A3346</f>
        <v/>
      </c>
      <c r="B3346" t="str">
        <f>Segmenter!B3346</f>
        <v/>
      </c>
      <c r="C3346" t="str">
        <f t="shared" si="260"/>
        <v/>
      </c>
      <c r="D3346" t="str">
        <f t="shared" si="261"/>
        <v/>
      </c>
      <c r="E3346" t="str">
        <f t="shared" si="262"/>
        <v/>
      </c>
      <c r="F3346" t="str">
        <f>IF(D3346="","",INDEX(Knutepunkter!$B:$B,D3346+1))</f>
        <v/>
      </c>
      <c r="G3346" t="str">
        <f>IF(D3346="","",INDEX(Knutepunkter!$C:$C,D3346+1))</f>
        <v/>
      </c>
      <c r="H3346" t="str">
        <f>IF(D3346="","",INDEX(Knutepunkter!$D:$D,D3346+1))</f>
        <v/>
      </c>
      <c r="I3346" t="str">
        <f>IF(E3346="","",INDEX(Knutepunkter!$B:$B,E3346+1))</f>
        <v/>
      </c>
      <c r="J3346" t="str">
        <f>IF(E3346="","",INDEX(Knutepunkter!$C:$C,E3346+1))</f>
        <v/>
      </c>
      <c r="K3346" t="str">
        <f>IF(E3346="","",INDEX(Knutepunkter!$D:$D,E3346+1))</f>
        <v/>
      </c>
      <c r="L3346" t="str">
        <f t="shared" si="263"/>
        <v/>
      </c>
      <c r="M3346" t="str">
        <f t="shared" si="264"/>
        <v/>
      </c>
    </row>
    <row r="3347" spans="1:13" x14ac:dyDescent="0.3">
      <c r="A3347" t="str">
        <f>Segmenter!A3347</f>
        <v/>
      </c>
      <c r="B3347" t="str">
        <f>Segmenter!B3347</f>
        <v/>
      </c>
      <c r="C3347" t="str">
        <f t="shared" si="260"/>
        <v/>
      </c>
      <c r="D3347" t="str">
        <f t="shared" si="261"/>
        <v/>
      </c>
      <c r="E3347" t="str">
        <f t="shared" si="262"/>
        <v/>
      </c>
      <c r="F3347" t="str">
        <f>IF(D3347="","",INDEX(Knutepunkter!$B:$B,D3347+1))</f>
        <v/>
      </c>
      <c r="G3347" t="str">
        <f>IF(D3347="","",INDEX(Knutepunkter!$C:$C,D3347+1))</f>
        <v/>
      </c>
      <c r="H3347" t="str">
        <f>IF(D3347="","",INDEX(Knutepunkter!$D:$D,D3347+1))</f>
        <v/>
      </c>
      <c r="I3347" t="str">
        <f>IF(E3347="","",INDEX(Knutepunkter!$B:$B,E3347+1))</f>
        <v/>
      </c>
      <c r="J3347" t="str">
        <f>IF(E3347="","",INDEX(Knutepunkter!$C:$C,E3347+1))</f>
        <v/>
      </c>
      <c r="K3347" t="str">
        <f>IF(E3347="","",INDEX(Knutepunkter!$D:$D,E3347+1))</f>
        <v/>
      </c>
      <c r="L3347" t="str">
        <f t="shared" si="263"/>
        <v/>
      </c>
      <c r="M3347" t="str">
        <f t="shared" si="264"/>
        <v/>
      </c>
    </row>
    <row r="3348" spans="1:13" x14ac:dyDescent="0.3">
      <c r="A3348" t="str">
        <f>Segmenter!A3348</f>
        <v/>
      </c>
      <c r="B3348" t="str">
        <f>Segmenter!B3348</f>
        <v/>
      </c>
      <c r="C3348" t="str">
        <f t="shared" si="260"/>
        <v/>
      </c>
      <c r="D3348" t="str">
        <f t="shared" si="261"/>
        <v/>
      </c>
      <c r="E3348" t="str">
        <f t="shared" si="262"/>
        <v/>
      </c>
      <c r="F3348" t="str">
        <f>IF(D3348="","",INDEX(Knutepunkter!$B:$B,D3348+1))</f>
        <v/>
      </c>
      <c r="G3348" t="str">
        <f>IF(D3348="","",INDEX(Knutepunkter!$C:$C,D3348+1))</f>
        <v/>
      </c>
      <c r="H3348" t="str">
        <f>IF(D3348="","",INDEX(Knutepunkter!$D:$D,D3348+1))</f>
        <v/>
      </c>
      <c r="I3348" t="str">
        <f>IF(E3348="","",INDEX(Knutepunkter!$B:$B,E3348+1))</f>
        <v/>
      </c>
      <c r="J3348" t="str">
        <f>IF(E3348="","",INDEX(Knutepunkter!$C:$C,E3348+1))</f>
        <v/>
      </c>
      <c r="K3348" t="str">
        <f>IF(E3348="","",INDEX(Knutepunkter!$D:$D,E3348+1))</f>
        <v/>
      </c>
      <c r="L3348" t="str">
        <f t="shared" si="263"/>
        <v/>
      </c>
      <c r="M3348" t="str">
        <f t="shared" si="264"/>
        <v/>
      </c>
    </row>
    <row r="3349" spans="1:13" x14ac:dyDescent="0.3">
      <c r="A3349" t="str">
        <f>Segmenter!A3349</f>
        <v/>
      </c>
      <c r="B3349" t="str">
        <f>Segmenter!B3349</f>
        <v/>
      </c>
      <c r="C3349" t="str">
        <f t="shared" si="260"/>
        <v/>
      </c>
      <c r="D3349" t="str">
        <f t="shared" si="261"/>
        <v/>
      </c>
      <c r="E3349" t="str">
        <f t="shared" si="262"/>
        <v/>
      </c>
      <c r="F3349" t="str">
        <f>IF(D3349="","",INDEX(Knutepunkter!$B:$B,D3349+1))</f>
        <v/>
      </c>
      <c r="G3349" t="str">
        <f>IF(D3349="","",INDEX(Knutepunkter!$C:$C,D3349+1))</f>
        <v/>
      </c>
      <c r="H3349" t="str">
        <f>IF(D3349="","",INDEX(Knutepunkter!$D:$D,D3349+1))</f>
        <v/>
      </c>
      <c r="I3349" t="str">
        <f>IF(E3349="","",INDEX(Knutepunkter!$B:$B,E3349+1))</f>
        <v/>
      </c>
      <c r="J3349" t="str">
        <f>IF(E3349="","",INDEX(Knutepunkter!$C:$C,E3349+1))</f>
        <v/>
      </c>
      <c r="K3349" t="str">
        <f>IF(E3349="","",INDEX(Knutepunkter!$D:$D,E3349+1))</f>
        <v/>
      </c>
      <c r="L3349" t="str">
        <f t="shared" si="263"/>
        <v/>
      </c>
      <c r="M3349" t="str">
        <f t="shared" si="264"/>
        <v/>
      </c>
    </row>
    <row r="3350" spans="1:13" x14ac:dyDescent="0.3">
      <c r="A3350" t="str">
        <f>Segmenter!A3350</f>
        <v/>
      </c>
      <c r="B3350" t="str">
        <f>Segmenter!B3350</f>
        <v/>
      </c>
      <c r="C3350" t="str">
        <f t="shared" si="260"/>
        <v/>
      </c>
      <c r="D3350" t="str">
        <f t="shared" si="261"/>
        <v/>
      </c>
      <c r="E3350" t="str">
        <f t="shared" si="262"/>
        <v/>
      </c>
      <c r="F3350" t="str">
        <f>IF(D3350="","",INDEX(Knutepunkter!$B:$B,D3350+1))</f>
        <v/>
      </c>
      <c r="G3350" t="str">
        <f>IF(D3350="","",INDEX(Knutepunkter!$C:$C,D3350+1))</f>
        <v/>
      </c>
      <c r="H3350" t="str">
        <f>IF(D3350="","",INDEX(Knutepunkter!$D:$D,D3350+1))</f>
        <v/>
      </c>
      <c r="I3350" t="str">
        <f>IF(E3350="","",INDEX(Knutepunkter!$B:$B,E3350+1))</f>
        <v/>
      </c>
      <c r="J3350" t="str">
        <f>IF(E3350="","",INDEX(Knutepunkter!$C:$C,E3350+1))</f>
        <v/>
      </c>
      <c r="K3350" t="str">
        <f>IF(E3350="","",INDEX(Knutepunkter!$D:$D,E3350+1))</f>
        <v/>
      </c>
      <c r="L3350" t="str">
        <f t="shared" si="263"/>
        <v/>
      </c>
      <c r="M3350" t="str">
        <f t="shared" si="264"/>
        <v/>
      </c>
    </row>
    <row r="3351" spans="1:13" x14ac:dyDescent="0.3">
      <c r="A3351" t="str">
        <f>Segmenter!A3351</f>
        <v/>
      </c>
      <c r="B3351" t="str">
        <f>Segmenter!B3351</f>
        <v/>
      </c>
      <c r="C3351" t="str">
        <f t="shared" si="260"/>
        <v/>
      </c>
      <c r="D3351" t="str">
        <f t="shared" si="261"/>
        <v/>
      </c>
      <c r="E3351" t="str">
        <f t="shared" si="262"/>
        <v/>
      </c>
      <c r="F3351" t="str">
        <f>IF(D3351="","",INDEX(Knutepunkter!$B:$B,D3351+1))</f>
        <v/>
      </c>
      <c r="G3351" t="str">
        <f>IF(D3351="","",INDEX(Knutepunkter!$C:$C,D3351+1))</f>
        <v/>
      </c>
      <c r="H3351" t="str">
        <f>IF(D3351="","",INDEX(Knutepunkter!$D:$D,D3351+1))</f>
        <v/>
      </c>
      <c r="I3351" t="str">
        <f>IF(E3351="","",INDEX(Knutepunkter!$B:$B,E3351+1))</f>
        <v/>
      </c>
      <c r="J3351" t="str">
        <f>IF(E3351="","",INDEX(Knutepunkter!$C:$C,E3351+1))</f>
        <v/>
      </c>
      <c r="K3351" t="str">
        <f>IF(E3351="","",INDEX(Knutepunkter!$D:$D,E3351+1))</f>
        <v/>
      </c>
      <c r="L3351" t="str">
        <f t="shared" si="263"/>
        <v/>
      </c>
      <c r="M3351" t="str">
        <f t="shared" si="264"/>
        <v/>
      </c>
    </row>
    <row r="3352" spans="1:13" x14ac:dyDescent="0.3">
      <c r="A3352" t="str">
        <f>Segmenter!A3352</f>
        <v/>
      </c>
      <c r="B3352" t="str">
        <f>Segmenter!B3352</f>
        <v/>
      </c>
      <c r="C3352" t="str">
        <f t="shared" si="260"/>
        <v/>
      </c>
      <c r="D3352" t="str">
        <f t="shared" si="261"/>
        <v/>
      </c>
      <c r="E3352" t="str">
        <f t="shared" si="262"/>
        <v/>
      </c>
      <c r="F3352" t="str">
        <f>IF(D3352="","",INDEX(Knutepunkter!$B:$B,D3352+1))</f>
        <v/>
      </c>
      <c r="G3352" t="str">
        <f>IF(D3352="","",INDEX(Knutepunkter!$C:$C,D3352+1))</f>
        <v/>
      </c>
      <c r="H3352" t="str">
        <f>IF(D3352="","",INDEX(Knutepunkter!$D:$D,D3352+1))</f>
        <v/>
      </c>
      <c r="I3352" t="str">
        <f>IF(E3352="","",INDEX(Knutepunkter!$B:$B,E3352+1))</f>
        <v/>
      </c>
      <c r="J3352" t="str">
        <f>IF(E3352="","",INDEX(Knutepunkter!$C:$C,E3352+1))</f>
        <v/>
      </c>
      <c r="K3352" t="str">
        <f>IF(E3352="","",INDEX(Knutepunkter!$D:$D,E3352+1))</f>
        <v/>
      </c>
      <c r="L3352" t="str">
        <f t="shared" si="263"/>
        <v/>
      </c>
      <c r="M3352" t="str">
        <f t="shared" si="264"/>
        <v/>
      </c>
    </row>
    <row r="3353" spans="1:13" x14ac:dyDescent="0.3">
      <c r="A3353" t="str">
        <f>Segmenter!A3353</f>
        <v/>
      </c>
      <c r="B3353" t="str">
        <f>Segmenter!B3353</f>
        <v/>
      </c>
      <c r="C3353" t="str">
        <f t="shared" si="260"/>
        <v/>
      </c>
      <c r="D3353" t="str">
        <f t="shared" si="261"/>
        <v/>
      </c>
      <c r="E3353" t="str">
        <f t="shared" si="262"/>
        <v/>
      </c>
      <c r="F3353" t="str">
        <f>IF(D3353="","",INDEX(Knutepunkter!$B:$B,D3353+1))</f>
        <v/>
      </c>
      <c r="G3353" t="str">
        <f>IF(D3353="","",INDEX(Knutepunkter!$C:$C,D3353+1))</f>
        <v/>
      </c>
      <c r="H3353" t="str">
        <f>IF(D3353="","",INDEX(Knutepunkter!$D:$D,D3353+1))</f>
        <v/>
      </c>
      <c r="I3353" t="str">
        <f>IF(E3353="","",INDEX(Knutepunkter!$B:$B,E3353+1))</f>
        <v/>
      </c>
      <c r="J3353" t="str">
        <f>IF(E3353="","",INDEX(Knutepunkter!$C:$C,E3353+1))</f>
        <v/>
      </c>
      <c r="K3353" t="str">
        <f>IF(E3353="","",INDEX(Knutepunkter!$D:$D,E3353+1))</f>
        <v/>
      </c>
      <c r="L3353" t="str">
        <f t="shared" si="263"/>
        <v/>
      </c>
      <c r="M3353" t="str">
        <f t="shared" si="264"/>
        <v/>
      </c>
    </row>
    <row r="3354" spans="1:13" x14ac:dyDescent="0.3">
      <c r="A3354" t="str">
        <f>Segmenter!A3354</f>
        <v/>
      </c>
      <c r="B3354" t="str">
        <f>Segmenter!B3354</f>
        <v/>
      </c>
      <c r="C3354" t="str">
        <f t="shared" si="260"/>
        <v/>
      </c>
      <c r="D3354" t="str">
        <f t="shared" si="261"/>
        <v/>
      </c>
      <c r="E3354" t="str">
        <f t="shared" si="262"/>
        <v/>
      </c>
      <c r="F3354" t="str">
        <f>IF(D3354="","",INDEX(Knutepunkter!$B:$B,D3354+1))</f>
        <v/>
      </c>
      <c r="G3354" t="str">
        <f>IF(D3354="","",INDEX(Knutepunkter!$C:$C,D3354+1))</f>
        <v/>
      </c>
      <c r="H3354" t="str">
        <f>IF(D3354="","",INDEX(Knutepunkter!$D:$D,D3354+1))</f>
        <v/>
      </c>
      <c r="I3354" t="str">
        <f>IF(E3354="","",INDEX(Knutepunkter!$B:$B,E3354+1))</f>
        <v/>
      </c>
      <c r="J3354" t="str">
        <f>IF(E3354="","",INDEX(Knutepunkter!$C:$C,E3354+1))</f>
        <v/>
      </c>
      <c r="K3354" t="str">
        <f>IF(E3354="","",INDEX(Knutepunkter!$D:$D,E3354+1))</f>
        <v/>
      </c>
      <c r="L3354" t="str">
        <f t="shared" si="263"/>
        <v/>
      </c>
      <c r="M3354" t="str">
        <f t="shared" si="264"/>
        <v/>
      </c>
    </row>
    <row r="3355" spans="1:13" x14ac:dyDescent="0.3">
      <c r="A3355" t="str">
        <f>Segmenter!A3355</f>
        <v/>
      </c>
      <c r="B3355" t="str">
        <f>Segmenter!B3355</f>
        <v/>
      </c>
      <c r="C3355" t="str">
        <f t="shared" si="260"/>
        <v/>
      </c>
      <c r="D3355" t="str">
        <f t="shared" si="261"/>
        <v/>
      </c>
      <c r="E3355" t="str">
        <f t="shared" si="262"/>
        <v/>
      </c>
      <c r="F3355" t="str">
        <f>IF(D3355="","",INDEX(Knutepunkter!$B:$B,D3355+1))</f>
        <v/>
      </c>
      <c r="G3355" t="str">
        <f>IF(D3355="","",INDEX(Knutepunkter!$C:$C,D3355+1))</f>
        <v/>
      </c>
      <c r="H3355" t="str">
        <f>IF(D3355="","",INDEX(Knutepunkter!$D:$D,D3355+1))</f>
        <v/>
      </c>
      <c r="I3355" t="str">
        <f>IF(E3355="","",INDEX(Knutepunkter!$B:$B,E3355+1))</f>
        <v/>
      </c>
      <c r="J3355" t="str">
        <f>IF(E3355="","",INDEX(Knutepunkter!$C:$C,E3355+1))</f>
        <v/>
      </c>
      <c r="K3355" t="str">
        <f>IF(E3355="","",INDEX(Knutepunkter!$D:$D,E3355+1))</f>
        <v/>
      </c>
      <c r="L3355" t="str">
        <f t="shared" si="263"/>
        <v/>
      </c>
      <c r="M3355" t="str">
        <f t="shared" si="264"/>
        <v/>
      </c>
    </row>
    <row r="3356" spans="1:13" x14ac:dyDescent="0.3">
      <c r="A3356" t="str">
        <f>Segmenter!A3356</f>
        <v/>
      </c>
      <c r="B3356" t="str">
        <f>Segmenter!B3356</f>
        <v/>
      </c>
      <c r="C3356" t="str">
        <f t="shared" si="260"/>
        <v/>
      </c>
      <c r="D3356" t="str">
        <f t="shared" si="261"/>
        <v/>
      </c>
      <c r="E3356" t="str">
        <f t="shared" si="262"/>
        <v/>
      </c>
      <c r="F3356" t="str">
        <f>IF(D3356="","",INDEX(Knutepunkter!$B:$B,D3356+1))</f>
        <v/>
      </c>
      <c r="G3356" t="str">
        <f>IF(D3356="","",INDEX(Knutepunkter!$C:$C,D3356+1))</f>
        <v/>
      </c>
      <c r="H3356" t="str">
        <f>IF(D3356="","",INDEX(Knutepunkter!$D:$D,D3356+1))</f>
        <v/>
      </c>
      <c r="I3356" t="str">
        <f>IF(E3356="","",INDEX(Knutepunkter!$B:$B,E3356+1))</f>
        <v/>
      </c>
      <c r="J3356" t="str">
        <f>IF(E3356="","",INDEX(Knutepunkter!$C:$C,E3356+1))</f>
        <v/>
      </c>
      <c r="K3356" t="str">
        <f>IF(E3356="","",INDEX(Knutepunkter!$D:$D,E3356+1))</f>
        <v/>
      </c>
      <c r="L3356" t="str">
        <f t="shared" si="263"/>
        <v/>
      </c>
      <c r="M3356" t="str">
        <f t="shared" si="264"/>
        <v/>
      </c>
    </row>
    <row r="3357" spans="1:13" x14ac:dyDescent="0.3">
      <c r="A3357" t="str">
        <f>Segmenter!A3357</f>
        <v/>
      </c>
      <c r="B3357" t="str">
        <f>Segmenter!B3357</f>
        <v/>
      </c>
      <c r="C3357" t="str">
        <f t="shared" si="260"/>
        <v/>
      </c>
      <c r="D3357" t="str">
        <f t="shared" si="261"/>
        <v/>
      </c>
      <c r="E3357" t="str">
        <f t="shared" si="262"/>
        <v/>
      </c>
      <c r="F3357" t="str">
        <f>IF(D3357="","",INDEX(Knutepunkter!$B:$B,D3357+1))</f>
        <v/>
      </c>
      <c r="G3357" t="str">
        <f>IF(D3357="","",INDEX(Knutepunkter!$C:$C,D3357+1))</f>
        <v/>
      </c>
      <c r="H3357" t="str">
        <f>IF(D3357="","",INDEX(Knutepunkter!$D:$D,D3357+1))</f>
        <v/>
      </c>
      <c r="I3357" t="str">
        <f>IF(E3357="","",INDEX(Knutepunkter!$B:$B,E3357+1))</f>
        <v/>
      </c>
      <c r="J3357" t="str">
        <f>IF(E3357="","",INDEX(Knutepunkter!$C:$C,E3357+1))</f>
        <v/>
      </c>
      <c r="K3357" t="str">
        <f>IF(E3357="","",INDEX(Knutepunkter!$D:$D,E3357+1))</f>
        <v/>
      </c>
      <c r="L3357" t="str">
        <f t="shared" si="263"/>
        <v/>
      </c>
      <c r="M3357" t="str">
        <f t="shared" si="264"/>
        <v/>
      </c>
    </row>
    <row r="3358" spans="1:13" x14ac:dyDescent="0.3">
      <c r="A3358" t="str">
        <f>Segmenter!A3358</f>
        <v/>
      </c>
      <c r="B3358" t="str">
        <f>Segmenter!B3358</f>
        <v/>
      </c>
      <c r="C3358" t="str">
        <f t="shared" si="260"/>
        <v/>
      </c>
      <c r="D3358" t="str">
        <f t="shared" si="261"/>
        <v/>
      </c>
      <c r="E3358" t="str">
        <f t="shared" si="262"/>
        <v/>
      </c>
      <c r="F3358" t="str">
        <f>IF(D3358="","",INDEX(Knutepunkter!$B:$B,D3358+1))</f>
        <v/>
      </c>
      <c r="G3358" t="str">
        <f>IF(D3358="","",INDEX(Knutepunkter!$C:$C,D3358+1))</f>
        <v/>
      </c>
      <c r="H3358" t="str">
        <f>IF(D3358="","",INDEX(Knutepunkter!$D:$D,D3358+1))</f>
        <v/>
      </c>
      <c r="I3358" t="str">
        <f>IF(E3358="","",INDEX(Knutepunkter!$B:$B,E3358+1))</f>
        <v/>
      </c>
      <c r="J3358" t="str">
        <f>IF(E3358="","",INDEX(Knutepunkter!$C:$C,E3358+1))</f>
        <v/>
      </c>
      <c r="K3358" t="str">
        <f>IF(E3358="","",INDEX(Knutepunkter!$D:$D,E3358+1))</f>
        <v/>
      </c>
      <c r="L3358" t="str">
        <f t="shared" si="263"/>
        <v/>
      </c>
      <c r="M3358" t="str">
        <f t="shared" si="264"/>
        <v/>
      </c>
    </row>
    <row r="3359" spans="1:13" x14ac:dyDescent="0.3">
      <c r="A3359" t="str">
        <f>Segmenter!A3359</f>
        <v/>
      </c>
      <c r="B3359" t="str">
        <f>Segmenter!B3359</f>
        <v/>
      </c>
      <c r="C3359" t="str">
        <f t="shared" si="260"/>
        <v/>
      </c>
      <c r="D3359" t="str">
        <f t="shared" si="261"/>
        <v/>
      </c>
      <c r="E3359" t="str">
        <f t="shared" si="262"/>
        <v/>
      </c>
      <c r="F3359" t="str">
        <f>IF(D3359="","",INDEX(Knutepunkter!$B:$B,D3359+1))</f>
        <v/>
      </c>
      <c r="G3359" t="str">
        <f>IF(D3359="","",INDEX(Knutepunkter!$C:$C,D3359+1))</f>
        <v/>
      </c>
      <c r="H3359" t="str">
        <f>IF(D3359="","",INDEX(Knutepunkter!$D:$D,D3359+1))</f>
        <v/>
      </c>
      <c r="I3359" t="str">
        <f>IF(E3359="","",INDEX(Knutepunkter!$B:$B,E3359+1))</f>
        <v/>
      </c>
      <c r="J3359" t="str">
        <f>IF(E3359="","",INDEX(Knutepunkter!$C:$C,E3359+1))</f>
        <v/>
      </c>
      <c r="K3359" t="str">
        <f>IF(E3359="","",INDEX(Knutepunkter!$D:$D,E3359+1))</f>
        <v/>
      </c>
      <c r="L3359" t="str">
        <f t="shared" si="263"/>
        <v/>
      </c>
      <c r="M3359" t="str">
        <f t="shared" si="264"/>
        <v/>
      </c>
    </row>
    <row r="3360" spans="1:13" x14ac:dyDescent="0.3">
      <c r="A3360" t="str">
        <f>Segmenter!A3360</f>
        <v/>
      </c>
      <c r="B3360" t="str">
        <f>Segmenter!B3360</f>
        <v/>
      </c>
      <c r="C3360" t="str">
        <f t="shared" si="260"/>
        <v/>
      </c>
      <c r="D3360" t="str">
        <f t="shared" si="261"/>
        <v/>
      </c>
      <c r="E3360" t="str">
        <f t="shared" si="262"/>
        <v/>
      </c>
      <c r="F3360" t="str">
        <f>IF(D3360="","",INDEX(Knutepunkter!$B:$B,D3360+1))</f>
        <v/>
      </c>
      <c r="G3360" t="str">
        <f>IF(D3360="","",INDEX(Knutepunkter!$C:$C,D3360+1))</f>
        <v/>
      </c>
      <c r="H3360" t="str">
        <f>IF(D3360="","",INDEX(Knutepunkter!$D:$D,D3360+1))</f>
        <v/>
      </c>
      <c r="I3360" t="str">
        <f>IF(E3360="","",INDEX(Knutepunkter!$B:$B,E3360+1))</f>
        <v/>
      </c>
      <c r="J3360" t="str">
        <f>IF(E3360="","",INDEX(Knutepunkter!$C:$C,E3360+1))</f>
        <v/>
      </c>
      <c r="K3360" t="str">
        <f>IF(E3360="","",INDEX(Knutepunkter!$D:$D,E3360+1))</f>
        <v/>
      </c>
      <c r="L3360" t="str">
        <f t="shared" si="263"/>
        <v/>
      </c>
      <c r="M3360" t="str">
        <f t="shared" si="264"/>
        <v/>
      </c>
    </row>
    <row r="3361" spans="1:13" x14ac:dyDescent="0.3">
      <c r="A3361" t="str">
        <f>Segmenter!A3361</f>
        <v/>
      </c>
      <c r="B3361" t="str">
        <f>Segmenter!B3361</f>
        <v/>
      </c>
      <c r="C3361" t="str">
        <f t="shared" si="260"/>
        <v/>
      </c>
      <c r="D3361" t="str">
        <f t="shared" si="261"/>
        <v/>
      </c>
      <c r="E3361" t="str">
        <f t="shared" si="262"/>
        <v/>
      </c>
      <c r="F3361" t="str">
        <f>IF(D3361="","",INDEX(Knutepunkter!$B:$B,D3361+1))</f>
        <v/>
      </c>
      <c r="G3361" t="str">
        <f>IF(D3361="","",INDEX(Knutepunkter!$C:$C,D3361+1))</f>
        <v/>
      </c>
      <c r="H3361" t="str">
        <f>IF(D3361="","",INDEX(Knutepunkter!$D:$D,D3361+1))</f>
        <v/>
      </c>
      <c r="I3361" t="str">
        <f>IF(E3361="","",INDEX(Knutepunkter!$B:$B,E3361+1))</f>
        <v/>
      </c>
      <c r="J3361" t="str">
        <f>IF(E3361="","",INDEX(Knutepunkter!$C:$C,E3361+1))</f>
        <v/>
      </c>
      <c r="K3361" t="str">
        <f>IF(E3361="","",INDEX(Knutepunkter!$D:$D,E3361+1))</f>
        <v/>
      </c>
      <c r="L3361" t="str">
        <f t="shared" si="263"/>
        <v/>
      </c>
      <c r="M3361" t="str">
        <f t="shared" si="264"/>
        <v/>
      </c>
    </row>
    <row r="3362" spans="1:13" x14ac:dyDescent="0.3">
      <c r="A3362" t="str">
        <f>Segmenter!A3362</f>
        <v/>
      </c>
      <c r="B3362" t="str">
        <f>Segmenter!B3362</f>
        <v/>
      </c>
      <c r="C3362" t="str">
        <f t="shared" si="260"/>
        <v/>
      </c>
      <c r="D3362" t="str">
        <f t="shared" si="261"/>
        <v/>
      </c>
      <c r="E3362" t="str">
        <f t="shared" si="262"/>
        <v/>
      </c>
      <c r="F3362" t="str">
        <f>IF(D3362="","",INDEX(Knutepunkter!$B:$B,D3362+1))</f>
        <v/>
      </c>
      <c r="G3362" t="str">
        <f>IF(D3362="","",INDEX(Knutepunkter!$C:$C,D3362+1))</f>
        <v/>
      </c>
      <c r="H3362" t="str">
        <f>IF(D3362="","",INDEX(Knutepunkter!$D:$D,D3362+1))</f>
        <v/>
      </c>
      <c r="I3362" t="str">
        <f>IF(E3362="","",INDEX(Knutepunkter!$B:$B,E3362+1))</f>
        <v/>
      </c>
      <c r="J3362" t="str">
        <f>IF(E3362="","",INDEX(Knutepunkter!$C:$C,E3362+1))</f>
        <v/>
      </c>
      <c r="K3362" t="str">
        <f>IF(E3362="","",INDEX(Knutepunkter!$D:$D,E3362+1))</f>
        <v/>
      </c>
      <c r="L3362" t="str">
        <f t="shared" si="263"/>
        <v/>
      </c>
      <c r="M3362" t="str">
        <f t="shared" si="264"/>
        <v/>
      </c>
    </row>
    <row r="3363" spans="1:13" x14ac:dyDescent="0.3">
      <c r="A3363" t="str">
        <f>Segmenter!A3363</f>
        <v/>
      </c>
      <c r="B3363" t="str">
        <f>Segmenter!B3363</f>
        <v/>
      </c>
      <c r="C3363" t="str">
        <f t="shared" si="260"/>
        <v/>
      </c>
      <c r="D3363" t="str">
        <f t="shared" si="261"/>
        <v/>
      </c>
      <c r="E3363" t="str">
        <f t="shared" si="262"/>
        <v/>
      </c>
      <c r="F3363" t="str">
        <f>IF(D3363="","",INDEX(Knutepunkter!$B:$B,D3363+1))</f>
        <v/>
      </c>
      <c r="G3363" t="str">
        <f>IF(D3363="","",INDEX(Knutepunkter!$C:$C,D3363+1))</f>
        <v/>
      </c>
      <c r="H3363" t="str">
        <f>IF(D3363="","",INDEX(Knutepunkter!$D:$D,D3363+1))</f>
        <v/>
      </c>
      <c r="I3363" t="str">
        <f>IF(E3363="","",INDEX(Knutepunkter!$B:$B,E3363+1))</f>
        <v/>
      </c>
      <c r="J3363" t="str">
        <f>IF(E3363="","",INDEX(Knutepunkter!$C:$C,E3363+1))</f>
        <v/>
      </c>
      <c r="K3363" t="str">
        <f>IF(E3363="","",INDEX(Knutepunkter!$D:$D,E3363+1))</f>
        <v/>
      </c>
      <c r="L3363" t="str">
        <f t="shared" si="263"/>
        <v/>
      </c>
      <c r="M3363" t="str">
        <f t="shared" si="264"/>
        <v/>
      </c>
    </row>
    <row r="3364" spans="1:13" x14ac:dyDescent="0.3">
      <c r="A3364" t="str">
        <f>Segmenter!A3364</f>
        <v/>
      </c>
      <c r="B3364" t="str">
        <f>Segmenter!B3364</f>
        <v/>
      </c>
      <c r="C3364" t="str">
        <f t="shared" si="260"/>
        <v/>
      </c>
      <c r="D3364" t="str">
        <f t="shared" si="261"/>
        <v/>
      </c>
      <c r="E3364" t="str">
        <f t="shared" si="262"/>
        <v/>
      </c>
      <c r="F3364" t="str">
        <f>IF(D3364="","",INDEX(Knutepunkter!$B:$B,D3364+1))</f>
        <v/>
      </c>
      <c r="G3364" t="str">
        <f>IF(D3364="","",INDEX(Knutepunkter!$C:$C,D3364+1))</f>
        <v/>
      </c>
      <c r="H3364" t="str">
        <f>IF(D3364="","",INDEX(Knutepunkter!$D:$D,D3364+1))</f>
        <v/>
      </c>
      <c r="I3364" t="str">
        <f>IF(E3364="","",INDEX(Knutepunkter!$B:$B,E3364+1))</f>
        <v/>
      </c>
      <c r="J3364" t="str">
        <f>IF(E3364="","",INDEX(Knutepunkter!$C:$C,E3364+1))</f>
        <v/>
      </c>
      <c r="K3364" t="str">
        <f>IF(E3364="","",INDEX(Knutepunkter!$D:$D,E3364+1))</f>
        <v/>
      </c>
      <c r="L3364" t="str">
        <f t="shared" si="263"/>
        <v/>
      </c>
      <c r="M3364" t="str">
        <f t="shared" si="264"/>
        <v/>
      </c>
    </row>
    <row r="3365" spans="1:13" x14ac:dyDescent="0.3">
      <c r="A3365" t="str">
        <f>Segmenter!A3365</f>
        <v/>
      </c>
      <c r="B3365" t="str">
        <f>Segmenter!B3365</f>
        <v/>
      </c>
      <c r="C3365" t="str">
        <f t="shared" si="260"/>
        <v/>
      </c>
      <c r="D3365" t="str">
        <f t="shared" si="261"/>
        <v/>
      </c>
      <c r="E3365" t="str">
        <f t="shared" si="262"/>
        <v/>
      </c>
      <c r="F3365" t="str">
        <f>IF(D3365="","",INDEX(Knutepunkter!$B:$B,D3365+1))</f>
        <v/>
      </c>
      <c r="G3365" t="str">
        <f>IF(D3365="","",INDEX(Knutepunkter!$C:$C,D3365+1))</f>
        <v/>
      </c>
      <c r="H3365" t="str">
        <f>IF(D3365="","",INDEX(Knutepunkter!$D:$D,D3365+1))</f>
        <v/>
      </c>
      <c r="I3365" t="str">
        <f>IF(E3365="","",INDEX(Knutepunkter!$B:$B,E3365+1))</f>
        <v/>
      </c>
      <c r="J3365" t="str">
        <f>IF(E3365="","",INDEX(Knutepunkter!$C:$C,E3365+1))</f>
        <v/>
      </c>
      <c r="K3365" t="str">
        <f>IF(E3365="","",INDEX(Knutepunkter!$D:$D,E3365+1))</f>
        <v/>
      </c>
      <c r="L3365" t="str">
        <f t="shared" si="263"/>
        <v/>
      </c>
      <c r="M3365" t="str">
        <f t="shared" si="264"/>
        <v/>
      </c>
    </row>
    <row r="3366" spans="1:13" x14ac:dyDescent="0.3">
      <c r="A3366" t="str">
        <f>Segmenter!A3366</f>
        <v/>
      </c>
      <c r="B3366" t="str">
        <f>Segmenter!B3366</f>
        <v/>
      </c>
      <c r="C3366" t="str">
        <f t="shared" si="260"/>
        <v/>
      </c>
      <c r="D3366" t="str">
        <f t="shared" si="261"/>
        <v/>
      </c>
      <c r="E3366" t="str">
        <f t="shared" si="262"/>
        <v/>
      </c>
      <c r="F3366" t="str">
        <f>IF(D3366="","",INDEX(Knutepunkter!$B:$B,D3366+1))</f>
        <v/>
      </c>
      <c r="G3366" t="str">
        <f>IF(D3366="","",INDEX(Knutepunkter!$C:$C,D3366+1))</f>
        <v/>
      </c>
      <c r="H3366" t="str">
        <f>IF(D3366="","",INDEX(Knutepunkter!$D:$D,D3366+1))</f>
        <v/>
      </c>
      <c r="I3366" t="str">
        <f>IF(E3366="","",INDEX(Knutepunkter!$B:$B,E3366+1))</f>
        <v/>
      </c>
      <c r="J3366" t="str">
        <f>IF(E3366="","",INDEX(Knutepunkter!$C:$C,E3366+1))</f>
        <v/>
      </c>
      <c r="K3366" t="str">
        <f>IF(E3366="","",INDEX(Knutepunkter!$D:$D,E3366+1))</f>
        <v/>
      </c>
      <c r="L3366" t="str">
        <f t="shared" si="263"/>
        <v/>
      </c>
      <c r="M3366" t="str">
        <f t="shared" si="264"/>
        <v/>
      </c>
    </row>
    <row r="3367" spans="1:13" x14ac:dyDescent="0.3">
      <c r="A3367" t="str">
        <f>Segmenter!A3367</f>
        <v/>
      </c>
      <c r="B3367" t="str">
        <f>Segmenter!B3367</f>
        <v/>
      </c>
      <c r="C3367" t="str">
        <f t="shared" si="260"/>
        <v/>
      </c>
      <c r="D3367" t="str">
        <f t="shared" si="261"/>
        <v/>
      </c>
      <c r="E3367" t="str">
        <f t="shared" si="262"/>
        <v/>
      </c>
      <c r="F3367" t="str">
        <f>IF(D3367="","",INDEX(Knutepunkter!$B:$B,D3367+1))</f>
        <v/>
      </c>
      <c r="G3367" t="str">
        <f>IF(D3367="","",INDEX(Knutepunkter!$C:$C,D3367+1))</f>
        <v/>
      </c>
      <c r="H3367" t="str">
        <f>IF(D3367="","",INDEX(Knutepunkter!$D:$D,D3367+1))</f>
        <v/>
      </c>
      <c r="I3367" t="str">
        <f>IF(E3367="","",INDEX(Knutepunkter!$B:$B,E3367+1))</f>
        <v/>
      </c>
      <c r="J3367" t="str">
        <f>IF(E3367="","",INDEX(Knutepunkter!$C:$C,E3367+1))</f>
        <v/>
      </c>
      <c r="K3367" t="str">
        <f>IF(E3367="","",INDEX(Knutepunkter!$D:$D,E3367+1))</f>
        <v/>
      </c>
      <c r="L3367" t="str">
        <f t="shared" si="263"/>
        <v/>
      </c>
      <c r="M3367" t="str">
        <f t="shared" si="264"/>
        <v/>
      </c>
    </row>
    <row r="3368" spans="1:13" x14ac:dyDescent="0.3">
      <c r="A3368" t="str">
        <f>Segmenter!A3368</f>
        <v/>
      </c>
      <c r="B3368" t="str">
        <f>Segmenter!B3368</f>
        <v/>
      </c>
      <c r="C3368" t="str">
        <f t="shared" si="260"/>
        <v/>
      </c>
      <c r="D3368" t="str">
        <f t="shared" si="261"/>
        <v/>
      </c>
      <c r="E3368" t="str">
        <f t="shared" si="262"/>
        <v/>
      </c>
      <c r="F3368" t="str">
        <f>IF(D3368="","",INDEX(Knutepunkter!$B:$B,D3368+1))</f>
        <v/>
      </c>
      <c r="G3368" t="str">
        <f>IF(D3368="","",INDEX(Knutepunkter!$C:$C,D3368+1))</f>
        <v/>
      </c>
      <c r="H3368" t="str">
        <f>IF(D3368="","",INDEX(Knutepunkter!$D:$D,D3368+1))</f>
        <v/>
      </c>
      <c r="I3368" t="str">
        <f>IF(E3368="","",INDEX(Knutepunkter!$B:$B,E3368+1))</f>
        <v/>
      </c>
      <c r="J3368" t="str">
        <f>IF(E3368="","",INDEX(Knutepunkter!$C:$C,E3368+1))</f>
        <v/>
      </c>
      <c r="K3368" t="str">
        <f>IF(E3368="","",INDEX(Knutepunkter!$D:$D,E3368+1))</f>
        <v/>
      </c>
      <c r="L3368" t="str">
        <f t="shared" si="263"/>
        <v/>
      </c>
      <c r="M3368" t="str">
        <f t="shared" si="264"/>
        <v/>
      </c>
    </row>
    <row r="3369" spans="1:13" x14ac:dyDescent="0.3">
      <c r="A3369" t="str">
        <f>Segmenter!A3369</f>
        <v/>
      </c>
      <c r="B3369" t="str">
        <f>Segmenter!B3369</f>
        <v/>
      </c>
      <c r="C3369" t="str">
        <f t="shared" si="260"/>
        <v/>
      </c>
      <c r="D3369" t="str">
        <f t="shared" si="261"/>
        <v/>
      </c>
      <c r="E3369" t="str">
        <f t="shared" si="262"/>
        <v/>
      </c>
      <c r="F3369" t="str">
        <f>IF(D3369="","",INDEX(Knutepunkter!$B:$B,D3369+1))</f>
        <v/>
      </c>
      <c r="G3369" t="str">
        <f>IF(D3369="","",INDEX(Knutepunkter!$C:$C,D3369+1))</f>
        <v/>
      </c>
      <c r="H3369" t="str">
        <f>IF(D3369="","",INDEX(Knutepunkter!$D:$D,D3369+1))</f>
        <v/>
      </c>
      <c r="I3369" t="str">
        <f>IF(E3369="","",INDEX(Knutepunkter!$B:$B,E3369+1))</f>
        <v/>
      </c>
      <c r="J3369" t="str">
        <f>IF(E3369="","",INDEX(Knutepunkter!$C:$C,E3369+1))</f>
        <v/>
      </c>
      <c r="K3369" t="str">
        <f>IF(E3369="","",INDEX(Knutepunkter!$D:$D,E3369+1))</f>
        <v/>
      </c>
      <c r="L3369" t="str">
        <f t="shared" si="263"/>
        <v/>
      </c>
      <c r="M3369" t="str">
        <f t="shared" si="264"/>
        <v/>
      </c>
    </row>
    <row r="3370" spans="1:13" x14ac:dyDescent="0.3">
      <c r="A3370" t="str">
        <f>Segmenter!A3370</f>
        <v/>
      </c>
      <c r="B3370" t="str">
        <f>Segmenter!B3370</f>
        <v/>
      </c>
      <c r="C3370" t="str">
        <f t="shared" si="260"/>
        <v/>
      </c>
      <c r="D3370" t="str">
        <f t="shared" si="261"/>
        <v/>
      </c>
      <c r="E3370" t="str">
        <f t="shared" si="262"/>
        <v/>
      </c>
      <c r="F3370" t="str">
        <f>IF(D3370="","",INDEX(Knutepunkter!$B:$B,D3370+1))</f>
        <v/>
      </c>
      <c r="G3370" t="str">
        <f>IF(D3370="","",INDEX(Knutepunkter!$C:$C,D3370+1))</f>
        <v/>
      </c>
      <c r="H3370" t="str">
        <f>IF(D3370="","",INDEX(Knutepunkter!$D:$D,D3370+1))</f>
        <v/>
      </c>
      <c r="I3370" t="str">
        <f>IF(E3370="","",INDEX(Knutepunkter!$B:$B,E3370+1))</f>
        <v/>
      </c>
      <c r="J3370" t="str">
        <f>IF(E3370="","",INDEX(Knutepunkter!$C:$C,E3370+1))</f>
        <v/>
      </c>
      <c r="K3370" t="str">
        <f>IF(E3370="","",INDEX(Knutepunkter!$D:$D,E3370+1))</f>
        <v/>
      </c>
      <c r="L3370" t="str">
        <f t="shared" si="263"/>
        <v/>
      </c>
      <c r="M3370" t="str">
        <f t="shared" si="264"/>
        <v/>
      </c>
    </row>
    <row r="3371" spans="1:13" x14ac:dyDescent="0.3">
      <c r="A3371" t="str">
        <f>Segmenter!A3371</f>
        <v/>
      </c>
      <c r="B3371" t="str">
        <f>Segmenter!B3371</f>
        <v/>
      </c>
      <c r="C3371" t="str">
        <f t="shared" si="260"/>
        <v/>
      </c>
      <c r="D3371" t="str">
        <f t="shared" si="261"/>
        <v/>
      </c>
      <c r="E3371" t="str">
        <f t="shared" si="262"/>
        <v/>
      </c>
      <c r="F3371" t="str">
        <f>IF(D3371="","",INDEX(Knutepunkter!$B:$B,D3371+1))</f>
        <v/>
      </c>
      <c r="G3371" t="str">
        <f>IF(D3371="","",INDEX(Knutepunkter!$C:$C,D3371+1))</f>
        <v/>
      </c>
      <c r="H3371" t="str">
        <f>IF(D3371="","",INDEX(Knutepunkter!$D:$D,D3371+1))</f>
        <v/>
      </c>
      <c r="I3371" t="str">
        <f>IF(E3371="","",INDEX(Knutepunkter!$B:$B,E3371+1))</f>
        <v/>
      </c>
      <c r="J3371" t="str">
        <f>IF(E3371="","",INDEX(Knutepunkter!$C:$C,E3371+1))</f>
        <v/>
      </c>
      <c r="K3371" t="str">
        <f>IF(E3371="","",INDEX(Knutepunkter!$D:$D,E3371+1))</f>
        <v/>
      </c>
      <c r="L3371" t="str">
        <f t="shared" si="263"/>
        <v/>
      </c>
      <c r="M3371" t="str">
        <f t="shared" si="264"/>
        <v/>
      </c>
    </row>
    <row r="3372" spans="1:13" x14ac:dyDescent="0.3">
      <c r="A3372" t="str">
        <f>Segmenter!A3372</f>
        <v/>
      </c>
      <c r="B3372" t="str">
        <f>Segmenter!B3372</f>
        <v/>
      </c>
      <c r="C3372" t="str">
        <f t="shared" si="260"/>
        <v/>
      </c>
      <c r="D3372" t="str">
        <f t="shared" si="261"/>
        <v/>
      </c>
      <c r="E3372" t="str">
        <f t="shared" si="262"/>
        <v/>
      </c>
      <c r="F3372" t="str">
        <f>IF(D3372="","",INDEX(Knutepunkter!$B:$B,D3372+1))</f>
        <v/>
      </c>
      <c r="G3372" t="str">
        <f>IF(D3372="","",INDEX(Knutepunkter!$C:$C,D3372+1))</f>
        <v/>
      </c>
      <c r="H3372" t="str">
        <f>IF(D3372="","",INDEX(Knutepunkter!$D:$D,D3372+1))</f>
        <v/>
      </c>
      <c r="I3372" t="str">
        <f>IF(E3372="","",INDEX(Knutepunkter!$B:$B,E3372+1))</f>
        <v/>
      </c>
      <c r="J3372" t="str">
        <f>IF(E3372="","",INDEX(Knutepunkter!$C:$C,E3372+1))</f>
        <v/>
      </c>
      <c r="K3372" t="str">
        <f>IF(E3372="","",INDEX(Knutepunkter!$D:$D,E3372+1))</f>
        <v/>
      </c>
      <c r="L3372" t="str">
        <f t="shared" si="263"/>
        <v/>
      </c>
      <c r="M3372" t="str">
        <f t="shared" si="264"/>
        <v/>
      </c>
    </row>
    <row r="3373" spans="1:13" x14ac:dyDescent="0.3">
      <c r="A3373" t="str">
        <f>Segmenter!A3373</f>
        <v/>
      </c>
      <c r="B3373" t="str">
        <f>Segmenter!B3373</f>
        <v/>
      </c>
      <c r="C3373" t="str">
        <f t="shared" si="260"/>
        <v/>
      </c>
      <c r="D3373" t="str">
        <f t="shared" si="261"/>
        <v/>
      </c>
      <c r="E3373" t="str">
        <f t="shared" si="262"/>
        <v/>
      </c>
      <c r="F3373" t="str">
        <f>IF(D3373="","",INDEX(Knutepunkter!$B:$B,D3373+1))</f>
        <v/>
      </c>
      <c r="G3373" t="str">
        <f>IF(D3373="","",INDEX(Knutepunkter!$C:$C,D3373+1))</f>
        <v/>
      </c>
      <c r="H3373" t="str">
        <f>IF(D3373="","",INDEX(Knutepunkter!$D:$D,D3373+1))</f>
        <v/>
      </c>
      <c r="I3373" t="str">
        <f>IF(E3373="","",INDEX(Knutepunkter!$B:$B,E3373+1))</f>
        <v/>
      </c>
      <c r="J3373" t="str">
        <f>IF(E3373="","",INDEX(Knutepunkter!$C:$C,E3373+1))</f>
        <v/>
      </c>
      <c r="K3373" t="str">
        <f>IF(E3373="","",INDEX(Knutepunkter!$D:$D,E3373+1))</f>
        <v/>
      </c>
      <c r="L3373" t="str">
        <f t="shared" si="263"/>
        <v/>
      </c>
      <c r="M3373" t="str">
        <f t="shared" si="264"/>
        <v/>
      </c>
    </row>
    <row r="3374" spans="1:13" x14ac:dyDescent="0.3">
      <c r="A3374" t="str">
        <f>Segmenter!A3374</f>
        <v/>
      </c>
      <c r="B3374" t="str">
        <f>Segmenter!B3374</f>
        <v/>
      </c>
      <c r="C3374" t="str">
        <f t="shared" si="260"/>
        <v/>
      </c>
      <c r="D3374" t="str">
        <f t="shared" si="261"/>
        <v/>
      </c>
      <c r="E3374" t="str">
        <f t="shared" si="262"/>
        <v/>
      </c>
      <c r="F3374" t="str">
        <f>IF(D3374="","",INDEX(Knutepunkter!$B:$B,D3374+1))</f>
        <v/>
      </c>
      <c r="G3374" t="str">
        <f>IF(D3374="","",INDEX(Knutepunkter!$C:$C,D3374+1))</f>
        <v/>
      </c>
      <c r="H3374" t="str">
        <f>IF(D3374="","",INDEX(Knutepunkter!$D:$D,D3374+1))</f>
        <v/>
      </c>
      <c r="I3374" t="str">
        <f>IF(E3374="","",INDEX(Knutepunkter!$B:$B,E3374+1))</f>
        <v/>
      </c>
      <c r="J3374" t="str">
        <f>IF(E3374="","",INDEX(Knutepunkter!$C:$C,E3374+1))</f>
        <v/>
      </c>
      <c r="K3374" t="str">
        <f>IF(E3374="","",INDEX(Knutepunkter!$D:$D,E3374+1))</f>
        <v/>
      </c>
      <c r="L3374" t="str">
        <f t="shared" si="263"/>
        <v/>
      </c>
      <c r="M3374" t="str">
        <f t="shared" si="264"/>
        <v/>
      </c>
    </row>
    <row r="3375" spans="1:13" x14ac:dyDescent="0.3">
      <c r="A3375" t="str">
        <f>Segmenter!A3375</f>
        <v/>
      </c>
      <c r="B3375" t="str">
        <f>Segmenter!B3375</f>
        <v/>
      </c>
      <c r="C3375" t="str">
        <f t="shared" si="260"/>
        <v/>
      </c>
      <c r="D3375" t="str">
        <f t="shared" si="261"/>
        <v/>
      </c>
      <c r="E3375" t="str">
        <f t="shared" si="262"/>
        <v/>
      </c>
      <c r="F3375" t="str">
        <f>IF(D3375="","",INDEX(Knutepunkter!$B:$B,D3375+1))</f>
        <v/>
      </c>
      <c r="G3375" t="str">
        <f>IF(D3375="","",INDEX(Knutepunkter!$C:$C,D3375+1))</f>
        <v/>
      </c>
      <c r="H3375" t="str">
        <f>IF(D3375="","",INDEX(Knutepunkter!$D:$D,D3375+1))</f>
        <v/>
      </c>
      <c r="I3375" t="str">
        <f>IF(E3375="","",INDEX(Knutepunkter!$B:$B,E3375+1))</f>
        <v/>
      </c>
      <c r="J3375" t="str">
        <f>IF(E3375="","",INDEX(Knutepunkter!$C:$C,E3375+1))</f>
        <v/>
      </c>
      <c r="K3375" t="str">
        <f>IF(E3375="","",INDEX(Knutepunkter!$D:$D,E3375+1))</f>
        <v/>
      </c>
      <c r="L3375" t="str">
        <f t="shared" si="263"/>
        <v/>
      </c>
      <c r="M3375" t="str">
        <f t="shared" si="264"/>
        <v/>
      </c>
    </row>
    <row r="3376" spans="1:13" x14ac:dyDescent="0.3">
      <c r="A3376" t="str">
        <f>Segmenter!A3376</f>
        <v/>
      </c>
      <c r="B3376" t="str">
        <f>Segmenter!B3376</f>
        <v/>
      </c>
      <c r="C3376" t="str">
        <f t="shared" si="260"/>
        <v/>
      </c>
      <c r="D3376" t="str">
        <f t="shared" si="261"/>
        <v/>
      </c>
      <c r="E3376" t="str">
        <f t="shared" si="262"/>
        <v/>
      </c>
      <c r="F3376" t="str">
        <f>IF(D3376="","",INDEX(Knutepunkter!$B:$B,D3376+1))</f>
        <v/>
      </c>
      <c r="G3376" t="str">
        <f>IF(D3376="","",INDEX(Knutepunkter!$C:$C,D3376+1))</f>
        <v/>
      </c>
      <c r="H3376" t="str">
        <f>IF(D3376="","",INDEX(Knutepunkter!$D:$D,D3376+1))</f>
        <v/>
      </c>
      <c r="I3376" t="str">
        <f>IF(E3376="","",INDEX(Knutepunkter!$B:$B,E3376+1))</f>
        <v/>
      </c>
      <c r="J3376" t="str">
        <f>IF(E3376="","",INDEX(Knutepunkter!$C:$C,E3376+1))</f>
        <v/>
      </c>
      <c r="K3376" t="str">
        <f>IF(E3376="","",INDEX(Knutepunkter!$D:$D,E3376+1))</f>
        <v/>
      </c>
      <c r="L3376" t="str">
        <f t="shared" si="263"/>
        <v/>
      </c>
      <c r="M3376" t="str">
        <f t="shared" si="264"/>
        <v/>
      </c>
    </row>
    <row r="3377" spans="1:13" x14ac:dyDescent="0.3">
      <c r="A3377" t="str">
        <f>Segmenter!A3377</f>
        <v/>
      </c>
      <c r="B3377" t="str">
        <f>Segmenter!B3377</f>
        <v/>
      </c>
      <c r="C3377" t="str">
        <f t="shared" si="260"/>
        <v/>
      </c>
      <c r="D3377" t="str">
        <f t="shared" si="261"/>
        <v/>
      </c>
      <c r="E3377" t="str">
        <f t="shared" si="262"/>
        <v/>
      </c>
      <c r="F3377" t="str">
        <f>IF(D3377="","",INDEX(Knutepunkter!$B:$B,D3377+1))</f>
        <v/>
      </c>
      <c r="G3377" t="str">
        <f>IF(D3377="","",INDEX(Knutepunkter!$C:$C,D3377+1))</f>
        <v/>
      </c>
      <c r="H3377" t="str">
        <f>IF(D3377="","",INDEX(Knutepunkter!$D:$D,D3377+1))</f>
        <v/>
      </c>
      <c r="I3377" t="str">
        <f>IF(E3377="","",INDEX(Knutepunkter!$B:$B,E3377+1))</f>
        <v/>
      </c>
      <c r="J3377" t="str">
        <f>IF(E3377="","",INDEX(Knutepunkter!$C:$C,E3377+1))</f>
        <v/>
      </c>
      <c r="K3377" t="str">
        <f>IF(E3377="","",INDEX(Knutepunkter!$D:$D,E3377+1))</f>
        <v/>
      </c>
      <c r="L3377" t="str">
        <f t="shared" si="263"/>
        <v/>
      </c>
      <c r="M3377" t="str">
        <f t="shared" si="264"/>
        <v/>
      </c>
    </row>
    <row r="3378" spans="1:13" x14ac:dyDescent="0.3">
      <c r="A3378" t="str">
        <f>Segmenter!A3378</f>
        <v/>
      </c>
      <c r="B3378" t="str">
        <f>Segmenter!B3378</f>
        <v/>
      </c>
      <c r="C3378" t="str">
        <f t="shared" si="260"/>
        <v/>
      </c>
      <c r="D3378" t="str">
        <f t="shared" si="261"/>
        <v/>
      </c>
      <c r="E3378" t="str">
        <f t="shared" si="262"/>
        <v/>
      </c>
      <c r="F3378" t="str">
        <f>IF(D3378="","",INDEX(Knutepunkter!$B:$B,D3378+1))</f>
        <v/>
      </c>
      <c r="G3378" t="str">
        <f>IF(D3378="","",INDEX(Knutepunkter!$C:$C,D3378+1))</f>
        <v/>
      </c>
      <c r="H3378" t="str">
        <f>IF(D3378="","",INDEX(Knutepunkter!$D:$D,D3378+1))</f>
        <v/>
      </c>
      <c r="I3378" t="str">
        <f>IF(E3378="","",INDEX(Knutepunkter!$B:$B,E3378+1))</f>
        <v/>
      </c>
      <c r="J3378" t="str">
        <f>IF(E3378="","",INDEX(Knutepunkter!$C:$C,E3378+1))</f>
        <v/>
      </c>
      <c r="K3378" t="str">
        <f>IF(E3378="","",INDEX(Knutepunkter!$D:$D,E3378+1))</f>
        <v/>
      </c>
      <c r="L3378" t="str">
        <f t="shared" si="263"/>
        <v/>
      </c>
      <c r="M3378" t="str">
        <f t="shared" si="264"/>
        <v/>
      </c>
    </row>
    <row r="3379" spans="1:13" x14ac:dyDescent="0.3">
      <c r="A3379" t="str">
        <f>Segmenter!A3379</f>
        <v/>
      </c>
      <c r="B3379" t="str">
        <f>Segmenter!B3379</f>
        <v/>
      </c>
      <c r="C3379" t="str">
        <f t="shared" si="260"/>
        <v/>
      </c>
      <c r="D3379" t="str">
        <f t="shared" si="261"/>
        <v/>
      </c>
      <c r="E3379" t="str">
        <f t="shared" si="262"/>
        <v/>
      </c>
      <c r="F3379" t="str">
        <f>IF(D3379="","",INDEX(Knutepunkter!$B:$B,D3379+1))</f>
        <v/>
      </c>
      <c r="G3379" t="str">
        <f>IF(D3379="","",INDEX(Knutepunkter!$C:$C,D3379+1))</f>
        <v/>
      </c>
      <c r="H3379" t="str">
        <f>IF(D3379="","",INDEX(Knutepunkter!$D:$D,D3379+1))</f>
        <v/>
      </c>
      <c r="I3379" t="str">
        <f>IF(E3379="","",INDEX(Knutepunkter!$B:$B,E3379+1))</f>
        <v/>
      </c>
      <c r="J3379" t="str">
        <f>IF(E3379="","",INDEX(Knutepunkter!$C:$C,E3379+1))</f>
        <v/>
      </c>
      <c r="K3379" t="str">
        <f>IF(E3379="","",INDEX(Knutepunkter!$D:$D,E3379+1))</f>
        <v/>
      </c>
      <c r="L3379" t="str">
        <f t="shared" si="263"/>
        <v/>
      </c>
      <c r="M3379" t="str">
        <f t="shared" si="264"/>
        <v/>
      </c>
    </row>
    <row r="3380" spans="1:13" x14ac:dyDescent="0.3">
      <c r="A3380" t="str">
        <f>Segmenter!A3380</f>
        <v/>
      </c>
      <c r="B3380" t="str">
        <f>Segmenter!B3380</f>
        <v/>
      </c>
      <c r="C3380" t="str">
        <f t="shared" si="260"/>
        <v/>
      </c>
      <c r="D3380" t="str">
        <f t="shared" si="261"/>
        <v/>
      </c>
      <c r="E3380" t="str">
        <f t="shared" si="262"/>
        <v/>
      </c>
      <c r="F3380" t="str">
        <f>IF(D3380="","",INDEX(Knutepunkter!$B:$B,D3380+1))</f>
        <v/>
      </c>
      <c r="G3380" t="str">
        <f>IF(D3380="","",INDEX(Knutepunkter!$C:$C,D3380+1))</f>
        <v/>
      </c>
      <c r="H3380" t="str">
        <f>IF(D3380="","",INDEX(Knutepunkter!$D:$D,D3380+1))</f>
        <v/>
      </c>
      <c r="I3380" t="str">
        <f>IF(E3380="","",INDEX(Knutepunkter!$B:$B,E3380+1))</f>
        <v/>
      </c>
      <c r="J3380" t="str">
        <f>IF(E3380="","",INDEX(Knutepunkter!$C:$C,E3380+1))</f>
        <v/>
      </c>
      <c r="K3380" t="str">
        <f>IF(E3380="","",INDEX(Knutepunkter!$D:$D,E3380+1))</f>
        <v/>
      </c>
      <c r="L3380" t="str">
        <f t="shared" si="263"/>
        <v/>
      </c>
      <c r="M3380" t="str">
        <f t="shared" si="264"/>
        <v/>
      </c>
    </row>
    <row r="3381" spans="1:13" x14ac:dyDescent="0.3">
      <c r="A3381" t="str">
        <f>Segmenter!A3381</f>
        <v/>
      </c>
      <c r="B3381" t="str">
        <f>Segmenter!B3381</f>
        <v/>
      </c>
      <c r="C3381" t="str">
        <f t="shared" si="260"/>
        <v/>
      </c>
      <c r="D3381" t="str">
        <f t="shared" si="261"/>
        <v/>
      </c>
      <c r="E3381" t="str">
        <f t="shared" si="262"/>
        <v/>
      </c>
      <c r="F3381" t="str">
        <f>IF(D3381="","",INDEX(Knutepunkter!$B:$B,D3381+1))</f>
        <v/>
      </c>
      <c r="G3381" t="str">
        <f>IF(D3381="","",INDEX(Knutepunkter!$C:$C,D3381+1))</f>
        <v/>
      </c>
      <c r="H3381" t="str">
        <f>IF(D3381="","",INDEX(Knutepunkter!$D:$D,D3381+1))</f>
        <v/>
      </c>
      <c r="I3381" t="str">
        <f>IF(E3381="","",INDEX(Knutepunkter!$B:$B,E3381+1))</f>
        <v/>
      </c>
      <c r="J3381" t="str">
        <f>IF(E3381="","",INDEX(Knutepunkter!$C:$C,E3381+1))</f>
        <v/>
      </c>
      <c r="K3381" t="str">
        <f>IF(E3381="","",INDEX(Knutepunkter!$D:$D,E3381+1))</f>
        <v/>
      </c>
      <c r="L3381" t="str">
        <f t="shared" si="263"/>
        <v/>
      </c>
      <c r="M3381" t="str">
        <f t="shared" si="264"/>
        <v/>
      </c>
    </row>
    <row r="3382" spans="1:13" x14ac:dyDescent="0.3">
      <c r="A3382" t="str">
        <f>Segmenter!A3382</f>
        <v/>
      </c>
      <c r="B3382" t="str">
        <f>Segmenter!B3382</f>
        <v/>
      </c>
      <c r="C3382" t="str">
        <f t="shared" si="260"/>
        <v/>
      </c>
      <c r="D3382" t="str">
        <f t="shared" si="261"/>
        <v/>
      </c>
      <c r="E3382" t="str">
        <f t="shared" si="262"/>
        <v/>
      </c>
      <c r="F3382" t="str">
        <f>IF(D3382="","",INDEX(Knutepunkter!$B:$B,D3382+1))</f>
        <v/>
      </c>
      <c r="G3382" t="str">
        <f>IF(D3382="","",INDEX(Knutepunkter!$C:$C,D3382+1))</f>
        <v/>
      </c>
      <c r="H3382" t="str">
        <f>IF(D3382="","",INDEX(Knutepunkter!$D:$D,D3382+1))</f>
        <v/>
      </c>
      <c r="I3382" t="str">
        <f>IF(E3382="","",INDEX(Knutepunkter!$B:$B,E3382+1))</f>
        <v/>
      </c>
      <c r="J3382" t="str">
        <f>IF(E3382="","",INDEX(Knutepunkter!$C:$C,E3382+1))</f>
        <v/>
      </c>
      <c r="K3382" t="str">
        <f>IF(E3382="","",INDEX(Knutepunkter!$D:$D,E3382+1))</f>
        <v/>
      </c>
      <c r="L3382" t="str">
        <f t="shared" si="263"/>
        <v/>
      </c>
      <c r="M3382" t="str">
        <f t="shared" si="264"/>
        <v/>
      </c>
    </row>
    <row r="3383" spans="1:13" x14ac:dyDescent="0.3">
      <c r="A3383" t="str">
        <f>Segmenter!A3383</f>
        <v/>
      </c>
      <c r="B3383" t="str">
        <f>Segmenter!B3383</f>
        <v/>
      </c>
      <c r="C3383" t="str">
        <f t="shared" si="260"/>
        <v/>
      </c>
      <c r="D3383" t="str">
        <f t="shared" si="261"/>
        <v/>
      </c>
      <c r="E3383" t="str">
        <f t="shared" si="262"/>
        <v/>
      </c>
      <c r="F3383" t="str">
        <f>IF(D3383="","",INDEX(Knutepunkter!$B:$B,D3383+1))</f>
        <v/>
      </c>
      <c r="G3383" t="str">
        <f>IF(D3383="","",INDEX(Knutepunkter!$C:$C,D3383+1))</f>
        <v/>
      </c>
      <c r="H3383" t="str">
        <f>IF(D3383="","",INDEX(Knutepunkter!$D:$D,D3383+1))</f>
        <v/>
      </c>
      <c r="I3383" t="str">
        <f>IF(E3383="","",INDEX(Knutepunkter!$B:$B,E3383+1))</f>
        <v/>
      </c>
      <c r="J3383" t="str">
        <f>IF(E3383="","",INDEX(Knutepunkter!$C:$C,E3383+1))</f>
        <v/>
      </c>
      <c r="K3383" t="str">
        <f>IF(E3383="","",INDEX(Knutepunkter!$D:$D,E3383+1))</f>
        <v/>
      </c>
      <c r="L3383" t="str">
        <f t="shared" si="263"/>
        <v/>
      </c>
      <c r="M3383" t="str">
        <f t="shared" si="264"/>
        <v/>
      </c>
    </row>
    <row r="3384" spans="1:13" x14ac:dyDescent="0.3">
      <c r="A3384" t="str">
        <f>Segmenter!A3384</f>
        <v/>
      </c>
      <c r="B3384" t="str">
        <f>Segmenter!B3384</f>
        <v/>
      </c>
      <c r="C3384" t="str">
        <f t="shared" si="260"/>
        <v/>
      </c>
      <c r="D3384" t="str">
        <f t="shared" si="261"/>
        <v/>
      </c>
      <c r="E3384" t="str">
        <f t="shared" si="262"/>
        <v/>
      </c>
      <c r="F3384" t="str">
        <f>IF(D3384="","",INDEX(Knutepunkter!$B:$B,D3384+1))</f>
        <v/>
      </c>
      <c r="G3384" t="str">
        <f>IF(D3384="","",INDEX(Knutepunkter!$C:$C,D3384+1))</f>
        <v/>
      </c>
      <c r="H3384" t="str">
        <f>IF(D3384="","",INDEX(Knutepunkter!$D:$D,D3384+1))</f>
        <v/>
      </c>
      <c r="I3384" t="str">
        <f>IF(E3384="","",INDEX(Knutepunkter!$B:$B,E3384+1))</f>
        <v/>
      </c>
      <c r="J3384" t="str">
        <f>IF(E3384="","",INDEX(Knutepunkter!$C:$C,E3384+1))</f>
        <v/>
      </c>
      <c r="K3384" t="str">
        <f>IF(E3384="","",INDEX(Knutepunkter!$D:$D,E3384+1))</f>
        <v/>
      </c>
      <c r="L3384" t="str">
        <f t="shared" si="263"/>
        <v/>
      </c>
      <c r="M3384" t="str">
        <f t="shared" si="264"/>
        <v/>
      </c>
    </row>
    <row r="3385" spans="1:13" x14ac:dyDescent="0.3">
      <c r="A3385" t="str">
        <f>Segmenter!A3385</f>
        <v/>
      </c>
      <c r="B3385" t="str">
        <f>Segmenter!B3385</f>
        <v/>
      </c>
      <c r="C3385" t="str">
        <f t="shared" si="260"/>
        <v/>
      </c>
      <c r="D3385" t="str">
        <f t="shared" si="261"/>
        <v/>
      </c>
      <c r="E3385" t="str">
        <f t="shared" si="262"/>
        <v/>
      </c>
      <c r="F3385" t="str">
        <f>IF(D3385="","",INDEX(Knutepunkter!$B:$B,D3385+1))</f>
        <v/>
      </c>
      <c r="G3385" t="str">
        <f>IF(D3385="","",INDEX(Knutepunkter!$C:$C,D3385+1))</f>
        <v/>
      </c>
      <c r="H3385" t="str">
        <f>IF(D3385="","",INDEX(Knutepunkter!$D:$D,D3385+1))</f>
        <v/>
      </c>
      <c r="I3385" t="str">
        <f>IF(E3385="","",INDEX(Knutepunkter!$B:$B,E3385+1))</f>
        <v/>
      </c>
      <c r="J3385" t="str">
        <f>IF(E3385="","",INDEX(Knutepunkter!$C:$C,E3385+1))</f>
        <v/>
      </c>
      <c r="K3385" t="str">
        <f>IF(E3385="","",INDEX(Knutepunkter!$D:$D,E3385+1))</f>
        <v/>
      </c>
      <c r="L3385" t="str">
        <f t="shared" si="263"/>
        <v/>
      </c>
      <c r="M3385" t="str">
        <f t="shared" si="264"/>
        <v/>
      </c>
    </row>
    <row r="3386" spans="1:13" x14ac:dyDescent="0.3">
      <c r="A3386" t="str">
        <f>Segmenter!A3386</f>
        <v/>
      </c>
      <c r="B3386" t="str">
        <f>Segmenter!B3386</f>
        <v/>
      </c>
      <c r="C3386" t="str">
        <f t="shared" si="260"/>
        <v/>
      </c>
      <c r="D3386" t="str">
        <f t="shared" si="261"/>
        <v/>
      </c>
      <c r="E3386" t="str">
        <f t="shared" si="262"/>
        <v/>
      </c>
      <c r="F3386" t="str">
        <f>IF(D3386="","",INDEX(Knutepunkter!$B:$B,D3386+1))</f>
        <v/>
      </c>
      <c r="G3386" t="str">
        <f>IF(D3386="","",INDEX(Knutepunkter!$C:$C,D3386+1))</f>
        <v/>
      </c>
      <c r="H3386" t="str">
        <f>IF(D3386="","",INDEX(Knutepunkter!$D:$D,D3386+1))</f>
        <v/>
      </c>
      <c r="I3386" t="str">
        <f>IF(E3386="","",INDEX(Knutepunkter!$B:$B,E3386+1))</f>
        <v/>
      </c>
      <c r="J3386" t="str">
        <f>IF(E3386="","",INDEX(Knutepunkter!$C:$C,E3386+1))</f>
        <v/>
      </c>
      <c r="K3386" t="str">
        <f>IF(E3386="","",INDEX(Knutepunkter!$D:$D,E3386+1))</f>
        <v/>
      </c>
      <c r="L3386" t="str">
        <f t="shared" si="263"/>
        <v/>
      </c>
      <c r="M3386" t="str">
        <f t="shared" si="264"/>
        <v/>
      </c>
    </row>
    <row r="3387" spans="1:13" x14ac:dyDescent="0.3">
      <c r="A3387" t="str">
        <f>Segmenter!A3387</f>
        <v/>
      </c>
      <c r="B3387" t="str">
        <f>Segmenter!B3387</f>
        <v/>
      </c>
      <c r="C3387" t="str">
        <f t="shared" si="260"/>
        <v/>
      </c>
      <c r="D3387" t="str">
        <f t="shared" si="261"/>
        <v/>
      </c>
      <c r="E3387" t="str">
        <f t="shared" si="262"/>
        <v/>
      </c>
      <c r="F3387" t="str">
        <f>IF(D3387="","",INDEX(Knutepunkter!$B:$B,D3387+1))</f>
        <v/>
      </c>
      <c r="G3387" t="str">
        <f>IF(D3387="","",INDEX(Knutepunkter!$C:$C,D3387+1))</f>
        <v/>
      </c>
      <c r="H3387" t="str">
        <f>IF(D3387="","",INDEX(Knutepunkter!$D:$D,D3387+1))</f>
        <v/>
      </c>
      <c r="I3387" t="str">
        <f>IF(E3387="","",INDEX(Knutepunkter!$B:$B,E3387+1))</f>
        <v/>
      </c>
      <c r="J3387" t="str">
        <f>IF(E3387="","",INDEX(Knutepunkter!$C:$C,E3387+1))</f>
        <v/>
      </c>
      <c r="K3387" t="str">
        <f>IF(E3387="","",INDEX(Knutepunkter!$D:$D,E3387+1))</f>
        <v/>
      </c>
      <c r="L3387" t="str">
        <f t="shared" si="263"/>
        <v/>
      </c>
      <c r="M3387" t="str">
        <f t="shared" si="264"/>
        <v/>
      </c>
    </row>
    <row r="3388" spans="1:13" x14ac:dyDescent="0.3">
      <c r="A3388" t="str">
        <f>Segmenter!A3388</f>
        <v/>
      </c>
      <c r="B3388" t="str">
        <f>Segmenter!B3388</f>
        <v/>
      </c>
      <c r="C3388" t="str">
        <f t="shared" si="260"/>
        <v/>
      </c>
      <c r="D3388" t="str">
        <f t="shared" si="261"/>
        <v/>
      </c>
      <c r="E3388" t="str">
        <f t="shared" si="262"/>
        <v/>
      </c>
      <c r="F3388" t="str">
        <f>IF(D3388="","",INDEX(Knutepunkter!$B:$B,D3388+1))</f>
        <v/>
      </c>
      <c r="G3388" t="str">
        <f>IF(D3388="","",INDEX(Knutepunkter!$C:$C,D3388+1))</f>
        <v/>
      </c>
      <c r="H3388" t="str">
        <f>IF(D3388="","",INDEX(Knutepunkter!$D:$D,D3388+1))</f>
        <v/>
      </c>
      <c r="I3388" t="str">
        <f>IF(E3388="","",INDEX(Knutepunkter!$B:$B,E3388+1))</f>
        <v/>
      </c>
      <c r="J3388" t="str">
        <f>IF(E3388="","",INDEX(Knutepunkter!$C:$C,E3388+1))</f>
        <v/>
      </c>
      <c r="K3388" t="str">
        <f>IF(E3388="","",INDEX(Knutepunkter!$D:$D,E3388+1))</f>
        <v/>
      </c>
      <c r="L3388" t="str">
        <f t="shared" si="263"/>
        <v/>
      </c>
      <c r="M3388" t="str">
        <f t="shared" si="264"/>
        <v/>
      </c>
    </row>
    <row r="3389" spans="1:13" x14ac:dyDescent="0.3">
      <c r="A3389" t="str">
        <f>Segmenter!A3389</f>
        <v/>
      </c>
      <c r="B3389" t="str">
        <f>Segmenter!B3389</f>
        <v/>
      </c>
      <c r="C3389" t="str">
        <f t="shared" si="260"/>
        <v/>
      </c>
      <c r="D3389" t="str">
        <f t="shared" si="261"/>
        <v/>
      </c>
      <c r="E3389" t="str">
        <f t="shared" si="262"/>
        <v/>
      </c>
      <c r="F3389" t="str">
        <f>IF(D3389="","",INDEX(Knutepunkter!$B:$B,D3389+1))</f>
        <v/>
      </c>
      <c r="G3389" t="str">
        <f>IF(D3389="","",INDEX(Knutepunkter!$C:$C,D3389+1))</f>
        <v/>
      </c>
      <c r="H3389" t="str">
        <f>IF(D3389="","",INDEX(Knutepunkter!$D:$D,D3389+1))</f>
        <v/>
      </c>
      <c r="I3389" t="str">
        <f>IF(E3389="","",INDEX(Knutepunkter!$B:$B,E3389+1))</f>
        <v/>
      </c>
      <c r="J3389" t="str">
        <f>IF(E3389="","",INDEX(Knutepunkter!$C:$C,E3389+1))</f>
        <v/>
      </c>
      <c r="K3389" t="str">
        <f>IF(E3389="","",INDEX(Knutepunkter!$D:$D,E3389+1))</f>
        <v/>
      </c>
      <c r="L3389" t="str">
        <f t="shared" si="263"/>
        <v/>
      </c>
      <c r="M3389" t="str">
        <f t="shared" si="264"/>
        <v/>
      </c>
    </row>
    <row r="3390" spans="1:13" x14ac:dyDescent="0.3">
      <c r="A3390" t="str">
        <f>Segmenter!A3390</f>
        <v/>
      </c>
      <c r="B3390" t="str">
        <f>Segmenter!B3390</f>
        <v/>
      </c>
      <c r="C3390" t="str">
        <f t="shared" si="260"/>
        <v/>
      </c>
      <c r="D3390" t="str">
        <f t="shared" si="261"/>
        <v/>
      </c>
      <c r="E3390" t="str">
        <f t="shared" si="262"/>
        <v/>
      </c>
      <c r="F3390" t="str">
        <f>IF(D3390="","",INDEX(Knutepunkter!$B:$B,D3390+1))</f>
        <v/>
      </c>
      <c r="G3390" t="str">
        <f>IF(D3390="","",INDEX(Knutepunkter!$C:$C,D3390+1))</f>
        <v/>
      </c>
      <c r="H3390" t="str">
        <f>IF(D3390="","",INDEX(Knutepunkter!$D:$D,D3390+1))</f>
        <v/>
      </c>
      <c r="I3390" t="str">
        <f>IF(E3390="","",INDEX(Knutepunkter!$B:$B,E3390+1))</f>
        <v/>
      </c>
      <c r="J3390" t="str">
        <f>IF(E3390="","",INDEX(Knutepunkter!$C:$C,E3390+1))</f>
        <v/>
      </c>
      <c r="K3390" t="str">
        <f>IF(E3390="","",INDEX(Knutepunkter!$D:$D,E3390+1))</f>
        <v/>
      </c>
      <c r="L3390" t="str">
        <f t="shared" si="263"/>
        <v/>
      </c>
      <c r="M3390" t="str">
        <f t="shared" si="264"/>
        <v/>
      </c>
    </row>
    <row r="3391" spans="1:13" x14ac:dyDescent="0.3">
      <c r="A3391" t="str">
        <f>Segmenter!A3391</f>
        <v/>
      </c>
      <c r="B3391" t="str">
        <f>Segmenter!B3391</f>
        <v/>
      </c>
      <c r="C3391" t="str">
        <f t="shared" si="260"/>
        <v/>
      </c>
      <c r="D3391" t="str">
        <f t="shared" si="261"/>
        <v/>
      </c>
      <c r="E3391" t="str">
        <f t="shared" si="262"/>
        <v/>
      </c>
      <c r="F3391" t="str">
        <f>IF(D3391="","",INDEX(Knutepunkter!$B:$B,D3391+1))</f>
        <v/>
      </c>
      <c r="G3391" t="str">
        <f>IF(D3391="","",INDEX(Knutepunkter!$C:$C,D3391+1))</f>
        <v/>
      </c>
      <c r="H3391" t="str">
        <f>IF(D3391="","",INDEX(Knutepunkter!$D:$D,D3391+1))</f>
        <v/>
      </c>
      <c r="I3391" t="str">
        <f>IF(E3391="","",INDEX(Knutepunkter!$B:$B,E3391+1))</f>
        <v/>
      </c>
      <c r="J3391" t="str">
        <f>IF(E3391="","",INDEX(Knutepunkter!$C:$C,E3391+1))</f>
        <v/>
      </c>
      <c r="K3391" t="str">
        <f>IF(E3391="","",INDEX(Knutepunkter!$D:$D,E3391+1))</f>
        <v/>
      </c>
      <c r="L3391" t="str">
        <f t="shared" si="263"/>
        <v/>
      </c>
      <c r="M3391" t="str">
        <f t="shared" si="264"/>
        <v/>
      </c>
    </row>
    <row r="3392" spans="1:13" x14ac:dyDescent="0.3">
      <c r="A3392" t="str">
        <f>Segmenter!A3392</f>
        <v/>
      </c>
      <c r="B3392" t="str">
        <f>Segmenter!B3392</f>
        <v/>
      </c>
      <c r="C3392" t="str">
        <f t="shared" si="260"/>
        <v/>
      </c>
      <c r="D3392" t="str">
        <f t="shared" si="261"/>
        <v/>
      </c>
      <c r="E3392" t="str">
        <f t="shared" si="262"/>
        <v/>
      </c>
      <c r="F3392" t="str">
        <f>IF(D3392="","",INDEX(Knutepunkter!$B:$B,D3392+1))</f>
        <v/>
      </c>
      <c r="G3392" t="str">
        <f>IF(D3392="","",INDEX(Knutepunkter!$C:$C,D3392+1))</f>
        <v/>
      </c>
      <c r="H3392" t="str">
        <f>IF(D3392="","",INDEX(Knutepunkter!$D:$D,D3392+1))</f>
        <v/>
      </c>
      <c r="I3392" t="str">
        <f>IF(E3392="","",INDEX(Knutepunkter!$B:$B,E3392+1))</f>
        <v/>
      </c>
      <c r="J3392" t="str">
        <f>IF(E3392="","",INDEX(Knutepunkter!$C:$C,E3392+1))</f>
        <v/>
      </c>
      <c r="K3392" t="str">
        <f>IF(E3392="","",INDEX(Knutepunkter!$D:$D,E3392+1))</f>
        <v/>
      </c>
      <c r="L3392" t="str">
        <f t="shared" si="263"/>
        <v/>
      </c>
      <c r="M3392" t="str">
        <f t="shared" si="264"/>
        <v/>
      </c>
    </row>
    <row r="3393" spans="1:13" x14ac:dyDescent="0.3">
      <c r="A3393" t="str">
        <f>Segmenter!A3393</f>
        <v/>
      </c>
      <c r="B3393" t="str">
        <f>Segmenter!B3393</f>
        <v/>
      </c>
      <c r="C3393" t="str">
        <f t="shared" si="260"/>
        <v/>
      </c>
      <c r="D3393" t="str">
        <f t="shared" si="261"/>
        <v/>
      </c>
      <c r="E3393" t="str">
        <f t="shared" si="262"/>
        <v/>
      </c>
      <c r="F3393" t="str">
        <f>IF(D3393="","",INDEX(Knutepunkter!$B:$B,D3393+1))</f>
        <v/>
      </c>
      <c r="G3393" t="str">
        <f>IF(D3393="","",INDEX(Knutepunkter!$C:$C,D3393+1))</f>
        <v/>
      </c>
      <c r="H3393" t="str">
        <f>IF(D3393="","",INDEX(Knutepunkter!$D:$D,D3393+1))</f>
        <v/>
      </c>
      <c r="I3393" t="str">
        <f>IF(E3393="","",INDEX(Knutepunkter!$B:$B,E3393+1))</f>
        <v/>
      </c>
      <c r="J3393" t="str">
        <f>IF(E3393="","",INDEX(Knutepunkter!$C:$C,E3393+1))</f>
        <v/>
      </c>
      <c r="K3393" t="str">
        <f>IF(E3393="","",INDEX(Knutepunkter!$D:$D,E3393+1))</f>
        <v/>
      </c>
      <c r="L3393" t="str">
        <f t="shared" si="263"/>
        <v/>
      </c>
      <c r="M3393" t="str">
        <f t="shared" si="264"/>
        <v/>
      </c>
    </row>
    <row r="3394" spans="1:13" x14ac:dyDescent="0.3">
      <c r="A3394" t="str">
        <f>Segmenter!A3394</f>
        <v/>
      </c>
      <c r="B3394" t="str">
        <f>Segmenter!B3394</f>
        <v/>
      </c>
      <c r="C3394" t="str">
        <f t="shared" ref="C3394:C3457" si="265">IF(B3394="","",IF(AND(F3394=I3394,G3394=J3394,H3394&lt;&gt;K3394),"Søyle","Bjelke"))</f>
        <v/>
      </c>
      <c r="D3394" t="str">
        <f t="shared" ref="D3394:D3457" si="266">IF(B3394="","",VALUE(LEFT(B3394,FIND(" -&gt; ",B3394)-1)))</f>
        <v/>
      </c>
      <c r="E3394" t="str">
        <f t="shared" ref="E3394:E3457" si="267">IF(B3394="","",VALUE(MID(B3394,FIND(" -&gt; ",B3394)+4,99)))</f>
        <v/>
      </c>
      <c r="F3394" t="str">
        <f>IF(D3394="","",INDEX(Knutepunkter!$B:$B,D3394+1))</f>
        <v/>
      </c>
      <c r="G3394" t="str">
        <f>IF(D3394="","",INDEX(Knutepunkter!$C:$C,D3394+1))</f>
        <v/>
      </c>
      <c r="H3394" t="str">
        <f>IF(D3394="","",INDEX(Knutepunkter!$D:$D,D3394+1))</f>
        <v/>
      </c>
      <c r="I3394" t="str">
        <f>IF(E3394="","",INDEX(Knutepunkter!$B:$B,E3394+1))</f>
        <v/>
      </c>
      <c r="J3394" t="str">
        <f>IF(E3394="","",INDEX(Knutepunkter!$C:$C,E3394+1))</f>
        <v/>
      </c>
      <c r="K3394" t="str">
        <f>IF(E3394="","",INDEX(Knutepunkter!$D:$D,E3394+1))</f>
        <v/>
      </c>
      <c r="L3394" t="str">
        <f t="shared" ref="L3394:L3457" si="268">IF(B3394="","",SQRT((I3394-F3394)^2+(J3394-G3394)^2+(K3394-H3394)^2))</f>
        <v/>
      </c>
      <c r="M3394" t="str">
        <f t="shared" ref="M3394:M3457" si="269">IF(L3394="","",L3394/1000)</f>
        <v/>
      </c>
    </row>
    <row r="3395" spans="1:13" x14ac:dyDescent="0.3">
      <c r="A3395" t="str">
        <f>Segmenter!A3395</f>
        <v/>
      </c>
      <c r="B3395" t="str">
        <f>Segmenter!B3395</f>
        <v/>
      </c>
      <c r="C3395" t="str">
        <f t="shared" si="265"/>
        <v/>
      </c>
      <c r="D3395" t="str">
        <f t="shared" si="266"/>
        <v/>
      </c>
      <c r="E3395" t="str">
        <f t="shared" si="267"/>
        <v/>
      </c>
      <c r="F3395" t="str">
        <f>IF(D3395="","",INDEX(Knutepunkter!$B:$B,D3395+1))</f>
        <v/>
      </c>
      <c r="G3395" t="str">
        <f>IF(D3395="","",INDEX(Knutepunkter!$C:$C,D3395+1))</f>
        <v/>
      </c>
      <c r="H3395" t="str">
        <f>IF(D3395="","",INDEX(Knutepunkter!$D:$D,D3395+1))</f>
        <v/>
      </c>
      <c r="I3395" t="str">
        <f>IF(E3395="","",INDEX(Knutepunkter!$B:$B,E3395+1))</f>
        <v/>
      </c>
      <c r="J3395" t="str">
        <f>IF(E3395="","",INDEX(Knutepunkter!$C:$C,E3395+1))</f>
        <v/>
      </c>
      <c r="K3395" t="str">
        <f>IF(E3395="","",INDEX(Knutepunkter!$D:$D,E3395+1))</f>
        <v/>
      </c>
      <c r="L3395" t="str">
        <f t="shared" si="268"/>
        <v/>
      </c>
      <c r="M3395" t="str">
        <f t="shared" si="269"/>
        <v/>
      </c>
    </row>
    <row r="3396" spans="1:13" x14ac:dyDescent="0.3">
      <c r="A3396" t="str">
        <f>Segmenter!A3396</f>
        <v/>
      </c>
      <c r="B3396" t="str">
        <f>Segmenter!B3396</f>
        <v/>
      </c>
      <c r="C3396" t="str">
        <f t="shared" si="265"/>
        <v/>
      </c>
      <c r="D3396" t="str">
        <f t="shared" si="266"/>
        <v/>
      </c>
      <c r="E3396" t="str">
        <f t="shared" si="267"/>
        <v/>
      </c>
      <c r="F3396" t="str">
        <f>IF(D3396="","",INDEX(Knutepunkter!$B:$B,D3396+1))</f>
        <v/>
      </c>
      <c r="G3396" t="str">
        <f>IF(D3396="","",INDEX(Knutepunkter!$C:$C,D3396+1))</f>
        <v/>
      </c>
      <c r="H3396" t="str">
        <f>IF(D3396="","",INDEX(Knutepunkter!$D:$D,D3396+1))</f>
        <v/>
      </c>
      <c r="I3396" t="str">
        <f>IF(E3396="","",INDEX(Knutepunkter!$B:$B,E3396+1))</f>
        <v/>
      </c>
      <c r="J3396" t="str">
        <f>IF(E3396="","",INDEX(Knutepunkter!$C:$C,E3396+1))</f>
        <v/>
      </c>
      <c r="K3396" t="str">
        <f>IF(E3396="","",INDEX(Knutepunkter!$D:$D,E3396+1))</f>
        <v/>
      </c>
      <c r="L3396" t="str">
        <f t="shared" si="268"/>
        <v/>
      </c>
      <c r="M3396" t="str">
        <f t="shared" si="269"/>
        <v/>
      </c>
    </row>
    <row r="3397" spans="1:13" x14ac:dyDescent="0.3">
      <c r="A3397" t="str">
        <f>Segmenter!A3397</f>
        <v/>
      </c>
      <c r="B3397" t="str">
        <f>Segmenter!B3397</f>
        <v/>
      </c>
      <c r="C3397" t="str">
        <f t="shared" si="265"/>
        <v/>
      </c>
      <c r="D3397" t="str">
        <f t="shared" si="266"/>
        <v/>
      </c>
      <c r="E3397" t="str">
        <f t="shared" si="267"/>
        <v/>
      </c>
      <c r="F3397" t="str">
        <f>IF(D3397="","",INDEX(Knutepunkter!$B:$B,D3397+1))</f>
        <v/>
      </c>
      <c r="G3397" t="str">
        <f>IF(D3397="","",INDEX(Knutepunkter!$C:$C,D3397+1))</f>
        <v/>
      </c>
      <c r="H3397" t="str">
        <f>IF(D3397="","",INDEX(Knutepunkter!$D:$D,D3397+1))</f>
        <v/>
      </c>
      <c r="I3397" t="str">
        <f>IF(E3397="","",INDEX(Knutepunkter!$B:$B,E3397+1))</f>
        <v/>
      </c>
      <c r="J3397" t="str">
        <f>IF(E3397="","",INDEX(Knutepunkter!$C:$C,E3397+1))</f>
        <v/>
      </c>
      <c r="K3397" t="str">
        <f>IF(E3397="","",INDEX(Knutepunkter!$D:$D,E3397+1))</f>
        <v/>
      </c>
      <c r="L3397" t="str">
        <f t="shared" si="268"/>
        <v/>
      </c>
      <c r="M3397" t="str">
        <f t="shared" si="269"/>
        <v/>
      </c>
    </row>
    <row r="3398" spans="1:13" x14ac:dyDescent="0.3">
      <c r="A3398" t="str">
        <f>Segmenter!A3398</f>
        <v/>
      </c>
      <c r="B3398" t="str">
        <f>Segmenter!B3398</f>
        <v/>
      </c>
      <c r="C3398" t="str">
        <f t="shared" si="265"/>
        <v/>
      </c>
      <c r="D3398" t="str">
        <f t="shared" si="266"/>
        <v/>
      </c>
      <c r="E3398" t="str">
        <f t="shared" si="267"/>
        <v/>
      </c>
      <c r="F3398" t="str">
        <f>IF(D3398="","",INDEX(Knutepunkter!$B:$B,D3398+1))</f>
        <v/>
      </c>
      <c r="G3398" t="str">
        <f>IF(D3398="","",INDEX(Knutepunkter!$C:$C,D3398+1))</f>
        <v/>
      </c>
      <c r="H3398" t="str">
        <f>IF(D3398="","",INDEX(Knutepunkter!$D:$D,D3398+1))</f>
        <v/>
      </c>
      <c r="I3398" t="str">
        <f>IF(E3398="","",INDEX(Knutepunkter!$B:$B,E3398+1))</f>
        <v/>
      </c>
      <c r="J3398" t="str">
        <f>IF(E3398="","",INDEX(Knutepunkter!$C:$C,E3398+1))</f>
        <v/>
      </c>
      <c r="K3398" t="str">
        <f>IF(E3398="","",INDEX(Knutepunkter!$D:$D,E3398+1))</f>
        <v/>
      </c>
      <c r="L3398" t="str">
        <f t="shared" si="268"/>
        <v/>
      </c>
      <c r="M3398" t="str">
        <f t="shared" si="269"/>
        <v/>
      </c>
    </row>
    <row r="3399" spans="1:13" x14ac:dyDescent="0.3">
      <c r="A3399" t="str">
        <f>Segmenter!A3399</f>
        <v/>
      </c>
      <c r="B3399" t="str">
        <f>Segmenter!B3399</f>
        <v/>
      </c>
      <c r="C3399" t="str">
        <f t="shared" si="265"/>
        <v/>
      </c>
      <c r="D3399" t="str">
        <f t="shared" si="266"/>
        <v/>
      </c>
      <c r="E3399" t="str">
        <f t="shared" si="267"/>
        <v/>
      </c>
      <c r="F3399" t="str">
        <f>IF(D3399="","",INDEX(Knutepunkter!$B:$B,D3399+1))</f>
        <v/>
      </c>
      <c r="G3399" t="str">
        <f>IF(D3399="","",INDEX(Knutepunkter!$C:$C,D3399+1))</f>
        <v/>
      </c>
      <c r="H3399" t="str">
        <f>IF(D3399="","",INDEX(Knutepunkter!$D:$D,D3399+1))</f>
        <v/>
      </c>
      <c r="I3399" t="str">
        <f>IF(E3399="","",INDEX(Knutepunkter!$B:$B,E3399+1))</f>
        <v/>
      </c>
      <c r="J3399" t="str">
        <f>IF(E3399="","",INDEX(Knutepunkter!$C:$C,E3399+1))</f>
        <v/>
      </c>
      <c r="K3399" t="str">
        <f>IF(E3399="","",INDEX(Knutepunkter!$D:$D,E3399+1))</f>
        <v/>
      </c>
      <c r="L3399" t="str">
        <f t="shared" si="268"/>
        <v/>
      </c>
      <c r="M3399" t="str">
        <f t="shared" si="269"/>
        <v/>
      </c>
    </row>
    <row r="3400" spans="1:13" x14ac:dyDescent="0.3">
      <c r="A3400" t="str">
        <f>Segmenter!A3400</f>
        <v/>
      </c>
      <c r="B3400" t="str">
        <f>Segmenter!B3400</f>
        <v/>
      </c>
      <c r="C3400" t="str">
        <f t="shared" si="265"/>
        <v/>
      </c>
      <c r="D3400" t="str">
        <f t="shared" si="266"/>
        <v/>
      </c>
      <c r="E3400" t="str">
        <f t="shared" si="267"/>
        <v/>
      </c>
      <c r="F3400" t="str">
        <f>IF(D3400="","",INDEX(Knutepunkter!$B:$B,D3400+1))</f>
        <v/>
      </c>
      <c r="G3400" t="str">
        <f>IF(D3400="","",INDEX(Knutepunkter!$C:$C,D3400+1))</f>
        <v/>
      </c>
      <c r="H3400" t="str">
        <f>IF(D3400="","",INDEX(Knutepunkter!$D:$D,D3400+1))</f>
        <v/>
      </c>
      <c r="I3400" t="str">
        <f>IF(E3400="","",INDEX(Knutepunkter!$B:$B,E3400+1))</f>
        <v/>
      </c>
      <c r="J3400" t="str">
        <f>IF(E3400="","",INDEX(Knutepunkter!$C:$C,E3400+1))</f>
        <v/>
      </c>
      <c r="K3400" t="str">
        <f>IF(E3400="","",INDEX(Knutepunkter!$D:$D,E3400+1))</f>
        <v/>
      </c>
      <c r="L3400" t="str">
        <f t="shared" si="268"/>
        <v/>
      </c>
      <c r="M3400" t="str">
        <f t="shared" si="269"/>
        <v/>
      </c>
    </row>
    <row r="3401" spans="1:13" x14ac:dyDescent="0.3">
      <c r="A3401" t="str">
        <f>Segmenter!A3401</f>
        <v/>
      </c>
      <c r="B3401" t="str">
        <f>Segmenter!B3401</f>
        <v/>
      </c>
      <c r="C3401" t="str">
        <f t="shared" si="265"/>
        <v/>
      </c>
      <c r="D3401" t="str">
        <f t="shared" si="266"/>
        <v/>
      </c>
      <c r="E3401" t="str">
        <f t="shared" si="267"/>
        <v/>
      </c>
      <c r="F3401" t="str">
        <f>IF(D3401="","",INDEX(Knutepunkter!$B:$B,D3401+1))</f>
        <v/>
      </c>
      <c r="G3401" t="str">
        <f>IF(D3401="","",INDEX(Knutepunkter!$C:$C,D3401+1))</f>
        <v/>
      </c>
      <c r="H3401" t="str">
        <f>IF(D3401="","",INDEX(Knutepunkter!$D:$D,D3401+1))</f>
        <v/>
      </c>
      <c r="I3401" t="str">
        <f>IF(E3401="","",INDEX(Knutepunkter!$B:$B,E3401+1))</f>
        <v/>
      </c>
      <c r="J3401" t="str">
        <f>IF(E3401="","",INDEX(Knutepunkter!$C:$C,E3401+1))</f>
        <v/>
      </c>
      <c r="K3401" t="str">
        <f>IF(E3401="","",INDEX(Knutepunkter!$D:$D,E3401+1))</f>
        <v/>
      </c>
      <c r="L3401" t="str">
        <f t="shared" si="268"/>
        <v/>
      </c>
      <c r="M3401" t="str">
        <f t="shared" si="269"/>
        <v/>
      </c>
    </row>
    <row r="3402" spans="1:13" x14ac:dyDescent="0.3">
      <c r="A3402" t="str">
        <f>Segmenter!A3402</f>
        <v/>
      </c>
      <c r="B3402" t="str">
        <f>Segmenter!B3402</f>
        <v/>
      </c>
      <c r="C3402" t="str">
        <f t="shared" si="265"/>
        <v/>
      </c>
      <c r="D3402" t="str">
        <f t="shared" si="266"/>
        <v/>
      </c>
      <c r="E3402" t="str">
        <f t="shared" si="267"/>
        <v/>
      </c>
      <c r="F3402" t="str">
        <f>IF(D3402="","",INDEX(Knutepunkter!$B:$B,D3402+1))</f>
        <v/>
      </c>
      <c r="G3402" t="str">
        <f>IF(D3402="","",INDEX(Knutepunkter!$C:$C,D3402+1))</f>
        <v/>
      </c>
      <c r="H3402" t="str">
        <f>IF(D3402="","",INDEX(Knutepunkter!$D:$D,D3402+1))</f>
        <v/>
      </c>
      <c r="I3402" t="str">
        <f>IF(E3402="","",INDEX(Knutepunkter!$B:$B,E3402+1))</f>
        <v/>
      </c>
      <c r="J3402" t="str">
        <f>IF(E3402="","",INDEX(Knutepunkter!$C:$C,E3402+1))</f>
        <v/>
      </c>
      <c r="K3402" t="str">
        <f>IF(E3402="","",INDEX(Knutepunkter!$D:$D,E3402+1))</f>
        <v/>
      </c>
      <c r="L3402" t="str">
        <f t="shared" si="268"/>
        <v/>
      </c>
      <c r="M3402" t="str">
        <f t="shared" si="269"/>
        <v/>
      </c>
    </row>
    <row r="3403" spans="1:13" x14ac:dyDescent="0.3">
      <c r="A3403" t="str">
        <f>Segmenter!A3403</f>
        <v/>
      </c>
      <c r="B3403" t="str">
        <f>Segmenter!B3403</f>
        <v/>
      </c>
      <c r="C3403" t="str">
        <f t="shared" si="265"/>
        <v/>
      </c>
      <c r="D3403" t="str">
        <f t="shared" si="266"/>
        <v/>
      </c>
      <c r="E3403" t="str">
        <f t="shared" si="267"/>
        <v/>
      </c>
      <c r="F3403" t="str">
        <f>IF(D3403="","",INDEX(Knutepunkter!$B:$B,D3403+1))</f>
        <v/>
      </c>
      <c r="G3403" t="str">
        <f>IF(D3403="","",INDEX(Knutepunkter!$C:$C,D3403+1))</f>
        <v/>
      </c>
      <c r="H3403" t="str">
        <f>IF(D3403="","",INDEX(Knutepunkter!$D:$D,D3403+1))</f>
        <v/>
      </c>
      <c r="I3403" t="str">
        <f>IF(E3403="","",INDEX(Knutepunkter!$B:$B,E3403+1))</f>
        <v/>
      </c>
      <c r="J3403" t="str">
        <f>IF(E3403="","",INDEX(Knutepunkter!$C:$C,E3403+1))</f>
        <v/>
      </c>
      <c r="K3403" t="str">
        <f>IF(E3403="","",INDEX(Knutepunkter!$D:$D,E3403+1))</f>
        <v/>
      </c>
      <c r="L3403" t="str">
        <f t="shared" si="268"/>
        <v/>
      </c>
      <c r="M3403" t="str">
        <f t="shared" si="269"/>
        <v/>
      </c>
    </row>
    <row r="3404" spans="1:13" x14ac:dyDescent="0.3">
      <c r="A3404" t="str">
        <f>Segmenter!A3404</f>
        <v/>
      </c>
      <c r="B3404" t="str">
        <f>Segmenter!B3404</f>
        <v/>
      </c>
      <c r="C3404" t="str">
        <f t="shared" si="265"/>
        <v/>
      </c>
      <c r="D3404" t="str">
        <f t="shared" si="266"/>
        <v/>
      </c>
      <c r="E3404" t="str">
        <f t="shared" si="267"/>
        <v/>
      </c>
      <c r="F3404" t="str">
        <f>IF(D3404="","",INDEX(Knutepunkter!$B:$B,D3404+1))</f>
        <v/>
      </c>
      <c r="G3404" t="str">
        <f>IF(D3404="","",INDEX(Knutepunkter!$C:$C,D3404+1))</f>
        <v/>
      </c>
      <c r="H3404" t="str">
        <f>IF(D3404="","",INDEX(Knutepunkter!$D:$D,D3404+1))</f>
        <v/>
      </c>
      <c r="I3404" t="str">
        <f>IF(E3404="","",INDEX(Knutepunkter!$B:$B,E3404+1))</f>
        <v/>
      </c>
      <c r="J3404" t="str">
        <f>IF(E3404="","",INDEX(Knutepunkter!$C:$C,E3404+1))</f>
        <v/>
      </c>
      <c r="K3404" t="str">
        <f>IF(E3404="","",INDEX(Knutepunkter!$D:$D,E3404+1))</f>
        <v/>
      </c>
      <c r="L3404" t="str">
        <f t="shared" si="268"/>
        <v/>
      </c>
      <c r="M3404" t="str">
        <f t="shared" si="269"/>
        <v/>
      </c>
    </row>
    <row r="3405" spans="1:13" x14ac:dyDescent="0.3">
      <c r="A3405" t="str">
        <f>Segmenter!A3405</f>
        <v/>
      </c>
      <c r="B3405" t="str">
        <f>Segmenter!B3405</f>
        <v/>
      </c>
      <c r="C3405" t="str">
        <f t="shared" si="265"/>
        <v/>
      </c>
      <c r="D3405" t="str">
        <f t="shared" si="266"/>
        <v/>
      </c>
      <c r="E3405" t="str">
        <f t="shared" si="267"/>
        <v/>
      </c>
      <c r="F3405" t="str">
        <f>IF(D3405="","",INDEX(Knutepunkter!$B:$B,D3405+1))</f>
        <v/>
      </c>
      <c r="G3405" t="str">
        <f>IF(D3405="","",INDEX(Knutepunkter!$C:$C,D3405+1))</f>
        <v/>
      </c>
      <c r="H3405" t="str">
        <f>IF(D3405="","",INDEX(Knutepunkter!$D:$D,D3405+1))</f>
        <v/>
      </c>
      <c r="I3405" t="str">
        <f>IF(E3405="","",INDEX(Knutepunkter!$B:$B,E3405+1))</f>
        <v/>
      </c>
      <c r="J3405" t="str">
        <f>IF(E3405="","",INDEX(Knutepunkter!$C:$C,E3405+1))</f>
        <v/>
      </c>
      <c r="K3405" t="str">
        <f>IF(E3405="","",INDEX(Knutepunkter!$D:$D,E3405+1))</f>
        <v/>
      </c>
      <c r="L3405" t="str">
        <f t="shared" si="268"/>
        <v/>
      </c>
      <c r="M3405" t="str">
        <f t="shared" si="269"/>
        <v/>
      </c>
    </row>
    <row r="3406" spans="1:13" x14ac:dyDescent="0.3">
      <c r="A3406" t="str">
        <f>Segmenter!A3406</f>
        <v/>
      </c>
      <c r="B3406" t="str">
        <f>Segmenter!B3406</f>
        <v/>
      </c>
      <c r="C3406" t="str">
        <f t="shared" si="265"/>
        <v/>
      </c>
      <c r="D3406" t="str">
        <f t="shared" si="266"/>
        <v/>
      </c>
      <c r="E3406" t="str">
        <f t="shared" si="267"/>
        <v/>
      </c>
      <c r="F3406" t="str">
        <f>IF(D3406="","",INDEX(Knutepunkter!$B:$B,D3406+1))</f>
        <v/>
      </c>
      <c r="G3406" t="str">
        <f>IF(D3406="","",INDEX(Knutepunkter!$C:$C,D3406+1))</f>
        <v/>
      </c>
      <c r="H3406" t="str">
        <f>IF(D3406="","",INDEX(Knutepunkter!$D:$D,D3406+1))</f>
        <v/>
      </c>
      <c r="I3406" t="str">
        <f>IF(E3406="","",INDEX(Knutepunkter!$B:$B,E3406+1))</f>
        <v/>
      </c>
      <c r="J3406" t="str">
        <f>IF(E3406="","",INDEX(Knutepunkter!$C:$C,E3406+1))</f>
        <v/>
      </c>
      <c r="K3406" t="str">
        <f>IF(E3406="","",INDEX(Knutepunkter!$D:$D,E3406+1))</f>
        <v/>
      </c>
      <c r="L3406" t="str">
        <f t="shared" si="268"/>
        <v/>
      </c>
      <c r="M3406" t="str">
        <f t="shared" si="269"/>
        <v/>
      </c>
    </row>
    <row r="3407" spans="1:13" x14ac:dyDescent="0.3">
      <c r="A3407" t="str">
        <f>Segmenter!A3407</f>
        <v/>
      </c>
      <c r="B3407" t="str">
        <f>Segmenter!B3407</f>
        <v/>
      </c>
      <c r="C3407" t="str">
        <f t="shared" si="265"/>
        <v/>
      </c>
      <c r="D3407" t="str">
        <f t="shared" si="266"/>
        <v/>
      </c>
      <c r="E3407" t="str">
        <f t="shared" si="267"/>
        <v/>
      </c>
      <c r="F3407" t="str">
        <f>IF(D3407="","",INDEX(Knutepunkter!$B:$B,D3407+1))</f>
        <v/>
      </c>
      <c r="G3407" t="str">
        <f>IF(D3407="","",INDEX(Knutepunkter!$C:$C,D3407+1))</f>
        <v/>
      </c>
      <c r="H3407" t="str">
        <f>IF(D3407="","",INDEX(Knutepunkter!$D:$D,D3407+1))</f>
        <v/>
      </c>
      <c r="I3407" t="str">
        <f>IF(E3407="","",INDEX(Knutepunkter!$B:$B,E3407+1))</f>
        <v/>
      </c>
      <c r="J3407" t="str">
        <f>IF(E3407="","",INDEX(Knutepunkter!$C:$C,E3407+1))</f>
        <v/>
      </c>
      <c r="K3407" t="str">
        <f>IF(E3407="","",INDEX(Knutepunkter!$D:$D,E3407+1))</f>
        <v/>
      </c>
      <c r="L3407" t="str">
        <f t="shared" si="268"/>
        <v/>
      </c>
      <c r="M3407" t="str">
        <f t="shared" si="269"/>
        <v/>
      </c>
    </row>
    <row r="3408" spans="1:13" x14ac:dyDescent="0.3">
      <c r="A3408" t="str">
        <f>Segmenter!A3408</f>
        <v/>
      </c>
      <c r="B3408" t="str">
        <f>Segmenter!B3408</f>
        <v/>
      </c>
      <c r="C3408" t="str">
        <f t="shared" si="265"/>
        <v/>
      </c>
      <c r="D3408" t="str">
        <f t="shared" si="266"/>
        <v/>
      </c>
      <c r="E3408" t="str">
        <f t="shared" si="267"/>
        <v/>
      </c>
      <c r="F3408" t="str">
        <f>IF(D3408="","",INDEX(Knutepunkter!$B:$B,D3408+1))</f>
        <v/>
      </c>
      <c r="G3408" t="str">
        <f>IF(D3408="","",INDEX(Knutepunkter!$C:$C,D3408+1))</f>
        <v/>
      </c>
      <c r="H3408" t="str">
        <f>IF(D3408="","",INDEX(Knutepunkter!$D:$D,D3408+1))</f>
        <v/>
      </c>
      <c r="I3408" t="str">
        <f>IF(E3408="","",INDEX(Knutepunkter!$B:$B,E3408+1))</f>
        <v/>
      </c>
      <c r="J3408" t="str">
        <f>IF(E3408="","",INDEX(Knutepunkter!$C:$C,E3408+1))</f>
        <v/>
      </c>
      <c r="K3408" t="str">
        <f>IF(E3408="","",INDEX(Knutepunkter!$D:$D,E3408+1))</f>
        <v/>
      </c>
      <c r="L3408" t="str">
        <f t="shared" si="268"/>
        <v/>
      </c>
      <c r="M3408" t="str">
        <f t="shared" si="269"/>
        <v/>
      </c>
    </row>
    <row r="3409" spans="1:13" x14ac:dyDescent="0.3">
      <c r="A3409" t="str">
        <f>Segmenter!A3409</f>
        <v/>
      </c>
      <c r="B3409" t="str">
        <f>Segmenter!B3409</f>
        <v/>
      </c>
      <c r="C3409" t="str">
        <f t="shared" si="265"/>
        <v/>
      </c>
      <c r="D3409" t="str">
        <f t="shared" si="266"/>
        <v/>
      </c>
      <c r="E3409" t="str">
        <f t="shared" si="267"/>
        <v/>
      </c>
      <c r="F3409" t="str">
        <f>IF(D3409="","",INDEX(Knutepunkter!$B:$B,D3409+1))</f>
        <v/>
      </c>
      <c r="G3409" t="str">
        <f>IF(D3409="","",INDEX(Knutepunkter!$C:$C,D3409+1))</f>
        <v/>
      </c>
      <c r="H3409" t="str">
        <f>IF(D3409="","",INDEX(Knutepunkter!$D:$D,D3409+1))</f>
        <v/>
      </c>
      <c r="I3409" t="str">
        <f>IF(E3409="","",INDEX(Knutepunkter!$B:$B,E3409+1))</f>
        <v/>
      </c>
      <c r="J3409" t="str">
        <f>IF(E3409="","",INDEX(Knutepunkter!$C:$C,E3409+1))</f>
        <v/>
      </c>
      <c r="K3409" t="str">
        <f>IF(E3409="","",INDEX(Knutepunkter!$D:$D,E3409+1))</f>
        <v/>
      </c>
      <c r="L3409" t="str">
        <f t="shared" si="268"/>
        <v/>
      </c>
      <c r="M3409" t="str">
        <f t="shared" si="269"/>
        <v/>
      </c>
    </row>
    <row r="3410" spans="1:13" x14ac:dyDescent="0.3">
      <c r="A3410" t="str">
        <f>Segmenter!A3410</f>
        <v/>
      </c>
      <c r="B3410" t="str">
        <f>Segmenter!B3410</f>
        <v/>
      </c>
      <c r="C3410" t="str">
        <f t="shared" si="265"/>
        <v/>
      </c>
      <c r="D3410" t="str">
        <f t="shared" si="266"/>
        <v/>
      </c>
      <c r="E3410" t="str">
        <f t="shared" si="267"/>
        <v/>
      </c>
      <c r="F3410" t="str">
        <f>IF(D3410="","",INDEX(Knutepunkter!$B:$B,D3410+1))</f>
        <v/>
      </c>
      <c r="G3410" t="str">
        <f>IF(D3410="","",INDEX(Knutepunkter!$C:$C,D3410+1))</f>
        <v/>
      </c>
      <c r="H3410" t="str">
        <f>IF(D3410="","",INDEX(Knutepunkter!$D:$D,D3410+1))</f>
        <v/>
      </c>
      <c r="I3410" t="str">
        <f>IF(E3410="","",INDEX(Knutepunkter!$B:$B,E3410+1))</f>
        <v/>
      </c>
      <c r="J3410" t="str">
        <f>IF(E3410="","",INDEX(Knutepunkter!$C:$C,E3410+1))</f>
        <v/>
      </c>
      <c r="K3410" t="str">
        <f>IF(E3410="","",INDEX(Knutepunkter!$D:$D,E3410+1))</f>
        <v/>
      </c>
      <c r="L3410" t="str">
        <f t="shared" si="268"/>
        <v/>
      </c>
      <c r="M3410" t="str">
        <f t="shared" si="269"/>
        <v/>
      </c>
    </row>
    <row r="3411" spans="1:13" x14ac:dyDescent="0.3">
      <c r="A3411" t="str">
        <f>Segmenter!A3411</f>
        <v/>
      </c>
      <c r="B3411" t="str">
        <f>Segmenter!B3411</f>
        <v/>
      </c>
      <c r="C3411" t="str">
        <f t="shared" si="265"/>
        <v/>
      </c>
      <c r="D3411" t="str">
        <f t="shared" si="266"/>
        <v/>
      </c>
      <c r="E3411" t="str">
        <f t="shared" si="267"/>
        <v/>
      </c>
      <c r="F3411" t="str">
        <f>IF(D3411="","",INDEX(Knutepunkter!$B:$B,D3411+1))</f>
        <v/>
      </c>
      <c r="G3411" t="str">
        <f>IF(D3411="","",INDEX(Knutepunkter!$C:$C,D3411+1))</f>
        <v/>
      </c>
      <c r="H3411" t="str">
        <f>IF(D3411="","",INDEX(Knutepunkter!$D:$D,D3411+1))</f>
        <v/>
      </c>
      <c r="I3411" t="str">
        <f>IF(E3411="","",INDEX(Knutepunkter!$B:$B,E3411+1))</f>
        <v/>
      </c>
      <c r="J3411" t="str">
        <f>IF(E3411="","",INDEX(Knutepunkter!$C:$C,E3411+1))</f>
        <v/>
      </c>
      <c r="K3411" t="str">
        <f>IF(E3411="","",INDEX(Knutepunkter!$D:$D,E3411+1))</f>
        <v/>
      </c>
      <c r="L3411" t="str">
        <f t="shared" si="268"/>
        <v/>
      </c>
      <c r="M3411" t="str">
        <f t="shared" si="269"/>
        <v/>
      </c>
    </row>
    <row r="3412" spans="1:13" x14ac:dyDescent="0.3">
      <c r="A3412" t="str">
        <f>Segmenter!A3412</f>
        <v/>
      </c>
      <c r="B3412" t="str">
        <f>Segmenter!B3412</f>
        <v/>
      </c>
      <c r="C3412" t="str">
        <f t="shared" si="265"/>
        <v/>
      </c>
      <c r="D3412" t="str">
        <f t="shared" si="266"/>
        <v/>
      </c>
      <c r="E3412" t="str">
        <f t="shared" si="267"/>
        <v/>
      </c>
      <c r="F3412" t="str">
        <f>IF(D3412="","",INDEX(Knutepunkter!$B:$B,D3412+1))</f>
        <v/>
      </c>
      <c r="G3412" t="str">
        <f>IF(D3412="","",INDEX(Knutepunkter!$C:$C,D3412+1))</f>
        <v/>
      </c>
      <c r="H3412" t="str">
        <f>IF(D3412="","",INDEX(Knutepunkter!$D:$D,D3412+1))</f>
        <v/>
      </c>
      <c r="I3412" t="str">
        <f>IF(E3412="","",INDEX(Knutepunkter!$B:$B,E3412+1))</f>
        <v/>
      </c>
      <c r="J3412" t="str">
        <f>IF(E3412="","",INDEX(Knutepunkter!$C:$C,E3412+1))</f>
        <v/>
      </c>
      <c r="K3412" t="str">
        <f>IF(E3412="","",INDEX(Knutepunkter!$D:$D,E3412+1))</f>
        <v/>
      </c>
      <c r="L3412" t="str">
        <f t="shared" si="268"/>
        <v/>
      </c>
      <c r="M3412" t="str">
        <f t="shared" si="269"/>
        <v/>
      </c>
    </row>
    <row r="3413" spans="1:13" x14ac:dyDescent="0.3">
      <c r="A3413" t="str">
        <f>Segmenter!A3413</f>
        <v/>
      </c>
      <c r="B3413" t="str">
        <f>Segmenter!B3413</f>
        <v/>
      </c>
      <c r="C3413" t="str">
        <f t="shared" si="265"/>
        <v/>
      </c>
      <c r="D3413" t="str">
        <f t="shared" si="266"/>
        <v/>
      </c>
      <c r="E3413" t="str">
        <f t="shared" si="267"/>
        <v/>
      </c>
      <c r="F3413" t="str">
        <f>IF(D3413="","",INDEX(Knutepunkter!$B:$B,D3413+1))</f>
        <v/>
      </c>
      <c r="G3413" t="str">
        <f>IF(D3413="","",INDEX(Knutepunkter!$C:$C,D3413+1))</f>
        <v/>
      </c>
      <c r="H3413" t="str">
        <f>IF(D3413="","",INDEX(Knutepunkter!$D:$D,D3413+1))</f>
        <v/>
      </c>
      <c r="I3413" t="str">
        <f>IF(E3413="","",INDEX(Knutepunkter!$B:$B,E3413+1))</f>
        <v/>
      </c>
      <c r="J3413" t="str">
        <f>IF(E3413="","",INDEX(Knutepunkter!$C:$C,E3413+1))</f>
        <v/>
      </c>
      <c r="K3413" t="str">
        <f>IF(E3413="","",INDEX(Knutepunkter!$D:$D,E3413+1))</f>
        <v/>
      </c>
      <c r="L3413" t="str">
        <f t="shared" si="268"/>
        <v/>
      </c>
      <c r="M3413" t="str">
        <f t="shared" si="269"/>
        <v/>
      </c>
    </row>
    <row r="3414" spans="1:13" x14ac:dyDescent="0.3">
      <c r="A3414" t="str">
        <f>Segmenter!A3414</f>
        <v/>
      </c>
      <c r="B3414" t="str">
        <f>Segmenter!B3414</f>
        <v/>
      </c>
      <c r="C3414" t="str">
        <f t="shared" si="265"/>
        <v/>
      </c>
      <c r="D3414" t="str">
        <f t="shared" si="266"/>
        <v/>
      </c>
      <c r="E3414" t="str">
        <f t="shared" si="267"/>
        <v/>
      </c>
      <c r="F3414" t="str">
        <f>IF(D3414="","",INDEX(Knutepunkter!$B:$B,D3414+1))</f>
        <v/>
      </c>
      <c r="G3414" t="str">
        <f>IF(D3414="","",INDEX(Knutepunkter!$C:$C,D3414+1))</f>
        <v/>
      </c>
      <c r="H3414" t="str">
        <f>IF(D3414="","",INDEX(Knutepunkter!$D:$D,D3414+1))</f>
        <v/>
      </c>
      <c r="I3414" t="str">
        <f>IF(E3414="","",INDEX(Knutepunkter!$B:$B,E3414+1))</f>
        <v/>
      </c>
      <c r="J3414" t="str">
        <f>IF(E3414="","",INDEX(Knutepunkter!$C:$C,E3414+1))</f>
        <v/>
      </c>
      <c r="K3414" t="str">
        <f>IF(E3414="","",INDEX(Knutepunkter!$D:$D,E3414+1))</f>
        <v/>
      </c>
      <c r="L3414" t="str">
        <f t="shared" si="268"/>
        <v/>
      </c>
      <c r="M3414" t="str">
        <f t="shared" si="269"/>
        <v/>
      </c>
    </row>
    <row r="3415" spans="1:13" x14ac:dyDescent="0.3">
      <c r="A3415" t="str">
        <f>Segmenter!A3415</f>
        <v/>
      </c>
      <c r="B3415" t="str">
        <f>Segmenter!B3415</f>
        <v/>
      </c>
      <c r="C3415" t="str">
        <f t="shared" si="265"/>
        <v/>
      </c>
      <c r="D3415" t="str">
        <f t="shared" si="266"/>
        <v/>
      </c>
      <c r="E3415" t="str">
        <f t="shared" si="267"/>
        <v/>
      </c>
      <c r="F3415" t="str">
        <f>IF(D3415="","",INDEX(Knutepunkter!$B:$B,D3415+1))</f>
        <v/>
      </c>
      <c r="G3415" t="str">
        <f>IF(D3415="","",INDEX(Knutepunkter!$C:$C,D3415+1))</f>
        <v/>
      </c>
      <c r="H3415" t="str">
        <f>IF(D3415="","",INDEX(Knutepunkter!$D:$D,D3415+1))</f>
        <v/>
      </c>
      <c r="I3415" t="str">
        <f>IF(E3415="","",INDEX(Knutepunkter!$B:$B,E3415+1))</f>
        <v/>
      </c>
      <c r="J3415" t="str">
        <f>IF(E3415="","",INDEX(Knutepunkter!$C:$C,E3415+1))</f>
        <v/>
      </c>
      <c r="K3415" t="str">
        <f>IF(E3415="","",INDEX(Knutepunkter!$D:$D,E3415+1))</f>
        <v/>
      </c>
      <c r="L3415" t="str">
        <f t="shared" si="268"/>
        <v/>
      </c>
      <c r="M3415" t="str">
        <f t="shared" si="269"/>
        <v/>
      </c>
    </row>
    <row r="3416" spans="1:13" x14ac:dyDescent="0.3">
      <c r="A3416" t="str">
        <f>Segmenter!A3416</f>
        <v/>
      </c>
      <c r="B3416" t="str">
        <f>Segmenter!B3416</f>
        <v/>
      </c>
      <c r="C3416" t="str">
        <f t="shared" si="265"/>
        <v/>
      </c>
      <c r="D3416" t="str">
        <f t="shared" si="266"/>
        <v/>
      </c>
      <c r="E3416" t="str">
        <f t="shared" si="267"/>
        <v/>
      </c>
      <c r="F3416" t="str">
        <f>IF(D3416="","",INDEX(Knutepunkter!$B:$B,D3416+1))</f>
        <v/>
      </c>
      <c r="G3416" t="str">
        <f>IF(D3416="","",INDEX(Knutepunkter!$C:$C,D3416+1))</f>
        <v/>
      </c>
      <c r="H3416" t="str">
        <f>IF(D3416="","",INDEX(Knutepunkter!$D:$D,D3416+1))</f>
        <v/>
      </c>
      <c r="I3416" t="str">
        <f>IF(E3416="","",INDEX(Knutepunkter!$B:$B,E3416+1))</f>
        <v/>
      </c>
      <c r="J3416" t="str">
        <f>IF(E3416="","",INDEX(Knutepunkter!$C:$C,E3416+1))</f>
        <v/>
      </c>
      <c r="K3416" t="str">
        <f>IF(E3416="","",INDEX(Knutepunkter!$D:$D,E3416+1))</f>
        <v/>
      </c>
      <c r="L3416" t="str">
        <f t="shared" si="268"/>
        <v/>
      </c>
      <c r="M3416" t="str">
        <f t="shared" si="269"/>
        <v/>
      </c>
    </row>
    <row r="3417" spans="1:13" x14ac:dyDescent="0.3">
      <c r="A3417" t="str">
        <f>Segmenter!A3417</f>
        <v/>
      </c>
      <c r="B3417" t="str">
        <f>Segmenter!B3417</f>
        <v/>
      </c>
      <c r="C3417" t="str">
        <f t="shared" si="265"/>
        <v/>
      </c>
      <c r="D3417" t="str">
        <f t="shared" si="266"/>
        <v/>
      </c>
      <c r="E3417" t="str">
        <f t="shared" si="267"/>
        <v/>
      </c>
      <c r="F3417" t="str">
        <f>IF(D3417="","",INDEX(Knutepunkter!$B:$B,D3417+1))</f>
        <v/>
      </c>
      <c r="G3417" t="str">
        <f>IF(D3417="","",INDEX(Knutepunkter!$C:$C,D3417+1))</f>
        <v/>
      </c>
      <c r="H3417" t="str">
        <f>IF(D3417="","",INDEX(Knutepunkter!$D:$D,D3417+1))</f>
        <v/>
      </c>
      <c r="I3417" t="str">
        <f>IF(E3417="","",INDEX(Knutepunkter!$B:$B,E3417+1))</f>
        <v/>
      </c>
      <c r="J3417" t="str">
        <f>IF(E3417="","",INDEX(Knutepunkter!$C:$C,E3417+1))</f>
        <v/>
      </c>
      <c r="K3417" t="str">
        <f>IF(E3417="","",INDEX(Knutepunkter!$D:$D,E3417+1))</f>
        <v/>
      </c>
      <c r="L3417" t="str">
        <f t="shared" si="268"/>
        <v/>
      </c>
      <c r="M3417" t="str">
        <f t="shared" si="269"/>
        <v/>
      </c>
    </row>
    <row r="3418" spans="1:13" x14ac:dyDescent="0.3">
      <c r="A3418" t="str">
        <f>Segmenter!A3418</f>
        <v/>
      </c>
      <c r="B3418" t="str">
        <f>Segmenter!B3418</f>
        <v/>
      </c>
      <c r="C3418" t="str">
        <f t="shared" si="265"/>
        <v/>
      </c>
      <c r="D3418" t="str">
        <f t="shared" si="266"/>
        <v/>
      </c>
      <c r="E3418" t="str">
        <f t="shared" si="267"/>
        <v/>
      </c>
      <c r="F3418" t="str">
        <f>IF(D3418="","",INDEX(Knutepunkter!$B:$B,D3418+1))</f>
        <v/>
      </c>
      <c r="G3418" t="str">
        <f>IF(D3418="","",INDEX(Knutepunkter!$C:$C,D3418+1))</f>
        <v/>
      </c>
      <c r="H3418" t="str">
        <f>IF(D3418="","",INDEX(Knutepunkter!$D:$D,D3418+1))</f>
        <v/>
      </c>
      <c r="I3418" t="str">
        <f>IF(E3418="","",INDEX(Knutepunkter!$B:$B,E3418+1))</f>
        <v/>
      </c>
      <c r="J3418" t="str">
        <f>IF(E3418="","",INDEX(Knutepunkter!$C:$C,E3418+1))</f>
        <v/>
      </c>
      <c r="K3418" t="str">
        <f>IF(E3418="","",INDEX(Knutepunkter!$D:$D,E3418+1))</f>
        <v/>
      </c>
      <c r="L3418" t="str">
        <f t="shared" si="268"/>
        <v/>
      </c>
      <c r="M3418" t="str">
        <f t="shared" si="269"/>
        <v/>
      </c>
    </row>
    <row r="3419" spans="1:13" x14ac:dyDescent="0.3">
      <c r="A3419" t="str">
        <f>Segmenter!A3419</f>
        <v/>
      </c>
      <c r="B3419" t="str">
        <f>Segmenter!B3419</f>
        <v/>
      </c>
      <c r="C3419" t="str">
        <f t="shared" si="265"/>
        <v/>
      </c>
      <c r="D3419" t="str">
        <f t="shared" si="266"/>
        <v/>
      </c>
      <c r="E3419" t="str">
        <f t="shared" si="267"/>
        <v/>
      </c>
      <c r="F3419" t="str">
        <f>IF(D3419="","",INDEX(Knutepunkter!$B:$B,D3419+1))</f>
        <v/>
      </c>
      <c r="G3419" t="str">
        <f>IF(D3419="","",INDEX(Knutepunkter!$C:$C,D3419+1))</f>
        <v/>
      </c>
      <c r="H3419" t="str">
        <f>IF(D3419="","",INDEX(Knutepunkter!$D:$D,D3419+1))</f>
        <v/>
      </c>
      <c r="I3419" t="str">
        <f>IF(E3419="","",INDEX(Knutepunkter!$B:$B,E3419+1))</f>
        <v/>
      </c>
      <c r="J3419" t="str">
        <f>IF(E3419="","",INDEX(Knutepunkter!$C:$C,E3419+1))</f>
        <v/>
      </c>
      <c r="K3419" t="str">
        <f>IF(E3419="","",INDEX(Knutepunkter!$D:$D,E3419+1))</f>
        <v/>
      </c>
      <c r="L3419" t="str">
        <f t="shared" si="268"/>
        <v/>
      </c>
      <c r="M3419" t="str">
        <f t="shared" si="269"/>
        <v/>
      </c>
    </row>
    <row r="3420" spans="1:13" x14ac:dyDescent="0.3">
      <c r="A3420" t="str">
        <f>Segmenter!A3420</f>
        <v/>
      </c>
      <c r="B3420" t="str">
        <f>Segmenter!B3420</f>
        <v/>
      </c>
      <c r="C3420" t="str">
        <f t="shared" si="265"/>
        <v/>
      </c>
      <c r="D3420" t="str">
        <f t="shared" si="266"/>
        <v/>
      </c>
      <c r="E3420" t="str">
        <f t="shared" si="267"/>
        <v/>
      </c>
      <c r="F3420" t="str">
        <f>IF(D3420="","",INDEX(Knutepunkter!$B:$B,D3420+1))</f>
        <v/>
      </c>
      <c r="G3420" t="str">
        <f>IF(D3420="","",INDEX(Knutepunkter!$C:$C,D3420+1))</f>
        <v/>
      </c>
      <c r="H3420" t="str">
        <f>IF(D3420="","",INDEX(Knutepunkter!$D:$D,D3420+1))</f>
        <v/>
      </c>
      <c r="I3420" t="str">
        <f>IF(E3420="","",INDEX(Knutepunkter!$B:$B,E3420+1))</f>
        <v/>
      </c>
      <c r="J3420" t="str">
        <f>IF(E3420="","",INDEX(Knutepunkter!$C:$C,E3420+1))</f>
        <v/>
      </c>
      <c r="K3420" t="str">
        <f>IF(E3420="","",INDEX(Knutepunkter!$D:$D,E3420+1))</f>
        <v/>
      </c>
      <c r="L3420" t="str">
        <f t="shared" si="268"/>
        <v/>
      </c>
      <c r="M3420" t="str">
        <f t="shared" si="269"/>
        <v/>
      </c>
    </row>
    <row r="3421" spans="1:13" x14ac:dyDescent="0.3">
      <c r="A3421" t="str">
        <f>Segmenter!A3421</f>
        <v/>
      </c>
      <c r="B3421" t="str">
        <f>Segmenter!B3421</f>
        <v/>
      </c>
      <c r="C3421" t="str">
        <f t="shared" si="265"/>
        <v/>
      </c>
      <c r="D3421" t="str">
        <f t="shared" si="266"/>
        <v/>
      </c>
      <c r="E3421" t="str">
        <f t="shared" si="267"/>
        <v/>
      </c>
      <c r="F3421" t="str">
        <f>IF(D3421="","",INDEX(Knutepunkter!$B:$B,D3421+1))</f>
        <v/>
      </c>
      <c r="G3421" t="str">
        <f>IF(D3421="","",INDEX(Knutepunkter!$C:$C,D3421+1))</f>
        <v/>
      </c>
      <c r="H3421" t="str">
        <f>IF(D3421="","",INDEX(Knutepunkter!$D:$D,D3421+1))</f>
        <v/>
      </c>
      <c r="I3421" t="str">
        <f>IF(E3421="","",INDEX(Knutepunkter!$B:$B,E3421+1))</f>
        <v/>
      </c>
      <c r="J3421" t="str">
        <f>IF(E3421="","",INDEX(Knutepunkter!$C:$C,E3421+1))</f>
        <v/>
      </c>
      <c r="K3421" t="str">
        <f>IF(E3421="","",INDEX(Knutepunkter!$D:$D,E3421+1))</f>
        <v/>
      </c>
      <c r="L3421" t="str">
        <f t="shared" si="268"/>
        <v/>
      </c>
      <c r="M3421" t="str">
        <f t="shared" si="269"/>
        <v/>
      </c>
    </row>
    <row r="3422" spans="1:13" x14ac:dyDescent="0.3">
      <c r="A3422" t="str">
        <f>Segmenter!A3422</f>
        <v/>
      </c>
      <c r="B3422" t="str">
        <f>Segmenter!B3422</f>
        <v/>
      </c>
      <c r="C3422" t="str">
        <f t="shared" si="265"/>
        <v/>
      </c>
      <c r="D3422" t="str">
        <f t="shared" si="266"/>
        <v/>
      </c>
      <c r="E3422" t="str">
        <f t="shared" si="267"/>
        <v/>
      </c>
      <c r="F3422" t="str">
        <f>IF(D3422="","",INDEX(Knutepunkter!$B:$B,D3422+1))</f>
        <v/>
      </c>
      <c r="G3422" t="str">
        <f>IF(D3422="","",INDEX(Knutepunkter!$C:$C,D3422+1))</f>
        <v/>
      </c>
      <c r="H3422" t="str">
        <f>IF(D3422="","",INDEX(Knutepunkter!$D:$D,D3422+1))</f>
        <v/>
      </c>
      <c r="I3422" t="str">
        <f>IF(E3422="","",INDEX(Knutepunkter!$B:$B,E3422+1))</f>
        <v/>
      </c>
      <c r="J3422" t="str">
        <f>IF(E3422="","",INDEX(Knutepunkter!$C:$C,E3422+1))</f>
        <v/>
      </c>
      <c r="K3422" t="str">
        <f>IF(E3422="","",INDEX(Knutepunkter!$D:$D,E3422+1))</f>
        <v/>
      </c>
      <c r="L3422" t="str">
        <f t="shared" si="268"/>
        <v/>
      </c>
      <c r="M3422" t="str">
        <f t="shared" si="269"/>
        <v/>
      </c>
    </row>
    <row r="3423" spans="1:13" x14ac:dyDescent="0.3">
      <c r="A3423" t="str">
        <f>Segmenter!A3423</f>
        <v/>
      </c>
      <c r="B3423" t="str">
        <f>Segmenter!B3423</f>
        <v/>
      </c>
      <c r="C3423" t="str">
        <f t="shared" si="265"/>
        <v/>
      </c>
      <c r="D3423" t="str">
        <f t="shared" si="266"/>
        <v/>
      </c>
      <c r="E3423" t="str">
        <f t="shared" si="267"/>
        <v/>
      </c>
      <c r="F3423" t="str">
        <f>IF(D3423="","",INDEX(Knutepunkter!$B:$B,D3423+1))</f>
        <v/>
      </c>
      <c r="G3423" t="str">
        <f>IF(D3423="","",INDEX(Knutepunkter!$C:$C,D3423+1))</f>
        <v/>
      </c>
      <c r="H3423" t="str">
        <f>IF(D3423="","",INDEX(Knutepunkter!$D:$D,D3423+1))</f>
        <v/>
      </c>
      <c r="I3423" t="str">
        <f>IF(E3423="","",INDEX(Knutepunkter!$B:$B,E3423+1))</f>
        <v/>
      </c>
      <c r="J3423" t="str">
        <f>IF(E3423="","",INDEX(Knutepunkter!$C:$C,E3423+1))</f>
        <v/>
      </c>
      <c r="K3423" t="str">
        <f>IF(E3423="","",INDEX(Knutepunkter!$D:$D,E3423+1))</f>
        <v/>
      </c>
      <c r="L3423" t="str">
        <f t="shared" si="268"/>
        <v/>
      </c>
      <c r="M3423" t="str">
        <f t="shared" si="269"/>
        <v/>
      </c>
    </row>
    <row r="3424" spans="1:13" x14ac:dyDescent="0.3">
      <c r="A3424" t="str">
        <f>Segmenter!A3424</f>
        <v/>
      </c>
      <c r="B3424" t="str">
        <f>Segmenter!B3424</f>
        <v/>
      </c>
      <c r="C3424" t="str">
        <f t="shared" si="265"/>
        <v/>
      </c>
      <c r="D3424" t="str">
        <f t="shared" si="266"/>
        <v/>
      </c>
      <c r="E3424" t="str">
        <f t="shared" si="267"/>
        <v/>
      </c>
      <c r="F3424" t="str">
        <f>IF(D3424="","",INDEX(Knutepunkter!$B:$B,D3424+1))</f>
        <v/>
      </c>
      <c r="G3424" t="str">
        <f>IF(D3424="","",INDEX(Knutepunkter!$C:$C,D3424+1))</f>
        <v/>
      </c>
      <c r="H3424" t="str">
        <f>IF(D3424="","",INDEX(Knutepunkter!$D:$D,D3424+1))</f>
        <v/>
      </c>
      <c r="I3424" t="str">
        <f>IF(E3424="","",INDEX(Knutepunkter!$B:$B,E3424+1))</f>
        <v/>
      </c>
      <c r="J3424" t="str">
        <f>IF(E3424="","",INDEX(Knutepunkter!$C:$C,E3424+1))</f>
        <v/>
      </c>
      <c r="K3424" t="str">
        <f>IF(E3424="","",INDEX(Knutepunkter!$D:$D,E3424+1))</f>
        <v/>
      </c>
      <c r="L3424" t="str">
        <f t="shared" si="268"/>
        <v/>
      </c>
      <c r="M3424" t="str">
        <f t="shared" si="269"/>
        <v/>
      </c>
    </row>
    <row r="3425" spans="1:13" x14ac:dyDescent="0.3">
      <c r="A3425" t="str">
        <f>Segmenter!A3425</f>
        <v/>
      </c>
      <c r="B3425" t="str">
        <f>Segmenter!B3425</f>
        <v/>
      </c>
      <c r="C3425" t="str">
        <f t="shared" si="265"/>
        <v/>
      </c>
      <c r="D3425" t="str">
        <f t="shared" si="266"/>
        <v/>
      </c>
      <c r="E3425" t="str">
        <f t="shared" si="267"/>
        <v/>
      </c>
      <c r="F3425" t="str">
        <f>IF(D3425="","",INDEX(Knutepunkter!$B:$B,D3425+1))</f>
        <v/>
      </c>
      <c r="G3425" t="str">
        <f>IF(D3425="","",INDEX(Knutepunkter!$C:$C,D3425+1))</f>
        <v/>
      </c>
      <c r="H3425" t="str">
        <f>IF(D3425="","",INDEX(Knutepunkter!$D:$D,D3425+1))</f>
        <v/>
      </c>
      <c r="I3425" t="str">
        <f>IF(E3425="","",INDEX(Knutepunkter!$B:$B,E3425+1))</f>
        <v/>
      </c>
      <c r="J3425" t="str">
        <f>IF(E3425="","",INDEX(Knutepunkter!$C:$C,E3425+1))</f>
        <v/>
      </c>
      <c r="K3425" t="str">
        <f>IF(E3425="","",INDEX(Knutepunkter!$D:$D,E3425+1))</f>
        <v/>
      </c>
      <c r="L3425" t="str">
        <f t="shared" si="268"/>
        <v/>
      </c>
      <c r="M3425" t="str">
        <f t="shared" si="269"/>
        <v/>
      </c>
    </row>
    <row r="3426" spans="1:13" x14ac:dyDescent="0.3">
      <c r="A3426" t="str">
        <f>Segmenter!A3426</f>
        <v/>
      </c>
      <c r="B3426" t="str">
        <f>Segmenter!B3426</f>
        <v/>
      </c>
      <c r="C3426" t="str">
        <f t="shared" si="265"/>
        <v/>
      </c>
      <c r="D3426" t="str">
        <f t="shared" si="266"/>
        <v/>
      </c>
      <c r="E3426" t="str">
        <f t="shared" si="267"/>
        <v/>
      </c>
      <c r="F3426" t="str">
        <f>IF(D3426="","",INDEX(Knutepunkter!$B:$B,D3426+1))</f>
        <v/>
      </c>
      <c r="G3426" t="str">
        <f>IF(D3426="","",INDEX(Knutepunkter!$C:$C,D3426+1))</f>
        <v/>
      </c>
      <c r="H3426" t="str">
        <f>IF(D3426="","",INDEX(Knutepunkter!$D:$D,D3426+1))</f>
        <v/>
      </c>
      <c r="I3426" t="str">
        <f>IF(E3426="","",INDEX(Knutepunkter!$B:$B,E3426+1))</f>
        <v/>
      </c>
      <c r="J3426" t="str">
        <f>IF(E3426="","",INDEX(Knutepunkter!$C:$C,E3426+1))</f>
        <v/>
      </c>
      <c r="K3426" t="str">
        <f>IF(E3426="","",INDEX(Knutepunkter!$D:$D,E3426+1))</f>
        <v/>
      </c>
      <c r="L3426" t="str">
        <f t="shared" si="268"/>
        <v/>
      </c>
      <c r="M3426" t="str">
        <f t="shared" si="269"/>
        <v/>
      </c>
    </row>
    <row r="3427" spans="1:13" x14ac:dyDescent="0.3">
      <c r="A3427" t="str">
        <f>Segmenter!A3427</f>
        <v/>
      </c>
      <c r="B3427" t="str">
        <f>Segmenter!B3427</f>
        <v/>
      </c>
      <c r="C3427" t="str">
        <f t="shared" si="265"/>
        <v/>
      </c>
      <c r="D3427" t="str">
        <f t="shared" si="266"/>
        <v/>
      </c>
      <c r="E3427" t="str">
        <f t="shared" si="267"/>
        <v/>
      </c>
      <c r="F3427" t="str">
        <f>IF(D3427="","",INDEX(Knutepunkter!$B:$B,D3427+1))</f>
        <v/>
      </c>
      <c r="G3427" t="str">
        <f>IF(D3427="","",INDEX(Knutepunkter!$C:$C,D3427+1))</f>
        <v/>
      </c>
      <c r="H3427" t="str">
        <f>IF(D3427="","",INDEX(Knutepunkter!$D:$D,D3427+1))</f>
        <v/>
      </c>
      <c r="I3427" t="str">
        <f>IF(E3427="","",INDEX(Knutepunkter!$B:$B,E3427+1))</f>
        <v/>
      </c>
      <c r="J3427" t="str">
        <f>IF(E3427="","",INDEX(Knutepunkter!$C:$C,E3427+1))</f>
        <v/>
      </c>
      <c r="K3427" t="str">
        <f>IF(E3427="","",INDEX(Knutepunkter!$D:$D,E3427+1))</f>
        <v/>
      </c>
      <c r="L3427" t="str">
        <f t="shared" si="268"/>
        <v/>
      </c>
      <c r="M3427" t="str">
        <f t="shared" si="269"/>
        <v/>
      </c>
    </row>
    <row r="3428" spans="1:13" x14ac:dyDescent="0.3">
      <c r="A3428" t="str">
        <f>Segmenter!A3428</f>
        <v/>
      </c>
      <c r="B3428" t="str">
        <f>Segmenter!B3428</f>
        <v/>
      </c>
      <c r="C3428" t="str">
        <f t="shared" si="265"/>
        <v/>
      </c>
      <c r="D3428" t="str">
        <f t="shared" si="266"/>
        <v/>
      </c>
      <c r="E3428" t="str">
        <f t="shared" si="267"/>
        <v/>
      </c>
      <c r="F3428" t="str">
        <f>IF(D3428="","",INDEX(Knutepunkter!$B:$B,D3428+1))</f>
        <v/>
      </c>
      <c r="G3428" t="str">
        <f>IF(D3428="","",INDEX(Knutepunkter!$C:$C,D3428+1))</f>
        <v/>
      </c>
      <c r="H3428" t="str">
        <f>IF(D3428="","",INDEX(Knutepunkter!$D:$D,D3428+1))</f>
        <v/>
      </c>
      <c r="I3428" t="str">
        <f>IF(E3428="","",INDEX(Knutepunkter!$B:$B,E3428+1))</f>
        <v/>
      </c>
      <c r="J3428" t="str">
        <f>IF(E3428="","",INDEX(Knutepunkter!$C:$C,E3428+1))</f>
        <v/>
      </c>
      <c r="K3428" t="str">
        <f>IF(E3428="","",INDEX(Knutepunkter!$D:$D,E3428+1))</f>
        <v/>
      </c>
      <c r="L3428" t="str">
        <f t="shared" si="268"/>
        <v/>
      </c>
      <c r="M3428" t="str">
        <f t="shared" si="269"/>
        <v/>
      </c>
    </row>
    <row r="3429" spans="1:13" x14ac:dyDescent="0.3">
      <c r="A3429" t="str">
        <f>Segmenter!A3429</f>
        <v/>
      </c>
      <c r="B3429" t="str">
        <f>Segmenter!B3429</f>
        <v/>
      </c>
      <c r="C3429" t="str">
        <f t="shared" si="265"/>
        <v/>
      </c>
      <c r="D3429" t="str">
        <f t="shared" si="266"/>
        <v/>
      </c>
      <c r="E3429" t="str">
        <f t="shared" si="267"/>
        <v/>
      </c>
      <c r="F3429" t="str">
        <f>IF(D3429="","",INDEX(Knutepunkter!$B:$B,D3429+1))</f>
        <v/>
      </c>
      <c r="G3429" t="str">
        <f>IF(D3429="","",INDEX(Knutepunkter!$C:$C,D3429+1))</f>
        <v/>
      </c>
      <c r="H3429" t="str">
        <f>IF(D3429="","",INDEX(Knutepunkter!$D:$D,D3429+1))</f>
        <v/>
      </c>
      <c r="I3429" t="str">
        <f>IF(E3429="","",INDEX(Knutepunkter!$B:$B,E3429+1))</f>
        <v/>
      </c>
      <c r="J3429" t="str">
        <f>IF(E3429="","",INDEX(Knutepunkter!$C:$C,E3429+1))</f>
        <v/>
      </c>
      <c r="K3429" t="str">
        <f>IF(E3429="","",INDEX(Knutepunkter!$D:$D,E3429+1))</f>
        <v/>
      </c>
      <c r="L3429" t="str">
        <f t="shared" si="268"/>
        <v/>
      </c>
      <c r="M3429" t="str">
        <f t="shared" si="269"/>
        <v/>
      </c>
    </row>
    <row r="3430" spans="1:13" x14ac:dyDescent="0.3">
      <c r="A3430" t="str">
        <f>Segmenter!A3430</f>
        <v/>
      </c>
      <c r="B3430" t="str">
        <f>Segmenter!B3430</f>
        <v/>
      </c>
      <c r="C3430" t="str">
        <f t="shared" si="265"/>
        <v/>
      </c>
      <c r="D3430" t="str">
        <f t="shared" si="266"/>
        <v/>
      </c>
      <c r="E3430" t="str">
        <f t="shared" si="267"/>
        <v/>
      </c>
      <c r="F3430" t="str">
        <f>IF(D3430="","",INDEX(Knutepunkter!$B:$B,D3430+1))</f>
        <v/>
      </c>
      <c r="G3430" t="str">
        <f>IF(D3430="","",INDEX(Knutepunkter!$C:$C,D3430+1))</f>
        <v/>
      </c>
      <c r="H3430" t="str">
        <f>IF(D3430="","",INDEX(Knutepunkter!$D:$D,D3430+1))</f>
        <v/>
      </c>
      <c r="I3430" t="str">
        <f>IF(E3430="","",INDEX(Knutepunkter!$B:$B,E3430+1))</f>
        <v/>
      </c>
      <c r="J3430" t="str">
        <f>IF(E3430="","",INDEX(Knutepunkter!$C:$C,E3430+1))</f>
        <v/>
      </c>
      <c r="K3430" t="str">
        <f>IF(E3430="","",INDEX(Knutepunkter!$D:$D,E3430+1))</f>
        <v/>
      </c>
      <c r="L3430" t="str">
        <f t="shared" si="268"/>
        <v/>
      </c>
      <c r="M3430" t="str">
        <f t="shared" si="269"/>
        <v/>
      </c>
    </row>
    <row r="3431" spans="1:13" x14ac:dyDescent="0.3">
      <c r="A3431" t="str">
        <f>Segmenter!A3431</f>
        <v/>
      </c>
      <c r="B3431" t="str">
        <f>Segmenter!B3431</f>
        <v/>
      </c>
      <c r="C3431" t="str">
        <f t="shared" si="265"/>
        <v/>
      </c>
      <c r="D3431" t="str">
        <f t="shared" si="266"/>
        <v/>
      </c>
      <c r="E3431" t="str">
        <f t="shared" si="267"/>
        <v/>
      </c>
      <c r="F3431" t="str">
        <f>IF(D3431="","",INDEX(Knutepunkter!$B:$B,D3431+1))</f>
        <v/>
      </c>
      <c r="G3431" t="str">
        <f>IF(D3431="","",INDEX(Knutepunkter!$C:$C,D3431+1))</f>
        <v/>
      </c>
      <c r="H3431" t="str">
        <f>IF(D3431="","",INDEX(Knutepunkter!$D:$D,D3431+1))</f>
        <v/>
      </c>
      <c r="I3431" t="str">
        <f>IF(E3431="","",INDEX(Knutepunkter!$B:$B,E3431+1))</f>
        <v/>
      </c>
      <c r="J3431" t="str">
        <f>IF(E3431="","",INDEX(Knutepunkter!$C:$C,E3431+1))</f>
        <v/>
      </c>
      <c r="K3431" t="str">
        <f>IF(E3431="","",INDEX(Knutepunkter!$D:$D,E3431+1))</f>
        <v/>
      </c>
      <c r="L3431" t="str">
        <f t="shared" si="268"/>
        <v/>
      </c>
      <c r="M3431" t="str">
        <f t="shared" si="269"/>
        <v/>
      </c>
    </row>
    <row r="3432" spans="1:13" x14ac:dyDescent="0.3">
      <c r="A3432" t="str">
        <f>Segmenter!A3432</f>
        <v/>
      </c>
      <c r="B3432" t="str">
        <f>Segmenter!B3432</f>
        <v/>
      </c>
      <c r="C3432" t="str">
        <f t="shared" si="265"/>
        <v/>
      </c>
      <c r="D3432" t="str">
        <f t="shared" si="266"/>
        <v/>
      </c>
      <c r="E3432" t="str">
        <f t="shared" si="267"/>
        <v/>
      </c>
      <c r="F3432" t="str">
        <f>IF(D3432="","",INDEX(Knutepunkter!$B:$B,D3432+1))</f>
        <v/>
      </c>
      <c r="G3432" t="str">
        <f>IF(D3432="","",INDEX(Knutepunkter!$C:$C,D3432+1))</f>
        <v/>
      </c>
      <c r="H3432" t="str">
        <f>IF(D3432="","",INDEX(Knutepunkter!$D:$D,D3432+1))</f>
        <v/>
      </c>
      <c r="I3432" t="str">
        <f>IF(E3432="","",INDEX(Knutepunkter!$B:$B,E3432+1))</f>
        <v/>
      </c>
      <c r="J3432" t="str">
        <f>IF(E3432="","",INDEX(Knutepunkter!$C:$C,E3432+1))</f>
        <v/>
      </c>
      <c r="K3432" t="str">
        <f>IF(E3432="","",INDEX(Knutepunkter!$D:$D,E3432+1))</f>
        <v/>
      </c>
      <c r="L3432" t="str">
        <f t="shared" si="268"/>
        <v/>
      </c>
      <c r="M3432" t="str">
        <f t="shared" si="269"/>
        <v/>
      </c>
    </row>
    <row r="3433" spans="1:13" x14ac:dyDescent="0.3">
      <c r="A3433" t="str">
        <f>Segmenter!A3433</f>
        <v/>
      </c>
      <c r="B3433" t="str">
        <f>Segmenter!B3433</f>
        <v/>
      </c>
      <c r="C3433" t="str">
        <f t="shared" si="265"/>
        <v/>
      </c>
      <c r="D3433" t="str">
        <f t="shared" si="266"/>
        <v/>
      </c>
      <c r="E3433" t="str">
        <f t="shared" si="267"/>
        <v/>
      </c>
      <c r="F3433" t="str">
        <f>IF(D3433="","",INDEX(Knutepunkter!$B:$B,D3433+1))</f>
        <v/>
      </c>
      <c r="G3433" t="str">
        <f>IF(D3433="","",INDEX(Knutepunkter!$C:$C,D3433+1))</f>
        <v/>
      </c>
      <c r="H3433" t="str">
        <f>IF(D3433="","",INDEX(Knutepunkter!$D:$D,D3433+1))</f>
        <v/>
      </c>
      <c r="I3433" t="str">
        <f>IF(E3433="","",INDEX(Knutepunkter!$B:$B,E3433+1))</f>
        <v/>
      </c>
      <c r="J3433" t="str">
        <f>IF(E3433="","",INDEX(Knutepunkter!$C:$C,E3433+1))</f>
        <v/>
      </c>
      <c r="K3433" t="str">
        <f>IF(E3433="","",INDEX(Knutepunkter!$D:$D,E3433+1))</f>
        <v/>
      </c>
      <c r="L3433" t="str">
        <f t="shared" si="268"/>
        <v/>
      </c>
      <c r="M3433" t="str">
        <f t="shared" si="269"/>
        <v/>
      </c>
    </row>
    <row r="3434" spans="1:13" x14ac:dyDescent="0.3">
      <c r="A3434" t="str">
        <f>Segmenter!A3434</f>
        <v/>
      </c>
      <c r="B3434" t="str">
        <f>Segmenter!B3434</f>
        <v/>
      </c>
      <c r="C3434" t="str">
        <f t="shared" si="265"/>
        <v/>
      </c>
      <c r="D3434" t="str">
        <f t="shared" si="266"/>
        <v/>
      </c>
      <c r="E3434" t="str">
        <f t="shared" si="267"/>
        <v/>
      </c>
      <c r="F3434" t="str">
        <f>IF(D3434="","",INDEX(Knutepunkter!$B:$B,D3434+1))</f>
        <v/>
      </c>
      <c r="G3434" t="str">
        <f>IF(D3434="","",INDEX(Knutepunkter!$C:$C,D3434+1))</f>
        <v/>
      </c>
      <c r="H3434" t="str">
        <f>IF(D3434="","",INDEX(Knutepunkter!$D:$D,D3434+1))</f>
        <v/>
      </c>
      <c r="I3434" t="str">
        <f>IF(E3434="","",INDEX(Knutepunkter!$B:$B,E3434+1))</f>
        <v/>
      </c>
      <c r="J3434" t="str">
        <f>IF(E3434="","",INDEX(Knutepunkter!$C:$C,E3434+1))</f>
        <v/>
      </c>
      <c r="K3434" t="str">
        <f>IF(E3434="","",INDEX(Knutepunkter!$D:$D,E3434+1))</f>
        <v/>
      </c>
      <c r="L3434" t="str">
        <f t="shared" si="268"/>
        <v/>
      </c>
      <c r="M3434" t="str">
        <f t="shared" si="269"/>
        <v/>
      </c>
    </row>
    <row r="3435" spans="1:13" x14ac:dyDescent="0.3">
      <c r="A3435" t="str">
        <f>Segmenter!A3435</f>
        <v/>
      </c>
      <c r="B3435" t="str">
        <f>Segmenter!B3435</f>
        <v/>
      </c>
      <c r="C3435" t="str">
        <f t="shared" si="265"/>
        <v/>
      </c>
      <c r="D3435" t="str">
        <f t="shared" si="266"/>
        <v/>
      </c>
      <c r="E3435" t="str">
        <f t="shared" si="267"/>
        <v/>
      </c>
      <c r="F3435" t="str">
        <f>IF(D3435="","",INDEX(Knutepunkter!$B:$B,D3435+1))</f>
        <v/>
      </c>
      <c r="G3435" t="str">
        <f>IF(D3435="","",INDEX(Knutepunkter!$C:$C,D3435+1))</f>
        <v/>
      </c>
      <c r="H3435" t="str">
        <f>IF(D3435="","",INDEX(Knutepunkter!$D:$D,D3435+1))</f>
        <v/>
      </c>
      <c r="I3435" t="str">
        <f>IF(E3435="","",INDEX(Knutepunkter!$B:$B,E3435+1))</f>
        <v/>
      </c>
      <c r="J3435" t="str">
        <f>IF(E3435="","",INDEX(Knutepunkter!$C:$C,E3435+1))</f>
        <v/>
      </c>
      <c r="K3435" t="str">
        <f>IF(E3435="","",INDEX(Knutepunkter!$D:$D,E3435+1))</f>
        <v/>
      </c>
      <c r="L3435" t="str">
        <f t="shared" si="268"/>
        <v/>
      </c>
      <c r="M3435" t="str">
        <f t="shared" si="269"/>
        <v/>
      </c>
    </row>
    <row r="3436" spans="1:13" x14ac:dyDescent="0.3">
      <c r="A3436" t="str">
        <f>Segmenter!A3436</f>
        <v/>
      </c>
      <c r="B3436" t="str">
        <f>Segmenter!B3436</f>
        <v/>
      </c>
      <c r="C3436" t="str">
        <f t="shared" si="265"/>
        <v/>
      </c>
      <c r="D3436" t="str">
        <f t="shared" si="266"/>
        <v/>
      </c>
      <c r="E3436" t="str">
        <f t="shared" si="267"/>
        <v/>
      </c>
      <c r="F3436" t="str">
        <f>IF(D3436="","",INDEX(Knutepunkter!$B:$B,D3436+1))</f>
        <v/>
      </c>
      <c r="G3436" t="str">
        <f>IF(D3436="","",INDEX(Knutepunkter!$C:$C,D3436+1))</f>
        <v/>
      </c>
      <c r="H3436" t="str">
        <f>IF(D3436="","",INDEX(Knutepunkter!$D:$D,D3436+1))</f>
        <v/>
      </c>
      <c r="I3436" t="str">
        <f>IF(E3436="","",INDEX(Knutepunkter!$B:$B,E3436+1))</f>
        <v/>
      </c>
      <c r="J3436" t="str">
        <f>IF(E3436="","",INDEX(Knutepunkter!$C:$C,E3436+1))</f>
        <v/>
      </c>
      <c r="K3436" t="str">
        <f>IF(E3436="","",INDEX(Knutepunkter!$D:$D,E3436+1))</f>
        <v/>
      </c>
      <c r="L3436" t="str">
        <f t="shared" si="268"/>
        <v/>
      </c>
      <c r="M3436" t="str">
        <f t="shared" si="269"/>
        <v/>
      </c>
    </row>
    <row r="3437" spans="1:13" x14ac:dyDescent="0.3">
      <c r="A3437" t="str">
        <f>Segmenter!A3437</f>
        <v/>
      </c>
      <c r="B3437" t="str">
        <f>Segmenter!B3437</f>
        <v/>
      </c>
      <c r="C3437" t="str">
        <f t="shared" si="265"/>
        <v/>
      </c>
      <c r="D3437" t="str">
        <f t="shared" si="266"/>
        <v/>
      </c>
      <c r="E3437" t="str">
        <f t="shared" si="267"/>
        <v/>
      </c>
      <c r="F3437" t="str">
        <f>IF(D3437="","",INDEX(Knutepunkter!$B:$B,D3437+1))</f>
        <v/>
      </c>
      <c r="G3437" t="str">
        <f>IF(D3437="","",INDEX(Knutepunkter!$C:$C,D3437+1))</f>
        <v/>
      </c>
      <c r="H3437" t="str">
        <f>IF(D3437="","",INDEX(Knutepunkter!$D:$D,D3437+1))</f>
        <v/>
      </c>
      <c r="I3437" t="str">
        <f>IF(E3437="","",INDEX(Knutepunkter!$B:$B,E3437+1))</f>
        <v/>
      </c>
      <c r="J3437" t="str">
        <f>IF(E3437="","",INDEX(Knutepunkter!$C:$C,E3437+1))</f>
        <v/>
      </c>
      <c r="K3437" t="str">
        <f>IF(E3437="","",INDEX(Knutepunkter!$D:$D,E3437+1))</f>
        <v/>
      </c>
      <c r="L3437" t="str">
        <f t="shared" si="268"/>
        <v/>
      </c>
      <c r="M3437" t="str">
        <f t="shared" si="269"/>
        <v/>
      </c>
    </row>
    <row r="3438" spans="1:13" x14ac:dyDescent="0.3">
      <c r="A3438" t="str">
        <f>Segmenter!A3438</f>
        <v/>
      </c>
      <c r="B3438" t="str">
        <f>Segmenter!B3438</f>
        <v/>
      </c>
      <c r="C3438" t="str">
        <f t="shared" si="265"/>
        <v/>
      </c>
      <c r="D3438" t="str">
        <f t="shared" si="266"/>
        <v/>
      </c>
      <c r="E3438" t="str">
        <f t="shared" si="267"/>
        <v/>
      </c>
      <c r="F3438" t="str">
        <f>IF(D3438="","",INDEX(Knutepunkter!$B:$B,D3438+1))</f>
        <v/>
      </c>
      <c r="G3438" t="str">
        <f>IF(D3438="","",INDEX(Knutepunkter!$C:$C,D3438+1))</f>
        <v/>
      </c>
      <c r="H3438" t="str">
        <f>IF(D3438="","",INDEX(Knutepunkter!$D:$D,D3438+1))</f>
        <v/>
      </c>
      <c r="I3438" t="str">
        <f>IF(E3438="","",INDEX(Knutepunkter!$B:$B,E3438+1))</f>
        <v/>
      </c>
      <c r="J3438" t="str">
        <f>IF(E3438="","",INDEX(Knutepunkter!$C:$C,E3438+1))</f>
        <v/>
      </c>
      <c r="K3438" t="str">
        <f>IF(E3438="","",INDEX(Knutepunkter!$D:$D,E3438+1))</f>
        <v/>
      </c>
      <c r="L3438" t="str">
        <f t="shared" si="268"/>
        <v/>
      </c>
      <c r="M3438" t="str">
        <f t="shared" si="269"/>
        <v/>
      </c>
    </row>
    <row r="3439" spans="1:13" x14ac:dyDescent="0.3">
      <c r="A3439" t="str">
        <f>Segmenter!A3439</f>
        <v/>
      </c>
      <c r="B3439" t="str">
        <f>Segmenter!B3439</f>
        <v/>
      </c>
      <c r="C3439" t="str">
        <f t="shared" si="265"/>
        <v/>
      </c>
      <c r="D3439" t="str">
        <f t="shared" si="266"/>
        <v/>
      </c>
      <c r="E3439" t="str">
        <f t="shared" si="267"/>
        <v/>
      </c>
      <c r="F3439" t="str">
        <f>IF(D3439="","",INDEX(Knutepunkter!$B:$B,D3439+1))</f>
        <v/>
      </c>
      <c r="G3439" t="str">
        <f>IF(D3439="","",INDEX(Knutepunkter!$C:$C,D3439+1))</f>
        <v/>
      </c>
      <c r="H3439" t="str">
        <f>IF(D3439="","",INDEX(Knutepunkter!$D:$D,D3439+1))</f>
        <v/>
      </c>
      <c r="I3439" t="str">
        <f>IF(E3439="","",INDEX(Knutepunkter!$B:$B,E3439+1))</f>
        <v/>
      </c>
      <c r="J3439" t="str">
        <f>IF(E3439="","",INDEX(Knutepunkter!$C:$C,E3439+1))</f>
        <v/>
      </c>
      <c r="K3439" t="str">
        <f>IF(E3439="","",INDEX(Knutepunkter!$D:$D,E3439+1))</f>
        <v/>
      </c>
      <c r="L3439" t="str">
        <f t="shared" si="268"/>
        <v/>
      </c>
      <c r="M3439" t="str">
        <f t="shared" si="269"/>
        <v/>
      </c>
    </row>
    <row r="3440" spans="1:13" x14ac:dyDescent="0.3">
      <c r="A3440" t="str">
        <f>Segmenter!A3440</f>
        <v/>
      </c>
      <c r="B3440" t="str">
        <f>Segmenter!B3440</f>
        <v/>
      </c>
      <c r="C3440" t="str">
        <f t="shared" si="265"/>
        <v/>
      </c>
      <c r="D3440" t="str">
        <f t="shared" si="266"/>
        <v/>
      </c>
      <c r="E3440" t="str">
        <f t="shared" si="267"/>
        <v/>
      </c>
      <c r="F3440" t="str">
        <f>IF(D3440="","",INDEX(Knutepunkter!$B:$B,D3440+1))</f>
        <v/>
      </c>
      <c r="G3440" t="str">
        <f>IF(D3440="","",INDEX(Knutepunkter!$C:$C,D3440+1))</f>
        <v/>
      </c>
      <c r="H3440" t="str">
        <f>IF(D3440="","",INDEX(Knutepunkter!$D:$D,D3440+1))</f>
        <v/>
      </c>
      <c r="I3440" t="str">
        <f>IF(E3440="","",INDEX(Knutepunkter!$B:$B,E3440+1))</f>
        <v/>
      </c>
      <c r="J3440" t="str">
        <f>IF(E3440="","",INDEX(Knutepunkter!$C:$C,E3440+1))</f>
        <v/>
      </c>
      <c r="K3440" t="str">
        <f>IF(E3440="","",INDEX(Knutepunkter!$D:$D,E3440+1))</f>
        <v/>
      </c>
      <c r="L3440" t="str">
        <f t="shared" si="268"/>
        <v/>
      </c>
      <c r="M3440" t="str">
        <f t="shared" si="269"/>
        <v/>
      </c>
    </row>
    <row r="3441" spans="1:13" x14ac:dyDescent="0.3">
      <c r="A3441" t="str">
        <f>Segmenter!A3441</f>
        <v/>
      </c>
      <c r="B3441" t="str">
        <f>Segmenter!B3441</f>
        <v/>
      </c>
      <c r="C3441" t="str">
        <f t="shared" si="265"/>
        <v/>
      </c>
      <c r="D3441" t="str">
        <f t="shared" si="266"/>
        <v/>
      </c>
      <c r="E3441" t="str">
        <f t="shared" si="267"/>
        <v/>
      </c>
      <c r="F3441" t="str">
        <f>IF(D3441="","",INDEX(Knutepunkter!$B:$B,D3441+1))</f>
        <v/>
      </c>
      <c r="G3441" t="str">
        <f>IF(D3441="","",INDEX(Knutepunkter!$C:$C,D3441+1))</f>
        <v/>
      </c>
      <c r="H3441" t="str">
        <f>IF(D3441="","",INDEX(Knutepunkter!$D:$D,D3441+1))</f>
        <v/>
      </c>
      <c r="I3441" t="str">
        <f>IF(E3441="","",INDEX(Knutepunkter!$B:$B,E3441+1))</f>
        <v/>
      </c>
      <c r="J3441" t="str">
        <f>IF(E3441="","",INDEX(Knutepunkter!$C:$C,E3441+1))</f>
        <v/>
      </c>
      <c r="K3441" t="str">
        <f>IF(E3441="","",INDEX(Knutepunkter!$D:$D,E3441+1))</f>
        <v/>
      </c>
      <c r="L3441" t="str">
        <f t="shared" si="268"/>
        <v/>
      </c>
      <c r="M3441" t="str">
        <f t="shared" si="269"/>
        <v/>
      </c>
    </row>
    <row r="3442" spans="1:13" x14ac:dyDescent="0.3">
      <c r="A3442" t="str">
        <f>Segmenter!A3442</f>
        <v/>
      </c>
      <c r="B3442" t="str">
        <f>Segmenter!B3442</f>
        <v/>
      </c>
      <c r="C3442" t="str">
        <f t="shared" si="265"/>
        <v/>
      </c>
      <c r="D3442" t="str">
        <f t="shared" si="266"/>
        <v/>
      </c>
      <c r="E3442" t="str">
        <f t="shared" si="267"/>
        <v/>
      </c>
      <c r="F3442" t="str">
        <f>IF(D3442="","",INDEX(Knutepunkter!$B:$B,D3442+1))</f>
        <v/>
      </c>
      <c r="G3442" t="str">
        <f>IF(D3442="","",INDEX(Knutepunkter!$C:$C,D3442+1))</f>
        <v/>
      </c>
      <c r="H3442" t="str">
        <f>IF(D3442="","",INDEX(Knutepunkter!$D:$D,D3442+1))</f>
        <v/>
      </c>
      <c r="I3442" t="str">
        <f>IF(E3442="","",INDEX(Knutepunkter!$B:$B,E3442+1))</f>
        <v/>
      </c>
      <c r="J3442" t="str">
        <f>IF(E3442="","",INDEX(Knutepunkter!$C:$C,E3442+1))</f>
        <v/>
      </c>
      <c r="K3442" t="str">
        <f>IF(E3442="","",INDEX(Knutepunkter!$D:$D,E3442+1))</f>
        <v/>
      </c>
      <c r="L3442" t="str">
        <f t="shared" si="268"/>
        <v/>
      </c>
      <c r="M3442" t="str">
        <f t="shared" si="269"/>
        <v/>
      </c>
    </row>
    <row r="3443" spans="1:13" x14ac:dyDescent="0.3">
      <c r="A3443" t="str">
        <f>Segmenter!A3443</f>
        <v/>
      </c>
      <c r="B3443" t="str">
        <f>Segmenter!B3443</f>
        <v/>
      </c>
      <c r="C3443" t="str">
        <f t="shared" si="265"/>
        <v/>
      </c>
      <c r="D3443" t="str">
        <f t="shared" si="266"/>
        <v/>
      </c>
      <c r="E3443" t="str">
        <f t="shared" si="267"/>
        <v/>
      </c>
      <c r="F3443" t="str">
        <f>IF(D3443="","",INDEX(Knutepunkter!$B:$B,D3443+1))</f>
        <v/>
      </c>
      <c r="G3443" t="str">
        <f>IF(D3443="","",INDEX(Knutepunkter!$C:$C,D3443+1))</f>
        <v/>
      </c>
      <c r="H3443" t="str">
        <f>IF(D3443="","",INDEX(Knutepunkter!$D:$D,D3443+1))</f>
        <v/>
      </c>
      <c r="I3443" t="str">
        <f>IF(E3443="","",INDEX(Knutepunkter!$B:$B,E3443+1))</f>
        <v/>
      </c>
      <c r="J3443" t="str">
        <f>IF(E3443="","",INDEX(Knutepunkter!$C:$C,E3443+1))</f>
        <v/>
      </c>
      <c r="K3443" t="str">
        <f>IF(E3443="","",INDEX(Knutepunkter!$D:$D,E3443+1))</f>
        <v/>
      </c>
      <c r="L3443" t="str">
        <f t="shared" si="268"/>
        <v/>
      </c>
      <c r="M3443" t="str">
        <f t="shared" si="269"/>
        <v/>
      </c>
    </row>
    <row r="3444" spans="1:13" x14ac:dyDescent="0.3">
      <c r="A3444" t="str">
        <f>Segmenter!A3444</f>
        <v/>
      </c>
      <c r="B3444" t="str">
        <f>Segmenter!B3444</f>
        <v/>
      </c>
      <c r="C3444" t="str">
        <f t="shared" si="265"/>
        <v/>
      </c>
      <c r="D3444" t="str">
        <f t="shared" si="266"/>
        <v/>
      </c>
      <c r="E3444" t="str">
        <f t="shared" si="267"/>
        <v/>
      </c>
      <c r="F3444" t="str">
        <f>IF(D3444="","",INDEX(Knutepunkter!$B:$B,D3444+1))</f>
        <v/>
      </c>
      <c r="G3444" t="str">
        <f>IF(D3444="","",INDEX(Knutepunkter!$C:$C,D3444+1))</f>
        <v/>
      </c>
      <c r="H3444" t="str">
        <f>IF(D3444="","",INDEX(Knutepunkter!$D:$D,D3444+1))</f>
        <v/>
      </c>
      <c r="I3444" t="str">
        <f>IF(E3444="","",INDEX(Knutepunkter!$B:$B,E3444+1))</f>
        <v/>
      </c>
      <c r="J3444" t="str">
        <f>IF(E3444="","",INDEX(Knutepunkter!$C:$C,E3444+1))</f>
        <v/>
      </c>
      <c r="K3444" t="str">
        <f>IF(E3444="","",INDEX(Knutepunkter!$D:$D,E3444+1))</f>
        <v/>
      </c>
      <c r="L3444" t="str">
        <f t="shared" si="268"/>
        <v/>
      </c>
      <c r="M3444" t="str">
        <f t="shared" si="269"/>
        <v/>
      </c>
    </row>
    <row r="3445" spans="1:13" x14ac:dyDescent="0.3">
      <c r="A3445" t="str">
        <f>Segmenter!A3445</f>
        <v/>
      </c>
      <c r="B3445" t="str">
        <f>Segmenter!B3445</f>
        <v/>
      </c>
      <c r="C3445" t="str">
        <f t="shared" si="265"/>
        <v/>
      </c>
      <c r="D3445" t="str">
        <f t="shared" si="266"/>
        <v/>
      </c>
      <c r="E3445" t="str">
        <f t="shared" si="267"/>
        <v/>
      </c>
      <c r="F3445" t="str">
        <f>IF(D3445="","",INDEX(Knutepunkter!$B:$B,D3445+1))</f>
        <v/>
      </c>
      <c r="G3445" t="str">
        <f>IF(D3445="","",INDEX(Knutepunkter!$C:$C,D3445+1))</f>
        <v/>
      </c>
      <c r="H3445" t="str">
        <f>IF(D3445="","",INDEX(Knutepunkter!$D:$D,D3445+1))</f>
        <v/>
      </c>
      <c r="I3445" t="str">
        <f>IF(E3445="","",INDEX(Knutepunkter!$B:$B,E3445+1))</f>
        <v/>
      </c>
      <c r="J3445" t="str">
        <f>IF(E3445="","",INDEX(Knutepunkter!$C:$C,E3445+1))</f>
        <v/>
      </c>
      <c r="K3445" t="str">
        <f>IF(E3445="","",INDEX(Knutepunkter!$D:$D,E3445+1))</f>
        <v/>
      </c>
      <c r="L3445" t="str">
        <f t="shared" si="268"/>
        <v/>
      </c>
      <c r="M3445" t="str">
        <f t="shared" si="269"/>
        <v/>
      </c>
    </row>
    <row r="3446" spans="1:13" x14ac:dyDescent="0.3">
      <c r="A3446" t="str">
        <f>Segmenter!A3446</f>
        <v/>
      </c>
      <c r="B3446" t="str">
        <f>Segmenter!B3446</f>
        <v/>
      </c>
      <c r="C3446" t="str">
        <f t="shared" si="265"/>
        <v/>
      </c>
      <c r="D3446" t="str">
        <f t="shared" si="266"/>
        <v/>
      </c>
      <c r="E3446" t="str">
        <f t="shared" si="267"/>
        <v/>
      </c>
      <c r="F3446" t="str">
        <f>IF(D3446="","",INDEX(Knutepunkter!$B:$B,D3446+1))</f>
        <v/>
      </c>
      <c r="G3446" t="str">
        <f>IF(D3446="","",INDEX(Knutepunkter!$C:$C,D3446+1))</f>
        <v/>
      </c>
      <c r="H3446" t="str">
        <f>IF(D3446="","",INDEX(Knutepunkter!$D:$D,D3446+1))</f>
        <v/>
      </c>
      <c r="I3446" t="str">
        <f>IF(E3446="","",INDEX(Knutepunkter!$B:$B,E3446+1))</f>
        <v/>
      </c>
      <c r="J3446" t="str">
        <f>IF(E3446="","",INDEX(Knutepunkter!$C:$C,E3446+1))</f>
        <v/>
      </c>
      <c r="K3446" t="str">
        <f>IF(E3446="","",INDEX(Knutepunkter!$D:$D,E3446+1))</f>
        <v/>
      </c>
      <c r="L3446" t="str">
        <f t="shared" si="268"/>
        <v/>
      </c>
      <c r="M3446" t="str">
        <f t="shared" si="269"/>
        <v/>
      </c>
    </row>
    <row r="3447" spans="1:13" x14ac:dyDescent="0.3">
      <c r="A3447" t="str">
        <f>Segmenter!A3447</f>
        <v/>
      </c>
      <c r="B3447" t="str">
        <f>Segmenter!B3447</f>
        <v/>
      </c>
      <c r="C3447" t="str">
        <f t="shared" si="265"/>
        <v/>
      </c>
      <c r="D3447" t="str">
        <f t="shared" si="266"/>
        <v/>
      </c>
      <c r="E3447" t="str">
        <f t="shared" si="267"/>
        <v/>
      </c>
      <c r="F3447" t="str">
        <f>IF(D3447="","",INDEX(Knutepunkter!$B:$B,D3447+1))</f>
        <v/>
      </c>
      <c r="G3447" t="str">
        <f>IF(D3447="","",INDEX(Knutepunkter!$C:$C,D3447+1))</f>
        <v/>
      </c>
      <c r="H3447" t="str">
        <f>IF(D3447="","",INDEX(Knutepunkter!$D:$D,D3447+1))</f>
        <v/>
      </c>
      <c r="I3447" t="str">
        <f>IF(E3447="","",INDEX(Knutepunkter!$B:$B,E3447+1))</f>
        <v/>
      </c>
      <c r="J3447" t="str">
        <f>IF(E3447="","",INDEX(Knutepunkter!$C:$C,E3447+1))</f>
        <v/>
      </c>
      <c r="K3447" t="str">
        <f>IF(E3447="","",INDEX(Knutepunkter!$D:$D,E3447+1))</f>
        <v/>
      </c>
      <c r="L3447" t="str">
        <f t="shared" si="268"/>
        <v/>
      </c>
      <c r="M3447" t="str">
        <f t="shared" si="269"/>
        <v/>
      </c>
    </row>
    <row r="3448" spans="1:13" x14ac:dyDescent="0.3">
      <c r="A3448" t="str">
        <f>Segmenter!A3448</f>
        <v/>
      </c>
      <c r="B3448" t="str">
        <f>Segmenter!B3448</f>
        <v/>
      </c>
      <c r="C3448" t="str">
        <f t="shared" si="265"/>
        <v/>
      </c>
      <c r="D3448" t="str">
        <f t="shared" si="266"/>
        <v/>
      </c>
      <c r="E3448" t="str">
        <f t="shared" si="267"/>
        <v/>
      </c>
      <c r="F3448" t="str">
        <f>IF(D3448="","",INDEX(Knutepunkter!$B:$B,D3448+1))</f>
        <v/>
      </c>
      <c r="G3448" t="str">
        <f>IF(D3448="","",INDEX(Knutepunkter!$C:$C,D3448+1))</f>
        <v/>
      </c>
      <c r="H3448" t="str">
        <f>IF(D3448="","",INDEX(Knutepunkter!$D:$D,D3448+1))</f>
        <v/>
      </c>
      <c r="I3448" t="str">
        <f>IF(E3448="","",INDEX(Knutepunkter!$B:$B,E3448+1))</f>
        <v/>
      </c>
      <c r="J3448" t="str">
        <f>IF(E3448="","",INDEX(Knutepunkter!$C:$C,E3448+1))</f>
        <v/>
      </c>
      <c r="K3448" t="str">
        <f>IF(E3448="","",INDEX(Knutepunkter!$D:$D,E3448+1))</f>
        <v/>
      </c>
      <c r="L3448" t="str">
        <f t="shared" si="268"/>
        <v/>
      </c>
      <c r="M3448" t="str">
        <f t="shared" si="269"/>
        <v/>
      </c>
    </row>
    <row r="3449" spans="1:13" x14ac:dyDescent="0.3">
      <c r="A3449" t="str">
        <f>Segmenter!A3449</f>
        <v/>
      </c>
      <c r="B3449" t="str">
        <f>Segmenter!B3449</f>
        <v/>
      </c>
      <c r="C3449" t="str">
        <f t="shared" si="265"/>
        <v/>
      </c>
      <c r="D3449" t="str">
        <f t="shared" si="266"/>
        <v/>
      </c>
      <c r="E3449" t="str">
        <f t="shared" si="267"/>
        <v/>
      </c>
      <c r="F3449" t="str">
        <f>IF(D3449="","",INDEX(Knutepunkter!$B:$B,D3449+1))</f>
        <v/>
      </c>
      <c r="G3449" t="str">
        <f>IF(D3449="","",INDEX(Knutepunkter!$C:$C,D3449+1))</f>
        <v/>
      </c>
      <c r="H3449" t="str">
        <f>IF(D3449="","",INDEX(Knutepunkter!$D:$D,D3449+1))</f>
        <v/>
      </c>
      <c r="I3449" t="str">
        <f>IF(E3449="","",INDEX(Knutepunkter!$B:$B,E3449+1))</f>
        <v/>
      </c>
      <c r="J3449" t="str">
        <f>IF(E3449="","",INDEX(Knutepunkter!$C:$C,E3449+1))</f>
        <v/>
      </c>
      <c r="K3449" t="str">
        <f>IF(E3449="","",INDEX(Knutepunkter!$D:$D,E3449+1))</f>
        <v/>
      </c>
      <c r="L3449" t="str">
        <f t="shared" si="268"/>
        <v/>
      </c>
      <c r="M3449" t="str">
        <f t="shared" si="269"/>
        <v/>
      </c>
    </row>
    <row r="3450" spans="1:13" x14ac:dyDescent="0.3">
      <c r="A3450" t="str">
        <f>Segmenter!A3450</f>
        <v/>
      </c>
      <c r="B3450" t="str">
        <f>Segmenter!B3450</f>
        <v/>
      </c>
      <c r="C3450" t="str">
        <f t="shared" si="265"/>
        <v/>
      </c>
      <c r="D3450" t="str">
        <f t="shared" si="266"/>
        <v/>
      </c>
      <c r="E3450" t="str">
        <f t="shared" si="267"/>
        <v/>
      </c>
      <c r="F3450" t="str">
        <f>IF(D3450="","",INDEX(Knutepunkter!$B:$B,D3450+1))</f>
        <v/>
      </c>
      <c r="G3450" t="str">
        <f>IF(D3450="","",INDEX(Knutepunkter!$C:$C,D3450+1))</f>
        <v/>
      </c>
      <c r="H3450" t="str">
        <f>IF(D3450="","",INDEX(Knutepunkter!$D:$D,D3450+1))</f>
        <v/>
      </c>
      <c r="I3450" t="str">
        <f>IF(E3450="","",INDEX(Knutepunkter!$B:$B,E3450+1))</f>
        <v/>
      </c>
      <c r="J3450" t="str">
        <f>IF(E3450="","",INDEX(Knutepunkter!$C:$C,E3450+1))</f>
        <v/>
      </c>
      <c r="K3450" t="str">
        <f>IF(E3450="","",INDEX(Knutepunkter!$D:$D,E3450+1))</f>
        <v/>
      </c>
      <c r="L3450" t="str">
        <f t="shared" si="268"/>
        <v/>
      </c>
      <c r="M3450" t="str">
        <f t="shared" si="269"/>
        <v/>
      </c>
    </row>
    <row r="3451" spans="1:13" x14ac:dyDescent="0.3">
      <c r="A3451" t="str">
        <f>Segmenter!A3451</f>
        <v/>
      </c>
      <c r="B3451" t="str">
        <f>Segmenter!B3451</f>
        <v/>
      </c>
      <c r="C3451" t="str">
        <f t="shared" si="265"/>
        <v/>
      </c>
      <c r="D3451" t="str">
        <f t="shared" si="266"/>
        <v/>
      </c>
      <c r="E3451" t="str">
        <f t="shared" si="267"/>
        <v/>
      </c>
      <c r="F3451" t="str">
        <f>IF(D3451="","",INDEX(Knutepunkter!$B:$B,D3451+1))</f>
        <v/>
      </c>
      <c r="G3451" t="str">
        <f>IF(D3451="","",INDEX(Knutepunkter!$C:$C,D3451+1))</f>
        <v/>
      </c>
      <c r="H3451" t="str">
        <f>IF(D3451="","",INDEX(Knutepunkter!$D:$D,D3451+1))</f>
        <v/>
      </c>
      <c r="I3451" t="str">
        <f>IF(E3451="","",INDEX(Knutepunkter!$B:$B,E3451+1))</f>
        <v/>
      </c>
      <c r="J3451" t="str">
        <f>IF(E3451="","",INDEX(Knutepunkter!$C:$C,E3451+1))</f>
        <v/>
      </c>
      <c r="K3451" t="str">
        <f>IF(E3451="","",INDEX(Knutepunkter!$D:$D,E3451+1))</f>
        <v/>
      </c>
      <c r="L3451" t="str">
        <f t="shared" si="268"/>
        <v/>
      </c>
      <c r="M3451" t="str">
        <f t="shared" si="269"/>
        <v/>
      </c>
    </row>
    <row r="3452" spans="1:13" x14ac:dyDescent="0.3">
      <c r="A3452" t="str">
        <f>Segmenter!A3452</f>
        <v/>
      </c>
      <c r="B3452" t="str">
        <f>Segmenter!B3452</f>
        <v/>
      </c>
      <c r="C3452" t="str">
        <f t="shared" si="265"/>
        <v/>
      </c>
      <c r="D3452" t="str">
        <f t="shared" si="266"/>
        <v/>
      </c>
      <c r="E3452" t="str">
        <f t="shared" si="267"/>
        <v/>
      </c>
      <c r="F3452" t="str">
        <f>IF(D3452="","",INDEX(Knutepunkter!$B:$B,D3452+1))</f>
        <v/>
      </c>
      <c r="G3452" t="str">
        <f>IF(D3452="","",INDEX(Knutepunkter!$C:$C,D3452+1))</f>
        <v/>
      </c>
      <c r="H3452" t="str">
        <f>IF(D3452="","",INDEX(Knutepunkter!$D:$D,D3452+1))</f>
        <v/>
      </c>
      <c r="I3452" t="str">
        <f>IF(E3452="","",INDEX(Knutepunkter!$B:$B,E3452+1))</f>
        <v/>
      </c>
      <c r="J3452" t="str">
        <f>IF(E3452="","",INDEX(Knutepunkter!$C:$C,E3452+1))</f>
        <v/>
      </c>
      <c r="K3452" t="str">
        <f>IF(E3452="","",INDEX(Knutepunkter!$D:$D,E3452+1))</f>
        <v/>
      </c>
      <c r="L3452" t="str">
        <f t="shared" si="268"/>
        <v/>
      </c>
      <c r="M3452" t="str">
        <f t="shared" si="269"/>
        <v/>
      </c>
    </row>
    <row r="3453" spans="1:13" x14ac:dyDescent="0.3">
      <c r="A3453" t="str">
        <f>Segmenter!A3453</f>
        <v/>
      </c>
      <c r="B3453" t="str">
        <f>Segmenter!B3453</f>
        <v/>
      </c>
      <c r="C3453" t="str">
        <f t="shared" si="265"/>
        <v/>
      </c>
      <c r="D3453" t="str">
        <f t="shared" si="266"/>
        <v/>
      </c>
      <c r="E3453" t="str">
        <f t="shared" si="267"/>
        <v/>
      </c>
      <c r="F3453" t="str">
        <f>IF(D3453="","",INDEX(Knutepunkter!$B:$B,D3453+1))</f>
        <v/>
      </c>
      <c r="G3453" t="str">
        <f>IF(D3453="","",INDEX(Knutepunkter!$C:$C,D3453+1))</f>
        <v/>
      </c>
      <c r="H3453" t="str">
        <f>IF(D3453="","",INDEX(Knutepunkter!$D:$D,D3453+1))</f>
        <v/>
      </c>
      <c r="I3453" t="str">
        <f>IF(E3453="","",INDEX(Knutepunkter!$B:$B,E3453+1))</f>
        <v/>
      </c>
      <c r="J3453" t="str">
        <f>IF(E3453="","",INDEX(Knutepunkter!$C:$C,E3453+1))</f>
        <v/>
      </c>
      <c r="K3453" t="str">
        <f>IF(E3453="","",INDEX(Knutepunkter!$D:$D,E3453+1))</f>
        <v/>
      </c>
      <c r="L3453" t="str">
        <f t="shared" si="268"/>
        <v/>
      </c>
      <c r="M3453" t="str">
        <f t="shared" si="269"/>
        <v/>
      </c>
    </row>
    <row r="3454" spans="1:13" x14ac:dyDescent="0.3">
      <c r="A3454" t="str">
        <f>Segmenter!A3454</f>
        <v/>
      </c>
      <c r="B3454" t="str">
        <f>Segmenter!B3454</f>
        <v/>
      </c>
      <c r="C3454" t="str">
        <f t="shared" si="265"/>
        <v/>
      </c>
      <c r="D3454" t="str">
        <f t="shared" si="266"/>
        <v/>
      </c>
      <c r="E3454" t="str">
        <f t="shared" si="267"/>
        <v/>
      </c>
      <c r="F3454" t="str">
        <f>IF(D3454="","",INDEX(Knutepunkter!$B:$B,D3454+1))</f>
        <v/>
      </c>
      <c r="G3454" t="str">
        <f>IF(D3454="","",INDEX(Knutepunkter!$C:$C,D3454+1))</f>
        <v/>
      </c>
      <c r="H3454" t="str">
        <f>IF(D3454="","",INDEX(Knutepunkter!$D:$D,D3454+1))</f>
        <v/>
      </c>
      <c r="I3454" t="str">
        <f>IF(E3454="","",INDEX(Knutepunkter!$B:$B,E3454+1))</f>
        <v/>
      </c>
      <c r="J3454" t="str">
        <f>IF(E3454="","",INDEX(Knutepunkter!$C:$C,E3454+1))</f>
        <v/>
      </c>
      <c r="K3454" t="str">
        <f>IF(E3454="","",INDEX(Knutepunkter!$D:$D,E3454+1))</f>
        <v/>
      </c>
      <c r="L3454" t="str">
        <f t="shared" si="268"/>
        <v/>
      </c>
      <c r="M3454" t="str">
        <f t="shared" si="269"/>
        <v/>
      </c>
    </row>
    <row r="3455" spans="1:13" x14ac:dyDescent="0.3">
      <c r="A3455" t="str">
        <f>Segmenter!A3455</f>
        <v/>
      </c>
      <c r="B3455" t="str">
        <f>Segmenter!B3455</f>
        <v/>
      </c>
      <c r="C3455" t="str">
        <f t="shared" si="265"/>
        <v/>
      </c>
      <c r="D3455" t="str">
        <f t="shared" si="266"/>
        <v/>
      </c>
      <c r="E3455" t="str">
        <f t="shared" si="267"/>
        <v/>
      </c>
      <c r="F3455" t="str">
        <f>IF(D3455="","",INDEX(Knutepunkter!$B:$B,D3455+1))</f>
        <v/>
      </c>
      <c r="G3455" t="str">
        <f>IF(D3455="","",INDEX(Knutepunkter!$C:$C,D3455+1))</f>
        <v/>
      </c>
      <c r="H3455" t="str">
        <f>IF(D3455="","",INDEX(Knutepunkter!$D:$D,D3455+1))</f>
        <v/>
      </c>
      <c r="I3455" t="str">
        <f>IF(E3455="","",INDEX(Knutepunkter!$B:$B,E3455+1))</f>
        <v/>
      </c>
      <c r="J3455" t="str">
        <f>IF(E3455="","",INDEX(Knutepunkter!$C:$C,E3455+1))</f>
        <v/>
      </c>
      <c r="K3455" t="str">
        <f>IF(E3455="","",INDEX(Knutepunkter!$D:$D,E3455+1))</f>
        <v/>
      </c>
      <c r="L3455" t="str">
        <f t="shared" si="268"/>
        <v/>
      </c>
      <c r="M3455" t="str">
        <f t="shared" si="269"/>
        <v/>
      </c>
    </row>
    <row r="3456" spans="1:13" x14ac:dyDescent="0.3">
      <c r="A3456" t="str">
        <f>Segmenter!A3456</f>
        <v/>
      </c>
      <c r="B3456" t="str">
        <f>Segmenter!B3456</f>
        <v/>
      </c>
      <c r="C3456" t="str">
        <f t="shared" si="265"/>
        <v/>
      </c>
      <c r="D3456" t="str">
        <f t="shared" si="266"/>
        <v/>
      </c>
      <c r="E3456" t="str">
        <f t="shared" si="267"/>
        <v/>
      </c>
      <c r="F3456" t="str">
        <f>IF(D3456="","",INDEX(Knutepunkter!$B:$B,D3456+1))</f>
        <v/>
      </c>
      <c r="G3456" t="str">
        <f>IF(D3456="","",INDEX(Knutepunkter!$C:$C,D3456+1))</f>
        <v/>
      </c>
      <c r="H3456" t="str">
        <f>IF(D3456="","",INDEX(Knutepunkter!$D:$D,D3456+1))</f>
        <v/>
      </c>
      <c r="I3456" t="str">
        <f>IF(E3456="","",INDEX(Knutepunkter!$B:$B,E3456+1))</f>
        <v/>
      </c>
      <c r="J3456" t="str">
        <f>IF(E3456="","",INDEX(Knutepunkter!$C:$C,E3456+1))</f>
        <v/>
      </c>
      <c r="K3456" t="str">
        <f>IF(E3456="","",INDEX(Knutepunkter!$D:$D,E3456+1))</f>
        <v/>
      </c>
      <c r="L3456" t="str">
        <f t="shared" si="268"/>
        <v/>
      </c>
      <c r="M3456" t="str">
        <f t="shared" si="269"/>
        <v/>
      </c>
    </row>
    <row r="3457" spans="1:13" x14ac:dyDescent="0.3">
      <c r="A3457" t="str">
        <f>Segmenter!A3457</f>
        <v/>
      </c>
      <c r="B3457" t="str">
        <f>Segmenter!B3457</f>
        <v/>
      </c>
      <c r="C3457" t="str">
        <f t="shared" si="265"/>
        <v/>
      </c>
      <c r="D3457" t="str">
        <f t="shared" si="266"/>
        <v/>
      </c>
      <c r="E3457" t="str">
        <f t="shared" si="267"/>
        <v/>
      </c>
      <c r="F3457" t="str">
        <f>IF(D3457="","",INDEX(Knutepunkter!$B:$B,D3457+1))</f>
        <v/>
      </c>
      <c r="G3457" t="str">
        <f>IF(D3457="","",INDEX(Knutepunkter!$C:$C,D3457+1))</f>
        <v/>
      </c>
      <c r="H3457" t="str">
        <f>IF(D3457="","",INDEX(Knutepunkter!$D:$D,D3457+1))</f>
        <v/>
      </c>
      <c r="I3457" t="str">
        <f>IF(E3457="","",INDEX(Knutepunkter!$B:$B,E3457+1))</f>
        <v/>
      </c>
      <c r="J3457" t="str">
        <f>IF(E3457="","",INDEX(Knutepunkter!$C:$C,E3457+1))</f>
        <v/>
      </c>
      <c r="K3457" t="str">
        <f>IF(E3457="","",INDEX(Knutepunkter!$D:$D,E3457+1))</f>
        <v/>
      </c>
      <c r="L3457" t="str">
        <f t="shared" si="268"/>
        <v/>
      </c>
      <c r="M3457" t="str">
        <f t="shared" si="269"/>
        <v/>
      </c>
    </row>
    <row r="3458" spans="1:13" x14ac:dyDescent="0.3">
      <c r="A3458" t="str">
        <f>Segmenter!A3458</f>
        <v/>
      </c>
      <c r="B3458" t="str">
        <f>Segmenter!B3458</f>
        <v/>
      </c>
      <c r="C3458" t="str">
        <f t="shared" ref="C3458:C3521" si="270">IF(B3458="","",IF(AND(F3458=I3458,G3458=J3458,H3458&lt;&gt;K3458),"Søyle","Bjelke"))</f>
        <v/>
      </c>
      <c r="D3458" t="str">
        <f t="shared" ref="D3458:D3521" si="271">IF(B3458="","",VALUE(LEFT(B3458,FIND(" -&gt; ",B3458)-1)))</f>
        <v/>
      </c>
      <c r="E3458" t="str">
        <f t="shared" ref="E3458:E3521" si="272">IF(B3458="","",VALUE(MID(B3458,FIND(" -&gt; ",B3458)+4,99)))</f>
        <v/>
      </c>
      <c r="F3458" t="str">
        <f>IF(D3458="","",INDEX(Knutepunkter!$B:$B,D3458+1))</f>
        <v/>
      </c>
      <c r="G3458" t="str">
        <f>IF(D3458="","",INDEX(Knutepunkter!$C:$C,D3458+1))</f>
        <v/>
      </c>
      <c r="H3458" t="str">
        <f>IF(D3458="","",INDEX(Knutepunkter!$D:$D,D3458+1))</f>
        <v/>
      </c>
      <c r="I3458" t="str">
        <f>IF(E3458="","",INDEX(Knutepunkter!$B:$B,E3458+1))</f>
        <v/>
      </c>
      <c r="J3458" t="str">
        <f>IF(E3458="","",INDEX(Knutepunkter!$C:$C,E3458+1))</f>
        <v/>
      </c>
      <c r="K3458" t="str">
        <f>IF(E3458="","",INDEX(Knutepunkter!$D:$D,E3458+1))</f>
        <v/>
      </c>
      <c r="L3458" t="str">
        <f t="shared" ref="L3458:L3521" si="273">IF(B3458="","",SQRT((I3458-F3458)^2+(J3458-G3458)^2+(K3458-H3458)^2))</f>
        <v/>
      </c>
      <c r="M3458" t="str">
        <f t="shared" ref="M3458:M3521" si="274">IF(L3458="","",L3458/1000)</f>
        <v/>
      </c>
    </row>
    <row r="3459" spans="1:13" x14ac:dyDescent="0.3">
      <c r="A3459" t="str">
        <f>Segmenter!A3459</f>
        <v/>
      </c>
      <c r="B3459" t="str">
        <f>Segmenter!B3459</f>
        <v/>
      </c>
      <c r="C3459" t="str">
        <f t="shared" si="270"/>
        <v/>
      </c>
      <c r="D3459" t="str">
        <f t="shared" si="271"/>
        <v/>
      </c>
      <c r="E3459" t="str">
        <f t="shared" si="272"/>
        <v/>
      </c>
      <c r="F3459" t="str">
        <f>IF(D3459="","",INDEX(Knutepunkter!$B:$B,D3459+1))</f>
        <v/>
      </c>
      <c r="G3459" t="str">
        <f>IF(D3459="","",INDEX(Knutepunkter!$C:$C,D3459+1))</f>
        <v/>
      </c>
      <c r="H3459" t="str">
        <f>IF(D3459="","",INDEX(Knutepunkter!$D:$D,D3459+1))</f>
        <v/>
      </c>
      <c r="I3459" t="str">
        <f>IF(E3459="","",INDEX(Knutepunkter!$B:$B,E3459+1))</f>
        <v/>
      </c>
      <c r="J3459" t="str">
        <f>IF(E3459="","",INDEX(Knutepunkter!$C:$C,E3459+1))</f>
        <v/>
      </c>
      <c r="K3459" t="str">
        <f>IF(E3459="","",INDEX(Knutepunkter!$D:$D,E3459+1))</f>
        <v/>
      </c>
      <c r="L3459" t="str">
        <f t="shared" si="273"/>
        <v/>
      </c>
      <c r="M3459" t="str">
        <f t="shared" si="274"/>
        <v/>
      </c>
    </row>
    <row r="3460" spans="1:13" x14ac:dyDescent="0.3">
      <c r="A3460" t="str">
        <f>Segmenter!A3460</f>
        <v/>
      </c>
      <c r="B3460" t="str">
        <f>Segmenter!B3460</f>
        <v/>
      </c>
      <c r="C3460" t="str">
        <f t="shared" si="270"/>
        <v/>
      </c>
      <c r="D3460" t="str">
        <f t="shared" si="271"/>
        <v/>
      </c>
      <c r="E3460" t="str">
        <f t="shared" si="272"/>
        <v/>
      </c>
      <c r="F3460" t="str">
        <f>IF(D3460="","",INDEX(Knutepunkter!$B:$B,D3460+1))</f>
        <v/>
      </c>
      <c r="G3460" t="str">
        <f>IF(D3460="","",INDEX(Knutepunkter!$C:$C,D3460+1))</f>
        <v/>
      </c>
      <c r="H3460" t="str">
        <f>IF(D3460="","",INDEX(Knutepunkter!$D:$D,D3460+1))</f>
        <v/>
      </c>
      <c r="I3460" t="str">
        <f>IF(E3460="","",INDEX(Knutepunkter!$B:$B,E3460+1))</f>
        <v/>
      </c>
      <c r="J3460" t="str">
        <f>IF(E3460="","",INDEX(Knutepunkter!$C:$C,E3460+1))</f>
        <v/>
      </c>
      <c r="K3460" t="str">
        <f>IF(E3460="","",INDEX(Knutepunkter!$D:$D,E3460+1))</f>
        <v/>
      </c>
      <c r="L3460" t="str">
        <f t="shared" si="273"/>
        <v/>
      </c>
      <c r="M3460" t="str">
        <f t="shared" si="274"/>
        <v/>
      </c>
    </row>
    <row r="3461" spans="1:13" x14ac:dyDescent="0.3">
      <c r="A3461" t="str">
        <f>Segmenter!A3461</f>
        <v/>
      </c>
      <c r="B3461" t="str">
        <f>Segmenter!B3461</f>
        <v/>
      </c>
      <c r="C3461" t="str">
        <f t="shared" si="270"/>
        <v/>
      </c>
      <c r="D3461" t="str">
        <f t="shared" si="271"/>
        <v/>
      </c>
      <c r="E3461" t="str">
        <f t="shared" si="272"/>
        <v/>
      </c>
      <c r="F3461" t="str">
        <f>IF(D3461="","",INDEX(Knutepunkter!$B:$B,D3461+1))</f>
        <v/>
      </c>
      <c r="G3461" t="str">
        <f>IF(D3461="","",INDEX(Knutepunkter!$C:$C,D3461+1))</f>
        <v/>
      </c>
      <c r="H3461" t="str">
        <f>IF(D3461="","",INDEX(Knutepunkter!$D:$D,D3461+1))</f>
        <v/>
      </c>
      <c r="I3461" t="str">
        <f>IF(E3461="","",INDEX(Knutepunkter!$B:$B,E3461+1))</f>
        <v/>
      </c>
      <c r="J3461" t="str">
        <f>IF(E3461="","",INDEX(Knutepunkter!$C:$C,E3461+1))</f>
        <v/>
      </c>
      <c r="K3461" t="str">
        <f>IF(E3461="","",INDEX(Knutepunkter!$D:$D,E3461+1))</f>
        <v/>
      </c>
      <c r="L3461" t="str">
        <f t="shared" si="273"/>
        <v/>
      </c>
      <c r="M3461" t="str">
        <f t="shared" si="274"/>
        <v/>
      </c>
    </row>
    <row r="3462" spans="1:13" x14ac:dyDescent="0.3">
      <c r="A3462" t="str">
        <f>Segmenter!A3462</f>
        <v/>
      </c>
      <c r="B3462" t="str">
        <f>Segmenter!B3462</f>
        <v/>
      </c>
      <c r="C3462" t="str">
        <f t="shared" si="270"/>
        <v/>
      </c>
      <c r="D3462" t="str">
        <f t="shared" si="271"/>
        <v/>
      </c>
      <c r="E3462" t="str">
        <f t="shared" si="272"/>
        <v/>
      </c>
      <c r="F3462" t="str">
        <f>IF(D3462="","",INDEX(Knutepunkter!$B:$B,D3462+1))</f>
        <v/>
      </c>
      <c r="G3462" t="str">
        <f>IF(D3462="","",INDEX(Knutepunkter!$C:$C,D3462+1))</f>
        <v/>
      </c>
      <c r="H3462" t="str">
        <f>IF(D3462="","",INDEX(Knutepunkter!$D:$D,D3462+1))</f>
        <v/>
      </c>
      <c r="I3462" t="str">
        <f>IF(E3462="","",INDEX(Knutepunkter!$B:$B,E3462+1))</f>
        <v/>
      </c>
      <c r="J3462" t="str">
        <f>IF(E3462="","",INDEX(Knutepunkter!$C:$C,E3462+1))</f>
        <v/>
      </c>
      <c r="K3462" t="str">
        <f>IF(E3462="","",INDEX(Knutepunkter!$D:$D,E3462+1))</f>
        <v/>
      </c>
      <c r="L3462" t="str">
        <f t="shared" si="273"/>
        <v/>
      </c>
      <c r="M3462" t="str">
        <f t="shared" si="274"/>
        <v/>
      </c>
    </row>
    <row r="3463" spans="1:13" x14ac:dyDescent="0.3">
      <c r="A3463" t="str">
        <f>Segmenter!A3463</f>
        <v/>
      </c>
      <c r="B3463" t="str">
        <f>Segmenter!B3463</f>
        <v/>
      </c>
      <c r="C3463" t="str">
        <f t="shared" si="270"/>
        <v/>
      </c>
      <c r="D3463" t="str">
        <f t="shared" si="271"/>
        <v/>
      </c>
      <c r="E3463" t="str">
        <f t="shared" si="272"/>
        <v/>
      </c>
      <c r="F3463" t="str">
        <f>IF(D3463="","",INDEX(Knutepunkter!$B:$B,D3463+1))</f>
        <v/>
      </c>
      <c r="G3463" t="str">
        <f>IF(D3463="","",INDEX(Knutepunkter!$C:$C,D3463+1))</f>
        <v/>
      </c>
      <c r="H3463" t="str">
        <f>IF(D3463="","",INDEX(Knutepunkter!$D:$D,D3463+1))</f>
        <v/>
      </c>
      <c r="I3463" t="str">
        <f>IF(E3463="","",INDEX(Knutepunkter!$B:$B,E3463+1))</f>
        <v/>
      </c>
      <c r="J3463" t="str">
        <f>IF(E3463="","",INDEX(Knutepunkter!$C:$C,E3463+1))</f>
        <v/>
      </c>
      <c r="K3463" t="str">
        <f>IF(E3463="","",INDEX(Knutepunkter!$D:$D,E3463+1))</f>
        <v/>
      </c>
      <c r="L3463" t="str">
        <f t="shared" si="273"/>
        <v/>
      </c>
      <c r="M3463" t="str">
        <f t="shared" si="274"/>
        <v/>
      </c>
    </row>
    <row r="3464" spans="1:13" x14ac:dyDescent="0.3">
      <c r="A3464" t="str">
        <f>Segmenter!A3464</f>
        <v/>
      </c>
      <c r="B3464" t="str">
        <f>Segmenter!B3464</f>
        <v/>
      </c>
      <c r="C3464" t="str">
        <f t="shared" si="270"/>
        <v/>
      </c>
      <c r="D3464" t="str">
        <f t="shared" si="271"/>
        <v/>
      </c>
      <c r="E3464" t="str">
        <f t="shared" si="272"/>
        <v/>
      </c>
      <c r="F3464" t="str">
        <f>IF(D3464="","",INDEX(Knutepunkter!$B:$B,D3464+1))</f>
        <v/>
      </c>
      <c r="G3464" t="str">
        <f>IF(D3464="","",INDEX(Knutepunkter!$C:$C,D3464+1))</f>
        <v/>
      </c>
      <c r="H3464" t="str">
        <f>IF(D3464="","",INDEX(Knutepunkter!$D:$D,D3464+1))</f>
        <v/>
      </c>
      <c r="I3464" t="str">
        <f>IF(E3464="","",INDEX(Knutepunkter!$B:$B,E3464+1))</f>
        <v/>
      </c>
      <c r="J3464" t="str">
        <f>IF(E3464="","",INDEX(Knutepunkter!$C:$C,E3464+1))</f>
        <v/>
      </c>
      <c r="K3464" t="str">
        <f>IF(E3464="","",INDEX(Knutepunkter!$D:$D,E3464+1))</f>
        <v/>
      </c>
      <c r="L3464" t="str">
        <f t="shared" si="273"/>
        <v/>
      </c>
      <c r="M3464" t="str">
        <f t="shared" si="274"/>
        <v/>
      </c>
    </row>
    <row r="3465" spans="1:13" x14ac:dyDescent="0.3">
      <c r="A3465" t="str">
        <f>Segmenter!A3465</f>
        <v/>
      </c>
      <c r="B3465" t="str">
        <f>Segmenter!B3465</f>
        <v/>
      </c>
      <c r="C3465" t="str">
        <f t="shared" si="270"/>
        <v/>
      </c>
      <c r="D3465" t="str">
        <f t="shared" si="271"/>
        <v/>
      </c>
      <c r="E3465" t="str">
        <f t="shared" si="272"/>
        <v/>
      </c>
      <c r="F3465" t="str">
        <f>IF(D3465="","",INDEX(Knutepunkter!$B:$B,D3465+1))</f>
        <v/>
      </c>
      <c r="G3465" t="str">
        <f>IF(D3465="","",INDEX(Knutepunkter!$C:$C,D3465+1))</f>
        <v/>
      </c>
      <c r="H3465" t="str">
        <f>IF(D3465="","",INDEX(Knutepunkter!$D:$D,D3465+1))</f>
        <v/>
      </c>
      <c r="I3465" t="str">
        <f>IF(E3465="","",INDEX(Knutepunkter!$B:$B,E3465+1))</f>
        <v/>
      </c>
      <c r="J3465" t="str">
        <f>IF(E3465="","",INDEX(Knutepunkter!$C:$C,E3465+1))</f>
        <v/>
      </c>
      <c r="K3465" t="str">
        <f>IF(E3465="","",INDEX(Knutepunkter!$D:$D,E3465+1))</f>
        <v/>
      </c>
      <c r="L3465" t="str">
        <f t="shared" si="273"/>
        <v/>
      </c>
      <c r="M3465" t="str">
        <f t="shared" si="274"/>
        <v/>
      </c>
    </row>
    <row r="3466" spans="1:13" x14ac:dyDescent="0.3">
      <c r="A3466" t="str">
        <f>Segmenter!A3466</f>
        <v/>
      </c>
      <c r="B3466" t="str">
        <f>Segmenter!B3466</f>
        <v/>
      </c>
      <c r="C3466" t="str">
        <f t="shared" si="270"/>
        <v/>
      </c>
      <c r="D3466" t="str">
        <f t="shared" si="271"/>
        <v/>
      </c>
      <c r="E3466" t="str">
        <f t="shared" si="272"/>
        <v/>
      </c>
      <c r="F3466" t="str">
        <f>IF(D3466="","",INDEX(Knutepunkter!$B:$B,D3466+1))</f>
        <v/>
      </c>
      <c r="G3466" t="str">
        <f>IF(D3466="","",INDEX(Knutepunkter!$C:$C,D3466+1))</f>
        <v/>
      </c>
      <c r="H3466" t="str">
        <f>IF(D3466="","",INDEX(Knutepunkter!$D:$D,D3466+1))</f>
        <v/>
      </c>
      <c r="I3466" t="str">
        <f>IF(E3466="","",INDEX(Knutepunkter!$B:$B,E3466+1))</f>
        <v/>
      </c>
      <c r="J3466" t="str">
        <f>IF(E3466="","",INDEX(Knutepunkter!$C:$C,E3466+1))</f>
        <v/>
      </c>
      <c r="K3466" t="str">
        <f>IF(E3466="","",INDEX(Knutepunkter!$D:$D,E3466+1))</f>
        <v/>
      </c>
      <c r="L3466" t="str">
        <f t="shared" si="273"/>
        <v/>
      </c>
      <c r="M3466" t="str">
        <f t="shared" si="274"/>
        <v/>
      </c>
    </row>
    <row r="3467" spans="1:13" x14ac:dyDescent="0.3">
      <c r="A3467" t="str">
        <f>Segmenter!A3467</f>
        <v/>
      </c>
      <c r="B3467" t="str">
        <f>Segmenter!B3467</f>
        <v/>
      </c>
      <c r="C3467" t="str">
        <f t="shared" si="270"/>
        <v/>
      </c>
      <c r="D3467" t="str">
        <f t="shared" si="271"/>
        <v/>
      </c>
      <c r="E3467" t="str">
        <f t="shared" si="272"/>
        <v/>
      </c>
      <c r="F3467" t="str">
        <f>IF(D3467="","",INDEX(Knutepunkter!$B:$B,D3467+1))</f>
        <v/>
      </c>
      <c r="G3467" t="str">
        <f>IF(D3467="","",INDEX(Knutepunkter!$C:$C,D3467+1))</f>
        <v/>
      </c>
      <c r="H3467" t="str">
        <f>IF(D3467="","",INDEX(Knutepunkter!$D:$D,D3467+1))</f>
        <v/>
      </c>
      <c r="I3467" t="str">
        <f>IF(E3467="","",INDEX(Knutepunkter!$B:$B,E3467+1))</f>
        <v/>
      </c>
      <c r="J3467" t="str">
        <f>IF(E3467="","",INDEX(Knutepunkter!$C:$C,E3467+1))</f>
        <v/>
      </c>
      <c r="K3467" t="str">
        <f>IF(E3467="","",INDEX(Knutepunkter!$D:$D,E3467+1))</f>
        <v/>
      </c>
      <c r="L3467" t="str">
        <f t="shared" si="273"/>
        <v/>
      </c>
      <c r="M3467" t="str">
        <f t="shared" si="274"/>
        <v/>
      </c>
    </row>
    <row r="3468" spans="1:13" x14ac:dyDescent="0.3">
      <c r="A3468" t="str">
        <f>Segmenter!A3468</f>
        <v/>
      </c>
      <c r="B3468" t="str">
        <f>Segmenter!B3468</f>
        <v/>
      </c>
      <c r="C3468" t="str">
        <f t="shared" si="270"/>
        <v/>
      </c>
      <c r="D3468" t="str">
        <f t="shared" si="271"/>
        <v/>
      </c>
      <c r="E3468" t="str">
        <f t="shared" si="272"/>
        <v/>
      </c>
      <c r="F3468" t="str">
        <f>IF(D3468="","",INDEX(Knutepunkter!$B:$B,D3468+1))</f>
        <v/>
      </c>
      <c r="G3468" t="str">
        <f>IF(D3468="","",INDEX(Knutepunkter!$C:$C,D3468+1))</f>
        <v/>
      </c>
      <c r="H3468" t="str">
        <f>IF(D3468="","",INDEX(Knutepunkter!$D:$D,D3468+1))</f>
        <v/>
      </c>
      <c r="I3468" t="str">
        <f>IF(E3468="","",INDEX(Knutepunkter!$B:$B,E3468+1))</f>
        <v/>
      </c>
      <c r="J3468" t="str">
        <f>IF(E3468="","",INDEX(Knutepunkter!$C:$C,E3468+1))</f>
        <v/>
      </c>
      <c r="K3468" t="str">
        <f>IF(E3468="","",INDEX(Knutepunkter!$D:$D,E3468+1))</f>
        <v/>
      </c>
      <c r="L3468" t="str">
        <f t="shared" si="273"/>
        <v/>
      </c>
      <c r="M3468" t="str">
        <f t="shared" si="274"/>
        <v/>
      </c>
    </row>
    <row r="3469" spans="1:13" x14ac:dyDescent="0.3">
      <c r="A3469" t="str">
        <f>Segmenter!A3469</f>
        <v/>
      </c>
      <c r="B3469" t="str">
        <f>Segmenter!B3469</f>
        <v/>
      </c>
      <c r="C3469" t="str">
        <f t="shared" si="270"/>
        <v/>
      </c>
      <c r="D3469" t="str">
        <f t="shared" si="271"/>
        <v/>
      </c>
      <c r="E3469" t="str">
        <f t="shared" si="272"/>
        <v/>
      </c>
      <c r="F3469" t="str">
        <f>IF(D3469="","",INDEX(Knutepunkter!$B:$B,D3469+1))</f>
        <v/>
      </c>
      <c r="G3469" t="str">
        <f>IF(D3469="","",INDEX(Knutepunkter!$C:$C,D3469+1))</f>
        <v/>
      </c>
      <c r="H3469" t="str">
        <f>IF(D3469="","",INDEX(Knutepunkter!$D:$D,D3469+1))</f>
        <v/>
      </c>
      <c r="I3469" t="str">
        <f>IF(E3469="","",INDEX(Knutepunkter!$B:$B,E3469+1))</f>
        <v/>
      </c>
      <c r="J3469" t="str">
        <f>IF(E3469="","",INDEX(Knutepunkter!$C:$C,E3469+1))</f>
        <v/>
      </c>
      <c r="K3469" t="str">
        <f>IF(E3469="","",INDEX(Knutepunkter!$D:$D,E3469+1))</f>
        <v/>
      </c>
      <c r="L3469" t="str">
        <f t="shared" si="273"/>
        <v/>
      </c>
      <c r="M3469" t="str">
        <f t="shared" si="274"/>
        <v/>
      </c>
    </row>
    <row r="3470" spans="1:13" x14ac:dyDescent="0.3">
      <c r="A3470" t="str">
        <f>Segmenter!A3470</f>
        <v/>
      </c>
      <c r="B3470" t="str">
        <f>Segmenter!B3470</f>
        <v/>
      </c>
      <c r="C3470" t="str">
        <f t="shared" si="270"/>
        <v/>
      </c>
      <c r="D3470" t="str">
        <f t="shared" si="271"/>
        <v/>
      </c>
      <c r="E3470" t="str">
        <f t="shared" si="272"/>
        <v/>
      </c>
      <c r="F3470" t="str">
        <f>IF(D3470="","",INDEX(Knutepunkter!$B:$B,D3470+1))</f>
        <v/>
      </c>
      <c r="G3470" t="str">
        <f>IF(D3470="","",INDEX(Knutepunkter!$C:$C,D3470+1))</f>
        <v/>
      </c>
      <c r="H3470" t="str">
        <f>IF(D3470="","",INDEX(Knutepunkter!$D:$D,D3470+1))</f>
        <v/>
      </c>
      <c r="I3470" t="str">
        <f>IF(E3470="","",INDEX(Knutepunkter!$B:$B,E3470+1))</f>
        <v/>
      </c>
      <c r="J3470" t="str">
        <f>IF(E3470="","",INDEX(Knutepunkter!$C:$C,E3470+1))</f>
        <v/>
      </c>
      <c r="K3470" t="str">
        <f>IF(E3470="","",INDEX(Knutepunkter!$D:$D,E3470+1))</f>
        <v/>
      </c>
      <c r="L3470" t="str">
        <f t="shared" si="273"/>
        <v/>
      </c>
      <c r="M3470" t="str">
        <f t="shared" si="274"/>
        <v/>
      </c>
    </row>
    <row r="3471" spans="1:13" x14ac:dyDescent="0.3">
      <c r="A3471" t="str">
        <f>Segmenter!A3471</f>
        <v/>
      </c>
      <c r="B3471" t="str">
        <f>Segmenter!B3471</f>
        <v/>
      </c>
      <c r="C3471" t="str">
        <f t="shared" si="270"/>
        <v/>
      </c>
      <c r="D3471" t="str">
        <f t="shared" si="271"/>
        <v/>
      </c>
      <c r="E3471" t="str">
        <f t="shared" si="272"/>
        <v/>
      </c>
      <c r="F3471" t="str">
        <f>IF(D3471="","",INDEX(Knutepunkter!$B:$B,D3471+1))</f>
        <v/>
      </c>
      <c r="G3471" t="str">
        <f>IF(D3471="","",INDEX(Knutepunkter!$C:$C,D3471+1))</f>
        <v/>
      </c>
      <c r="H3471" t="str">
        <f>IF(D3471="","",INDEX(Knutepunkter!$D:$D,D3471+1))</f>
        <v/>
      </c>
      <c r="I3471" t="str">
        <f>IF(E3471="","",INDEX(Knutepunkter!$B:$B,E3471+1))</f>
        <v/>
      </c>
      <c r="J3471" t="str">
        <f>IF(E3471="","",INDEX(Knutepunkter!$C:$C,E3471+1))</f>
        <v/>
      </c>
      <c r="K3471" t="str">
        <f>IF(E3471="","",INDEX(Knutepunkter!$D:$D,E3471+1))</f>
        <v/>
      </c>
      <c r="L3471" t="str">
        <f t="shared" si="273"/>
        <v/>
      </c>
      <c r="M3471" t="str">
        <f t="shared" si="274"/>
        <v/>
      </c>
    </row>
    <row r="3472" spans="1:13" x14ac:dyDescent="0.3">
      <c r="A3472" t="str">
        <f>Segmenter!A3472</f>
        <v/>
      </c>
      <c r="B3472" t="str">
        <f>Segmenter!B3472</f>
        <v/>
      </c>
      <c r="C3472" t="str">
        <f t="shared" si="270"/>
        <v/>
      </c>
      <c r="D3472" t="str">
        <f t="shared" si="271"/>
        <v/>
      </c>
      <c r="E3472" t="str">
        <f t="shared" si="272"/>
        <v/>
      </c>
      <c r="F3472" t="str">
        <f>IF(D3472="","",INDEX(Knutepunkter!$B:$B,D3472+1))</f>
        <v/>
      </c>
      <c r="G3472" t="str">
        <f>IF(D3472="","",INDEX(Knutepunkter!$C:$C,D3472+1))</f>
        <v/>
      </c>
      <c r="H3472" t="str">
        <f>IF(D3472="","",INDEX(Knutepunkter!$D:$D,D3472+1))</f>
        <v/>
      </c>
      <c r="I3472" t="str">
        <f>IF(E3472="","",INDEX(Knutepunkter!$B:$B,E3472+1))</f>
        <v/>
      </c>
      <c r="J3472" t="str">
        <f>IF(E3472="","",INDEX(Knutepunkter!$C:$C,E3472+1))</f>
        <v/>
      </c>
      <c r="K3472" t="str">
        <f>IF(E3472="","",INDEX(Knutepunkter!$D:$D,E3472+1))</f>
        <v/>
      </c>
      <c r="L3472" t="str">
        <f t="shared" si="273"/>
        <v/>
      </c>
      <c r="M3472" t="str">
        <f t="shared" si="274"/>
        <v/>
      </c>
    </row>
    <row r="3473" spans="1:13" x14ac:dyDescent="0.3">
      <c r="A3473" t="str">
        <f>Segmenter!A3473</f>
        <v/>
      </c>
      <c r="B3473" t="str">
        <f>Segmenter!B3473</f>
        <v/>
      </c>
      <c r="C3473" t="str">
        <f t="shared" si="270"/>
        <v/>
      </c>
      <c r="D3473" t="str">
        <f t="shared" si="271"/>
        <v/>
      </c>
      <c r="E3473" t="str">
        <f t="shared" si="272"/>
        <v/>
      </c>
      <c r="F3473" t="str">
        <f>IF(D3473="","",INDEX(Knutepunkter!$B:$B,D3473+1))</f>
        <v/>
      </c>
      <c r="G3473" t="str">
        <f>IF(D3473="","",INDEX(Knutepunkter!$C:$C,D3473+1))</f>
        <v/>
      </c>
      <c r="H3473" t="str">
        <f>IF(D3473="","",INDEX(Knutepunkter!$D:$D,D3473+1))</f>
        <v/>
      </c>
      <c r="I3473" t="str">
        <f>IF(E3473="","",INDEX(Knutepunkter!$B:$B,E3473+1))</f>
        <v/>
      </c>
      <c r="J3473" t="str">
        <f>IF(E3473="","",INDEX(Knutepunkter!$C:$C,E3473+1))</f>
        <v/>
      </c>
      <c r="K3473" t="str">
        <f>IF(E3473="","",INDEX(Knutepunkter!$D:$D,E3473+1))</f>
        <v/>
      </c>
      <c r="L3473" t="str">
        <f t="shared" si="273"/>
        <v/>
      </c>
      <c r="M3473" t="str">
        <f t="shared" si="274"/>
        <v/>
      </c>
    </row>
    <row r="3474" spans="1:13" x14ac:dyDescent="0.3">
      <c r="A3474" t="str">
        <f>Segmenter!A3474</f>
        <v/>
      </c>
      <c r="B3474" t="str">
        <f>Segmenter!B3474</f>
        <v/>
      </c>
      <c r="C3474" t="str">
        <f t="shared" si="270"/>
        <v/>
      </c>
      <c r="D3474" t="str">
        <f t="shared" si="271"/>
        <v/>
      </c>
      <c r="E3474" t="str">
        <f t="shared" si="272"/>
        <v/>
      </c>
      <c r="F3474" t="str">
        <f>IF(D3474="","",INDEX(Knutepunkter!$B:$B,D3474+1))</f>
        <v/>
      </c>
      <c r="G3474" t="str">
        <f>IF(D3474="","",INDEX(Knutepunkter!$C:$C,D3474+1))</f>
        <v/>
      </c>
      <c r="H3474" t="str">
        <f>IF(D3474="","",INDEX(Knutepunkter!$D:$D,D3474+1))</f>
        <v/>
      </c>
      <c r="I3474" t="str">
        <f>IF(E3474="","",INDEX(Knutepunkter!$B:$B,E3474+1))</f>
        <v/>
      </c>
      <c r="J3474" t="str">
        <f>IF(E3474="","",INDEX(Knutepunkter!$C:$C,E3474+1))</f>
        <v/>
      </c>
      <c r="K3474" t="str">
        <f>IF(E3474="","",INDEX(Knutepunkter!$D:$D,E3474+1))</f>
        <v/>
      </c>
      <c r="L3474" t="str">
        <f t="shared" si="273"/>
        <v/>
      </c>
      <c r="M3474" t="str">
        <f t="shared" si="274"/>
        <v/>
      </c>
    </row>
    <row r="3475" spans="1:13" x14ac:dyDescent="0.3">
      <c r="A3475" t="str">
        <f>Segmenter!A3475</f>
        <v/>
      </c>
      <c r="B3475" t="str">
        <f>Segmenter!B3475</f>
        <v/>
      </c>
      <c r="C3475" t="str">
        <f t="shared" si="270"/>
        <v/>
      </c>
      <c r="D3475" t="str">
        <f t="shared" si="271"/>
        <v/>
      </c>
      <c r="E3475" t="str">
        <f t="shared" si="272"/>
        <v/>
      </c>
      <c r="F3475" t="str">
        <f>IF(D3475="","",INDEX(Knutepunkter!$B:$B,D3475+1))</f>
        <v/>
      </c>
      <c r="G3475" t="str">
        <f>IF(D3475="","",INDEX(Knutepunkter!$C:$C,D3475+1))</f>
        <v/>
      </c>
      <c r="H3475" t="str">
        <f>IF(D3475="","",INDEX(Knutepunkter!$D:$D,D3475+1))</f>
        <v/>
      </c>
      <c r="I3475" t="str">
        <f>IF(E3475="","",INDEX(Knutepunkter!$B:$B,E3475+1))</f>
        <v/>
      </c>
      <c r="J3475" t="str">
        <f>IF(E3475="","",INDEX(Knutepunkter!$C:$C,E3475+1))</f>
        <v/>
      </c>
      <c r="K3475" t="str">
        <f>IF(E3475="","",INDEX(Knutepunkter!$D:$D,E3475+1))</f>
        <v/>
      </c>
      <c r="L3475" t="str">
        <f t="shared" si="273"/>
        <v/>
      </c>
      <c r="M3475" t="str">
        <f t="shared" si="274"/>
        <v/>
      </c>
    </row>
    <row r="3476" spans="1:13" x14ac:dyDescent="0.3">
      <c r="A3476" t="str">
        <f>Segmenter!A3476</f>
        <v/>
      </c>
      <c r="B3476" t="str">
        <f>Segmenter!B3476</f>
        <v/>
      </c>
      <c r="C3476" t="str">
        <f t="shared" si="270"/>
        <v/>
      </c>
      <c r="D3476" t="str">
        <f t="shared" si="271"/>
        <v/>
      </c>
      <c r="E3476" t="str">
        <f t="shared" si="272"/>
        <v/>
      </c>
      <c r="F3476" t="str">
        <f>IF(D3476="","",INDEX(Knutepunkter!$B:$B,D3476+1))</f>
        <v/>
      </c>
      <c r="G3476" t="str">
        <f>IF(D3476="","",INDEX(Knutepunkter!$C:$C,D3476+1))</f>
        <v/>
      </c>
      <c r="H3476" t="str">
        <f>IF(D3476="","",INDEX(Knutepunkter!$D:$D,D3476+1))</f>
        <v/>
      </c>
      <c r="I3476" t="str">
        <f>IF(E3476="","",INDEX(Knutepunkter!$B:$B,E3476+1))</f>
        <v/>
      </c>
      <c r="J3476" t="str">
        <f>IF(E3476="","",INDEX(Knutepunkter!$C:$C,E3476+1))</f>
        <v/>
      </c>
      <c r="K3476" t="str">
        <f>IF(E3476="","",INDEX(Knutepunkter!$D:$D,E3476+1))</f>
        <v/>
      </c>
      <c r="L3476" t="str">
        <f t="shared" si="273"/>
        <v/>
      </c>
      <c r="M3476" t="str">
        <f t="shared" si="274"/>
        <v/>
      </c>
    </row>
    <row r="3477" spans="1:13" x14ac:dyDescent="0.3">
      <c r="A3477" t="str">
        <f>Segmenter!A3477</f>
        <v/>
      </c>
      <c r="B3477" t="str">
        <f>Segmenter!B3477</f>
        <v/>
      </c>
      <c r="C3477" t="str">
        <f t="shared" si="270"/>
        <v/>
      </c>
      <c r="D3477" t="str">
        <f t="shared" si="271"/>
        <v/>
      </c>
      <c r="E3477" t="str">
        <f t="shared" si="272"/>
        <v/>
      </c>
      <c r="F3477" t="str">
        <f>IF(D3477="","",INDEX(Knutepunkter!$B:$B,D3477+1))</f>
        <v/>
      </c>
      <c r="G3477" t="str">
        <f>IF(D3477="","",INDEX(Knutepunkter!$C:$C,D3477+1))</f>
        <v/>
      </c>
      <c r="H3477" t="str">
        <f>IF(D3477="","",INDEX(Knutepunkter!$D:$D,D3477+1))</f>
        <v/>
      </c>
      <c r="I3477" t="str">
        <f>IF(E3477="","",INDEX(Knutepunkter!$B:$B,E3477+1))</f>
        <v/>
      </c>
      <c r="J3477" t="str">
        <f>IF(E3477="","",INDEX(Knutepunkter!$C:$C,E3477+1))</f>
        <v/>
      </c>
      <c r="K3477" t="str">
        <f>IF(E3477="","",INDEX(Knutepunkter!$D:$D,E3477+1))</f>
        <v/>
      </c>
      <c r="L3477" t="str">
        <f t="shared" si="273"/>
        <v/>
      </c>
      <c r="M3477" t="str">
        <f t="shared" si="274"/>
        <v/>
      </c>
    </row>
    <row r="3478" spans="1:13" x14ac:dyDescent="0.3">
      <c r="A3478" t="str">
        <f>Segmenter!A3478</f>
        <v/>
      </c>
      <c r="B3478" t="str">
        <f>Segmenter!B3478</f>
        <v/>
      </c>
      <c r="C3478" t="str">
        <f t="shared" si="270"/>
        <v/>
      </c>
      <c r="D3478" t="str">
        <f t="shared" si="271"/>
        <v/>
      </c>
      <c r="E3478" t="str">
        <f t="shared" si="272"/>
        <v/>
      </c>
      <c r="F3478" t="str">
        <f>IF(D3478="","",INDEX(Knutepunkter!$B:$B,D3478+1))</f>
        <v/>
      </c>
      <c r="G3478" t="str">
        <f>IF(D3478="","",INDEX(Knutepunkter!$C:$C,D3478+1))</f>
        <v/>
      </c>
      <c r="H3478" t="str">
        <f>IF(D3478="","",INDEX(Knutepunkter!$D:$D,D3478+1))</f>
        <v/>
      </c>
      <c r="I3478" t="str">
        <f>IF(E3478="","",INDEX(Knutepunkter!$B:$B,E3478+1))</f>
        <v/>
      </c>
      <c r="J3478" t="str">
        <f>IF(E3478="","",INDEX(Knutepunkter!$C:$C,E3478+1))</f>
        <v/>
      </c>
      <c r="K3478" t="str">
        <f>IF(E3478="","",INDEX(Knutepunkter!$D:$D,E3478+1))</f>
        <v/>
      </c>
      <c r="L3478" t="str">
        <f t="shared" si="273"/>
        <v/>
      </c>
      <c r="M3478" t="str">
        <f t="shared" si="274"/>
        <v/>
      </c>
    </row>
    <row r="3479" spans="1:13" x14ac:dyDescent="0.3">
      <c r="A3479" t="str">
        <f>Segmenter!A3479</f>
        <v/>
      </c>
      <c r="B3479" t="str">
        <f>Segmenter!B3479</f>
        <v/>
      </c>
      <c r="C3479" t="str">
        <f t="shared" si="270"/>
        <v/>
      </c>
      <c r="D3479" t="str">
        <f t="shared" si="271"/>
        <v/>
      </c>
      <c r="E3479" t="str">
        <f t="shared" si="272"/>
        <v/>
      </c>
      <c r="F3479" t="str">
        <f>IF(D3479="","",INDEX(Knutepunkter!$B:$B,D3479+1))</f>
        <v/>
      </c>
      <c r="G3479" t="str">
        <f>IF(D3479="","",INDEX(Knutepunkter!$C:$C,D3479+1))</f>
        <v/>
      </c>
      <c r="H3479" t="str">
        <f>IF(D3479="","",INDEX(Knutepunkter!$D:$D,D3479+1))</f>
        <v/>
      </c>
      <c r="I3479" t="str">
        <f>IF(E3479="","",INDEX(Knutepunkter!$B:$B,E3479+1))</f>
        <v/>
      </c>
      <c r="J3479" t="str">
        <f>IF(E3479="","",INDEX(Knutepunkter!$C:$C,E3479+1))</f>
        <v/>
      </c>
      <c r="K3479" t="str">
        <f>IF(E3479="","",INDEX(Knutepunkter!$D:$D,E3479+1))</f>
        <v/>
      </c>
      <c r="L3479" t="str">
        <f t="shared" si="273"/>
        <v/>
      </c>
      <c r="M3479" t="str">
        <f t="shared" si="274"/>
        <v/>
      </c>
    </row>
    <row r="3480" spans="1:13" x14ac:dyDescent="0.3">
      <c r="A3480" t="str">
        <f>Segmenter!A3480</f>
        <v/>
      </c>
      <c r="B3480" t="str">
        <f>Segmenter!B3480</f>
        <v/>
      </c>
      <c r="C3480" t="str">
        <f t="shared" si="270"/>
        <v/>
      </c>
      <c r="D3480" t="str">
        <f t="shared" si="271"/>
        <v/>
      </c>
      <c r="E3480" t="str">
        <f t="shared" si="272"/>
        <v/>
      </c>
      <c r="F3480" t="str">
        <f>IF(D3480="","",INDEX(Knutepunkter!$B:$B,D3480+1))</f>
        <v/>
      </c>
      <c r="G3480" t="str">
        <f>IF(D3480="","",INDEX(Knutepunkter!$C:$C,D3480+1))</f>
        <v/>
      </c>
      <c r="H3480" t="str">
        <f>IF(D3480="","",INDEX(Knutepunkter!$D:$D,D3480+1))</f>
        <v/>
      </c>
      <c r="I3480" t="str">
        <f>IF(E3480="","",INDEX(Knutepunkter!$B:$B,E3480+1))</f>
        <v/>
      </c>
      <c r="J3480" t="str">
        <f>IF(E3480="","",INDEX(Knutepunkter!$C:$C,E3480+1))</f>
        <v/>
      </c>
      <c r="K3480" t="str">
        <f>IF(E3480="","",INDEX(Knutepunkter!$D:$D,E3480+1))</f>
        <v/>
      </c>
      <c r="L3480" t="str">
        <f t="shared" si="273"/>
        <v/>
      </c>
      <c r="M3480" t="str">
        <f t="shared" si="274"/>
        <v/>
      </c>
    </row>
    <row r="3481" spans="1:13" x14ac:dyDescent="0.3">
      <c r="A3481" t="str">
        <f>Segmenter!A3481</f>
        <v/>
      </c>
      <c r="B3481" t="str">
        <f>Segmenter!B3481</f>
        <v/>
      </c>
      <c r="C3481" t="str">
        <f t="shared" si="270"/>
        <v/>
      </c>
      <c r="D3481" t="str">
        <f t="shared" si="271"/>
        <v/>
      </c>
      <c r="E3481" t="str">
        <f t="shared" si="272"/>
        <v/>
      </c>
      <c r="F3481" t="str">
        <f>IF(D3481="","",INDEX(Knutepunkter!$B:$B,D3481+1))</f>
        <v/>
      </c>
      <c r="G3481" t="str">
        <f>IF(D3481="","",INDEX(Knutepunkter!$C:$C,D3481+1))</f>
        <v/>
      </c>
      <c r="H3481" t="str">
        <f>IF(D3481="","",INDEX(Knutepunkter!$D:$D,D3481+1))</f>
        <v/>
      </c>
      <c r="I3481" t="str">
        <f>IF(E3481="","",INDEX(Knutepunkter!$B:$B,E3481+1))</f>
        <v/>
      </c>
      <c r="J3481" t="str">
        <f>IF(E3481="","",INDEX(Knutepunkter!$C:$C,E3481+1))</f>
        <v/>
      </c>
      <c r="K3481" t="str">
        <f>IF(E3481="","",INDEX(Knutepunkter!$D:$D,E3481+1))</f>
        <v/>
      </c>
      <c r="L3481" t="str">
        <f t="shared" si="273"/>
        <v/>
      </c>
      <c r="M3481" t="str">
        <f t="shared" si="274"/>
        <v/>
      </c>
    </row>
    <row r="3482" spans="1:13" x14ac:dyDescent="0.3">
      <c r="A3482" t="str">
        <f>Segmenter!A3482</f>
        <v/>
      </c>
      <c r="B3482" t="str">
        <f>Segmenter!B3482</f>
        <v/>
      </c>
      <c r="C3482" t="str">
        <f t="shared" si="270"/>
        <v/>
      </c>
      <c r="D3482" t="str">
        <f t="shared" si="271"/>
        <v/>
      </c>
      <c r="E3482" t="str">
        <f t="shared" si="272"/>
        <v/>
      </c>
      <c r="F3482" t="str">
        <f>IF(D3482="","",INDEX(Knutepunkter!$B:$B,D3482+1))</f>
        <v/>
      </c>
      <c r="G3482" t="str">
        <f>IF(D3482="","",INDEX(Knutepunkter!$C:$C,D3482+1))</f>
        <v/>
      </c>
      <c r="H3482" t="str">
        <f>IF(D3482="","",INDEX(Knutepunkter!$D:$D,D3482+1))</f>
        <v/>
      </c>
      <c r="I3482" t="str">
        <f>IF(E3482="","",INDEX(Knutepunkter!$B:$B,E3482+1))</f>
        <v/>
      </c>
      <c r="J3482" t="str">
        <f>IF(E3482="","",INDEX(Knutepunkter!$C:$C,E3482+1))</f>
        <v/>
      </c>
      <c r="K3482" t="str">
        <f>IF(E3482="","",INDEX(Knutepunkter!$D:$D,E3482+1))</f>
        <v/>
      </c>
      <c r="L3482" t="str">
        <f t="shared" si="273"/>
        <v/>
      </c>
      <c r="M3482" t="str">
        <f t="shared" si="274"/>
        <v/>
      </c>
    </row>
    <row r="3483" spans="1:13" x14ac:dyDescent="0.3">
      <c r="A3483" t="str">
        <f>Segmenter!A3483</f>
        <v/>
      </c>
      <c r="B3483" t="str">
        <f>Segmenter!B3483</f>
        <v/>
      </c>
      <c r="C3483" t="str">
        <f t="shared" si="270"/>
        <v/>
      </c>
      <c r="D3483" t="str">
        <f t="shared" si="271"/>
        <v/>
      </c>
      <c r="E3483" t="str">
        <f t="shared" si="272"/>
        <v/>
      </c>
      <c r="F3483" t="str">
        <f>IF(D3483="","",INDEX(Knutepunkter!$B:$B,D3483+1))</f>
        <v/>
      </c>
      <c r="G3483" t="str">
        <f>IF(D3483="","",INDEX(Knutepunkter!$C:$C,D3483+1))</f>
        <v/>
      </c>
      <c r="H3483" t="str">
        <f>IF(D3483="","",INDEX(Knutepunkter!$D:$D,D3483+1))</f>
        <v/>
      </c>
      <c r="I3483" t="str">
        <f>IF(E3483="","",INDEX(Knutepunkter!$B:$B,E3483+1))</f>
        <v/>
      </c>
      <c r="J3483" t="str">
        <f>IF(E3483="","",INDEX(Knutepunkter!$C:$C,E3483+1))</f>
        <v/>
      </c>
      <c r="K3483" t="str">
        <f>IF(E3483="","",INDEX(Knutepunkter!$D:$D,E3483+1))</f>
        <v/>
      </c>
      <c r="L3483" t="str">
        <f t="shared" si="273"/>
        <v/>
      </c>
      <c r="M3483" t="str">
        <f t="shared" si="274"/>
        <v/>
      </c>
    </row>
    <row r="3484" spans="1:13" x14ac:dyDescent="0.3">
      <c r="A3484" t="str">
        <f>Segmenter!A3484</f>
        <v/>
      </c>
      <c r="B3484" t="str">
        <f>Segmenter!B3484</f>
        <v/>
      </c>
      <c r="C3484" t="str">
        <f t="shared" si="270"/>
        <v/>
      </c>
      <c r="D3484" t="str">
        <f t="shared" si="271"/>
        <v/>
      </c>
      <c r="E3484" t="str">
        <f t="shared" si="272"/>
        <v/>
      </c>
      <c r="F3484" t="str">
        <f>IF(D3484="","",INDEX(Knutepunkter!$B:$B,D3484+1))</f>
        <v/>
      </c>
      <c r="G3484" t="str">
        <f>IF(D3484="","",INDEX(Knutepunkter!$C:$C,D3484+1))</f>
        <v/>
      </c>
      <c r="H3484" t="str">
        <f>IF(D3484="","",INDEX(Knutepunkter!$D:$D,D3484+1))</f>
        <v/>
      </c>
      <c r="I3484" t="str">
        <f>IF(E3484="","",INDEX(Knutepunkter!$B:$B,E3484+1))</f>
        <v/>
      </c>
      <c r="J3484" t="str">
        <f>IF(E3484="","",INDEX(Knutepunkter!$C:$C,E3484+1))</f>
        <v/>
      </c>
      <c r="K3484" t="str">
        <f>IF(E3484="","",INDEX(Knutepunkter!$D:$D,E3484+1))</f>
        <v/>
      </c>
      <c r="L3484" t="str">
        <f t="shared" si="273"/>
        <v/>
      </c>
      <c r="M3484" t="str">
        <f t="shared" si="274"/>
        <v/>
      </c>
    </row>
    <row r="3485" spans="1:13" x14ac:dyDescent="0.3">
      <c r="A3485" t="str">
        <f>Segmenter!A3485</f>
        <v/>
      </c>
      <c r="B3485" t="str">
        <f>Segmenter!B3485</f>
        <v/>
      </c>
      <c r="C3485" t="str">
        <f t="shared" si="270"/>
        <v/>
      </c>
      <c r="D3485" t="str">
        <f t="shared" si="271"/>
        <v/>
      </c>
      <c r="E3485" t="str">
        <f t="shared" si="272"/>
        <v/>
      </c>
      <c r="F3485" t="str">
        <f>IF(D3485="","",INDEX(Knutepunkter!$B:$B,D3485+1))</f>
        <v/>
      </c>
      <c r="G3485" t="str">
        <f>IF(D3485="","",INDEX(Knutepunkter!$C:$C,D3485+1))</f>
        <v/>
      </c>
      <c r="H3485" t="str">
        <f>IF(D3485="","",INDEX(Knutepunkter!$D:$D,D3485+1))</f>
        <v/>
      </c>
      <c r="I3485" t="str">
        <f>IF(E3485="","",INDEX(Knutepunkter!$B:$B,E3485+1))</f>
        <v/>
      </c>
      <c r="J3485" t="str">
        <f>IF(E3485="","",INDEX(Knutepunkter!$C:$C,E3485+1))</f>
        <v/>
      </c>
      <c r="K3485" t="str">
        <f>IF(E3485="","",INDEX(Knutepunkter!$D:$D,E3485+1))</f>
        <v/>
      </c>
      <c r="L3485" t="str">
        <f t="shared" si="273"/>
        <v/>
      </c>
      <c r="M3485" t="str">
        <f t="shared" si="274"/>
        <v/>
      </c>
    </row>
    <row r="3486" spans="1:13" x14ac:dyDescent="0.3">
      <c r="A3486" t="str">
        <f>Segmenter!A3486</f>
        <v/>
      </c>
      <c r="B3486" t="str">
        <f>Segmenter!B3486</f>
        <v/>
      </c>
      <c r="C3486" t="str">
        <f t="shared" si="270"/>
        <v/>
      </c>
      <c r="D3486" t="str">
        <f t="shared" si="271"/>
        <v/>
      </c>
      <c r="E3486" t="str">
        <f t="shared" si="272"/>
        <v/>
      </c>
      <c r="F3486" t="str">
        <f>IF(D3486="","",INDEX(Knutepunkter!$B:$B,D3486+1))</f>
        <v/>
      </c>
      <c r="G3486" t="str">
        <f>IF(D3486="","",INDEX(Knutepunkter!$C:$C,D3486+1))</f>
        <v/>
      </c>
      <c r="H3486" t="str">
        <f>IF(D3486="","",INDEX(Knutepunkter!$D:$D,D3486+1))</f>
        <v/>
      </c>
      <c r="I3486" t="str">
        <f>IF(E3486="","",INDEX(Knutepunkter!$B:$B,E3486+1))</f>
        <v/>
      </c>
      <c r="J3486" t="str">
        <f>IF(E3486="","",INDEX(Knutepunkter!$C:$C,E3486+1))</f>
        <v/>
      </c>
      <c r="K3486" t="str">
        <f>IF(E3486="","",INDEX(Knutepunkter!$D:$D,E3486+1))</f>
        <v/>
      </c>
      <c r="L3486" t="str">
        <f t="shared" si="273"/>
        <v/>
      </c>
      <c r="M3486" t="str">
        <f t="shared" si="274"/>
        <v/>
      </c>
    </row>
    <row r="3487" spans="1:13" x14ac:dyDescent="0.3">
      <c r="A3487" t="str">
        <f>Segmenter!A3487</f>
        <v/>
      </c>
      <c r="B3487" t="str">
        <f>Segmenter!B3487</f>
        <v/>
      </c>
      <c r="C3487" t="str">
        <f t="shared" si="270"/>
        <v/>
      </c>
      <c r="D3487" t="str">
        <f t="shared" si="271"/>
        <v/>
      </c>
      <c r="E3487" t="str">
        <f t="shared" si="272"/>
        <v/>
      </c>
      <c r="F3487" t="str">
        <f>IF(D3487="","",INDEX(Knutepunkter!$B:$B,D3487+1))</f>
        <v/>
      </c>
      <c r="G3487" t="str">
        <f>IF(D3487="","",INDEX(Knutepunkter!$C:$C,D3487+1))</f>
        <v/>
      </c>
      <c r="H3487" t="str">
        <f>IF(D3487="","",INDEX(Knutepunkter!$D:$D,D3487+1))</f>
        <v/>
      </c>
      <c r="I3487" t="str">
        <f>IF(E3487="","",INDEX(Knutepunkter!$B:$B,E3487+1))</f>
        <v/>
      </c>
      <c r="J3487" t="str">
        <f>IF(E3487="","",INDEX(Knutepunkter!$C:$C,E3487+1))</f>
        <v/>
      </c>
      <c r="K3487" t="str">
        <f>IF(E3487="","",INDEX(Knutepunkter!$D:$D,E3487+1))</f>
        <v/>
      </c>
      <c r="L3487" t="str">
        <f t="shared" si="273"/>
        <v/>
      </c>
      <c r="M3487" t="str">
        <f t="shared" si="274"/>
        <v/>
      </c>
    </row>
    <row r="3488" spans="1:13" x14ac:dyDescent="0.3">
      <c r="A3488" t="str">
        <f>Segmenter!A3488</f>
        <v/>
      </c>
      <c r="B3488" t="str">
        <f>Segmenter!B3488</f>
        <v/>
      </c>
      <c r="C3488" t="str">
        <f t="shared" si="270"/>
        <v/>
      </c>
      <c r="D3488" t="str">
        <f t="shared" si="271"/>
        <v/>
      </c>
      <c r="E3488" t="str">
        <f t="shared" si="272"/>
        <v/>
      </c>
      <c r="F3488" t="str">
        <f>IF(D3488="","",INDEX(Knutepunkter!$B:$B,D3488+1))</f>
        <v/>
      </c>
      <c r="G3488" t="str">
        <f>IF(D3488="","",INDEX(Knutepunkter!$C:$C,D3488+1))</f>
        <v/>
      </c>
      <c r="H3488" t="str">
        <f>IF(D3488="","",INDEX(Knutepunkter!$D:$D,D3488+1))</f>
        <v/>
      </c>
      <c r="I3488" t="str">
        <f>IF(E3488="","",INDEX(Knutepunkter!$B:$B,E3488+1))</f>
        <v/>
      </c>
      <c r="J3488" t="str">
        <f>IF(E3488="","",INDEX(Knutepunkter!$C:$C,E3488+1))</f>
        <v/>
      </c>
      <c r="K3488" t="str">
        <f>IF(E3488="","",INDEX(Knutepunkter!$D:$D,E3488+1))</f>
        <v/>
      </c>
      <c r="L3488" t="str">
        <f t="shared" si="273"/>
        <v/>
      </c>
      <c r="M3488" t="str">
        <f t="shared" si="274"/>
        <v/>
      </c>
    </row>
    <row r="3489" spans="1:13" x14ac:dyDescent="0.3">
      <c r="A3489" t="str">
        <f>Segmenter!A3489</f>
        <v/>
      </c>
      <c r="B3489" t="str">
        <f>Segmenter!B3489</f>
        <v/>
      </c>
      <c r="C3489" t="str">
        <f t="shared" si="270"/>
        <v/>
      </c>
      <c r="D3489" t="str">
        <f t="shared" si="271"/>
        <v/>
      </c>
      <c r="E3489" t="str">
        <f t="shared" si="272"/>
        <v/>
      </c>
      <c r="F3489" t="str">
        <f>IF(D3489="","",INDEX(Knutepunkter!$B:$B,D3489+1))</f>
        <v/>
      </c>
      <c r="G3489" t="str">
        <f>IF(D3489="","",INDEX(Knutepunkter!$C:$C,D3489+1))</f>
        <v/>
      </c>
      <c r="H3489" t="str">
        <f>IF(D3489="","",INDEX(Knutepunkter!$D:$D,D3489+1))</f>
        <v/>
      </c>
      <c r="I3489" t="str">
        <f>IF(E3489="","",INDEX(Knutepunkter!$B:$B,E3489+1))</f>
        <v/>
      </c>
      <c r="J3489" t="str">
        <f>IF(E3489="","",INDEX(Knutepunkter!$C:$C,E3489+1))</f>
        <v/>
      </c>
      <c r="K3489" t="str">
        <f>IF(E3489="","",INDEX(Knutepunkter!$D:$D,E3489+1))</f>
        <v/>
      </c>
      <c r="L3489" t="str">
        <f t="shared" si="273"/>
        <v/>
      </c>
      <c r="M3489" t="str">
        <f t="shared" si="274"/>
        <v/>
      </c>
    </row>
    <row r="3490" spans="1:13" x14ac:dyDescent="0.3">
      <c r="A3490" t="str">
        <f>Segmenter!A3490</f>
        <v/>
      </c>
      <c r="B3490" t="str">
        <f>Segmenter!B3490</f>
        <v/>
      </c>
      <c r="C3490" t="str">
        <f t="shared" si="270"/>
        <v/>
      </c>
      <c r="D3490" t="str">
        <f t="shared" si="271"/>
        <v/>
      </c>
      <c r="E3490" t="str">
        <f t="shared" si="272"/>
        <v/>
      </c>
      <c r="F3490" t="str">
        <f>IF(D3490="","",INDEX(Knutepunkter!$B:$B,D3490+1))</f>
        <v/>
      </c>
      <c r="G3490" t="str">
        <f>IF(D3490="","",INDEX(Knutepunkter!$C:$C,D3490+1))</f>
        <v/>
      </c>
      <c r="H3490" t="str">
        <f>IF(D3490="","",INDEX(Knutepunkter!$D:$D,D3490+1))</f>
        <v/>
      </c>
      <c r="I3490" t="str">
        <f>IF(E3490="","",INDEX(Knutepunkter!$B:$B,E3490+1))</f>
        <v/>
      </c>
      <c r="J3490" t="str">
        <f>IF(E3490="","",INDEX(Knutepunkter!$C:$C,E3490+1))</f>
        <v/>
      </c>
      <c r="K3490" t="str">
        <f>IF(E3490="","",INDEX(Knutepunkter!$D:$D,E3490+1))</f>
        <v/>
      </c>
      <c r="L3490" t="str">
        <f t="shared" si="273"/>
        <v/>
      </c>
      <c r="M3490" t="str">
        <f t="shared" si="274"/>
        <v/>
      </c>
    </row>
    <row r="3491" spans="1:13" x14ac:dyDescent="0.3">
      <c r="A3491" t="str">
        <f>Segmenter!A3491</f>
        <v/>
      </c>
      <c r="B3491" t="str">
        <f>Segmenter!B3491</f>
        <v/>
      </c>
      <c r="C3491" t="str">
        <f t="shared" si="270"/>
        <v/>
      </c>
      <c r="D3491" t="str">
        <f t="shared" si="271"/>
        <v/>
      </c>
      <c r="E3491" t="str">
        <f t="shared" si="272"/>
        <v/>
      </c>
      <c r="F3491" t="str">
        <f>IF(D3491="","",INDEX(Knutepunkter!$B:$B,D3491+1))</f>
        <v/>
      </c>
      <c r="G3491" t="str">
        <f>IF(D3491="","",INDEX(Knutepunkter!$C:$C,D3491+1))</f>
        <v/>
      </c>
      <c r="H3491" t="str">
        <f>IF(D3491="","",INDEX(Knutepunkter!$D:$D,D3491+1))</f>
        <v/>
      </c>
      <c r="I3491" t="str">
        <f>IF(E3491="","",INDEX(Knutepunkter!$B:$B,E3491+1))</f>
        <v/>
      </c>
      <c r="J3491" t="str">
        <f>IF(E3491="","",INDEX(Knutepunkter!$C:$C,E3491+1))</f>
        <v/>
      </c>
      <c r="K3491" t="str">
        <f>IF(E3491="","",INDEX(Knutepunkter!$D:$D,E3491+1))</f>
        <v/>
      </c>
      <c r="L3491" t="str">
        <f t="shared" si="273"/>
        <v/>
      </c>
      <c r="M3491" t="str">
        <f t="shared" si="274"/>
        <v/>
      </c>
    </row>
    <row r="3492" spans="1:13" x14ac:dyDescent="0.3">
      <c r="A3492" t="str">
        <f>Segmenter!A3492</f>
        <v/>
      </c>
      <c r="B3492" t="str">
        <f>Segmenter!B3492</f>
        <v/>
      </c>
      <c r="C3492" t="str">
        <f t="shared" si="270"/>
        <v/>
      </c>
      <c r="D3492" t="str">
        <f t="shared" si="271"/>
        <v/>
      </c>
      <c r="E3492" t="str">
        <f t="shared" si="272"/>
        <v/>
      </c>
      <c r="F3492" t="str">
        <f>IF(D3492="","",INDEX(Knutepunkter!$B:$B,D3492+1))</f>
        <v/>
      </c>
      <c r="G3492" t="str">
        <f>IF(D3492="","",INDEX(Knutepunkter!$C:$C,D3492+1))</f>
        <v/>
      </c>
      <c r="H3492" t="str">
        <f>IF(D3492="","",INDEX(Knutepunkter!$D:$D,D3492+1))</f>
        <v/>
      </c>
      <c r="I3492" t="str">
        <f>IF(E3492="","",INDEX(Knutepunkter!$B:$B,E3492+1))</f>
        <v/>
      </c>
      <c r="J3492" t="str">
        <f>IF(E3492="","",INDEX(Knutepunkter!$C:$C,E3492+1))</f>
        <v/>
      </c>
      <c r="K3492" t="str">
        <f>IF(E3492="","",INDEX(Knutepunkter!$D:$D,E3492+1))</f>
        <v/>
      </c>
      <c r="L3492" t="str">
        <f t="shared" si="273"/>
        <v/>
      </c>
      <c r="M3492" t="str">
        <f t="shared" si="274"/>
        <v/>
      </c>
    </row>
    <row r="3493" spans="1:13" x14ac:dyDescent="0.3">
      <c r="A3493" t="str">
        <f>Segmenter!A3493</f>
        <v/>
      </c>
      <c r="B3493" t="str">
        <f>Segmenter!B3493</f>
        <v/>
      </c>
      <c r="C3493" t="str">
        <f t="shared" si="270"/>
        <v/>
      </c>
      <c r="D3493" t="str">
        <f t="shared" si="271"/>
        <v/>
      </c>
      <c r="E3493" t="str">
        <f t="shared" si="272"/>
        <v/>
      </c>
      <c r="F3493" t="str">
        <f>IF(D3493="","",INDEX(Knutepunkter!$B:$B,D3493+1))</f>
        <v/>
      </c>
      <c r="G3493" t="str">
        <f>IF(D3493="","",INDEX(Knutepunkter!$C:$C,D3493+1))</f>
        <v/>
      </c>
      <c r="H3493" t="str">
        <f>IF(D3493="","",INDEX(Knutepunkter!$D:$D,D3493+1))</f>
        <v/>
      </c>
      <c r="I3493" t="str">
        <f>IF(E3493="","",INDEX(Knutepunkter!$B:$B,E3493+1))</f>
        <v/>
      </c>
      <c r="J3493" t="str">
        <f>IF(E3493="","",INDEX(Knutepunkter!$C:$C,E3493+1))</f>
        <v/>
      </c>
      <c r="K3493" t="str">
        <f>IF(E3493="","",INDEX(Knutepunkter!$D:$D,E3493+1))</f>
        <v/>
      </c>
      <c r="L3493" t="str">
        <f t="shared" si="273"/>
        <v/>
      </c>
      <c r="M3493" t="str">
        <f t="shared" si="274"/>
        <v/>
      </c>
    </row>
    <row r="3494" spans="1:13" x14ac:dyDescent="0.3">
      <c r="A3494" t="str">
        <f>Segmenter!A3494</f>
        <v/>
      </c>
      <c r="B3494" t="str">
        <f>Segmenter!B3494</f>
        <v/>
      </c>
      <c r="C3494" t="str">
        <f t="shared" si="270"/>
        <v/>
      </c>
      <c r="D3494" t="str">
        <f t="shared" si="271"/>
        <v/>
      </c>
      <c r="E3494" t="str">
        <f t="shared" si="272"/>
        <v/>
      </c>
      <c r="F3494" t="str">
        <f>IF(D3494="","",INDEX(Knutepunkter!$B:$B,D3494+1))</f>
        <v/>
      </c>
      <c r="G3494" t="str">
        <f>IF(D3494="","",INDEX(Knutepunkter!$C:$C,D3494+1))</f>
        <v/>
      </c>
      <c r="H3494" t="str">
        <f>IF(D3494="","",INDEX(Knutepunkter!$D:$D,D3494+1))</f>
        <v/>
      </c>
      <c r="I3494" t="str">
        <f>IF(E3494="","",INDEX(Knutepunkter!$B:$B,E3494+1))</f>
        <v/>
      </c>
      <c r="J3494" t="str">
        <f>IF(E3494="","",INDEX(Knutepunkter!$C:$C,E3494+1))</f>
        <v/>
      </c>
      <c r="K3494" t="str">
        <f>IF(E3494="","",INDEX(Knutepunkter!$D:$D,E3494+1))</f>
        <v/>
      </c>
      <c r="L3494" t="str">
        <f t="shared" si="273"/>
        <v/>
      </c>
      <c r="M3494" t="str">
        <f t="shared" si="274"/>
        <v/>
      </c>
    </row>
    <row r="3495" spans="1:13" x14ac:dyDescent="0.3">
      <c r="A3495" t="str">
        <f>Segmenter!A3495</f>
        <v/>
      </c>
      <c r="B3495" t="str">
        <f>Segmenter!B3495</f>
        <v/>
      </c>
      <c r="C3495" t="str">
        <f t="shared" si="270"/>
        <v/>
      </c>
      <c r="D3495" t="str">
        <f t="shared" si="271"/>
        <v/>
      </c>
      <c r="E3495" t="str">
        <f t="shared" si="272"/>
        <v/>
      </c>
      <c r="F3495" t="str">
        <f>IF(D3495="","",INDEX(Knutepunkter!$B:$B,D3495+1))</f>
        <v/>
      </c>
      <c r="G3495" t="str">
        <f>IF(D3495="","",INDEX(Knutepunkter!$C:$C,D3495+1))</f>
        <v/>
      </c>
      <c r="H3495" t="str">
        <f>IF(D3495="","",INDEX(Knutepunkter!$D:$D,D3495+1))</f>
        <v/>
      </c>
      <c r="I3495" t="str">
        <f>IF(E3495="","",INDEX(Knutepunkter!$B:$B,E3495+1))</f>
        <v/>
      </c>
      <c r="J3495" t="str">
        <f>IF(E3495="","",INDEX(Knutepunkter!$C:$C,E3495+1))</f>
        <v/>
      </c>
      <c r="K3495" t="str">
        <f>IF(E3495="","",INDEX(Knutepunkter!$D:$D,E3495+1))</f>
        <v/>
      </c>
      <c r="L3495" t="str">
        <f t="shared" si="273"/>
        <v/>
      </c>
      <c r="M3495" t="str">
        <f t="shared" si="274"/>
        <v/>
      </c>
    </row>
    <row r="3496" spans="1:13" x14ac:dyDescent="0.3">
      <c r="A3496" t="str">
        <f>Segmenter!A3496</f>
        <v/>
      </c>
      <c r="B3496" t="str">
        <f>Segmenter!B3496</f>
        <v/>
      </c>
      <c r="C3496" t="str">
        <f t="shared" si="270"/>
        <v/>
      </c>
      <c r="D3496" t="str">
        <f t="shared" si="271"/>
        <v/>
      </c>
      <c r="E3496" t="str">
        <f t="shared" si="272"/>
        <v/>
      </c>
      <c r="F3496" t="str">
        <f>IF(D3496="","",INDEX(Knutepunkter!$B:$B,D3496+1))</f>
        <v/>
      </c>
      <c r="G3496" t="str">
        <f>IF(D3496="","",INDEX(Knutepunkter!$C:$C,D3496+1))</f>
        <v/>
      </c>
      <c r="H3496" t="str">
        <f>IF(D3496="","",INDEX(Knutepunkter!$D:$D,D3496+1))</f>
        <v/>
      </c>
      <c r="I3496" t="str">
        <f>IF(E3496="","",INDEX(Knutepunkter!$B:$B,E3496+1))</f>
        <v/>
      </c>
      <c r="J3496" t="str">
        <f>IF(E3496="","",INDEX(Knutepunkter!$C:$C,E3496+1))</f>
        <v/>
      </c>
      <c r="K3496" t="str">
        <f>IF(E3496="","",INDEX(Knutepunkter!$D:$D,E3496+1))</f>
        <v/>
      </c>
      <c r="L3496" t="str">
        <f t="shared" si="273"/>
        <v/>
      </c>
      <c r="M3496" t="str">
        <f t="shared" si="274"/>
        <v/>
      </c>
    </row>
    <row r="3497" spans="1:13" x14ac:dyDescent="0.3">
      <c r="A3497" t="str">
        <f>Segmenter!A3497</f>
        <v/>
      </c>
      <c r="B3497" t="str">
        <f>Segmenter!B3497</f>
        <v/>
      </c>
      <c r="C3497" t="str">
        <f t="shared" si="270"/>
        <v/>
      </c>
      <c r="D3497" t="str">
        <f t="shared" si="271"/>
        <v/>
      </c>
      <c r="E3497" t="str">
        <f t="shared" si="272"/>
        <v/>
      </c>
      <c r="F3497" t="str">
        <f>IF(D3497="","",INDEX(Knutepunkter!$B:$B,D3497+1))</f>
        <v/>
      </c>
      <c r="G3497" t="str">
        <f>IF(D3497="","",INDEX(Knutepunkter!$C:$C,D3497+1))</f>
        <v/>
      </c>
      <c r="H3497" t="str">
        <f>IF(D3497="","",INDEX(Knutepunkter!$D:$D,D3497+1))</f>
        <v/>
      </c>
      <c r="I3497" t="str">
        <f>IF(E3497="","",INDEX(Knutepunkter!$B:$B,E3497+1))</f>
        <v/>
      </c>
      <c r="J3497" t="str">
        <f>IF(E3497="","",INDEX(Knutepunkter!$C:$C,E3497+1))</f>
        <v/>
      </c>
      <c r="K3497" t="str">
        <f>IF(E3497="","",INDEX(Knutepunkter!$D:$D,E3497+1))</f>
        <v/>
      </c>
      <c r="L3497" t="str">
        <f t="shared" si="273"/>
        <v/>
      </c>
      <c r="M3497" t="str">
        <f t="shared" si="274"/>
        <v/>
      </c>
    </row>
    <row r="3498" spans="1:13" x14ac:dyDescent="0.3">
      <c r="A3498" t="str">
        <f>Segmenter!A3498</f>
        <v/>
      </c>
      <c r="B3498" t="str">
        <f>Segmenter!B3498</f>
        <v/>
      </c>
      <c r="C3498" t="str">
        <f t="shared" si="270"/>
        <v/>
      </c>
      <c r="D3498" t="str">
        <f t="shared" si="271"/>
        <v/>
      </c>
      <c r="E3498" t="str">
        <f t="shared" si="272"/>
        <v/>
      </c>
      <c r="F3498" t="str">
        <f>IF(D3498="","",INDEX(Knutepunkter!$B:$B,D3498+1))</f>
        <v/>
      </c>
      <c r="G3498" t="str">
        <f>IF(D3498="","",INDEX(Knutepunkter!$C:$C,D3498+1))</f>
        <v/>
      </c>
      <c r="H3498" t="str">
        <f>IF(D3498="","",INDEX(Knutepunkter!$D:$D,D3498+1))</f>
        <v/>
      </c>
      <c r="I3498" t="str">
        <f>IF(E3498="","",INDEX(Knutepunkter!$B:$B,E3498+1))</f>
        <v/>
      </c>
      <c r="J3498" t="str">
        <f>IF(E3498="","",INDEX(Knutepunkter!$C:$C,E3498+1))</f>
        <v/>
      </c>
      <c r="K3498" t="str">
        <f>IF(E3498="","",INDEX(Knutepunkter!$D:$D,E3498+1))</f>
        <v/>
      </c>
      <c r="L3498" t="str">
        <f t="shared" si="273"/>
        <v/>
      </c>
      <c r="M3498" t="str">
        <f t="shared" si="274"/>
        <v/>
      </c>
    </row>
    <row r="3499" spans="1:13" x14ac:dyDescent="0.3">
      <c r="A3499" t="str">
        <f>Segmenter!A3499</f>
        <v/>
      </c>
      <c r="B3499" t="str">
        <f>Segmenter!B3499</f>
        <v/>
      </c>
      <c r="C3499" t="str">
        <f t="shared" si="270"/>
        <v/>
      </c>
      <c r="D3499" t="str">
        <f t="shared" si="271"/>
        <v/>
      </c>
      <c r="E3499" t="str">
        <f t="shared" si="272"/>
        <v/>
      </c>
      <c r="F3499" t="str">
        <f>IF(D3499="","",INDEX(Knutepunkter!$B:$B,D3499+1))</f>
        <v/>
      </c>
      <c r="G3499" t="str">
        <f>IF(D3499="","",INDEX(Knutepunkter!$C:$C,D3499+1))</f>
        <v/>
      </c>
      <c r="H3499" t="str">
        <f>IF(D3499="","",INDEX(Knutepunkter!$D:$D,D3499+1))</f>
        <v/>
      </c>
      <c r="I3499" t="str">
        <f>IF(E3499="","",INDEX(Knutepunkter!$B:$B,E3499+1))</f>
        <v/>
      </c>
      <c r="J3499" t="str">
        <f>IF(E3499="","",INDEX(Knutepunkter!$C:$C,E3499+1))</f>
        <v/>
      </c>
      <c r="K3499" t="str">
        <f>IF(E3499="","",INDEX(Knutepunkter!$D:$D,E3499+1))</f>
        <v/>
      </c>
      <c r="L3499" t="str">
        <f t="shared" si="273"/>
        <v/>
      </c>
      <c r="M3499" t="str">
        <f t="shared" si="274"/>
        <v/>
      </c>
    </row>
    <row r="3500" spans="1:13" x14ac:dyDescent="0.3">
      <c r="A3500" t="str">
        <f>Segmenter!A3500</f>
        <v/>
      </c>
      <c r="B3500" t="str">
        <f>Segmenter!B3500</f>
        <v/>
      </c>
      <c r="C3500" t="str">
        <f t="shared" si="270"/>
        <v/>
      </c>
      <c r="D3500" t="str">
        <f t="shared" si="271"/>
        <v/>
      </c>
      <c r="E3500" t="str">
        <f t="shared" si="272"/>
        <v/>
      </c>
      <c r="F3500" t="str">
        <f>IF(D3500="","",INDEX(Knutepunkter!$B:$B,D3500+1))</f>
        <v/>
      </c>
      <c r="G3500" t="str">
        <f>IF(D3500="","",INDEX(Knutepunkter!$C:$C,D3500+1))</f>
        <v/>
      </c>
      <c r="H3500" t="str">
        <f>IF(D3500="","",INDEX(Knutepunkter!$D:$D,D3500+1))</f>
        <v/>
      </c>
      <c r="I3500" t="str">
        <f>IF(E3500="","",INDEX(Knutepunkter!$B:$B,E3500+1))</f>
        <v/>
      </c>
      <c r="J3500" t="str">
        <f>IF(E3500="","",INDEX(Knutepunkter!$C:$C,E3500+1))</f>
        <v/>
      </c>
      <c r="K3500" t="str">
        <f>IF(E3500="","",INDEX(Knutepunkter!$D:$D,E3500+1))</f>
        <v/>
      </c>
      <c r="L3500" t="str">
        <f t="shared" si="273"/>
        <v/>
      </c>
      <c r="M3500" t="str">
        <f t="shared" si="274"/>
        <v/>
      </c>
    </row>
    <row r="3501" spans="1:13" x14ac:dyDescent="0.3">
      <c r="A3501" t="str">
        <f>Segmenter!A3501</f>
        <v/>
      </c>
      <c r="B3501" t="str">
        <f>Segmenter!B3501</f>
        <v/>
      </c>
      <c r="C3501" t="str">
        <f t="shared" si="270"/>
        <v/>
      </c>
      <c r="D3501" t="str">
        <f t="shared" si="271"/>
        <v/>
      </c>
      <c r="E3501" t="str">
        <f t="shared" si="272"/>
        <v/>
      </c>
      <c r="F3501" t="str">
        <f>IF(D3501="","",INDEX(Knutepunkter!$B:$B,D3501+1))</f>
        <v/>
      </c>
      <c r="G3501" t="str">
        <f>IF(D3501="","",INDEX(Knutepunkter!$C:$C,D3501+1))</f>
        <v/>
      </c>
      <c r="H3501" t="str">
        <f>IF(D3501="","",INDEX(Knutepunkter!$D:$D,D3501+1))</f>
        <v/>
      </c>
      <c r="I3501" t="str">
        <f>IF(E3501="","",INDEX(Knutepunkter!$B:$B,E3501+1))</f>
        <v/>
      </c>
      <c r="J3501" t="str">
        <f>IF(E3501="","",INDEX(Knutepunkter!$C:$C,E3501+1))</f>
        <v/>
      </c>
      <c r="K3501" t="str">
        <f>IF(E3501="","",INDEX(Knutepunkter!$D:$D,E3501+1))</f>
        <v/>
      </c>
      <c r="L3501" t="str">
        <f t="shared" si="273"/>
        <v/>
      </c>
      <c r="M3501" t="str">
        <f t="shared" si="274"/>
        <v/>
      </c>
    </row>
    <row r="3502" spans="1:13" x14ac:dyDescent="0.3">
      <c r="A3502" t="str">
        <f>Segmenter!A3502</f>
        <v/>
      </c>
      <c r="B3502" t="str">
        <f>Segmenter!B3502</f>
        <v/>
      </c>
      <c r="C3502" t="str">
        <f t="shared" si="270"/>
        <v/>
      </c>
      <c r="D3502" t="str">
        <f t="shared" si="271"/>
        <v/>
      </c>
      <c r="E3502" t="str">
        <f t="shared" si="272"/>
        <v/>
      </c>
      <c r="F3502" t="str">
        <f>IF(D3502="","",INDEX(Knutepunkter!$B:$B,D3502+1))</f>
        <v/>
      </c>
      <c r="G3502" t="str">
        <f>IF(D3502="","",INDEX(Knutepunkter!$C:$C,D3502+1))</f>
        <v/>
      </c>
      <c r="H3502" t="str">
        <f>IF(D3502="","",INDEX(Knutepunkter!$D:$D,D3502+1))</f>
        <v/>
      </c>
      <c r="I3502" t="str">
        <f>IF(E3502="","",INDEX(Knutepunkter!$B:$B,E3502+1))</f>
        <v/>
      </c>
      <c r="J3502" t="str">
        <f>IF(E3502="","",INDEX(Knutepunkter!$C:$C,E3502+1))</f>
        <v/>
      </c>
      <c r="K3502" t="str">
        <f>IF(E3502="","",INDEX(Knutepunkter!$D:$D,E3502+1))</f>
        <v/>
      </c>
      <c r="L3502" t="str">
        <f t="shared" si="273"/>
        <v/>
      </c>
      <c r="M3502" t="str">
        <f t="shared" si="274"/>
        <v/>
      </c>
    </row>
    <row r="3503" spans="1:13" x14ac:dyDescent="0.3">
      <c r="A3503" t="str">
        <f>Segmenter!A3503</f>
        <v/>
      </c>
      <c r="B3503" t="str">
        <f>Segmenter!B3503</f>
        <v/>
      </c>
      <c r="C3503" t="str">
        <f t="shared" si="270"/>
        <v/>
      </c>
      <c r="D3503" t="str">
        <f t="shared" si="271"/>
        <v/>
      </c>
      <c r="E3503" t="str">
        <f t="shared" si="272"/>
        <v/>
      </c>
      <c r="F3503" t="str">
        <f>IF(D3503="","",INDEX(Knutepunkter!$B:$B,D3503+1))</f>
        <v/>
      </c>
      <c r="G3503" t="str">
        <f>IF(D3503="","",INDEX(Knutepunkter!$C:$C,D3503+1))</f>
        <v/>
      </c>
      <c r="H3503" t="str">
        <f>IF(D3503="","",INDEX(Knutepunkter!$D:$D,D3503+1))</f>
        <v/>
      </c>
      <c r="I3503" t="str">
        <f>IF(E3503="","",INDEX(Knutepunkter!$B:$B,E3503+1))</f>
        <v/>
      </c>
      <c r="J3503" t="str">
        <f>IF(E3503="","",INDEX(Knutepunkter!$C:$C,E3503+1))</f>
        <v/>
      </c>
      <c r="K3503" t="str">
        <f>IF(E3503="","",INDEX(Knutepunkter!$D:$D,E3503+1))</f>
        <v/>
      </c>
      <c r="L3503" t="str">
        <f t="shared" si="273"/>
        <v/>
      </c>
      <c r="M3503" t="str">
        <f t="shared" si="274"/>
        <v/>
      </c>
    </row>
    <row r="3504" spans="1:13" x14ac:dyDescent="0.3">
      <c r="A3504" t="str">
        <f>Segmenter!A3504</f>
        <v/>
      </c>
      <c r="B3504" t="str">
        <f>Segmenter!B3504</f>
        <v/>
      </c>
      <c r="C3504" t="str">
        <f t="shared" si="270"/>
        <v/>
      </c>
      <c r="D3504" t="str">
        <f t="shared" si="271"/>
        <v/>
      </c>
      <c r="E3504" t="str">
        <f t="shared" si="272"/>
        <v/>
      </c>
      <c r="F3504" t="str">
        <f>IF(D3504="","",INDEX(Knutepunkter!$B:$B,D3504+1))</f>
        <v/>
      </c>
      <c r="G3504" t="str">
        <f>IF(D3504="","",INDEX(Knutepunkter!$C:$C,D3504+1))</f>
        <v/>
      </c>
      <c r="H3504" t="str">
        <f>IF(D3504="","",INDEX(Knutepunkter!$D:$D,D3504+1))</f>
        <v/>
      </c>
      <c r="I3504" t="str">
        <f>IF(E3504="","",INDEX(Knutepunkter!$B:$B,E3504+1))</f>
        <v/>
      </c>
      <c r="J3504" t="str">
        <f>IF(E3504="","",INDEX(Knutepunkter!$C:$C,E3504+1))</f>
        <v/>
      </c>
      <c r="K3504" t="str">
        <f>IF(E3504="","",INDEX(Knutepunkter!$D:$D,E3504+1))</f>
        <v/>
      </c>
      <c r="L3504" t="str">
        <f t="shared" si="273"/>
        <v/>
      </c>
      <c r="M3504" t="str">
        <f t="shared" si="274"/>
        <v/>
      </c>
    </row>
    <row r="3505" spans="1:13" x14ac:dyDescent="0.3">
      <c r="A3505" t="str">
        <f>Segmenter!A3505</f>
        <v/>
      </c>
      <c r="B3505" t="str">
        <f>Segmenter!B3505</f>
        <v/>
      </c>
      <c r="C3505" t="str">
        <f t="shared" si="270"/>
        <v/>
      </c>
      <c r="D3505" t="str">
        <f t="shared" si="271"/>
        <v/>
      </c>
      <c r="E3505" t="str">
        <f t="shared" si="272"/>
        <v/>
      </c>
      <c r="F3505" t="str">
        <f>IF(D3505="","",INDEX(Knutepunkter!$B:$B,D3505+1))</f>
        <v/>
      </c>
      <c r="G3505" t="str">
        <f>IF(D3505="","",INDEX(Knutepunkter!$C:$C,D3505+1))</f>
        <v/>
      </c>
      <c r="H3505" t="str">
        <f>IF(D3505="","",INDEX(Knutepunkter!$D:$D,D3505+1))</f>
        <v/>
      </c>
      <c r="I3505" t="str">
        <f>IF(E3505="","",INDEX(Knutepunkter!$B:$B,E3505+1))</f>
        <v/>
      </c>
      <c r="J3505" t="str">
        <f>IF(E3505="","",INDEX(Knutepunkter!$C:$C,E3505+1))</f>
        <v/>
      </c>
      <c r="K3505" t="str">
        <f>IF(E3505="","",INDEX(Knutepunkter!$D:$D,E3505+1))</f>
        <v/>
      </c>
      <c r="L3505" t="str">
        <f t="shared" si="273"/>
        <v/>
      </c>
      <c r="M3505" t="str">
        <f t="shared" si="274"/>
        <v/>
      </c>
    </row>
    <row r="3506" spans="1:13" x14ac:dyDescent="0.3">
      <c r="A3506" t="str">
        <f>Segmenter!A3506</f>
        <v/>
      </c>
      <c r="B3506" t="str">
        <f>Segmenter!B3506</f>
        <v/>
      </c>
      <c r="C3506" t="str">
        <f t="shared" si="270"/>
        <v/>
      </c>
      <c r="D3506" t="str">
        <f t="shared" si="271"/>
        <v/>
      </c>
      <c r="E3506" t="str">
        <f t="shared" si="272"/>
        <v/>
      </c>
      <c r="F3506" t="str">
        <f>IF(D3506="","",INDEX(Knutepunkter!$B:$B,D3506+1))</f>
        <v/>
      </c>
      <c r="G3506" t="str">
        <f>IF(D3506="","",INDEX(Knutepunkter!$C:$C,D3506+1))</f>
        <v/>
      </c>
      <c r="H3506" t="str">
        <f>IF(D3506="","",INDEX(Knutepunkter!$D:$D,D3506+1))</f>
        <v/>
      </c>
      <c r="I3506" t="str">
        <f>IF(E3506="","",INDEX(Knutepunkter!$B:$B,E3506+1))</f>
        <v/>
      </c>
      <c r="J3506" t="str">
        <f>IF(E3506="","",INDEX(Knutepunkter!$C:$C,E3506+1))</f>
        <v/>
      </c>
      <c r="K3506" t="str">
        <f>IF(E3506="","",INDEX(Knutepunkter!$D:$D,E3506+1))</f>
        <v/>
      </c>
      <c r="L3506" t="str">
        <f t="shared" si="273"/>
        <v/>
      </c>
      <c r="M3506" t="str">
        <f t="shared" si="274"/>
        <v/>
      </c>
    </row>
    <row r="3507" spans="1:13" x14ac:dyDescent="0.3">
      <c r="A3507" t="str">
        <f>Segmenter!A3507</f>
        <v/>
      </c>
      <c r="B3507" t="str">
        <f>Segmenter!B3507</f>
        <v/>
      </c>
      <c r="C3507" t="str">
        <f t="shared" si="270"/>
        <v/>
      </c>
      <c r="D3507" t="str">
        <f t="shared" si="271"/>
        <v/>
      </c>
      <c r="E3507" t="str">
        <f t="shared" si="272"/>
        <v/>
      </c>
      <c r="F3507" t="str">
        <f>IF(D3507="","",INDEX(Knutepunkter!$B:$B,D3507+1))</f>
        <v/>
      </c>
      <c r="G3507" t="str">
        <f>IF(D3507="","",INDEX(Knutepunkter!$C:$C,D3507+1))</f>
        <v/>
      </c>
      <c r="H3507" t="str">
        <f>IF(D3507="","",INDEX(Knutepunkter!$D:$D,D3507+1))</f>
        <v/>
      </c>
      <c r="I3507" t="str">
        <f>IF(E3507="","",INDEX(Knutepunkter!$B:$B,E3507+1))</f>
        <v/>
      </c>
      <c r="J3507" t="str">
        <f>IF(E3507="","",INDEX(Knutepunkter!$C:$C,E3507+1))</f>
        <v/>
      </c>
      <c r="K3507" t="str">
        <f>IF(E3507="","",INDEX(Knutepunkter!$D:$D,E3507+1))</f>
        <v/>
      </c>
      <c r="L3507" t="str">
        <f t="shared" si="273"/>
        <v/>
      </c>
      <c r="M3507" t="str">
        <f t="shared" si="274"/>
        <v/>
      </c>
    </row>
    <row r="3508" spans="1:13" x14ac:dyDescent="0.3">
      <c r="A3508" t="str">
        <f>Segmenter!A3508</f>
        <v/>
      </c>
      <c r="B3508" t="str">
        <f>Segmenter!B3508</f>
        <v/>
      </c>
      <c r="C3508" t="str">
        <f t="shared" si="270"/>
        <v/>
      </c>
      <c r="D3508" t="str">
        <f t="shared" si="271"/>
        <v/>
      </c>
      <c r="E3508" t="str">
        <f t="shared" si="272"/>
        <v/>
      </c>
      <c r="F3508" t="str">
        <f>IF(D3508="","",INDEX(Knutepunkter!$B:$B,D3508+1))</f>
        <v/>
      </c>
      <c r="G3508" t="str">
        <f>IF(D3508="","",INDEX(Knutepunkter!$C:$C,D3508+1))</f>
        <v/>
      </c>
      <c r="H3508" t="str">
        <f>IF(D3508="","",INDEX(Knutepunkter!$D:$D,D3508+1))</f>
        <v/>
      </c>
      <c r="I3508" t="str">
        <f>IF(E3508="","",INDEX(Knutepunkter!$B:$B,E3508+1))</f>
        <v/>
      </c>
      <c r="J3508" t="str">
        <f>IF(E3508="","",INDEX(Knutepunkter!$C:$C,E3508+1))</f>
        <v/>
      </c>
      <c r="K3508" t="str">
        <f>IF(E3508="","",INDEX(Knutepunkter!$D:$D,E3508+1))</f>
        <v/>
      </c>
      <c r="L3508" t="str">
        <f t="shared" si="273"/>
        <v/>
      </c>
      <c r="M3508" t="str">
        <f t="shared" si="274"/>
        <v/>
      </c>
    </row>
    <row r="3509" spans="1:13" x14ac:dyDescent="0.3">
      <c r="A3509" t="str">
        <f>Segmenter!A3509</f>
        <v/>
      </c>
      <c r="B3509" t="str">
        <f>Segmenter!B3509</f>
        <v/>
      </c>
      <c r="C3509" t="str">
        <f t="shared" si="270"/>
        <v/>
      </c>
      <c r="D3509" t="str">
        <f t="shared" si="271"/>
        <v/>
      </c>
      <c r="E3509" t="str">
        <f t="shared" si="272"/>
        <v/>
      </c>
      <c r="F3509" t="str">
        <f>IF(D3509="","",INDEX(Knutepunkter!$B:$B,D3509+1))</f>
        <v/>
      </c>
      <c r="G3509" t="str">
        <f>IF(D3509="","",INDEX(Knutepunkter!$C:$C,D3509+1))</f>
        <v/>
      </c>
      <c r="H3509" t="str">
        <f>IF(D3509="","",INDEX(Knutepunkter!$D:$D,D3509+1))</f>
        <v/>
      </c>
      <c r="I3509" t="str">
        <f>IF(E3509="","",INDEX(Knutepunkter!$B:$B,E3509+1))</f>
        <v/>
      </c>
      <c r="J3509" t="str">
        <f>IF(E3509="","",INDEX(Knutepunkter!$C:$C,E3509+1))</f>
        <v/>
      </c>
      <c r="K3509" t="str">
        <f>IF(E3509="","",INDEX(Knutepunkter!$D:$D,E3509+1))</f>
        <v/>
      </c>
      <c r="L3509" t="str">
        <f t="shared" si="273"/>
        <v/>
      </c>
      <c r="M3509" t="str">
        <f t="shared" si="274"/>
        <v/>
      </c>
    </row>
    <row r="3510" spans="1:13" x14ac:dyDescent="0.3">
      <c r="A3510" t="str">
        <f>Segmenter!A3510</f>
        <v/>
      </c>
      <c r="B3510" t="str">
        <f>Segmenter!B3510</f>
        <v/>
      </c>
      <c r="C3510" t="str">
        <f t="shared" si="270"/>
        <v/>
      </c>
      <c r="D3510" t="str">
        <f t="shared" si="271"/>
        <v/>
      </c>
      <c r="E3510" t="str">
        <f t="shared" si="272"/>
        <v/>
      </c>
      <c r="F3510" t="str">
        <f>IF(D3510="","",INDEX(Knutepunkter!$B:$B,D3510+1))</f>
        <v/>
      </c>
      <c r="G3510" t="str">
        <f>IF(D3510="","",INDEX(Knutepunkter!$C:$C,D3510+1))</f>
        <v/>
      </c>
      <c r="H3510" t="str">
        <f>IF(D3510="","",INDEX(Knutepunkter!$D:$D,D3510+1))</f>
        <v/>
      </c>
      <c r="I3510" t="str">
        <f>IF(E3510="","",INDEX(Knutepunkter!$B:$B,E3510+1))</f>
        <v/>
      </c>
      <c r="J3510" t="str">
        <f>IF(E3510="","",INDEX(Knutepunkter!$C:$C,E3510+1))</f>
        <v/>
      </c>
      <c r="K3510" t="str">
        <f>IF(E3510="","",INDEX(Knutepunkter!$D:$D,E3510+1))</f>
        <v/>
      </c>
      <c r="L3510" t="str">
        <f t="shared" si="273"/>
        <v/>
      </c>
      <c r="M3510" t="str">
        <f t="shared" si="274"/>
        <v/>
      </c>
    </row>
    <row r="3511" spans="1:13" x14ac:dyDescent="0.3">
      <c r="A3511" t="str">
        <f>Segmenter!A3511</f>
        <v/>
      </c>
      <c r="B3511" t="str">
        <f>Segmenter!B3511</f>
        <v/>
      </c>
      <c r="C3511" t="str">
        <f t="shared" si="270"/>
        <v/>
      </c>
      <c r="D3511" t="str">
        <f t="shared" si="271"/>
        <v/>
      </c>
      <c r="E3511" t="str">
        <f t="shared" si="272"/>
        <v/>
      </c>
      <c r="F3511" t="str">
        <f>IF(D3511="","",INDEX(Knutepunkter!$B:$B,D3511+1))</f>
        <v/>
      </c>
      <c r="G3511" t="str">
        <f>IF(D3511="","",INDEX(Knutepunkter!$C:$C,D3511+1))</f>
        <v/>
      </c>
      <c r="H3511" t="str">
        <f>IF(D3511="","",INDEX(Knutepunkter!$D:$D,D3511+1))</f>
        <v/>
      </c>
      <c r="I3511" t="str">
        <f>IF(E3511="","",INDEX(Knutepunkter!$B:$B,E3511+1))</f>
        <v/>
      </c>
      <c r="J3511" t="str">
        <f>IF(E3511="","",INDEX(Knutepunkter!$C:$C,E3511+1))</f>
        <v/>
      </c>
      <c r="K3511" t="str">
        <f>IF(E3511="","",INDEX(Knutepunkter!$D:$D,E3511+1))</f>
        <v/>
      </c>
      <c r="L3511" t="str">
        <f t="shared" si="273"/>
        <v/>
      </c>
      <c r="M3511" t="str">
        <f t="shared" si="274"/>
        <v/>
      </c>
    </row>
    <row r="3512" spans="1:13" x14ac:dyDescent="0.3">
      <c r="A3512" t="str">
        <f>Segmenter!A3512</f>
        <v/>
      </c>
      <c r="B3512" t="str">
        <f>Segmenter!B3512</f>
        <v/>
      </c>
      <c r="C3512" t="str">
        <f t="shared" si="270"/>
        <v/>
      </c>
      <c r="D3512" t="str">
        <f t="shared" si="271"/>
        <v/>
      </c>
      <c r="E3512" t="str">
        <f t="shared" si="272"/>
        <v/>
      </c>
      <c r="F3512" t="str">
        <f>IF(D3512="","",INDEX(Knutepunkter!$B:$B,D3512+1))</f>
        <v/>
      </c>
      <c r="G3512" t="str">
        <f>IF(D3512="","",INDEX(Knutepunkter!$C:$C,D3512+1))</f>
        <v/>
      </c>
      <c r="H3512" t="str">
        <f>IF(D3512="","",INDEX(Knutepunkter!$D:$D,D3512+1))</f>
        <v/>
      </c>
      <c r="I3512" t="str">
        <f>IF(E3512="","",INDEX(Knutepunkter!$B:$B,E3512+1))</f>
        <v/>
      </c>
      <c r="J3512" t="str">
        <f>IF(E3512="","",INDEX(Knutepunkter!$C:$C,E3512+1))</f>
        <v/>
      </c>
      <c r="K3512" t="str">
        <f>IF(E3512="","",INDEX(Knutepunkter!$D:$D,E3512+1))</f>
        <v/>
      </c>
      <c r="L3512" t="str">
        <f t="shared" si="273"/>
        <v/>
      </c>
      <c r="M3512" t="str">
        <f t="shared" si="274"/>
        <v/>
      </c>
    </row>
    <row r="3513" spans="1:13" x14ac:dyDescent="0.3">
      <c r="A3513" t="str">
        <f>Segmenter!A3513</f>
        <v/>
      </c>
      <c r="B3513" t="str">
        <f>Segmenter!B3513</f>
        <v/>
      </c>
      <c r="C3513" t="str">
        <f t="shared" si="270"/>
        <v/>
      </c>
      <c r="D3513" t="str">
        <f t="shared" si="271"/>
        <v/>
      </c>
      <c r="E3513" t="str">
        <f t="shared" si="272"/>
        <v/>
      </c>
      <c r="F3513" t="str">
        <f>IF(D3513="","",INDEX(Knutepunkter!$B:$B,D3513+1))</f>
        <v/>
      </c>
      <c r="G3513" t="str">
        <f>IF(D3513="","",INDEX(Knutepunkter!$C:$C,D3513+1))</f>
        <v/>
      </c>
      <c r="H3513" t="str">
        <f>IF(D3513="","",INDEX(Knutepunkter!$D:$D,D3513+1))</f>
        <v/>
      </c>
      <c r="I3513" t="str">
        <f>IF(E3513="","",INDEX(Knutepunkter!$B:$B,E3513+1))</f>
        <v/>
      </c>
      <c r="J3513" t="str">
        <f>IF(E3513="","",INDEX(Knutepunkter!$C:$C,E3513+1))</f>
        <v/>
      </c>
      <c r="K3513" t="str">
        <f>IF(E3513="","",INDEX(Knutepunkter!$D:$D,E3513+1))</f>
        <v/>
      </c>
      <c r="L3513" t="str">
        <f t="shared" si="273"/>
        <v/>
      </c>
      <c r="M3513" t="str">
        <f t="shared" si="274"/>
        <v/>
      </c>
    </row>
    <row r="3514" spans="1:13" x14ac:dyDescent="0.3">
      <c r="A3514" t="str">
        <f>Segmenter!A3514</f>
        <v/>
      </c>
      <c r="B3514" t="str">
        <f>Segmenter!B3514</f>
        <v/>
      </c>
      <c r="C3514" t="str">
        <f t="shared" si="270"/>
        <v/>
      </c>
      <c r="D3514" t="str">
        <f t="shared" si="271"/>
        <v/>
      </c>
      <c r="E3514" t="str">
        <f t="shared" si="272"/>
        <v/>
      </c>
      <c r="F3514" t="str">
        <f>IF(D3514="","",INDEX(Knutepunkter!$B:$B,D3514+1))</f>
        <v/>
      </c>
      <c r="G3514" t="str">
        <f>IF(D3514="","",INDEX(Knutepunkter!$C:$C,D3514+1))</f>
        <v/>
      </c>
      <c r="H3514" t="str">
        <f>IF(D3514="","",INDEX(Knutepunkter!$D:$D,D3514+1))</f>
        <v/>
      </c>
      <c r="I3514" t="str">
        <f>IF(E3514="","",INDEX(Knutepunkter!$B:$B,E3514+1))</f>
        <v/>
      </c>
      <c r="J3514" t="str">
        <f>IF(E3514="","",INDEX(Knutepunkter!$C:$C,E3514+1))</f>
        <v/>
      </c>
      <c r="K3514" t="str">
        <f>IF(E3514="","",INDEX(Knutepunkter!$D:$D,E3514+1))</f>
        <v/>
      </c>
      <c r="L3514" t="str">
        <f t="shared" si="273"/>
        <v/>
      </c>
      <c r="M3514" t="str">
        <f t="shared" si="274"/>
        <v/>
      </c>
    </row>
    <row r="3515" spans="1:13" x14ac:dyDescent="0.3">
      <c r="A3515" t="str">
        <f>Segmenter!A3515</f>
        <v/>
      </c>
      <c r="B3515" t="str">
        <f>Segmenter!B3515</f>
        <v/>
      </c>
      <c r="C3515" t="str">
        <f t="shared" si="270"/>
        <v/>
      </c>
      <c r="D3515" t="str">
        <f t="shared" si="271"/>
        <v/>
      </c>
      <c r="E3515" t="str">
        <f t="shared" si="272"/>
        <v/>
      </c>
      <c r="F3515" t="str">
        <f>IF(D3515="","",INDEX(Knutepunkter!$B:$B,D3515+1))</f>
        <v/>
      </c>
      <c r="G3515" t="str">
        <f>IF(D3515="","",INDEX(Knutepunkter!$C:$C,D3515+1))</f>
        <v/>
      </c>
      <c r="H3515" t="str">
        <f>IF(D3515="","",INDEX(Knutepunkter!$D:$D,D3515+1))</f>
        <v/>
      </c>
      <c r="I3515" t="str">
        <f>IF(E3515="","",INDEX(Knutepunkter!$B:$B,E3515+1))</f>
        <v/>
      </c>
      <c r="J3515" t="str">
        <f>IF(E3515="","",INDEX(Knutepunkter!$C:$C,E3515+1))</f>
        <v/>
      </c>
      <c r="K3515" t="str">
        <f>IF(E3515="","",INDEX(Knutepunkter!$D:$D,E3515+1))</f>
        <v/>
      </c>
      <c r="L3515" t="str">
        <f t="shared" si="273"/>
        <v/>
      </c>
      <c r="M3515" t="str">
        <f t="shared" si="274"/>
        <v/>
      </c>
    </row>
    <row r="3516" spans="1:13" x14ac:dyDescent="0.3">
      <c r="A3516" t="str">
        <f>Segmenter!A3516</f>
        <v/>
      </c>
      <c r="B3516" t="str">
        <f>Segmenter!B3516</f>
        <v/>
      </c>
      <c r="C3516" t="str">
        <f t="shared" si="270"/>
        <v/>
      </c>
      <c r="D3516" t="str">
        <f t="shared" si="271"/>
        <v/>
      </c>
      <c r="E3516" t="str">
        <f t="shared" si="272"/>
        <v/>
      </c>
      <c r="F3516" t="str">
        <f>IF(D3516="","",INDEX(Knutepunkter!$B:$B,D3516+1))</f>
        <v/>
      </c>
      <c r="G3516" t="str">
        <f>IF(D3516="","",INDEX(Knutepunkter!$C:$C,D3516+1))</f>
        <v/>
      </c>
      <c r="H3516" t="str">
        <f>IF(D3516="","",INDEX(Knutepunkter!$D:$D,D3516+1))</f>
        <v/>
      </c>
      <c r="I3516" t="str">
        <f>IF(E3516="","",INDEX(Knutepunkter!$B:$B,E3516+1))</f>
        <v/>
      </c>
      <c r="J3516" t="str">
        <f>IF(E3516="","",INDEX(Knutepunkter!$C:$C,E3516+1))</f>
        <v/>
      </c>
      <c r="K3516" t="str">
        <f>IF(E3516="","",INDEX(Knutepunkter!$D:$D,E3516+1))</f>
        <v/>
      </c>
      <c r="L3516" t="str">
        <f t="shared" si="273"/>
        <v/>
      </c>
      <c r="M3516" t="str">
        <f t="shared" si="274"/>
        <v/>
      </c>
    </row>
    <row r="3517" spans="1:13" x14ac:dyDescent="0.3">
      <c r="A3517" t="str">
        <f>Segmenter!A3517</f>
        <v/>
      </c>
      <c r="B3517" t="str">
        <f>Segmenter!B3517</f>
        <v/>
      </c>
      <c r="C3517" t="str">
        <f t="shared" si="270"/>
        <v/>
      </c>
      <c r="D3517" t="str">
        <f t="shared" si="271"/>
        <v/>
      </c>
      <c r="E3517" t="str">
        <f t="shared" si="272"/>
        <v/>
      </c>
      <c r="F3517" t="str">
        <f>IF(D3517="","",INDEX(Knutepunkter!$B:$B,D3517+1))</f>
        <v/>
      </c>
      <c r="G3517" t="str">
        <f>IF(D3517="","",INDEX(Knutepunkter!$C:$C,D3517+1))</f>
        <v/>
      </c>
      <c r="H3517" t="str">
        <f>IF(D3517="","",INDEX(Knutepunkter!$D:$D,D3517+1))</f>
        <v/>
      </c>
      <c r="I3517" t="str">
        <f>IF(E3517="","",INDEX(Knutepunkter!$B:$B,E3517+1))</f>
        <v/>
      </c>
      <c r="J3517" t="str">
        <f>IF(E3517="","",INDEX(Knutepunkter!$C:$C,E3517+1))</f>
        <v/>
      </c>
      <c r="K3517" t="str">
        <f>IF(E3517="","",INDEX(Knutepunkter!$D:$D,E3517+1))</f>
        <v/>
      </c>
      <c r="L3517" t="str">
        <f t="shared" si="273"/>
        <v/>
      </c>
      <c r="M3517" t="str">
        <f t="shared" si="274"/>
        <v/>
      </c>
    </row>
    <row r="3518" spans="1:13" x14ac:dyDescent="0.3">
      <c r="A3518" t="str">
        <f>Segmenter!A3518</f>
        <v/>
      </c>
      <c r="B3518" t="str">
        <f>Segmenter!B3518</f>
        <v/>
      </c>
      <c r="C3518" t="str">
        <f t="shared" si="270"/>
        <v/>
      </c>
      <c r="D3518" t="str">
        <f t="shared" si="271"/>
        <v/>
      </c>
      <c r="E3518" t="str">
        <f t="shared" si="272"/>
        <v/>
      </c>
      <c r="F3518" t="str">
        <f>IF(D3518="","",INDEX(Knutepunkter!$B:$B,D3518+1))</f>
        <v/>
      </c>
      <c r="G3518" t="str">
        <f>IF(D3518="","",INDEX(Knutepunkter!$C:$C,D3518+1))</f>
        <v/>
      </c>
      <c r="H3518" t="str">
        <f>IF(D3518="","",INDEX(Knutepunkter!$D:$D,D3518+1))</f>
        <v/>
      </c>
      <c r="I3518" t="str">
        <f>IF(E3518="","",INDEX(Knutepunkter!$B:$B,E3518+1))</f>
        <v/>
      </c>
      <c r="J3518" t="str">
        <f>IF(E3518="","",INDEX(Knutepunkter!$C:$C,E3518+1))</f>
        <v/>
      </c>
      <c r="K3518" t="str">
        <f>IF(E3518="","",INDEX(Knutepunkter!$D:$D,E3518+1))</f>
        <v/>
      </c>
      <c r="L3518" t="str">
        <f t="shared" si="273"/>
        <v/>
      </c>
      <c r="M3518" t="str">
        <f t="shared" si="274"/>
        <v/>
      </c>
    </row>
    <row r="3519" spans="1:13" x14ac:dyDescent="0.3">
      <c r="A3519" t="str">
        <f>Segmenter!A3519</f>
        <v/>
      </c>
      <c r="B3519" t="str">
        <f>Segmenter!B3519</f>
        <v/>
      </c>
      <c r="C3519" t="str">
        <f t="shared" si="270"/>
        <v/>
      </c>
      <c r="D3519" t="str">
        <f t="shared" si="271"/>
        <v/>
      </c>
      <c r="E3519" t="str">
        <f t="shared" si="272"/>
        <v/>
      </c>
      <c r="F3519" t="str">
        <f>IF(D3519="","",INDEX(Knutepunkter!$B:$B,D3519+1))</f>
        <v/>
      </c>
      <c r="G3519" t="str">
        <f>IF(D3519="","",INDEX(Knutepunkter!$C:$C,D3519+1))</f>
        <v/>
      </c>
      <c r="H3519" t="str">
        <f>IF(D3519="","",INDEX(Knutepunkter!$D:$D,D3519+1))</f>
        <v/>
      </c>
      <c r="I3519" t="str">
        <f>IF(E3519="","",INDEX(Knutepunkter!$B:$B,E3519+1))</f>
        <v/>
      </c>
      <c r="J3519" t="str">
        <f>IF(E3519="","",INDEX(Knutepunkter!$C:$C,E3519+1))</f>
        <v/>
      </c>
      <c r="K3519" t="str">
        <f>IF(E3519="","",INDEX(Knutepunkter!$D:$D,E3519+1))</f>
        <v/>
      </c>
      <c r="L3519" t="str">
        <f t="shared" si="273"/>
        <v/>
      </c>
      <c r="M3519" t="str">
        <f t="shared" si="274"/>
        <v/>
      </c>
    </row>
    <row r="3520" spans="1:13" x14ac:dyDescent="0.3">
      <c r="A3520" t="str">
        <f>Segmenter!A3520</f>
        <v/>
      </c>
      <c r="B3520" t="str">
        <f>Segmenter!B3520</f>
        <v/>
      </c>
      <c r="C3520" t="str">
        <f t="shared" si="270"/>
        <v/>
      </c>
      <c r="D3520" t="str">
        <f t="shared" si="271"/>
        <v/>
      </c>
      <c r="E3520" t="str">
        <f t="shared" si="272"/>
        <v/>
      </c>
      <c r="F3520" t="str">
        <f>IF(D3520="","",INDEX(Knutepunkter!$B:$B,D3520+1))</f>
        <v/>
      </c>
      <c r="G3520" t="str">
        <f>IF(D3520="","",INDEX(Knutepunkter!$C:$C,D3520+1))</f>
        <v/>
      </c>
      <c r="H3520" t="str">
        <f>IF(D3520="","",INDEX(Knutepunkter!$D:$D,D3520+1))</f>
        <v/>
      </c>
      <c r="I3520" t="str">
        <f>IF(E3520="","",INDEX(Knutepunkter!$B:$B,E3520+1))</f>
        <v/>
      </c>
      <c r="J3520" t="str">
        <f>IF(E3520="","",INDEX(Knutepunkter!$C:$C,E3520+1))</f>
        <v/>
      </c>
      <c r="K3520" t="str">
        <f>IF(E3520="","",INDEX(Knutepunkter!$D:$D,E3520+1))</f>
        <v/>
      </c>
      <c r="L3520" t="str">
        <f t="shared" si="273"/>
        <v/>
      </c>
      <c r="M3520" t="str">
        <f t="shared" si="274"/>
        <v/>
      </c>
    </row>
    <row r="3521" spans="1:13" x14ac:dyDescent="0.3">
      <c r="A3521" t="str">
        <f>Segmenter!A3521</f>
        <v/>
      </c>
      <c r="B3521" t="str">
        <f>Segmenter!B3521</f>
        <v/>
      </c>
      <c r="C3521" t="str">
        <f t="shared" si="270"/>
        <v/>
      </c>
      <c r="D3521" t="str">
        <f t="shared" si="271"/>
        <v/>
      </c>
      <c r="E3521" t="str">
        <f t="shared" si="272"/>
        <v/>
      </c>
      <c r="F3521" t="str">
        <f>IF(D3521="","",INDEX(Knutepunkter!$B:$B,D3521+1))</f>
        <v/>
      </c>
      <c r="G3521" t="str">
        <f>IF(D3521="","",INDEX(Knutepunkter!$C:$C,D3521+1))</f>
        <v/>
      </c>
      <c r="H3521" t="str">
        <f>IF(D3521="","",INDEX(Knutepunkter!$D:$D,D3521+1))</f>
        <v/>
      </c>
      <c r="I3521" t="str">
        <f>IF(E3521="","",INDEX(Knutepunkter!$B:$B,E3521+1))</f>
        <v/>
      </c>
      <c r="J3521" t="str">
        <f>IF(E3521="","",INDEX(Knutepunkter!$C:$C,E3521+1))</f>
        <v/>
      </c>
      <c r="K3521" t="str">
        <f>IF(E3521="","",INDEX(Knutepunkter!$D:$D,E3521+1))</f>
        <v/>
      </c>
      <c r="L3521" t="str">
        <f t="shared" si="273"/>
        <v/>
      </c>
      <c r="M3521" t="str">
        <f t="shared" si="274"/>
        <v/>
      </c>
    </row>
    <row r="3522" spans="1:13" x14ac:dyDescent="0.3">
      <c r="A3522" t="str">
        <f>Segmenter!A3522</f>
        <v/>
      </c>
      <c r="B3522" t="str">
        <f>Segmenter!B3522</f>
        <v/>
      </c>
      <c r="C3522" t="str">
        <f t="shared" ref="C3522:C3585" si="275">IF(B3522="","",IF(AND(F3522=I3522,G3522=J3522,H3522&lt;&gt;K3522),"Søyle","Bjelke"))</f>
        <v/>
      </c>
      <c r="D3522" t="str">
        <f t="shared" ref="D3522:D3585" si="276">IF(B3522="","",VALUE(LEFT(B3522,FIND(" -&gt; ",B3522)-1)))</f>
        <v/>
      </c>
      <c r="E3522" t="str">
        <f t="shared" ref="E3522:E3585" si="277">IF(B3522="","",VALUE(MID(B3522,FIND(" -&gt; ",B3522)+4,99)))</f>
        <v/>
      </c>
      <c r="F3522" t="str">
        <f>IF(D3522="","",INDEX(Knutepunkter!$B:$B,D3522+1))</f>
        <v/>
      </c>
      <c r="G3522" t="str">
        <f>IF(D3522="","",INDEX(Knutepunkter!$C:$C,D3522+1))</f>
        <v/>
      </c>
      <c r="H3522" t="str">
        <f>IF(D3522="","",INDEX(Knutepunkter!$D:$D,D3522+1))</f>
        <v/>
      </c>
      <c r="I3522" t="str">
        <f>IF(E3522="","",INDEX(Knutepunkter!$B:$B,E3522+1))</f>
        <v/>
      </c>
      <c r="J3522" t="str">
        <f>IF(E3522="","",INDEX(Knutepunkter!$C:$C,E3522+1))</f>
        <v/>
      </c>
      <c r="K3522" t="str">
        <f>IF(E3522="","",INDEX(Knutepunkter!$D:$D,E3522+1))</f>
        <v/>
      </c>
      <c r="L3522" t="str">
        <f t="shared" ref="L3522:L3585" si="278">IF(B3522="","",SQRT((I3522-F3522)^2+(J3522-G3522)^2+(K3522-H3522)^2))</f>
        <v/>
      </c>
      <c r="M3522" t="str">
        <f t="shared" ref="M3522:M3585" si="279">IF(L3522="","",L3522/1000)</f>
        <v/>
      </c>
    </row>
    <row r="3523" spans="1:13" x14ac:dyDescent="0.3">
      <c r="A3523" t="str">
        <f>Segmenter!A3523</f>
        <v/>
      </c>
      <c r="B3523" t="str">
        <f>Segmenter!B3523</f>
        <v/>
      </c>
      <c r="C3523" t="str">
        <f t="shared" si="275"/>
        <v/>
      </c>
      <c r="D3523" t="str">
        <f t="shared" si="276"/>
        <v/>
      </c>
      <c r="E3523" t="str">
        <f t="shared" si="277"/>
        <v/>
      </c>
      <c r="F3523" t="str">
        <f>IF(D3523="","",INDEX(Knutepunkter!$B:$B,D3523+1))</f>
        <v/>
      </c>
      <c r="G3523" t="str">
        <f>IF(D3523="","",INDEX(Knutepunkter!$C:$C,D3523+1))</f>
        <v/>
      </c>
      <c r="H3523" t="str">
        <f>IF(D3523="","",INDEX(Knutepunkter!$D:$D,D3523+1))</f>
        <v/>
      </c>
      <c r="I3523" t="str">
        <f>IF(E3523="","",INDEX(Knutepunkter!$B:$B,E3523+1))</f>
        <v/>
      </c>
      <c r="J3523" t="str">
        <f>IF(E3523="","",INDEX(Knutepunkter!$C:$C,E3523+1))</f>
        <v/>
      </c>
      <c r="K3523" t="str">
        <f>IF(E3523="","",INDEX(Knutepunkter!$D:$D,E3523+1))</f>
        <v/>
      </c>
      <c r="L3523" t="str">
        <f t="shared" si="278"/>
        <v/>
      </c>
      <c r="M3523" t="str">
        <f t="shared" si="279"/>
        <v/>
      </c>
    </row>
    <row r="3524" spans="1:13" x14ac:dyDescent="0.3">
      <c r="A3524" t="str">
        <f>Segmenter!A3524</f>
        <v/>
      </c>
      <c r="B3524" t="str">
        <f>Segmenter!B3524</f>
        <v/>
      </c>
      <c r="C3524" t="str">
        <f t="shared" si="275"/>
        <v/>
      </c>
      <c r="D3524" t="str">
        <f t="shared" si="276"/>
        <v/>
      </c>
      <c r="E3524" t="str">
        <f t="shared" si="277"/>
        <v/>
      </c>
      <c r="F3524" t="str">
        <f>IF(D3524="","",INDEX(Knutepunkter!$B:$B,D3524+1))</f>
        <v/>
      </c>
      <c r="G3524" t="str">
        <f>IF(D3524="","",INDEX(Knutepunkter!$C:$C,D3524+1))</f>
        <v/>
      </c>
      <c r="H3524" t="str">
        <f>IF(D3524="","",INDEX(Knutepunkter!$D:$D,D3524+1))</f>
        <v/>
      </c>
      <c r="I3524" t="str">
        <f>IF(E3524="","",INDEX(Knutepunkter!$B:$B,E3524+1))</f>
        <v/>
      </c>
      <c r="J3524" t="str">
        <f>IF(E3524="","",INDEX(Knutepunkter!$C:$C,E3524+1))</f>
        <v/>
      </c>
      <c r="K3524" t="str">
        <f>IF(E3524="","",INDEX(Knutepunkter!$D:$D,E3524+1))</f>
        <v/>
      </c>
      <c r="L3524" t="str">
        <f t="shared" si="278"/>
        <v/>
      </c>
      <c r="M3524" t="str">
        <f t="shared" si="279"/>
        <v/>
      </c>
    </row>
    <row r="3525" spans="1:13" x14ac:dyDescent="0.3">
      <c r="A3525" t="str">
        <f>Segmenter!A3525</f>
        <v/>
      </c>
      <c r="B3525" t="str">
        <f>Segmenter!B3525</f>
        <v/>
      </c>
      <c r="C3525" t="str">
        <f t="shared" si="275"/>
        <v/>
      </c>
      <c r="D3525" t="str">
        <f t="shared" si="276"/>
        <v/>
      </c>
      <c r="E3525" t="str">
        <f t="shared" si="277"/>
        <v/>
      </c>
      <c r="F3525" t="str">
        <f>IF(D3525="","",INDEX(Knutepunkter!$B:$B,D3525+1))</f>
        <v/>
      </c>
      <c r="G3525" t="str">
        <f>IF(D3525="","",INDEX(Knutepunkter!$C:$C,D3525+1))</f>
        <v/>
      </c>
      <c r="H3525" t="str">
        <f>IF(D3525="","",INDEX(Knutepunkter!$D:$D,D3525+1))</f>
        <v/>
      </c>
      <c r="I3525" t="str">
        <f>IF(E3525="","",INDEX(Knutepunkter!$B:$B,E3525+1))</f>
        <v/>
      </c>
      <c r="J3525" t="str">
        <f>IF(E3525="","",INDEX(Knutepunkter!$C:$C,E3525+1))</f>
        <v/>
      </c>
      <c r="K3525" t="str">
        <f>IF(E3525="","",INDEX(Knutepunkter!$D:$D,E3525+1))</f>
        <v/>
      </c>
      <c r="L3525" t="str">
        <f t="shared" si="278"/>
        <v/>
      </c>
      <c r="M3525" t="str">
        <f t="shared" si="279"/>
        <v/>
      </c>
    </row>
    <row r="3526" spans="1:13" x14ac:dyDescent="0.3">
      <c r="A3526" t="str">
        <f>Segmenter!A3526</f>
        <v/>
      </c>
      <c r="B3526" t="str">
        <f>Segmenter!B3526</f>
        <v/>
      </c>
      <c r="C3526" t="str">
        <f t="shared" si="275"/>
        <v/>
      </c>
      <c r="D3526" t="str">
        <f t="shared" si="276"/>
        <v/>
      </c>
      <c r="E3526" t="str">
        <f t="shared" si="277"/>
        <v/>
      </c>
      <c r="F3526" t="str">
        <f>IF(D3526="","",INDEX(Knutepunkter!$B:$B,D3526+1))</f>
        <v/>
      </c>
      <c r="G3526" t="str">
        <f>IF(D3526="","",INDEX(Knutepunkter!$C:$C,D3526+1))</f>
        <v/>
      </c>
      <c r="H3526" t="str">
        <f>IF(D3526="","",INDEX(Knutepunkter!$D:$D,D3526+1))</f>
        <v/>
      </c>
      <c r="I3526" t="str">
        <f>IF(E3526="","",INDEX(Knutepunkter!$B:$B,E3526+1))</f>
        <v/>
      </c>
      <c r="J3526" t="str">
        <f>IF(E3526="","",INDEX(Knutepunkter!$C:$C,E3526+1))</f>
        <v/>
      </c>
      <c r="K3526" t="str">
        <f>IF(E3526="","",INDEX(Knutepunkter!$D:$D,E3526+1))</f>
        <v/>
      </c>
      <c r="L3526" t="str">
        <f t="shared" si="278"/>
        <v/>
      </c>
      <c r="M3526" t="str">
        <f t="shared" si="279"/>
        <v/>
      </c>
    </row>
    <row r="3527" spans="1:13" x14ac:dyDescent="0.3">
      <c r="A3527" t="str">
        <f>Segmenter!A3527</f>
        <v/>
      </c>
      <c r="B3527" t="str">
        <f>Segmenter!B3527</f>
        <v/>
      </c>
      <c r="C3527" t="str">
        <f t="shared" si="275"/>
        <v/>
      </c>
      <c r="D3527" t="str">
        <f t="shared" si="276"/>
        <v/>
      </c>
      <c r="E3527" t="str">
        <f t="shared" si="277"/>
        <v/>
      </c>
      <c r="F3527" t="str">
        <f>IF(D3527="","",INDEX(Knutepunkter!$B:$B,D3527+1))</f>
        <v/>
      </c>
      <c r="G3527" t="str">
        <f>IF(D3527="","",INDEX(Knutepunkter!$C:$C,D3527+1))</f>
        <v/>
      </c>
      <c r="H3527" t="str">
        <f>IF(D3527="","",INDEX(Knutepunkter!$D:$D,D3527+1))</f>
        <v/>
      </c>
      <c r="I3527" t="str">
        <f>IF(E3527="","",INDEX(Knutepunkter!$B:$B,E3527+1))</f>
        <v/>
      </c>
      <c r="J3527" t="str">
        <f>IF(E3527="","",INDEX(Knutepunkter!$C:$C,E3527+1))</f>
        <v/>
      </c>
      <c r="K3527" t="str">
        <f>IF(E3527="","",INDEX(Knutepunkter!$D:$D,E3527+1))</f>
        <v/>
      </c>
      <c r="L3527" t="str">
        <f t="shared" si="278"/>
        <v/>
      </c>
      <c r="M3527" t="str">
        <f t="shared" si="279"/>
        <v/>
      </c>
    </row>
    <row r="3528" spans="1:13" x14ac:dyDescent="0.3">
      <c r="A3528" t="str">
        <f>Segmenter!A3528</f>
        <v/>
      </c>
      <c r="B3528" t="str">
        <f>Segmenter!B3528</f>
        <v/>
      </c>
      <c r="C3528" t="str">
        <f t="shared" si="275"/>
        <v/>
      </c>
      <c r="D3528" t="str">
        <f t="shared" si="276"/>
        <v/>
      </c>
      <c r="E3528" t="str">
        <f t="shared" si="277"/>
        <v/>
      </c>
      <c r="F3528" t="str">
        <f>IF(D3528="","",INDEX(Knutepunkter!$B:$B,D3528+1))</f>
        <v/>
      </c>
      <c r="G3528" t="str">
        <f>IF(D3528="","",INDEX(Knutepunkter!$C:$C,D3528+1))</f>
        <v/>
      </c>
      <c r="H3528" t="str">
        <f>IF(D3528="","",INDEX(Knutepunkter!$D:$D,D3528+1))</f>
        <v/>
      </c>
      <c r="I3528" t="str">
        <f>IF(E3528="","",INDEX(Knutepunkter!$B:$B,E3528+1))</f>
        <v/>
      </c>
      <c r="J3528" t="str">
        <f>IF(E3528="","",INDEX(Knutepunkter!$C:$C,E3528+1))</f>
        <v/>
      </c>
      <c r="K3528" t="str">
        <f>IF(E3528="","",INDEX(Knutepunkter!$D:$D,E3528+1))</f>
        <v/>
      </c>
      <c r="L3528" t="str">
        <f t="shared" si="278"/>
        <v/>
      </c>
      <c r="M3528" t="str">
        <f t="shared" si="279"/>
        <v/>
      </c>
    </row>
    <row r="3529" spans="1:13" x14ac:dyDescent="0.3">
      <c r="A3529" t="str">
        <f>Segmenter!A3529</f>
        <v/>
      </c>
      <c r="B3529" t="str">
        <f>Segmenter!B3529</f>
        <v/>
      </c>
      <c r="C3529" t="str">
        <f t="shared" si="275"/>
        <v/>
      </c>
      <c r="D3529" t="str">
        <f t="shared" si="276"/>
        <v/>
      </c>
      <c r="E3529" t="str">
        <f t="shared" si="277"/>
        <v/>
      </c>
      <c r="F3529" t="str">
        <f>IF(D3529="","",INDEX(Knutepunkter!$B:$B,D3529+1))</f>
        <v/>
      </c>
      <c r="G3529" t="str">
        <f>IF(D3529="","",INDEX(Knutepunkter!$C:$C,D3529+1))</f>
        <v/>
      </c>
      <c r="H3529" t="str">
        <f>IF(D3529="","",INDEX(Knutepunkter!$D:$D,D3529+1))</f>
        <v/>
      </c>
      <c r="I3529" t="str">
        <f>IF(E3529="","",INDEX(Knutepunkter!$B:$B,E3529+1))</f>
        <v/>
      </c>
      <c r="J3529" t="str">
        <f>IF(E3529="","",INDEX(Knutepunkter!$C:$C,E3529+1))</f>
        <v/>
      </c>
      <c r="K3529" t="str">
        <f>IF(E3529="","",INDEX(Knutepunkter!$D:$D,E3529+1))</f>
        <v/>
      </c>
      <c r="L3529" t="str">
        <f t="shared" si="278"/>
        <v/>
      </c>
      <c r="M3529" t="str">
        <f t="shared" si="279"/>
        <v/>
      </c>
    </row>
    <row r="3530" spans="1:13" x14ac:dyDescent="0.3">
      <c r="A3530" t="str">
        <f>Segmenter!A3530</f>
        <v/>
      </c>
      <c r="B3530" t="str">
        <f>Segmenter!B3530</f>
        <v/>
      </c>
      <c r="C3530" t="str">
        <f t="shared" si="275"/>
        <v/>
      </c>
      <c r="D3530" t="str">
        <f t="shared" si="276"/>
        <v/>
      </c>
      <c r="E3530" t="str">
        <f t="shared" si="277"/>
        <v/>
      </c>
      <c r="F3530" t="str">
        <f>IF(D3530="","",INDEX(Knutepunkter!$B:$B,D3530+1))</f>
        <v/>
      </c>
      <c r="G3530" t="str">
        <f>IF(D3530="","",INDEX(Knutepunkter!$C:$C,D3530+1))</f>
        <v/>
      </c>
      <c r="H3530" t="str">
        <f>IF(D3530="","",INDEX(Knutepunkter!$D:$D,D3530+1))</f>
        <v/>
      </c>
      <c r="I3530" t="str">
        <f>IF(E3530="","",INDEX(Knutepunkter!$B:$B,E3530+1))</f>
        <v/>
      </c>
      <c r="J3530" t="str">
        <f>IF(E3530="","",INDEX(Knutepunkter!$C:$C,E3530+1))</f>
        <v/>
      </c>
      <c r="K3530" t="str">
        <f>IF(E3530="","",INDEX(Knutepunkter!$D:$D,E3530+1))</f>
        <v/>
      </c>
      <c r="L3530" t="str">
        <f t="shared" si="278"/>
        <v/>
      </c>
      <c r="M3530" t="str">
        <f t="shared" si="279"/>
        <v/>
      </c>
    </row>
    <row r="3531" spans="1:13" x14ac:dyDescent="0.3">
      <c r="A3531" t="str">
        <f>Segmenter!A3531</f>
        <v/>
      </c>
      <c r="B3531" t="str">
        <f>Segmenter!B3531</f>
        <v/>
      </c>
      <c r="C3531" t="str">
        <f t="shared" si="275"/>
        <v/>
      </c>
      <c r="D3531" t="str">
        <f t="shared" si="276"/>
        <v/>
      </c>
      <c r="E3531" t="str">
        <f t="shared" si="277"/>
        <v/>
      </c>
      <c r="F3531" t="str">
        <f>IF(D3531="","",INDEX(Knutepunkter!$B:$B,D3531+1))</f>
        <v/>
      </c>
      <c r="G3531" t="str">
        <f>IF(D3531="","",INDEX(Knutepunkter!$C:$C,D3531+1))</f>
        <v/>
      </c>
      <c r="H3531" t="str">
        <f>IF(D3531="","",INDEX(Knutepunkter!$D:$D,D3531+1))</f>
        <v/>
      </c>
      <c r="I3531" t="str">
        <f>IF(E3531="","",INDEX(Knutepunkter!$B:$B,E3531+1))</f>
        <v/>
      </c>
      <c r="J3531" t="str">
        <f>IF(E3531="","",INDEX(Knutepunkter!$C:$C,E3531+1))</f>
        <v/>
      </c>
      <c r="K3531" t="str">
        <f>IF(E3531="","",INDEX(Knutepunkter!$D:$D,E3531+1))</f>
        <v/>
      </c>
      <c r="L3531" t="str">
        <f t="shared" si="278"/>
        <v/>
      </c>
      <c r="M3531" t="str">
        <f t="shared" si="279"/>
        <v/>
      </c>
    </row>
    <row r="3532" spans="1:13" x14ac:dyDescent="0.3">
      <c r="A3532" t="str">
        <f>Segmenter!A3532</f>
        <v/>
      </c>
      <c r="B3532" t="str">
        <f>Segmenter!B3532</f>
        <v/>
      </c>
      <c r="C3532" t="str">
        <f t="shared" si="275"/>
        <v/>
      </c>
      <c r="D3532" t="str">
        <f t="shared" si="276"/>
        <v/>
      </c>
      <c r="E3532" t="str">
        <f t="shared" si="277"/>
        <v/>
      </c>
      <c r="F3532" t="str">
        <f>IF(D3532="","",INDEX(Knutepunkter!$B:$B,D3532+1))</f>
        <v/>
      </c>
      <c r="G3532" t="str">
        <f>IF(D3532="","",INDEX(Knutepunkter!$C:$C,D3532+1))</f>
        <v/>
      </c>
      <c r="H3532" t="str">
        <f>IF(D3532="","",INDEX(Knutepunkter!$D:$D,D3532+1))</f>
        <v/>
      </c>
      <c r="I3532" t="str">
        <f>IF(E3532="","",INDEX(Knutepunkter!$B:$B,E3532+1))</f>
        <v/>
      </c>
      <c r="J3532" t="str">
        <f>IF(E3532="","",INDEX(Knutepunkter!$C:$C,E3532+1))</f>
        <v/>
      </c>
      <c r="K3532" t="str">
        <f>IF(E3532="","",INDEX(Knutepunkter!$D:$D,E3532+1))</f>
        <v/>
      </c>
      <c r="L3532" t="str">
        <f t="shared" si="278"/>
        <v/>
      </c>
      <c r="M3532" t="str">
        <f t="shared" si="279"/>
        <v/>
      </c>
    </row>
    <row r="3533" spans="1:13" x14ac:dyDescent="0.3">
      <c r="A3533" t="str">
        <f>Segmenter!A3533</f>
        <v/>
      </c>
      <c r="B3533" t="str">
        <f>Segmenter!B3533</f>
        <v/>
      </c>
      <c r="C3533" t="str">
        <f t="shared" si="275"/>
        <v/>
      </c>
      <c r="D3533" t="str">
        <f t="shared" si="276"/>
        <v/>
      </c>
      <c r="E3533" t="str">
        <f t="shared" si="277"/>
        <v/>
      </c>
      <c r="F3533" t="str">
        <f>IF(D3533="","",INDEX(Knutepunkter!$B:$B,D3533+1))</f>
        <v/>
      </c>
      <c r="G3533" t="str">
        <f>IF(D3533="","",INDEX(Knutepunkter!$C:$C,D3533+1))</f>
        <v/>
      </c>
      <c r="H3533" t="str">
        <f>IF(D3533="","",INDEX(Knutepunkter!$D:$D,D3533+1))</f>
        <v/>
      </c>
      <c r="I3533" t="str">
        <f>IF(E3533="","",INDEX(Knutepunkter!$B:$B,E3533+1))</f>
        <v/>
      </c>
      <c r="J3533" t="str">
        <f>IF(E3533="","",INDEX(Knutepunkter!$C:$C,E3533+1))</f>
        <v/>
      </c>
      <c r="K3533" t="str">
        <f>IF(E3533="","",INDEX(Knutepunkter!$D:$D,E3533+1))</f>
        <v/>
      </c>
      <c r="L3533" t="str">
        <f t="shared" si="278"/>
        <v/>
      </c>
      <c r="M3533" t="str">
        <f t="shared" si="279"/>
        <v/>
      </c>
    </row>
    <row r="3534" spans="1:13" x14ac:dyDescent="0.3">
      <c r="A3534" t="str">
        <f>Segmenter!A3534</f>
        <v/>
      </c>
      <c r="B3534" t="str">
        <f>Segmenter!B3534</f>
        <v/>
      </c>
      <c r="C3534" t="str">
        <f t="shared" si="275"/>
        <v/>
      </c>
      <c r="D3534" t="str">
        <f t="shared" si="276"/>
        <v/>
      </c>
      <c r="E3534" t="str">
        <f t="shared" si="277"/>
        <v/>
      </c>
      <c r="F3534" t="str">
        <f>IF(D3534="","",INDEX(Knutepunkter!$B:$B,D3534+1))</f>
        <v/>
      </c>
      <c r="G3534" t="str">
        <f>IF(D3534="","",INDEX(Knutepunkter!$C:$C,D3534+1))</f>
        <v/>
      </c>
      <c r="H3534" t="str">
        <f>IF(D3534="","",INDEX(Knutepunkter!$D:$D,D3534+1))</f>
        <v/>
      </c>
      <c r="I3534" t="str">
        <f>IF(E3534="","",INDEX(Knutepunkter!$B:$B,E3534+1))</f>
        <v/>
      </c>
      <c r="J3534" t="str">
        <f>IF(E3534="","",INDEX(Knutepunkter!$C:$C,E3534+1))</f>
        <v/>
      </c>
      <c r="K3534" t="str">
        <f>IF(E3534="","",INDEX(Knutepunkter!$D:$D,E3534+1))</f>
        <v/>
      </c>
      <c r="L3534" t="str">
        <f t="shared" si="278"/>
        <v/>
      </c>
      <c r="M3534" t="str">
        <f t="shared" si="279"/>
        <v/>
      </c>
    </row>
    <row r="3535" spans="1:13" x14ac:dyDescent="0.3">
      <c r="A3535" t="str">
        <f>Segmenter!A3535</f>
        <v/>
      </c>
      <c r="B3535" t="str">
        <f>Segmenter!B3535</f>
        <v/>
      </c>
      <c r="C3535" t="str">
        <f t="shared" si="275"/>
        <v/>
      </c>
      <c r="D3535" t="str">
        <f t="shared" si="276"/>
        <v/>
      </c>
      <c r="E3535" t="str">
        <f t="shared" si="277"/>
        <v/>
      </c>
      <c r="F3535" t="str">
        <f>IF(D3535="","",INDEX(Knutepunkter!$B:$B,D3535+1))</f>
        <v/>
      </c>
      <c r="G3535" t="str">
        <f>IF(D3535="","",INDEX(Knutepunkter!$C:$C,D3535+1))</f>
        <v/>
      </c>
      <c r="H3535" t="str">
        <f>IF(D3535="","",INDEX(Knutepunkter!$D:$D,D3535+1))</f>
        <v/>
      </c>
      <c r="I3535" t="str">
        <f>IF(E3535="","",INDEX(Knutepunkter!$B:$B,E3535+1))</f>
        <v/>
      </c>
      <c r="J3535" t="str">
        <f>IF(E3535="","",INDEX(Knutepunkter!$C:$C,E3535+1))</f>
        <v/>
      </c>
      <c r="K3535" t="str">
        <f>IF(E3535="","",INDEX(Knutepunkter!$D:$D,E3535+1))</f>
        <v/>
      </c>
      <c r="L3535" t="str">
        <f t="shared" si="278"/>
        <v/>
      </c>
      <c r="M3535" t="str">
        <f t="shared" si="279"/>
        <v/>
      </c>
    </row>
    <row r="3536" spans="1:13" x14ac:dyDescent="0.3">
      <c r="A3536" t="str">
        <f>Segmenter!A3536</f>
        <v/>
      </c>
      <c r="B3536" t="str">
        <f>Segmenter!B3536</f>
        <v/>
      </c>
      <c r="C3536" t="str">
        <f t="shared" si="275"/>
        <v/>
      </c>
      <c r="D3536" t="str">
        <f t="shared" si="276"/>
        <v/>
      </c>
      <c r="E3536" t="str">
        <f t="shared" si="277"/>
        <v/>
      </c>
      <c r="F3536" t="str">
        <f>IF(D3536="","",INDEX(Knutepunkter!$B:$B,D3536+1))</f>
        <v/>
      </c>
      <c r="G3536" t="str">
        <f>IF(D3536="","",INDEX(Knutepunkter!$C:$C,D3536+1))</f>
        <v/>
      </c>
      <c r="H3536" t="str">
        <f>IF(D3536="","",INDEX(Knutepunkter!$D:$D,D3536+1))</f>
        <v/>
      </c>
      <c r="I3536" t="str">
        <f>IF(E3536="","",INDEX(Knutepunkter!$B:$B,E3536+1))</f>
        <v/>
      </c>
      <c r="J3536" t="str">
        <f>IF(E3536="","",INDEX(Knutepunkter!$C:$C,E3536+1))</f>
        <v/>
      </c>
      <c r="K3536" t="str">
        <f>IF(E3536="","",INDEX(Knutepunkter!$D:$D,E3536+1))</f>
        <v/>
      </c>
      <c r="L3536" t="str">
        <f t="shared" si="278"/>
        <v/>
      </c>
      <c r="M3536" t="str">
        <f t="shared" si="279"/>
        <v/>
      </c>
    </row>
    <row r="3537" spans="1:13" x14ac:dyDescent="0.3">
      <c r="A3537" t="str">
        <f>Segmenter!A3537</f>
        <v/>
      </c>
      <c r="B3537" t="str">
        <f>Segmenter!B3537</f>
        <v/>
      </c>
      <c r="C3537" t="str">
        <f t="shared" si="275"/>
        <v/>
      </c>
      <c r="D3537" t="str">
        <f t="shared" si="276"/>
        <v/>
      </c>
      <c r="E3537" t="str">
        <f t="shared" si="277"/>
        <v/>
      </c>
      <c r="F3537" t="str">
        <f>IF(D3537="","",INDEX(Knutepunkter!$B:$B,D3537+1))</f>
        <v/>
      </c>
      <c r="G3537" t="str">
        <f>IF(D3537="","",INDEX(Knutepunkter!$C:$C,D3537+1))</f>
        <v/>
      </c>
      <c r="H3537" t="str">
        <f>IF(D3537="","",INDEX(Knutepunkter!$D:$D,D3537+1))</f>
        <v/>
      </c>
      <c r="I3537" t="str">
        <f>IF(E3537="","",INDEX(Knutepunkter!$B:$B,E3537+1))</f>
        <v/>
      </c>
      <c r="J3537" t="str">
        <f>IF(E3537="","",INDEX(Knutepunkter!$C:$C,E3537+1))</f>
        <v/>
      </c>
      <c r="K3537" t="str">
        <f>IF(E3537="","",INDEX(Knutepunkter!$D:$D,E3537+1))</f>
        <v/>
      </c>
      <c r="L3537" t="str">
        <f t="shared" si="278"/>
        <v/>
      </c>
      <c r="M3537" t="str">
        <f t="shared" si="279"/>
        <v/>
      </c>
    </row>
    <row r="3538" spans="1:13" x14ac:dyDescent="0.3">
      <c r="A3538" t="str">
        <f>Segmenter!A3538</f>
        <v/>
      </c>
      <c r="B3538" t="str">
        <f>Segmenter!B3538</f>
        <v/>
      </c>
      <c r="C3538" t="str">
        <f t="shared" si="275"/>
        <v/>
      </c>
      <c r="D3538" t="str">
        <f t="shared" si="276"/>
        <v/>
      </c>
      <c r="E3538" t="str">
        <f t="shared" si="277"/>
        <v/>
      </c>
      <c r="F3538" t="str">
        <f>IF(D3538="","",INDEX(Knutepunkter!$B:$B,D3538+1))</f>
        <v/>
      </c>
      <c r="G3538" t="str">
        <f>IF(D3538="","",INDEX(Knutepunkter!$C:$C,D3538+1))</f>
        <v/>
      </c>
      <c r="H3538" t="str">
        <f>IF(D3538="","",INDEX(Knutepunkter!$D:$D,D3538+1))</f>
        <v/>
      </c>
      <c r="I3538" t="str">
        <f>IF(E3538="","",INDEX(Knutepunkter!$B:$B,E3538+1))</f>
        <v/>
      </c>
      <c r="J3538" t="str">
        <f>IF(E3538="","",INDEX(Knutepunkter!$C:$C,E3538+1))</f>
        <v/>
      </c>
      <c r="K3538" t="str">
        <f>IF(E3538="","",INDEX(Knutepunkter!$D:$D,E3538+1))</f>
        <v/>
      </c>
      <c r="L3538" t="str">
        <f t="shared" si="278"/>
        <v/>
      </c>
      <c r="M3538" t="str">
        <f t="shared" si="279"/>
        <v/>
      </c>
    </row>
    <row r="3539" spans="1:13" x14ac:dyDescent="0.3">
      <c r="A3539" t="str">
        <f>Segmenter!A3539</f>
        <v/>
      </c>
      <c r="B3539" t="str">
        <f>Segmenter!B3539</f>
        <v/>
      </c>
      <c r="C3539" t="str">
        <f t="shared" si="275"/>
        <v/>
      </c>
      <c r="D3539" t="str">
        <f t="shared" si="276"/>
        <v/>
      </c>
      <c r="E3539" t="str">
        <f t="shared" si="277"/>
        <v/>
      </c>
      <c r="F3539" t="str">
        <f>IF(D3539="","",INDEX(Knutepunkter!$B:$B,D3539+1))</f>
        <v/>
      </c>
      <c r="G3539" t="str">
        <f>IF(D3539="","",INDEX(Knutepunkter!$C:$C,D3539+1))</f>
        <v/>
      </c>
      <c r="H3539" t="str">
        <f>IF(D3539="","",INDEX(Knutepunkter!$D:$D,D3539+1))</f>
        <v/>
      </c>
      <c r="I3539" t="str">
        <f>IF(E3539="","",INDEX(Knutepunkter!$B:$B,E3539+1))</f>
        <v/>
      </c>
      <c r="J3539" t="str">
        <f>IF(E3539="","",INDEX(Knutepunkter!$C:$C,E3539+1))</f>
        <v/>
      </c>
      <c r="K3539" t="str">
        <f>IF(E3539="","",INDEX(Knutepunkter!$D:$D,E3539+1))</f>
        <v/>
      </c>
      <c r="L3539" t="str">
        <f t="shared" si="278"/>
        <v/>
      </c>
      <c r="M3539" t="str">
        <f t="shared" si="279"/>
        <v/>
      </c>
    </row>
    <row r="3540" spans="1:13" x14ac:dyDescent="0.3">
      <c r="A3540" t="str">
        <f>Segmenter!A3540</f>
        <v/>
      </c>
      <c r="B3540" t="str">
        <f>Segmenter!B3540</f>
        <v/>
      </c>
      <c r="C3540" t="str">
        <f t="shared" si="275"/>
        <v/>
      </c>
      <c r="D3540" t="str">
        <f t="shared" si="276"/>
        <v/>
      </c>
      <c r="E3540" t="str">
        <f t="shared" si="277"/>
        <v/>
      </c>
      <c r="F3540" t="str">
        <f>IF(D3540="","",INDEX(Knutepunkter!$B:$B,D3540+1))</f>
        <v/>
      </c>
      <c r="G3540" t="str">
        <f>IF(D3540="","",INDEX(Knutepunkter!$C:$C,D3540+1))</f>
        <v/>
      </c>
      <c r="H3540" t="str">
        <f>IF(D3540="","",INDEX(Knutepunkter!$D:$D,D3540+1))</f>
        <v/>
      </c>
      <c r="I3540" t="str">
        <f>IF(E3540="","",INDEX(Knutepunkter!$B:$B,E3540+1))</f>
        <v/>
      </c>
      <c r="J3540" t="str">
        <f>IF(E3540="","",INDEX(Knutepunkter!$C:$C,E3540+1))</f>
        <v/>
      </c>
      <c r="K3540" t="str">
        <f>IF(E3540="","",INDEX(Knutepunkter!$D:$D,E3540+1))</f>
        <v/>
      </c>
      <c r="L3540" t="str">
        <f t="shared" si="278"/>
        <v/>
      </c>
      <c r="M3540" t="str">
        <f t="shared" si="279"/>
        <v/>
      </c>
    </row>
    <row r="3541" spans="1:13" x14ac:dyDescent="0.3">
      <c r="A3541" t="str">
        <f>Segmenter!A3541</f>
        <v/>
      </c>
      <c r="B3541" t="str">
        <f>Segmenter!B3541</f>
        <v/>
      </c>
      <c r="C3541" t="str">
        <f t="shared" si="275"/>
        <v/>
      </c>
      <c r="D3541" t="str">
        <f t="shared" si="276"/>
        <v/>
      </c>
      <c r="E3541" t="str">
        <f t="shared" si="277"/>
        <v/>
      </c>
      <c r="F3541" t="str">
        <f>IF(D3541="","",INDEX(Knutepunkter!$B:$B,D3541+1))</f>
        <v/>
      </c>
      <c r="G3541" t="str">
        <f>IF(D3541="","",INDEX(Knutepunkter!$C:$C,D3541+1))</f>
        <v/>
      </c>
      <c r="H3541" t="str">
        <f>IF(D3541="","",INDEX(Knutepunkter!$D:$D,D3541+1))</f>
        <v/>
      </c>
      <c r="I3541" t="str">
        <f>IF(E3541="","",INDEX(Knutepunkter!$B:$B,E3541+1))</f>
        <v/>
      </c>
      <c r="J3541" t="str">
        <f>IF(E3541="","",INDEX(Knutepunkter!$C:$C,E3541+1))</f>
        <v/>
      </c>
      <c r="K3541" t="str">
        <f>IF(E3541="","",INDEX(Knutepunkter!$D:$D,E3541+1))</f>
        <v/>
      </c>
      <c r="L3541" t="str">
        <f t="shared" si="278"/>
        <v/>
      </c>
      <c r="M3541" t="str">
        <f t="shared" si="279"/>
        <v/>
      </c>
    </row>
    <row r="3542" spans="1:13" x14ac:dyDescent="0.3">
      <c r="A3542" t="str">
        <f>Segmenter!A3542</f>
        <v/>
      </c>
      <c r="B3542" t="str">
        <f>Segmenter!B3542</f>
        <v/>
      </c>
      <c r="C3542" t="str">
        <f t="shared" si="275"/>
        <v/>
      </c>
      <c r="D3542" t="str">
        <f t="shared" si="276"/>
        <v/>
      </c>
      <c r="E3542" t="str">
        <f t="shared" si="277"/>
        <v/>
      </c>
      <c r="F3542" t="str">
        <f>IF(D3542="","",INDEX(Knutepunkter!$B:$B,D3542+1))</f>
        <v/>
      </c>
      <c r="G3542" t="str">
        <f>IF(D3542="","",INDEX(Knutepunkter!$C:$C,D3542+1))</f>
        <v/>
      </c>
      <c r="H3542" t="str">
        <f>IF(D3542="","",INDEX(Knutepunkter!$D:$D,D3542+1))</f>
        <v/>
      </c>
      <c r="I3542" t="str">
        <f>IF(E3542="","",INDEX(Knutepunkter!$B:$B,E3542+1))</f>
        <v/>
      </c>
      <c r="J3542" t="str">
        <f>IF(E3542="","",INDEX(Knutepunkter!$C:$C,E3542+1))</f>
        <v/>
      </c>
      <c r="K3542" t="str">
        <f>IF(E3542="","",INDEX(Knutepunkter!$D:$D,E3542+1))</f>
        <v/>
      </c>
      <c r="L3542" t="str">
        <f t="shared" si="278"/>
        <v/>
      </c>
      <c r="M3542" t="str">
        <f t="shared" si="279"/>
        <v/>
      </c>
    </row>
    <row r="3543" spans="1:13" x14ac:dyDescent="0.3">
      <c r="A3543" t="str">
        <f>Segmenter!A3543</f>
        <v/>
      </c>
      <c r="B3543" t="str">
        <f>Segmenter!B3543</f>
        <v/>
      </c>
      <c r="C3543" t="str">
        <f t="shared" si="275"/>
        <v/>
      </c>
      <c r="D3543" t="str">
        <f t="shared" si="276"/>
        <v/>
      </c>
      <c r="E3543" t="str">
        <f t="shared" si="277"/>
        <v/>
      </c>
      <c r="F3543" t="str">
        <f>IF(D3543="","",INDEX(Knutepunkter!$B:$B,D3543+1))</f>
        <v/>
      </c>
      <c r="G3543" t="str">
        <f>IF(D3543="","",INDEX(Knutepunkter!$C:$C,D3543+1))</f>
        <v/>
      </c>
      <c r="H3543" t="str">
        <f>IF(D3543="","",INDEX(Knutepunkter!$D:$D,D3543+1))</f>
        <v/>
      </c>
      <c r="I3543" t="str">
        <f>IF(E3543="","",INDEX(Knutepunkter!$B:$B,E3543+1))</f>
        <v/>
      </c>
      <c r="J3543" t="str">
        <f>IF(E3543="","",INDEX(Knutepunkter!$C:$C,E3543+1))</f>
        <v/>
      </c>
      <c r="K3543" t="str">
        <f>IF(E3543="","",INDEX(Knutepunkter!$D:$D,E3543+1))</f>
        <v/>
      </c>
      <c r="L3543" t="str">
        <f t="shared" si="278"/>
        <v/>
      </c>
      <c r="M3543" t="str">
        <f t="shared" si="279"/>
        <v/>
      </c>
    </row>
    <row r="3544" spans="1:13" x14ac:dyDescent="0.3">
      <c r="A3544" t="str">
        <f>Segmenter!A3544</f>
        <v/>
      </c>
      <c r="B3544" t="str">
        <f>Segmenter!B3544</f>
        <v/>
      </c>
      <c r="C3544" t="str">
        <f t="shared" si="275"/>
        <v/>
      </c>
      <c r="D3544" t="str">
        <f t="shared" si="276"/>
        <v/>
      </c>
      <c r="E3544" t="str">
        <f t="shared" si="277"/>
        <v/>
      </c>
      <c r="F3544" t="str">
        <f>IF(D3544="","",INDEX(Knutepunkter!$B:$B,D3544+1))</f>
        <v/>
      </c>
      <c r="G3544" t="str">
        <f>IF(D3544="","",INDEX(Knutepunkter!$C:$C,D3544+1))</f>
        <v/>
      </c>
      <c r="H3544" t="str">
        <f>IF(D3544="","",INDEX(Knutepunkter!$D:$D,D3544+1))</f>
        <v/>
      </c>
      <c r="I3544" t="str">
        <f>IF(E3544="","",INDEX(Knutepunkter!$B:$B,E3544+1))</f>
        <v/>
      </c>
      <c r="J3544" t="str">
        <f>IF(E3544="","",INDEX(Knutepunkter!$C:$C,E3544+1))</f>
        <v/>
      </c>
      <c r="K3544" t="str">
        <f>IF(E3544="","",INDEX(Knutepunkter!$D:$D,E3544+1))</f>
        <v/>
      </c>
      <c r="L3544" t="str">
        <f t="shared" si="278"/>
        <v/>
      </c>
      <c r="M3544" t="str">
        <f t="shared" si="279"/>
        <v/>
      </c>
    </row>
    <row r="3545" spans="1:13" x14ac:dyDescent="0.3">
      <c r="A3545" t="str">
        <f>Segmenter!A3545</f>
        <v/>
      </c>
      <c r="B3545" t="str">
        <f>Segmenter!B3545</f>
        <v/>
      </c>
      <c r="C3545" t="str">
        <f t="shared" si="275"/>
        <v/>
      </c>
      <c r="D3545" t="str">
        <f t="shared" si="276"/>
        <v/>
      </c>
      <c r="E3545" t="str">
        <f t="shared" si="277"/>
        <v/>
      </c>
      <c r="F3545" t="str">
        <f>IF(D3545="","",INDEX(Knutepunkter!$B:$B,D3545+1))</f>
        <v/>
      </c>
      <c r="G3545" t="str">
        <f>IF(D3545="","",INDEX(Knutepunkter!$C:$C,D3545+1))</f>
        <v/>
      </c>
      <c r="H3545" t="str">
        <f>IF(D3545="","",INDEX(Knutepunkter!$D:$D,D3545+1))</f>
        <v/>
      </c>
      <c r="I3545" t="str">
        <f>IF(E3545="","",INDEX(Knutepunkter!$B:$B,E3545+1))</f>
        <v/>
      </c>
      <c r="J3545" t="str">
        <f>IF(E3545="","",INDEX(Knutepunkter!$C:$C,E3545+1))</f>
        <v/>
      </c>
      <c r="K3545" t="str">
        <f>IF(E3545="","",INDEX(Knutepunkter!$D:$D,E3545+1))</f>
        <v/>
      </c>
      <c r="L3545" t="str">
        <f t="shared" si="278"/>
        <v/>
      </c>
      <c r="M3545" t="str">
        <f t="shared" si="279"/>
        <v/>
      </c>
    </row>
    <row r="3546" spans="1:13" x14ac:dyDescent="0.3">
      <c r="A3546" t="str">
        <f>Segmenter!A3546</f>
        <v/>
      </c>
      <c r="B3546" t="str">
        <f>Segmenter!B3546</f>
        <v/>
      </c>
      <c r="C3546" t="str">
        <f t="shared" si="275"/>
        <v/>
      </c>
      <c r="D3546" t="str">
        <f t="shared" si="276"/>
        <v/>
      </c>
      <c r="E3546" t="str">
        <f t="shared" si="277"/>
        <v/>
      </c>
      <c r="F3546" t="str">
        <f>IF(D3546="","",INDEX(Knutepunkter!$B:$B,D3546+1))</f>
        <v/>
      </c>
      <c r="G3546" t="str">
        <f>IF(D3546="","",INDEX(Knutepunkter!$C:$C,D3546+1))</f>
        <v/>
      </c>
      <c r="H3546" t="str">
        <f>IF(D3546="","",INDEX(Knutepunkter!$D:$D,D3546+1))</f>
        <v/>
      </c>
      <c r="I3546" t="str">
        <f>IF(E3546="","",INDEX(Knutepunkter!$B:$B,E3546+1))</f>
        <v/>
      </c>
      <c r="J3546" t="str">
        <f>IF(E3546="","",INDEX(Knutepunkter!$C:$C,E3546+1))</f>
        <v/>
      </c>
      <c r="K3546" t="str">
        <f>IF(E3546="","",INDEX(Knutepunkter!$D:$D,E3546+1))</f>
        <v/>
      </c>
      <c r="L3546" t="str">
        <f t="shared" si="278"/>
        <v/>
      </c>
      <c r="M3546" t="str">
        <f t="shared" si="279"/>
        <v/>
      </c>
    </row>
    <row r="3547" spans="1:13" x14ac:dyDescent="0.3">
      <c r="A3547" t="str">
        <f>Segmenter!A3547</f>
        <v/>
      </c>
      <c r="B3547" t="str">
        <f>Segmenter!B3547</f>
        <v/>
      </c>
      <c r="C3547" t="str">
        <f t="shared" si="275"/>
        <v/>
      </c>
      <c r="D3547" t="str">
        <f t="shared" si="276"/>
        <v/>
      </c>
      <c r="E3547" t="str">
        <f t="shared" si="277"/>
        <v/>
      </c>
      <c r="F3547" t="str">
        <f>IF(D3547="","",INDEX(Knutepunkter!$B:$B,D3547+1))</f>
        <v/>
      </c>
      <c r="G3547" t="str">
        <f>IF(D3547="","",INDEX(Knutepunkter!$C:$C,D3547+1))</f>
        <v/>
      </c>
      <c r="H3547" t="str">
        <f>IF(D3547="","",INDEX(Knutepunkter!$D:$D,D3547+1))</f>
        <v/>
      </c>
      <c r="I3547" t="str">
        <f>IF(E3547="","",INDEX(Knutepunkter!$B:$B,E3547+1))</f>
        <v/>
      </c>
      <c r="J3547" t="str">
        <f>IF(E3547="","",INDEX(Knutepunkter!$C:$C,E3547+1))</f>
        <v/>
      </c>
      <c r="K3547" t="str">
        <f>IF(E3547="","",INDEX(Knutepunkter!$D:$D,E3547+1))</f>
        <v/>
      </c>
      <c r="L3547" t="str">
        <f t="shared" si="278"/>
        <v/>
      </c>
      <c r="M3547" t="str">
        <f t="shared" si="279"/>
        <v/>
      </c>
    </row>
    <row r="3548" spans="1:13" x14ac:dyDescent="0.3">
      <c r="A3548" t="str">
        <f>Segmenter!A3548</f>
        <v/>
      </c>
      <c r="B3548" t="str">
        <f>Segmenter!B3548</f>
        <v/>
      </c>
      <c r="C3548" t="str">
        <f t="shared" si="275"/>
        <v/>
      </c>
      <c r="D3548" t="str">
        <f t="shared" si="276"/>
        <v/>
      </c>
      <c r="E3548" t="str">
        <f t="shared" si="277"/>
        <v/>
      </c>
      <c r="F3548" t="str">
        <f>IF(D3548="","",INDEX(Knutepunkter!$B:$B,D3548+1))</f>
        <v/>
      </c>
      <c r="G3548" t="str">
        <f>IF(D3548="","",INDEX(Knutepunkter!$C:$C,D3548+1))</f>
        <v/>
      </c>
      <c r="H3548" t="str">
        <f>IF(D3548="","",INDEX(Knutepunkter!$D:$D,D3548+1))</f>
        <v/>
      </c>
      <c r="I3548" t="str">
        <f>IF(E3548="","",INDEX(Knutepunkter!$B:$B,E3548+1))</f>
        <v/>
      </c>
      <c r="J3548" t="str">
        <f>IF(E3548="","",INDEX(Knutepunkter!$C:$C,E3548+1))</f>
        <v/>
      </c>
      <c r="K3548" t="str">
        <f>IF(E3548="","",INDEX(Knutepunkter!$D:$D,E3548+1))</f>
        <v/>
      </c>
      <c r="L3548" t="str">
        <f t="shared" si="278"/>
        <v/>
      </c>
      <c r="M3548" t="str">
        <f t="shared" si="279"/>
        <v/>
      </c>
    </row>
    <row r="3549" spans="1:13" x14ac:dyDescent="0.3">
      <c r="A3549" t="str">
        <f>Segmenter!A3549</f>
        <v/>
      </c>
      <c r="B3549" t="str">
        <f>Segmenter!B3549</f>
        <v/>
      </c>
      <c r="C3549" t="str">
        <f t="shared" si="275"/>
        <v/>
      </c>
      <c r="D3549" t="str">
        <f t="shared" si="276"/>
        <v/>
      </c>
      <c r="E3549" t="str">
        <f t="shared" si="277"/>
        <v/>
      </c>
      <c r="F3549" t="str">
        <f>IF(D3549="","",INDEX(Knutepunkter!$B:$B,D3549+1))</f>
        <v/>
      </c>
      <c r="G3549" t="str">
        <f>IF(D3549="","",INDEX(Knutepunkter!$C:$C,D3549+1))</f>
        <v/>
      </c>
      <c r="H3549" t="str">
        <f>IF(D3549="","",INDEX(Knutepunkter!$D:$D,D3549+1))</f>
        <v/>
      </c>
      <c r="I3549" t="str">
        <f>IF(E3549="","",INDEX(Knutepunkter!$B:$B,E3549+1))</f>
        <v/>
      </c>
      <c r="J3549" t="str">
        <f>IF(E3549="","",INDEX(Knutepunkter!$C:$C,E3549+1))</f>
        <v/>
      </c>
      <c r="K3549" t="str">
        <f>IF(E3549="","",INDEX(Knutepunkter!$D:$D,E3549+1))</f>
        <v/>
      </c>
      <c r="L3549" t="str">
        <f t="shared" si="278"/>
        <v/>
      </c>
      <c r="M3549" t="str">
        <f t="shared" si="279"/>
        <v/>
      </c>
    </row>
    <row r="3550" spans="1:13" x14ac:dyDescent="0.3">
      <c r="A3550" t="str">
        <f>Segmenter!A3550</f>
        <v/>
      </c>
      <c r="B3550" t="str">
        <f>Segmenter!B3550</f>
        <v/>
      </c>
      <c r="C3550" t="str">
        <f t="shared" si="275"/>
        <v/>
      </c>
      <c r="D3550" t="str">
        <f t="shared" si="276"/>
        <v/>
      </c>
      <c r="E3550" t="str">
        <f t="shared" si="277"/>
        <v/>
      </c>
      <c r="F3550" t="str">
        <f>IF(D3550="","",INDEX(Knutepunkter!$B:$B,D3550+1))</f>
        <v/>
      </c>
      <c r="G3550" t="str">
        <f>IF(D3550="","",INDEX(Knutepunkter!$C:$C,D3550+1))</f>
        <v/>
      </c>
      <c r="H3550" t="str">
        <f>IF(D3550="","",INDEX(Knutepunkter!$D:$D,D3550+1))</f>
        <v/>
      </c>
      <c r="I3550" t="str">
        <f>IF(E3550="","",INDEX(Knutepunkter!$B:$B,E3550+1))</f>
        <v/>
      </c>
      <c r="J3550" t="str">
        <f>IF(E3550="","",INDEX(Knutepunkter!$C:$C,E3550+1))</f>
        <v/>
      </c>
      <c r="K3550" t="str">
        <f>IF(E3550="","",INDEX(Knutepunkter!$D:$D,E3550+1))</f>
        <v/>
      </c>
      <c r="L3550" t="str">
        <f t="shared" si="278"/>
        <v/>
      </c>
      <c r="M3550" t="str">
        <f t="shared" si="279"/>
        <v/>
      </c>
    </row>
    <row r="3551" spans="1:13" x14ac:dyDescent="0.3">
      <c r="A3551" t="str">
        <f>Segmenter!A3551</f>
        <v/>
      </c>
      <c r="B3551" t="str">
        <f>Segmenter!B3551</f>
        <v/>
      </c>
      <c r="C3551" t="str">
        <f t="shared" si="275"/>
        <v/>
      </c>
      <c r="D3551" t="str">
        <f t="shared" si="276"/>
        <v/>
      </c>
      <c r="E3551" t="str">
        <f t="shared" si="277"/>
        <v/>
      </c>
      <c r="F3551" t="str">
        <f>IF(D3551="","",INDEX(Knutepunkter!$B:$B,D3551+1))</f>
        <v/>
      </c>
      <c r="G3551" t="str">
        <f>IF(D3551="","",INDEX(Knutepunkter!$C:$C,D3551+1))</f>
        <v/>
      </c>
      <c r="H3551" t="str">
        <f>IF(D3551="","",INDEX(Knutepunkter!$D:$D,D3551+1))</f>
        <v/>
      </c>
      <c r="I3551" t="str">
        <f>IF(E3551="","",INDEX(Knutepunkter!$B:$B,E3551+1))</f>
        <v/>
      </c>
      <c r="J3551" t="str">
        <f>IF(E3551="","",INDEX(Knutepunkter!$C:$C,E3551+1))</f>
        <v/>
      </c>
      <c r="K3551" t="str">
        <f>IF(E3551="","",INDEX(Knutepunkter!$D:$D,E3551+1))</f>
        <v/>
      </c>
      <c r="L3551" t="str">
        <f t="shared" si="278"/>
        <v/>
      </c>
      <c r="M3551" t="str">
        <f t="shared" si="279"/>
        <v/>
      </c>
    </row>
    <row r="3552" spans="1:13" x14ac:dyDescent="0.3">
      <c r="A3552" t="str">
        <f>Segmenter!A3552</f>
        <v/>
      </c>
      <c r="B3552" t="str">
        <f>Segmenter!B3552</f>
        <v/>
      </c>
      <c r="C3552" t="str">
        <f t="shared" si="275"/>
        <v/>
      </c>
      <c r="D3552" t="str">
        <f t="shared" si="276"/>
        <v/>
      </c>
      <c r="E3552" t="str">
        <f t="shared" si="277"/>
        <v/>
      </c>
      <c r="F3552" t="str">
        <f>IF(D3552="","",INDEX(Knutepunkter!$B:$B,D3552+1))</f>
        <v/>
      </c>
      <c r="G3552" t="str">
        <f>IF(D3552="","",INDEX(Knutepunkter!$C:$C,D3552+1))</f>
        <v/>
      </c>
      <c r="H3552" t="str">
        <f>IF(D3552="","",INDEX(Knutepunkter!$D:$D,D3552+1))</f>
        <v/>
      </c>
      <c r="I3552" t="str">
        <f>IF(E3552="","",INDEX(Knutepunkter!$B:$B,E3552+1))</f>
        <v/>
      </c>
      <c r="J3552" t="str">
        <f>IF(E3552="","",INDEX(Knutepunkter!$C:$C,E3552+1))</f>
        <v/>
      </c>
      <c r="K3552" t="str">
        <f>IF(E3552="","",INDEX(Knutepunkter!$D:$D,E3552+1))</f>
        <v/>
      </c>
      <c r="L3552" t="str">
        <f t="shared" si="278"/>
        <v/>
      </c>
      <c r="M3552" t="str">
        <f t="shared" si="279"/>
        <v/>
      </c>
    </row>
    <row r="3553" spans="1:13" x14ac:dyDescent="0.3">
      <c r="A3553" t="str">
        <f>Segmenter!A3553</f>
        <v/>
      </c>
      <c r="B3553" t="str">
        <f>Segmenter!B3553</f>
        <v/>
      </c>
      <c r="C3553" t="str">
        <f t="shared" si="275"/>
        <v/>
      </c>
      <c r="D3553" t="str">
        <f t="shared" si="276"/>
        <v/>
      </c>
      <c r="E3553" t="str">
        <f t="shared" si="277"/>
        <v/>
      </c>
      <c r="F3553" t="str">
        <f>IF(D3553="","",INDEX(Knutepunkter!$B:$B,D3553+1))</f>
        <v/>
      </c>
      <c r="G3553" t="str">
        <f>IF(D3553="","",INDEX(Knutepunkter!$C:$C,D3553+1))</f>
        <v/>
      </c>
      <c r="H3553" t="str">
        <f>IF(D3553="","",INDEX(Knutepunkter!$D:$D,D3553+1))</f>
        <v/>
      </c>
      <c r="I3553" t="str">
        <f>IF(E3553="","",INDEX(Knutepunkter!$B:$B,E3553+1))</f>
        <v/>
      </c>
      <c r="J3553" t="str">
        <f>IF(E3553="","",INDEX(Knutepunkter!$C:$C,E3553+1))</f>
        <v/>
      </c>
      <c r="K3553" t="str">
        <f>IF(E3553="","",INDEX(Knutepunkter!$D:$D,E3553+1))</f>
        <v/>
      </c>
      <c r="L3553" t="str">
        <f t="shared" si="278"/>
        <v/>
      </c>
      <c r="M3553" t="str">
        <f t="shared" si="279"/>
        <v/>
      </c>
    </row>
    <row r="3554" spans="1:13" x14ac:dyDescent="0.3">
      <c r="A3554" t="str">
        <f>Segmenter!A3554</f>
        <v/>
      </c>
      <c r="B3554" t="str">
        <f>Segmenter!B3554</f>
        <v/>
      </c>
      <c r="C3554" t="str">
        <f t="shared" si="275"/>
        <v/>
      </c>
      <c r="D3554" t="str">
        <f t="shared" si="276"/>
        <v/>
      </c>
      <c r="E3554" t="str">
        <f t="shared" si="277"/>
        <v/>
      </c>
      <c r="F3554" t="str">
        <f>IF(D3554="","",INDEX(Knutepunkter!$B:$B,D3554+1))</f>
        <v/>
      </c>
      <c r="G3554" t="str">
        <f>IF(D3554="","",INDEX(Knutepunkter!$C:$C,D3554+1))</f>
        <v/>
      </c>
      <c r="H3554" t="str">
        <f>IF(D3554="","",INDEX(Knutepunkter!$D:$D,D3554+1))</f>
        <v/>
      </c>
      <c r="I3554" t="str">
        <f>IF(E3554="","",INDEX(Knutepunkter!$B:$B,E3554+1))</f>
        <v/>
      </c>
      <c r="J3554" t="str">
        <f>IF(E3554="","",INDEX(Knutepunkter!$C:$C,E3554+1))</f>
        <v/>
      </c>
      <c r="K3554" t="str">
        <f>IF(E3554="","",INDEX(Knutepunkter!$D:$D,E3554+1))</f>
        <v/>
      </c>
      <c r="L3554" t="str">
        <f t="shared" si="278"/>
        <v/>
      </c>
      <c r="M3554" t="str">
        <f t="shared" si="279"/>
        <v/>
      </c>
    </row>
    <row r="3555" spans="1:13" x14ac:dyDescent="0.3">
      <c r="A3555" t="str">
        <f>Segmenter!A3555</f>
        <v/>
      </c>
      <c r="B3555" t="str">
        <f>Segmenter!B3555</f>
        <v/>
      </c>
      <c r="C3555" t="str">
        <f t="shared" si="275"/>
        <v/>
      </c>
      <c r="D3555" t="str">
        <f t="shared" si="276"/>
        <v/>
      </c>
      <c r="E3555" t="str">
        <f t="shared" si="277"/>
        <v/>
      </c>
      <c r="F3555" t="str">
        <f>IF(D3555="","",INDEX(Knutepunkter!$B:$B,D3555+1))</f>
        <v/>
      </c>
      <c r="G3555" t="str">
        <f>IF(D3555="","",INDEX(Knutepunkter!$C:$C,D3555+1))</f>
        <v/>
      </c>
      <c r="H3555" t="str">
        <f>IF(D3555="","",INDEX(Knutepunkter!$D:$D,D3555+1))</f>
        <v/>
      </c>
      <c r="I3555" t="str">
        <f>IF(E3555="","",INDEX(Knutepunkter!$B:$B,E3555+1))</f>
        <v/>
      </c>
      <c r="J3555" t="str">
        <f>IF(E3555="","",INDEX(Knutepunkter!$C:$C,E3555+1))</f>
        <v/>
      </c>
      <c r="K3555" t="str">
        <f>IF(E3555="","",INDEX(Knutepunkter!$D:$D,E3555+1))</f>
        <v/>
      </c>
      <c r="L3555" t="str">
        <f t="shared" si="278"/>
        <v/>
      </c>
      <c r="M3555" t="str">
        <f t="shared" si="279"/>
        <v/>
      </c>
    </row>
    <row r="3556" spans="1:13" x14ac:dyDescent="0.3">
      <c r="A3556" t="str">
        <f>Segmenter!A3556</f>
        <v/>
      </c>
      <c r="B3556" t="str">
        <f>Segmenter!B3556</f>
        <v/>
      </c>
      <c r="C3556" t="str">
        <f t="shared" si="275"/>
        <v/>
      </c>
      <c r="D3556" t="str">
        <f t="shared" si="276"/>
        <v/>
      </c>
      <c r="E3556" t="str">
        <f t="shared" si="277"/>
        <v/>
      </c>
      <c r="F3556" t="str">
        <f>IF(D3556="","",INDEX(Knutepunkter!$B:$B,D3556+1))</f>
        <v/>
      </c>
      <c r="G3556" t="str">
        <f>IF(D3556="","",INDEX(Knutepunkter!$C:$C,D3556+1))</f>
        <v/>
      </c>
      <c r="H3556" t="str">
        <f>IF(D3556="","",INDEX(Knutepunkter!$D:$D,D3556+1))</f>
        <v/>
      </c>
      <c r="I3556" t="str">
        <f>IF(E3556="","",INDEX(Knutepunkter!$B:$B,E3556+1))</f>
        <v/>
      </c>
      <c r="J3556" t="str">
        <f>IF(E3556="","",INDEX(Knutepunkter!$C:$C,E3556+1))</f>
        <v/>
      </c>
      <c r="K3556" t="str">
        <f>IF(E3556="","",INDEX(Knutepunkter!$D:$D,E3556+1))</f>
        <v/>
      </c>
      <c r="L3556" t="str">
        <f t="shared" si="278"/>
        <v/>
      </c>
      <c r="M3556" t="str">
        <f t="shared" si="279"/>
        <v/>
      </c>
    </row>
    <row r="3557" spans="1:13" x14ac:dyDescent="0.3">
      <c r="A3557" t="str">
        <f>Segmenter!A3557</f>
        <v/>
      </c>
      <c r="B3557" t="str">
        <f>Segmenter!B3557</f>
        <v/>
      </c>
      <c r="C3557" t="str">
        <f t="shared" si="275"/>
        <v/>
      </c>
      <c r="D3557" t="str">
        <f t="shared" si="276"/>
        <v/>
      </c>
      <c r="E3557" t="str">
        <f t="shared" si="277"/>
        <v/>
      </c>
      <c r="F3557" t="str">
        <f>IF(D3557="","",INDEX(Knutepunkter!$B:$B,D3557+1))</f>
        <v/>
      </c>
      <c r="G3557" t="str">
        <f>IF(D3557="","",INDEX(Knutepunkter!$C:$C,D3557+1))</f>
        <v/>
      </c>
      <c r="H3557" t="str">
        <f>IF(D3557="","",INDEX(Knutepunkter!$D:$D,D3557+1))</f>
        <v/>
      </c>
      <c r="I3557" t="str">
        <f>IF(E3557="","",INDEX(Knutepunkter!$B:$B,E3557+1))</f>
        <v/>
      </c>
      <c r="J3557" t="str">
        <f>IF(E3557="","",INDEX(Knutepunkter!$C:$C,E3557+1))</f>
        <v/>
      </c>
      <c r="K3557" t="str">
        <f>IF(E3557="","",INDEX(Knutepunkter!$D:$D,E3557+1))</f>
        <v/>
      </c>
      <c r="L3557" t="str">
        <f t="shared" si="278"/>
        <v/>
      </c>
      <c r="M3557" t="str">
        <f t="shared" si="279"/>
        <v/>
      </c>
    </row>
    <row r="3558" spans="1:13" x14ac:dyDescent="0.3">
      <c r="A3558" t="str">
        <f>Segmenter!A3558</f>
        <v/>
      </c>
      <c r="B3558" t="str">
        <f>Segmenter!B3558</f>
        <v/>
      </c>
      <c r="C3558" t="str">
        <f t="shared" si="275"/>
        <v/>
      </c>
      <c r="D3558" t="str">
        <f t="shared" si="276"/>
        <v/>
      </c>
      <c r="E3558" t="str">
        <f t="shared" si="277"/>
        <v/>
      </c>
      <c r="F3558" t="str">
        <f>IF(D3558="","",INDEX(Knutepunkter!$B:$B,D3558+1))</f>
        <v/>
      </c>
      <c r="G3558" t="str">
        <f>IF(D3558="","",INDEX(Knutepunkter!$C:$C,D3558+1))</f>
        <v/>
      </c>
      <c r="H3558" t="str">
        <f>IF(D3558="","",INDEX(Knutepunkter!$D:$D,D3558+1))</f>
        <v/>
      </c>
      <c r="I3558" t="str">
        <f>IF(E3558="","",INDEX(Knutepunkter!$B:$B,E3558+1))</f>
        <v/>
      </c>
      <c r="J3558" t="str">
        <f>IF(E3558="","",INDEX(Knutepunkter!$C:$C,E3558+1))</f>
        <v/>
      </c>
      <c r="K3558" t="str">
        <f>IF(E3558="","",INDEX(Knutepunkter!$D:$D,E3558+1))</f>
        <v/>
      </c>
      <c r="L3558" t="str">
        <f t="shared" si="278"/>
        <v/>
      </c>
      <c r="M3558" t="str">
        <f t="shared" si="279"/>
        <v/>
      </c>
    </row>
    <row r="3559" spans="1:13" x14ac:dyDescent="0.3">
      <c r="A3559" t="str">
        <f>Segmenter!A3559</f>
        <v/>
      </c>
      <c r="B3559" t="str">
        <f>Segmenter!B3559</f>
        <v/>
      </c>
      <c r="C3559" t="str">
        <f t="shared" si="275"/>
        <v/>
      </c>
      <c r="D3559" t="str">
        <f t="shared" si="276"/>
        <v/>
      </c>
      <c r="E3559" t="str">
        <f t="shared" si="277"/>
        <v/>
      </c>
      <c r="F3559" t="str">
        <f>IF(D3559="","",INDEX(Knutepunkter!$B:$B,D3559+1))</f>
        <v/>
      </c>
      <c r="G3559" t="str">
        <f>IF(D3559="","",INDEX(Knutepunkter!$C:$C,D3559+1))</f>
        <v/>
      </c>
      <c r="H3559" t="str">
        <f>IF(D3559="","",INDEX(Knutepunkter!$D:$D,D3559+1))</f>
        <v/>
      </c>
      <c r="I3559" t="str">
        <f>IF(E3559="","",INDEX(Knutepunkter!$B:$B,E3559+1))</f>
        <v/>
      </c>
      <c r="J3559" t="str">
        <f>IF(E3559="","",INDEX(Knutepunkter!$C:$C,E3559+1))</f>
        <v/>
      </c>
      <c r="K3559" t="str">
        <f>IF(E3559="","",INDEX(Knutepunkter!$D:$D,E3559+1))</f>
        <v/>
      </c>
      <c r="L3559" t="str">
        <f t="shared" si="278"/>
        <v/>
      </c>
      <c r="M3559" t="str">
        <f t="shared" si="279"/>
        <v/>
      </c>
    </row>
    <row r="3560" spans="1:13" x14ac:dyDescent="0.3">
      <c r="A3560" t="str">
        <f>Segmenter!A3560</f>
        <v/>
      </c>
      <c r="B3560" t="str">
        <f>Segmenter!B3560</f>
        <v/>
      </c>
      <c r="C3560" t="str">
        <f t="shared" si="275"/>
        <v/>
      </c>
      <c r="D3560" t="str">
        <f t="shared" si="276"/>
        <v/>
      </c>
      <c r="E3560" t="str">
        <f t="shared" si="277"/>
        <v/>
      </c>
      <c r="F3560" t="str">
        <f>IF(D3560="","",INDEX(Knutepunkter!$B:$B,D3560+1))</f>
        <v/>
      </c>
      <c r="G3560" t="str">
        <f>IF(D3560="","",INDEX(Knutepunkter!$C:$C,D3560+1))</f>
        <v/>
      </c>
      <c r="H3560" t="str">
        <f>IF(D3560="","",INDEX(Knutepunkter!$D:$D,D3560+1))</f>
        <v/>
      </c>
      <c r="I3560" t="str">
        <f>IF(E3560="","",INDEX(Knutepunkter!$B:$B,E3560+1))</f>
        <v/>
      </c>
      <c r="J3560" t="str">
        <f>IF(E3560="","",INDEX(Knutepunkter!$C:$C,E3560+1))</f>
        <v/>
      </c>
      <c r="K3560" t="str">
        <f>IF(E3560="","",INDEX(Knutepunkter!$D:$D,E3560+1))</f>
        <v/>
      </c>
      <c r="L3560" t="str">
        <f t="shared" si="278"/>
        <v/>
      </c>
      <c r="M3560" t="str">
        <f t="shared" si="279"/>
        <v/>
      </c>
    </row>
    <row r="3561" spans="1:13" x14ac:dyDescent="0.3">
      <c r="A3561" t="str">
        <f>Segmenter!A3561</f>
        <v/>
      </c>
      <c r="B3561" t="str">
        <f>Segmenter!B3561</f>
        <v/>
      </c>
      <c r="C3561" t="str">
        <f t="shared" si="275"/>
        <v/>
      </c>
      <c r="D3561" t="str">
        <f t="shared" si="276"/>
        <v/>
      </c>
      <c r="E3561" t="str">
        <f t="shared" si="277"/>
        <v/>
      </c>
      <c r="F3561" t="str">
        <f>IF(D3561="","",INDEX(Knutepunkter!$B:$B,D3561+1))</f>
        <v/>
      </c>
      <c r="G3561" t="str">
        <f>IF(D3561="","",INDEX(Knutepunkter!$C:$C,D3561+1))</f>
        <v/>
      </c>
      <c r="H3561" t="str">
        <f>IF(D3561="","",INDEX(Knutepunkter!$D:$D,D3561+1))</f>
        <v/>
      </c>
      <c r="I3561" t="str">
        <f>IF(E3561="","",INDEX(Knutepunkter!$B:$B,E3561+1))</f>
        <v/>
      </c>
      <c r="J3561" t="str">
        <f>IF(E3561="","",INDEX(Knutepunkter!$C:$C,E3561+1))</f>
        <v/>
      </c>
      <c r="K3561" t="str">
        <f>IF(E3561="","",INDEX(Knutepunkter!$D:$D,E3561+1))</f>
        <v/>
      </c>
      <c r="L3561" t="str">
        <f t="shared" si="278"/>
        <v/>
      </c>
      <c r="M3561" t="str">
        <f t="shared" si="279"/>
        <v/>
      </c>
    </row>
    <row r="3562" spans="1:13" x14ac:dyDescent="0.3">
      <c r="A3562" t="str">
        <f>Segmenter!A3562</f>
        <v/>
      </c>
      <c r="B3562" t="str">
        <f>Segmenter!B3562</f>
        <v/>
      </c>
      <c r="C3562" t="str">
        <f t="shared" si="275"/>
        <v/>
      </c>
      <c r="D3562" t="str">
        <f t="shared" si="276"/>
        <v/>
      </c>
      <c r="E3562" t="str">
        <f t="shared" si="277"/>
        <v/>
      </c>
      <c r="F3562" t="str">
        <f>IF(D3562="","",INDEX(Knutepunkter!$B:$B,D3562+1))</f>
        <v/>
      </c>
      <c r="G3562" t="str">
        <f>IF(D3562="","",INDEX(Knutepunkter!$C:$C,D3562+1))</f>
        <v/>
      </c>
      <c r="H3562" t="str">
        <f>IF(D3562="","",INDEX(Knutepunkter!$D:$D,D3562+1))</f>
        <v/>
      </c>
      <c r="I3562" t="str">
        <f>IF(E3562="","",INDEX(Knutepunkter!$B:$B,E3562+1))</f>
        <v/>
      </c>
      <c r="J3562" t="str">
        <f>IF(E3562="","",INDEX(Knutepunkter!$C:$C,E3562+1))</f>
        <v/>
      </c>
      <c r="K3562" t="str">
        <f>IF(E3562="","",INDEX(Knutepunkter!$D:$D,E3562+1))</f>
        <v/>
      </c>
      <c r="L3562" t="str">
        <f t="shared" si="278"/>
        <v/>
      </c>
      <c r="M3562" t="str">
        <f t="shared" si="279"/>
        <v/>
      </c>
    </row>
    <row r="3563" spans="1:13" x14ac:dyDescent="0.3">
      <c r="A3563" t="str">
        <f>Segmenter!A3563</f>
        <v/>
      </c>
      <c r="B3563" t="str">
        <f>Segmenter!B3563</f>
        <v/>
      </c>
      <c r="C3563" t="str">
        <f t="shared" si="275"/>
        <v/>
      </c>
      <c r="D3563" t="str">
        <f t="shared" si="276"/>
        <v/>
      </c>
      <c r="E3563" t="str">
        <f t="shared" si="277"/>
        <v/>
      </c>
      <c r="F3563" t="str">
        <f>IF(D3563="","",INDEX(Knutepunkter!$B:$B,D3563+1))</f>
        <v/>
      </c>
      <c r="G3563" t="str">
        <f>IF(D3563="","",INDEX(Knutepunkter!$C:$C,D3563+1))</f>
        <v/>
      </c>
      <c r="H3563" t="str">
        <f>IF(D3563="","",INDEX(Knutepunkter!$D:$D,D3563+1))</f>
        <v/>
      </c>
      <c r="I3563" t="str">
        <f>IF(E3563="","",INDEX(Knutepunkter!$B:$B,E3563+1))</f>
        <v/>
      </c>
      <c r="J3563" t="str">
        <f>IF(E3563="","",INDEX(Knutepunkter!$C:$C,E3563+1))</f>
        <v/>
      </c>
      <c r="K3563" t="str">
        <f>IF(E3563="","",INDEX(Knutepunkter!$D:$D,E3563+1))</f>
        <v/>
      </c>
      <c r="L3563" t="str">
        <f t="shared" si="278"/>
        <v/>
      </c>
      <c r="M3563" t="str">
        <f t="shared" si="279"/>
        <v/>
      </c>
    </row>
    <row r="3564" spans="1:13" x14ac:dyDescent="0.3">
      <c r="A3564" t="str">
        <f>Segmenter!A3564</f>
        <v/>
      </c>
      <c r="B3564" t="str">
        <f>Segmenter!B3564</f>
        <v/>
      </c>
      <c r="C3564" t="str">
        <f t="shared" si="275"/>
        <v/>
      </c>
      <c r="D3564" t="str">
        <f t="shared" si="276"/>
        <v/>
      </c>
      <c r="E3564" t="str">
        <f t="shared" si="277"/>
        <v/>
      </c>
      <c r="F3564" t="str">
        <f>IF(D3564="","",INDEX(Knutepunkter!$B:$B,D3564+1))</f>
        <v/>
      </c>
      <c r="G3564" t="str">
        <f>IF(D3564="","",INDEX(Knutepunkter!$C:$C,D3564+1))</f>
        <v/>
      </c>
      <c r="H3564" t="str">
        <f>IF(D3564="","",INDEX(Knutepunkter!$D:$D,D3564+1))</f>
        <v/>
      </c>
      <c r="I3564" t="str">
        <f>IF(E3564="","",INDEX(Knutepunkter!$B:$B,E3564+1))</f>
        <v/>
      </c>
      <c r="J3564" t="str">
        <f>IF(E3564="","",INDEX(Knutepunkter!$C:$C,E3564+1))</f>
        <v/>
      </c>
      <c r="K3564" t="str">
        <f>IF(E3564="","",INDEX(Knutepunkter!$D:$D,E3564+1))</f>
        <v/>
      </c>
      <c r="L3564" t="str">
        <f t="shared" si="278"/>
        <v/>
      </c>
      <c r="M3564" t="str">
        <f t="shared" si="279"/>
        <v/>
      </c>
    </row>
    <row r="3565" spans="1:13" x14ac:dyDescent="0.3">
      <c r="A3565" t="str">
        <f>Segmenter!A3565</f>
        <v/>
      </c>
      <c r="B3565" t="str">
        <f>Segmenter!B3565</f>
        <v/>
      </c>
      <c r="C3565" t="str">
        <f t="shared" si="275"/>
        <v/>
      </c>
      <c r="D3565" t="str">
        <f t="shared" si="276"/>
        <v/>
      </c>
      <c r="E3565" t="str">
        <f t="shared" si="277"/>
        <v/>
      </c>
      <c r="F3565" t="str">
        <f>IF(D3565="","",INDEX(Knutepunkter!$B:$B,D3565+1))</f>
        <v/>
      </c>
      <c r="G3565" t="str">
        <f>IF(D3565="","",INDEX(Knutepunkter!$C:$C,D3565+1))</f>
        <v/>
      </c>
      <c r="H3565" t="str">
        <f>IF(D3565="","",INDEX(Knutepunkter!$D:$D,D3565+1))</f>
        <v/>
      </c>
      <c r="I3565" t="str">
        <f>IF(E3565="","",INDEX(Knutepunkter!$B:$B,E3565+1))</f>
        <v/>
      </c>
      <c r="J3565" t="str">
        <f>IF(E3565="","",INDEX(Knutepunkter!$C:$C,E3565+1))</f>
        <v/>
      </c>
      <c r="K3565" t="str">
        <f>IF(E3565="","",INDEX(Knutepunkter!$D:$D,E3565+1))</f>
        <v/>
      </c>
      <c r="L3565" t="str">
        <f t="shared" si="278"/>
        <v/>
      </c>
      <c r="M3565" t="str">
        <f t="shared" si="279"/>
        <v/>
      </c>
    </row>
    <row r="3566" spans="1:13" x14ac:dyDescent="0.3">
      <c r="A3566" t="str">
        <f>Segmenter!A3566</f>
        <v/>
      </c>
      <c r="B3566" t="str">
        <f>Segmenter!B3566</f>
        <v/>
      </c>
      <c r="C3566" t="str">
        <f t="shared" si="275"/>
        <v/>
      </c>
      <c r="D3566" t="str">
        <f t="shared" si="276"/>
        <v/>
      </c>
      <c r="E3566" t="str">
        <f t="shared" si="277"/>
        <v/>
      </c>
      <c r="F3566" t="str">
        <f>IF(D3566="","",INDEX(Knutepunkter!$B:$B,D3566+1))</f>
        <v/>
      </c>
      <c r="G3566" t="str">
        <f>IF(D3566="","",INDEX(Knutepunkter!$C:$C,D3566+1))</f>
        <v/>
      </c>
      <c r="H3566" t="str">
        <f>IF(D3566="","",INDEX(Knutepunkter!$D:$D,D3566+1))</f>
        <v/>
      </c>
      <c r="I3566" t="str">
        <f>IF(E3566="","",INDEX(Knutepunkter!$B:$B,E3566+1))</f>
        <v/>
      </c>
      <c r="J3566" t="str">
        <f>IF(E3566="","",INDEX(Knutepunkter!$C:$C,E3566+1))</f>
        <v/>
      </c>
      <c r="K3566" t="str">
        <f>IF(E3566="","",INDEX(Knutepunkter!$D:$D,E3566+1))</f>
        <v/>
      </c>
      <c r="L3566" t="str">
        <f t="shared" si="278"/>
        <v/>
      </c>
      <c r="M3566" t="str">
        <f t="shared" si="279"/>
        <v/>
      </c>
    </row>
    <row r="3567" spans="1:13" x14ac:dyDescent="0.3">
      <c r="A3567" t="str">
        <f>Segmenter!A3567</f>
        <v/>
      </c>
      <c r="B3567" t="str">
        <f>Segmenter!B3567</f>
        <v/>
      </c>
      <c r="C3567" t="str">
        <f t="shared" si="275"/>
        <v/>
      </c>
      <c r="D3567" t="str">
        <f t="shared" si="276"/>
        <v/>
      </c>
      <c r="E3567" t="str">
        <f t="shared" si="277"/>
        <v/>
      </c>
      <c r="F3567" t="str">
        <f>IF(D3567="","",INDEX(Knutepunkter!$B:$B,D3567+1))</f>
        <v/>
      </c>
      <c r="G3567" t="str">
        <f>IF(D3567="","",INDEX(Knutepunkter!$C:$C,D3567+1))</f>
        <v/>
      </c>
      <c r="H3567" t="str">
        <f>IF(D3567="","",INDEX(Knutepunkter!$D:$D,D3567+1))</f>
        <v/>
      </c>
      <c r="I3567" t="str">
        <f>IF(E3567="","",INDEX(Knutepunkter!$B:$B,E3567+1))</f>
        <v/>
      </c>
      <c r="J3567" t="str">
        <f>IF(E3567="","",INDEX(Knutepunkter!$C:$C,E3567+1))</f>
        <v/>
      </c>
      <c r="K3567" t="str">
        <f>IF(E3567="","",INDEX(Knutepunkter!$D:$D,E3567+1))</f>
        <v/>
      </c>
      <c r="L3567" t="str">
        <f t="shared" si="278"/>
        <v/>
      </c>
      <c r="M3567" t="str">
        <f t="shared" si="279"/>
        <v/>
      </c>
    </row>
    <row r="3568" spans="1:13" x14ac:dyDescent="0.3">
      <c r="A3568" t="str">
        <f>Segmenter!A3568</f>
        <v/>
      </c>
      <c r="B3568" t="str">
        <f>Segmenter!B3568</f>
        <v/>
      </c>
      <c r="C3568" t="str">
        <f t="shared" si="275"/>
        <v/>
      </c>
      <c r="D3568" t="str">
        <f t="shared" si="276"/>
        <v/>
      </c>
      <c r="E3568" t="str">
        <f t="shared" si="277"/>
        <v/>
      </c>
      <c r="F3568" t="str">
        <f>IF(D3568="","",INDEX(Knutepunkter!$B:$B,D3568+1))</f>
        <v/>
      </c>
      <c r="G3568" t="str">
        <f>IF(D3568="","",INDEX(Knutepunkter!$C:$C,D3568+1))</f>
        <v/>
      </c>
      <c r="H3568" t="str">
        <f>IF(D3568="","",INDEX(Knutepunkter!$D:$D,D3568+1))</f>
        <v/>
      </c>
      <c r="I3568" t="str">
        <f>IF(E3568="","",INDEX(Knutepunkter!$B:$B,E3568+1))</f>
        <v/>
      </c>
      <c r="J3568" t="str">
        <f>IF(E3568="","",INDEX(Knutepunkter!$C:$C,E3568+1))</f>
        <v/>
      </c>
      <c r="K3568" t="str">
        <f>IF(E3568="","",INDEX(Knutepunkter!$D:$D,E3568+1))</f>
        <v/>
      </c>
      <c r="L3568" t="str">
        <f t="shared" si="278"/>
        <v/>
      </c>
      <c r="M3568" t="str">
        <f t="shared" si="279"/>
        <v/>
      </c>
    </row>
    <row r="3569" spans="1:13" x14ac:dyDescent="0.3">
      <c r="A3569" t="str">
        <f>Segmenter!A3569</f>
        <v/>
      </c>
      <c r="B3569" t="str">
        <f>Segmenter!B3569</f>
        <v/>
      </c>
      <c r="C3569" t="str">
        <f t="shared" si="275"/>
        <v/>
      </c>
      <c r="D3569" t="str">
        <f t="shared" si="276"/>
        <v/>
      </c>
      <c r="E3569" t="str">
        <f t="shared" si="277"/>
        <v/>
      </c>
      <c r="F3569" t="str">
        <f>IF(D3569="","",INDEX(Knutepunkter!$B:$B,D3569+1))</f>
        <v/>
      </c>
      <c r="G3569" t="str">
        <f>IF(D3569="","",INDEX(Knutepunkter!$C:$C,D3569+1))</f>
        <v/>
      </c>
      <c r="H3569" t="str">
        <f>IF(D3569="","",INDEX(Knutepunkter!$D:$D,D3569+1))</f>
        <v/>
      </c>
      <c r="I3569" t="str">
        <f>IF(E3569="","",INDEX(Knutepunkter!$B:$B,E3569+1))</f>
        <v/>
      </c>
      <c r="J3569" t="str">
        <f>IF(E3569="","",INDEX(Knutepunkter!$C:$C,E3569+1))</f>
        <v/>
      </c>
      <c r="K3569" t="str">
        <f>IF(E3569="","",INDEX(Knutepunkter!$D:$D,E3569+1))</f>
        <v/>
      </c>
      <c r="L3569" t="str">
        <f t="shared" si="278"/>
        <v/>
      </c>
      <c r="M3569" t="str">
        <f t="shared" si="279"/>
        <v/>
      </c>
    </row>
    <row r="3570" spans="1:13" x14ac:dyDescent="0.3">
      <c r="A3570" t="str">
        <f>Segmenter!A3570</f>
        <v/>
      </c>
      <c r="B3570" t="str">
        <f>Segmenter!B3570</f>
        <v/>
      </c>
      <c r="C3570" t="str">
        <f t="shared" si="275"/>
        <v/>
      </c>
      <c r="D3570" t="str">
        <f t="shared" si="276"/>
        <v/>
      </c>
      <c r="E3570" t="str">
        <f t="shared" si="277"/>
        <v/>
      </c>
      <c r="F3570" t="str">
        <f>IF(D3570="","",INDEX(Knutepunkter!$B:$B,D3570+1))</f>
        <v/>
      </c>
      <c r="G3570" t="str">
        <f>IF(D3570="","",INDEX(Knutepunkter!$C:$C,D3570+1))</f>
        <v/>
      </c>
      <c r="H3570" t="str">
        <f>IF(D3570="","",INDEX(Knutepunkter!$D:$D,D3570+1))</f>
        <v/>
      </c>
      <c r="I3570" t="str">
        <f>IF(E3570="","",INDEX(Knutepunkter!$B:$B,E3570+1))</f>
        <v/>
      </c>
      <c r="J3570" t="str">
        <f>IF(E3570="","",INDEX(Knutepunkter!$C:$C,E3570+1))</f>
        <v/>
      </c>
      <c r="K3570" t="str">
        <f>IF(E3570="","",INDEX(Knutepunkter!$D:$D,E3570+1))</f>
        <v/>
      </c>
      <c r="L3570" t="str">
        <f t="shared" si="278"/>
        <v/>
      </c>
      <c r="M3570" t="str">
        <f t="shared" si="279"/>
        <v/>
      </c>
    </row>
    <row r="3571" spans="1:13" x14ac:dyDescent="0.3">
      <c r="A3571" t="str">
        <f>Segmenter!A3571</f>
        <v/>
      </c>
      <c r="B3571" t="str">
        <f>Segmenter!B3571</f>
        <v/>
      </c>
      <c r="C3571" t="str">
        <f t="shared" si="275"/>
        <v/>
      </c>
      <c r="D3571" t="str">
        <f t="shared" si="276"/>
        <v/>
      </c>
      <c r="E3571" t="str">
        <f t="shared" si="277"/>
        <v/>
      </c>
      <c r="F3571" t="str">
        <f>IF(D3571="","",INDEX(Knutepunkter!$B:$B,D3571+1))</f>
        <v/>
      </c>
      <c r="G3571" t="str">
        <f>IF(D3571="","",INDEX(Knutepunkter!$C:$C,D3571+1))</f>
        <v/>
      </c>
      <c r="H3571" t="str">
        <f>IF(D3571="","",INDEX(Knutepunkter!$D:$D,D3571+1))</f>
        <v/>
      </c>
      <c r="I3571" t="str">
        <f>IF(E3571="","",INDEX(Knutepunkter!$B:$B,E3571+1))</f>
        <v/>
      </c>
      <c r="J3571" t="str">
        <f>IF(E3571="","",INDEX(Knutepunkter!$C:$C,E3571+1))</f>
        <v/>
      </c>
      <c r="K3571" t="str">
        <f>IF(E3571="","",INDEX(Knutepunkter!$D:$D,E3571+1))</f>
        <v/>
      </c>
      <c r="L3571" t="str">
        <f t="shared" si="278"/>
        <v/>
      </c>
      <c r="M3571" t="str">
        <f t="shared" si="279"/>
        <v/>
      </c>
    </row>
    <row r="3572" spans="1:13" x14ac:dyDescent="0.3">
      <c r="A3572" t="str">
        <f>Segmenter!A3572</f>
        <v/>
      </c>
      <c r="B3572" t="str">
        <f>Segmenter!B3572</f>
        <v/>
      </c>
      <c r="C3572" t="str">
        <f t="shared" si="275"/>
        <v/>
      </c>
      <c r="D3572" t="str">
        <f t="shared" si="276"/>
        <v/>
      </c>
      <c r="E3572" t="str">
        <f t="shared" si="277"/>
        <v/>
      </c>
      <c r="F3572" t="str">
        <f>IF(D3572="","",INDEX(Knutepunkter!$B:$B,D3572+1))</f>
        <v/>
      </c>
      <c r="G3572" t="str">
        <f>IF(D3572="","",INDEX(Knutepunkter!$C:$C,D3572+1))</f>
        <v/>
      </c>
      <c r="H3572" t="str">
        <f>IF(D3572="","",INDEX(Knutepunkter!$D:$D,D3572+1))</f>
        <v/>
      </c>
      <c r="I3572" t="str">
        <f>IF(E3572="","",INDEX(Knutepunkter!$B:$B,E3572+1))</f>
        <v/>
      </c>
      <c r="J3572" t="str">
        <f>IF(E3572="","",INDEX(Knutepunkter!$C:$C,E3572+1))</f>
        <v/>
      </c>
      <c r="K3572" t="str">
        <f>IF(E3572="","",INDEX(Knutepunkter!$D:$D,E3572+1))</f>
        <v/>
      </c>
      <c r="L3572" t="str">
        <f t="shared" si="278"/>
        <v/>
      </c>
      <c r="M3572" t="str">
        <f t="shared" si="279"/>
        <v/>
      </c>
    </row>
    <row r="3573" spans="1:13" x14ac:dyDescent="0.3">
      <c r="A3573" t="str">
        <f>Segmenter!A3573</f>
        <v/>
      </c>
      <c r="B3573" t="str">
        <f>Segmenter!B3573</f>
        <v/>
      </c>
      <c r="C3573" t="str">
        <f t="shared" si="275"/>
        <v/>
      </c>
      <c r="D3573" t="str">
        <f t="shared" si="276"/>
        <v/>
      </c>
      <c r="E3573" t="str">
        <f t="shared" si="277"/>
        <v/>
      </c>
      <c r="F3573" t="str">
        <f>IF(D3573="","",INDEX(Knutepunkter!$B:$B,D3573+1))</f>
        <v/>
      </c>
      <c r="G3573" t="str">
        <f>IF(D3573="","",INDEX(Knutepunkter!$C:$C,D3573+1))</f>
        <v/>
      </c>
      <c r="H3573" t="str">
        <f>IF(D3573="","",INDEX(Knutepunkter!$D:$D,D3573+1))</f>
        <v/>
      </c>
      <c r="I3573" t="str">
        <f>IF(E3573="","",INDEX(Knutepunkter!$B:$B,E3573+1))</f>
        <v/>
      </c>
      <c r="J3573" t="str">
        <f>IF(E3573="","",INDEX(Knutepunkter!$C:$C,E3573+1))</f>
        <v/>
      </c>
      <c r="K3573" t="str">
        <f>IF(E3573="","",INDEX(Knutepunkter!$D:$D,E3573+1))</f>
        <v/>
      </c>
      <c r="L3573" t="str">
        <f t="shared" si="278"/>
        <v/>
      </c>
      <c r="M3573" t="str">
        <f t="shared" si="279"/>
        <v/>
      </c>
    </row>
    <row r="3574" spans="1:13" x14ac:dyDescent="0.3">
      <c r="A3574" t="str">
        <f>Segmenter!A3574</f>
        <v/>
      </c>
      <c r="B3574" t="str">
        <f>Segmenter!B3574</f>
        <v/>
      </c>
      <c r="C3574" t="str">
        <f t="shared" si="275"/>
        <v/>
      </c>
      <c r="D3574" t="str">
        <f t="shared" si="276"/>
        <v/>
      </c>
      <c r="E3574" t="str">
        <f t="shared" si="277"/>
        <v/>
      </c>
      <c r="F3574" t="str">
        <f>IF(D3574="","",INDEX(Knutepunkter!$B:$B,D3574+1))</f>
        <v/>
      </c>
      <c r="G3574" t="str">
        <f>IF(D3574="","",INDEX(Knutepunkter!$C:$C,D3574+1))</f>
        <v/>
      </c>
      <c r="H3574" t="str">
        <f>IF(D3574="","",INDEX(Knutepunkter!$D:$D,D3574+1))</f>
        <v/>
      </c>
      <c r="I3574" t="str">
        <f>IF(E3574="","",INDEX(Knutepunkter!$B:$B,E3574+1))</f>
        <v/>
      </c>
      <c r="J3574" t="str">
        <f>IF(E3574="","",INDEX(Knutepunkter!$C:$C,E3574+1))</f>
        <v/>
      </c>
      <c r="K3574" t="str">
        <f>IF(E3574="","",INDEX(Knutepunkter!$D:$D,E3574+1))</f>
        <v/>
      </c>
      <c r="L3574" t="str">
        <f t="shared" si="278"/>
        <v/>
      </c>
      <c r="M3574" t="str">
        <f t="shared" si="279"/>
        <v/>
      </c>
    </row>
    <row r="3575" spans="1:13" x14ac:dyDescent="0.3">
      <c r="A3575" t="str">
        <f>Segmenter!A3575</f>
        <v/>
      </c>
      <c r="B3575" t="str">
        <f>Segmenter!B3575</f>
        <v/>
      </c>
      <c r="C3575" t="str">
        <f t="shared" si="275"/>
        <v/>
      </c>
      <c r="D3575" t="str">
        <f t="shared" si="276"/>
        <v/>
      </c>
      <c r="E3575" t="str">
        <f t="shared" si="277"/>
        <v/>
      </c>
      <c r="F3575" t="str">
        <f>IF(D3575="","",INDEX(Knutepunkter!$B:$B,D3575+1))</f>
        <v/>
      </c>
      <c r="G3575" t="str">
        <f>IF(D3575="","",INDEX(Knutepunkter!$C:$C,D3575+1))</f>
        <v/>
      </c>
      <c r="H3575" t="str">
        <f>IF(D3575="","",INDEX(Knutepunkter!$D:$D,D3575+1))</f>
        <v/>
      </c>
      <c r="I3575" t="str">
        <f>IF(E3575="","",INDEX(Knutepunkter!$B:$B,E3575+1))</f>
        <v/>
      </c>
      <c r="J3575" t="str">
        <f>IF(E3575="","",INDEX(Knutepunkter!$C:$C,E3575+1))</f>
        <v/>
      </c>
      <c r="K3575" t="str">
        <f>IF(E3575="","",INDEX(Knutepunkter!$D:$D,E3575+1))</f>
        <v/>
      </c>
      <c r="L3575" t="str">
        <f t="shared" si="278"/>
        <v/>
      </c>
      <c r="M3575" t="str">
        <f t="shared" si="279"/>
        <v/>
      </c>
    </row>
    <row r="3576" spans="1:13" x14ac:dyDescent="0.3">
      <c r="A3576" t="str">
        <f>Segmenter!A3576</f>
        <v/>
      </c>
      <c r="B3576" t="str">
        <f>Segmenter!B3576</f>
        <v/>
      </c>
      <c r="C3576" t="str">
        <f t="shared" si="275"/>
        <v/>
      </c>
      <c r="D3576" t="str">
        <f t="shared" si="276"/>
        <v/>
      </c>
      <c r="E3576" t="str">
        <f t="shared" si="277"/>
        <v/>
      </c>
      <c r="F3576" t="str">
        <f>IF(D3576="","",INDEX(Knutepunkter!$B:$B,D3576+1))</f>
        <v/>
      </c>
      <c r="G3576" t="str">
        <f>IF(D3576="","",INDEX(Knutepunkter!$C:$C,D3576+1))</f>
        <v/>
      </c>
      <c r="H3576" t="str">
        <f>IF(D3576="","",INDEX(Knutepunkter!$D:$D,D3576+1))</f>
        <v/>
      </c>
      <c r="I3576" t="str">
        <f>IF(E3576="","",INDEX(Knutepunkter!$B:$B,E3576+1))</f>
        <v/>
      </c>
      <c r="J3576" t="str">
        <f>IF(E3576="","",INDEX(Knutepunkter!$C:$C,E3576+1))</f>
        <v/>
      </c>
      <c r="K3576" t="str">
        <f>IF(E3576="","",INDEX(Knutepunkter!$D:$D,E3576+1))</f>
        <v/>
      </c>
      <c r="L3576" t="str">
        <f t="shared" si="278"/>
        <v/>
      </c>
      <c r="M3576" t="str">
        <f t="shared" si="279"/>
        <v/>
      </c>
    </row>
    <row r="3577" spans="1:13" x14ac:dyDescent="0.3">
      <c r="A3577" t="str">
        <f>Segmenter!A3577</f>
        <v/>
      </c>
      <c r="B3577" t="str">
        <f>Segmenter!B3577</f>
        <v/>
      </c>
      <c r="C3577" t="str">
        <f t="shared" si="275"/>
        <v/>
      </c>
      <c r="D3577" t="str">
        <f t="shared" si="276"/>
        <v/>
      </c>
      <c r="E3577" t="str">
        <f t="shared" si="277"/>
        <v/>
      </c>
      <c r="F3577" t="str">
        <f>IF(D3577="","",INDEX(Knutepunkter!$B:$B,D3577+1))</f>
        <v/>
      </c>
      <c r="G3577" t="str">
        <f>IF(D3577="","",INDEX(Knutepunkter!$C:$C,D3577+1))</f>
        <v/>
      </c>
      <c r="H3577" t="str">
        <f>IF(D3577="","",INDEX(Knutepunkter!$D:$D,D3577+1))</f>
        <v/>
      </c>
      <c r="I3577" t="str">
        <f>IF(E3577="","",INDEX(Knutepunkter!$B:$B,E3577+1))</f>
        <v/>
      </c>
      <c r="J3577" t="str">
        <f>IF(E3577="","",INDEX(Knutepunkter!$C:$C,E3577+1))</f>
        <v/>
      </c>
      <c r="K3577" t="str">
        <f>IF(E3577="","",INDEX(Knutepunkter!$D:$D,E3577+1))</f>
        <v/>
      </c>
      <c r="L3577" t="str">
        <f t="shared" si="278"/>
        <v/>
      </c>
      <c r="M3577" t="str">
        <f t="shared" si="279"/>
        <v/>
      </c>
    </row>
    <row r="3578" spans="1:13" x14ac:dyDescent="0.3">
      <c r="A3578" t="str">
        <f>Segmenter!A3578</f>
        <v/>
      </c>
      <c r="B3578" t="str">
        <f>Segmenter!B3578</f>
        <v/>
      </c>
      <c r="C3578" t="str">
        <f t="shared" si="275"/>
        <v/>
      </c>
      <c r="D3578" t="str">
        <f t="shared" si="276"/>
        <v/>
      </c>
      <c r="E3578" t="str">
        <f t="shared" si="277"/>
        <v/>
      </c>
      <c r="F3578" t="str">
        <f>IF(D3578="","",INDEX(Knutepunkter!$B:$B,D3578+1))</f>
        <v/>
      </c>
      <c r="G3578" t="str">
        <f>IF(D3578="","",INDEX(Knutepunkter!$C:$C,D3578+1))</f>
        <v/>
      </c>
      <c r="H3578" t="str">
        <f>IF(D3578="","",INDEX(Knutepunkter!$D:$D,D3578+1))</f>
        <v/>
      </c>
      <c r="I3578" t="str">
        <f>IF(E3578="","",INDEX(Knutepunkter!$B:$B,E3578+1))</f>
        <v/>
      </c>
      <c r="J3578" t="str">
        <f>IF(E3578="","",INDEX(Knutepunkter!$C:$C,E3578+1))</f>
        <v/>
      </c>
      <c r="K3578" t="str">
        <f>IF(E3578="","",INDEX(Knutepunkter!$D:$D,E3578+1))</f>
        <v/>
      </c>
      <c r="L3578" t="str">
        <f t="shared" si="278"/>
        <v/>
      </c>
      <c r="M3578" t="str">
        <f t="shared" si="279"/>
        <v/>
      </c>
    </row>
    <row r="3579" spans="1:13" x14ac:dyDescent="0.3">
      <c r="A3579" t="str">
        <f>Segmenter!A3579</f>
        <v/>
      </c>
      <c r="B3579" t="str">
        <f>Segmenter!B3579</f>
        <v/>
      </c>
      <c r="C3579" t="str">
        <f t="shared" si="275"/>
        <v/>
      </c>
      <c r="D3579" t="str">
        <f t="shared" si="276"/>
        <v/>
      </c>
      <c r="E3579" t="str">
        <f t="shared" si="277"/>
        <v/>
      </c>
      <c r="F3579" t="str">
        <f>IF(D3579="","",INDEX(Knutepunkter!$B:$B,D3579+1))</f>
        <v/>
      </c>
      <c r="G3579" t="str">
        <f>IF(D3579="","",INDEX(Knutepunkter!$C:$C,D3579+1))</f>
        <v/>
      </c>
      <c r="H3579" t="str">
        <f>IF(D3579="","",INDEX(Knutepunkter!$D:$D,D3579+1))</f>
        <v/>
      </c>
      <c r="I3579" t="str">
        <f>IF(E3579="","",INDEX(Knutepunkter!$B:$B,E3579+1))</f>
        <v/>
      </c>
      <c r="J3579" t="str">
        <f>IF(E3579="","",INDEX(Knutepunkter!$C:$C,E3579+1))</f>
        <v/>
      </c>
      <c r="K3579" t="str">
        <f>IF(E3579="","",INDEX(Knutepunkter!$D:$D,E3579+1))</f>
        <v/>
      </c>
      <c r="L3579" t="str">
        <f t="shared" si="278"/>
        <v/>
      </c>
      <c r="M3579" t="str">
        <f t="shared" si="279"/>
        <v/>
      </c>
    </row>
    <row r="3580" spans="1:13" x14ac:dyDescent="0.3">
      <c r="A3580" t="str">
        <f>Segmenter!A3580</f>
        <v/>
      </c>
      <c r="B3580" t="str">
        <f>Segmenter!B3580</f>
        <v/>
      </c>
      <c r="C3580" t="str">
        <f t="shared" si="275"/>
        <v/>
      </c>
      <c r="D3580" t="str">
        <f t="shared" si="276"/>
        <v/>
      </c>
      <c r="E3580" t="str">
        <f t="shared" si="277"/>
        <v/>
      </c>
      <c r="F3580" t="str">
        <f>IF(D3580="","",INDEX(Knutepunkter!$B:$B,D3580+1))</f>
        <v/>
      </c>
      <c r="G3580" t="str">
        <f>IF(D3580="","",INDEX(Knutepunkter!$C:$C,D3580+1))</f>
        <v/>
      </c>
      <c r="H3580" t="str">
        <f>IF(D3580="","",INDEX(Knutepunkter!$D:$D,D3580+1))</f>
        <v/>
      </c>
      <c r="I3580" t="str">
        <f>IF(E3580="","",INDEX(Knutepunkter!$B:$B,E3580+1))</f>
        <v/>
      </c>
      <c r="J3580" t="str">
        <f>IF(E3580="","",INDEX(Knutepunkter!$C:$C,E3580+1))</f>
        <v/>
      </c>
      <c r="K3580" t="str">
        <f>IF(E3580="","",INDEX(Knutepunkter!$D:$D,E3580+1))</f>
        <v/>
      </c>
      <c r="L3580" t="str">
        <f t="shared" si="278"/>
        <v/>
      </c>
      <c r="M3580" t="str">
        <f t="shared" si="279"/>
        <v/>
      </c>
    </row>
    <row r="3581" spans="1:13" x14ac:dyDescent="0.3">
      <c r="A3581" t="str">
        <f>Segmenter!A3581</f>
        <v/>
      </c>
      <c r="B3581" t="str">
        <f>Segmenter!B3581</f>
        <v/>
      </c>
      <c r="C3581" t="str">
        <f t="shared" si="275"/>
        <v/>
      </c>
      <c r="D3581" t="str">
        <f t="shared" si="276"/>
        <v/>
      </c>
      <c r="E3581" t="str">
        <f t="shared" si="277"/>
        <v/>
      </c>
      <c r="F3581" t="str">
        <f>IF(D3581="","",INDEX(Knutepunkter!$B:$B,D3581+1))</f>
        <v/>
      </c>
      <c r="G3581" t="str">
        <f>IF(D3581="","",INDEX(Knutepunkter!$C:$C,D3581+1))</f>
        <v/>
      </c>
      <c r="H3581" t="str">
        <f>IF(D3581="","",INDEX(Knutepunkter!$D:$D,D3581+1))</f>
        <v/>
      </c>
      <c r="I3581" t="str">
        <f>IF(E3581="","",INDEX(Knutepunkter!$B:$B,E3581+1))</f>
        <v/>
      </c>
      <c r="J3581" t="str">
        <f>IF(E3581="","",INDEX(Knutepunkter!$C:$C,E3581+1))</f>
        <v/>
      </c>
      <c r="K3581" t="str">
        <f>IF(E3581="","",INDEX(Knutepunkter!$D:$D,E3581+1))</f>
        <v/>
      </c>
      <c r="L3581" t="str">
        <f t="shared" si="278"/>
        <v/>
      </c>
      <c r="M3581" t="str">
        <f t="shared" si="279"/>
        <v/>
      </c>
    </row>
    <row r="3582" spans="1:13" x14ac:dyDescent="0.3">
      <c r="A3582" t="str">
        <f>Segmenter!A3582</f>
        <v/>
      </c>
      <c r="B3582" t="str">
        <f>Segmenter!B3582</f>
        <v/>
      </c>
      <c r="C3582" t="str">
        <f t="shared" si="275"/>
        <v/>
      </c>
      <c r="D3582" t="str">
        <f t="shared" si="276"/>
        <v/>
      </c>
      <c r="E3582" t="str">
        <f t="shared" si="277"/>
        <v/>
      </c>
      <c r="F3582" t="str">
        <f>IF(D3582="","",INDEX(Knutepunkter!$B:$B,D3582+1))</f>
        <v/>
      </c>
      <c r="G3582" t="str">
        <f>IF(D3582="","",INDEX(Knutepunkter!$C:$C,D3582+1))</f>
        <v/>
      </c>
      <c r="H3582" t="str">
        <f>IF(D3582="","",INDEX(Knutepunkter!$D:$D,D3582+1))</f>
        <v/>
      </c>
      <c r="I3582" t="str">
        <f>IF(E3582="","",INDEX(Knutepunkter!$B:$B,E3582+1))</f>
        <v/>
      </c>
      <c r="J3582" t="str">
        <f>IF(E3582="","",INDEX(Knutepunkter!$C:$C,E3582+1))</f>
        <v/>
      </c>
      <c r="K3582" t="str">
        <f>IF(E3582="","",INDEX(Knutepunkter!$D:$D,E3582+1))</f>
        <v/>
      </c>
      <c r="L3582" t="str">
        <f t="shared" si="278"/>
        <v/>
      </c>
      <c r="M3582" t="str">
        <f t="shared" si="279"/>
        <v/>
      </c>
    </row>
    <row r="3583" spans="1:13" x14ac:dyDescent="0.3">
      <c r="A3583" t="str">
        <f>Segmenter!A3583</f>
        <v/>
      </c>
      <c r="B3583" t="str">
        <f>Segmenter!B3583</f>
        <v/>
      </c>
      <c r="C3583" t="str">
        <f t="shared" si="275"/>
        <v/>
      </c>
      <c r="D3583" t="str">
        <f t="shared" si="276"/>
        <v/>
      </c>
      <c r="E3583" t="str">
        <f t="shared" si="277"/>
        <v/>
      </c>
      <c r="F3583" t="str">
        <f>IF(D3583="","",INDEX(Knutepunkter!$B:$B,D3583+1))</f>
        <v/>
      </c>
      <c r="G3583" t="str">
        <f>IF(D3583="","",INDEX(Knutepunkter!$C:$C,D3583+1))</f>
        <v/>
      </c>
      <c r="H3583" t="str">
        <f>IF(D3583="","",INDEX(Knutepunkter!$D:$D,D3583+1))</f>
        <v/>
      </c>
      <c r="I3583" t="str">
        <f>IF(E3583="","",INDEX(Knutepunkter!$B:$B,E3583+1))</f>
        <v/>
      </c>
      <c r="J3583" t="str">
        <f>IF(E3583="","",INDEX(Knutepunkter!$C:$C,E3583+1))</f>
        <v/>
      </c>
      <c r="K3583" t="str">
        <f>IF(E3583="","",INDEX(Knutepunkter!$D:$D,E3583+1))</f>
        <v/>
      </c>
      <c r="L3583" t="str">
        <f t="shared" si="278"/>
        <v/>
      </c>
      <c r="M3583" t="str">
        <f t="shared" si="279"/>
        <v/>
      </c>
    </row>
    <row r="3584" spans="1:13" x14ac:dyDescent="0.3">
      <c r="A3584" t="str">
        <f>Segmenter!A3584</f>
        <v/>
      </c>
      <c r="B3584" t="str">
        <f>Segmenter!B3584</f>
        <v/>
      </c>
      <c r="C3584" t="str">
        <f t="shared" si="275"/>
        <v/>
      </c>
      <c r="D3584" t="str">
        <f t="shared" si="276"/>
        <v/>
      </c>
      <c r="E3584" t="str">
        <f t="shared" si="277"/>
        <v/>
      </c>
      <c r="F3584" t="str">
        <f>IF(D3584="","",INDEX(Knutepunkter!$B:$B,D3584+1))</f>
        <v/>
      </c>
      <c r="G3584" t="str">
        <f>IF(D3584="","",INDEX(Knutepunkter!$C:$C,D3584+1))</f>
        <v/>
      </c>
      <c r="H3584" t="str">
        <f>IF(D3584="","",INDEX(Knutepunkter!$D:$D,D3584+1))</f>
        <v/>
      </c>
      <c r="I3584" t="str">
        <f>IF(E3584="","",INDEX(Knutepunkter!$B:$B,E3584+1))</f>
        <v/>
      </c>
      <c r="J3584" t="str">
        <f>IF(E3584="","",INDEX(Knutepunkter!$C:$C,E3584+1))</f>
        <v/>
      </c>
      <c r="K3584" t="str">
        <f>IF(E3584="","",INDEX(Knutepunkter!$D:$D,E3584+1))</f>
        <v/>
      </c>
      <c r="L3584" t="str">
        <f t="shared" si="278"/>
        <v/>
      </c>
      <c r="M3584" t="str">
        <f t="shared" si="279"/>
        <v/>
      </c>
    </row>
    <row r="3585" spans="1:13" x14ac:dyDescent="0.3">
      <c r="A3585" t="str">
        <f>Segmenter!A3585</f>
        <v/>
      </c>
      <c r="B3585" t="str">
        <f>Segmenter!B3585</f>
        <v/>
      </c>
      <c r="C3585" t="str">
        <f t="shared" si="275"/>
        <v/>
      </c>
      <c r="D3585" t="str">
        <f t="shared" si="276"/>
        <v/>
      </c>
      <c r="E3585" t="str">
        <f t="shared" si="277"/>
        <v/>
      </c>
      <c r="F3585" t="str">
        <f>IF(D3585="","",INDEX(Knutepunkter!$B:$B,D3585+1))</f>
        <v/>
      </c>
      <c r="G3585" t="str">
        <f>IF(D3585="","",INDEX(Knutepunkter!$C:$C,D3585+1))</f>
        <v/>
      </c>
      <c r="H3585" t="str">
        <f>IF(D3585="","",INDEX(Knutepunkter!$D:$D,D3585+1))</f>
        <v/>
      </c>
      <c r="I3585" t="str">
        <f>IF(E3585="","",INDEX(Knutepunkter!$B:$B,E3585+1))</f>
        <v/>
      </c>
      <c r="J3585" t="str">
        <f>IF(E3585="","",INDEX(Knutepunkter!$C:$C,E3585+1))</f>
        <v/>
      </c>
      <c r="K3585" t="str">
        <f>IF(E3585="","",INDEX(Knutepunkter!$D:$D,E3585+1))</f>
        <v/>
      </c>
      <c r="L3585" t="str">
        <f t="shared" si="278"/>
        <v/>
      </c>
      <c r="M3585" t="str">
        <f t="shared" si="279"/>
        <v/>
      </c>
    </row>
    <row r="3586" spans="1:13" x14ac:dyDescent="0.3">
      <c r="A3586" t="str">
        <f>Segmenter!A3586</f>
        <v/>
      </c>
      <c r="B3586" t="str">
        <f>Segmenter!B3586</f>
        <v/>
      </c>
      <c r="C3586" t="str">
        <f t="shared" ref="C3586:C3649" si="280">IF(B3586="","",IF(AND(F3586=I3586,G3586=J3586,H3586&lt;&gt;K3586),"Søyle","Bjelke"))</f>
        <v/>
      </c>
      <c r="D3586" t="str">
        <f t="shared" ref="D3586:D3649" si="281">IF(B3586="","",VALUE(LEFT(B3586,FIND(" -&gt; ",B3586)-1)))</f>
        <v/>
      </c>
      <c r="E3586" t="str">
        <f t="shared" ref="E3586:E3649" si="282">IF(B3586="","",VALUE(MID(B3586,FIND(" -&gt; ",B3586)+4,99)))</f>
        <v/>
      </c>
      <c r="F3586" t="str">
        <f>IF(D3586="","",INDEX(Knutepunkter!$B:$B,D3586+1))</f>
        <v/>
      </c>
      <c r="G3586" t="str">
        <f>IF(D3586="","",INDEX(Knutepunkter!$C:$C,D3586+1))</f>
        <v/>
      </c>
      <c r="H3586" t="str">
        <f>IF(D3586="","",INDEX(Knutepunkter!$D:$D,D3586+1))</f>
        <v/>
      </c>
      <c r="I3586" t="str">
        <f>IF(E3586="","",INDEX(Knutepunkter!$B:$B,E3586+1))</f>
        <v/>
      </c>
      <c r="J3586" t="str">
        <f>IF(E3586="","",INDEX(Knutepunkter!$C:$C,E3586+1))</f>
        <v/>
      </c>
      <c r="K3586" t="str">
        <f>IF(E3586="","",INDEX(Knutepunkter!$D:$D,E3586+1))</f>
        <v/>
      </c>
      <c r="L3586" t="str">
        <f t="shared" ref="L3586:L3649" si="283">IF(B3586="","",SQRT((I3586-F3586)^2+(J3586-G3586)^2+(K3586-H3586)^2))</f>
        <v/>
      </c>
      <c r="M3586" t="str">
        <f t="shared" ref="M3586:M3649" si="284">IF(L3586="","",L3586/1000)</f>
        <v/>
      </c>
    </row>
    <row r="3587" spans="1:13" x14ac:dyDescent="0.3">
      <c r="A3587" t="str">
        <f>Segmenter!A3587</f>
        <v/>
      </c>
      <c r="B3587" t="str">
        <f>Segmenter!B3587</f>
        <v/>
      </c>
      <c r="C3587" t="str">
        <f t="shared" si="280"/>
        <v/>
      </c>
      <c r="D3587" t="str">
        <f t="shared" si="281"/>
        <v/>
      </c>
      <c r="E3587" t="str">
        <f t="shared" si="282"/>
        <v/>
      </c>
      <c r="F3587" t="str">
        <f>IF(D3587="","",INDEX(Knutepunkter!$B:$B,D3587+1))</f>
        <v/>
      </c>
      <c r="G3587" t="str">
        <f>IF(D3587="","",INDEX(Knutepunkter!$C:$C,D3587+1))</f>
        <v/>
      </c>
      <c r="H3587" t="str">
        <f>IF(D3587="","",INDEX(Knutepunkter!$D:$D,D3587+1))</f>
        <v/>
      </c>
      <c r="I3587" t="str">
        <f>IF(E3587="","",INDEX(Knutepunkter!$B:$B,E3587+1))</f>
        <v/>
      </c>
      <c r="J3587" t="str">
        <f>IF(E3587="","",INDEX(Knutepunkter!$C:$C,E3587+1))</f>
        <v/>
      </c>
      <c r="K3587" t="str">
        <f>IF(E3587="","",INDEX(Knutepunkter!$D:$D,E3587+1))</f>
        <v/>
      </c>
      <c r="L3587" t="str">
        <f t="shared" si="283"/>
        <v/>
      </c>
      <c r="M3587" t="str">
        <f t="shared" si="284"/>
        <v/>
      </c>
    </row>
    <row r="3588" spans="1:13" x14ac:dyDescent="0.3">
      <c r="A3588" t="str">
        <f>Segmenter!A3588</f>
        <v/>
      </c>
      <c r="B3588" t="str">
        <f>Segmenter!B3588</f>
        <v/>
      </c>
      <c r="C3588" t="str">
        <f t="shared" si="280"/>
        <v/>
      </c>
      <c r="D3588" t="str">
        <f t="shared" si="281"/>
        <v/>
      </c>
      <c r="E3588" t="str">
        <f t="shared" si="282"/>
        <v/>
      </c>
      <c r="F3588" t="str">
        <f>IF(D3588="","",INDEX(Knutepunkter!$B:$B,D3588+1))</f>
        <v/>
      </c>
      <c r="G3588" t="str">
        <f>IF(D3588="","",INDEX(Knutepunkter!$C:$C,D3588+1))</f>
        <v/>
      </c>
      <c r="H3588" t="str">
        <f>IF(D3588="","",INDEX(Knutepunkter!$D:$D,D3588+1))</f>
        <v/>
      </c>
      <c r="I3588" t="str">
        <f>IF(E3588="","",INDEX(Knutepunkter!$B:$B,E3588+1))</f>
        <v/>
      </c>
      <c r="J3588" t="str">
        <f>IF(E3588="","",INDEX(Knutepunkter!$C:$C,E3588+1))</f>
        <v/>
      </c>
      <c r="K3588" t="str">
        <f>IF(E3588="","",INDEX(Knutepunkter!$D:$D,E3588+1))</f>
        <v/>
      </c>
      <c r="L3588" t="str">
        <f t="shared" si="283"/>
        <v/>
      </c>
      <c r="M3588" t="str">
        <f t="shared" si="284"/>
        <v/>
      </c>
    </row>
    <row r="3589" spans="1:13" x14ac:dyDescent="0.3">
      <c r="A3589" t="str">
        <f>Segmenter!A3589</f>
        <v/>
      </c>
      <c r="B3589" t="str">
        <f>Segmenter!B3589</f>
        <v/>
      </c>
      <c r="C3589" t="str">
        <f t="shared" si="280"/>
        <v/>
      </c>
      <c r="D3589" t="str">
        <f t="shared" si="281"/>
        <v/>
      </c>
      <c r="E3589" t="str">
        <f t="shared" si="282"/>
        <v/>
      </c>
      <c r="F3589" t="str">
        <f>IF(D3589="","",INDEX(Knutepunkter!$B:$B,D3589+1))</f>
        <v/>
      </c>
      <c r="G3589" t="str">
        <f>IF(D3589="","",INDEX(Knutepunkter!$C:$C,D3589+1))</f>
        <v/>
      </c>
      <c r="H3589" t="str">
        <f>IF(D3589="","",INDEX(Knutepunkter!$D:$D,D3589+1))</f>
        <v/>
      </c>
      <c r="I3589" t="str">
        <f>IF(E3589="","",INDEX(Knutepunkter!$B:$B,E3589+1))</f>
        <v/>
      </c>
      <c r="J3589" t="str">
        <f>IF(E3589="","",INDEX(Knutepunkter!$C:$C,E3589+1))</f>
        <v/>
      </c>
      <c r="K3589" t="str">
        <f>IF(E3589="","",INDEX(Knutepunkter!$D:$D,E3589+1))</f>
        <v/>
      </c>
      <c r="L3589" t="str">
        <f t="shared" si="283"/>
        <v/>
      </c>
      <c r="M3589" t="str">
        <f t="shared" si="284"/>
        <v/>
      </c>
    </row>
    <row r="3590" spans="1:13" x14ac:dyDescent="0.3">
      <c r="A3590" t="str">
        <f>Segmenter!A3590</f>
        <v/>
      </c>
      <c r="B3590" t="str">
        <f>Segmenter!B3590</f>
        <v/>
      </c>
      <c r="C3590" t="str">
        <f t="shared" si="280"/>
        <v/>
      </c>
      <c r="D3590" t="str">
        <f t="shared" si="281"/>
        <v/>
      </c>
      <c r="E3590" t="str">
        <f t="shared" si="282"/>
        <v/>
      </c>
      <c r="F3590" t="str">
        <f>IF(D3590="","",INDEX(Knutepunkter!$B:$B,D3590+1))</f>
        <v/>
      </c>
      <c r="G3590" t="str">
        <f>IF(D3590="","",INDEX(Knutepunkter!$C:$C,D3590+1))</f>
        <v/>
      </c>
      <c r="H3590" t="str">
        <f>IF(D3590="","",INDEX(Knutepunkter!$D:$D,D3590+1))</f>
        <v/>
      </c>
      <c r="I3590" t="str">
        <f>IF(E3590="","",INDEX(Knutepunkter!$B:$B,E3590+1))</f>
        <v/>
      </c>
      <c r="J3590" t="str">
        <f>IF(E3590="","",INDEX(Knutepunkter!$C:$C,E3590+1))</f>
        <v/>
      </c>
      <c r="K3590" t="str">
        <f>IF(E3590="","",INDEX(Knutepunkter!$D:$D,E3590+1))</f>
        <v/>
      </c>
      <c r="L3590" t="str">
        <f t="shared" si="283"/>
        <v/>
      </c>
      <c r="M3590" t="str">
        <f t="shared" si="284"/>
        <v/>
      </c>
    </row>
    <row r="3591" spans="1:13" x14ac:dyDescent="0.3">
      <c r="A3591" t="str">
        <f>Segmenter!A3591</f>
        <v/>
      </c>
      <c r="B3591" t="str">
        <f>Segmenter!B3591</f>
        <v/>
      </c>
      <c r="C3591" t="str">
        <f t="shared" si="280"/>
        <v/>
      </c>
      <c r="D3591" t="str">
        <f t="shared" si="281"/>
        <v/>
      </c>
      <c r="E3591" t="str">
        <f t="shared" si="282"/>
        <v/>
      </c>
      <c r="F3591" t="str">
        <f>IF(D3591="","",INDEX(Knutepunkter!$B:$B,D3591+1))</f>
        <v/>
      </c>
      <c r="G3591" t="str">
        <f>IF(D3591="","",INDEX(Knutepunkter!$C:$C,D3591+1))</f>
        <v/>
      </c>
      <c r="H3591" t="str">
        <f>IF(D3591="","",INDEX(Knutepunkter!$D:$D,D3591+1))</f>
        <v/>
      </c>
      <c r="I3591" t="str">
        <f>IF(E3591="","",INDEX(Knutepunkter!$B:$B,E3591+1))</f>
        <v/>
      </c>
      <c r="J3591" t="str">
        <f>IF(E3591="","",INDEX(Knutepunkter!$C:$C,E3591+1))</f>
        <v/>
      </c>
      <c r="K3591" t="str">
        <f>IF(E3591="","",INDEX(Knutepunkter!$D:$D,E3591+1))</f>
        <v/>
      </c>
      <c r="L3591" t="str">
        <f t="shared" si="283"/>
        <v/>
      </c>
      <c r="M3591" t="str">
        <f t="shared" si="284"/>
        <v/>
      </c>
    </row>
    <row r="3592" spans="1:13" x14ac:dyDescent="0.3">
      <c r="A3592" t="str">
        <f>Segmenter!A3592</f>
        <v/>
      </c>
      <c r="B3592" t="str">
        <f>Segmenter!B3592</f>
        <v/>
      </c>
      <c r="C3592" t="str">
        <f t="shared" si="280"/>
        <v/>
      </c>
      <c r="D3592" t="str">
        <f t="shared" si="281"/>
        <v/>
      </c>
      <c r="E3592" t="str">
        <f t="shared" si="282"/>
        <v/>
      </c>
      <c r="F3592" t="str">
        <f>IF(D3592="","",INDEX(Knutepunkter!$B:$B,D3592+1))</f>
        <v/>
      </c>
      <c r="G3592" t="str">
        <f>IF(D3592="","",INDEX(Knutepunkter!$C:$C,D3592+1))</f>
        <v/>
      </c>
      <c r="H3592" t="str">
        <f>IF(D3592="","",INDEX(Knutepunkter!$D:$D,D3592+1))</f>
        <v/>
      </c>
      <c r="I3592" t="str">
        <f>IF(E3592="","",INDEX(Knutepunkter!$B:$B,E3592+1))</f>
        <v/>
      </c>
      <c r="J3592" t="str">
        <f>IF(E3592="","",INDEX(Knutepunkter!$C:$C,E3592+1))</f>
        <v/>
      </c>
      <c r="K3592" t="str">
        <f>IF(E3592="","",INDEX(Knutepunkter!$D:$D,E3592+1))</f>
        <v/>
      </c>
      <c r="L3592" t="str">
        <f t="shared" si="283"/>
        <v/>
      </c>
      <c r="M3592" t="str">
        <f t="shared" si="284"/>
        <v/>
      </c>
    </row>
    <row r="3593" spans="1:13" x14ac:dyDescent="0.3">
      <c r="A3593" t="str">
        <f>Segmenter!A3593</f>
        <v/>
      </c>
      <c r="B3593" t="str">
        <f>Segmenter!B3593</f>
        <v/>
      </c>
      <c r="C3593" t="str">
        <f t="shared" si="280"/>
        <v/>
      </c>
      <c r="D3593" t="str">
        <f t="shared" si="281"/>
        <v/>
      </c>
      <c r="E3593" t="str">
        <f t="shared" si="282"/>
        <v/>
      </c>
      <c r="F3593" t="str">
        <f>IF(D3593="","",INDEX(Knutepunkter!$B:$B,D3593+1))</f>
        <v/>
      </c>
      <c r="G3593" t="str">
        <f>IF(D3593="","",INDEX(Knutepunkter!$C:$C,D3593+1))</f>
        <v/>
      </c>
      <c r="H3593" t="str">
        <f>IF(D3593="","",INDEX(Knutepunkter!$D:$D,D3593+1))</f>
        <v/>
      </c>
      <c r="I3593" t="str">
        <f>IF(E3593="","",INDEX(Knutepunkter!$B:$B,E3593+1))</f>
        <v/>
      </c>
      <c r="J3593" t="str">
        <f>IF(E3593="","",INDEX(Knutepunkter!$C:$C,E3593+1))</f>
        <v/>
      </c>
      <c r="K3593" t="str">
        <f>IF(E3593="","",INDEX(Knutepunkter!$D:$D,E3593+1))</f>
        <v/>
      </c>
      <c r="L3593" t="str">
        <f t="shared" si="283"/>
        <v/>
      </c>
      <c r="M3593" t="str">
        <f t="shared" si="284"/>
        <v/>
      </c>
    </row>
    <row r="3594" spans="1:13" x14ac:dyDescent="0.3">
      <c r="A3594" t="str">
        <f>Segmenter!A3594</f>
        <v/>
      </c>
      <c r="B3594" t="str">
        <f>Segmenter!B3594</f>
        <v/>
      </c>
      <c r="C3594" t="str">
        <f t="shared" si="280"/>
        <v/>
      </c>
      <c r="D3594" t="str">
        <f t="shared" si="281"/>
        <v/>
      </c>
      <c r="E3594" t="str">
        <f t="shared" si="282"/>
        <v/>
      </c>
      <c r="F3594" t="str">
        <f>IF(D3594="","",INDEX(Knutepunkter!$B:$B,D3594+1))</f>
        <v/>
      </c>
      <c r="G3594" t="str">
        <f>IF(D3594="","",INDEX(Knutepunkter!$C:$C,D3594+1))</f>
        <v/>
      </c>
      <c r="H3594" t="str">
        <f>IF(D3594="","",INDEX(Knutepunkter!$D:$D,D3594+1))</f>
        <v/>
      </c>
      <c r="I3594" t="str">
        <f>IF(E3594="","",INDEX(Knutepunkter!$B:$B,E3594+1))</f>
        <v/>
      </c>
      <c r="J3594" t="str">
        <f>IF(E3594="","",INDEX(Knutepunkter!$C:$C,E3594+1))</f>
        <v/>
      </c>
      <c r="K3594" t="str">
        <f>IF(E3594="","",INDEX(Knutepunkter!$D:$D,E3594+1))</f>
        <v/>
      </c>
      <c r="L3594" t="str">
        <f t="shared" si="283"/>
        <v/>
      </c>
      <c r="M3594" t="str">
        <f t="shared" si="284"/>
        <v/>
      </c>
    </row>
    <row r="3595" spans="1:13" x14ac:dyDescent="0.3">
      <c r="A3595" t="str">
        <f>Segmenter!A3595</f>
        <v/>
      </c>
      <c r="B3595" t="str">
        <f>Segmenter!B3595</f>
        <v/>
      </c>
      <c r="C3595" t="str">
        <f t="shared" si="280"/>
        <v/>
      </c>
      <c r="D3595" t="str">
        <f t="shared" si="281"/>
        <v/>
      </c>
      <c r="E3595" t="str">
        <f t="shared" si="282"/>
        <v/>
      </c>
      <c r="F3595" t="str">
        <f>IF(D3595="","",INDEX(Knutepunkter!$B:$B,D3595+1))</f>
        <v/>
      </c>
      <c r="G3595" t="str">
        <f>IF(D3595="","",INDEX(Knutepunkter!$C:$C,D3595+1))</f>
        <v/>
      </c>
      <c r="H3595" t="str">
        <f>IF(D3595="","",INDEX(Knutepunkter!$D:$D,D3595+1))</f>
        <v/>
      </c>
      <c r="I3595" t="str">
        <f>IF(E3595="","",INDEX(Knutepunkter!$B:$B,E3595+1))</f>
        <v/>
      </c>
      <c r="J3595" t="str">
        <f>IF(E3595="","",INDEX(Knutepunkter!$C:$C,E3595+1))</f>
        <v/>
      </c>
      <c r="K3595" t="str">
        <f>IF(E3595="","",INDEX(Knutepunkter!$D:$D,E3595+1))</f>
        <v/>
      </c>
      <c r="L3595" t="str">
        <f t="shared" si="283"/>
        <v/>
      </c>
      <c r="M3595" t="str">
        <f t="shared" si="284"/>
        <v/>
      </c>
    </row>
    <row r="3596" spans="1:13" x14ac:dyDescent="0.3">
      <c r="A3596" t="str">
        <f>Segmenter!A3596</f>
        <v/>
      </c>
      <c r="B3596" t="str">
        <f>Segmenter!B3596</f>
        <v/>
      </c>
      <c r="C3596" t="str">
        <f t="shared" si="280"/>
        <v/>
      </c>
      <c r="D3596" t="str">
        <f t="shared" si="281"/>
        <v/>
      </c>
      <c r="E3596" t="str">
        <f t="shared" si="282"/>
        <v/>
      </c>
      <c r="F3596" t="str">
        <f>IF(D3596="","",INDEX(Knutepunkter!$B:$B,D3596+1))</f>
        <v/>
      </c>
      <c r="G3596" t="str">
        <f>IF(D3596="","",INDEX(Knutepunkter!$C:$C,D3596+1))</f>
        <v/>
      </c>
      <c r="H3596" t="str">
        <f>IF(D3596="","",INDEX(Knutepunkter!$D:$D,D3596+1))</f>
        <v/>
      </c>
      <c r="I3596" t="str">
        <f>IF(E3596="","",INDEX(Knutepunkter!$B:$B,E3596+1))</f>
        <v/>
      </c>
      <c r="J3596" t="str">
        <f>IF(E3596="","",INDEX(Knutepunkter!$C:$C,E3596+1))</f>
        <v/>
      </c>
      <c r="K3596" t="str">
        <f>IF(E3596="","",INDEX(Knutepunkter!$D:$D,E3596+1))</f>
        <v/>
      </c>
      <c r="L3596" t="str">
        <f t="shared" si="283"/>
        <v/>
      </c>
      <c r="M3596" t="str">
        <f t="shared" si="284"/>
        <v/>
      </c>
    </row>
    <row r="3597" spans="1:13" x14ac:dyDescent="0.3">
      <c r="A3597" t="str">
        <f>Segmenter!A3597</f>
        <v/>
      </c>
      <c r="B3597" t="str">
        <f>Segmenter!B3597</f>
        <v/>
      </c>
      <c r="C3597" t="str">
        <f t="shared" si="280"/>
        <v/>
      </c>
      <c r="D3597" t="str">
        <f t="shared" si="281"/>
        <v/>
      </c>
      <c r="E3597" t="str">
        <f t="shared" si="282"/>
        <v/>
      </c>
      <c r="F3597" t="str">
        <f>IF(D3597="","",INDEX(Knutepunkter!$B:$B,D3597+1))</f>
        <v/>
      </c>
      <c r="G3597" t="str">
        <f>IF(D3597="","",INDEX(Knutepunkter!$C:$C,D3597+1))</f>
        <v/>
      </c>
      <c r="H3597" t="str">
        <f>IF(D3597="","",INDEX(Knutepunkter!$D:$D,D3597+1))</f>
        <v/>
      </c>
      <c r="I3597" t="str">
        <f>IF(E3597="","",INDEX(Knutepunkter!$B:$B,E3597+1))</f>
        <v/>
      </c>
      <c r="J3597" t="str">
        <f>IF(E3597="","",INDEX(Knutepunkter!$C:$C,E3597+1))</f>
        <v/>
      </c>
      <c r="K3597" t="str">
        <f>IF(E3597="","",INDEX(Knutepunkter!$D:$D,E3597+1))</f>
        <v/>
      </c>
      <c r="L3597" t="str">
        <f t="shared" si="283"/>
        <v/>
      </c>
      <c r="M3597" t="str">
        <f t="shared" si="284"/>
        <v/>
      </c>
    </row>
    <row r="3598" spans="1:13" x14ac:dyDescent="0.3">
      <c r="A3598" t="str">
        <f>Segmenter!A3598</f>
        <v/>
      </c>
      <c r="B3598" t="str">
        <f>Segmenter!B3598</f>
        <v/>
      </c>
      <c r="C3598" t="str">
        <f t="shared" si="280"/>
        <v/>
      </c>
      <c r="D3598" t="str">
        <f t="shared" si="281"/>
        <v/>
      </c>
      <c r="E3598" t="str">
        <f t="shared" si="282"/>
        <v/>
      </c>
      <c r="F3598" t="str">
        <f>IF(D3598="","",INDEX(Knutepunkter!$B:$B,D3598+1))</f>
        <v/>
      </c>
      <c r="G3598" t="str">
        <f>IF(D3598="","",INDEX(Knutepunkter!$C:$C,D3598+1))</f>
        <v/>
      </c>
      <c r="H3598" t="str">
        <f>IF(D3598="","",INDEX(Knutepunkter!$D:$D,D3598+1))</f>
        <v/>
      </c>
      <c r="I3598" t="str">
        <f>IF(E3598="","",INDEX(Knutepunkter!$B:$B,E3598+1))</f>
        <v/>
      </c>
      <c r="J3598" t="str">
        <f>IF(E3598="","",INDEX(Knutepunkter!$C:$C,E3598+1))</f>
        <v/>
      </c>
      <c r="K3598" t="str">
        <f>IF(E3598="","",INDEX(Knutepunkter!$D:$D,E3598+1))</f>
        <v/>
      </c>
      <c r="L3598" t="str">
        <f t="shared" si="283"/>
        <v/>
      </c>
      <c r="M3598" t="str">
        <f t="shared" si="284"/>
        <v/>
      </c>
    </row>
    <row r="3599" spans="1:13" x14ac:dyDescent="0.3">
      <c r="A3599" t="str">
        <f>Segmenter!A3599</f>
        <v/>
      </c>
      <c r="B3599" t="str">
        <f>Segmenter!B3599</f>
        <v/>
      </c>
      <c r="C3599" t="str">
        <f t="shared" si="280"/>
        <v/>
      </c>
      <c r="D3599" t="str">
        <f t="shared" si="281"/>
        <v/>
      </c>
      <c r="E3599" t="str">
        <f t="shared" si="282"/>
        <v/>
      </c>
      <c r="F3599" t="str">
        <f>IF(D3599="","",INDEX(Knutepunkter!$B:$B,D3599+1))</f>
        <v/>
      </c>
      <c r="G3599" t="str">
        <f>IF(D3599="","",INDEX(Knutepunkter!$C:$C,D3599+1))</f>
        <v/>
      </c>
      <c r="H3599" t="str">
        <f>IF(D3599="","",INDEX(Knutepunkter!$D:$D,D3599+1))</f>
        <v/>
      </c>
      <c r="I3599" t="str">
        <f>IF(E3599="","",INDEX(Knutepunkter!$B:$B,E3599+1))</f>
        <v/>
      </c>
      <c r="J3599" t="str">
        <f>IF(E3599="","",INDEX(Knutepunkter!$C:$C,E3599+1))</f>
        <v/>
      </c>
      <c r="K3599" t="str">
        <f>IF(E3599="","",INDEX(Knutepunkter!$D:$D,E3599+1))</f>
        <v/>
      </c>
      <c r="L3599" t="str">
        <f t="shared" si="283"/>
        <v/>
      </c>
      <c r="M3599" t="str">
        <f t="shared" si="284"/>
        <v/>
      </c>
    </row>
    <row r="3600" spans="1:13" x14ac:dyDescent="0.3">
      <c r="A3600" t="str">
        <f>Segmenter!A3600</f>
        <v/>
      </c>
      <c r="B3600" t="str">
        <f>Segmenter!B3600</f>
        <v/>
      </c>
      <c r="C3600" t="str">
        <f t="shared" si="280"/>
        <v/>
      </c>
      <c r="D3600" t="str">
        <f t="shared" si="281"/>
        <v/>
      </c>
      <c r="E3600" t="str">
        <f t="shared" si="282"/>
        <v/>
      </c>
      <c r="F3600" t="str">
        <f>IF(D3600="","",INDEX(Knutepunkter!$B:$B,D3600+1))</f>
        <v/>
      </c>
      <c r="G3600" t="str">
        <f>IF(D3600="","",INDEX(Knutepunkter!$C:$C,D3600+1))</f>
        <v/>
      </c>
      <c r="H3600" t="str">
        <f>IF(D3600="","",INDEX(Knutepunkter!$D:$D,D3600+1))</f>
        <v/>
      </c>
      <c r="I3600" t="str">
        <f>IF(E3600="","",INDEX(Knutepunkter!$B:$B,E3600+1))</f>
        <v/>
      </c>
      <c r="J3600" t="str">
        <f>IF(E3600="","",INDEX(Knutepunkter!$C:$C,E3600+1))</f>
        <v/>
      </c>
      <c r="K3600" t="str">
        <f>IF(E3600="","",INDEX(Knutepunkter!$D:$D,E3600+1))</f>
        <v/>
      </c>
      <c r="L3600" t="str">
        <f t="shared" si="283"/>
        <v/>
      </c>
      <c r="M3600" t="str">
        <f t="shared" si="284"/>
        <v/>
      </c>
    </row>
    <row r="3601" spans="1:13" x14ac:dyDescent="0.3">
      <c r="A3601" t="str">
        <f>Segmenter!A3601</f>
        <v/>
      </c>
      <c r="B3601" t="str">
        <f>Segmenter!B3601</f>
        <v/>
      </c>
      <c r="C3601" t="str">
        <f t="shared" si="280"/>
        <v/>
      </c>
      <c r="D3601" t="str">
        <f t="shared" si="281"/>
        <v/>
      </c>
      <c r="E3601" t="str">
        <f t="shared" si="282"/>
        <v/>
      </c>
      <c r="F3601" t="str">
        <f>IF(D3601="","",INDEX(Knutepunkter!$B:$B,D3601+1))</f>
        <v/>
      </c>
      <c r="G3601" t="str">
        <f>IF(D3601="","",INDEX(Knutepunkter!$C:$C,D3601+1))</f>
        <v/>
      </c>
      <c r="H3601" t="str">
        <f>IF(D3601="","",INDEX(Knutepunkter!$D:$D,D3601+1))</f>
        <v/>
      </c>
      <c r="I3601" t="str">
        <f>IF(E3601="","",INDEX(Knutepunkter!$B:$B,E3601+1))</f>
        <v/>
      </c>
      <c r="J3601" t="str">
        <f>IF(E3601="","",INDEX(Knutepunkter!$C:$C,E3601+1))</f>
        <v/>
      </c>
      <c r="K3601" t="str">
        <f>IF(E3601="","",INDEX(Knutepunkter!$D:$D,E3601+1))</f>
        <v/>
      </c>
      <c r="L3601" t="str">
        <f t="shared" si="283"/>
        <v/>
      </c>
      <c r="M3601" t="str">
        <f t="shared" si="284"/>
        <v/>
      </c>
    </row>
    <row r="3602" spans="1:13" x14ac:dyDescent="0.3">
      <c r="A3602" t="str">
        <f>Segmenter!A3602</f>
        <v/>
      </c>
      <c r="B3602" t="str">
        <f>Segmenter!B3602</f>
        <v/>
      </c>
      <c r="C3602" t="str">
        <f t="shared" si="280"/>
        <v/>
      </c>
      <c r="D3602" t="str">
        <f t="shared" si="281"/>
        <v/>
      </c>
      <c r="E3602" t="str">
        <f t="shared" si="282"/>
        <v/>
      </c>
      <c r="F3602" t="str">
        <f>IF(D3602="","",INDEX(Knutepunkter!$B:$B,D3602+1))</f>
        <v/>
      </c>
      <c r="G3602" t="str">
        <f>IF(D3602="","",INDEX(Knutepunkter!$C:$C,D3602+1))</f>
        <v/>
      </c>
      <c r="H3602" t="str">
        <f>IF(D3602="","",INDEX(Knutepunkter!$D:$D,D3602+1))</f>
        <v/>
      </c>
      <c r="I3602" t="str">
        <f>IF(E3602="","",INDEX(Knutepunkter!$B:$B,E3602+1))</f>
        <v/>
      </c>
      <c r="J3602" t="str">
        <f>IF(E3602="","",INDEX(Knutepunkter!$C:$C,E3602+1))</f>
        <v/>
      </c>
      <c r="K3602" t="str">
        <f>IF(E3602="","",INDEX(Knutepunkter!$D:$D,E3602+1))</f>
        <v/>
      </c>
      <c r="L3602" t="str">
        <f t="shared" si="283"/>
        <v/>
      </c>
      <c r="M3602" t="str">
        <f t="shared" si="284"/>
        <v/>
      </c>
    </row>
    <row r="3603" spans="1:13" x14ac:dyDescent="0.3">
      <c r="A3603" t="str">
        <f>Segmenter!A3603</f>
        <v/>
      </c>
      <c r="B3603" t="str">
        <f>Segmenter!B3603</f>
        <v/>
      </c>
      <c r="C3603" t="str">
        <f t="shared" si="280"/>
        <v/>
      </c>
      <c r="D3603" t="str">
        <f t="shared" si="281"/>
        <v/>
      </c>
      <c r="E3603" t="str">
        <f t="shared" si="282"/>
        <v/>
      </c>
      <c r="F3603" t="str">
        <f>IF(D3603="","",INDEX(Knutepunkter!$B:$B,D3603+1))</f>
        <v/>
      </c>
      <c r="G3603" t="str">
        <f>IF(D3603="","",INDEX(Knutepunkter!$C:$C,D3603+1))</f>
        <v/>
      </c>
      <c r="H3603" t="str">
        <f>IF(D3603="","",INDEX(Knutepunkter!$D:$D,D3603+1))</f>
        <v/>
      </c>
      <c r="I3603" t="str">
        <f>IF(E3603="","",INDEX(Knutepunkter!$B:$B,E3603+1))</f>
        <v/>
      </c>
      <c r="J3603" t="str">
        <f>IF(E3603="","",INDEX(Knutepunkter!$C:$C,E3603+1))</f>
        <v/>
      </c>
      <c r="K3603" t="str">
        <f>IF(E3603="","",INDEX(Knutepunkter!$D:$D,E3603+1))</f>
        <v/>
      </c>
      <c r="L3603" t="str">
        <f t="shared" si="283"/>
        <v/>
      </c>
      <c r="M3603" t="str">
        <f t="shared" si="284"/>
        <v/>
      </c>
    </row>
    <row r="3604" spans="1:13" x14ac:dyDescent="0.3">
      <c r="A3604" t="str">
        <f>Segmenter!A3604</f>
        <v/>
      </c>
      <c r="B3604" t="str">
        <f>Segmenter!B3604</f>
        <v/>
      </c>
      <c r="C3604" t="str">
        <f t="shared" si="280"/>
        <v/>
      </c>
      <c r="D3604" t="str">
        <f t="shared" si="281"/>
        <v/>
      </c>
      <c r="E3604" t="str">
        <f t="shared" si="282"/>
        <v/>
      </c>
      <c r="F3604" t="str">
        <f>IF(D3604="","",INDEX(Knutepunkter!$B:$B,D3604+1))</f>
        <v/>
      </c>
      <c r="G3604" t="str">
        <f>IF(D3604="","",INDEX(Knutepunkter!$C:$C,D3604+1))</f>
        <v/>
      </c>
      <c r="H3604" t="str">
        <f>IF(D3604="","",INDEX(Knutepunkter!$D:$D,D3604+1))</f>
        <v/>
      </c>
      <c r="I3604" t="str">
        <f>IF(E3604="","",INDEX(Knutepunkter!$B:$B,E3604+1))</f>
        <v/>
      </c>
      <c r="J3604" t="str">
        <f>IF(E3604="","",INDEX(Knutepunkter!$C:$C,E3604+1))</f>
        <v/>
      </c>
      <c r="K3604" t="str">
        <f>IF(E3604="","",INDEX(Knutepunkter!$D:$D,E3604+1))</f>
        <v/>
      </c>
      <c r="L3604" t="str">
        <f t="shared" si="283"/>
        <v/>
      </c>
      <c r="M3604" t="str">
        <f t="shared" si="284"/>
        <v/>
      </c>
    </row>
    <row r="3605" spans="1:13" x14ac:dyDescent="0.3">
      <c r="A3605" t="str">
        <f>Segmenter!A3605</f>
        <v/>
      </c>
      <c r="B3605" t="str">
        <f>Segmenter!B3605</f>
        <v/>
      </c>
      <c r="C3605" t="str">
        <f t="shared" si="280"/>
        <v/>
      </c>
      <c r="D3605" t="str">
        <f t="shared" si="281"/>
        <v/>
      </c>
      <c r="E3605" t="str">
        <f t="shared" si="282"/>
        <v/>
      </c>
      <c r="F3605" t="str">
        <f>IF(D3605="","",INDEX(Knutepunkter!$B:$B,D3605+1))</f>
        <v/>
      </c>
      <c r="G3605" t="str">
        <f>IF(D3605="","",INDEX(Knutepunkter!$C:$C,D3605+1))</f>
        <v/>
      </c>
      <c r="H3605" t="str">
        <f>IF(D3605="","",INDEX(Knutepunkter!$D:$D,D3605+1))</f>
        <v/>
      </c>
      <c r="I3605" t="str">
        <f>IF(E3605="","",INDEX(Knutepunkter!$B:$B,E3605+1))</f>
        <v/>
      </c>
      <c r="J3605" t="str">
        <f>IF(E3605="","",INDEX(Knutepunkter!$C:$C,E3605+1))</f>
        <v/>
      </c>
      <c r="K3605" t="str">
        <f>IF(E3605="","",INDEX(Knutepunkter!$D:$D,E3605+1))</f>
        <v/>
      </c>
      <c r="L3605" t="str">
        <f t="shared" si="283"/>
        <v/>
      </c>
      <c r="M3605" t="str">
        <f t="shared" si="284"/>
        <v/>
      </c>
    </row>
    <row r="3606" spans="1:13" x14ac:dyDescent="0.3">
      <c r="A3606" t="str">
        <f>Segmenter!A3606</f>
        <v/>
      </c>
      <c r="B3606" t="str">
        <f>Segmenter!B3606</f>
        <v/>
      </c>
      <c r="C3606" t="str">
        <f t="shared" si="280"/>
        <v/>
      </c>
      <c r="D3606" t="str">
        <f t="shared" si="281"/>
        <v/>
      </c>
      <c r="E3606" t="str">
        <f t="shared" si="282"/>
        <v/>
      </c>
      <c r="F3606" t="str">
        <f>IF(D3606="","",INDEX(Knutepunkter!$B:$B,D3606+1))</f>
        <v/>
      </c>
      <c r="G3606" t="str">
        <f>IF(D3606="","",INDEX(Knutepunkter!$C:$C,D3606+1))</f>
        <v/>
      </c>
      <c r="H3606" t="str">
        <f>IF(D3606="","",INDEX(Knutepunkter!$D:$D,D3606+1))</f>
        <v/>
      </c>
      <c r="I3606" t="str">
        <f>IF(E3606="","",INDEX(Knutepunkter!$B:$B,E3606+1))</f>
        <v/>
      </c>
      <c r="J3606" t="str">
        <f>IF(E3606="","",INDEX(Knutepunkter!$C:$C,E3606+1))</f>
        <v/>
      </c>
      <c r="K3606" t="str">
        <f>IF(E3606="","",INDEX(Knutepunkter!$D:$D,E3606+1))</f>
        <v/>
      </c>
      <c r="L3606" t="str">
        <f t="shared" si="283"/>
        <v/>
      </c>
      <c r="M3606" t="str">
        <f t="shared" si="284"/>
        <v/>
      </c>
    </row>
    <row r="3607" spans="1:13" x14ac:dyDescent="0.3">
      <c r="A3607" t="str">
        <f>Segmenter!A3607</f>
        <v/>
      </c>
      <c r="B3607" t="str">
        <f>Segmenter!B3607</f>
        <v/>
      </c>
      <c r="C3607" t="str">
        <f t="shared" si="280"/>
        <v/>
      </c>
      <c r="D3607" t="str">
        <f t="shared" si="281"/>
        <v/>
      </c>
      <c r="E3607" t="str">
        <f t="shared" si="282"/>
        <v/>
      </c>
      <c r="F3607" t="str">
        <f>IF(D3607="","",INDEX(Knutepunkter!$B:$B,D3607+1))</f>
        <v/>
      </c>
      <c r="G3607" t="str">
        <f>IF(D3607="","",INDEX(Knutepunkter!$C:$C,D3607+1))</f>
        <v/>
      </c>
      <c r="H3607" t="str">
        <f>IF(D3607="","",INDEX(Knutepunkter!$D:$D,D3607+1))</f>
        <v/>
      </c>
      <c r="I3607" t="str">
        <f>IF(E3607="","",INDEX(Knutepunkter!$B:$B,E3607+1))</f>
        <v/>
      </c>
      <c r="J3607" t="str">
        <f>IF(E3607="","",INDEX(Knutepunkter!$C:$C,E3607+1))</f>
        <v/>
      </c>
      <c r="K3607" t="str">
        <f>IF(E3607="","",INDEX(Knutepunkter!$D:$D,E3607+1))</f>
        <v/>
      </c>
      <c r="L3607" t="str">
        <f t="shared" si="283"/>
        <v/>
      </c>
      <c r="M3607" t="str">
        <f t="shared" si="284"/>
        <v/>
      </c>
    </row>
    <row r="3608" spans="1:13" x14ac:dyDescent="0.3">
      <c r="A3608" t="str">
        <f>Segmenter!A3608</f>
        <v/>
      </c>
      <c r="B3608" t="str">
        <f>Segmenter!B3608</f>
        <v/>
      </c>
      <c r="C3608" t="str">
        <f t="shared" si="280"/>
        <v/>
      </c>
      <c r="D3608" t="str">
        <f t="shared" si="281"/>
        <v/>
      </c>
      <c r="E3608" t="str">
        <f t="shared" si="282"/>
        <v/>
      </c>
      <c r="F3608" t="str">
        <f>IF(D3608="","",INDEX(Knutepunkter!$B:$B,D3608+1))</f>
        <v/>
      </c>
      <c r="G3608" t="str">
        <f>IF(D3608="","",INDEX(Knutepunkter!$C:$C,D3608+1))</f>
        <v/>
      </c>
      <c r="H3608" t="str">
        <f>IF(D3608="","",INDEX(Knutepunkter!$D:$D,D3608+1))</f>
        <v/>
      </c>
      <c r="I3608" t="str">
        <f>IF(E3608="","",INDEX(Knutepunkter!$B:$B,E3608+1))</f>
        <v/>
      </c>
      <c r="J3608" t="str">
        <f>IF(E3608="","",INDEX(Knutepunkter!$C:$C,E3608+1))</f>
        <v/>
      </c>
      <c r="K3608" t="str">
        <f>IF(E3608="","",INDEX(Knutepunkter!$D:$D,E3608+1))</f>
        <v/>
      </c>
      <c r="L3608" t="str">
        <f t="shared" si="283"/>
        <v/>
      </c>
      <c r="M3608" t="str">
        <f t="shared" si="284"/>
        <v/>
      </c>
    </row>
    <row r="3609" spans="1:13" x14ac:dyDescent="0.3">
      <c r="A3609" t="str">
        <f>Segmenter!A3609</f>
        <v/>
      </c>
      <c r="B3609" t="str">
        <f>Segmenter!B3609</f>
        <v/>
      </c>
      <c r="C3609" t="str">
        <f t="shared" si="280"/>
        <v/>
      </c>
      <c r="D3609" t="str">
        <f t="shared" si="281"/>
        <v/>
      </c>
      <c r="E3609" t="str">
        <f t="shared" si="282"/>
        <v/>
      </c>
      <c r="F3609" t="str">
        <f>IF(D3609="","",INDEX(Knutepunkter!$B:$B,D3609+1))</f>
        <v/>
      </c>
      <c r="G3609" t="str">
        <f>IF(D3609="","",INDEX(Knutepunkter!$C:$C,D3609+1))</f>
        <v/>
      </c>
      <c r="H3609" t="str">
        <f>IF(D3609="","",INDEX(Knutepunkter!$D:$D,D3609+1))</f>
        <v/>
      </c>
      <c r="I3609" t="str">
        <f>IF(E3609="","",INDEX(Knutepunkter!$B:$B,E3609+1))</f>
        <v/>
      </c>
      <c r="J3609" t="str">
        <f>IF(E3609="","",INDEX(Knutepunkter!$C:$C,E3609+1))</f>
        <v/>
      </c>
      <c r="K3609" t="str">
        <f>IF(E3609="","",INDEX(Knutepunkter!$D:$D,E3609+1))</f>
        <v/>
      </c>
      <c r="L3609" t="str">
        <f t="shared" si="283"/>
        <v/>
      </c>
      <c r="M3609" t="str">
        <f t="shared" si="284"/>
        <v/>
      </c>
    </row>
    <row r="3610" spans="1:13" x14ac:dyDescent="0.3">
      <c r="A3610" t="str">
        <f>Segmenter!A3610</f>
        <v/>
      </c>
      <c r="B3610" t="str">
        <f>Segmenter!B3610</f>
        <v/>
      </c>
      <c r="C3610" t="str">
        <f t="shared" si="280"/>
        <v/>
      </c>
      <c r="D3610" t="str">
        <f t="shared" si="281"/>
        <v/>
      </c>
      <c r="E3610" t="str">
        <f t="shared" si="282"/>
        <v/>
      </c>
      <c r="F3610" t="str">
        <f>IF(D3610="","",INDEX(Knutepunkter!$B:$B,D3610+1))</f>
        <v/>
      </c>
      <c r="G3610" t="str">
        <f>IF(D3610="","",INDEX(Knutepunkter!$C:$C,D3610+1))</f>
        <v/>
      </c>
      <c r="H3610" t="str">
        <f>IF(D3610="","",INDEX(Knutepunkter!$D:$D,D3610+1))</f>
        <v/>
      </c>
      <c r="I3610" t="str">
        <f>IF(E3610="","",INDEX(Knutepunkter!$B:$B,E3610+1))</f>
        <v/>
      </c>
      <c r="J3610" t="str">
        <f>IF(E3610="","",INDEX(Knutepunkter!$C:$C,E3610+1))</f>
        <v/>
      </c>
      <c r="K3610" t="str">
        <f>IF(E3610="","",INDEX(Knutepunkter!$D:$D,E3610+1))</f>
        <v/>
      </c>
      <c r="L3610" t="str">
        <f t="shared" si="283"/>
        <v/>
      </c>
      <c r="M3610" t="str">
        <f t="shared" si="284"/>
        <v/>
      </c>
    </row>
    <row r="3611" spans="1:13" x14ac:dyDescent="0.3">
      <c r="A3611" t="str">
        <f>Segmenter!A3611</f>
        <v/>
      </c>
      <c r="B3611" t="str">
        <f>Segmenter!B3611</f>
        <v/>
      </c>
      <c r="C3611" t="str">
        <f t="shared" si="280"/>
        <v/>
      </c>
      <c r="D3611" t="str">
        <f t="shared" si="281"/>
        <v/>
      </c>
      <c r="E3611" t="str">
        <f t="shared" si="282"/>
        <v/>
      </c>
      <c r="F3611" t="str">
        <f>IF(D3611="","",INDEX(Knutepunkter!$B:$B,D3611+1))</f>
        <v/>
      </c>
      <c r="G3611" t="str">
        <f>IF(D3611="","",INDEX(Knutepunkter!$C:$C,D3611+1))</f>
        <v/>
      </c>
      <c r="H3611" t="str">
        <f>IF(D3611="","",INDEX(Knutepunkter!$D:$D,D3611+1))</f>
        <v/>
      </c>
      <c r="I3611" t="str">
        <f>IF(E3611="","",INDEX(Knutepunkter!$B:$B,E3611+1))</f>
        <v/>
      </c>
      <c r="J3611" t="str">
        <f>IF(E3611="","",INDEX(Knutepunkter!$C:$C,E3611+1))</f>
        <v/>
      </c>
      <c r="K3611" t="str">
        <f>IF(E3611="","",INDEX(Knutepunkter!$D:$D,E3611+1))</f>
        <v/>
      </c>
      <c r="L3611" t="str">
        <f t="shared" si="283"/>
        <v/>
      </c>
      <c r="M3611" t="str">
        <f t="shared" si="284"/>
        <v/>
      </c>
    </row>
    <row r="3612" spans="1:13" x14ac:dyDescent="0.3">
      <c r="A3612" t="str">
        <f>Segmenter!A3612</f>
        <v/>
      </c>
      <c r="B3612" t="str">
        <f>Segmenter!B3612</f>
        <v/>
      </c>
      <c r="C3612" t="str">
        <f t="shared" si="280"/>
        <v/>
      </c>
      <c r="D3612" t="str">
        <f t="shared" si="281"/>
        <v/>
      </c>
      <c r="E3612" t="str">
        <f t="shared" si="282"/>
        <v/>
      </c>
      <c r="F3612" t="str">
        <f>IF(D3612="","",INDEX(Knutepunkter!$B:$B,D3612+1))</f>
        <v/>
      </c>
      <c r="G3612" t="str">
        <f>IF(D3612="","",INDEX(Knutepunkter!$C:$C,D3612+1))</f>
        <v/>
      </c>
      <c r="H3612" t="str">
        <f>IF(D3612="","",INDEX(Knutepunkter!$D:$D,D3612+1))</f>
        <v/>
      </c>
      <c r="I3612" t="str">
        <f>IF(E3612="","",INDEX(Knutepunkter!$B:$B,E3612+1))</f>
        <v/>
      </c>
      <c r="J3612" t="str">
        <f>IF(E3612="","",INDEX(Knutepunkter!$C:$C,E3612+1))</f>
        <v/>
      </c>
      <c r="K3612" t="str">
        <f>IF(E3612="","",INDEX(Knutepunkter!$D:$D,E3612+1))</f>
        <v/>
      </c>
      <c r="L3612" t="str">
        <f t="shared" si="283"/>
        <v/>
      </c>
      <c r="M3612" t="str">
        <f t="shared" si="284"/>
        <v/>
      </c>
    </row>
    <row r="3613" spans="1:13" x14ac:dyDescent="0.3">
      <c r="A3613" t="str">
        <f>Segmenter!A3613</f>
        <v/>
      </c>
      <c r="B3613" t="str">
        <f>Segmenter!B3613</f>
        <v/>
      </c>
      <c r="C3613" t="str">
        <f t="shared" si="280"/>
        <v/>
      </c>
      <c r="D3613" t="str">
        <f t="shared" si="281"/>
        <v/>
      </c>
      <c r="E3613" t="str">
        <f t="shared" si="282"/>
        <v/>
      </c>
      <c r="F3613" t="str">
        <f>IF(D3613="","",INDEX(Knutepunkter!$B:$B,D3613+1))</f>
        <v/>
      </c>
      <c r="G3613" t="str">
        <f>IF(D3613="","",INDEX(Knutepunkter!$C:$C,D3613+1))</f>
        <v/>
      </c>
      <c r="H3613" t="str">
        <f>IF(D3613="","",INDEX(Knutepunkter!$D:$D,D3613+1))</f>
        <v/>
      </c>
      <c r="I3613" t="str">
        <f>IF(E3613="","",INDEX(Knutepunkter!$B:$B,E3613+1))</f>
        <v/>
      </c>
      <c r="J3613" t="str">
        <f>IF(E3613="","",INDEX(Knutepunkter!$C:$C,E3613+1))</f>
        <v/>
      </c>
      <c r="K3613" t="str">
        <f>IF(E3613="","",INDEX(Knutepunkter!$D:$D,E3613+1))</f>
        <v/>
      </c>
      <c r="L3613" t="str">
        <f t="shared" si="283"/>
        <v/>
      </c>
      <c r="M3613" t="str">
        <f t="shared" si="284"/>
        <v/>
      </c>
    </row>
    <row r="3614" spans="1:13" x14ac:dyDescent="0.3">
      <c r="A3614" t="str">
        <f>Segmenter!A3614</f>
        <v/>
      </c>
      <c r="B3614" t="str">
        <f>Segmenter!B3614</f>
        <v/>
      </c>
      <c r="C3614" t="str">
        <f t="shared" si="280"/>
        <v/>
      </c>
      <c r="D3614" t="str">
        <f t="shared" si="281"/>
        <v/>
      </c>
      <c r="E3614" t="str">
        <f t="shared" si="282"/>
        <v/>
      </c>
      <c r="F3614" t="str">
        <f>IF(D3614="","",INDEX(Knutepunkter!$B:$B,D3614+1))</f>
        <v/>
      </c>
      <c r="G3614" t="str">
        <f>IF(D3614="","",INDEX(Knutepunkter!$C:$C,D3614+1))</f>
        <v/>
      </c>
      <c r="H3614" t="str">
        <f>IF(D3614="","",INDEX(Knutepunkter!$D:$D,D3614+1))</f>
        <v/>
      </c>
      <c r="I3614" t="str">
        <f>IF(E3614="","",INDEX(Knutepunkter!$B:$B,E3614+1))</f>
        <v/>
      </c>
      <c r="J3614" t="str">
        <f>IF(E3614="","",INDEX(Knutepunkter!$C:$C,E3614+1))</f>
        <v/>
      </c>
      <c r="K3614" t="str">
        <f>IF(E3614="","",INDEX(Knutepunkter!$D:$D,E3614+1))</f>
        <v/>
      </c>
      <c r="L3614" t="str">
        <f t="shared" si="283"/>
        <v/>
      </c>
      <c r="M3614" t="str">
        <f t="shared" si="284"/>
        <v/>
      </c>
    </row>
    <row r="3615" spans="1:13" x14ac:dyDescent="0.3">
      <c r="A3615" t="str">
        <f>Segmenter!A3615</f>
        <v/>
      </c>
      <c r="B3615" t="str">
        <f>Segmenter!B3615</f>
        <v/>
      </c>
      <c r="C3615" t="str">
        <f t="shared" si="280"/>
        <v/>
      </c>
      <c r="D3615" t="str">
        <f t="shared" si="281"/>
        <v/>
      </c>
      <c r="E3615" t="str">
        <f t="shared" si="282"/>
        <v/>
      </c>
      <c r="F3615" t="str">
        <f>IF(D3615="","",INDEX(Knutepunkter!$B:$B,D3615+1))</f>
        <v/>
      </c>
      <c r="G3615" t="str">
        <f>IF(D3615="","",INDEX(Knutepunkter!$C:$C,D3615+1))</f>
        <v/>
      </c>
      <c r="H3615" t="str">
        <f>IF(D3615="","",INDEX(Knutepunkter!$D:$D,D3615+1))</f>
        <v/>
      </c>
      <c r="I3615" t="str">
        <f>IF(E3615="","",INDEX(Knutepunkter!$B:$B,E3615+1))</f>
        <v/>
      </c>
      <c r="J3615" t="str">
        <f>IF(E3615="","",INDEX(Knutepunkter!$C:$C,E3615+1))</f>
        <v/>
      </c>
      <c r="K3615" t="str">
        <f>IF(E3615="","",INDEX(Knutepunkter!$D:$D,E3615+1))</f>
        <v/>
      </c>
      <c r="L3615" t="str">
        <f t="shared" si="283"/>
        <v/>
      </c>
      <c r="M3615" t="str">
        <f t="shared" si="284"/>
        <v/>
      </c>
    </row>
    <row r="3616" spans="1:13" x14ac:dyDescent="0.3">
      <c r="A3616" t="str">
        <f>Segmenter!A3616</f>
        <v/>
      </c>
      <c r="B3616" t="str">
        <f>Segmenter!B3616</f>
        <v/>
      </c>
      <c r="C3616" t="str">
        <f t="shared" si="280"/>
        <v/>
      </c>
      <c r="D3616" t="str">
        <f t="shared" si="281"/>
        <v/>
      </c>
      <c r="E3616" t="str">
        <f t="shared" si="282"/>
        <v/>
      </c>
      <c r="F3616" t="str">
        <f>IF(D3616="","",INDEX(Knutepunkter!$B:$B,D3616+1))</f>
        <v/>
      </c>
      <c r="G3616" t="str">
        <f>IF(D3616="","",INDEX(Knutepunkter!$C:$C,D3616+1))</f>
        <v/>
      </c>
      <c r="H3616" t="str">
        <f>IF(D3616="","",INDEX(Knutepunkter!$D:$D,D3616+1))</f>
        <v/>
      </c>
      <c r="I3616" t="str">
        <f>IF(E3616="","",INDEX(Knutepunkter!$B:$B,E3616+1))</f>
        <v/>
      </c>
      <c r="J3616" t="str">
        <f>IF(E3616="","",INDEX(Knutepunkter!$C:$C,E3616+1))</f>
        <v/>
      </c>
      <c r="K3616" t="str">
        <f>IF(E3616="","",INDEX(Knutepunkter!$D:$D,E3616+1))</f>
        <v/>
      </c>
      <c r="L3616" t="str">
        <f t="shared" si="283"/>
        <v/>
      </c>
      <c r="M3616" t="str">
        <f t="shared" si="284"/>
        <v/>
      </c>
    </row>
    <row r="3617" spans="1:13" x14ac:dyDescent="0.3">
      <c r="A3617" t="str">
        <f>Segmenter!A3617</f>
        <v/>
      </c>
      <c r="B3617" t="str">
        <f>Segmenter!B3617</f>
        <v/>
      </c>
      <c r="C3617" t="str">
        <f t="shared" si="280"/>
        <v/>
      </c>
      <c r="D3617" t="str">
        <f t="shared" si="281"/>
        <v/>
      </c>
      <c r="E3617" t="str">
        <f t="shared" si="282"/>
        <v/>
      </c>
      <c r="F3617" t="str">
        <f>IF(D3617="","",INDEX(Knutepunkter!$B:$B,D3617+1))</f>
        <v/>
      </c>
      <c r="G3617" t="str">
        <f>IF(D3617="","",INDEX(Knutepunkter!$C:$C,D3617+1))</f>
        <v/>
      </c>
      <c r="H3617" t="str">
        <f>IF(D3617="","",INDEX(Knutepunkter!$D:$D,D3617+1))</f>
        <v/>
      </c>
      <c r="I3617" t="str">
        <f>IF(E3617="","",INDEX(Knutepunkter!$B:$B,E3617+1))</f>
        <v/>
      </c>
      <c r="J3617" t="str">
        <f>IF(E3617="","",INDEX(Knutepunkter!$C:$C,E3617+1))</f>
        <v/>
      </c>
      <c r="K3617" t="str">
        <f>IF(E3617="","",INDEX(Knutepunkter!$D:$D,E3617+1))</f>
        <v/>
      </c>
      <c r="L3617" t="str">
        <f t="shared" si="283"/>
        <v/>
      </c>
      <c r="M3617" t="str">
        <f t="shared" si="284"/>
        <v/>
      </c>
    </row>
    <row r="3618" spans="1:13" x14ac:dyDescent="0.3">
      <c r="A3618" t="str">
        <f>Segmenter!A3618</f>
        <v/>
      </c>
      <c r="B3618" t="str">
        <f>Segmenter!B3618</f>
        <v/>
      </c>
      <c r="C3618" t="str">
        <f t="shared" si="280"/>
        <v/>
      </c>
      <c r="D3618" t="str">
        <f t="shared" si="281"/>
        <v/>
      </c>
      <c r="E3618" t="str">
        <f t="shared" si="282"/>
        <v/>
      </c>
      <c r="F3618" t="str">
        <f>IF(D3618="","",INDEX(Knutepunkter!$B:$B,D3618+1))</f>
        <v/>
      </c>
      <c r="G3618" t="str">
        <f>IF(D3618="","",INDEX(Knutepunkter!$C:$C,D3618+1))</f>
        <v/>
      </c>
      <c r="H3618" t="str">
        <f>IF(D3618="","",INDEX(Knutepunkter!$D:$D,D3618+1))</f>
        <v/>
      </c>
      <c r="I3618" t="str">
        <f>IF(E3618="","",INDEX(Knutepunkter!$B:$B,E3618+1))</f>
        <v/>
      </c>
      <c r="J3618" t="str">
        <f>IF(E3618="","",INDEX(Knutepunkter!$C:$C,E3618+1))</f>
        <v/>
      </c>
      <c r="K3618" t="str">
        <f>IF(E3618="","",INDEX(Knutepunkter!$D:$D,E3618+1))</f>
        <v/>
      </c>
      <c r="L3618" t="str">
        <f t="shared" si="283"/>
        <v/>
      </c>
      <c r="M3618" t="str">
        <f t="shared" si="284"/>
        <v/>
      </c>
    </row>
    <row r="3619" spans="1:13" x14ac:dyDescent="0.3">
      <c r="A3619" t="str">
        <f>Segmenter!A3619</f>
        <v/>
      </c>
      <c r="B3619" t="str">
        <f>Segmenter!B3619</f>
        <v/>
      </c>
      <c r="C3619" t="str">
        <f t="shared" si="280"/>
        <v/>
      </c>
      <c r="D3619" t="str">
        <f t="shared" si="281"/>
        <v/>
      </c>
      <c r="E3619" t="str">
        <f t="shared" si="282"/>
        <v/>
      </c>
      <c r="F3619" t="str">
        <f>IF(D3619="","",INDEX(Knutepunkter!$B:$B,D3619+1))</f>
        <v/>
      </c>
      <c r="G3619" t="str">
        <f>IF(D3619="","",INDEX(Knutepunkter!$C:$C,D3619+1))</f>
        <v/>
      </c>
      <c r="H3619" t="str">
        <f>IF(D3619="","",INDEX(Knutepunkter!$D:$D,D3619+1))</f>
        <v/>
      </c>
      <c r="I3619" t="str">
        <f>IF(E3619="","",INDEX(Knutepunkter!$B:$B,E3619+1))</f>
        <v/>
      </c>
      <c r="J3619" t="str">
        <f>IF(E3619="","",INDEX(Knutepunkter!$C:$C,E3619+1))</f>
        <v/>
      </c>
      <c r="K3619" t="str">
        <f>IF(E3619="","",INDEX(Knutepunkter!$D:$D,E3619+1))</f>
        <v/>
      </c>
      <c r="L3619" t="str">
        <f t="shared" si="283"/>
        <v/>
      </c>
      <c r="M3619" t="str">
        <f t="shared" si="284"/>
        <v/>
      </c>
    </row>
    <row r="3620" spans="1:13" x14ac:dyDescent="0.3">
      <c r="A3620" t="str">
        <f>Segmenter!A3620</f>
        <v/>
      </c>
      <c r="B3620" t="str">
        <f>Segmenter!B3620</f>
        <v/>
      </c>
      <c r="C3620" t="str">
        <f t="shared" si="280"/>
        <v/>
      </c>
      <c r="D3620" t="str">
        <f t="shared" si="281"/>
        <v/>
      </c>
      <c r="E3620" t="str">
        <f t="shared" si="282"/>
        <v/>
      </c>
      <c r="F3620" t="str">
        <f>IF(D3620="","",INDEX(Knutepunkter!$B:$B,D3620+1))</f>
        <v/>
      </c>
      <c r="G3620" t="str">
        <f>IF(D3620="","",INDEX(Knutepunkter!$C:$C,D3620+1))</f>
        <v/>
      </c>
      <c r="H3620" t="str">
        <f>IF(D3620="","",INDEX(Knutepunkter!$D:$D,D3620+1))</f>
        <v/>
      </c>
      <c r="I3620" t="str">
        <f>IF(E3620="","",INDEX(Knutepunkter!$B:$B,E3620+1))</f>
        <v/>
      </c>
      <c r="J3620" t="str">
        <f>IF(E3620="","",INDEX(Knutepunkter!$C:$C,E3620+1))</f>
        <v/>
      </c>
      <c r="K3620" t="str">
        <f>IF(E3620="","",INDEX(Knutepunkter!$D:$D,E3620+1))</f>
        <v/>
      </c>
      <c r="L3620" t="str">
        <f t="shared" si="283"/>
        <v/>
      </c>
      <c r="M3620" t="str">
        <f t="shared" si="284"/>
        <v/>
      </c>
    </row>
    <row r="3621" spans="1:13" x14ac:dyDescent="0.3">
      <c r="A3621" t="str">
        <f>Segmenter!A3621</f>
        <v/>
      </c>
      <c r="B3621" t="str">
        <f>Segmenter!B3621</f>
        <v/>
      </c>
      <c r="C3621" t="str">
        <f t="shared" si="280"/>
        <v/>
      </c>
      <c r="D3621" t="str">
        <f t="shared" si="281"/>
        <v/>
      </c>
      <c r="E3621" t="str">
        <f t="shared" si="282"/>
        <v/>
      </c>
      <c r="F3621" t="str">
        <f>IF(D3621="","",INDEX(Knutepunkter!$B:$B,D3621+1))</f>
        <v/>
      </c>
      <c r="G3621" t="str">
        <f>IF(D3621="","",INDEX(Knutepunkter!$C:$C,D3621+1))</f>
        <v/>
      </c>
      <c r="H3621" t="str">
        <f>IF(D3621="","",INDEX(Knutepunkter!$D:$D,D3621+1))</f>
        <v/>
      </c>
      <c r="I3621" t="str">
        <f>IF(E3621="","",INDEX(Knutepunkter!$B:$B,E3621+1))</f>
        <v/>
      </c>
      <c r="J3621" t="str">
        <f>IF(E3621="","",INDEX(Knutepunkter!$C:$C,E3621+1))</f>
        <v/>
      </c>
      <c r="K3621" t="str">
        <f>IF(E3621="","",INDEX(Knutepunkter!$D:$D,E3621+1))</f>
        <v/>
      </c>
      <c r="L3621" t="str">
        <f t="shared" si="283"/>
        <v/>
      </c>
      <c r="M3621" t="str">
        <f t="shared" si="284"/>
        <v/>
      </c>
    </row>
    <row r="3622" spans="1:13" x14ac:dyDescent="0.3">
      <c r="A3622" t="str">
        <f>Segmenter!A3622</f>
        <v/>
      </c>
      <c r="B3622" t="str">
        <f>Segmenter!B3622</f>
        <v/>
      </c>
      <c r="C3622" t="str">
        <f t="shared" si="280"/>
        <v/>
      </c>
      <c r="D3622" t="str">
        <f t="shared" si="281"/>
        <v/>
      </c>
      <c r="E3622" t="str">
        <f t="shared" si="282"/>
        <v/>
      </c>
      <c r="F3622" t="str">
        <f>IF(D3622="","",INDEX(Knutepunkter!$B:$B,D3622+1))</f>
        <v/>
      </c>
      <c r="G3622" t="str">
        <f>IF(D3622="","",INDEX(Knutepunkter!$C:$C,D3622+1))</f>
        <v/>
      </c>
      <c r="H3622" t="str">
        <f>IF(D3622="","",INDEX(Knutepunkter!$D:$D,D3622+1))</f>
        <v/>
      </c>
      <c r="I3622" t="str">
        <f>IF(E3622="","",INDEX(Knutepunkter!$B:$B,E3622+1))</f>
        <v/>
      </c>
      <c r="J3622" t="str">
        <f>IF(E3622="","",INDEX(Knutepunkter!$C:$C,E3622+1))</f>
        <v/>
      </c>
      <c r="K3622" t="str">
        <f>IF(E3622="","",INDEX(Knutepunkter!$D:$D,E3622+1))</f>
        <v/>
      </c>
      <c r="L3622" t="str">
        <f t="shared" si="283"/>
        <v/>
      </c>
      <c r="M3622" t="str">
        <f t="shared" si="284"/>
        <v/>
      </c>
    </row>
    <row r="3623" spans="1:13" x14ac:dyDescent="0.3">
      <c r="A3623" t="str">
        <f>Segmenter!A3623</f>
        <v/>
      </c>
      <c r="B3623" t="str">
        <f>Segmenter!B3623</f>
        <v/>
      </c>
      <c r="C3623" t="str">
        <f t="shared" si="280"/>
        <v/>
      </c>
      <c r="D3623" t="str">
        <f t="shared" si="281"/>
        <v/>
      </c>
      <c r="E3623" t="str">
        <f t="shared" si="282"/>
        <v/>
      </c>
      <c r="F3623" t="str">
        <f>IF(D3623="","",INDEX(Knutepunkter!$B:$B,D3623+1))</f>
        <v/>
      </c>
      <c r="G3623" t="str">
        <f>IF(D3623="","",INDEX(Knutepunkter!$C:$C,D3623+1))</f>
        <v/>
      </c>
      <c r="H3623" t="str">
        <f>IF(D3623="","",INDEX(Knutepunkter!$D:$D,D3623+1))</f>
        <v/>
      </c>
      <c r="I3623" t="str">
        <f>IF(E3623="","",INDEX(Knutepunkter!$B:$B,E3623+1))</f>
        <v/>
      </c>
      <c r="J3623" t="str">
        <f>IF(E3623="","",INDEX(Knutepunkter!$C:$C,E3623+1))</f>
        <v/>
      </c>
      <c r="K3623" t="str">
        <f>IF(E3623="","",INDEX(Knutepunkter!$D:$D,E3623+1))</f>
        <v/>
      </c>
      <c r="L3623" t="str">
        <f t="shared" si="283"/>
        <v/>
      </c>
      <c r="M3623" t="str">
        <f t="shared" si="284"/>
        <v/>
      </c>
    </row>
    <row r="3624" spans="1:13" x14ac:dyDescent="0.3">
      <c r="A3624" t="str">
        <f>Segmenter!A3624</f>
        <v/>
      </c>
      <c r="B3624" t="str">
        <f>Segmenter!B3624</f>
        <v/>
      </c>
      <c r="C3624" t="str">
        <f t="shared" si="280"/>
        <v/>
      </c>
      <c r="D3624" t="str">
        <f t="shared" si="281"/>
        <v/>
      </c>
      <c r="E3624" t="str">
        <f t="shared" si="282"/>
        <v/>
      </c>
      <c r="F3624" t="str">
        <f>IF(D3624="","",INDEX(Knutepunkter!$B:$B,D3624+1))</f>
        <v/>
      </c>
      <c r="G3624" t="str">
        <f>IF(D3624="","",INDEX(Knutepunkter!$C:$C,D3624+1))</f>
        <v/>
      </c>
      <c r="H3624" t="str">
        <f>IF(D3624="","",INDEX(Knutepunkter!$D:$D,D3624+1))</f>
        <v/>
      </c>
      <c r="I3624" t="str">
        <f>IF(E3624="","",INDEX(Knutepunkter!$B:$B,E3624+1))</f>
        <v/>
      </c>
      <c r="J3624" t="str">
        <f>IF(E3624="","",INDEX(Knutepunkter!$C:$C,E3624+1))</f>
        <v/>
      </c>
      <c r="K3624" t="str">
        <f>IF(E3624="","",INDEX(Knutepunkter!$D:$D,E3624+1))</f>
        <v/>
      </c>
      <c r="L3624" t="str">
        <f t="shared" si="283"/>
        <v/>
      </c>
      <c r="M3624" t="str">
        <f t="shared" si="284"/>
        <v/>
      </c>
    </row>
    <row r="3625" spans="1:13" x14ac:dyDescent="0.3">
      <c r="A3625" t="str">
        <f>Segmenter!A3625</f>
        <v/>
      </c>
      <c r="B3625" t="str">
        <f>Segmenter!B3625</f>
        <v/>
      </c>
      <c r="C3625" t="str">
        <f t="shared" si="280"/>
        <v/>
      </c>
      <c r="D3625" t="str">
        <f t="shared" si="281"/>
        <v/>
      </c>
      <c r="E3625" t="str">
        <f t="shared" si="282"/>
        <v/>
      </c>
      <c r="F3625" t="str">
        <f>IF(D3625="","",INDEX(Knutepunkter!$B:$B,D3625+1))</f>
        <v/>
      </c>
      <c r="G3625" t="str">
        <f>IF(D3625="","",INDEX(Knutepunkter!$C:$C,D3625+1))</f>
        <v/>
      </c>
      <c r="H3625" t="str">
        <f>IF(D3625="","",INDEX(Knutepunkter!$D:$D,D3625+1))</f>
        <v/>
      </c>
      <c r="I3625" t="str">
        <f>IF(E3625="","",INDEX(Knutepunkter!$B:$B,E3625+1))</f>
        <v/>
      </c>
      <c r="J3625" t="str">
        <f>IF(E3625="","",INDEX(Knutepunkter!$C:$C,E3625+1))</f>
        <v/>
      </c>
      <c r="K3625" t="str">
        <f>IF(E3625="","",INDEX(Knutepunkter!$D:$D,E3625+1))</f>
        <v/>
      </c>
      <c r="L3625" t="str">
        <f t="shared" si="283"/>
        <v/>
      </c>
      <c r="M3625" t="str">
        <f t="shared" si="284"/>
        <v/>
      </c>
    </row>
    <row r="3626" spans="1:13" x14ac:dyDescent="0.3">
      <c r="A3626" t="str">
        <f>Segmenter!A3626</f>
        <v/>
      </c>
      <c r="B3626" t="str">
        <f>Segmenter!B3626</f>
        <v/>
      </c>
      <c r="C3626" t="str">
        <f t="shared" si="280"/>
        <v/>
      </c>
      <c r="D3626" t="str">
        <f t="shared" si="281"/>
        <v/>
      </c>
      <c r="E3626" t="str">
        <f t="shared" si="282"/>
        <v/>
      </c>
      <c r="F3626" t="str">
        <f>IF(D3626="","",INDEX(Knutepunkter!$B:$B,D3626+1))</f>
        <v/>
      </c>
      <c r="G3626" t="str">
        <f>IF(D3626="","",INDEX(Knutepunkter!$C:$C,D3626+1))</f>
        <v/>
      </c>
      <c r="H3626" t="str">
        <f>IF(D3626="","",INDEX(Knutepunkter!$D:$D,D3626+1))</f>
        <v/>
      </c>
      <c r="I3626" t="str">
        <f>IF(E3626="","",INDEX(Knutepunkter!$B:$B,E3626+1))</f>
        <v/>
      </c>
      <c r="J3626" t="str">
        <f>IF(E3626="","",INDEX(Knutepunkter!$C:$C,E3626+1))</f>
        <v/>
      </c>
      <c r="K3626" t="str">
        <f>IF(E3626="","",INDEX(Knutepunkter!$D:$D,E3626+1))</f>
        <v/>
      </c>
      <c r="L3626" t="str">
        <f t="shared" si="283"/>
        <v/>
      </c>
      <c r="M3626" t="str">
        <f t="shared" si="284"/>
        <v/>
      </c>
    </row>
    <row r="3627" spans="1:13" x14ac:dyDescent="0.3">
      <c r="A3627" t="str">
        <f>Segmenter!A3627</f>
        <v/>
      </c>
      <c r="B3627" t="str">
        <f>Segmenter!B3627</f>
        <v/>
      </c>
      <c r="C3627" t="str">
        <f t="shared" si="280"/>
        <v/>
      </c>
      <c r="D3627" t="str">
        <f t="shared" si="281"/>
        <v/>
      </c>
      <c r="E3627" t="str">
        <f t="shared" si="282"/>
        <v/>
      </c>
      <c r="F3627" t="str">
        <f>IF(D3627="","",INDEX(Knutepunkter!$B:$B,D3627+1))</f>
        <v/>
      </c>
      <c r="G3627" t="str">
        <f>IF(D3627="","",INDEX(Knutepunkter!$C:$C,D3627+1))</f>
        <v/>
      </c>
      <c r="H3627" t="str">
        <f>IF(D3627="","",INDEX(Knutepunkter!$D:$D,D3627+1))</f>
        <v/>
      </c>
      <c r="I3627" t="str">
        <f>IF(E3627="","",INDEX(Knutepunkter!$B:$B,E3627+1))</f>
        <v/>
      </c>
      <c r="J3627" t="str">
        <f>IF(E3627="","",INDEX(Knutepunkter!$C:$C,E3627+1))</f>
        <v/>
      </c>
      <c r="K3627" t="str">
        <f>IF(E3627="","",INDEX(Knutepunkter!$D:$D,E3627+1))</f>
        <v/>
      </c>
      <c r="L3627" t="str">
        <f t="shared" si="283"/>
        <v/>
      </c>
      <c r="M3627" t="str">
        <f t="shared" si="284"/>
        <v/>
      </c>
    </row>
    <row r="3628" spans="1:13" x14ac:dyDescent="0.3">
      <c r="A3628" t="str">
        <f>Segmenter!A3628</f>
        <v/>
      </c>
      <c r="B3628" t="str">
        <f>Segmenter!B3628</f>
        <v/>
      </c>
      <c r="C3628" t="str">
        <f t="shared" si="280"/>
        <v/>
      </c>
      <c r="D3628" t="str">
        <f t="shared" si="281"/>
        <v/>
      </c>
      <c r="E3628" t="str">
        <f t="shared" si="282"/>
        <v/>
      </c>
      <c r="F3628" t="str">
        <f>IF(D3628="","",INDEX(Knutepunkter!$B:$B,D3628+1))</f>
        <v/>
      </c>
      <c r="G3628" t="str">
        <f>IF(D3628="","",INDEX(Knutepunkter!$C:$C,D3628+1))</f>
        <v/>
      </c>
      <c r="H3628" t="str">
        <f>IF(D3628="","",INDEX(Knutepunkter!$D:$D,D3628+1))</f>
        <v/>
      </c>
      <c r="I3628" t="str">
        <f>IF(E3628="","",INDEX(Knutepunkter!$B:$B,E3628+1))</f>
        <v/>
      </c>
      <c r="J3628" t="str">
        <f>IF(E3628="","",INDEX(Knutepunkter!$C:$C,E3628+1))</f>
        <v/>
      </c>
      <c r="K3628" t="str">
        <f>IF(E3628="","",INDEX(Knutepunkter!$D:$D,E3628+1))</f>
        <v/>
      </c>
      <c r="L3628" t="str">
        <f t="shared" si="283"/>
        <v/>
      </c>
      <c r="M3628" t="str">
        <f t="shared" si="284"/>
        <v/>
      </c>
    </row>
    <row r="3629" spans="1:13" x14ac:dyDescent="0.3">
      <c r="A3629" t="str">
        <f>Segmenter!A3629</f>
        <v/>
      </c>
      <c r="B3629" t="str">
        <f>Segmenter!B3629</f>
        <v/>
      </c>
      <c r="C3629" t="str">
        <f t="shared" si="280"/>
        <v/>
      </c>
      <c r="D3629" t="str">
        <f t="shared" si="281"/>
        <v/>
      </c>
      <c r="E3629" t="str">
        <f t="shared" si="282"/>
        <v/>
      </c>
      <c r="F3629" t="str">
        <f>IF(D3629="","",INDEX(Knutepunkter!$B:$B,D3629+1))</f>
        <v/>
      </c>
      <c r="G3629" t="str">
        <f>IF(D3629="","",INDEX(Knutepunkter!$C:$C,D3629+1))</f>
        <v/>
      </c>
      <c r="H3629" t="str">
        <f>IF(D3629="","",INDEX(Knutepunkter!$D:$D,D3629+1))</f>
        <v/>
      </c>
      <c r="I3629" t="str">
        <f>IF(E3629="","",INDEX(Knutepunkter!$B:$B,E3629+1))</f>
        <v/>
      </c>
      <c r="J3629" t="str">
        <f>IF(E3629="","",INDEX(Knutepunkter!$C:$C,E3629+1))</f>
        <v/>
      </c>
      <c r="K3629" t="str">
        <f>IF(E3629="","",INDEX(Knutepunkter!$D:$D,E3629+1))</f>
        <v/>
      </c>
      <c r="L3629" t="str">
        <f t="shared" si="283"/>
        <v/>
      </c>
      <c r="M3629" t="str">
        <f t="shared" si="284"/>
        <v/>
      </c>
    </row>
    <row r="3630" spans="1:13" x14ac:dyDescent="0.3">
      <c r="A3630" t="str">
        <f>Segmenter!A3630</f>
        <v/>
      </c>
      <c r="B3630" t="str">
        <f>Segmenter!B3630</f>
        <v/>
      </c>
      <c r="C3630" t="str">
        <f t="shared" si="280"/>
        <v/>
      </c>
      <c r="D3630" t="str">
        <f t="shared" si="281"/>
        <v/>
      </c>
      <c r="E3630" t="str">
        <f t="shared" si="282"/>
        <v/>
      </c>
      <c r="F3630" t="str">
        <f>IF(D3630="","",INDEX(Knutepunkter!$B:$B,D3630+1))</f>
        <v/>
      </c>
      <c r="G3630" t="str">
        <f>IF(D3630="","",INDEX(Knutepunkter!$C:$C,D3630+1))</f>
        <v/>
      </c>
      <c r="H3630" t="str">
        <f>IF(D3630="","",INDEX(Knutepunkter!$D:$D,D3630+1))</f>
        <v/>
      </c>
      <c r="I3630" t="str">
        <f>IF(E3630="","",INDEX(Knutepunkter!$B:$B,E3630+1))</f>
        <v/>
      </c>
      <c r="J3630" t="str">
        <f>IF(E3630="","",INDEX(Knutepunkter!$C:$C,E3630+1))</f>
        <v/>
      </c>
      <c r="K3630" t="str">
        <f>IF(E3630="","",INDEX(Knutepunkter!$D:$D,E3630+1))</f>
        <v/>
      </c>
      <c r="L3630" t="str">
        <f t="shared" si="283"/>
        <v/>
      </c>
      <c r="M3630" t="str">
        <f t="shared" si="284"/>
        <v/>
      </c>
    </row>
    <row r="3631" spans="1:13" x14ac:dyDescent="0.3">
      <c r="A3631" t="str">
        <f>Segmenter!A3631</f>
        <v/>
      </c>
      <c r="B3631" t="str">
        <f>Segmenter!B3631</f>
        <v/>
      </c>
      <c r="C3631" t="str">
        <f t="shared" si="280"/>
        <v/>
      </c>
      <c r="D3631" t="str">
        <f t="shared" si="281"/>
        <v/>
      </c>
      <c r="E3631" t="str">
        <f t="shared" si="282"/>
        <v/>
      </c>
      <c r="F3631" t="str">
        <f>IF(D3631="","",INDEX(Knutepunkter!$B:$B,D3631+1))</f>
        <v/>
      </c>
      <c r="G3631" t="str">
        <f>IF(D3631="","",INDEX(Knutepunkter!$C:$C,D3631+1))</f>
        <v/>
      </c>
      <c r="H3631" t="str">
        <f>IF(D3631="","",INDEX(Knutepunkter!$D:$D,D3631+1))</f>
        <v/>
      </c>
      <c r="I3631" t="str">
        <f>IF(E3631="","",INDEX(Knutepunkter!$B:$B,E3631+1))</f>
        <v/>
      </c>
      <c r="J3631" t="str">
        <f>IF(E3631="","",INDEX(Knutepunkter!$C:$C,E3631+1))</f>
        <v/>
      </c>
      <c r="K3631" t="str">
        <f>IF(E3631="","",INDEX(Knutepunkter!$D:$D,E3631+1))</f>
        <v/>
      </c>
      <c r="L3631" t="str">
        <f t="shared" si="283"/>
        <v/>
      </c>
      <c r="M3631" t="str">
        <f t="shared" si="284"/>
        <v/>
      </c>
    </row>
    <row r="3632" spans="1:13" x14ac:dyDescent="0.3">
      <c r="A3632" t="str">
        <f>Segmenter!A3632</f>
        <v/>
      </c>
      <c r="B3632" t="str">
        <f>Segmenter!B3632</f>
        <v/>
      </c>
      <c r="C3632" t="str">
        <f t="shared" si="280"/>
        <v/>
      </c>
      <c r="D3632" t="str">
        <f t="shared" si="281"/>
        <v/>
      </c>
      <c r="E3632" t="str">
        <f t="shared" si="282"/>
        <v/>
      </c>
      <c r="F3632" t="str">
        <f>IF(D3632="","",INDEX(Knutepunkter!$B:$B,D3632+1))</f>
        <v/>
      </c>
      <c r="G3632" t="str">
        <f>IF(D3632="","",INDEX(Knutepunkter!$C:$C,D3632+1))</f>
        <v/>
      </c>
      <c r="H3632" t="str">
        <f>IF(D3632="","",INDEX(Knutepunkter!$D:$D,D3632+1))</f>
        <v/>
      </c>
      <c r="I3632" t="str">
        <f>IF(E3632="","",INDEX(Knutepunkter!$B:$B,E3632+1))</f>
        <v/>
      </c>
      <c r="J3632" t="str">
        <f>IF(E3632="","",INDEX(Knutepunkter!$C:$C,E3632+1))</f>
        <v/>
      </c>
      <c r="K3632" t="str">
        <f>IF(E3632="","",INDEX(Knutepunkter!$D:$D,E3632+1))</f>
        <v/>
      </c>
      <c r="L3632" t="str">
        <f t="shared" si="283"/>
        <v/>
      </c>
      <c r="M3632" t="str">
        <f t="shared" si="284"/>
        <v/>
      </c>
    </row>
    <row r="3633" spans="1:13" x14ac:dyDescent="0.3">
      <c r="A3633" t="str">
        <f>Segmenter!A3633</f>
        <v/>
      </c>
      <c r="B3633" t="str">
        <f>Segmenter!B3633</f>
        <v/>
      </c>
      <c r="C3633" t="str">
        <f t="shared" si="280"/>
        <v/>
      </c>
      <c r="D3633" t="str">
        <f t="shared" si="281"/>
        <v/>
      </c>
      <c r="E3633" t="str">
        <f t="shared" si="282"/>
        <v/>
      </c>
      <c r="F3633" t="str">
        <f>IF(D3633="","",INDEX(Knutepunkter!$B:$B,D3633+1))</f>
        <v/>
      </c>
      <c r="G3633" t="str">
        <f>IF(D3633="","",INDEX(Knutepunkter!$C:$C,D3633+1))</f>
        <v/>
      </c>
      <c r="H3633" t="str">
        <f>IF(D3633="","",INDEX(Knutepunkter!$D:$D,D3633+1))</f>
        <v/>
      </c>
      <c r="I3633" t="str">
        <f>IF(E3633="","",INDEX(Knutepunkter!$B:$B,E3633+1))</f>
        <v/>
      </c>
      <c r="J3633" t="str">
        <f>IF(E3633="","",INDEX(Knutepunkter!$C:$C,E3633+1))</f>
        <v/>
      </c>
      <c r="K3633" t="str">
        <f>IF(E3633="","",INDEX(Knutepunkter!$D:$D,E3633+1))</f>
        <v/>
      </c>
      <c r="L3633" t="str">
        <f t="shared" si="283"/>
        <v/>
      </c>
      <c r="M3633" t="str">
        <f t="shared" si="284"/>
        <v/>
      </c>
    </row>
    <row r="3634" spans="1:13" x14ac:dyDescent="0.3">
      <c r="A3634" t="str">
        <f>Segmenter!A3634</f>
        <v/>
      </c>
      <c r="B3634" t="str">
        <f>Segmenter!B3634</f>
        <v/>
      </c>
      <c r="C3634" t="str">
        <f t="shared" si="280"/>
        <v/>
      </c>
      <c r="D3634" t="str">
        <f t="shared" si="281"/>
        <v/>
      </c>
      <c r="E3634" t="str">
        <f t="shared" si="282"/>
        <v/>
      </c>
      <c r="F3634" t="str">
        <f>IF(D3634="","",INDEX(Knutepunkter!$B:$B,D3634+1))</f>
        <v/>
      </c>
      <c r="G3634" t="str">
        <f>IF(D3634="","",INDEX(Knutepunkter!$C:$C,D3634+1))</f>
        <v/>
      </c>
      <c r="H3634" t="str">
        <f>IF(D3634="","",INDEX(Knutepunkter!$D:$D,D3634+1))</f>
        <v/>
      </c>
      <c r="I3634" t="str">
        <f>IF(E3634="","",INDEX(Knutepunkter!$B:$B,E3634+1))</f>
        <v/>
      </c>
      <c r="J3634" t="str">
        <f>IF(E3634="","",INDEX(Knutepunkter!$C:$C,E3634+1))</f>
        <v/>
      </c>
      <c r="K3634" t="str">
        <f>IF(E3634="","",INDEX(Knutepunkter!$D:$D,E3634+1))</f>
        <v/>
      </c>
      <c r="L3634" t="str">
        <f t="shared" si="283"/>
        <v/>
      </c>
      <c r="M3634" t="str">
        <f t="shared" si="284"/>
        <v/>
      </c>
    </row>
    <row r="3635" spans="1:13" x14ac:dyDescent="0.3">
      <c r="A3635" t="str">
        <f>Segmenter!A3635</f>
        <v/>
      </c>
      <c r="B3635" t="str">
        <f>Segmenter!B3635</f>
        <v/>
      </c>
      <c r="C3635" t="str">
        <f t="shared" si="280"/>
        <v/>
      </c>
      <c r="D3635" t="str">
        <f t="shared" si="281"/>
        <v/>
      </c>
      <c r="E3635" t="str">
        <f t="shared" si="282"/>
        <v/>
      </c>
      <c r="F3635" t="str">
        <f>IF(D3635="","",INDEX(Knutepunkter!$B:$B,D3635+1))</f>
        <v/>
      </c>
      <c r="G3635" t="str">
        <f>IF(D3635="","",INDEX(Knutepunkter!$C:$C,D3635+1))</f>
        <v/>
      </c>
      <c r="H3635" t="str">
        <f>IF(D3635="","",INDEX(Knutepunkter!$D:$D,D3635+1))</f>
        <v/>
      </c>
      <c r="I3635" t="str">
        <f>IF(E3635="","",INDEX(Knutepunkter!$B:$B,E3635+1))</f>
        <v/>
      </c>
      <c r="J3635" t="str">
        <f>IF(E3635="","",INDEX(Knutepunkter!$C:$C,E3635+1))</f>
        <v/>
      </c>
      <c r="K3635" t="str">
        <f>IF(E3635="","",INDEX(Knutepunkter!$D:$D,E3635+1))</f>
        <v/>
      </c>
      <c r="L3635" t="str">
        <f t="shared" si="283"/>
        <v/>
      </c>
      <c r="M3635" t="str">
        <f t="shared" si="284"/>
        <v/>
      </c>
    </row>
    <row r="3636" spans="1:13" x14ac:dyDescent="0.3">
      <c r="A3636" t="str">
        <f>Segmenter!A3636</f>
        <v/>
      </c>
      <c r="B3636" t="str">
        <f>Segmenter!B3636</f>
        <v/>
      </c>
      <c r="C3636" t="str">
        <f t="shared" si="280"/>
        <v/>
      </c>
      <c r="D3636" t="str">
        <f t="shared" si="281"/>
        <v/>
      </c>
      <c r="E3636" t="str">
        <f t="shared" si="282"/>
        <v/>
      </c>
      <c r="F3636" t="str">
        <f>IF(D3636="","",INDEX(Knutepunkter!$B:$B,D3636+1))</f>
        <v/>
      </c>
      <c r="G3636" t="str">
        <f>IF(D3636="","",INDEX(Knutepunkter!$C:$C,D3636+1))</f>
        <v/>
      </c>
      <c r="H3636" t="str">
        <f>IF(D3636="","",INDEX(Knutepunkter!$D:$D,D3636+1))</f>
        <v/>
      </c>
      <c r="I3636" t="str">
        <f>IF(E3636="","",INDEX(Knutepunkter!$B:$B,E3636+1))</f>
        <v/>
      </c>
      <c r="J3636" t="str">
        <f>IF(E3636="","",INDEX(Knutepunkter!$C:$C,E3636+1))</f>
        <v/>
      </c>
      <c r="K3636" t="str">
        <f>IF(E3636="","",INDEX(Knutepunkter!$D:$D,E3636+1))</f>
        <v/>
      </c>
      <c r="L3636" t="str">
        <f t="shared" si="283"/>
        <v/>
      </c>
      <c r="M3636" t="str">
        <f t="shared" si="284"/>
        <v/>
      </c>
    </row>
    <row r="3637" spans="1:13" x14ac:dyDescent="0.3">
      <c r="A3637" t="str">
        <f>Segmenter!A3637</f>
        <v/>
      </c>
      <c r="B3637" t="str">
        <f>Segmenter!B3637</f>
        <v/>
      </c>
      <c r="C3637" t="str">
        <f t="shared" si="280"/>
        <v/>
      </c>
      <c r="D3637" t="str">
        <f t="shared" si="281"/>
        <v/>
      </c>
      <c r="E3637" t="str">
        <f t="shared" si="282"/>
        <v/>
      </c>
      <c r="F3637" t="str">
        <f>IF(D3637="","",INDEX(Knutepunkter!$B:$B,D3637+1))</f>
        <v/>
      </c>
      <c r="G3637" t="str">
        <f>IF(D3637="","",INDEX(Knutepunkter!$C:$C,D3637+1))</f>
        <v/>
      </c>
      <c r="H3637" t="str">
        <f>IF(D3637="","",INDEX(Knutepunkter!$D:$D,D3637+1))</f>
        <v/>
      </c>
      <c r="I3637" t="str">
        <f>IF(E3637="","",INDEX(Knutepunkter!$B:$B,E3637+1))</f>
        <v/>
      </c>
      <c r="J3637" t="str">
        <f>IF(E3637="","",INDEX(Knutepunkter!$C:$C,E3637+1))</f>
        <v/>
      </c>
      <c r="K3637" t="str">
        <f>IF(E3637="","",INDEX(Knutepunkter!$D:$D,E3637+1))</f>
        <v/>
      </c>
      <c r="L3637" t="str">
        <f t="shared" si="283"/>
        <v/>
      </c>
      <c r="M3637" t="str">
        <f t="shared" si="284"/>
        <v/>
      </c>
    </row>
    <row r="3638" spans="1:13" x14ac:dyDescent="0.3">
      <c r="A3638" t="str">
        <f>Segmenter!A3638</f>
        <v/>
      </c>
      <c r="B3638" t="str">
        <f>Segmenter!B3638</f>
        <v/>
      </c>
      <c r="C3638" t="str">
        <f t="shared" si="280"/>
        <v/>
      </c>
      <c r="D3638" t="str">
        <f t="shared" si="281"/>
        <v/>
      </c>
      <c r="E3638" t="str">
        <f t="shared" si="282"/>
        <v/>
      </c>
      <c r="F3638" t="str">
        <f>IF(D3638="","",INDEX(Knutepunkter!$B:$B,D3638+1))</f>
        <v/>
      </c>
      <c r="G3638" t="str">
        <f>IF(D3638="","",INDEX(Knutepunkter!$C:$C,D3638+1))</f>
        <v/>
      </c>
      <c r="H3638" t="str">
        <f>IF(D3638="","",INDEX(Knutepunkter!$D:$D,D3638+1))</f>
        <v/>
      </c>
      <c r="I3638" t="str">
        <f>IF(E3638="","",INDEX(Knutepunkter!$B:$B,E3638+1))</f>
        <v/>
      </c>
      <c r="J3638" t="str">
        <f>IF(E3638="","",INDEX(Knutepunkter!$C:$C,E3638+1))</f>
        <v/>
      </c>
      <c r="K3638" t="str">
        <f>IF(E3638="","",INDEX(Knutepunkter!$D:$D,E3638+1))</f>
        <v/>
      </c>
      <c r="L3638" t="str">
        <f t="shared" si="283"/>
        <v/>
      </c>
      <c r="M3638" t="str">
        <f t="shared" si="284"/>
        <v/>
      </c>
    </row>
    <row r="3639" spans="1:13" x14ac:dyDescent="0.3">
      <c r="A3639" t="str">
        <f>Segmenter!A3639</f>
        <v/>
      </c>
      <c r="B3639" t="str">
        <f>Segmenter!B3639</f>
        <v/>
      </c>
      <c r="C3639" t="str">
        <f t="shared" si="280"/>
        <v/>
      </c>
      <c r="D3639" t="str">
        <f t="shared" si="281"/>
        <v/>
      </c>
      <c r="E3639" t="str">
        <f t="shared" si="282"/>
        <v/>
      </c>
      <c r="F3639" t="str">
        <f>IF(D3639="","",INDEX(Knutepunkter!$B:$B,D3639+1))</f>
        <v/>
      </c>
      <c r="G3639" t="str">
        <f>IF(D3639="","",INDEX(Knutepunkter!$C:$C,D3639+1))</f>
        <v/>
      </c>
      <c r="H3639" t="str">
        <f>IF(D3639="","",INDEX(Knutepunkter!$D:$D,D3639+1))</f>
        <v/>
      </c>
      <c r="I3639" t="str">
        <f>IF(E3639="","",INDEX(Knutepunkter!$B:$B,E3639+1))</f>
        <v/>
      </c>
      <c r="J3639" t="str">
        <f>IF(E3639="","",INDEX(Knutepunkter!$C:$C,E3639+1))</f>
        <v/>
      </c>
      <c r="K3639" t="str">
        <f>IF(E3639="","",INDEX(Knutepunkter!$D:$D,E3639+1))</f>
        <v/>
      </c>
      <c r="L3639" t="str">
        <f t="shared" si="283"/>
        <v/>
      </c>
      <c r="M3639" t="str">
        <f t="shared" si="284"/>
        <v/>
      </c>
    </row>
    <row r="3640" spans="1:13" x14ac:dyDescent="0.3">
      <c r="A3640" t="str">
        <f>Segmenter!A3640</f>
        <v/>
      </c>
      <c r="B3640" t="str">
        <f>Segmenter!B3640</f>
        <v/>
      </c>
      <c r="C3640" t="str">
        <f t="shared" si="280"/>
        <v/>
      </c>
      <c r="D3640" t="str">
        <f t="shared" si="281"/>
        <v/>
      </c>
      <c r="E3640" t="str">
        <f t="shared" si="282"/>
        <v/>
      </c>
      <c r="F3640" t="str">
        <f>IF(D3640="","",INDEX(Knutepunkter!$B:$B,D3640+1))</f>
        <v/>
      </c>
      <c r="G3640" t="str">
        <f>IF(D3640="","",INDEX(Knutepunkter!$C:$C,D3640+1))</f>
        <v/>
      </c>
      <c r="H3640" t="str">
        <f>IF(D3640="","",INDEX(Knutepunkter!$D:$D,D3640+1))</f>
        <v/>
      </c>
      <c r="I3640" t="str">
        <f>IF(E3640="","",INDEX(Knutepunkter!$B:$B,E3640+1))</f>
        <v/>
      </c>
      <c r="J3640" t="str">
        <f>IF(E3640="","",INDEX(Knutepunkter!$C:$C,E3640+1))</f>
        <v/>
      </c>
      <c r="K3640" t="str">
        <f>IF(E3640="","",INDEX(Knutepunkter!$D:$D,E3640+1))</f>
        <v/>
      </c>
      <c r="L3640" t="str">
        <f t="shared" si="283"/>
        <v/>
      </c>
      <c r="M3640" t="str">
        <f t="shared" si="284"/>
        <v/>
      </c>
    </row>
    <row r="3641" spans="1:13" x14ac:dyDescent="0.3">
      <c r="A3641" t="str">
        <f>Segmenter!A3641</f>
        <v/>
      </c>
      <c r="B3641" t="str">
        <f>Segmenter!B3641</f>
        <v/>
      </c>
      <c r="C3641" t="str">
        <f t="shared" si="280"/>
        <v/>
      </c>
      <c r="D3641" t="str">
        <f t="shared" si="281"/>
        <v/>
      </c>
      <c r="E3641" t="str">
        <f t="shared" si="282"/>
        <v/>
      </c>
      <c r="F3641" t="str">
        <f>IF(D3641="","",INDEX(Knutepunkter!$B:$B,D3641+1))</f>
        <v/>
      </c>
      <c r="G3641" t="str">
        <f>IF(D3641="","",INDEX(Knutepunkter!$C:$C,D3641+1))</f>
        <v/>
      </c>
      <c r="H3641" t="str">
        <f>IF(D3641="","",INDEX(Knutepunkter!$D:$D,D3641+1))</f>
        <v/>
      </c>
      <c r="I3641" t="str">
        <f>IF(E3641="","",INDEX(Knutepunkter!$B:$B,E3641+1))</f>
        <v/>
      </c>
      <c r="J3641" t="str">
        <f>IF(E3641="","",INDEX(Knutepunkter!$C:$C,E3641+1))</f>
        <v/>
      </c>
      <c r="K3641" t="str">
        <f>IF(E3641="","",INDEX(Knutepunkter!$D:$D,E3641+1))</f>
        <v/>
      </c>
      <c r="L3641" t="str">
        <f t="shared" si="283"/>
        <v/>
      </c>
      <c r="M3641" t="str">
        <f t="shared" si="284"/>
        <v/>
      </c>
    </row>
    <row r="3642" spans="1:13" x14ac:dyDescent="0.3">
      <c r="A3642" t="str">
        <f>Segmenter!A3642</f>
        <v/>
      </c>
      <c r="B3642" t="str">
        <f>Segmenter!B3642</f>
        <v/>
      </c>
      <c r="C3642" t="str">
        <f t="shared" si="280"/>
        <v/>
      </c>
      <c r="D3642" t="str">
        <f t="shared" si="281"/>
        <v/>
      </c>
      <c r="E3642" t="str">
        <f t="shared" si="282"/>
        <v/>
      </c>
      <c r="F3642" t="str">
        <f>IF(D3642="","",INDEX(Knutepunkter!$B:$B,D3642+1))</f>
        <v/>
      </c>
      <c r="G3642" t="str">
        <f>IF(D3642="","",INDEX(Knutepunkter!$C:$C,D3642+1))</f>
        <v/>
      </c>
      <c r="H3642" t="str">
        <f>IF(D3642="","",INDEX(Knutepunkter!$D:$D,D3642+1))</f>
        <v/>
      </c>
      <c r="I3642" t="str">
        <f>IF(E3642="","",INDEX(Knutepunkter!$B:$B,E3642+1))</f>
        <v/>
      </c>
      <c r="J3642" t="str">
        <f>IF(E3642="","",INDEX(Knutepunkter!$C:$C,E3642+1))</f>
        <v/>
      </c>
      <c r="K3642" t="str">
        <f>IF(E3642="","",INDEX(Knutepunkter!$D:$D,E3642+1))</f>
        <v/>
      </c>
      <c r="L3642" t="str">
        <f t="shared" si="283"/>
        <v/>
      </c>
      <c r="M3642" t="str">
        <f t="shared" si="284"/>
        <v/>
      </c>
    </row>
    <row r="3643" spans="1:13" x14ac:dyDescent="0.3">
      <c r="A3643" t="str">
        <f>Segmenter!A3643</f>
        <v/>
      </c>
      <c r="B3643" t="str">
        <f>Segmenter!B3643</f>
        <v/>
      </c>
      <c r="C3643" t="str">
        <f t="shared" si="280"/>
        <v/>
      </c>
      <c r="D3643" t="str">
        <f t="shared" si="281"/>
        <v/>
      </c>
      <c r="E3643" t="str">
        <f t="shared" si="282"/>
        <v/>
      </c>
      <c r="F3643" t="str">
        <f>IF(D3643="","",INDEX(Knutepunkter!$B:$B,D3643+1))</f>
        <v/>
      </c>
      <c r="G3643" t="str">
        <f>IF(D3643="","",INDEX(Knutepunkter!$C:$C,D3643+1))</f>
        <v/>
      </c>
      <c r="H3643" t="str">
        <f>IF(D3643="","",INDEX(Knutepunkter!$D:$D,D3643+1))</f>
        <v/>
      </c>
      <c r="I3643" t="str">
        <f>IF(E3643="","",INDEX(Knutepunkter!$B:$B,E3643+1))</f>
        <v/>
      </c>
      <c r="J3643" t="str">
        <f>IF(E3643="","",INDEX(Knutepunkter!$C:$C,E3643+1))</f>
        <v/>
      </c>
      <c r="K3643" t="str">
        <f>IF(E3643="","",INDEX(Knutepunkter!$D:$D,E3643+1))</f>
        <v/>
      </c>
      <c r="L3643" t="str">
        <f t="shared" si="283"/>
        <v/>
      </c>
      <c r="M3643" t="str">
        <f t="shared" si="284"/>
        <v/>
      </c>
    </row>
    <row r="3644" spans="1:13" x14ac:dyDescent="0.3">
      <c r="A3644" t="str">
        <f>Segmenter!A3644</f>
        <v/>
      </c>
      <c r="B3644" t="str">
        <f>Segmenter!B3644</f>
        <v/>
      </c>
      <c r="C3644" t="str">
        <f t="shared" si="280"/>
        <v/>
      </c>
      <c r="D3644" t="str">
        <f t="shared" si="281"/>
        <v/>
      </c>
      <c r="E3644" t="str">
        <f t="shared" si="282"/>
        <v/>
      </c>
      <c r="F3644" t="str">
        <f>IF(D3644="","",INDEX(Knutepunkter!$B:$B,D3644+1))</f>
        <v/>
      </c>
      <c r="G3644" t="str">
        <f>IF(D3644="","",INDEX(Knutepunkter!$C:$C,D3644+1))</f>
        <v/>
      </c>
      <c r="H3644" t="str">
        <f>IF(D3644="","",INDEX(Knutepunkter!$D:$D,D3644+1))</f>
        <v/>
      </c>
      <c r="I3644" t="str">
        <f>IF(E3644="","",INDEX(Knutepunkter!$B:$B,E3644+1))</f>
        <v/>
      </c>
      <c r="J3644" t="str">
        <f>IF(E3644="","",INDEX(Knutepunkter!$C:$C,E3644+1))</f>
        <v/>
      </c>
      <c r="K3644" t="str">
        <f>IF(E3644="","",INDEX(Knutepunkter!$D:$D,E3644+1))</f>
        <v/>
      </c>
      <c r="L3644" t="str">
        <f t="shared" si="283"/>
        <v/>
      </c>
      <c r="M3644" t="str">
        <f t="shared" si="284"/>
        <v/>
      </c>
    </row>
    <row r="3645" spans="1:13" x14ac:dyDescent="0.3">
      <c r="A3645" t="str">
        <f>Segmenter!A3645</f>
        <v/>
      </c>
      <c r="B3645" t="str">
        <f>Segmenter!B3645</f>
        <v/>
      </c>
      <c r="C3645" t="str">
        <f t="shared" si="280"/>
        <v/>
      </c>
      <c r="D3645" t="str">
        <f t="shared" si="281"/>
        <v/>
      </c>
      <c r="E3645" t="str">
        <f t="shared" si="282"/>
        <v/>
      </c>
      <c r="F3645" t="str">
        <f>IF(D3645="","",INDEX(Knutepunkter!$B:$B,D3645+1))</f>
        <v/>
      </c>
      <c r="G3645" t="str">
        <f>IF(D3645="","",INDEX(Knutepunkter!$C:$C,D3645+1))</f>
        <v/>
      </c>
      <c r="H3645" t="str">
        <f>IF(D3645="","",INDEX(Knutepunkter!$D:$D,D3645+1))</f>
        <v/>
      </c>
      <c r="I3645" t="str">
        <f>IF(E3645="","",INDEX(Knutepunkter!$B:$B,E3645+1))</f>
        <v/>
      </c>
      <c r="J3645" t="str">
        <f>IF(E3645="","",INDEX(Knutepunkter!$C:$C,E3645+1))</f>
        <v/>
      </c>
      <c r="K3645" t="str">
        <f>IF(E3645="","",INDEX(Knutepunkter!$D:$D,E3645+1))</f>
        <v/>
      </c>
      <c r="L3645" t="str">
        <f t="shared" si="283"/>
        <v/>
      </c>
      <c r="M3645" t="str">
        <f t="shared" si="284"/>
        <v/>
      </c>
    </row>
    <row r="3646" spans="1:13" x14ac:dyDescent="0.3">
      <c r="A3646" t="str">
        <f>Segmenter!A3646</f>
        <v/>
      </c>
      <c r="B3646" t="str">
        <f>Segmenter!B3646</f>
        <v/>
      </c>
      <c r="C3646" t="str">
        <f t="shared" si="280"/>
        <v/>
      </c>
      <c r="D3646" t="str">
        <f t="shared" si="281"/>
        <v/>
      </c>
      <c r="E3646" t="str">
        <f t="shared" si="282"/>
        <v/>
      </c>
      <c r="F3646" t="str">
        <f>IF(D3646="","",INDEX(Knutepunkter!$B:$B,D3646+1))</f>
        <v/>
      </c>
      <c r="G3646" t="str">
        <f>IF(D3646="","",INDEX(Knutepunkter!$C:$C,D3646+1))</f>
        <v/>
      </c>
      <c r="H3646" t="str">
        <f>IF(D3646="","",INDEX(Knutepunkter!$D:$D,D3646+1))</f>
        <v/>
      </c>
      <c r="I3646" t="str">
        <f>IF(E3646="","",INDEX(Knutepunkter!$B:$B,E3646+1))</f>
        <v/>
      </c>
      <c r="J3646" t="str">
        <f>IF(E3646="","",INDEX(Knutepunkter!$C:$C,E3646+1))</f>
        <v/>
      </c>
      <c r="K3646" t="str">
        <f>IF(E3646="","",INDEX(Knutepunkter!$D:$D,E3646+1))</f>
        <v/>
      </c>
      <c r="L3646" t="str">
        <f t="shared" si="283"/>
        <v/>
      </c>
      <c r="M3646" t="str">
        <f t="shared" si="284"/>
        <v/>
      </c>
    </row>
    <row r="3647" spans="1:13" x14ac:dyDescent="0.3">
      <c r="A3647" t="str">
        <f>Segmenter!A3647</f>
        <v/>
      </c>
      <c r="B3647" t="str">
        <f>Segmenter!B3647</f>
        <v/>
      </c>
      <c r="C3647" t="str">
        <f t="shared" si="280"/>
        <v/>
      </c>
      <c r="D3647" t="str">
        <f t="shared" si="281"/>
        <v/>
      </c>
      <c r="E3647" t="str">
        <f t="shared" si="282"/>
        <v/>
      </c>
      <c r="F3647" t="str">
        <f>IF(D3647="","",INDEX(Knutepunkter!$B:$B,D3647+1))</f>
        <v/>
      </c>
      <c r="G3647" t="str">
        <f>IF(D3647="","",INDEX(Knutepunkter!$C:$C,D3647+1))</f>
        <v/>
      </c>
      <c r="H3647" t="str">
        <f>IF(D3647="","",INDEX(Knutepunkter!$D:$D,D3647+1))</f>
        <v/>
      </c>
      <c r="I3647" t="str">
        <f>IF(E3647="","",INDEX(Knutepunkter!$B:$B,E3647+1))</f>
        <v/>
      </c>
      <c r="J3647" t="str">
        <f>IF(E3647="","",INDEX(Knutepunkter!$C:$C,E3647+1))</f>
        <v/>
      </c>
      <c r="K3647" t="str">
        <f>IF(E3647="","",INDEX(Knutepunkter!$D:$D,E3647+1))</f>
        <v/>
      </c>
      <c r="L3647" t="str">
        <f t="shared" si="283"/>
        <v/>
      </c>
      <c r="M3647" t="str">
        <f t="shared" si="284"/>
        <v/>
      </c>
    </row>
    <row r="3648" spans="1:13" x14ac:dyDescent="0.3">
      <c r="A3648" t="str">
        <f>Segmenter!A3648</f>
        <v/>
      </c>
      <c r="B3648" t="str">
        <f>Segmenter!B3648</f>
        <v/>
      </c>
      <c r="C3648" t="str">
        <f t="shared" si="280"/>
        <v/>
      </c>
      <c r="D3648" t="str">
        <f t="shared" si="281"/>
        <v/>
      </c>
      <c r="E3648" t="str">
        <f t="shared" si="282"/>
        <v/>
      </c>
      <c r="F3648" t="str">
        <f>IF(D3648="","",INDEX(Knutepunkter!$B:$B,D3648+1))</f>
        <v/>
      </c>
      <c r="G3648" t="str">
        <f>IF(D3648="","",INDEX(Knutepunkter!$C:$C,D3648+1))</f>
        <v/>
      </c>
      <c r="H3648" t="str">
        <f>IF(D3648="","",INDEX(Knutepunkter!$D:$D,D3648+1))</f>
        <v/>
      </c>
      <c r="I3648" t="str">
        <f>IF(E3648="","",INDEX(Knutepunkter!$B:$B,E3648+1))</f>
        <v/>
      </c>
      <c r="J3648" t="str">
        <f>IF(E3648="","",INDEX(Knutepunkter!$C:$C,E3648+1))</f>
        <v/>
      </c>
      <c r="K3648" t="str">
        <f>IF(E3648="","",INDEX(Knutepunkter!$D:$D,E3648+1))</f>
        <v/>
      </c>
      <c r="L3648" t="str">
        <f t="shared" si="283"/>
        <v/>
      </c>
      <c r="M3648" t="str">
        <f t="shared" si="284"/>
        <v/>
      </c>
    </row>
    <row r="3649" spans="1:13" x14ac:dyDescent="0.3">
      <c r="A3649" t="str">
        <f>Segmenter!A3649</f>
        <v/>
      </c>
      <c r="B3649" t="str">
        <f>Segmenter!B3649</f>
        <v/>
      </c>
      <c r="C3649" t="str">
        <f t="shared" si="280"/>
        <v/>
      </c>
      <c r="D3649" t="str">
        <f t="shared" si="281"/>
        <v/>
      </c>
      <c r="E3649" t="str">
        <f t="shared" si="282"/>
        <v/>
      </c>
      <c r="F3649" t="str">
        <f>IF(D3649="","",INDEX(Knutepunkter!$B:$B,D3649+1))</f>
        <v/>
      </c>
      <c r="G3649" t="str">
        <f>IF(D3649="","",INDEX(Knutepunkter!$C:$C,D3649+1))</f>
        <v/>
      </c>
      <c r="H3649" t="str">
        <f>IF(D3649="","",INDEX(Knutepunkter!$D:$D,D3649+1))</f>
        <v/>
      </c>
      <c r="I3649" t="str">
        <f>IF(E3649="","",INDEX(Knutepunkter!$B:$B,E3649+1))</f>
        <v/>
      </c>
      <c r="J3649" t="str">
        <f>IF(E3649="","",INDEX(Knutepunkter!$C:$C,E3649+1))</f>
        <v/>
      </c>
      <c r="K3649" t="str">
        <f>IF(E3649="","",INDEX(Knutepunkter!$D:$D,E3649+1))</f>
        <v/>
      </c>
      <c r="L3649" t="str">
        <f t="shared" si="283"/>
        <v/>
      </c>
      <c r="M3649" t="str">
        <f t="shared" si="284"/>
        <v/>
      </c>
    </row>
    <row r="3650" spans="1:13" x14ac:dyDescent="0.3">
      <c r="A3650" t="str">
        <f>Segmenter!A3650</f>
        <v/>
      </c>
      <c r="B3650" t="str">
        <f>Segmenter!B3650</f>
        <v/>
      </c>
      <c r="C3650" t="str">
        <f t="shared" ref="C3650:C3713" si="285">IF(B3650="","",IF(AND(F3650=I3650,G3650=J3650,H3650&lt;&gt;K3650),"Søyle","Bjelke"))</f>
        <v/>
      </c>
      <c r="D3650" t="str">
        <f t="shared" ref="D3650:D3713" si="286">IF(B3650="","",VALUE(LEFT(B3650,FIND(" -&gt; ",B3650)-1)))</f>
        <v/>
      </c>
      <c r="E3650" t="str">
        <f t="shared" ref="E3650:E3713" si="287">IF(B3650="","",VALUE(MID(B3650,FIND(" -&gt; ",B3650)+4,99)))</f>
        <v/>
      </c>
      <c r="F3650" t="str">
        <f>IF(D3650="","",INDEX(Knutepunkter!$B:$B,D3650+1))</f>
        <v/>
      </c>
      <c r="G3650" t="str">
        <f>IF(D3650="","",INDEX(Knutepunkter!$C:$C,D3650+1))</f>
        <v/>
      </c>
      <c r="H3650" t="str">
        <f>IF(D3650="","",INDEX(Knutepunkter!$D:$D,D3650+1))</f>
        <v/>
      </c>
      <c r="I3650" t="str">
        <f>IF(E3650="","",INDEX(Knutepunkter!$B:$B,E3650+1))</f>
        <v/>
      </c>
      <c r="J3650" t="str">
        <f>IF(E3650="","",INDEX(Knutepunkter!$C:$C,E3650+1))</f>
        <v/>
      </c>
      <c r="K3650" t="str">
        <f>IF(E3650="","",INDEX(Knutepunkter!$D:$D,E3650+1))</f>
        <v/>
      </c>
      <c r="L3650" t="str">
        <f t="shared" ref="L3650:L3713" si="288">IF(B3650="","",SQRT((I3650-F3650)^2+(J3650-G3650)^2+(K3650-H3650)^2))</f>
        <v/>
      </c>
      <c r="M3650" t="str">
        <f t="shared" ref="M3650:M3713" si="289">IF(L3650="","",L3650/1000)</f>
        <v/>
      </c>
    </row>
    <row r="3651" spans="1:13" x14ac:dyDescent="0.3">
      <c r="A3651" t="str">
        <f>Segmenter!A3651</f>
        <v/>
      </c>
      <c r="B3651" t="str">
        <f>Segmenter!B3651</f>
        <v/>
      </c>
      <c r="C3651" t="str">
        <f t="shared" si="285"/>
        <v/>
      </c>
      <c r="D3651" t="str">
        <f t="shared" si="286"/>
        <v/>
      </c>
      <c r="E3651" t="str">
        <f t="shared" si="287"/>
        <v/>
      </c>
      <c r="F3651" t="str">
        <f>IF(D3651="","",INDEX(Knutepunkter!$B:$B,D3651+1))</f>
        <v/>
      </c>
      <c r="G3651" t="str">
        <f>IF(D3651="","",INDEX(Knutepunkter!$C:$C,D3651+1))</f>
        <v/>
      </c>
      <c r="H3651" t="str">
        <f>IF(D3651="","",INDEX(Knutepunkter!$D:$D,D3651+1))</f>
        <v/>
      </c>
      <c r="I3651" t="str">
        <f>IF(E3651="","",INDEX(Knutepunkter!$B:$B,E3651+1))</f>
        <v/>
      </c>
      <c r="J3651" t="str">
        <f>IF(E3651="","",INDEX(Knutepunkter!$C:$C,E3651+1))</f>
        <v/>
      </c>
      <c r="K3651" t="str">
        <f>IF(E3651="","",INDEX(Knutepunkter!$D:$D,E3651+1))</f>
        <v/>
      </c>
      <c r="L3651" t="str">
        <f t="shared" si="288"/>
        <v/>
      </c>
      <c r="M3651" t="str">
        <f t="shared" si="289"/>
        <v/>
      </c>
    </row>
    <row r="3652" spans="1:13" x14ac:dyDescent="0.3">
      <c r="A3652" t="str">
        <f>Segmenter!A3652</f>
        <v/>
      </c>
      <c r="B3652" t="str">
        <f>Segmenter!B3652</f>
        <v/>
      </c>
      <c r="C3652" t="str">
        <f t="shared" si="285"/>
        <v/>
      </c>
      <c r="D3652" t="str">
        <f t="shared" si="286"/>
        <v/>
      </c>
      <c r="E3652" t="str">
        <f t="shared" si="287"/>
        <v/>
      </c>
      <c r="F3652" t="str">
        <f>IF(D3652="","",INDEX(Knutepunkter!$B:$B,D3652+1))</f>
        <v/>
      </c>
      <c r="G3652" t="str">
        <f>IF(D3652="","",INDEX(Knutepunkter!$C:$C,D3652+1))</f>
        <v/>
      </c>
      <c r="H3652" t="str">
        <f>IF(D3652="","",INDEX(Knutepunkter!$D:$D,D3652+1))</f>
        <v/>
      </c>
      <c r="I3652" t="str">
        <f>IF(E3652="","",INDEX(Knutepunkter!$B:$B,E3652+1))</f>
        <v/>
      </c>
      <c r="J3652" t="str">
        <f>IF(E3652="","",INDEX(Knutepunkter!$C:$C,E3652+1))</f>
        <v/>
      </c>
      <c r="K3652" t="str">
        <f>IF(E3652="","",INDEX(Knutepunkter!$D:$D,E3652+1))</f>
        <v/>
      </c>
      <c r="L3652" t="str">
        <f t="shared" si="288"/>
        <v/>
      </c>
      <c r="M3652" t="str">
        <f t="shared" si="289"/>
        <v/>
      </c>
    </row>
    <row r="3653" spans="1:13" x14ac:dyDescent="0.3">
      <c r="A3653" t="str">
        <f>Segmenter!A3653</f>
        <v/>
      </c>
      <c r="B3653" t="str">
        <f>Segmenter!B3653</f>
        <v/>
      </c>
      <c r="C3653" t="str">
        <f t="shared" si="285"/>
        <v/>
      </c>
      <c r="D3653" t="str">
        <f t="shared" si="286"/>
        <v/>
      </c>
      <c r="E3653" t="str">
        <f t="shared" si="287"/>
        <v/>
      </c>
      <c r="F3653" t="str">
        <f>IF(D3653="","",INDEX(Knutepunkter!$B:$B,D3653+1))</f>
        <v/>
      </c>
      <c r="G3653" t="str">
        <f>IF(D3653="","",INDEX(Knutepunkter!$C:$C,D3653+1))</f>
        <v/>
      </c>
      <c r="H3653" t="str">
        <f>IF(D3653="","",INDEX(Knutepunkter!$D:$D,D3653+1))</f>
        <v/>
      </c>
      <c r="I3653" t="str">
        <f>IF(E3653="","",INDEX(Knutepunkter!$B:$B,E3653+1))</f>
        <v/>
      </c>
      <c r="J3653" t="str">
        <f>IF(E3653="","",INDEX(Knutepunkter!$C:$C,E3653+1))</f>
        <v/>
      </c>
      <c r="K3653" t="str">
        <f>IF(E3653="","",INDEX(Knutepunkter!$D:$D,E3653+1))</f>
        <v/>
      </c>
      <c r="L3653" t="str">
        <f t="shared" si="288"/>
        <v/>
      </c>
      <c r="M3653" t="str">
        <f t="shared" si="289"/>
        <v/>
      </c>
    </row>
    <row r="3654" spans="1:13" x14ac:dyDescent="0.3">
      <c r="A3654" t="str">
        <f>Segmenter!A3654</f>
        <v/>
      </c>
      <c r="B3654" t="str">
        <f>Segmenter!B3654</f>
        <v/>
      </c>
      <c r="C3654" t="str">
        <f t="shared" si="285"/>
        <v/>
      </c>
      <c r="D3654" t="str">
        <f t="shared" si="286"/>
        <v/>
      </c>
      <c r="E3654" t="str">
        <f t="shared" si="287"/>
        <v/>
      </c>
      <c r="F3654" t="str">
        <f>IF(D3654="","",INDEX(Knutepunkter!$B:$B,D3654+1))</f>
        <v/>
      </c>
      <c r="G3654" t="str">
        <f>IF(D3654="","",INDEX(Knutepunkter!$C:$C,D3654+1))</f>
        <v/>
      </c>
      <c r="H3654" t="str">
        <f>IF(D3654="","",INDEX(Knutepunkter!$D:$D,D3654+1))</f>
        <v/>
      </c>
      <c r="I3654" t="str">
        <f>IF(E3654="","",INDEX(Knutepunkter!$B:$B,E3654+1))</f>
        <v/>
      </c>
      <c r="J3654" t="str">
        <f>IF(E3654="","",INDEX(Knutepunkter!$C:$C,E3654+1))</f>
        <v/>
      </c>
      <c r="K3654" t="str">
        <f>IF(E3654="","",INDEX(Knutepunkter!$D:$D,E3654+1))</f>
        <v/>
      </c>
      <c r="L3654" t="str">
        <f t="shared" si="288"/>
        <v/>
      </c>
      <c r="M3654" t="str">
        <f t="shared" si="289"/>
        <v/>
      </c>
    </row>
    <row r="3655" spans="1:13" x14ac:dyDescent="0.3">
      <c r="A3655" t="str">
        <f>Segmenter!A3655</f>
        <v/>
      </c>
      <c r="B3655" t="str">
        <f>Segmenter!B3655</f>
        <v/>
      </c>
      <c r="C3655" t="str">
        <f t="shared" si="285"/>
        <v/>
      </c>
      <c r="D3655" t="str">
        <f t="shared" si="286"/>
        <v/>
      </c>
      <c r="E3655" t="str">
        <f t="shared" si="287"/>
        <v/>
      </c>
      <c r="F3655" t="str">
        <f>IF(D3655="","",INDEX(Knutepunkter!$B:$B,D3655+1))</f>
        <v/>
      </c>
      <c r="G3655" t="str">
        <f>IF(D3655="","",INDEX(Knutepunkter!$C:$C,D3655+1))</f>
        <v/>
      </c>
      <c r="H3655" t="str">
        <f>IF(D3655="","",INDEX(Knutepunkter!$D:$D,D3655+1))</f>
        <v/>
      </c>
      <c r="I3655" t="str">
        <f>IF(E3655="","",INDEX(Knutepunkter!$B:$B,E3655+1))</f>
        <v/>
      </c>
      <c r="J3655" t="str">
        <f>IF(E3655="","",INDEX(Knutepunkter!$C:$C,E3655+1))</f>
        <v/>
      </c>
      <c r="K3655" t="str">
        <f>IF(E3655="","",INDEX(Knutepunkter!$D:$D,E3655+1))</f>
        <v/>
      </c>
      <c r="L3655" t="str">
        <f t="shared" si="288"/>
        <v/>
      </c>
      <c r="M3655" t="str">
        <f t="shared" si="289"/>
        <v/>
      </c>
    </row>
    <row r="3656" spans="1:13" x14ac:dyDescent="0.3">
      <c r="A3656" t="str">
        <f>Segmenter!A3656</f>
        <v/>
      </c>
      <c r="B3656" t="str">
        <f>Segmenter!B3656</f>
        <v/>
      </c>
      <c r="C3656" t="str">
        <f t="shared" si="285"/>
        <v/>
      </c>
      <c r="D3656" t="str">
        <f t="shared" si="286"/>
        <v/>
      </c>
      <c r="E3656" t="str">
        <f t="shared" si="287"/>
        <v/>
      </c>
      <c r="F3656" t="str">
        <f>IF(D3656="","",INDEX(Knutepunkter!$B:$B,D3656+1))</f>
        <v/>
      </c>
      <c r="G3656" t="str">
        <f>IF(D3656="","",INDEX(Knutepunkter!$C:$C,D3656+1))</f>
        <v/>
      </c>
      <c r="H3656" t="str">
        <f>IF(D3656="","",INDEX(Knutepunkter!$D:$D,D3656+1))</f>
        <v/>
      </c>
      <c r="I3656" t="str">
        <f>IF(E3656="","",INDEX(Knutepunkter!$B:$B,E3656+1))</f>
        <v/>
      </c>
      <c r="J3656" t="str">
        <f>IF(E3656="","",INDEX(Knutepunkter!$C:$C,E3656+1))</f>
        <v/>
      </c>
      <c r="K3656" t="str">
        <f>IF(E3656="","",INDEX(Knutepunkter!$D:$D,E3656+1))</f>
        <v/>
      </c>
      <c r="L3656" t="str">
        <f t="shared" si="288"/>
        <v/>
      </c>
      <c r="M3656" t="str">
        <f t="shared" si="289"/>
        <v/>
      </c>
    </row>
    <row r="3657" spans="1:13" x14ac:dyDescent="0.3">
      <c r="A3657" t="str">
        <f>Segmenter!A3657</f>
        <v/>
      </c>
      <c r="B3657" t="str">
        <f>Segmenter!B3657</f>
        <v/>
      </c>
      <c r="C3657" t="str">
        <f t="shared" si="285"/>
        <v/>
      </c>
      <c r="D3657" t="str">
        <f t="shared" si="286"/>
        <v/>
      </c>
      <c r="E3657" t="str">
        <f t="shared" si="287"/>
        <v/>
      </c>
      <c r="F3657" t="str">
        <f>IF(D3657="","",INDEX(Knutepunkter!$B:$B,D3657+1))</f>
        <v/>
      </c>
      <c r="G3657" t="str">
        <f>IF(D3657="","",INDEX(Knutepunkter!$C:$C,D3657+1))</f>
        <v/>
      </c>
      <c r="H3657" t="str">
        <f>IF(D3657="","",INDEX(Knutepunkter!$D:$D,D3657+1))</f>
        <v/>
      </c>
      <c r="I3657" t="str">
        <f>IF(E3657="","",INDEX(Knutepunkter!$B:$B,E3657+1))</f>
        <v/>
      </c>
      <c r="J3657" t="str">
        <f>IF(E3657="","",INDEX(Knutepunkter!$C:$C,E3657+1))</f>
        <v/>
      </c>
      <c r="K3657" t="str">
        <f>IF(E3657="","",INDEX(Knutepunkter!$D:$D,E3657+1))</f>
        <v/>
      </c>
      <c r="L3657" t="str">
        <f t="shared" si="288"/>
        <v/>
      </c>
      <c r="M3657" t="str">
        <f t="shared" si="289"/>
        <v/>
      </c>
    </row>
    <row r="3658" spans="1:13" x14ac:dyDescent="0.3">
      <c r="A3658" t="str">
        <f>Segmenter!A3658</f>
        <v/>
      </c>
      <c r="B3658" t="str">
        <f>Segmenter!B3658</f>
        <v/>
      </c>
      <c r="C3658" t="str">
        <f t="shared" si="285"/>
        <v/>
      </c>
      <c r="D3658" t="str">
        <f t="shared" si="286"/>
        <v/>
      </c>
      <c r="E3658" t="str">
        <f t="shared" si="287"/>
        <v/>
      </c>
      <c r="F3658" t="str">
        <f>IF(D3658="","",INDEX(Knutepunkter!$B:$B,D3658+1))</f>
        <v/>
      </c>
      <c r="G3658" t="str">
        <f>IF(D3658="","",INDEX(Knutepunkter!$C:$C,D3658+1))</f>
        <v/>
      </c>
      <c r="H3658" t="str">
        <f>IF(D3658="","",INDEX(Knutepunkter!$D:$D,D3658+1))</f>
        <v/>
      </c>
      <c r="I3658" t="str">
        <f>IF(E3658="","",INDEX(Knutepunkter!$B:$B,E3658+1))</f>
        <v/>
      </c>
      <c r="J3658" t="str">
        <f>IF(E3658="","",INDEX(Knutepunkter!$C:$C,E3658+1))</f>
        <v/>
      </c>
      <c r="K3658" t="str">
        <f>IF(E3658="","",INDEX(Knutepunkter!$D:$D,E3658+1))</f>
        <v/>
      </c>
      <c r="L3658" t="str">
        <f t="shared" si="288"/>
        <v/>
      </c>
      <c r="M3658" t="str">
        <f t="shared" si="289"/>
        <v/>
      </c>
    </row>
    <row r="3659" spans="1:13" x14ac:dyDescent="0.3">
      <c r="A3659" t="str">
        <f>Segmenter!A3659</f>
        <v/>
      </c>
      <c r="B3659" t="str">
        <f>Segmenter!B3659</f>
        <v/>
      </c>
      <c r="C3659" t="str">
        <f t="shared" si="285"/>
        <v/>
      </c>
      <c r="D3659" t="str">
        <f t="shared" si="286"/>
        <v/>
      </c>
      <c r="E3659" t="str">
        <f t="shared" si="287"/>
        <v/>
      </c>
      <c r="F3659" t="str">
        <f>IF(D3659="","",INDEX(Knutepunkter!$B:$B,D3659+1))</f>
        <v/>
      </c>
      <c r="G3659" t="str">
        <f>IF(D3659="","",INDEX(Knutepunkter!$C:$C,D3659+1))</f>
        <v/>
      </c>
      <c r="H3659" t="str">
        <f>IF(D3659="","",INDEX(Knutepunkter!$D:$D,D3659+1))</f>
        <v/>
      </c>
      <c r="I3659" t="str">
        <f>IF(E3659="","",INDEX(Knutepunkter!$B:$B,E3659+1))</f>
        <v/>
      </c>
      <c r="J3659" t="str">
        <f>IF(E3659="","",INDEX(Knutepunkter!$C:$C,E3659+1))</f>
        <v/>
      </c>
      <c r="K3659" t="str">
        <f>IF(E3659="","",INDEX(Knutepunkter!$D:$D,E3659+1))</f>
        <v/>
      </c>
      <c r="L3659" t="str">
        <f t="shared" si="288"/>
        <v/>
      </c>
      <c r="M3659" t="str">
        <f t="shared" si="289"/>
        <v/>
      </c>
    </row>
    <row r="3660" spans="1:13" x14ac:dyDescent="0.3">
      <c r="A3660" t="str">
        <f>Segmenter!A3660</f>
        <v/>
      </c>
      <c r="B3660" t="str">
        <f>Segmenter!B3660</f>
        <v/>
      </c>
      <c r="C3660" t="str">
        <f t="shared" si="285"/>
        <v/>
      </c>
      <c r="D3660" t="str">
        <f t="shared" si="286"/>
        <v/>
      </c>
      <c r="E3660" t="str">
        <f t="shared" si="287"/>
        <v/>
      </c>
      <c r="F3660" t="str">
        <f>IF(D3660="","",INDEX(Knutepunkter!$B:$B,D3660+1))</f>
        <v/>
      </c>
      <c r="G3660" t="str">
        <f>IF(D3660="","",INDEX(Knutepunkter!$C:$C,D3660+1))</f>
        <v/>
      </c>
      <c r="H3660" t="str">
        <f>IF(D3660="","",INDEX(Knutepunkter!$D:$D,D3660+1))</f>
        <v/>
      </c>
      <c r="I3660" t="str">
        <f>IF(E3660="","",INDEX(Knutepunkter!$B:$B,E3660+1))</f>
        <v/>
      </c>
      <c r="J3660" t="str">
        <f>IF(E3660="","",INDEX(Knutepunkter!$C:$C,E3660+1))</f>
        <v/>
      </c>
      <c r="K3660" t="str">
        <f>IF(E3660="","",INDEX(Knutepunkter!$D:$D,E3660+1))</f>
        <v/>
      </c>
      <c r="L3660" t="str">
        <f t="shared" si="288"/>
        <v/>
      </c>
      <c r="M3660" t="str">
        <f t="shared" si="289"/>
        <v/>
      </c>
    </row>
    <row r="3661" spans="1:13" x14ac:dyDescent="0.3">
      <c r="A3661" t="str">
        <f>Segmenter!A3661</f>
        <v/>
      </c>
      <c r="B3661" t="str">
        <f>Segmenter!B3661</f>
        <v/>
      </c>
      <c r="C3661" t="str">
        <f t="shared" si="285"/>
        <v/>
      </c>
      <c r="D3661" t="str">
        <f t="shared" si="286"/>
        <v/>
      </c>
      <c r="E3661" t="str">
        <f t="shared" si="287"/>
        <v/>
      </c>
      <c r="F3661" t="str">
        <f>IF(D3661="","",INDEX(Knutepunkter!$B:$B,D3661+1))</f>
        <v/>
      </c>
      <c r="G3661" t="str">
        <f>IF(D3661="","",INDEX(Knutepunkter!$C:$C,D3661+1))</f>
        <v/>
      </c>
      <c r="H3661" t="str">
        <f>IF(D3661="","",INDEX(Knutepunkter!$D:$D,D3661+1))</f>
        <v/>
      </c>
      <c r="I3661" t="str">
        <f>IF(E3661="","",INDEX(Knutepunkter!$B:$B,E3661+1))</f>
        <v/>
      </c>
      <c r="J3661" t="str">
        <f>IF(E3661="","",INDEX(Knutepunkter!$C:$C,E3661+1))</f>
        <v/>
      </c>
      <c r="K3661" t="str">
        <f>IF(E3661="","",INDEX(Knutepunkter!$D:$D,E3661+1))</f>
        <v/>
      </c>
      <c r="L3661" t="str">
        <f t="shared" si="288"/>
        <v/>
      </c>
      <c r="M3661" t="str">
        <f t="shared" si="289"/>
        <v/>
      </c>
    </row>
    <row r="3662" spans="1:13" x14ac:dyDescent="0.3">
      <c r="A3662" t="str">
        <f>Segmenter!A3662</f>
        <v/>
      </c>
      <c r="B3662" t="str">
        <f>Segmenter!B3662</f>
        <v/>
      </c>
      <c r="C3662" t="str">
        <f t="shared" si="285"/>
        <v/>
      </c>
      <c r="D3662" t="str">
        <f t="shared" si="286"/>
        <v/>
      </c>
      <c r="E3662" t="str">
        <f t="shared" si="287"/>
        <v/>
      </c>
      <c r="F3662" t="str">
        <f>IF(D3662="","",INDEX(Knutepunkter!$B:$B,D3662+1))</f>
        <v/>
      </c>
      <c r="G3662" t="str">
        <f>IF(D3662="","",INDEX(Knutepunkter!$C:$C,D3662+1))</f>
        <v/>
      </c>
      <c r="H3662" t="str">
        <f>IF(D3662="","",INDEX(Knutepunkter!$D:$D,D3662+1))</f>
        <v/>
      </c>
      <c r="I3662" t="str">
        <f>IF(E3662="","",INDEX(Knutepunkter!$B:$B,E3662+1))</f>
        <v/>
      </c>
      <c r="J3662" t="str">
        <f>IF(E3662="","",INDEX(Knutepunkter!$C:$C,E3662+1))</f>
        <v/>
      </c>
      <c r="K3662" t="str">
        <f>IF(E3662="","",INDEX(Knutepunkter!$D:$D,E3662+1))</f>
        <v/>
      </c>
      <c r="L3662" t="str">
        <f t="shared" si="288"/>
        <v/>
      </c>
      <c r="M3662" t="str">
        <f t="shared" si="289"/>
        <v/>
      </c>
    </row>
    <row r="3663" spans="1:13" x14ac:dyDescent="0.3">
      <c r="A3663" t="str">
        <f>Segmenter!A3663</f>
        <v/>
      </c>
      <c r="B3663" t="str">
        <f>Segmenter!B3663</f>
        <v/>
      </c>
      <c r="C3663" t="str">
        <f t="shared" si="285"/>
        <v/>
      </c>
      <c r="D3663" t="str">
        <f t="shared" si="286"/>
        <v/>
      </c>
      <c r="E3663" t="str">
        <f t="shared" si="287"/>
        <v/>
      </c>
      <c r="F3663" t="str">
        <f>IF(D3663="","",INDEX(Knutepunkter!$B:$B,D3663+1))</f>
        <v/>
      </c>
      <c r="G3663" t="str">
        <f>IF(D3663="","",INDEX(Knutepunkter!$C:$C,D3663+1))</f>
        <v/>
      </c>
      <c r="H3663" t="str">
        <f>IF(D3663="","",INDEX(Knutepunkter!$D:$D,D3663+1))</f>
        <v/>
      </c>
      <c r="I3663" t="str">
        <f>IF(E3663="","",INDEX(Knutepunkter!$B:$B,E3663+1))</f>
        <v/>
      </c>
      <c r="J3663" t="str">
        <f>IF(E3663="","",INDEX(Knutepunkter!$C:$C,E3663+1))</f>
        <v/>
      </c>
      <c r="K3663" t="str">
        <f>IF(E3663="","",INDEX(Knutepunkter!$D:$D,E3663+1))</f>
        <v/>
      </c>
      <c r="L3663" t="str">
        <f t="shared" si="288"/>
        <v/>
      </c>
      <c r="M3663" t="str">
        <f t="shared" si="289"/>
        <v/>
      </c>
    </row>
    <row r="3664" spans="1:13" x14ac:dyDescent="0.3">
      <c r="A3664" t="str">
        <f>Segmenter!A3664</f>
        <v/>
      </c>
      <c r="B3664" t="str">
        <f>Segmenter!B3664</f>
        <v/>
      </c>
      <c r="C3664" t="str">
        <f t="shared" si="285"/>
        <v/>
      </c>
      <c r="D3664" t="str">
        <f t="shared" si="286"/>
        <v/>
      </c>
      <c r="E3664" t="str">
        <f t="shared" si="287"/>
        <v/>
      </c>
      <c r="F3664" t="str">
        <f>IF(D3664="","",INDEX(Knutepunkter!$B:$B,D3664+1))</f>
        <v/>
      </c>
      <c r="G3664" t="str">
        <f>IF(D3664="","",INDEX(Knutepunkter!$C:$C,D3664+1))</f>
        <v/>
      </c>
      <c r="H3664" t="str">
        <f>IF(D3664="","",INDEX(Knutepunkter!$D:$D,D3664+1))</f>
        <v/>
      </c>
      <c r="I3664" t="str">
        <f>IF(E3664="","",INDEX(Knutepunkter!$B:$B,E3664+1))</f>
        <v/>
      </c>
      <c r="J3664" t="str">
        <f>IF(E3664="","",INDEX(Knutepunkter!$C:$C,E3664+1))</f>
        <v/>
      </c>
      <c r="K3664" t="str">
        <f>IF(E3664="","",INDEX(Knutepunkter!$D:$D,E3664+1))</f>
        <v/>
      </c>
      <c r="L3664" t="str">
        <f t="shared" si="288"/>
        <v/>
      </c>
      <c r="M3664" t="str">
        <f t="shared" si="289"/>
        <v/>
      </c>
    </row>
    <row r="3665" spans="1:13" x14ac:dyDescent="0.3">
      <c r="A3665" t="str">
        <f>Segmenter!A3665</f>
        <v/>
      </c>
      <c r="B3665" t="str">
        <f>Segmenter!B3665</f>
        <v/>
      </c>
      <c r="C3665" t="str">
        <f t="shared" si="285"/>
        <v/>
      </c>
      <c r="D3665" t="str">
        <f t="shared" si="286"/>
        <v/>
      </c>
      <c r="E3665" t="str">
        <f t="shared" si="287"/>
        <v/>
      </c>
      <c r="F3665" t="str">
        <f>IF(D3665="","",INDEX(Knutepunkter!$B:$B,D3665+1))</f>
        <v/>
      </c>
      <c r="G3665" t="str">
        <f>IF(D3665="","",INDEX(Knutepunkter!$C:$C,D3665+1))</f>
        <v/>
      </c>
      <c r="H3665" t="str">
        <f>IF(D3665="","",INDEX(Knutepunkter!$D:$D,D3665+1))</f>
        <v/>
      </c>
      <c r="I3665" t="str">
        <f>IF(E3665="","",INDEX(Knutepunkter!$B:$B,E3665+1))</f>
        <v/>
      </c>
      <c r="J3665" t="str">
        <f>IF(E3665="","",INDEX(Knutepunkter!$C:$C,E3665+1))</f>
        <v/>
      </c>
      <c r="K3665" t="str">
        <f>IF(E3665="","",INDEX(Knutepunkter!$D:$D,E3665+1))</f>
        <v/>
      </c>
      <c r="L3665" t="str">
        <f t="shared" si="288"/>
        <v/>
      </c>
      <c r="M3665" t="str">
        <f t="shared" si="289"/>
        <v/>
      </c>
    </row>
    <row r="3666" spans="1:13" x14ac:dyDescent="0.3">
      <c r="A3666" t="str">
        <f>Segmenter!A3666</f>
        <v/>
      </c>
      <c r="B3666" t="str">
        <f>Segmenter!B3666</f>
        <v/>
      </c>
      <c r="C3666" t="str">
        <f t="shared" si="285"/>
        <v/>
      </c>
      <c r="D3666" t="str">
        <f t="shared" si="286"/>
        <v/>
      </c>
      <c r="E3666" t="str">
        <f t="shared" si="287"/>
        <v/>
      </c>
      <c r="F3666" t="str">
        <f>IF(D3666="","",INDEX(Knutepunkter!$B:$B,D3666+1))</f>
        <v/>
      </c>
      <c r="G3666" t="str">
        <f>IF(D3666="","",INDEX(Knutepunkter!$C:$C,D3666+1))</f>
        <v/>
      </c>
      <c r="H3666" t="str">
        <f>IF(D3666="","",INDEX(Knutepunkter!$D:$D,D3666+1))</f>
        <v/>
      </c>
      <c r="I3666" t="str">
        <f>IF(E3666="","",INDEX(Knutepunkter!$B:$B,E3666+1))</f>
        <v/>
      </c>
      <c r="J3666" t="str">
        <f>IF(E3666="","",INDEX(Knutepunkter!$C:$C,E3666+1))</f>
        <v/>
      </c>
      <c r="K3666" t="str">
        <f>IF(E3666="","",INDEX(Knutepunkter!$D:$D,E3666+1))</f>
        <v/>
      </c>
      <c r="L3666" t="str">
        <f t="shared" si="288"/>
        <v/>
      </c>
      <c r="M3666" t="str">
        <f t="shared" si="289"/>
        <v/>
      </c>
    </row>
    <row r="3667" spans="1:13" x14ac:dyDescent="0.3">
      <c r="A3667" t="str">
        <f>Segmenter!A3667</f>
        <v/>
      </c>
      <c r="B3667" t="str">
        <f>Segmenter!B3667</f>
        <v/>
      </c>
      <c r="C3667" t="str">
        <f t="shared" si="285"/>
        <v/>
      </c>
      <c r="D3667" t="str">
        <f t="shared" si="286"/>
        <v/>
      </c>
      <c r="E3667" t="str">
        <f t="shared" si="287"/>
        <v/>
      </c>
      <c r="F3667" t="str">
        <f>IF(D3667="","",INDEX(Knutepunkter!$B:$B,D3667+1))</f>
        <v/>
      </c>
      <c r="G3667" t="str">
        <f>IF(D3667="","",INDEX(Knutepunkter!$C:$C,D3667+1))</f>
        <v/>
      </c>
      <c r="H3667" t="str">
        <f>IF(D3667="","",INDEX(Knutepunkter!$D:$D,D3667+1))</f>
        <v/>
      </c>
      <c r="I3667" t="str">
        <f>IF(E3667="","",INDEX(Knutepunkter!$B:$B,E3667+1))</f>
        <v/>
      </c>
      <c r="J3667" t="str">
        <f>IF(E3667="","",INDEX(Knutepunkter!$C:$C,E3667+1))</f>
        <v/>
      </c>
      <c r="K3667" t="str">
        <f>IF(E3667="","",INDEX(Knutepunkter!$D:$D,E3667+1))</f>
        <v/>
      </c>
      <c r="L3667" t="str">
        <f t="shared" si="288"/>
        <v/>
      </c>
      <c r="M3667" t="str">
        <f t="shared" si="289"/>
        <v/>
      </c>
    </row>
    <row r="3668" spans="1:13" x14ac:dyDescent="0.3">
      <c r="A3668" t="str">
        <f>Segmenter!A3668</f>
        <v/>
      </c>
      <c r="B3668" t="str">
        <f>Segmenter!B3668</f>
        <v/>
      </c>
      <c r="C3668" t="str">
        <f t="shared" si="285"/>
        <v/>
      </c>
      <c r="D3668" t="str">
        <f t="shared" si="286"/>
        <v/>
      </c>
      <c r="E3668" t="str">
        <f t="shared" si="287"/>
        <v/>
      </c>
      <c r="F3668" t="str">
        <f>IF(D3668="","",INDEX(Knutepunkter!$B:$B,D3668+1))</f>
        <v/>
      </c>
      <c r="G3668" t="str">
        <f>IF(D3668="","",INDEX(Knutepunkter!$C:$C,D3668+1))</f>
        <v/>
      </c>
      <c r="H3668" t="str">
        <f>IF(D3668="","",INDEX(Knutepunkter!$D:$D,D3668+1))</f>
        <v/>
      </c>
      <c r="I3668" t="str">
        <f>IF(E3668="","",INDEX(Knutepunkter!$B:$B,E3668+1))</f>
        <v/>
      </c>
      <c r="J3668" t="str">
        <f>IF(E3668="","",INDEX(Knutepunkter!$C:$C,E3668+1))</f>
        <v/>
      </c>
      <c r="K3668" t="str">
        <f>IF(E3668="","",INDEX(Knutepunkter!$D:$D,E3668+1))</f>
        <v/>
      </c>
      <c r="L3668" t="str">
        <f t="shared" si="288"/>
        <v/>
      </c>
      <c r="M3668" t="str">
        <f t="shared" si="289"/>
        <v/>
      </c>
    </row>
    <row r="3669" spans="1:13" x14ac:dyDescent="0.3">
      <c r="A3669" t="str">
        <f>Segmenter!A3669</f>
        <v/>
      </c>
      <c r="B3669" t="str">
        <f>Segmenter!B3669</f>
        <v/>
      </c>
      <c r="C3669" t="str">
        <f t="shared" si="285"/>
        <v/>
      </c>
      <c r="D3669" t="str">
        <f t="shared" si="286"/>
        <v/>
      </c>
      <c r="E3669" t="str">
        <f t="shared" si="287"/>
        <v/>
      </c>
      <c r="F3669" t="str">
        <f>IF(D3669="","",INDEX(Knutepunkter!$B:$B,D3669+1))</f>
        <v/>
      </c>
      <c r="G3669" t="str">
        <f>IF(D3669="","",INDEX(Knutepunkter!$C:$C,D3669+1))</f>
        <v/>
      </c>
      <c r="H3669" t="str">
        <f>IF(D3669="","",INDEX(Knutepunkter!$D:$D,D3669+1))</f>
        <v/>
      </c>
      <c r="I3669" t="str">
        <f>IF(E3669="","",INDEX(Knutepunkter!$B:$B,E3669+1))</f>
        <v/>
      </c>
      <c r="J3669" t="str">
        <f>IF(E3669="","",INDEX(Knutepunkter!$C:$C,E3669+1))</f>
        <v/>
      </c>
      <c r="K3669" t="str">
        <f>IF(E3669="","",INDEX(Knutepunkter!$D:$D,E3669+1))</f>
        <v/>
      </c>
      <c r="L3669" t="str">
        <f t="shared" si="288"/>
        <v/>
      </c>
      <c r="M3669" t="str">
        <f t="shared" si="289"/>
        <v/>
      </c>
    </row>
    <row r="3670" spans="1:13" x14ac:dyDescent="0.3">
      <c r="A3670" t="str">
        <f>Segmenter!A3670</f>
        <v/>
      </c>
      <c r="B3670" t="str">
        <f>Segmenter!B3670</f>
        <v/>
      </c>
      <c r="C3670" t="str">
        <f t="shared" si="285"/>
        <v/>
      </c>
      <c r="D3670" t="str">
        <f t="shared" si="286"/>
        <v/>
      </c>
      <c r="E3670" t="str">
        <f t="shared" si="287"/>
        <v/>
      </c>
      <c r="F3670" t="str">
        <f>IF(D3670="","",INDEX(Knutepunkter!$B:$B,D3670+1))</f>
        <v/>
      </c>
      <c r="G3670" t="str">
        <f>IF(D3670="","",INDEX(Knutepunkter!$C:$C,D3670+1))</f>
        <v/>
      </c>
      <c r="H3670" t="str">
        <f>IF(D3670="","",INDEX(Knutepunkter!$D:$D,D3670+1))</f>
        <v/>
      </c>
      <c r="I3670" t="str">
        <f>IF(E3670="","",INDEX(Knutepunkter!$B:$B,E3670+1))</f>
        <v/>
      </c>
      <c r="J3670" t="str">
        <f>IF(E3670="","",INDEX(Knutepunkter!$C:$C,E3670+1))</f>
        <v/>
      </c>
      <c r="K3670" t="str">
        <f>IF(E3670="","",INDEX(Knutepunkter!$D:$D,E3670+1))</f>
        <v/>
      </c>
      <c r="L3670" t="str">
        <f t="shared" si="288"/>
        <v/>
      </c>
      <c r="M3670" t="str">
        <f t="shared" si="289"/>
        <v/>
      </c>
    </row>
    <row r="3671" spans="1:13" x14ac:dyDescent="0.3">
      <c r="A3671" t="str">
        <f>Segmenter!A3671</f>
        <v/>
      </c>
      <c r="B3671" t="str">
        <f>Segmenter!B3671</f>
        <v/>
      </c>
      <c r="C3671" t="str">
        <f t="shared" si="285"/>
        <v/>
      </c>
      <c r="D3671" t="str">
        <f t="shared" si="286"/>
        <v/>
      </c>
      <c r="E3671" t="str">
        <f t="shared" si="287"/>
        <v/>
      </c>
      <c r="F3671" t="str">
        <f>IF(D3671="","",INDEX(Knutepunkter!$B:$B,D3671+1))</f>
        <v/>
      </c>
      <c r="G3671" t="str">
        <f>IF(D3671="","",INDEX(Knutepunkter!$C:$C,D3671+1))</f>
        <v/>
      </c>
      <c r="H3671" t="str">
        <f>IF(D3671="","",INDEX(Knutepunkter!$D:$D,D3671+1))</f>
        <v/>
      </c>
      <c r="I3671" t="str">
        <f>IF(E3671="","",INDEX(Knutepunkter!$B:$B,E3671+1))</f>
        <v/>
      </c>
      <c r="J3671" t="str">
        <f>IF(E3671="","",INDEX(Knutepunkter!$C:$C,E3671+1))</f>
        <v/>
      </c>
      <c r="K3671" t="str">
        <f>IF(E3671="","",INDEX(Knutepunkter!$D:$D,E3671+1))</f>
        <v/>
      </c>
      <c r="L3671" t="str">
        <f t="shared" si="288"/>
        <v/>
      </c>
      <c r="M3671" t="str">
        <f t="shared" si="289"/>
        <v/>
      </c>
    </row>
    <row r="3672" spans="1:13" x14ac:dyDescent="0.3">
      <c r="A3672" t="str">
        <f>Segmenter!A3672</f>
        <v/>
      </c>
      <c r="B3672" t="str">
        <f>Segmenter!B3672</f>
        <v/>
      </c>
      <c r="C3672" t="str">
        <f t="shared" si="285"/>
        <v/>
      </c>
      <c r="D3672" t="str">
        <f t="shared" si="286"/>
        <v/>
      </c>
      <c r="E3672" t="str">
        <f t="shared" si="287"/>
        <v/>
      </c>
      <c r="F3672" t="str">
        <f>IF(D3672="","",INDEX(Knutepunkter!$B:$B,D3672+1))</f>
        <v/>
      </c>
      <c r="G3672" t="str">
        <f>IF(D3672="","",INDEX(Knutepunkter!$C:$C,D3672+1))</f>
        <v/>
      </c>
      <c r="H3672" t="str">
        <f>IF(D3672="","",INDEX(Knutepunkter!$D:$D,D3672+1))</f>
        <v/>
      </c>
      <c r="I3672" t="str">
        <f>IF(E3672="","",INDEX(Knutepunkter!$B:$B,E3672+1))</f>
        <v/>
      </c>
      <c r="J3672" t="str">
        <f>IF(E3672="","",INDEX(Knutepunkter!$C:$C,E3672+1))</f>
        <v/>
      </c>
      <c r="K3672" t="str">
        <f>IF(E3672="","",INDEX(Knutepunkter!$D:$D,E3672+1))</f>
        <v/>
      </c>
      <c r="L3672" t="str">
        <f t="shared" si="288"/>
        <v/>
      </c>
      <c r="M3672" t="str">
        <f t="shared" si="289"/>
        <v/>
      </c>
    </row>
    <row r="3673" spans="1:13" x14ac:dyDescent="0.3">
      <c r="A3673" t="str">
        <f>Segmenter!A3673</f>
        <v/>
      </c>
      <c r="B3673" t="str">
        <f>Segmenter!B3673</f>
        <v/>
      </c>
      <c r="C3673" t="str">
        <f t="shared" si="285"/>
        <v/>
      </c>
      <c r="D3673" t="str">
        <f t="shared" si="286"/>
        <v/>
      </c>
      <c r="E3673" t="str">
        <f t="shared" si="287"/>
        <v/>
      </c>
      <c r="F3673" t="str">
        <f>IF(D3673="","",INDEX(Knutepunkter!$B:$B,D3673+1))</f>
        <v/>
      </c>
      <c r="G3673" t="str">
        <f>IF(D3673="","",INDEX(Knutepunkter!$C:$C,D3673+1))</f>
        <v/>
      </c>
      <c r="H3673" t="str">
        <f>IF(D3673="","",INDEX(Knutepunkter!$D:$D,D3673+1))</f>
        <v/>
      </c>
      <c r="I3673" t="str">
        <f>IF(E3673="","",INDEX(Knutepunkter!$B:$B,E3673+1))</f>
        <v/>
      </c>
      <c r="J3673" t="str">
        <f>IF(E3673="","",INDEX(Knutepunkter!$C:$C,E3673+1))</f>
        <v/>
      </c>
      <c r="K3673" t="str">
        <f>IF(E3673="","",INDEX(Knutepunkter!$D:$D,E3673+1))</f>
        <v/>
      </c>
      <c r="L3673" t="str">
        <f t="shared" si="288"/>
        <v/>
      </c>
      <c r="M3673" t="str">
        <f t="shared" si="289"/>
        <v/>
      </c>
    </row>
    <row r="3674" spans="1:13" x14ac:dyDescent="0.3">
      <c r="A3674" t="str">
        <f>Segmenter!A3674</f>
        <v/>
      </c>
      <c r="B3674" t="str">
        <f>Segmenter!B3674</f>
        <v/>
      </c>
      <c r="C3674" t="str">
        <f t="shared" si="285"/>
        <v/>
      </c>
      <c r="D3674" t="str">
        <f t="shared" si="286"/>
        <v/>
      </c>
      <c r="E3674" t="str">
        <f t="shared" si="287"/>
        <v/>
      </c>
      <c r="F3674" t="str">
        <f>IF(D3674="","",INDEX(Knutepunkter!$B:$B,D3674+1))</f>
        <v/>
      </c>
      <c r="G3674" t="str">
        <f>IF(D3674="","",INDEX(Knutepunkter!$C:$C,D3674+1))</f>
        <v/>
      </c>
      <c r="H3674" t="str">
        <f>IF(D3674="","",INDEX(Knutepunkter!$D:$D,D3674+1))</f>
        <v/>
      </c>
      <c r="I3674" t="str">
        <f>IF(E3674="","",INDEX(Knutepunkter!$B:$B,E3674+1))</f>
        <v/>
      </c>
      <c r="J3674" t="str">
        <f>IF(E3674="","",INDEX(Knutepunkter!$C:$C,E3674+1))</f>
        <v/>
      </c>
      <c r="K3674" t="str">
        <f>IF(E3674="","",INDEX(Knutepunkter!$D:$D,E3674+1))</f>
        <v/>
      </c>
      <c r="L3674" t="str">
        <f t="shared" si="288"/>
        <v/>
      </c>
      <c r="M3674" t="str">
        <f t="shared" si="289"/>
        <v/>
      </c>
    </row>
    <row r="3675" spans="1:13" x14ac:dyDescent="0.3">
      <c r="A3675" t="str">
        <f>Segmenter!A3675</f>
        <v/>
      </c>
      <c r="B3675" t="str">
        <f>Segmenter!B3675</f>
        <v/>
      </c>
      <c r="C3675" t="str">
        <f t="shared" si="285"/>
        <v/>
      </c>
      <c r="D3675" t="str">
        <f t="shared" si="286"/>
        <v/>
      </c>
      <c r="E3675" t="str">
        <f t="shared" si="287"/>
        <v/>
      </c>
      <c r="F3675" t="str">
        <f>IF(D3675="","",INDEX(Knutepunkter!$B:$B,D3675+1))</f>
        <v/>
      </c>
      <c r="G3675" t="str">
        <f>IF(D3675="","",INDEX(Knutepunkter!$C:$C,D3675+1))</f>
        <v/>
      </c>
      <c r="H3675" t="str">
        <f>IF(D3675="","",INDEX(Knutepunkter!$D:$D,D3675+1))</f>
        <v/>
      </c>
      <c r="I3675" t="str">
        <f>IF(E3675="","",INDEX(Knutepunkter!$B:$B,E3675+1))</f>
        <v/>
      </c>
      <c r="J3675" t="str">
        <f>IF(E3675="","",INDEX(Knutepunkter!$C:$C,E3675+1))</f>
        <v/>
      </c>
      <c r="K3675" t="str">
        <f>IF(E3675="","",INDEX(Knutepunkter!$D:$D,E3675+1))</f>
        <v/>
      </c>
      <c r="L3675" t="str">
        <f t="shared" si="288"/>
        <v/>
      </c>
      <c r="M3675" t="str">
        <f t="shared" si="289"/>
        <v/>
      </c>
    </row>
    <row r="3676" spans="1:13" x14ac:dyDescent="0.3">
      <c r="A3676" t="str">
        <f>Segmenter!A3676</f>
        <v/>
      </c>
      <c r="B3676" t="str">
        <f>Segmenter!B3676</f>
        <v/>
      </c>
      <c r="C3676" t="str">
        <f t="shared" si="285"/>
        <v/>
      </c>
      <c r="D3676" t="str">
        <f t="shared" si="286"/>
        <v/>
      </c>
      <c r="E3676" t="str">
        <f t="shared" si="287"/>
        <v/>
      </c>
      <c r="F3676" t="str">
        <f>IF(D3676="","",INDEX(Knutepunkter!$B:$B,D3676+1))</f>
        <v/>
      </c>
      <c r="G3676" t="str">
        <f>IF(D3676="","",INDEX(Knutepunkter!$C:$C,D3676+1))</f>
        <v/>
      </c>
      <c r="H3676" t="str">
        <f>IF(D3676="","",INDEX(Knutepunkter!$D:$D,D3676+1))</f>
        <v/>
      </c>
      <c r="I3676" t="str">
        <f>IF(E3676="","",INDEX(Knutepunkter!$B:$B,E3676+1))</f>
        <v/>
      </c>
      <c r="J3676" t="str">
        <f>IF(E3676="","",INDEX(Knutepunkter!$C:$C,E3676+1))</f>
        <v/>
      </c>
      <c r="K3676" t="str">
        <f>IF(E3676="","",INDEX(Knutepunkter!$D:$D,E3676+1))</f>
        <v/>
      </c>
      <c r="L3676" t="str">
        <f t="shared" si="288"/>
        <v/>
      </c>
      <c r="M3676" t="str">
        <f t="shared" si="289"/>
        <v/>
      </c>
    </row>
    <row r="3677" spans="1:13" x14ac:dyDescent="0.3">
      <c r="A3677" t="str">
        <f>Segmenter!A3677</f>
        <v/>
      </c>
      <c r="B3677" t="str">
        <f>Segmenter!B3677</f>
        <v/>
      </c>
      <c r="C3677" t="str">
        <f t="shared" si="285"/>
        <v/>
      </c>
      <c r="D3677" t="str">
        <f t="shared" si="286"/>
        <v/>
      </c>
      <c r="E3677" t="str">
        <f t="shared" si="287"/>
        <v/>
      </c>
      <c r="F3677" t="str">
        <f>IF(D3677="","",INDEX(Knutepunkter!$B:$B,D3677+1))</f>
        <v/>
      </c>
      <c r="G3677" t="str">
        <f>IF(D3677="","",INDEX(Knutepunkter!$C:$C,D3677+1))</f>
        <v/>
      </c>
      <c r="H3677" t="str">
        <f>IF(D3677="","",INDEX(Knutepunkter!$D:$D,D3677+1))</f>
        <v/>
      </c>
      <c r="I3677" t="str">
        <f>IF(E3677="","",INDEX(Knutepunkter!$B:$B,E3677+1))</f>
        <v/>
      </c>
      <c r="J3677" t="str">
        <f>IF(E3677="","",INDEX(Knutepunkter!$C:$C,E3677+1))</f>
        <v/>
      </c>
      <c r="K3677" t="str">
        <f>IF(E3677="","",INDEX(Knutepunkter!$D:$D,E3677+1))</f>
        <v/>
      </c>
      <c r="L3677" t="str">
        <f t="shared" si="288"/>
        <v/>
      </c>
      <c r="M3677" t="str">
        <f t="shared" si="289"/>
        <v/>
      </c>
    </row>
    <row r="3678" spans="1:13" x14ac:dyDescent="0.3">
      <c r="A3678" t="str">
        <f>Segmenter!A3678</f>
        <v/>
      </c>
      <c r="B3678" t="str">
        <f>Segmenter!B3678</f>
        <v/>
      </c>
      <c r="C3678" t="str">
        <f t="shared" si="285"/>
        <v/>
      </c>
      <c r="D3678" t="str">
        <f t="shared" si="286"/>
        <v/>
      </c>
      <c r="E3678" t="str">
        <f t="shared" si="287"/>
        <v/>
      </c>
      <c r="F3678" t="str">
        <f>IF(D3678="","",INDEX(Knutepunkter!$B:$B,D3678+1))</f>
        <v/>
      </c>
      <c r="G3678" t="str">
        <f>IF(D3678="","",INDEX(Knutepunkter!$C:$C,D3678+1))</f>
        <v/>
      </c>
      <c r="H3678" t="str">
        <f>IF(D3678="","",INDEX(Knutepunkter!$D:$D,D3678+1))</f>
        <v/>
      </c>
      <c r="I3678" t="str">
        <f>IF(E3678="","",INDEX(Knutepunkter!$B:$B,E3678+1))</f>
        <v/>
      </c>
      <c r="J3678" t="str">
        <f>IF(E3678="","",INDEX(Knutepunkter!$C:$C,E3678+1))</f>
        <v/>
      </c>
      <c r="K3678" t="str">
        <f>IF(E3678="","",INDEX(Knutepunkter!$D:$D,E3678+1))</f>
        <v/>
      </c>
      <c r="L3678" t="str">
        <f t="shared" si="288"/>
        <v/>
      </c>
      <c r="M3678" t="str">
        <f t="shared" si="289"/>
        <v/>
      </c>
    </row>
    <row r="3679" spans="1:13" x14ac:dyDescent="0.3">
      <c r="A3679" t="str">
        <f>Segmenter!A3679</f>
        <v/>
      </c>
      <c r="B3679" t="str">
        <f>Segmenter!B3679</f>
        <v/>
      </c>
      <c r="C3679" t="str">
        <f t="shared" si="285"/>
        <v/>
      </c>
      <c r="D3679" t="str">
        <f t="shared" si="286"/>
        <v/>
      </c>
      <c r="E3679" t="str">
        <f t="shared" si="287"/>
        <v/>
      </c>
      <c r="F3679" t="str">
        <f>IF(D3679="","",INDEX(Knutepunkter!$B:$B,D3679+1))</f>
        <v/>
      </c>
      <c r="G3679" t="str">
        <f>IF(D3679="","",INDEX(Knutepunkter!$C:$C,D3679+1))</f>
        <v/>
      </c>
      <c r="H3679" t="str">
        <f>IF(D3679="","",INDEX(Knutepunkter!$D:$D,D3679+1))</f>
        <v/>
      </c>
      <c r="I3679" t="str">
        <f>IF(E3679="","",INDEX(Knutepunkter!$B:$B,E3679+1))</f>
        <v/>
      </c>
      <c r="J3679" t="str">
        <f>IF(E3679="","",INDEX(Knutepunkter!$C:$C,E3679+1))</f>
        <v/>
      </c>
      <c r="K3679" t="str">
        <f>IF(E3679="","",INDEX(Knutepunkter!$D:$D,E3679+1))</f>
        <v/>
      </c>
      <c r="L3679" t="str">
        <f t="shared" si="288"/>
        <v/>
      </c>
      <c r="M3679" t="str">
        <f t="shared" si="289"/>
        <v/>
      </c>
    </row>
    <row r="3680" spans="1:13" x14ac:dyDescent="0.3">
      <c r="A3680" t="str">
        <f>Segmenter!A3680</f>
        <v/>
      </c>
      <c r="B3680" t="str">
        <f>Segmenter!B3680</f>
        <v/>
      </c>
      <c r="C3680" t="str">
        <f t="shared" si="285"/>
        <v/>
      </c>
      <c r="D3680" t="str">
        <f t="shared" si="286"/>
        <v/>
      </c>
      <c r="E3680" t="str">
        <f t="shared" si="287"/>
        <v/>
      </c>
      <c r="F3680" t="str">
        <f>IF(D3680="","",INDEX(Knutepunkter!$B:$B,D3680+1))</f>
        <v/>
      </c>
      <c r="G3680" t="str">
        <f>IF(D3680="","",INDEX(Knutepunkter!$C:$C,D3680+1))</f>
        <v/>
      </c>
      <c r="H3680" t="str">
        <f>IF(D3680="","",INDEX(Knutepunkter!$D:$D,D3680+1))</f>
        <v/>
      </c>
      <c r="I3680" t="str">
        <f>IF(E3680="","",INDEX(Knutepunkter!$B:$B,E3680+1))</f>
        <v/>
      </c>
      <c r="J3680" t="str">
        <f>IF(E3680="","",INDEX(Knutepunkter!$C:$C,E3680+1))</f>
        <v/>
      </c>
      <c r="K3680" t="str">
        <f>IF(E3680="","",INDEX(Knutepunkter!$D:$D,E3680+1))</f>
        <v/>
      </c>
      <c r="L3680" t="str">
        <f t="shared" si="288"/>
        <v/>
      </c>
      <c r="M3680" t="str">
        <f t="shared" si="289"/>
        <v/>
      </c>
    </row>
    <row r="3681" spans="1:13" x14ac:dyDescent="0.3">
      <c r="A3681" t="str">
        <f>Segmenter!A3681</f>
        <v/>
      </c>
      <c r="B3681" t="str">
        <f>Segmenter!B3681</f>
        <v/>
      </c>
      <c r="C3681" t="str">
        <f t="shared" si="285"/>
        <v/>
      </c>
      <c r="D3681" t="str">
        <f t="shared" si="286"/>
        <v/>
      </c>
      <c r="E3681" t="str">
        <f t="shared" si="287"/>
        <v/>
      </c>
      <c r="F3681" t="str">
        <f>IF(D3681="","",INDEX(Knutepunkter!$B:$B,D3681+1))</f>
        <v/>
      </c>
      <c r="G3681" t="str">
        <f>IF(D3681="","",INDEX(Knutepunkter!$C:$C,D3681+1))</f>
        <v/>
      </c>
      <c r="H3681" t="str">
        <f>IF(D3681="","",INDEX(Knutepunkter!$D:$D,D3681+1))</f>
        <v/>
      </c>
      <c r="I3681" t="str">
        <f>IF(E3681="","",INDEX(Knutepunkter!$B:$B,E3681+1))</f>
        <v/>
      </c>
      <c r="J3681" t="str">
        <f>IF(E3681="","",INDEX(Knutepunkter!$C:$C,E3681+1))</f>
        <v/>
      </c>
      <c r="K3681" t="str">
        <f>IF(E3681="","",INDEX(Knutepunkter!$D:$D,E3681+1))</f>
        <v/>
      </c>
      <c r="L3681" t="str">
        <f t="shared" si="288"/>
        <v/>
      </c>
      <c r="M3681" t="str">
        <f t="shared" si="289"/>
        <v/>
      </c>
    </row>
    <row r="3682" spans="1:13" x14ac:dyDescent="0.3">
      <c r="A3682" t="str">
        <f>Segmenter!A3682</f>
        <v/>
      </c>
      <c r="B3682" t="str">
        <f>Segmenter!B3682</f>
        <v/>
      </c>
      <c r="C3682" t="str">
        <f t="shared" si="285"/>
        <v/>
      </c>
      <c r="D3682" t="str">
        <f t="shared" si="286"/>
        <v/>
      </c>
      <c r="E3682" t="str">
        <f t="shared" si="287"/>
        <v/>
      </c>
      <c r="F3682" t="str">
        <f>IF(D3682="","",INDEX(Knutepunkter!$B:$B,D3682+1))</f>
        <v/>
      </c>
      <c r="G3682" t="str">
        <f>IF(D3682="","",INDEX(Knutepunkter!$C:$C,D3682+1))</f>
        <v/>
      </c>
      <c r="H3682" t="str">
        <f>IF(D3682="","",INDEX(Knutepunkter!$D:$D,D3682+1))</f>
        <v/>
      </c>
      <c r="I3682" t="str">
        <f>IF(E3682="","",INDEX(Knutepunkter!$B:$B,E3682+1))</f>
        <v/>
      </c>
      <c r="J3682" t="str">
        <f>IF(E3682="","",INDEX(Knutepunkter!$C:$C,E3682+1))</f>
        <v/>
      </c>
      <c r="K3682" t="str">
        <f>IF(E3682="","",INDEX(Knutepunkter!$D:$D,E3682+1))</f>
        <v/>
      </c>
      <c r="L3682" t="str">
        <f t="shared" si="288"/>
        <v/>
      </c>
      <c r="M3682" t="str">
        <f t="shared" si="289"/>
        <v/>
      </c>
    </row>
    <row r="3683" spans="1:13" x14ac:dyDescent="0.3">
      <c r="A3683" t="str">
        <f>Segmenter!A3683</f>
        <v/>
      </c>
      <c r="B3683" t="str">
        <f>Segmenter!B3683</f>
        <v/>
      </c>
      <c r="C3683" t="str">
        <f t="shared" si="285"/>
        <v/>
      </c>
      <c r="D3683" t="str">
        <f t="shared" si="286"/>
        <v/>
      </c>
      <c r="E3683" t="str">
        <f t="shared" si="287"/>
        <v/>
      </c>
      <c r="F3683" t="str">
        <f>IF(D3683="","",INDEX(Knutepunkter!$B:$B,D3683+1))</f>
        <v/>
      </c>
      <c r="G3683" t="str">
        <f>IF(D3683="","",INDEX(Knutepunkter!$C:$C,D3683+1))</f>
        <v/>
      </c>
      <c r="H3683" t="str">
        <f>IF(D3683="","",INDEX(Knutepunkter!$D:$D,D3683+1))</f>
        <v/>
      </c>
      <c r="I3683" t="str">
        <f>IF(E3683="","",INDEX(Knutepunkter!$B:$B,E3683+1))</f>
        <v/>
      </c>
      <c r="J3683" t="str">
        <f>IF(E3683="","",INDEX(Knutepunkter!$C:$C,E3683+1))</f>
        <v/>
      </c>
      <c r="K3683" t="str">
        <f>IF(E3683="","",INDEX(Knutepunkter!$D:$D,E3683+1))</f>
        <v/>
      </c>
      <c r="L3683" t="str">
        <f t="shared" si="288"/>
        <v/>
      </c>
      <c r="M3683" t="str">
        <f t="shared" si="289"/>
        <v/>
      </c>
    </row>
    <row r="3684" spans="1:13" x14ac:dyDescent="0.3">
      <c r="A3684" t="str">
        <f>Segmenter!A3684</f>
        <v/>
      </c>
      <c r="B3684" t="str">
        <f>Segmenter!B3684</f>
        <v/>
      </c>
      <c r="C3684" t="str">
        <f t="shared" si="285"/>
        <v/>
      </c>
      <c r="D3684" t="str">
        <f t="shared" si="286"/>
        <v/>
      </c>
      <c r="E3684" t="str">
        <f t="shared" si="287"/>
        <v/>
      </c>
      <c r="F3684" t="str">
        <f>IF(D3684="","",INDEX(Knutepunkter!$B:$B,D3684+1))</f>
        <v/>
      </c>
      <c r="G3684" t="str">
        <f>IF(D3684="","",INDEX(Knutepunkter!$C:$C,D3684+1))</f>
        <v/>
      </c>
      <c r="H3684" t="str">
        <f>IF(D3684="","",INDEX(Knutepunkter!$D:$D,D3684+1))</f>
        <v/>
      </c>
      <c r="I3684" t="str">
        <f>IF(E3684="","",INDEX(Knutepunkter!$B:$B,E3684+1))</f>
        <v/>
      </c>
      <c r="J3684" t="str">
        <f>IF(E3684="","",INDEX(Knutepunkter!$C:$C,E3684+1))</f>
        <v/>
      </c>
      <c r="K3684" t="str">
        <f>IF(E3684="","",INDEX(Knutepunkter!$D:$D,E3684+1))</f>
        <v/>
      </c>
      <c r="L3684" t="str">
        <f t="shared" si="288"/>
        <v/>
      </c>
      <c r="M3684" t="str">
        <f t="shared" si="289"/>
        <v/>
      </c>
    </row>
    <row r="3685" spans="1:13" x14ac:dyDescent="0.3">
      <c r="A3685" t="str">
        <f>Segmenter!A3685</f>
        <v/>
      </c>
      <c r="B3685" t="str">
        <f>Segmenter!B3685</f>
        <v/>
      </c>
      <c r="C3685" t="str">
        <f t="shared" si="285"/>
        <v/>
      </c>
      <c r="D3685" t="str">
        <f t="shared" si="286"/>
        <v/>
      </c>
      <c r="E3685" t="str">
        <f t="shared" si="287"/>
        <v/>
      </c>
      <c r="F3685" t="str">
        <f>IF(D3685="","",INDEX(Knutepunkter!$B:$B,D3685+1))</f>
        <v/>
      </c>
      <c r="G3685" t="str">
        <f>IF(D3685="","",INDEX(Knutepunkter!$C:$C,D3685+1))</f>
        <v/>
      </c>
      <c r="H3685" t="str">
        <f>IF(D3685="","",INDEX(Knutepunkter!$D:$D,D3685+1))</f>
        <v/>
      </c>
      <c r="I3685" t="str">
        <f>IF(E3685="","",INDEX(Knutepunkter!$B:$B,E3685+1))</f>
        <v/>
      </c>
      <c r="J3685" t="str">
        <f>IF(E3685="","",INDEX(Knutepunkter!$C:$C,E3685+1))</f>
        <v/>
      </c>
      <c r="K3685" t="str">
        <f>IF(E3685="","",INDEX(Knutepunkter!$D:$D,E3685+1))</f>
        <v/>
      </c>
      <c r="L3685" t="str">
        <f t="shared" si="288"/>
        <v/>
      </c>
      <c r="M3685" t="str">
        <f t="shared" si="289"/>
        <v/>
      </c>
    </row>
    <row r="3686" spans="1:13" x14ac:dyDescent="0.3">
      <c r="A3686" t="str">
        <f>Segmenter!A3686</f>
        <v/>
      </c>
      <c r="B3686" t="str">
        <f>Segmenter!B3686</f>
        <v/>
      </c>
      <c r="C3686" t="str">
        <f t="shared" si="285"/>
        <v/>
      </c>
      <c r="D3686" t="str">
        <f t="shared" si="286"/>
        <v/>
      </c>
      <c r="E3686" t="str">
        <f t="shared" si="287"/>
        <v/>
      </c>
      <c r="F3686" t="str">
        <f>IF(D3686="","",INDEX(Knutepunkter!$B:$B,D3686+1))</f>
        <v/>
      </c>
      <c r="G3686" t="str">
        <f>IF(D3686="","",INDEX(Knutepunkter!$C:$C,D3686+1))</f>
        <v/>
      </c>
      <c r="H3686" t="str">
        <f>IF(D3686="","",INDEX(Knutepunkter!$D:$D,D3686+1))</f>
        <v/>
      </c>
      <c r="I3686" t="str">
        <f>IF(E3686="","",INDEX(Knutepunkter!$B:$B,E3686+1))</f>
        <v/>
      </c>
      <c r="J3686" t="str">
        <f>IF(E3686="","",INDEX(Knutepunkter!$C:$C,E3686+1))</f>
        <v/>
      </c>
      <c r="K3686" t="str">
        <f>IF(E3686="","",INDEX(Knutepunkter!$D:$D,E3686+1))</f>
        <v/>
      </c>
      <c r="L3686" t="str">
        <f t="shared" si="288"/>
        <v/>
      </c>
      <c r="M3686" t="str">
        <f t="shared" si="289"/>
        <v/>
      </c>
    </row>
    <row r="3687" spans="1:13" x14ac:dyDescent="0.3">
      <c r="A3687" t="str">
        <f>Segmenter!A3687</f>
        <v/>
      </c>
      <c r="B3687" t="str">
        <f>Segmenter!B3687</f>
        <v/>
      </c>
      <c r="C3687" t="str">
        <f t="shared" si="285"/>
        <v/>
      </c>
      <c r="D3687" t="str">
        <f t="shared" si="286"/>
        <v/>
      </c>
      <c r="E3687" t="str">
        <f t="shared" si="287"/>
        <v/>
      </c>
      <c r="F3687" t="str">
        <f>IF(D3687="","",INDEX(Knutepunkter!$B:$B,D3687+1))</f>
        <v/>
      </c>
      <c r="G3687" t="str">
        <f>IF(D3687="","",INDEX(Knutepunkter!$C:$C,D3687+1))</f>
        <v/>
      </c>
      <c r="H3687" t="str">
        <f>IF(D3687="","",INDEX(Knutepunkter!$D:$D,D3687+1))</f>
        <v/>
      </c>
      <c r="I3687" t="str">
        <f>IF(E3687="","",INDEX(Knutepunkter!$B:$B,E3687+1))</f>
        <v/>
      </c>
      <c r="J3687" t="str">
        <f>IF(E3687="","",INDEX(Knutepunkter!$C:$C,E3687+1))</f>
        <v/>
      </c>
      <c r="K3687" t="str">
        <f>IF(E3687="","",INDEX(Knutepunkter!$D:$D,E3687+1))</f>
        <v/>
      </c>
      <c r="L3687" t="str">
        <f t="shared" si="288"/>
        <v/>
      </c>
      <c r="M3687" t="str">
        <f t="shared" si="289"/>
        <v/>
      </c>
    </row>
    <row r="3688" spans="1:13" x14ac:dyDescent="0.3">
      <c r="A3688" t="str">
        <f>Segmenter!A3688</f>
        <v/>
      </c>
      <c r="B3688" t="str">
        <f>Segmenter!B3688</f>
        <v/>
      </c>
      <c r="C3688" t="str">
        <f t="shared" si="285"/>
        <v/>
      </c>
      <c r="D3688" t="str">
        <f t="shared" si="286"/>
        <v/>
      </c>
      <c r="E3688" t="str">
        <f t="shared" si="287"/>
        <v/>
      </c>
      <c r="F3688" t="str">
        <f>IF(D3688="","",INDEX(Knutepunkter!$B:$B,D3688+1))</f>
        <v/>
      </c>
      <c r="G3688" t="str">
        <f>IF(D3688="","",INDEX(Knutepunkter!$C:$C,D3688+1))</f>
        <v/>
      </c>
      <c r="H3688" t="str">
        <f>IF(D3688="","",INDEX(Knutepunkter!$D:$D,D3688+1))</f>
        <v/>
      </c>
      <c r="I3688" t="str">
        <f>IF(E3688="","",INDEX(Knutepunkter!$B:$B,E3688+1))</f>
        <v/>
      </c>
      <c r="J3688" t="str">
        <f>IF(E3688="","",INDEX(Knutepunkter!$C:$C,E3688+1))</f>
        <v/>
      </c>
      <c r="K3688" t="str">
        <f>IF(E3688="","",INDEX(Knutepunkter!$D:$D,E3688+1))</f>
        <v/>
      </c>
      <c r="L3688" t="str">
        <f t="shared" si="288"/>
        <v/>
      </c>
      <c r="M3688" t="str">
        <f t="shared" si="289"/>
        <v/>
      </c>
    </row>
    <row r="3689" spans="1:13" x14ac:dyDescent="0.3">
      <c r="A3689" t="str">
        <f>Segmenter!A3689</f>
        <v/>
      </c>
      <c r="B3689" t="str">
        <f>Segmenter!B3689</f>
        <v/>
      </c>
      <c r="C3689" t="str">
        <f t="shared" si="285"/>
        <v/>
      </c>
      <c r="D3689" t="str">
        <f t="shared" si="286"/>
        <v/>
      </c>
      <c r="E3689" t="str">
        <f t="shared" si="287"/>
        <v/>
      </c>
      <c r="F3689" t="str">
        <f>IF(D3689="","",INDEX(Knutepunkter!$B:$B,D3689+1))</f>
        <v/>
      </c>
      <c r="G3689" t="str">
        <f>IF(D3689="","",INDEX(Knutepunkter!$C:$C,D3689+1))</f>
        <v/>
      </c>
      <c r="H3689" t="str">
        <f>IF(D3689="","",INDEX(Knutepunkter!$D:$D,D3689+1))</f>
        <v/>
      </c>
      <c r="I3689" t="str">
        <f>IF(E3689="","",INDEX(Knutepunkter!$B:$B,E3689+1))</f>
        <v/>
      </c>
      <c r="J3689" t="str">
        <f>IF(E3689="","",INDEX(Knutepunkter!$C:$C,E3689+1))</f>
        <v/>
      </c>
      <c r="K3689" t="str">
        <f>IF(E3689="","",INDEX(Knutepunkter!$D:$D,E3689+1))</f>
        <v/>
      </c>
      <c r="L3689" t="str">
        <f t="shared" si="288"/>
        <v/>
      </c>
      <c r="M3689" t="str">
        <f t="shared" si="289"/>
        <v/>
      </c>
    </row>
    <row r="3690" spans="1:13" x14ac:dyDescent="0.3">
      <c r="A3690" t="str">
        <f>Segmenter!A3690</f>
        <v/>
      </c>
      <c r="B3690" t="str">
        <f>Segmenter!B3690</f>
        <v/>
      </c>
      <c r="C3690" t="str">
        <f t="shared" si="285"/>
        <v/>
      </c>
      <c r="D3690" t="str">
        <f t="shared" si="286"/>
        <v/>
      </c>
      <c r="E3690" t="str">
        <f t="shared" si="287"/>
        <v/>
      </c>
      <c r="F3690" t="str">
        <f>IF(D3690="","",INDEX(Knutepunkter!$B:$B,D3690+1))</f>
        <v/>
      </c>
      <c r="G3690" t="str">
        <f>IF(D3690="","",INDEX(Knutepunkter!$C:$C,D3690+1))</f>
        <v/>
      </c>
      <c r="H3690" t="str">
        <f>IF(D3690="","",INDEX(Knutepunkter!$D:$D,D3690+1))</f>
        <v/>
      </c>
      <c r="I3690" t="str">
        <f>IF(E3690="","",INDEX(Knutepunkter!$B:$B,E3690+1))</f>
        <v/>
      </c>
      <c r="J3690" t="str">
        <f>IF(E3690="","",INDEX(Knutepunkter!$C:$C,E3690+1))</f>
        <v/>
      </c>
      <c r="K3690" t="str">
        <f>IF(E3690="","",INDEX(Knutepunkter!$D:$D,E3690+1))</f>
        <v/>
      </c>
      <c r="L3690" t="str">
        <f t="shared" si="288"/>
        <v/>
      </c>
      <c r="M3690" t="str">
        <f t="shared" si="289"/>
        <v/>
      </c>
    </row>
    <row r="3691" spans="1:13" x14ac:dyDescent="0.3">
      <c r="A3691" t="str">
        <f>Segmenter!A3691</f>
        <v/>
      </c>
      <c r="B3691" t="str">
        <f>Segmenter!B3691</f>
        <v/>
      </c>
      <c r="C3691" t="str">
        <f t="shared" si="285"/>
        <v/>
      </c>
      <c r="D3691" t="str">
        <f t="shared" si="286"/>
        <v/>
      </c>
      <c r="E3691" t="str">
        <f t="shared" si="287"/>
        <v/>
      </c>
      <c r="F3691" t="str">
        <f>IF(D3691="","",INDEX(Knutepunkter!$B:$B,D3691+1))</f>
        <v/>
      </c>
      <c r="G3691" t="str">
        <f>IF(D3691="","",INDEX(Knutepunkter!$C:$C,D3691+1))</f>
        <v/>
      </c>
      <c r="H3691" t="str">
        <f>IF(D3691="","",INDEX(Knutepunkter!$D:$D,D3691+1))</f>
        <v/>
      </c>
      <c r="I3691" t="str">
        <f>IF(E3691="","",INDEX(Knutepunkter!$B:$B,E3691+1))</f>
        <v/>
      </c>
      <c r="J3691" t="str">
        <f>IF(E3691="","",INDEX(Knutepunkter!$C:$C,E3691+1))</f>
        <v/>
      </c>
      <c r="K3691" t="str">
        <f>IF(E3691="","",INDEX(Knutepunkter!$D:$D,E3691+1))</f>
        <v/>
      </c>
      <c r="L3691" t="str">
        <f t="shared" si="288"/>
        <v/>
      </c>
      <c r="M3691" t="str">
        <f t="shared" si="289"/>
        <v/>
      </c>
    </row>
    <row r="3692" spans="1:13" x14ac:dyDescent="0.3">
      <c r="A3692" t="str">
        <f>Segmenter!A3692</f>
        <v/>
      </c>
      <c r="B3692" t="str">
        <f>Segmenter!B3692</f>
        <v/>
      </c>
      <c r="C3692" t="str">
        <f t="shared" si="285"/>
        <v/>
      </c>
      <c r="D3692" t="str">
        <f t="shared" si="286"/>
        <v/>
      </c>
      <c r="E3692" t="str">
        <f t="shared" si="287"/>
        <v/>
      </c>
      <c r="F3692" t="str">
        <f>IF(D3692="","",INDEX(Knutepunkter!$B:$B,D3692+1))</f>
        <v/>
      </c>
      <c r="G3692" t="str">
        <f>IF(D3692="","",INDEX(Knutepunkter!$C:$C,D3692+1))</f>
        <v/>
      </c>
      <c r="H3692" t="str">
        <f>IF(D3692="","",INDEX(Knutepunkter!$D:$D,D3692+1))</f>
        <v/>
      </c>
      <c r="I3692" t="str">
        <f>IF(E3692="","",INDEX(Knutepunkter!$B:$B,E3692+1))</f>
        <v/>
      </c>
      <c r="J3692" t="str">
        <f>IF(E3692="","",INDEX(Knutepunkter!$C:$C,E3692+1))</f>
        <v/>
      </c>
      <c r="K3692" t="str">
        <f>IF(E3692="","",INDEX(Knutepunkter!$D:$D,E3692+1))</f>
        <v/>
      </c>
      <c r="L3692" t="str">
        <f t="shared" si="288"/>
        <v/>
      </c>
      <c r="M3692" t="str">
        <f t="shared" si="289"/>
        <v/>
      </c>
    </row>
    <row r="3693" spans="1:13" x14ac:dyDescent="0.3">
      <c r="A3693" t="str">
        <f>Segmenter!A3693</f>
        <v/>
      </c>
      <c r="B3693" t="str">
        <f>Segmenter!B3693</f>
        <v/>
      </c>
      <c r="C3693" t="str">
        <f t="shared" si="285"/>
        <v/>
      </c>
      <c r="D3693" t="str">
        <f t="shared" si="286"/>
        <v/>
      </c>
      <c r="E3693" t="str">
        <f t="shared" si="287"/>
        <v/>
      </c>
      <c r="F3693" t="str">
        <f>IF(D3693="","",INDEX(Knutepunkter!$B:$B,D3693+1))</f>
        <v/>
      </c>
      <c r="G3693" t="str">
        <f>IF(D3693="","",INDEX(Knutepunkter!$C:$C,D3693+1))</f>
        <v/>
      </c>
      <c r="H3693" t="str">
        <f>IF(D3693="","",INDEX(Knutepunkter!$D:$D,D3693+1))</f>
        <v/>
      </c>
      <c r="I3693" t="str">
        <f>IF(E3693="","",INDEX(Knutepunkter!$B:$B,E3693+1))</f>
        <v/>
      </c>
      <c r="J3693" t="str">
        <f>IF(E3693="","",INDEX(Knutepunkter!$C:$C,E3693+1))</f>
        <v/>
      </c>
      <c r="K3693" t="str">
        <f>IF(E3693="","",INDEX(Knutepunkter!$D:$D,E3693+1))</f>
        <v/>
      </c>
      <c r="L3693" t="str">
        <f t="shared" si="288"/>
        <v/>
      </c>
      <c r="M3693" t="str">
        <f t="shared" si="289"/>
        <v/>
      </c>
    </row>
    <row r="3694" spans="1:13" x14ac:dyDescent="0.3">
      <c r="A3694" t="str">
        <f>Segmenter!A3694</f>
        <v/>
      </c>
      <c r="B3694" t="str">
        <f>Segmenter!B3694</f>
        <v/>
      </c>
      <c r="C3694" t="str">
        <f t="shared" si="285"/>
        <v/>
      </c>
      <c r="D3694" t="str">
        <f t="shared" si="286"/>
        <v/>
      </c>
      <c r="E3694" t="str">
        <f t="shared" si="287"/>
        <v/>
      </c>
      <c r="F3694" t="str">
        <f>IF(D3694="","",INDEX(Knutepunkter!$B:$B,D3694+1))</f>
        <v/>
      </c>
      <c r="G3694" t="str">
        <f>IF(D3694="","",INDEX(Knutepunkter!$C:$C,D3694+1))</f>
        <v/>
      </c>
      <c r="H3694" t="str">
        <f>IF(D3694="","",INDEX(Knutepunkter!$D:$D,D3694+1))</f>
        <v/>
      </c>
      <c r="I3694" t="str">
        <f>IF(E3694="","",INDEX(Knutepunkter!$B:$B,E3694+1))</f>
        <v/>
      </c>
      <c r="J3694" t="str">
        <f>IF(E3694="","",INDEX(Knutepunkter!$C:$C,E3694+1))</f>
        <v/>
      </c>
      <c r="K3694" t="str">
        <f>IF(E3694="","",INDEX(Knutepunkter!$D:$D,E3694+1))</f>
        <v/>
      </c>
      <c r="L3694" t="str">
        <f t="shared" si="288"/>
        <v/>
      </c>
      <c r="M3694" t="str">
        <f t="shared" si="289"/>
        <v/>
      </c>
    </row>
    <row r="3695" spans="1:13" x14ac:dyDescent="0.3">
      <c r="A3695" t="str">
        <f>Segmenter!A3695</f>
        <v/>
      </c>
      <c r="B3695" t="str">
        <f>Segmenter!B3695</f>
        <v/>
      </c>
      <c r="C3695" t="str">
        <f t="shared" si="285"/>
        <v/>
      </c>
      <c r="D3695" t="str">
        <f t="shared" si="286"/>
        <v/>
      </c>
      <c r="E3695" t="str">
        <f t="shared" si="287"/>
        <v/>
      </c>
      <c r="F3695" t="str">
        <f>IF(D3695="","",INDEX(Knutepunkter!$B:$B,D3695+1))</f>
        <v/>
      </c>
      <c r="G3695" t="str">
        <f>IF(D3695="","",INDEX(Knutepunkter!$C:$C,D3695+1))</f>
        <v/>
      </c>
      <c r="H3695" t="str">
        <f>IF(D3695="","",INDEX(Knutepunkter!$D:$D,D3695+1))</f>
        <v/>
      </c>
      <c r="I3695" t="str">
        <f>IF(E3695="","",INDEX(Knutepunkter!$B:$B,E3695+1))</f>
        <v/>
      </c>
      <c r="J3695" t="str">
        <f>IF(E3695="","",INDEX(Knutepunkter!$C:$C,E3695+1))</f>
        <v/>
      </c>
      <c r="K3695" t="str">
        <f>IF(E3695="","",INDEX(Knutepunkter!$D:$D,E3695+1))</f>
        <v/>
      </c>
      <c r="L3695" t="str">
        <f t="shared" si="288"/>
        <v/>
      </c>
      <c r="M3695" t="str">
        <f t="shared" si="289"/>
        <v/>
      </c>
    </row>
    <row r="3696" spans="1:13" x14ac:dyDescent="0.3">
      <c r="A3696" t="str">
        <f>Segmenter!A3696</f>
        <v/>
      </c>
      <c r="B3696" t="str">
        <f>Segmenter!B3696</f>
        <v/>
      </c>
      <c r="C3696" t="str">
        <f t="shared" si="285"/>
        <v/>
      </c>
      <c r="D3696" t="str">
        <f t="shared" si="286"/>
        <v/>
      </c>
      <c r="E3696" t="str">
        <f t="shared" si="287"/>
        <v/>
      </c>
      <c r="F3696" t="str">
        <f>IF(D3696="","",INDEX(Knutepunkter!$B:$B,D3696+1))</f>
        <v/>
      </c>
      <c r="G3696" t="str">
        <f>IF(D3696="","",INDEX(Knutepunkter!$C:$C,D3696+1))</f>
        <v/>
      </c>
      <c r="H3696" t="str">
        <f>IF(D3696="","",INDEX(Knutepunkter!$D:$D,D3696+1))</f>
        <v/>
      </c>
      <c r="I3696" t="str">
        <f>IF(E3696="","",INDEX(Knutepunkter!$B:$B,E3696+1))</f>
        <v/>
      </c>
      <c r="J3696" t="str">
        <f>IF(E3696="","",INDEX(Knutepunkter!$C:$C,E3696+1))</f>
        <v/>
      </c>
      <c r="K3696" t="str">
        <f>IF(E3696="","",INDEX(Knutepunkter!$D:$D,E3696+1))</f>
        <v/>
      </c>
      <c r="L3696" t="str">
        <f t="shared" si="288"/>
        <v/>
      </c>
      <c r="M3696" t="str">
        <f t="shared" si="289"/>
        <v/>
      </c>
    </row>
    <row r="3697" spans="1:13" x14ac:dyDescent="0.3">
      <c r="A3697" t="str">
        <f>Segmenter!A3697</f>
        <v/>
      </c>
      <c r="B3697" t="str">
        <f>Segmenter!B3697</f>
        <v/>
      </c>
      <c r="C3697" t="str">
        <f t="shared" si="285"/>
        <v/>
      </c>
      <c r="D3697" t="str">
        <f t="shared" si="286"/>
        <v/>
      </c>
      <c r="E3697" t="str">
        <f t="shared" si="287"/>
        <v/>
      </c>
      <c r="F3697" t="str">
        <f>IF(D3697="","",INDEX(Knutepunkter!$B:$B,D3697+1))</f>
        <v/>
      </c>
      <c r="G3697" t="str">
        <f>IF(D3697="","",INDEX(Knutepunkter!$C:$C,D3697+1))</f>
        <v/>
      </c>
      <c r="H3697" t="str">
        <f>IF(D3697="","",INDEX(Knutepunkter!$D:$D,D3697+1))</f>
        <v/>
      </c>
      <c r="I3697" t="str">
        <f>IF(E3697="","",INDEX(Knutepunkter!$B:$B,E3697+1))</f>
        <v/>
      </c>
      <c r="J3697" t="str">
        <f>IF(E3697="","",INDEX(Knutepunkter!$C:$C,E3697+1))</f>
        <v/>
      </c>
      <c r="K3697" t="str">
        <f>IF(E3697="","",INDEX(Knutepunkter!$D:$D,E3697+1))</f>
        <v/>
      </c>
      <c r="L3697" t="str">
        <f t="shared" si="288"/>
        <v/>
      </c>
      <c r="M3697" t="str">
        <f t="shared" si="289"/>
        <v/>
      </c>
    </row>
    <row r="3698" spans="1:13" x14ac:dyDescent="0.3">
      <c r="A3698" t="str">
        <f>Segmenter!A3698</f>
        <v/>
      </c>
      <c r="B3698" t="str">
        <f>Segmenter!B3698</f>
        <v/>
      </c>
      <c r="C3698" t="str">
        <f t="shared" si="285"/>
        <v/>
      </c>
      <c r="D3698" t="str">
        <f t="shared" si="286"/>
        <v/>
      </c>
      <c r="E3698" t="str">
        <f t="shared" si="287"/>
        <v/>
      </c>
      <c r="F3698" t="str">
        <f>IF(D3698="","",INDEX(Knutepunkter!$B:$B,D3698+1))</f>
        <v/>
      </c>
      <c r="G3698" t="str">
        <f>IF(D3698="","",INDEX(Knutepunkter!$C:$C,D3698+1))</f>
        <v/>
      </c>
      <c r="H3698" t="str">
        <f>IF(D3698="","",INDEX(Knutepunkter!$D:$D,D3698+1))</f>
        <v/>
      </c>
      <c r="I3698" t="str">
        <f>IF(E3698="","",INDEX(Knutepunkter!$B:$B,E3698+1))</f>
        <v/>
      </c>
      <c r="J3698" t="str">
        <f>IF(E3698="","",INDEX(Knutepunkter!$C:$C,E3698+1))</f>
        <v/>
      </c>
      <c r="K3698" t="str">
        <f>IF(E3698="","",INDEX(Knutepunkter!$D:$D,E3698+1))</f>
        <v/>
      </c>
      <c r="L3698" t="str">
        <f t="shared" si="288"/>
        <v/>
      </c>
      <c r="M3698" t="str">
        <f t="shared" si="289"/>
        <v/>
      </c>
    </row>
    <row r="3699" spans="1:13" x14ac:dyDescent="0.3">
      <c r="A3699" t="str">
        <f>Segmenter!A3699</f>
        <v/>
      </c>
      <c r="B3699" t="str">
        <f>Segmenter!B3699</f>
        <v/>
      </c>
      <c r="C3699" t="str">
        <f t="shared" si="285"/>
        <v/>
      </c>
      <c r="D3699" t="str">
        <f t="shared" si="286"/>
        <v/>
      </c>
      <c r="E3699" t="str">
        <f t="shared" si="287"/>
        <v/>
      </c>
      <c r="F3699" t="str">
        <f>IF(D3699="","",INDEX(Knutepunkter!$B:$B,D3699+1))</f>
        <v/>
      </c>
      <c r="G3699" t="str">
        <f>IF(D3699="","",INDEX(Knutepunkter!$C:$C,D3699+1))</f>
        <v/>
      </c>
      <c r="H3699" t="str">
        <f>IF(D3699="","",INDEX(Knutepunkter!$D:$D,D3699+1))</f>
        <v/>
      </c>
      <c r="I3699" t="str">
        <f>IF(E3699="","",INDEX(Knutepunkter!$B:$B,E3699+1))</f>
        <v/>
      </c>
      <c r="J3699" t="str">
        <f>IF(E3699="","",INDEX(Knutepunkter!$C:$C,E3699+1))</f>
        <v/>
      </c>
      <c r="K3699" t="str">
        <f>IF(E3699="","",INDEX(Knutepunkter!$D:$D,E3699+1))</f>
        <v/>
      </c>
      <c r="L3699" t="str">
        <f t="shared" si="288"/>
        <v/>
      </c>
      <c r="M3699" t="str">
        <f t="shared" si="289"/>
        <v/>
      </c>
    </row>
    <row r="3700" spans="1:13" x14ac:dyDescent="0.3">
      <c r="A3700" t="str">
        <f>Segmenter!A3700</f>
        <v/>
      </c>
      <c r="B3700" t="str">
        <f>Segmenter!B3700</f>
        <v/>
      </c>
      <c r="C3700" t="str">
        <f t="shared" si="285"/>
        <v/>
      </c>
      <c r="D3700" t="str">
        <f t="shared" si="286"/>
        <v/>
      </c>
      <c r="E3700" t="str">
        <f t="shared" si="287"/>
        <v/>
      </c>
      <c r="F3700" t="str">
        <f>IF(D3700="","",INDEX(Knutepunkter!$B:$B,D3700+1))</f>
        <v/>
      </c>
      <c r="G3700" t="str">
        <f>IF(D3700="","",INDEX(Knutepunkter!$C:$C,D3700+1))</f>
        <v/>
      </c>
      <c r="H3700" t="str">
        <f>IF(D3700="","",INDEX(Knutepunkter!$D:$D,D3700+1))</f>
        <v/>
      </c>
      <c r="I3700" t="str">
        <f>IF(E3700="","",INDEX(Knutepunkter!$B:$B,E3700+1))</f>
        <v/>
      </c>
      <c r="J3700" t="str">
        <f>IF(E3700="","",INDEX(Knutepunkter!$C:$C,E3700+1))</f>
        <v/>
      </c>
      <c r="K3700" t="str">
        <f>IF(E3700="","",INDEX(Knutepunkter!$D:$D,E3700+1))</f>
        <v/>
      </c>
      <c r="L3700" t="str">
        <f t="shared" si="288"/>
        <v/>
      </c>
      <c r="M3700" t="str">
        <f t="shared" si="289"/>
        <v/>
      </c>
    </row>
    <row r="3701" spans="1:13" x14ac:dyDescent="0.3">
      <c r="A3701" t="str">
        <f>Segmenter!A3701</f>
        <v/>
      </c>
      <c r="B3701" t="str">
        <f>Segmenter!B3701</f>
        <v/>
      </c>
      <c r="C3701" t="str">
        <f t="shared" si="285"/>
        <v/>
      </c>
      <c r="D3701" t="str">
        <f t="shared" si="286"/>
        <v/>
      </c>
      <c r="E3701" t="str">
        <f t="shared" si="287"/>
        <v/>
      </c>
      <c r="F3701" t="str">
        <f>IF(D3701="","",INDEX(Knutepunkter!$B:$B,D3701+1))</f>
        <v/>
      </c>
      <c r="G3701" t="str">
        <f>IF(D3701="","",INDEX(Knutepunkter!$C:$C,D3701+1))</f>
        <v/>
      </c>
      <c r="H3701" t="str">
        <f>IF(D3701="","",INDEX(Knutepunkter!$D:$D,D3701+1))</f>
        <v/>
      </c>
      <c r="I3701" t="str">
        <f>IF(E3701="","",INDEX(Knutepunkter!$B:$B,E3701+1))</f>
        <v/>
      </c>
      <c r="J3701" t="str">
        <f>IF(E3701="","",INDEX(Knutepunkter!$C:$C,E3701+1))</f>
        <v/>
      </c>
      <c r="K3701" t="str">
        <f>IF(E3701="","",INDEX(Knutepunkter!$D:$D,E3701+1))</f>
        <v/>
      </c>
      <c r="L3701" t="str">
        <f t="shared" si="288"/>
        <v/>
      </c>
      <c r="M3701" t="str">
        <f t="shared" si="289"/>
        <v/>
      </c>
    </row>
    <row r="3702" spans="1:13" x14ac:dyDescent="0.3">
      <c r="A3702" t="str">
        <f>Segmenter!A3702</f>
        <v/>
      </c>
      <c r="B3702" t="str">
        <f>Segmenter!B3702</f>
        <v/>
      </c>
      <c r="C3702" t="str">
        <f t="shared" si="285"/>
        <v/>
      </c>
      <c r="D3702" t="str">
        <f t="shared" si="286"/>
        <v/>
      </c>
      <c r="E3702" t="str">
        <f t="shared" si="287"/>
        <v/>
      </c>
      <c r="F3702" t="str">
        <f>IF(D3702="","",INDEX(Knutepunkter!$B:$B,D3702+1))</f>
        <v/>
      </c>
      <c r="G3702" t="str">
        <f>IF(D3702="","",INDEX(Knutepunkter!$C:$C,D3702+1))</f>
        <v/>
      </c>
      <c r="H3702" t="str">
        <f>IF(D3702="","",INDEX(Knutepunkter!$D:$D,D3702+1))</f>
        <v/>
      </c>
      <c r="I3702" t="str">
        <f>IF(E3702="","",INDEX(Knutepunkter!$B:$B,E3702+1))</f>
        <v/>
      </c>
      <c r="J3702" t="str">
        <f>IF(E3702="","",INDEX(Knutepunkter!$C:$C,E3702+1))</f>
        <v/>
      </c>
      <c r="K3702" t="str">
        <f>IF(E3702="","",INDEX(Knutepunkter!$D:$D,E3702+1))</f>
        <v/>
      </c>
      <c r="L3702" t="str">
        <f t="shared" si="288"/>
        <v/>
      </c>
      <c r="M3702" t="str">
        <f t="shared" si="289"/>
        <v/>
      </c>
    </row>
    <row r="3703" spans="1:13" x14ac:dyDescent="0.3">
      <c r="A3703" t="str">
        <f>Segmenter!A3703</f>
        <v/>
      </c>
      <c r="B3703" t="str">
        <f>Segmenter!B3703</f>
        <v/>
      </c>
      <c r="C3703" t="str">
        <f t="shared" si="285"/>
        <v/>
      </c>
      <c r="D3703" t="str">
        <f t="shared" si="286"/>
        <v/>
      </c>
      <c r="E3703" t="str">
        <f t="shared" si="287"/>
        <v/>
      </c>
      <c r="F3703" t="str">
        <f>IF(D3703="","",INDEX(Knutepunkter!$B:$B,D3703+1))</f>
        <v/>
      </c>
      <c r="G3703" t="str">
        <f>IF(D3703="","",INDEX(Knutepunkter!$C:$C,D3703+1))</f>
        <v/>
      </c>
      <c r="H3703" t="str">
        <f>IF(D3703="","",INDEX(Knutepunkter!$D:$D,D3703+1))</f>
        <v/>
      </c>
      <c r="I3703" t="str">
        <f>IF(E3703="","",INDEX(Knutepunkter!$B:$B,E3703+1))</f>
        <v/>
      </c>
      <c r="J3703" t="str">
        <f>IF(E3703="","",INDEX(Knutepunkter!$C:$C,E3703+1))</f>
        <v/>
      </c>
      <c r="K3703" t="str">
        <f>IF(E3703="","",INDEX(Knutepunkter!$D:$D,E3703+1))</f>
        <v/>
      </c>
      <c r="L3703" t="str">
        <f t="shared" si="288"/>
        <v/>
      </c>
      <c r="M3703" t="str">
        <f t="shared" si="289"/>
        <v/>
      </c>
    </row>
    <row r="3704" spans="1:13" x14ac:dyDescent="0.3">
      <c r="A3704" t="str">
        <f>Segmenter!A3704</f>
        <v/>
      </c>
      <c r="B3704" t="str">
        <f>Segmenter!B3704</f>
        <v/>
      </c>
      <c r="C3704" t="str">
        <f t="shared" si="285"/>
        <v/>
      </c>
      <c r="D3704" t="str">
        <f t="shared" si="286"/>
        <v/>
      </c>
      <c r="E3704" t="str">
        <f t="shared" si="287"/>
        <v/>
      </c>
      <c r="F3704" t="str">
        <f>IF(D3704="","",INDEX(Knutepunkter!$B:$B,D3704+1))</f>
        <v/>
      </c>
      <c r="G3704" t="str">
        <f>IF(D3704="","",INDEX(Knutepunkter!$C:$C,D3704+1))</f>
        <v/>
      </c>
      <c r="H3704" t="str">
        <f>IF(D3704="","",INDEX(Knutepunkter!$D:$D,D3704+1))</f>
        <v/>
      </c>
      <c r="I3704" t="str">
        <f>IF(E3704="","",INDEX(Knutepunkter!$B:$B,E3704+1))</f>
        <v/>
      </c>
      <c r="J3704" t="str">
        <f>IF(E3704="","",INDEX(Knutepunkter!$C:$C,E3704+1))</f>
        <v/>
      </c>
      <c r="K3704" t="str">
        <f>IF(E3704="","",INDEX(Knutepunkter!$D:$D,E3704+1))</f>
        <v/>
      </c>
      <c r="L3704" t="str">
        <f t="shared" si="288"/>
        <v/>
      </c>
      <c r="M3704" t="str">
        <f t="shared" si="289"/>
        <v/>
      </c>
    </row>
    <row r="3705" spans="1:13" x14ac:dyDescent="0.3">
      <c r="A3705" t="str">
        <f>Segmenter!A3705</f>
        <v/>
      </c>
      <c r="B3705" t="str">
        <f>Segmenter!B3705</f>
        <v/>
      </c>
      <c r="C3705" t="str">
        <f t="shared" si="285"/>
        <v/>
      </c>
      <c r="D3705" t="str">
        <f t="shared" si="286"/>
        <v/>
      </c>
      <c r="E3705" t="str">
        <f t="shared" si="287"/>
        <v/>
      </c>
      <c r="F3705" t="str">
        <f>IF(D3705="","",INDEX(Knutepunkter!$B:$B,D3705+1))</f>
        <v/>
      </c>
      <c r="G3705" t="str">
        <f>IF(D3705="","",INDEX(Knutepunkter!$C:$C,D3705+1))</f>
        <v/>
      </c>
      <c r="H3705" t="str">
        <f>IF(D3705="","",INDEX(Knutepunkter!$D:$D,D3705+1))</f>
        <v/>
      </c>
      <c r="I3705" t="str">
        <f>IF(E3705="","",INDEX(Knutepunkter!$B:$B,E3705+1))</f>
        <v/>
      </c>
      <c r="J3705" t="str">
        <f>IF(E3705="","",INDEX(Knutepunkter!$C:$C,E3705+1))</f>
        <v/>
      </c>
      <c r="K3705" t="str">
        <f>IF(E3705="","",INDEX(Knutepunkter!$D:$D,E3705+1))</f>
        <v/>
      </c>
      <c r="L3705" t="str">
        <f t="shared" si="288"/>
        <v/>
      </c>
      <c r="M3705" t="str">
        <f t="shared" si="289"/>
        <v/>
      </c>
    </row>
    <row r="3706" spans="1:13" x14ac:dyDescent="0.3">
      <c r="A3706" t="str">
        <f>Segmenter!A3706</f>
        <v/>
      </c>
      <c r="B3706" t="str">
        <f>Segmenter!B3706</f>
        <v/>
      </c>
      <c r="C3706" t="str">
        <f t="shared" si="285"/>
        <v/>
      </c>
      <c r="D3706" t="str">
        <f t="shared" si="286"/>
        <v/>
      </c>
      <c r="E3706" t="str">
        <f t="shared" si="287"/>
        <v/>
      </c>
      <c r="F3706" t="str">
        <f>IF(D3706="","",INDEX(Knutepunkter!$B:$B,D3706+1))</f>
        <v/>
      </c>
      <c r="G3706" t="str">
        <f>IF(D3706="","",INDEX(Knutepunkter!$C:$C,D3706+1))</f>
        <v/>
      </c>
      <c r="H3706" t="str">
        <f>IF(D3706="","",INDEX(Knutepunkter!$D:$D,D3706+1))</f>
        <v/>
      </c>
      <c r="I3706" t="str">
        <f>IF(E3706="","",INDEX(Knutepunkter!$B:$B,E3706+1))</f>
        <v/>
      </c>
      <c r="J3706" t="str">
        <f>IF(E3706="","",INDEX(Knutepunkter!$C:$C,E3706+1))</f>
        <v/>
      </c>
      <c r="K3706" t="str">
        <f>IF(E3706="","",INDEX(Knutepunkter!$D:$D,E3706+1))</f>
        <v/>
      </c>
      <c r="L3706" t="str">
        <f t="shared" si="288"/>
        <v/>
      </c>
      <c r="M3706" t="str">
        <f t="shared" si="289"/>
        <v/>
      </c>
    </row>
    <row r="3707" spans="1:13" x14ac:dyDescent="0.3">
      <c r="A3707" t="str">
        <f>Segmenter!A3707</f>
        <v/>
      </c>
      <c r="B3707" t="str">
        <f>Segmenter!B3707</f>
        <v/>
      </c>
      <c r="C3707" t="str">
        <f t="shared" si="285"/>
        <v/>
      </c>
      <c r="D3707" t="str">
        <f t="shared" si="286"/>
        <v/>
      </c>
      <c r="E3707" t="str">
        <f t="shared" si="287"/>
        <v/>
      </c>
      <c r="F3707" t="str">
        <f>IF(D3707="","",INDEX(Knutepunkter!$B:$B,D3707+1))</f>
        <v/>
      </c>
      <c r="G3707" t="str">
        <f>IF(D3707="","",INDEX(Knutepunkter!$C:$C,D3707+1))</f>
        <v/>
      </c>
      <c r="H3707" t="str">
        <f>IF(D3707="","",INDEX(Knutepunkter!$D:$D,D3707+1))</f>
        <v/>
      </c>
      <c r="I3707" t="str">
        <f>IF(E3707="","",INDEX(Knutepunkter!$B:$B,E3707+1))</f>
        <v/>
      </c>
      <c r="J3707" t="str">
        <f>IF(E3707="","",INDEX(Knutepunkter!$C:$C,E3707+1))</f>
        <v/>
      </c>
      <c r="K3707" t="str">
        <f>IF(E3707="","",INDEX(Knutepunkter!$D:$D,E3707+1))</f>
        <v/>
      </c>
      <c r="L3707" t="str">
        <f t="shared" si="288"/>
        <v/>
      </c>
      <c r="M3707" t="str">
        <f t="shared" si="289"/>
        <v/>
      </c>
    </row>
    <row r="3708" spans="1:13" x14ac:dyDescent="0.3">
      <c r="A3708" t="str">
        <f>Segmenter!A3708</f>
        <v/>
      </c>
      <c r="B3708" t="str">
        <f>Segmenter!B3708</f>
        <v/>
      </c>
      <c r="C3708" t="str">
        <f t="shared" si="285"/>
        <v/>
      </c>
      <c r="D3708" t="str">
        <f t="shared" si="286"/>
        <v/>
      </c>
      <c r="E3708" t="str">
        <f t="shared" si="287"/>
        <v/>
      </c>
      <c r="F3708" t="str">
        <f>IF(D3708="","",INDEX(Knutepunkter!$B:$B,D3708+1))</f>
        <v/>
      </c>
      <c r="G3708" t="str">
        <f>IF(D3708="","",INDEX(Knutepunkter!$C:$C,D3708+1))</f>
        <v/>
      </c>
      <c r="H3708" t="str">
        <f>IF(D3708="","",INDEX(Knutepunkter!$D:$D,D3708+1))</f>
        <v/>
      </c>
      <c r="I3708" t="str">
        <f>IF(E3708="","",INDEX(Knutepunkter!$B:$B,E3708+1))</f>
        <v/>
      </c>
      <c r="J3708" t="str">
        <f>IF(E3708="","",INDEX(Knutepunkter!$C:$C,E3708+1))</f>
        <v/>
      </c>
      <c r="K3708" t="str">
        <f>IF(E3708="","",INDEX(Knutepunkter!$D:$D,E3708+1))</f>
        <v/>
      </c>
      <c r="L3708" t="str">
        <f t="shared" si="288"/>
        <v/>
      </c>
      <c r="M3708" t="str">
        <f t="shared" si="289"/>
        <v/>
      </c>
    </row>
    <row r="3709" spans="1:13" x14ac:dyDescent="0.3">
      <c r="A3709" t="str">
        <f>Segmenter!A3709</f>
        <v/>
      </c>
      <c r="B3709" t="str">
        <f>Segmenter!B3709</f>
        <v/>
      </c>
      <c r="C3709" t="str">
        <f t="shared" si="285"/>
        <v/>
      </c>
      <c r="D3709" t="str">
        <f t="shared" si="286"/>
        <v/>
      </c>
      <c r="E3709" t="str">
        <f t="shared" si="287"/>
        <v/>
      </c>
      <c r="F3709" t="str">
        <f>IF(D3709="","",INDEX(Knutepunkter!$B:$B,D3709+1))</f>
        <v/>
      </c>
      <c r="G3709" t="str">
        <f>IF(D3709="","",INDEX(Knutepunkter!$C:$C,D3709+1))</f>
        <v/>
      </c>
      <c r="H3709" t="str">
        <f>IF(D3709="","",INDEX(Knutepunkter!$D:$D,D3709+1))</f>
        <v/>
      </c>
      <c r="I3709" t="str">
        <f>IF(E3709="","",INDEX(Knutepunkter!$B:$B,E3709+1))</f>
        <v/>
      </c>
      <c r="J3709" t="str">
        <f>IF(E3709="","",INDEX(Knutepunkter!$C:$C,E3709+1))</f>
        <v/>
      </c>
      <c r="K3709" t="str">
        <f>IF(E3709="","",INDEX(Knutepunkter!$D:$D,E3709+1))</f>
        <v/>
      </c>
      <c r="L3709" t="str">
        <f t="shared" si="288"/>
        <v/>
      </c>
      <c r="M3709" t="str">
        <f t="shared" si="289"/>
        <v/>
      </c>
    </row>
    <row r="3710" spans="1:13" x14ac:dyDescent="0.3">
      <c r="A3710" t="str">
        <f>Segmenter!A3710</f>
        <v/>
      </c>
      <c r="B3710" t="str">
        <f>Segmenter!B3710</f>
        <v/>
      </c>
      <c r="C3710" t="str">
        <f t="shared" si="285"/>
        <v/>
      </c>
      <c r="D3710" t="str">
        <f t="shared" si="286"/>
        <v/>
      </c>
      <c r="E3710" t="str">
        <f t="shared" si="287"/>
        <v/>
      </c>
      <c r="F3710" t="str">
        <f>IF(D3710="","",INDEX(Knutepunkter!$B:$B,D3710+1))</f>
        <v/>
      </c>
      <c r="G3710" t="str">
        <f>IF(D3710="","",INDEX(Knutepunkter!$C:$C,D3710+1))</f>
        <v/>
      </c>
      <c r="H3710" t="str">
        <f>IF(D3710="","",INDEX(Knutepunkter!$D:$D,D3710+1))</f>
        <v/>
      </c>
      <c r="I3710" t="str">
        <f>IF(E3710="","",INDEX(Knutepunkter!$B:$B,E3710+1))</f>
        <v/>
      </c>
      <c r="J3710" t="str">
        <f>IF(E3710="","",INDEX(Knutepunkter!$C:$C,E3710+1))</f>
        <v/>
      </c>
      <c r="K3710" t="str">
        <f>IF(E3710="","",INDEX(Knutepunkter!$D:$D,E3710+1))</f>
        <v/>
      </c>
      <c r="L3710" t="str">
        <f t="shared" si="288"/>
        <v/>
      </c>
      <c r="M3710" t="str">
        <f t="shared" si="289"/>
        <v/>
      </c>
    </row>
    <row r="3711" spans="1:13" x14ac:dyDescent="0.3">
      <c r="A3711" t="str">
        <f>Segmenter!A3711</f>
        <v/>
      </c>
      <c r="B3711" t="str">
        <f>Segmenter!B3711</f>
        <v/>
      </c>
      <c r="C3711" t="str">
        <f t="shared" si="285"/>
        <v/>
      </c>
      <c r="D3711" t="str">
        <f t="shared" si="286"/>
        <v/>
      </c>
      <c r="E3711" t="str">
        <f t="shared" si="287"/>
        <v/>
      </c>
      <c r="F3711" t="str">
        <f>IF(D3711="","",INDEX(Knutepunkter!$B:$B,D3711+1))</f>
        <v/>
      </c>
      <c r="G3711" t="str">
        <f>IF(D3711="","",INDEX(Knutepunkter!$C:$C,D3711+1))</f>
        <v/>
      </c>
      <c r="H3711" t="str">
        <f>IF(D3711="","",INDEX(Knutepunkter!$D:$D,D3711+1))</f>
        <v/>
      </c>
      <c r="I3711" t="str">
        <f>IF(E3711="","",INDEX(Knutepunkter!$B:$B,E3711+1))</f>
        <v/>
      </c>
      <c r="J3711" t="str">
        <f>IF(E3711="","",INDEX(Knutepunkter!$C:$C,E3711+1))</f>
        <v/>
      </c>
      <c r="K3711" t="str">
        <f>IF(E3711="","",INDEX(Knutepunkter!$D:$D,E3711+1))</f>
        <v/>
      </c>
      <c r="L3711" t="str">
        <f t="shared" si="288"/>
        <v/>
      </c>
      <c r="M3711" t="str">
        <f t="shared" si="289"/>
        <v/>
      </c>
    </row>
    <row r="3712" spans="1:13" x14ac:dyDescent="0.3">
      <c r="A3712" t="str">
        <f>Segmenter!A3712</f>
        <v/>
      </c>
      <c r="B3712" t="str">
        <f>Segmenter!B3712</f>
        <v/>
      </c>
      <c r="C3712" t="str">
        <f t="shared" si="285"/>
        <v/>
      </c>
      <c r="D3712" t="str">
        <f t="shared" si="286"/>
        <v/>
      </c>
      <c r="E3712" t="str">
        <f t="shared" si="287"/>
        <v/>
      </c>
      <c r="F3712" t="str">
        <f>IF(D3712="","",INDEX(Knutepunkter!$B:$B,D3712+1))</f>
        <v/>
      </c>
      <c r="G3712" t="str">
        <f>IF(D3712="","",INDEX(Knutepunkter!$C:$C,D3712+1))</f>
        <v/>
      </c>
      <c r="H3712" t="str">
        <f>IF(D3712="","",INDEX(Knutepunkter!$D:$D,D3712+1))</f>
        <v/>
      </c>
      <c r="I3712" t="str">
        <f>IF(E3712="","",INDEX(Knutepunkter!$B:$B,E3712+1))</f>
        <v/>
      </c>
      <c r="J3712" t="str">
        <f>IF(E3712="","",INDEX(Knutepunkter!$C:$C,E3712+1))</f>
        <v/>
      </c>
      <c r="K3712" t="str">
        <f>IF(E3712="","",INDEX(Knutepunkter!$D:$D,E3712+1))</f>
        <v/>
      </c>
      <c r="L3712" t="str">
        <f t="shared" si="288"/>
        <v/>
      </c>
      <c r="M3712" t="str">
        <f t="shared" si="289"/>
        <v/>
      </c>
    </row>
    <row r="3713" spans="1:13" x14ac:dyDescent="0.3">
      <c r="A3713" t="str">
        <f>Segmenter!A3713</f>
        <v/>
      </c>
      <c r="B3713" t="str">
        <f>Segmenter!B3713</f>
        <v/>
      </c>
      <c r="C3713" t="str">
        <f t="shared" si="285"/>
        <v/>
      </c>
      <c r="D3713" t="str">
        <f t="shared" si="286"/>
        <v/>
      </c>
      <c r="E3713" t="str">
        <f t="shared" si="287"/>
        <v/>
      </c>
      <c r="F3713" t="str">
        <f>IF(D3713="","",INDEX(Knutepunkter!$B:$B,D3713+1))</f>
        <v/>
      </c>
      <c r="G3713" t="str">
        <f>IF(D3713="","",INDEX(Knutepunkter!$C:$C,D3713+1))</f>
        <v/>
      </c>
      <c r="H3713" t="str">
        <f>IF(D3713="","",INDEX(Knutepunkter!$D:$D,D3713+1))</f>
        <v/>
      </c>
      <c r="I3713" t="str">
        <f>IF(E3713="","",INDEX(Knutepunkter!$B:$B,E3713+1))</f>
        <v/>
      </c>
      <c r="J3713" t="str">
        <f>IF(E3713="","",INDEX(Knutepunkter!$C:$C,E3713+1))</f>
        <v/>
      </c>
      <c r="K3713" t="str">
        <f>IF(E3713="","",INDEX(Knutepunkter!$D:$D,E3713+1))</f>
        <v/>
      </c>
      <c r="L3713" t="str">
        <f t="shared" si="288"/>
        <v/>
      </c>
      <c r="M3713" t="str">
        <f t="shared" si="289"/>
        <v/>
      </c>
    </row>
    <row r="3714" spans="1:13" x14ac:dyDescent="0.3">
      <c r="A3714" t="str">
        <f>Segmenter!A3714</f>
        <v/>
      </c>
      <c r="B3714" t="str">
        <f>Segmenter!B3714</f>
        <v/>
      </c>
      <c r="C3714" t="str">
        <f t="shared" ref="C3714:C3777" si="290">IF(B3714="","",IF(AND(F3714=I3714,G3714=J3714,H3714&lt;&gt;K3714),"Søyle","Bjelke"))</f>
        <v/>
      </c>
      <c r="D3714" t="str">
        <f t="shared" ref="D3714:D3777" si="291">IF(B3714="","",VALUE(LEFT(B3714,FIND(" -&gt; ",B3714)-1)))</f>
        <v/>
      </c>
      <c r="E3714" t="str">
        <f t="shared" ref="E3714:E3777" si="292">IF(B3714="","",VALUE(MID(B3714,FIND(" -&gt; ",B3714)+4,99)))</f>
        <v/>
      </c>
      <c r="F3714" t="str">
        <f>IF(D3714="","",INDEX(Knutepunkter!$B:$B,D3714+1))</f>
        <v/>
      </c>
      <c r="G3714" t="str">
        <f>IF(D3714="","",INDEX(Knutepunkter!$C:$C,D3714+1))</f>
        <v/>
      </c>
      <c r="H3714" t="str">
        <f>IF(D3714="","",INDEX(Knutepunkter!$D:$D,D3714+1))</f>
        <v/>
      </c>
      <c r="I3714" t="str">
        <f>IF(E3714="","",INDEX(Knutepunkter!$B:$B,E3714+1))</f>
        <v/>
      </c>
      <c r="J3714" t="str">
        <f>IF(E3714="","",INDEX(Knutepunkter!$C:$C,E3714+1))</f>
        <v/>
      </c>
      <c r="K3714" t="str">
        <f>IF(E3714="","",INDEX(Knutepunkter!$D:$D,E3714+1))</f>
        <v/>
      </c>
      <c r="L3714" t="str">
        <f t="shared" ref="L3714:L3777" si="293">IF(B3714="","",SQRT((I3714-F3714)^2+(J3714-G3714)^2+(K3714-H3714)^2))</f>
        <v/>
      </c>
      <c r="M3714" t="str">
        <f t="shared" ref="M3714:M3777" si="294">IF(L3714="","",L3714/1000)</f>
        <v/>
      </c>
    </row>
    <row r="3715" spans="1:13" x14ac:dyDescent="0.3">
      <c r="A3715" t="str">
        <f>Segmenter!A3715</f>
        <v/>
      </c>
      <c r="B3715" t="str">
        <f>Segmenter!B3715</f>
        <v/>
      </c>
      <c r="C3715" t="str">
        <f t="shared" si="290"/>
        <v/>
      </c>
      <c r="D3715" t="str">
        <f t="shared" si="291"/>
        <v/>
      </c>
      <c r="E3715" t="str">
        <f t="shared" si="292"/>
        <v/>
      </c>
      <c r="F3715" t="str">
        <f>IF(D3715="","",INDEX(Knutepunkter!$B:$B,D3715+1))</f>
        <v/>
      </c>
      <c r="G3715" t="str">
        <f>IF(D3715="","",INDEX(Knutepunkter!$C:$C,D3715+1))</f>
        <v/>
      </c>
      <c r="H3715" t="str">
        <f>IF(D3715="","",INDEX(Knutepunkter!$D:$D,D3715+1))</f>
        <v/>
      </c>
      <c r="I3715" t="str">
        <f>IF(E3715="","",INDEX(Knutepunkter!$B:$B,E3715+1))</f>
        <v/>
      </c>
      <c r="J3715" t="str">
        <f>IF(E3715="","",INDEX(Knutepunkter!$C:$C,E3715+1))</f>
        <v/>
      </c>
      <c r="K3715" t="str">
        <f>IF(E3715="","",INDEX(Knutepunkter!$D:$D,E3715+1))</f>
        <v/>
      </c>
      <c r="L3715" t="str">
        <f t="shared" si="293"/>
        <v/>
      </c>
      <c r="M3715" t="str">
        <f t="shared" si="294"/>
        <v/>
      </c>
    </row>
    <row r="3716" spans="1:13" x14ac:dyDescent="0.3">
      <c r="A3716" t="str">
        <f>Segmenter!A3716</f>
        <v/>
      </c>
      <c r="B3716" t="str">
        <f>Segmenter!B3716</f>
        <v/>
      </c>
      <c r="C3716" t="str">
        <f t="shared" si="290"/>
        <v/>
      </c>
      <c r="D3716" t="str">
        <f t="shared" si="291"/>
        <v/>
      </c>
      <c r="E3716" t="str">
        <f t="shared" si="292"/>
        <v/>
      </c>
      <c r="F3716" t="str">
        <f>IF(D3716="","",INDEX(Knutepunkter!$B:$B,D3716+1))</f>
        <v/>
      </c>
      <c r="G3716" t="str">
        <f>IF(D3716="","",INDEX(Knutepunkter!$C:$C,D3716+1))</f>
        <v/>
      </c>
      <c r="H3716" t="str">
        <f>IF(D3716="","",INDEX(Knutepunkter!$D:$D,D3716+1))</f>
        <v/>
      </c>
      <c r="I3716" t="str">
        <f>IF(E3716="","",INDEX(Knutepunkter!$B:$B,E3716+1))</f>
        <v/>
      </c>
      <c r="J3716" t="str">
        <f>IF(E3716="","",INDEX(Knutepunkter!$C:$C,E3716+1))</f>
        <v/>
      </c>
      <c r="K3716" t="str">
        <f>IF(E3716="","",INDEX(Knutepunkter!$D:$D,E3716+1))</f>
        <v/>
      </c>
      <c r="L3716" t="str">
        <f t="shared" si="293"/>
        <v/>
      </c>
      <c r="M3716" t="str">
        <f t="shared" si="294"/>
        <v/>
      </c>
    </row>
    <row r="3717" spans="1:13" x14ac:dyDescent="0.3">
      <c r="A3717" t="str">
        <f>Segmenter!A3717</f>
        <v/>
      </c>
      <c r="B3717" t="str">
        <f>Segmenter!B3717</f>
        <v/>
      </c>
      <c r="C3717" t="str">
        <f t="shared" si="290"/>
        <v/>
      </c>
      <c r="D3717" t="str">
        <f t="shared" si="291"/>
        <v/>
      </c>
      <c r="E3717" t="str">
        <f t="shared" si="292"/>
        <v/>
      </c>
      <c r="F3717" t="str">
        <f>IF(D3717="","",INDEX(Knutepunkter!$B:$B,D3717+1))</f>
        <v/>
      </c>
      <c r="G3717" t="str">
        <f>IF(D3717="","",INDEX(Knutepunkter!$C:$C,D3717+1))</f>
        <v/>
      </c>
      <c r="H3717" t="str">
        <f>IF(D3717="","",INDEX(Knutepunkter!$D:$D,D3717+1))</f>
        <v/>
      </c>
      <c r="I3717" t="str">
        <f>IF(E3717="","",INDEX(Knutepunkter!$B:$B,E3717+1))</f>
        <v/>
      </c>
      <c r="J3717" t="str">
        <f>IF(E3717="","",INDEX(Knutepunkter!$C:$C,E3717+1))</f>
        <v/>
      </c>
      <c r="K3717" t="str">
        <f>IF(E3717="","",INDEX(Knutepunkter!$D:$D,E3717+1))</f>
        <v/>
      </c>
      <c r="L3717" t="str">
        <f t="shared" si="293"/>
        <v/>
      </c>
      <c r="M3717" t="str">
        <f t="shared" si="294"/>
        <v/>
      </c>
    </row>
    <row r="3718" spans="1:13" x14ac:dyDescent="0.3">
      <c r="A3718" t="str">
        <f>Segmenter!A3718</f>
        <v/>
      </c>
      <c r="B3718" t="str">
        <f>Segmenter!B3718</f>
        <v/>
      </c>
      <c r="C3718" t="str">
        <f t="shared" si="290"/>
        <v/>
      </c>
      <c r="D3718" t="str">
        <f t="shared" si="291"/>
        <v/>
      </c>
      <c r="E3718" t="str">
        <f t="shared" si="292"/>
        <v/>
      </c>
      <c r="F3718" t="str">
        <f>IF(D3718="","",INDEX(Knutepunkter!$B:$B,D3718+1))</f>
        <v/>
      </c>
      <c r="G3718" t="str">
        <f>IF(D3718="","",INDEX(Knutepunkter!$C:$C,D3718+1))</f>
        <v/>
      </c>
      <c r="H3718" t="str">
        <f>IF(D3718="","",INDEX(Knutepunkter!$D:$D,D3718+1))</f>
        <v/>
      </c>
      <c r="I3718" t="str">
        <f>IF(E3718="","",INDEX(Knutepunkter!$B:$B,E3718+1))</f>
        <v/>
      </c>
      <c r="J3718" t="str">
        <f>IF(E3718="","",INDEX(Knutepunkter!$C:$C,E3718+1))</f>
        <v/>
      </c>
      <c r="K3718" t="str">
        <f>IF(E3718="","",INDEX(Knutepunkter!$D:$D,E3718+1))</f>
        <v/>
      </c>
      <c r="L3718" t="str">
        <f t="shared" si="293"/>
        <v/>
      </c>
      <c r="M3718" t="str">
        <f t="shared" si="294"/>
        <v/>
      </c>
    </row>
    <row r="3719" spans="1:13" x14ac:dyDescent="0.3">
      <c r="A3719" t="str">
        <f>Segmenter!A3719</f>
        <v/>
      </c>
      <c r="B3719" t="str">
        <f>Segmenter!B3719</f>
        <v/>
      </c>
      <c r="C3719" t="str">
        <f t="shared" si="290"/>
        <v/>
      </c>
      <c r="D3719" t="str">
        <f t="shared" si="291"/>
        <v/>
      </c>
      <c r="E3719" t="str">
        <f t="shared" si="292"/>
        <v/>
      </c>
      <c r="F3719" t="str">
        <f>IF(D3719="","",INDEX(Knutepunkter!$B:$B,D3719+1))</f>
        <v/>
      </c>
      <c r="G3719" t="str">
        <f>IF(D3719="","",INDEX(Knutepunkter!$C:$C,D3719+1))</f>
        <v/>
      </c>
      <c r="H3719" t="str">
        <f>IF(D3719="","",INDEX(Knutepunkter!$D:$D,D3719+1))</f>
        <v/>
      </c>
      <c r="I3719" t="str">
        <f>IF(E3719="","",INDEX(Knutepunkter!$B:$B,E3719+1))</f>
        <v/>
      </c>
      <c r="J3719" t="str">
        <f>IF(E3719="","",INDEX(Knutepunkter!$C:$C,E3719+1))</f>
        <v/>
      </c>
      <c r="K3719" t="str">
        <f>IF(E3719="","",INDEX(Knutepunkter!$D:$D,E3719+1))</f>
        <v/>
      </c>
      <c r="L3719" t="str">
        <f t="shared" si="293"/>
        <v/>
      </c>
      <c r="M3719" t="str">
        <f t="shared" si="294"/>
        <v/>
      </c>
    </row>
    <row r="3720" spans="1:13" x14ac:dyDescent="0.3">
      <c r="A3720" t="str">
        <f>Segmenter!A3720</f>
        <v/>
      </c>
      <c r="B3720" t="str">
        <f>Segmenter!B3720</f>
        <v/>
      </c>
      <c r="C3720" t="str">
        <f t="shared" si="290"/>
        <v/>
      </c>
      <c r="D3720" t="str">
        <f t="shared" si="291"/>
        <v/>
      </c>
      <c r="E3720" t="str">
        <f t="shared" si="292"/>
        <v/>
      </c>
      <c r="F3720" t="str">
        <f>IF(D3720="","",INDEX(Knutepunkter!$B:$B,D3720+1))</f>
        <v/>
      </c>
      <c r="G3720" t="str">
        <f>IF(D3720="","",INDEX(Knutepunkter!$C:$C,D3720+1))</f>
        <v/>
      </c>
      <c r="H3720" t="str">
        <f>IF(D3720="","",INDEX(Knutepunkter!$D:$D,D3720+1))</f>
        <v/>
      </c>
      <c r="I3720" t="str">
        <f>IF(E3720="","",INDEX(Knutepunkter!$B:$B,E3720+1))</f>
        <v/>
      </c>
      <c r="J3720" t="str">
        <f>IF(E3720="","",INDEX(Knutepunkter!$C:$C,E3720+1))</f>
        <v/>
      </c>
      <c r="K3720" t="str">
        <f>IF(E3720="","",INDEX(Knutepunkter!$D:$D,E3720+1))</f>
        <v/>
      </c>
      <c r="L3720" t="str">
        <f t="shared" si="293"/>
        <v/>
      </c>
      <c r="M3720" t="str">
        <f t="shared" si="294"/>
        <v/>
      </c>
    </row>
    <row r="3721" spans="1:13" x14ac:dyDescent="0.3">
      <c r="A3721" t="str">
        <f>Segmenter!A3721</f>
        <v/>
      </c>
      <c r="B3721" t="str">
        <f>Segmenter!B3721</f>
        <v/>
      </c>
      <c r="C3721" t="str">
        <f t="shared" si="290"/>
        <v/>
      </c>
      <c r="D3721" t="str">
        <f t="shared" si="291"/>
        <v/>
      </c>
      <c r="E3721" t="str">
        <f t="shared" si="292"/>
        <v/>
      </c>
      <c r="F3721" t="str">
        <f>IF(D3721="","",INDEX(Knutepunkter!$B:$B,D3721+1))</f>
        <v/>
      </c>
      <c r="G3721" t="str">
        <f>IF(D3721="","",INDEX(Knutepunkter!$C:$C,D3721+1))</f>
        <v/>
      </c>
      <c r="H3721" t="str">
        <f>IF(D3721="","",INDEX(Knutepunkter!$D:$D,D3721+1))</f>
        <v/>
      </c>
      <c r="I3721" t="str">
        <f>IF(E3721="","",INDEX(Knutepunkter!$B:$B,E3721+1))</f>
        <v/>
      </c>
      <c r="J3721" t="str">
        <f>IF(E3721="","",INDEX(Knutepunkter!$C:$C,E3721+1))</f>
        <v/>
      </c>
      <c r="K3721" t="str">
        <f>IF(E3721="","",INDEX(Knutepunkter!$D:$D,E3721+1))</f>
        <v/>
      </c>
      <c r="L3721" t="str">
        <f t="shared" si="293"/>
        <v/>
      </c>
      <c r="M3721" t="str">
        <f t="shared" si="294"/>
        <v/>
      </c>
    </row>
    <row r="3722" spans="1:13" x14ac:dyDescent="0.3">
      <c r="A3722" t="str">
        <f>Segmenter!A3722</f>
        <v/>
      </c>
      <c r="B3722" t="str">
        <f>Segmenter!B3722</f>
        <v/>
      </c>
      <c r="C3722" t="str">
        <f t="shared" si="290"/>
        <v/>
      </c>
      <c r="D3722" t="str">
        <f t="shared" si="291"/>
        <v/>
      </c>
      <c r="E3722" t="str">
        <f t="shared" si="292"/>
        <v/>
      </c>
      <c r="F3722" t="str">
        <f>IF(D3722="","",INDEX(Knutepunkter!$B:$B,D3722+1))</f>
        <v/>
      </c>
      <c r="G3722" t="str">
        <f>IF(D3722="","",INDEX(Knutepunkter!$C:$C,D3722+1))</f>
        <v/>
      </c>
      <c r="H3722" t="str">
        <f>IF(D3722="","",INDEX(Knutepunkter!$D:$D,D3722+1))</f>
        <v/>
      </c>
      <c r="I3722" t="str">
        <f>IF(E3722="","",INDEX(Knutepunkter!$B:$B,E3722+1))</f>
        <v/>
      </c>
      <c r="J3722" t="str">
        <f>IF(E3722="","",INDEX(Knutepunkter!$C:$C,E3722+1))</f>
        <v/>
      </c>
      <c r="K3722" t="str">
        <f>IF(E3722="","",INDEX(Knutepunkter!$D:$D,E3722+1))</f>
        <v/>
      </c>
      <c r="L3722" t="str">
        <f t="shared" si="293"/>
        <v/>
      </c>
      <c r="M3722" t="str">
        <f t="shared" si="294"/>
        <v/>
      </c>
    </row>
    <row r="3723" spans="1:13" x14ac:dyDescent="0.3">
      <c r="A3723" t="str">
        <f>Segmenter!A3723</f>
        <v/>
      </c>
      <c r="B3723" t="str">
        <f>Segmenter!B3723</f>
        <v/>
      </c>
      <c r="C3723" t="str">
        <f t="shared" si="290"/>
        <v/>
      </c>
      <c r="D3723" t="str">
        <f t="shared" si="291"/>
        <v/>
      </c>
      <c r="E3723" t="str">
        <f t="shared" si="292"/>
        <v/>
      </c>
      <c r="F3723" t="str">
        <f>IF(D3723="","",INDEX(Knutepunkter!$B:$B,D3723+1))</f>
        <v/>
      </c>
      <c r="G3723" t="str">
        <f>IF(D3723="","",INDEX(Knutepunkter!$C:$C,D3723+1))</f>
        <v/>
      </c>
      <c r="H3723" t="str">
        <f>IF(D3723="","",INDEX(Knutepunkter!$D:$D,D3723+1))</f>
        <v/>
      </c>
      <c r="I3723" t="str">
        <f>IF(E3723="","",INDEX(Knutepunkter!$B:$B,E3723+1))</f>
        <v/>
      </c>
      <c r="J3723" t="str">
        <f>IF(E3723="","",INDEX(Knutepunkter!$C:$C,E3723+1))</f>
        <v/>
      </c>
      <c r="K3723" t="str">
        <f>IF(E3723="","",INDEX(Knutepunkter!$D:$D,E3723+1))</f>
        <v/>
      </c>
      <c r="L3723" t="str">
        <f t="shared" si="293"/>
        <v/>
      </c>
      <c r="M3723" t="str">
        <f t="shared" si="294"/>
        <v/>
      </c>
    </row>
    <row r="3724" spans="1:13" x14ac:dyDescent="0.3">
      <c r="A3724" t="str">
        <f>Segmenter!A3724</f>
        <v/>
      </c>
      <c r="B3724" t="str">
        <f>Segmenter!B3724</f>
        <v/>
      </c>
      <c r="C3724" t="str">
        <f t="shared" si="290"/>
        <v/>
      </c>
      <c r="D3724" t="str">
        <f t="shared" si="291"/>
        <v/>
      </c>
      <c r="E3724" t="str">
        <f t="shared" si="292"/>
        <v/>
      </c>
      <c r="F3724" t="str">
        <f>IF(D3724="","",INDEX(Knutepunkter!$B:$B,D3724+1))</f>
        <v/>
      </c>
      <c r="G3724" t="str">
        <f>IF(D3724="","",INDEX(Knutepunkter!$C:$C,D3724+1))</f>
        <v/>
      </c>
      <c r="H3724" t="str">
        <f>IF(D3724="","",INDEX(Knutepunkter!$D:$D,D3724+1))</f>
        <v/>
      </c>
      <c r="I3724" t="str">
        <f>IF(E3724="","",INDEX(Knutepunkter!$B:$B,E3724+1))</f>
        <v/>
      </c>
      <c r="J3724" t="str">
        <f>IF(E3724="","",INDEX(Knutepunkter!$C:$C,E3724+1))</f>
        <v/>
      </c>
      <c r="K3724" t="str">
        <f>IF(E3724="","",INDEX(Knutepunkter!$D:$D,E3724+1))</f>
        <v/>
      </c>
      <c r="L3724" t="str">
        <f t="shared" si="293"/>
        <v/>
      </c>
      <c r="M3724" t="str">
        <f t="shared" si="294"/>
        <v/>
      </c>
    </row>
    <row r="3725" spans="1:13" x14ac:dyDescent="0.3">
      <c r="A3725" t="str">
        <f>Segmenter!A3725</f>
        <v/>
      </c>
      <c r="B3725" t="str">
        <f>Segmenter!B3725</f>
        <v/>
      </c>
      <c r="C3725" t="str">
        <f t="shared" si="290"/>
        <v/>
      </c>
      <c r="D3725" t="str">
        <f t="shared" si="291"/>
        <v/>
      </c>
      <c r="E3725" t="str">
        <f t="shared" si="292"/>
        <v/>
      </c>
      <c r="F3725" t="str">
        <f>IF(D3725="","",INDEX(Knutepunkter!$B:$B,D3725+1))</f>
        <v/>
      </c>
      <c r="G3725" t="str">
        <f>IF(D3725="","",INDEX(Knutepunkter!$C:$C,D3725+1))</f>
        <v/>
      </c>
      <c r="H3725" t="str">
        <f>IF(D3725="","",INDEX(Knutepunkter!$D:$D,D3725+1))</f>
        <v/>
      </c>
      <c r="I3725" t="str">
        <f>IF(E3725="","",INDEX(Knutepunkter!$B:$B,E3725+1))</f>
        <v/>
      </c>
      <c r="J3725" t="str">
        <f>IF(E3725="","",INDEX(Knutepunkter!$C:$C,E3725+1))</f>
        <v/>
      </c>
      <c r="K3725" t="str">
        <f>IF(E3725="","",INDEX(Knutepunkter!$D:$D,E3725+1))</f>
        <v/>
      </c>
      <c r="L3725" t="str">
        <f t="shared" si="293"/>
        <v/>
      </c>
      <c r="M3725" t="str">
        <f t="shared" si="294"/>
        <v/>
      </c>
    </row>
    <row r="3726" spans="1:13" x14ac:dyDescent="0.3">
      <c r="A3726" t="str">
        <f>Segmenter!A3726</f>
        <v/>
      </c>
      <c r="B3726" t="str">
        <f>Segmenter!B3726</f>
        <v/>
      </c>
      <c r="C3726" t="str">
        <f t="shared" si="290"/>
        <v/>
      </c>
      <c r="D3726" t="str">
        <f t="shared" si="291"/>
        <v/>
      </c>
      <c r="E3726" t="str">
        <f t="shared" si="292"/>
        <v/>
      </c>
      <c r="F3726" t="str">
        <f>IF(D3726="","",INDEX(Knutepunkter!$B:$B,D3726+1))</f>
        <v/>
      </c>
      <c r="G3726" t="str">
        <f>IF(D3726="","",INDEX(Knutepunkter!$C:$C,D3726+1))</f>
        <v/>
      </c>
      <c r="H3726" t="str">
        <f>IF(D3726="","",INDEX(Knutepunkter!$D:$D,D3726+1))</f>
        <v/>
      </c>
      <c r="I3726" t="str">
        <f>IF(E3726="","",INDEX(Knutepunkter!$B:$B,E3726+1))</f>
        <v/>
      </c>
      <c r="J3726" t="str">
        <f>IF(E3726="","",INDEX(Knutepunkter!$C:$C,E3726+1))</f>
        <v/>
      </c>
      <c r="K3726" t="str">
        <f>IF(E3726="","",INDEX(Knutepunkter!$D:$D,E3726+1))</f>
        <v/>
      </c>
      <c r="L3726" t="str">
        <f t="shared" si="293"/>
        <v/>
      </c>
      <c r="M3726" t="str">
        <f t="shared" si="294"/>
        <v/>
      </c>
    </row>
    <row r="3727" spans="1:13" x14ac:dyDescent="0.3">
      <c r="A3727" t="str">
        <f>Segmenter!A3727</f>
        <v/>
      </c>
      <c r="B3727" t="str">
        <f>Segmenter!B3727</f>
        <v/>
      </c>
      <c r="C3727" t="str">
        <f t="shared" si="290"/>
        <v/>
      </c>
      <c r="D3727" t="str">
        <f t="shared" si="291"/>
        <v/>
      </c>
      <c r="E3727" t="str">
        <f t="shared" si="292"/>
        <v/>
      </c>
      <c r="F3727" t="str">
        <f>IF(D3727="","",INDEX(Knutepunkter!$B:$B,D3727+1))</f>
        <v/>
      </c>
      <c r="G3727" t="str">
        <f>IF(D3727="","",INDEX(Knutepunkter!$C:$C,D3727+1))</f>
        <v/>
      </c>
      <c r="H3727" t="str">
        <f>IF(D3727="","",INDEX(Knutepunkter!$D:$D,D3727+1))</f>
        <v/>
      </c>
      <c r="I3727" t="str">
        <f>IF(E3727="","",INDEX(Knutepunkter!$B:$B,E3727+1))</f>
        <v/>
      </c>
      <c r="J3727" t="str">
        <f>IF(E3727="","",INDEX(Knutepunkter!$C:$C,E3727+1))</f>
        <v/>
      </c>
      <c r="K3727" t="str">
        <f>IF(E3727="","",INDEX(Knutepunkter!$D:$D,E3727+1))</f>
        <v/>
      </c>
      <c r="L3727" t="str">
        <f t="shared" si="293"/>
        <v/>
      </c>
      <c r="M3727" t="str">
        <f t="shared" si="294"/>
        <v/>
      </c>
    </row>
    <row r="3728" spans="1:13" x14ac:dyDescent="0.3">
      <c r="A3728" t="str">
        <f>Segmenter!A3728</f>
        <v/>
      </c>
      <c r="B3728" t="str">
        <f>Segmenter!B3728</f>
        <v/>
      </c>
      <c r="C3728" t="str">
        <f t="shared" si="290"/>
        <v/>
      </c>
      <c r="D3728" t="str">
        <f t="shared" si="291"/>
        <v/>
      </c>
      <c r="E3728" t="str">
        <f t="shared" si="292"/>
        <v/>
      </c>
      <c r="F3728" t="str">
        <f>IF(D3728="","",INDEX(Knutepunkter!$B:$B,D3728+1))</f>
        <v/>
      </c>
      <c r="G3728" t="str">
        <f>IF(D3728="","",INDEX(Knutepunkter!$C:$C,D3728+1))</f>
        <v/>
      </c>
      <c r="H3728" t="str">
        <f>IF(D3728="","",INDEX(Knutepunkter!$D:$D,D3728+1))</f>
        <v/>
      </c>
      <c r="I3728" t="str">
        <f>IF(E3728="","",INDEX(Knutepunkter!$B:$B,E3728+1))</f>
        <v/>
      </c>
      <c r="J3728" t="str">
        <f>IF(E3728="","",INDEX(Knutepunkter!$C:$C,E3728+1))</f>
        <v/>
      </c>
      <c r="K3728" t="str">
        <f>IF(E3728="","",INDEX(Knutepunkter!$D:$D,E3728+1))</f>
        <v/>
      </c>
      <c r="L3728" t="str">
        <f t="shared" si="293"/>
        <v/>
      </c>
      <c r="M3728" t="str">
        <f t="shared" si="294"/>
        <v/>
      </c>
    </row>
    <row r="3729" spans="1:13" x14ac:dyDescent="0.3">
      <c r="A3729" t="str">
        <f>Segmenter!A3729</f>
        <v/>
      </c>
      <c r="B3729" t="str">
        <f>Segmenter!B3729</f>
        <v/>
      </c>
      <c r="C3729" t="str">
        <f t="shared" si="290"/>
        <v/>
      </c>
      <c r="D3729" t="str">
        <f t="shared" si="291"/>
        <v/>
      </c>
      <c r="E3729" t="str">
        <f t="shared" si="292"/>
        <v/>
      </c>
      <c r="F3729" t="str">
        <f>IF(D3729="","",INDEX(Knutepunkter!$B:$B,D3729+1))</f>
        <v/>
      </c>
      <c r="G3729" t="str">
        <f>IF(D3729="","",INDEX(Knutepunkter!$C:$C,D3729+1))</f>
        <v/>
      </c>
      <c r="H3729" t="str">
        <f>IF(D3729="","",INDEX(Knutepunkter!$D:$D,D3729+1))</f>
        <v/>
      </c>
      <c r="I3729" t="str">
        <f>IF(E3729="","",INDEX(Knutepunkter!$B:$B,E3729+1))</f>
        <v/>
      </c>
      <c r="J3729" t="str">
        <f>IF(E3729="","",INDEX(Knutepunkter!$C:$C,E3729+1))</f>
        <v/>
      </c>
      <c r="K3729" t="str">
        <f>IF(E3729="","",INDEX(Knutepunkter!$D:$D,E3729+1))</f>
        <v/>
      </c>
      <c r="L3729" t="str">
        <f t="shared" si="293"/>
        <v/>
      </c>
      <c r="M3729" t="str">
        <f t="shared" si="294"/>
        <v/>
      </c>
    </row>
    <row r="3730" spans="1:13" x14ac:dyDescent="0.3">
      <c r="A3730" t="str">
        <f>Segmenter!A3730</f>
        <v/>
      </c>
      <c r="B3730" t="str">
        <f>Segmenter!B3730</f>
        <v/>
      </c>
      <c r="C3730" t="str">
        <f t="shared" si="290"/>
        <v/>
      </c>
      <c r="D3730" t="str">
        <f t="shared" si="291"/>
        <v/>
      </c>
      <c r="E3730" t="str">
        <f t="shared" si="292"/>
        <v/>
      </c>
      <c r="F3730" t="str">
        <f>IF(D3730="","",INDEX(Knutepunkter!$B:$B,D3730+1))</f>
        <v/>
      </c>
      <c r="G3730" t="str">
        <f>IF(D3730="","",INDEX(Knutepunkter!$C:$C,D3730+1))</f>
        <v/>
      </c>
      <c r="H3730" t="str">
        <f>IF(D3730="","",INDEX(Knutepunkter!$D:$D,D3730+1))</f>
        <v/>
      </c>
      <c r="I3730" t="str">
        <f>IF(E3730="","",INDEX(Knutepunkter!$B:$B,E3730+1))</f>
        <v/>
      </c>
      <c r="J3730" t="str">
        <f>IF(E3730="","",INDEX(Knutepunkter!$C:$C,E3730+1))</f>
        <v/>
      </c>
      <c r="K3730" t="str">
        <f>IF(E3730="","",INDEX(Knutepunkter!$D:$D,E3730+1))</f>
        <v/>
      </c>
      <c r="L3730" t="str">
        <f t="shared" si="293"/>
        <v/>
      </c>
      <c r="M3730" t="str">
        <f t="shared" si="294"/>
        <v/>
      </c>
    </row>
    <row r="3731" spans="1:13" x14ac:dyDescent="0.3">
      <c r="A3731" t="str">
        <f>Segmenter!A3731</f>
        <v/>
      </c>
      <c r="B3731" t="str">
        <f>Segmenter!B3731</f>
        <v/>
      </c>
      <c r="C3731" t="str">
        <f t="shared" si="290"/>
        <v/>
      </c>
      <c r="D3731" t="str">
        <f t="shared" si="291"/>
        <v/>
      </c>
      <c r="E3731" t="str">
        <f t="shared" si="292"/>
        <v/>
      </c>
      <c r="F3731" t="str">
        <f>IF(D3731="","",INDEX(Knutepunkter!$B:$B,D3731+1))</f>
        <v/>
      </c>
      <c r="G3731" t="str">
        <f>IF(D3731="","",INDEX(Knutepunkter!$C:$C,D3731+1))</f>
        <v/>
      </c>
      <c r="H3731" t="str">
        <f>IF(D3731="","",INDEX(Knutepunkter!$D:$D,D3731+1))</f>
        <v/>
      </c>
      <c r="I3731" t="str">
        <f>IF(E3731="","",INDEX(Knutepunkter!$B:$B,E3731+1))</f>
        <v/>
      </c>
      <c r="J3731" t="str">
        <f>IF(E3731="","",INDEX(Knutepunkter!$C:$C,E3731+1))</f>
        <v/>
      </c>
      <c r="K3731" t="str">
        <f>IF(E3731="","",INDEX(Knutepunkter!$D:$D,E3731+1))</f>
        <v/>
      </c>
      <c r="L3731" t="str">
        <f t="shared" si="293"/>
        <v/>
      </c>
      <c r="M3731" t="str">
        <f t="shared" si="294"/>
        <v/>
      </c>
    </row>
    <row r="3732" spans="1:13" x14ac:dyDescent="0.3">
      <c r="A3732" t="str">
        <f>Segmenter!A3732</f>
        <v/>
      </c>
      <c r="B3732" t="str">
        <f>Segmenter!B3732</f>
        <v/>
      </c>
      <c r="C3732" t="str">
        <f t="shared" si="290"/>
        <v/>
      </c>
      <c r="D3732" t="str">
        <f t="shared" si="291"/>
        <v/>
      </c>
      <c r="E3732" t="str">
        <f t="shared" si="292"/>
        <v/>
      </c>
      <c r="F3732" t="str">
        <f>IF(D3732="","",INDEX(Knutepunkter!$B:$B,D3732+1))</f>
        <v/>
      </c>
      <c r="G3732" t="str">
        <f>IF(D3732="","",INDEX(Knutepunkter!$C:$C,D3732+1))</f>
        <v/>
      </c>
      <c r="H3732" t="str">
        <f>IF(D3732="","",INDEX(Knutepunkter!$D:$D,D3732+1))</f>
        <v/>
      </c>
      <c r="I3732" t="str">
        <f>IF(E3732="","",INDEX(Knutepunkter!$B:$B,E3732+1))</f>
        <v/>
      </c>
      <c r="J3732" t="str">
        <f>IF(E3732="","",INDEX(Knutepunkter!$C:$C,E3732+1))</f>
        <v/>
      </c>
      <c r="K3732" t="str">
        <f>IF(E3732="","",INDEX(Knutepunkter!$D:$D,E3732+1))</f>
        <v/>
      </c>
      <c r="L3732" t="str">
        <f t="shared" si="293"/>
        <v/>
      </c>
      <c r="M3732" t="str">
        <f t="shared" si="294"/>
        <v/>
      </c>
    </row>
    <row r="3733" spans="1:13" x14ac:dyDescent="0.3">
      <c r="A3733" t="str">
        <f>Segmenter!A3733</f>
        <v/>
      </c>
      <c r="B3733" t="str">
        <f>Segmenter!B3733</f>
        <v/>
      </c>
      <c r="C3733" t="str">
        <f t="shared" si="290"/>
        <v/>
      </c>
      <c r="D3733" t="str">
        <f t="shared" si="291"/>
        <v/>
      </c>
      <c r="E3733" t="str">
        <f t="shared" si="292"/>
        <v/>
      </c>
      <c r="F3733" t="str">
        <f>IF(D3733="","",INDEX(Knutepunkter!$B:$B,D3733+1))</f>
        <v/>
      </c>
      <c r="G3733" t="str">
        <f>IF(D3733="","",INDEX(Knutepunkter!$C:$C,D3733+1))</f>
        <v/>
      </c>
      <c r="H3733" t="str">
        <f>IF(D3733="","",INDEX(Knutepunkter!$D:$D,D3733+1))</f>
        <v/>
      </c>
      <c r="I3733" t="str">
        <f>IF(E3733="","",INDEX(Knutepunkter!$B:$B,E3733+1))</f>
        <v/>
      </c>
      <c r="J3733" t="str">
        <f>IF(E3733="","",INDEX(Knutepunkter!$C:$C,E3733+1))</f>
        <v/>
      </c>
      <c r="K3733" t="str">
        <f>IF(E3733="","",INDEX(Knutepunkter!$D:$D,E3733+1))</f>
        <v/>
      </c>
      <c r="L3733" t="str">
        <f t="shared" si="293"/>
        <v/>
      </c>
      <c r="M3733" t="str">
        <f t="shared" si="294"/>
        <v/>
      </c>
    </row>
    <row r="3734" spans="1:13" x14ac:dyDescent="0.3">
      <c r="A3734" t="str">
        <f>Segmenter!A3734</f>
        <v/>
      </c>
      <c r="B3734" t="str">
        <f>Segmenter!B3734</f>
        <v/>
      </c>
      <c r="C3734" t="str">
        <f t="shared" si="290"/>
        <v/>
      </c>
      <c r="D3734" t="str">
        <f t="shared" si="291"/>
        <v/>
      </c>
      <c r="E3734" t="str">
        <f t="shared" si="292"/>
        <v/>
      </c>
      <c r="F3734" t="str">
        <f>IF(D3734="","",INDEX(Knutepunkter!$B:$B,D3734+1))</f>
        <v/>
      </c>
      <c r="G3734" t="str">
        <f>IF(D3734="","",INDEX(Knutepunkter!$C:$C,D3734+1))</f>
        <v/>
      </c>
      <c r="H3734" t="str">
        <f>IF(D3734="","",INDEX(Knutepunkter!$D:$D,D3734+1))</f>
        <v/>
      </c>
      <c r="I3734" t="str">
        <f>IF(E3734="","",INDEX(Knutepunkter!$B:$B,E3734+1))</f>
        <v/>
      </c>
      <c r="J3734" t="str">
        <f>IF(E3734="","",INDEX(Knutepunkter!$C:$C,E3734+1))</f>
        <v/>
      </c>
      <c r="K3734" t="str">
        <f>IF(E3734="","",INDEX(Knutepunkter!$D:$D,E3734+1))</f>
        <v/>
      </c>
      <c r="L3734" t="str">
        <f t="shared" si="293"/>
        <v/>
      </c>
      <c r="M3734" t="str">
        <f t="shared" si="294"/>
        <v/>
      </c>
    </row>
    <row r="3735" spans="1:13" x14ac:dyDescent="0.3">
      <c r="A3735" t="str">
        <f>Segmenter!A3735</f>
        <v/>
      </c>
      <c r="B3735" t="str">
        <f>Segmenter!B3735</f>
        <v/>
      </c>
      <c r="C3735" t="str">
        <f t="shared" si="290"/>
        <v/>
      </c>
      <c r="D3735" t="str">
        <f t="shared" si="291"/>
        <v/>
      </c>
      <c r="E3735" t="str">
        <f t="shared" si="292"/>
        <v/>
      </c>
      <c r="F3735" t="str">
        <f>IF(D3735="","",INDEX(Knutepunkter!$B:$B,D3735+1))</f>
        <v/>
      </c>
      <c r="G3735" t="str">
        <f>IF(D3735="","",INDEX(Knutepunkter!$C:$C,D3735+1))</f>
        <v/>
      </c>
      <c r="H3735" t="str">
        <f>IF(D3735="","",INDEX(Knutepunkter!$D:$D,D3735+1))</f>
        <v/>
      </c>
      <c r="I3735" t="str">
        <f>IF(E3735="","",INDEX(Knutepunkter!$B:$B,E3735+1))</f>
        <v/>
      </c>
      <c r="J3735" t="str">
        <f>IF(E3735="","",INDEX(Knutepunkter!$C:$C,E3735+1))</f>
        <v/>
      </c>
      <c r="K3735" t="str">
        <f>IF(E3735="","",INDEX(Knutepunkter!$D:$D,E3735+1))</f>
        <v/>
      </c>
      <c r="L3735" t="str">
        <f t="shared" si="293"/>
        <v/>
      </c>
      <c r="M3735" t="str">
        <f t="shared" si="294"/>
        <v/>
      </c>
    </row>
    <row r="3736" spans="1:13" x14ac:dyDescent="0.3">
      <c r="A3736" t="str">
        <f>Segmenter!A3736</f>
        <v/>
      </c>
      <c r="B3736" t="str">
        <f>Segmenter!B3736</f>
        <v/>
      </c>
      <c r="C3736" t="str">
        <f t="shared" si="290"/>
        <v/>
      </c>
      <c r="D3736" t="str">
        <f t="shared" si="291"/>
        <v/>
      </c>
      <c r="E3736" t="str">
        <f t="shared" si="292"/>
        <v/>
      </c>
      <c r="F3736" t="str">
        <f>IF(D3736="","",INDEX(Knutepunkter!$B:$B,D3736+1))</f>
        <v/>
      </c>
      <c r="G3736" t="str">
        <f>IF(D3736="","",INDEX(Knutepunkter!$C:$C,D3736+1))</f>
        <v/>
      </c>
      <c r="H3736" t="str">
        <f>IF(D3736="","",INDEX(Knutepunkter!$D:$D,D3736+1))</f>
        <v/>
      </c>
      <c r="I3736" t="str">
        <f>IF(E3736="","",INDEX(Knutepunkter!$B:$B,E3736+1))</f>
        <v/>
      </c>
      <c r="J3736" t="str">
        <f>IF(E3736="","",INDEX(Knutepunkter!$C:$C,E3736+1))</f>
        <v/>
      </c>
      <c r="K3736" t="str">
        <f>IF(E3736="","",INDEX(Knutepunkter!$D:$D,E3736+1))</f>
        <v/>
      </c>
      <c r="L3736" t="str">
        <f t="shared" si="293"/>
        <v/>
      </c>
      <c r="M3736" t="str">
        <f t="shared" si="294"/>
        <v/>
      </c>
    </row>
    <row r="3737" spans="1:13" x14ac:dyDescent="0.3">
      <c r="A3737" t="str">
        <f>Segmenter!A3737</f>
        <v/>
      </c>
      <c r="B3737" t="str">
        <f>Segmenter!B3737</f>
        <v/>
      </c>
      <c r="C3737" t="str">
        <f t="shared" si="290"/>
        <v/>
      </c>
      <c r="D3737" t="str">
        <f t="shared" si="291"/>
        <v/>
      </c>
      <c r="E3737" t="str">
        <f t="shared" si="292"/>
        <v/>
      </c>
      <c r="F3737" t="str">
        <f>IF(D3737="","",INDEX(Knutepunkter!$B:$B,D3737+1))</f>
        <v/>
      </c>
      <c r="G3737" t="str">
        <f>IF(D3737="","",INDEX(Knutepunkter!$C:$C,D3737+1))</f>
        <v/>
      </c>
      <c r="H3737" t="str">
        <f>IF(D3737="","",INDEX(Knutepunkter!$D:$D,D3737+1))</f>
        <v/>
      </c>
      <c r="I3737" t="str">
        <f>IF(E3737="","",INDEX(Knutepunkter!$B:$B,E3737+1))</f>
        <v/>
      </c>
      <c r="J3737" t="str">
        <f>IF(E3737="","",INDEX(Knutepunkter!$C:$C,E3737+1))</f>
        <v/>
      </c>
      <c r="K3737" t="str">
        <f>IF(E3737="","",INDEX(Knutepunkter!$D:$D,E3737+1))</f>
        <v/>
      </c>
      <c r="L3737" t="str">
        <f t="shared" si="293"/>
        <v/>
      </c>
      <c r="M3737" t="str">
        <f t="shared" si="294"/>
        <v/>
      </c>
    </row>
    <row r="3738" spans="1:13" x14ac:dyDescent="0.3">
      <c r="A3738" t="str">
        <f>Segmenter!A3738</f>
        <v/>
      </c>
      <c r="B3738" t="str">
        <f>Segmenter!B3738</f>
        <v/>
      </c>
      <c r="C3738" t="str">
        <f t="shared" si="290"/>
        <v/>
      </c>
      <c r="D3738" t="str">
        <f t="shared" si="291"/>
        <v/>
      </c>
      <c r="E3738" t="str">
        <f t="shared" si="292"/>
        <v/>
      </c>
      <c r="F3738" t="str">
        <f>IF(D3738="","",INDEX(Knutepunkter!$B:$B,D3738+1))</f>
        <v/>
      </c>
      <c r="G3738" t="str">
        <f>IF(D3738="","",INDEX(Knutepunkter!$C:$C,D3738+1))</f>
        <v/>
      </c>
      <c r="H3738" t="str">
        <f>IF(D3738="","",INDEX(Knutepunkter!$D:$D,D3738+1))</f>
        <v/>
      </c>
      <c r="I3738" t="str">
        <f>IF(E3738="","",INDEX(Knutepunkter!$B:$B,E3738+1))</f>
        <v/>
      </c>
      <c r="J3738" t="str">
        <f>IF(E3738="","",INDEX(Knutepunkter!$C:$C,E3738+1))</f>
        <v/>
      </c>
      <c r="K3738" t="str">
        <f>IF(E3738="","",INDEX(Knutepunkter!$D:$D,E3738+1))</f>
        <v/>
      </c>
      <c r="L3738" t="str">
        <f t="shared" si="293"/>
        <v/>
      </c>
      <c r="M3738" t="str">
        <f t="shared" si="294"/>
        <v/>
      </c>
    </row>
    <row r="3739" spans="1:13" x14ac:dyDescent="0.3">
      <c r="A3739" t="str">
        <f>Segmenter!A3739</f>
        <v/>
      </c>
      <c r="B3739" t="str">
        <f>Segmenter!B3739</f>
        <v/>
      </c>
      <c r="C3739" t="str">
        <f t="shared" si="290"/>
        <v/>
      </c>
      <c r="D3739" t="str">
        <f t="shared" si="291"/>
        <v/>
      </c>
      <c r="E3739" t="str">
        <f t="shared" si="292"/>
        <v/>
      </c>
      <c r="F3739" t="str">
        <f>IF(D3739="","",INDEX(Knutepunkter!$B:$B,D3739+1))</f>
        <v/>
      </c>
      <c r="G3739" t="str">
        <f>IF(D3739="","",INDEX(Knutepunkter!$C:$C,D3739+1))</f>
        <v/>
      </c>
      <c r="H3739" t="str">
        <f>IF(D3739="","",INDEX(Knutepunkter!$D:$D,D3739+1))</f>
        <v/>
      </c>
      <c r="I3739" t="str">
        <f>IF(E3739="","",INDEX(Knutepunkter!$B:$B,E3739+1))</f>
        <v/>
      </c>
      <c r="J3739" t="str">
        <f>IF(E3739="","",INDEX(Knutepunkter!$C:$C,E3739+1))</f>
        <v/>
      </c>
      <c r="K3739" t="str">
        <f>IF(E3739="","",INDEX(Knutepunkter!$D:$D,E3739+1))</f>
        <v/>
      </c>
      <c r="L3739" t="str">
        <f t="shared" si="293"/>
        <v/>
      </c>
      <c r="M3739" t="str">
        <f t="shared" si="294"/>
        <v/>
      </c>
    </row>
    <row r="3740" spans="1:13" x14ac:dyDescent="0.3">
      <c r="A3740" t="str">
        <f>Segmenter!A3740</f>
        <v/>
      </c>
      <c r="B3740" t="str">
        <f>Segmenter!B3740</f>
        <v/>
      </c>
      <c r="C3740" t="str">
        <f t="shared" si="290"/>
        <v/>
      </c>
      <c r="D3740" t="str">
        <f t="shared" si="291"/>
        <v/>
      </c>
      <c r="E3740" t="str">
        <f t="shared" si="292"/>
        <v/>
      </c>
      <c r="F3740" t="str">
        <f>IF(D3740="","",INDEX(Knutepunkter!$B:$B,D3740+1))</f>
        <v/>
      </c>
      <c r="G3740" t="str">
        <f>IF(D3740="","",INDEX(Knutepunkter!$C:$C,D3740+1))</f>
        <v/>
      </c>
      <c r="H3740" t="str">
        <f>IF(D3740="","",INDEX(Knutepunkter!$D:$D,D3740+1))</f>
        <v/>
      </c>
      <c r="I3740" t="str">
        <f>IF(E3740="","",INDEX(Knutepunkter!$B:$B,E3740+1))</f>
        <v/>
      </c>
      <c r="J3740" t="str">
        <f>IF(E3740="","",INDEX(Knutepunkter!$C:$C,E3740+1))</f>
        <v/>
      </c>
      <c r="K3740" t="str">
        <f>IF(E3740="","",INDEX(Knutepunkter!$D:$D,E3740+1))</f>
        <v/>
      </c>
      <c r="L3740" t="str">
        <f t="shared" si="293"/>
        <v/>
      </c>
      <c r="M3740" t="str">
        <f t="shared" si="294"/>
        <v/>
      </c>
    </row>
    <row r="3741" spans="1:13" x14ac:dyDescent="0.3">
      <c r="A3741" t="str">
        <f>Segmenter!A3741</f>
        <v/>
      </c>
      <c r="B3741" t="str">
        <f>Segmenter!B3741</f>
        <v/>
      </c>
      <c r="C3741" t="str">
        <f t="shared" si="290"/>
        <v/>
      </c>
      <c r="D3741" t="str">
        <f t="shared" si="291"/>
        <v/>
      </c>
      <c r="E3741" t="str">
        <f t="shared" si="292"/>
        <v/>
      </c>
      <c r="F3741" t="str">
        <f>IF(D3741="","",INDEX(Knutepunkter!$B:$B,D3741+1))</f>
        <v/>
      </c>
      <c r="G3741" t="str">
        <f>IF(D3741="","",INDEX(Knutepunkter!$C:$C,D3741+1))</f>
        <v/>
      </c>
      <c r="H3741" t="str">
        <f>IF(D3741="","",INDEX(Knutepunkter!$D:$D,D3741+1))</f>
        <v/>
      </c>
      <c r="I3741" t="str">
        <f>IF(E3741="","",INDEX(Knutepunkter!$B:$B,E3741+1))</f>
        <v/>
      </c>
      <c r="J3741" t="str">
        <f>IF(E3741="","",INDEX(Knutepunkter!$C:$C,E3741+1))</f>
        <v/>
      </c>
      <c r="K3741" t="str">
        <f>IF(E3741="","",INDEX(Knutepunkter!$D:$D,E3741+1))</f>
        <v/>
      </c>
      <c r="L3741" t="str">
        <f t="shared" si="293"/>
        <v/>
      </c>
      <c r="M3741" t="str">
        <f t="shared" si="294"/>
        <v/>
      </c>
    </row>
    <row r="3742" spans="1:13" x14ac:dyDescent="0.3">
      <c r="A3742" t="str">
        <f>Segmenter!A3742</f>
        <v/>
      </c>
      <c r="B3742" t="str">
        <f>Segmenter!B3742</f>
        <v/>
      </c>
      <c r="C3742" t="str">
        <f t="shared" si="290"/>
        <v/>
      </c>
      <c r="D3742" t="str">
        <f t="shared" si="291"/>
        <v/>
      </c>
      <c r="E3742" t="str">
        <f t="shared" si="292"/>
        <v/>
      </c>
      <c r="F3742" t="str">
        <f>IF(D3742="","",INDEX(Knutepunkter!$B:$B,D3742+1))</f>
        <v/>
      </c>
      <c r="G3742" t="str">
        <f>IF(D3742="","",INDEX(Knutepunkter!$C:$C,D3742+1))</f>
        <v/>
      </c>
      <c r="H3742" t="str">
        <f>IF(D3742="","",INDEX(Knutepunkter!$D:$D,D3742+1))</f>
        <v/>
      </c>
      <c r="I3742" t="str">
        <f>IF(E3742="","",INDEX(Knutepunkter!$B:$B,E3742+1))</f>
        <v/>
      </c>
      <c r="J3742" t="str">
        <f>IF(E3742="","",INDEX(Knutepunkter!$C:$C,E3742+1))</f>
        <v/>
      </c>
      <c r="K3742" t="str">
        <f>IF(E3742="","",INDEX(Knutepunkter!$D:$D,E3742+1))</f>
        <v/>
      </c>
      <c r="L3742" t="str">
        <f t="shared" si="293"/>
        <v/>
      </c>
      <c r="M3742" t="str">
        <f t="shared" si="294"/>
        <v/>
      </c>
    </row>
    <row r="3743" spans="1:13" x14ac:dyDescent="0.3">
      <c r="A3743" t="str">
        <f>Segmenter!A3743</f>
        <v/>
      </c>
      <c r="B3743" t="str">
        <f>Segmenter!B3743</f>
        <v/>
      </c>
      <c r="C3743" t="str">
        <f t="shared" si="290"/>
        <v/>
      </c>
      <c r="D3743" t="str">
        <f t="shared" si="291"/>
        <v/>
      </c>
      <c r="E3743" t="str">
        <f t="shared" si="292"/>
        <v/>
      </c>
      <c r="F3743" t="str">
        <f>IF(D3743="","",INDEX(Knutepunkter!$B:$B,D3743+1))</f>
        <v/>
      </c>
      <c r="G3743" t="str">
        <f>IF(D3743="","",INDEX(Knutepunkter!$C:$C,D3743+1))</f>
        <v/>
      </c>
      <c r="H3743" t="str">
        <f>IF(D3743="","",INDEX(Knutepunkter!$D:$D,D3743+1))</f>
        <v/>
      </c>
      <c r="I3743" t="str">
        <f>IF(E3743="","",INDEX(Knutepunkter!$B:$B,E3743+1))</f>
        <v/>
      </c>
      <c r="J3743" t="str">
        <f>IF(E3743="","",INDEX(Knutepunkter!$C:$C,E3743+1))</f>
        <v/>
      </c>
      <c r="K3743" t="str">
        <f>IF(E3743="","",INDEX(Knutepunkter!$D:$D,E3743+1))</f>
        <v/>
      </c>
      <c r="L3743" t="str">
        <f t="shared" si="293"/>
        <v/>
      </c>
      <c r="M3743" t="str">
        <f t="shared" si="294"/>
        <v/>
      </c>
    </row>
    <row r="3744" spans="1:13" x14ac:dyDescent="0.3">
      <c r="A3744" t="str">
        <f>Segmenter!A3744</f>
        <v/>
      </c>
      <c r="B3744" t="str">
        <f>Segmenter!B3744</f>
        <v/>
      </c>
      <c r="C3744" t="str">
        <f t="shared" si="290"/>
        <v/>
      </c>
      <c r="D3744" t="str">
        <f t="shared" si="291"/>
        <v/>
      </c>
      <c r="E3744" t="str">
        <f t="shared" si="292"/>
        <v/>
      </c>
      <c r="F3744" t="str">
        <f>IF(D3744="","",INDEX(Knutepunkter!$B:$B,D3744+1))</f>
        <v/>
      </c>
      <c r="G3744" t="str">
        <f>IF(D3744="","",INDEX(Knutepunkter!$C:$C,D3744+1))</f>
        <v/>
      </c>
      <c r="H3744" t="str">
        <f>IF(D3744="","",INDEX(Knutepunkter!$D:$D,D3744+1))</f>
        <v/>
      </c>
      <c r="I3744" t="str">
        <f>IF(E3744="","",INDEX(Knutepunkter!$B:$B,E3744+1))</f>
        <v/>
      </c>
      <c r="J3744" t="str">
        <f>IF(E3744="","",INDEX(Knutepunkter!$C:$C,E3744+1))</f>
        <v/>
      </c>
      <c r="K3744" t="str">
        <f>IF(E3744="","",INDEX(Knutepunkter!$D:$D,E3744+1))</f>
        <v/>
      </c>
      <c r="L3744" t="str">
        <f t="shared" si="293"/>
        <v/>
      </c>
      <c r="M3744" t="str">
        <f t="shared" si="294"/>
        <v/>
      </c>
    </row>
    <row r="3745" spans="1:13" x14ac:dyDescent="0.3">
      <c r="A3745" t="str">
        <f>Segmenter!A3745</f>
        <v/>
      </c>
      <c r="B3745" t="str">
        <f>Segmenter!B3745</f>
        <v/>
      </c>
      <c r="C3745" t="str">
        <f t="shared" si="290"/>
        <v/>
      </c>
      <c r="D3745" t="str">
        <f t="shared" si="291"/>
        <v/>
      </c>
      <c r="E3745" t="str">
        <f t="shared" si="292"/>
        <v/>
      </c>
      <c r="F3745" t="str">
        <f>IF(D3745="","",INDEX(Knutepunkter!$B:$B,D3745+1))</f>
        <v/>
      </c>
      <c r="G3745" t="str">
        <f>IF(D3745="","",INDEX(Knutepunkter!$C:$C,D3745+1))</f>
        <v/>
      </c>
      <c r="H3745" t="str">
        <f>IF(D3745="","",INDEX(Knutepunkter!$D:$D,D3745+1))</f>
        <v/>
      </c>
      <c r="I3745" t="str">
        <f>IF(E3745="","",INDEX(Knutepunkter!$B:$B,E3745+1))</f>
        <v/>
      </c>
      <c r="J3745" t="str">
        <f>IF(E3745="","",INDEX(Knutepunkter!$C:$C,E3745+1))</f>
        <v/>
      </c>
      <c r="K3745" t="str">
        <f>IF(E3745="","",INDEX(Knutepunkter!$D:$D,E3745+1))</f>
        <v/>
      </c>
      <c r="L3745" t="str">
        <f t="shared" si="293"/>
        <v/>
      </c>
      <c r="M3745" t="str">
        <f t="shared" si="294"/>
        <v/>
      </c>
    </row>
    <row r="3746" spans="1:13" x14ac:dyDescent="0.3">
      <c r="A3746" t="str">
        <f>Segmenter!A3746</f>
        <v/>
      </c>
      <c r="B3746" t="str">
        <f>Segmenter!B3746</f>
        <v/>
      </c>
      <c r="C3746" t="str">
        <f t="shared" si="290"/>
        <v/>
      </c>
      <c r="D3746" t="str">
        <f t="shared" si="291"/>
        <v/>
      </c>
      <c r="E3746" t="str">
        <f t="shared" si="292"/>
        <v/>
      </c>
      <c r="F3746" t="str">
        <f>IF(D3746="","",INDEX(Knutepunkter!$B:$B,D3746+1))</f>
        <v/>
      </c>
      <c r="G3746" t="str">
        <f>IF(D3746="","",INDEX(Knutepunkter!$C:$C,D3746+1))</f>
        <v/>
      </c>
      <c r="H3746" t="str">
        <f>IF(D3746="","",INDEX(Knutepunkter!$D:$D,D3746+1))</f>
        <v/>
      </c>
      <c r="I3746" t="str">
        <f>IF(E3746="","",INDEX(Knutepunkter!$B:$B,E3746+1))</f>
        <v/>
      </c>
      <c r="J3746" t="str">
        <f>IF(E3746="","",INDEX(Knutepunkter!$C:$C,E3746+1))</f>
        <v/>
      </c>
      <c r="K3746" t="str">
        <f>IF(E3746="","",INDEX(Knutepunkter!$D:$D,E3746+1))</f>
        <v/>
      </c>
      <c r="L3746" t="str">
        <f t="shared" si="293"/>
        <v/>
      </c>
      <c r="M3746" t="str">
        <f t="shared" si="294"/>
        <v/>
      </c>
    </row>
    <row r="3747" spans="1:13" x14ac:dyDescent="0.3">
      <c r="A3747" t="str">
        <f>Segmenter!A3747</f>
        <v/>
      </c>
      <c r="B3747" t="str">
        <f>Segmenter!B3747</f>
        <v/>
      </c>
      <c r="C3747" t="str">
        <f t="shared" si="290"/>
        <v/>
      </c>
      <c r="D3747" t="str">
        <f t="shared" si="291"/>
        <v/>
      </c>
      <c r="E3747" t="str">
        <f t="shared" si="292"/>
        <v/>
      </c>
      <c r="F3747" t="str">
        <f>IF(D3747="","",INDEX(Knutepunkter!$B:$B,D3747+1))</f>
        <v/>
      </c>
      <c r="G3747" t="str">
        <f>IF(D3747="","",INDEX(Knutepunkter!$C:$C,D3747+1))</f>
        <v/>
      </c>
      <c r="H3747" t="str">
        <f>IF(D3747="","",INDEX(Knutepunkter!$D:$D,D3747+1))</f>
        <v/>
      </c>
      <c r="I3747" t="str">
        <f>IF(E3747="","",INDEX(Knutepunkter!$B:$B,E3747+1))</f>
        <v/>
      </c>
      <c r="J3747" t="str">
        <f>IF(E3747="","",INDEX(Knutepunkter!$C:$C,E3747+1))</f>
        <v/>
      </c>
      <c r="K3747" t="str">
        <f>IF(E3747="","",INDEX(Knutepunkter!$D:$D,E3747+1))</f>
        <v/>
      </c>
      <c r="L3747" t="str">
        <f t="shared" si="293"/>
        <v/>
      </c>
      <c r="M3747" t="str">
        <f t="shared" si="294"/>
        <v/>
      </c>
    </row>
    <row r="3748" spans="1:13" x14ac:dyDescent="0.3">
      <c r="A3748" t="str">
        <f>Segmenter!A3748</f>
        <v/>
      </c>
      <c r="B3748" t="str">
        <f>Segmenter!B3748</f>
        <v/>
      </c>
      <c r="C3748" t="str">
        <f t="shared" si="290"/>
        <v/>
      </c>
      <c r="D3748" t="str">
        <f t="shared" si="291"/>
        <v/>
      </c>
      <c r="E3748" t="str">
        <f t="shared" si="292"/>
        <v/>
      </c>
      <c r="F3748" t="str">
        <f>IF(D3748="","",INDEX(Knutepunkter!$B:$B,D3748+1))</f>
        <v/>
      </c>
      <c r="G3748" t="str">
        <f>IF(D3748="","",INDEX(Knutepunkter!$C:$C,D3748+1))</f>
        <v/>
      </c>
      <c r="H3748" t="str">
        <f>IF(D3748="","",INDEX(Knutepunkter!$D:$D,D3748+1))</f>
        <v/>
      </c>
      <c r="I3748" t="str">
        <f>IF(E3748="","",INDEX(Knutepunkter!$B:$B,E3748+1))</f>
        <v/>
      </c>
      <c r="J3748" t="str">
        <f>IF(E3748="","",INDEX(Knutepunkter!$C:$C,E3748+1))</f>
        <v/>
      </c>
      <c r="K3748" t="str">
        <f>IF(E3748="","",INDEX(Knutepunkter!$D:$D,E3748+1))</f>
        <v/>
      </c>
      <c r="L3748" t="str">
        <f t="shared" si="293"/>
        <v/>
      </c>
      <c r="M3748" t="str">
        <f t="shared" si="294"/>
        <v/>
      </c>
    </row>
    <row r="3749" spans="1:13" x14ac:dyDescent="0.3">
      <c r="A3749" t="str">
        <f>Segmenter!A3749</f>
        <v/>
      </c>
      <c r="B3749" t="str">
        <f>Segmenter!B3749</f>
        <v/>
      </c>
      <c r="C3749" t="str">
        <f t="shared" si="290"/>
        <v/>
      </c>
      <c r="D3749" t="str">
        <f t="shared" si="291"/>
        <v/>
      </c>
      <c r="E3749" t="str">
        <f t="shared" si="292"/>
        <v/>
      </c>
      <c r="F3749" t="str">
        <f>IF(D3749="","",INDEX(Knutepunkter!$B:$B,D3749+1))</f>
        <v/>
      </c>
      <c r="G3749" t="str">
        <f>IF(D3749="","",INDEX(Knutepunkter!$C:$C,D3749+1))</f>
        <v/>
      </c>
      <c r="H3749" t="str">
        <f>IF(D3749="","",INDEX(Knutepunkter!$D:$D,D3749+1))</f>
        <v/>
      </c>
      <c r="I3749" t="str">
        <f>IF(E3749="","",INDEX(Knutepunkter!$B:$B,E3749+1))</f>
        <v/>
      </c>
      <c r="J3749" t="str">
        <f>IF(E3749="","",INDEX(Knutepunkter!$C:$C,E3749+1))</f>
        <v/>
      </c>
      <c r="K3749" t="str">
        <f>IF(E3749="","",INDEX(Knutepunkter!$D:$D,E3749+1))</f>
        <v/>
      </c>
      <c r="L3749" t="str">
        <f t="shared" si="293"/>
        <v/>
      </c>
      <c r="M3749" t="str">
        <f t="shared" si="294"/>
        <v/>
      </c>
    </row>
    <row r="3750" spans="1:13" x14ac:dyDescent="0.3">
      <c r="A3750" t="str">
        <f>Segmenter!A3750</f>
        <v/>
      </c>
      <c r="B3750" t="str">
        <f>Segmenter!B3750</f>
        <v/>
      </c>
      <c r="C3750" t="str">
        <f t="shared" si="290"/>
        <v/>
      </c>
      <c r="D3750" t="str">
        <f t="shared" si="291"/>
        <v/>
      </c>
      <c r="E3750" t="str">
        <f t="shared" si="292"/>
        <v/>
      </c>
      <c r="F3750" t="str">
        <f>IF(D3750="","",INDEX(Knutepunkter!$B:$B,D3750+1))</f>
        <v/>
      </c>
      <c r="G3750" t="str">
        <f>IF(D3750="","",INDEX(Knutepunkter!$C:$C,D3750+1))</f>
        <v/>
      </c>
      <c r="H3750" t="str">
        <f>IF(D3750="","",INDEX(Knutepunkter!$D:$D,D3750+1))</f>
        <v/>
      </c>
      <c r="I3750" t="str">
        <f>IF(E3750="","",INDEX(Knutepunkter!$B:$B,E3750+1))</f>
        <v/>
      </c>
      <c r="J3750" t="str">
        <f>IF(E3750="","",INDEX(Knutepunkter!$C:$C,E3750+1))</f>
        <v/>
      </c>
      <c r="K3750" t="str">
        <f>IF(E3750="","",INDEX(Knutepunkter!$D:$D,E3750+1))</f>
        <v/>
      </c>
      <c r="L3750" t="str">
        <f t="shared" si="293"/>
        <v/>
      </c>
      <c r="M3750" t="str">
        <f t="shared" si="294"/>
        <v/>
      </c>
    </row>
    <row r="3751" spans="1:13" x14ac:dyDescent="0.3">
      <c r="A3751" t="str">
        <f>Segmenter!A3751</f>
        <v/>
      </c>
      <c r="B3751" t="str">
        <f>Segmenter!B3751</f>
        <v/>
      </c>
      <c r="C3751" t="str">
        <f t="shared" si="290"/>
        <v/>
      </c>
      <c r="D3751" t="str">
        <f t="shared" si="291"/>
        <v/>
      </c>
      <c r="E3751" t="str">
        <f t="shared" si="292"/>
        <v/>
      </c>
      <c r="F3751" t="str">
        <f>IF(D3751="","",INDEX(Knutepunkter!$B:$B,D3751+1))</f>
        <v/>
      </c>
      <c r="G3751" t="str">
        <f>IF(D3751="","",INDEX(Knutepunkter!$C:$C,D3751+1))</f>
        <v/>
      </c>
      <c r="H3751" t="str">
        <f>IF(D3751="","",INDEX(Knutepunkter!$D:$D,D3751+1))</f>
        <v/>
      </c>
      <c r="I3751" t="str">
        <f>IF(E3751="","",INDEX(Knutepunkter!$B:$B,E3751+1))</f>
        <v/>
      </c>
      <c r="J3751" t="str">
        <f>IF(E3751="","",INDEX(Knutepunkter!$C:$C,E3751+1))</f>
        <v/>
      </c>
      <c r="K3751" t="str">
        <f>IF(E3751="","",INDEX(Knutepunkter!$D:$D,E3751+1))</f>
        <v/>
      </c>
      <c r="L3751" t="str">
        <f t="shared" si="293"/>
        <v/>
      </c>
      <c r="M3751" t="str">
        <f t="shared" si="294"/>
        <v/>
      </c>
    </row>
    <row r="3752" spans="1:13" x14ac:dyDescent="0.3">
      <c r="A3752" t="str">
        <f>Segmenter!A3752</f>
        <v/>
      </c>
      <c r="B3752" t="str">
        <f>Segmenter!B3752</f>
        <v/>
      </c>
      <c r="C3752" t="str">
        <f t="shared" si="290"/>
        <v/>
      </c>
      <c r="D3752" t="str">
        <f t="shared" si="291"/>
        <v/>
      </c>
      <c r="E3752" t="str">
        <f t="shared" si="292"/>
        <v/>
      </c>
      <c r="F3752" t="str">
        <f>IF(D3752="","",INDEX(Knutepunkter!$B:$B,D3752+1))</f>
        <v/>
      </c>
      <c r="G3752" t="str">
        <f>IF(D3752="","",INDEX(Knutepunkter!$C:$C,D3752+1))</f>
        <v/>
      </c>
      <c r="H3752" t="str">
        <f>IF(D3752="","",INDEX(Knutepunkter!$D:$D,D3752+1))</f>
        <v/>
      </c>
      <c r="I3752" t="str">
        <f>IF(E3752="","",INDEX(Knutepunkter!$B:$B,E3752+1))</f>
        <v/>
      </c>
      <c r="J3752" t="str">
        <f>IF(E3752="","",INDEX(Knutepunkter!$C:$C,E3752+1))</f>
        <v/>
      </c>
      <c r="K3752" t="str">
        <f>IF(E3752="","",INDEX(Knutepunkter!$D:$D,E3752+1))</f>
        <v/>
      </c>
      <c r="L3752" t="str">
        <f t="shared" si="293"/>
        <v/>
      </c>
      <c r="M3752" t="str">
        <f t="shared" si="294"/>
        <v/>
      </c>
    </row>
    <row r="3753" spans="1:13" x14ac:dyDescent="0.3">
      <c r="A3753" t="str">
        <f>Segmenter!A3753</f>
        <v/>
      </c>
      <c r="B3753" t="str">
        <f>Segmenter!B3753</f>
        <v/>
      </c>
      <c r="C3753" t="str">
        <f t="shared" si="290"/>
        <v/>
      </c>
      <c r="D3753" t="str">
        <f t="shared" si="291"/>
        <v/>
      </c>
      <c r="E3753" t="str">
        <f t="shared" si="292"/>
        <v/>
      </c>
      <c r="F3753" t="str">
        <f>IF(D3753="","",INDEX(Knutepunkter!$B:$B,D3753+1))</f>
        <v/>
      </c>
      <c r="G3753" t="str">
        <f>IF(D3753="","",INDEX(Knutepunkter!$C:$C,D3753+1))</f>
        <v/>
      </c>
      <c r="H3753" t="str">
        <f>IF(D3753="","",INDEX(Knutepunkter!$D:$D,D3753+1))</f>
        <v/>
      </c>
      <c r="I3753" t="str">
        <f>IF(E3753="","",INDEX(Knutepunkter!$B:$B,E3753+1))</f>
        <v/>
      </c>
      <c r="J3753" t="str">
        <f>IF(E3753="","",INDEX(Knutepunkter!$C:$C,E3753+1))</f>
        <v/>
      </c>
      <c r="K3753" t="str">
        <f>IF(E3753="","",INDEX(Knutepunkter!$D:$D,E3753+1))</f>
        <v/>
      </c>
      <c r="L3753" t="str">
        <f t="shared" si="293"/>
        <v/>
      </c>
      <c r="M3753" t="str">
        <f t="shared" si="294"/>
        <v/>
      </c>
    </row>
    <row r="3754" spans="1:13" x14ac:dyDescent="0.3">
      <c r="A3754" t="str">
        <f>Segmenter!A3754</f>
        <v/>
      </c>
      <c r="B3754" t="str">
        <f>Segmenter!B3754</f>
        <v/>
      </c>
      <c r="C3754" t="str">
        <f t="shared" si="290"/>
        <v/>
      </c>
      <c r="D3754" t="str">
        <f t="shared" si="291"/>
        <v/>
      </c>
      <c r="E3754" t="str">
        <f t="shared" si="292"/>
        <v/>
      </c>
      <c r="F3754" t="str">
        <f>IF(D3754="","",INDEX(Knutepunkter!$B:$B,D3754+1))</f>
        <v/>
      </c>
      <c r="G3754" t="str">
        <f>IF(D3754="","",INDEX(Knutepunkter!$C:$C,D3754+1))</f>
        <v/>
      </c>
      <c r="H3754" t="str">
        <f>IF(D3754="","",INDEX(Knutepunkter!$D:$D,D3754+1))</f>
        <v/>
      </c>
      <c r="I3754" t="str">
        <f>IF(E3754="","",INDEX(Knutepunkter!$B:$B,E3754+1))</f>
        <v/>
      </c>
      <c r="J3754" t="str">
        <f>IF(E3754="","",INDEX(Knutepunkter!$C:$C,E3754+1))</f>
        <v/>
      </c>
      <c r="K3754" t="str">
        <f>IF(E3754="","",INDEX(Knutepunkter!$D:$D,E3754+1))</f>
        <v/>
      </c>
      <c r="L3754" t="str">
        <f t="shared" si="293"/>
        <v/>
      </c>
      <c r="M3754" t="str">
        <f t="shared" si="294"/>
        <v/>
      </c>
    </row>
    <row r="3755" spans="1:13" x14ac:dyDescent="0.3">
      <c r="A3755" t="str">
        <f>Segmenter!A3755</f>
        <v/>
      </c>
      <c r="B3755" t="str">
        <f>Segmenter!B3755</f>
        <v/>
      </c>
      <c r="C3755" t="str">
        <f t="shared" si="290"/>
        <v/>
      </c>
      <c r="D3755" t="str">
        <f t="shared" si="291"/>
        <v/>
      </c>
      <c r="E3755" t="str">
        <f t="shared" si="292"/>
        <v/>
      </c>
      <c r="F3755" t="str">
        <f>IF(D3755="","",INDEX(Knutepunkter!$B:$B,D3755+1))</f>
        <v/>
      </c>
      <c r="G3755" t="str">
        <f>IF(D3755="","",INDEX(Knutepunkter!$C:$C,D3755+1))</f>
        <v/>
      </c>
      <c r="H3755" t="str">
        <f>IF(D3755="","",INDEX(Knutepunkter!$D:$D,D3755+1))</f>
        <v/>
      </c>
      <c r="I3755" t="str">
        <f>IF(E3755="","",INDEX(Knutepunkter!$B:$B,E3755+1))</f>
        <v/>
      </c>
      <c r="J3755" t="str">
        <f>IF(E3755="","",INDEX(Knutepunkter!$C:$C,E3755+1))</f>
        <v/>
      </c>
      <c r="K3755" t="str">
        <f>IF(E3755="","",INDEX(Knutepunkter!$D:$D,E3755+1))</f>
        <v/>
      </c>
      <c r="L3755" t="str">
        <f t="shared" si="293"/>
        <v/>
      </c>
      <c r="M3755" t="str">
        <f t="shared" si="294"/>
        <v/>
      </c>
    </row>
    <row r="3756" spans="1:13" x14ac:dyDescent="0.3">
      <c r="A3756" t="str">
        <f>Segmenter!A3756</f>
        <v/>
      </c>
      <c r="B3756" t="str">
        <f>Segmenter!B3756</f>
        <v/>
      </c>
      <c r="C3756" t="str">
        <f t="shared" si="290"/>
        <v/>
      </c>
      <c r="D3756" t="str">
        <f t="shared" si="291"/>
        <v/>
      </c>
      <c r="E3756" t="str">
        <f t="shared" si="292"/>
        <v/>
      </c>
      <c r="F3756" t="str">
        <f>IF(D3756="","",INDEX(Knutepunkter!$B:$B,D3756+1))</f>
        <v/>
      </c>
      <c r="G3756" t="str">
        <f>IF(D3756="","",INDEX(Knutepunkter!$C:$C,D3756+1))</f>
        <v/>
      </c>
      <c r="H3756" t="str">
        <f>IF(D3756="","",INDEX(Knutepunkter!$D:$D,D3756+1))</f>
        <v/>
      </c>
      <c r="I3756" t="str">
        <f>IF(E3756="","",INDEX(Knutepunkter!$B:$B,E3756+1))</f>
        <v/>
      </c>
      <c r="J3756" t="str">
        <f>IF(E3756="","",INDEX(Knutepunkter!$C:$C,E3756+1))</f>
        <v/>
      </c>
      <c r="K3756" t="str">
        <f>IF(E3756="","",INDEX(Knutepunkter!$D:$D,E3756+1))</f>
        <v/>
      </c>
      <c r="L3756" t="str">
        <f t="shared" si="293"/>
        <v/>
      </c>
      <c r="M3756" t="str">
        <f t="shared" si="294"/>
        <v/>
      </c>
    </row>
    <row r="3757" spans="1:13" x14ac:dyDescent="0.3">
      <c r="A3757" t="str">
        <f>Segmenter!A3757</f>
        <v/>
      </c>
      <c r="B3757" t="str">
        <f>Segmenter!B3757</f>
        <v/>
      </c>
      <c r="C3757" t="str">
        <f t="shared" si="290"/>
        <v/>
      </c>
      <c r="D3757" t="str">
        <f t="shared" si="291"/>
        <v/>
      </c>
      <c r="E3757" t="str">
        <f t="shared" si="292"/>
        <v/>
      </c>
      <c r="F3757" t="str">
        <f>IF(D3757="","",INDEX(Knutepunkter!$B:$B,D3757+1))</f>
        <v/>
      </c>
      <c r="G3757" t="str">
        <f>IF(D3757="","",INDEX(Knutepunkter!$C:$C,D3757+1))</f>
        <v/>
      </c>
      <c r="H3757" t="str">
        <f>IF(D3757="","",INDEX(Knutepunkter!$D:$D,D3757+1))</f>
        <v/>
      </c>
      <c r="I3757" t="str">
        <f>IF(E3757="","",INDEX(Knutepunkter!$B:$B,E3757+1))</f>
        <v/>
      </c>
      <c r="J3757" t="str">
        <f>IF(E3757="","",INDEX(Knutepunkter!$C:$C,E3757+1))</f>
        <v/>
      </c>
      <c r="K3757" t="str">
        <f>IF(E3757="","",INDEX(Knutepunkter!$D:$D,E3757+1))</f>
        <v/>
      </c>
      <c r="L3757" t="str">
        <f t="shared" si="293"/>
        <v/>
      </c>
      <c r="M3757" t="str">
        <f t="shared" si="294"/>
        <v/>
      </c>
    </row>
    <row r="3758" spans="1:13" x14ac:dyDescent="0.3">
      <c r="A3758" t="str">
        <f>Segmenter!A3758</f>
        <v/>
      </c>
      <c r="B3758" t="str">
        <f>Segmenter!B3758</f>
        <v/>
      </c>
      <c r="C3758" t="str">
        <f t="shared" si="290"/>
        <v/>
      </c>
      <c r="D3758" t="str">
        <f t="shared" si="291"/>
        <v/>
      </c>
      <c r="E3758" t="str">
        <f t="shared" si="292"/>
        <v/>
      </c>
      <c r="F3758" t="str">
        <f>IF(D3758="","",INDEX(Knutepunkter!$B:$B,D3758+1))</f>
        <v/>
      </c>
      <c r="G3758" t="str">
        <f>IF(D3758="","",INDEX(Knutepunkter!$C:$C,D3758+1))</f>
        <v/>
      </c>
      <c r="H3758" t="str">
        <f>IF(D3758="","",INDEX(Knutepunkter!$D:$D,D3758+1))</f>
        <v/>
      </c>
      <c r="I3758" t="str">
        <f>IF(E3758="","",INDEX(Knutepunkter!$B:$B,E3758+1))</f>
        <v/>
      </c>
      <c r="J3758" t="str">
        <f>IF(E3758="","",INDEX(Knutepunkter!$C:$C,E3758+1))</f>
        <v/>
      </c>
      <c r="K3758" t="str">
        <f>IF(E3758="","",INDEX(Knutepunkter!$D:$D,E3758+1))</f>
        <v/>
      </c>
      <c r="L3758" t="str">
        <f t="shared" si="293"/>
        <v/>
      </c>
      <c r="M3758" t="str">
        <f t="shared" si="294"/>
        <v/>
      </c>
    </row>
    <row r="3759" spans="1:13" x14ac:dyDescent="0.3">
      <c r="A3759" t="str">
        <f>Segmenter!A3759</f>
        <v/>
      </c>
      <c r="B3759" t="str">
        <f>Segmenter!B3759</f>
        <v/>
      </c>
      <c r="C3759" t="str">
        <f t="shared" si="290"/>
        <v/>
      </c>
      <c r="D3759" t="str">
        <f t="shared" si="291"/>
        <v/>
      </c>
      <c r="E3759" t="str">
        <f t="shared" si="292"/>
        <v/>
      </c>
      <c r="F3759" t="str">
        <f>IF(D3759="","",INDEX(Knutepunkter!$B:$B,D3759+1))</f>
        <v/>
      </c>
      <c r="G3759" t="str">
        <f>IF(D3759="","",INDEX(Knutepunkter!$C:$C,D3759+1))</f>
        <v/>
      </c>
      <c r="H3759" t="str">
        <f>IF(D3759="","",INDEX(Knutepunkter!$D:$D,D3759+1))</f>
        <v/>
      </c>
      <c r="I3759" t="str">
        <f>IF(E3759="","",INDEX(Knutepunkter!$B:$B,E3759+1))</f>
        <v/>
      </c>
      <c r="J3759" t="str">
        <f>IF(E3759="","",INDEX(Knutepunkter!$C:$C,E3759+1))</f>
        <v/>
      </c>
      <c r="K3759" t="str">
        <f>IF(E3759="","",INDEX(Knutepunkter!$D:$D,E3759+1))</f>
        <v/>
      </c>
      <c r="L3759" t="str">
        <f t="shared" si="293"/>
        <v/>
      </c>
      <c r="M3759" t="str">
        <f t="shared" si="294"/>
        <v/>
      </c>
    </row>
    <row r="3760" spans="1:13" x14ac:dyDescent="0.3">
      <c r="A3760" t="str">
        <f>Segmenter!A3760</f>
        <v/>
      </c>
      <c r="B3760" t="str">
        <f>Segmenter!B3760</f>
        <v/>
      </c>
      <c r="C3760" t="str">
        <f t="shared" si="290"/>
        <v/>
      </c>
      <c r="D3760" t="str">
        <f t="shared" si="291"/>
        <v/>
      </c>
      <c r="E3760" t="str">
        <f t="shared" si="292"/>
        <v/>
      </c>
      <c r="F3760" t="str">
        <f>IF(D3760="","",INDEX(Knutepunkter!$B:$B,D3760+1))</f>
        <v/>
      </c>
      <c r="G3760" t="str">
        <f>IF(D3760="","",INDEX(Knutepunkter!$C:$C,D3760+1))</f>
        <v/>
      </c>
      <c r="H3760" t="str">
        <f>IF(D3760="","",INDEX(Knutepunkter!$D:$D,D3760+1))</f>
        <v/>
      </c>
      <c r="I3760" t="str">
        <f>IF(E3760="","",INDEX(Knutepunkter!$B:$B,E3760+1))</f>
        <v/>
      </c>
      <c r="J3760" t="str">
        <f>IF(E3760="","",INDEX(Knutepunkter!$C:$C,E3760+1))</f>
        <v/>
      </c>
      <c r="K3760" t="str">
        <f>IF(E3760="","",INDEX(Knutepunkter!$D:$D,E3760+1))</f>
        <v/>
      </c>
      <c r="L3760" t="str">
        <f t="shared" si="293"/>
        <v/>
      </c>
      <c r="M3760" t="str">
        <f t="shared" si="294"/>
        <v/>
      </c>
    </row>
    <row r="3761" spans="1:13" x14ac:dyDescent="0.3">
      <c r="A3761" t="str">
        <f>Segmenter!A3761</f>
        <v/>
      </c>
      <c r="B3761" t="str">
        <f>Segmenter!B3761</f>
        <v/>
      </c>
      <c r="C3761" t="str">
        <f t="shared" si="290"/>
        <v/>
      </c>
      <c r="D3761" t="str">
        <f t="shared" si="291"/>
        <v/>
      </c>
      <c r="E3761" t="str">
        <f t="shared" si="292"/>
        <v/>
      </c>
      <c r="F3761" t="str">
        <f>IF(D3761="","",INDEX(Knutepunkter!$B:$B,D3761+1))</f>
        <v/>
      </c>
      <c r="G3761" t="str">
        <f>IF(D3761="","",INDEX(Knutepunkter!$C:$C,D3761+1))</f>
        <v/>
      </c>
      <c r="H3761" t="str">
        <f>IF(D3761="","",INDEX(Knutepunkter!$D:$D,D3761+1))</f>
        <v/>
      </c>
      <c r="I3761" t="str">
        <f>IF(E3761="","",INDEX(Knutepunkter!$B:$B,E3761+1))</f>
        <v/>
      </c>
      <c r="J3761" t="str">
        <f>IF(E3761="","",INDEX(Knutepunkter!$C:$C,E3761+1))</f>
        <v/>
      </c>
      <c r="K3761" t="str">
        <f>IF(E3761="","",INDEX(Knutepunkter!$D:$D,E3761+1))</f>
        <v/>
      </c>
      <c r="L3761" t="str">
        <f t="shared" si="293"/>
        <v/>
      </c>
      <c r="M3761" t="str">
        <f t="shared" si="294"/>
        <v/>
      </c>
    </row>
    <row r="3762" spans="1:13" x14ac:dyDescent="0.3">
      <c r="A3762" t="str">
        <f>Segmenter!A3762</f>
        <v/>
      </c>
      <c r="B3762" t="str">
        <f>Segmenter!B3762</f>
        <v/>
      </c>
      <c r="C3762" t="str">
        <f t="shared" si="290"/>
        <v/>
      </c>
      <c r="D3762" t="str">
        <f t="shared" si="291"/>
        <v/>
      </c>
      <c r="E3762" t="str">
        <f t="shared" si="292"/>
        <v/>
      </c>
      <c r="F3762" t="str">
        <f>IF(D3762="","",INDEX(Knutepunkter!$B:$B,D3762+1))</f>
        <v/>
      </c>
      <c r="G3762" t="str">
        <f>IF(D3762="","",INDEX(Knutepunkter!$C:$C,D3762+1))</f>
        <v/>
      </c>
      <c r="H3762" t="str">
        <f>IF(D3762="","",INDEX(Knutepunkter!$D:$D,D3762+1))</f>
        <v/>
      </c>
      <c r="I3762" t="str">
        <f>IF(E3762="","",INDEX(Knutepunkter!$B:$B,E3762+1))</f>
        <v/>
      </c>
      <c r="J3762" t="str">
        <f>IF(E3762="","",INDEX(Knutepunkter!$C:$C,E3762+1))</f>
        <v/>
      </c>
      <c r="K3762" t="str">
        <f>IF(E3762="","",INDEX(Knutepunkter!$D:$D,E3762+1))</f>
        <v/>
      </c>
      <c r="L3762" t="str">
        <f t="shared" si="293"/>
        <v/>
      </c>
      <c r="M3762" t="str">
        <f t="shared" si="294"/>
        <v/>
      </c>
    </row>
    <row r="3763" spans="1:13" x14ac:dyDescent="0.3">
      <c r="A3763" t="str">
        <f>Segmenter!A3763</f>
        <v/>
      </c>
      <c r="B3763" t="str">
        <f>Segmenter!B3763</f>
        <v/>
      </c>
      <c r="C3763" t="str">
        <f t="shared" si="290"/>
        <v/>
      </c>
      <c r="D3763" t="str">
        <f t="shared" si="291"/>
        <v/>
      </c>
      <c r="E3763" t="str">
        <f t="shared" si="292"/>
        <v/>
      </c>
      <c r="F3763" t="str">
        <f>IF(D3763="","",INDEX(Knutepunkter!$B:$B,D3763+1))</f>
        <v/>
      </c>
      <c r="G3763" t="str">
        <f>IF(D3763="","",INDEX(Knutepunkter!$C:$C,D3763+1))</f>
        <v/>
      </c>
      <c r="H3763" t="str">
        <f>IF(D3763="","",INDEX(Knutepunkter!$D:$D,D3763+1))</f>
        <v/>
      </c>
      <c r="I3763" t="str">
        <f>IF(E3763="","",INDEX(Knutepunkter!$B:$B,E3763+1))</f>
        <v/>
      </c>
      <c r="J3763" t="str">
        <f>IF(E3763="","",INDEX(Knutepunkter!$C:$C,E3763+1))</f>
        <v/>
      </c>
      <c r="K3763" t="str">
        <f>IF(E3763="","",INDEX(Knutepunkter!$D:$D,E3763+1))</f>
        <v/>
      </c>
      <c r="L3763" t="str">
        <f t="shared" si="293"/>
        <v/>
      </c>
      <c r="M3763" t="str">
        <f t="shared" si="294"/>
        <v/>
      </c>
    </row>
    <row r="3764" spans="1:13" x14ac:dyDescent="0.3">
      <c r="A3764" t="str">
        <f>Segmenter!A3764</f>
        <v/>
      </c>
      <c r="B3764" t="str">
        <f>Segmenter!B3764</f>
        <v/>
      </c>
      <c r="C3764" t="str">
        <f t="shared" si="290"/>
        <v/>
      </c>
      <c r="D3764" t="str">
        <f t="shared" si="291"/>
        <v/>
      </c>
      <c r="E3764" t="str">
        <f t="shared" si="292"/>
        <v/>
      </c>
      <c r="F3764" t="str">
        <f>IF(D3764="","",INDEX(Knutepunkter!$B:$B,D3764+1))</f>
        <v/>
      </c>
      <c r="G3764" t="str">
        <f>IF(D3764="","",INDEX(Knutepunkter!$C:$C,D3764+1))</f>
        <v/>
      </c>
      <c r="H3764" t="str">
        <f>IF(D3764="","",INDEX(Knutepunkter!$D:$D,D3764+1))</f>
        <v/>
      </c>
      <c r="I3764" t="str">
        <f>IF(E3764="","",INDEX(Knutepunkter!$B:$B,E3764+1))</f>
        <v/>
      </c>
      <c r="J3764" t="str">
        <f>IF(E3764="","",INDEX(Knutepunkter!$C:$C,E3764+1))</f>
        <v/>
      </c>
      <c r="K3764" t="str">
        <f>IF(E3764="","",INDEX(Knutepunkter!$D:$D,E3764+1))</f>
        <v/>
      </c>
      <c r="L3764" t="str">
        <f t="shared" si="293"/>
        <v/>
      </c>
      <c r="M3764" t="str">
        <f t="shared" si="294"/>
        <v/>
      </c>
    </row>
    <row r="3765" spans="1:13" x14ac:dyDescent="0.3">
      <c r="A3765" t="str">
        <f>Segmenter!A3765</f>
        <v/>
      </c>
      <c r="B3765" t="str">
        <f>Segmenter!B3765</f>
        <v/>
      </c>
      <c r="C3765" t="str">
        <f t="shared" si="290"/>
        <v/>
      </c>
      <c r="D3765" t="str">
        <f t="shared" si="291"/>
        <v/>
      </c>
      <c r="E3765" t="str">
        <f t="shared" si="292"/>
        <v/>
      </c>
      <c r="F3765" t="str">
        <f>IF(D3765="","",INDEX(Knutepunkter!$B:$B,D3765+1))</f>
        <v/>
      </c>
      <c r="G3765" t="str">
        <f>IF(D3765="","",INDEX(Knutepunkter!$C:$C,D3765+1))</f>
        <v/>
      </c>
      <c r="H3765" t="str">
        <f>IF(D3765="","",INDEX(Knutepunkter!$D:$D,D3765+1))</f>
        <v/>
      </c>
      <c r="I3765" t="str">
        <f>IF(E3765="","",INDEX(Knutepunkter!$B:$B,E3765+1))</f>
        <v/>
      </c>
      <c r="J3765" t="str">
        <f>IF(E3765="","",INDEX(Knutepunkter!$C:$C,E3765+1))</f>
        <v/>
      </c>
      <c r="K3765" t="str">
        <f>IF(E3765="","",INDEX(Knutepunkter!$D:$D,E3765+1))</f>
        <v/>
      </c>
      <c r="L3765" t="str">
        <f t="shared" si="293"/>
        <v/>
      </c>
      <c r="M3765" t="str">
        <f t="shared" si="294"/>
        <v/>
      </c>
    </row>
    <row r="3766" spans="1:13" x14ac:dyDescent="0.3">
      <c r="A3766" t="str">
        <f>Segmenter!A3766</f>
        <v/>
      </c>
      <c r="B3766" t="str">
        <f>Segmenter!B3766</f>
        <v/>
      </c>
      <c r="C3766" t="str">
        <f t="shared" si="290"/>
        <v/>
      </c>
      <c r="D3766" t="str">
        <f t="shared" si="291"/>
        <v/>
      </c>
      <c r="E3766" t="str">
        <f t="shared" si="292"/>
        <v/>
      </c>
      <c r="F3766" t="str">
        <f>IF(D3766="","",INDEX(Knutepunkter!$B:$B,D3766+1))</f>
        <v/>
      </c>
      <c r="G3766" t="str">
        <f>IF(D3766="","",INDEX(Knutepunkter!$C:$C,D3766+1))</f>
        <v/>
      </c>
      <c r="H3766" t="str">
        <f>IF(D3766="","",INDEX(Knutepunkter!$D:$D,D3766+1))</f>
        <v/>
      </c>
      <c r="I3766" t="str">
        <f>IF(E3766="","",INDEX(Knutepunkter!$B:$B,E3766+1))</f>
        <v/>
      </c>
      <c r="J3766" t="str">
        <f>IF(E3766="","",INDEX(Knutepunkter!$C:$C,E3766+1))</f>
        <v/>
      </c>
      <c r="K3766" t="str">
        <f>IF(E3766="","",INDEX(Knutepunkter!$D:$D,E3766+1))</f>
        <v/>
      </c>
      <c r="L3766" t="str">
        <f t="shared" si="293"/>
        <v/>
      </c>
      <c r="M3766" t="str">
        <f t="shared" si="294"/>
        <v/>
      </c>
    </row>
    <row r="3767" spans="1:13" x14ac:dyDescent="0.3">
      <c r="A3767" t="str">
        <f>Segmenter!A3767</f>
        <v/>
      </c>
      <c r="B3767" t="str">
        <f>Segmenter!B3767</f>
        <v/>
      </c>
      <c r="C3767" t="str">
        <f t="shared" si="290"/>
        <v/>
      </c>
      <c r="D3767" t="str">
        <f t="shared" si="291"/>
        <v/>
      </c>
      <c r="E3767" t="str">
        <f t="shared" si="292"/>
        <v/>
      </c>
      <c r="F3767" t="str">
        <f>IF(D3767="","",INDEX(Knutepunkter!$B:$B,D3767+1))</f>
        <v/>
      </c>
      <c r="G3767" t="str">
        <f>IF(D3767="","",INDEX(Knutepunkter!$C:$C,D3767+1))</f>
        <v/>
      </c>
      <c r="H3767" t="str">
        <f>IF(D3767="","",INDEX(Knutepunkter!$D:$D,D3767+1))</f>
        <v/>
      </c>
      <c r="I3767" t="str">
        <f>IF(E3767="","",INDEX(Knutepunkter!$B:$B,E3767+1))</f>
        <v/>
      </c>
      <c r="J3767" t="str">
        <f>IF(E3767="","",INDEX(Knutepunkter!$C:$C,E3767+1))</f>
        <v/>
      </c>
      <c r="K3767" t="str">
        <f>IF(E3767="","",INDEX(Knutepunkter!$D:$D,E3767+1))</f>
        <v/>
      </c>
      <c r="L3767" t="str">
        <f t="shared" si="293"/>
        <v/>
      </c>
      <c r="M3767" t="str">
        <f t="shared" si="294"/>
        <v/>
      </c>
    </row>
    <row r="3768" spans="1:13" x14ac:dyDescent="0.3">
      <c r="A3768" t="str">
        <f>Segmenter!A3768</f>
        <v/>
      </c>
      <c r="B3768" t="str">
        <f>Segmenter!B3768</f>
        <v/>
      </c>
      <c r="C3768" t="str">
        <f t="shared" si="290"/>
        <v/>
      </c>
      <c r="D3768" t="str">
        <f t="shared" si="291"/>
        <v/>
      </c>
      <c r="E3768" t="str">
        <f t="shared" si="292"/>
        <v/>
      </c>
      <c r="F3768" t="str">
        <f>IF(D3768="","",INDEX(Knutepunkter!$B:$B,D3768+1))</f>
        <v/>
      </c>
      <c r="G3768" t="str">
        <f>IF(D3768="","",INDEX(Knutepunkter!$C:$C,D3768+1))</f>
        <v/>
      </c>
      <c r="H3768" t="str">
        <f>IF(D3768="","",INDEX(Knutepunkter!$D:$D,D3768+1))</f>
        <v/>
      </c>
      <c r="I3768" t="str">
        <f>IF(E3768="","",INDEX(Knutepunkter!$B:$B,E3768+1))</f>
        <v/>
      </c>
      <c r="J3768" t="str">
        <f>IF(E3768="","",INDEX(Knutepunkter!$C:$C,E3768+1))</f>
        <v/>
      </c>
      <c r="K3768" t="str">
        <f>IF(E3768="","",INDEX(Knutepunkter!$D:$D,E3768+1))</f>
        <v/>
      </c>
      <c r="L3768" t="str">
        <f t="shared" si="293"/>
        <v/>
      </c>
      <c r="M3768" t="str">
        <f t="shared" si="294"/>
        <v/>
      </c>
    </row>
    <row r="3769" spans="1:13" x14ac:dyDescent="0.3">
      <c r="A3769" t="str">
        <f>Segmenter!A3769</f>
        <v/>
      </c>
      <c r="B3769" t="str">
        <f>Segmenter!B3769</f>
        <v/>
      </c>
      <c r="C3769" t="str">
        <f t="shared" si="290"/>
        <v/>
      </c>
      <c r="D3769" t="str">
        <f t="shared" si="291"/>
        <v/>
      </c>
      <c r="E3769" t="str">
        <f t="shared" si="292"/>
        <v/>
      </c>
      <c r="F3769" t="str">
        <f>IF(D3769="","",INDEX(Knutepunkter!$B:$B,D3769+1))</f>
        <v/>
      </c>
      <c r="G3769" t="str">
        <f>IF(D3769="","",INDEX(Knutepunkter!$C:$C,D3769+1))</f>
        <v/>
      </c>
      <c r="H3769" t="str">
        <f>IF(D3769="","",INDEX(Knutepunkter!$D:$D,D3769+1))</f>
        <v/>
      </c>
      <c r="I3769" t="str">
        <f>IF(E3769="","",INDEX(Knutepunkter!$B:$B,E3769+1))</f>
        <v/>
      </c>
      <c r="J3769" t="str">
        <f>IF(E3769="","",INDEX(Knutepunkter!$C:$C,E3769+1))</f>
        <v/>
      </c>
      <c r="K3769" t="str">
        <f>IF(E3769="","",INDEX(Knutepunkter!$D:$D,E3769+1))</f>
        <v/>
      </c>
      <c r="L3769" t="str">
        <f t="shared" si="293"/>
        <v/>
      </c>
      <c r="M3769" t="str">
        <f t="shared" si="294"/>
        <v/>
      </c>
    </row>
    <row r="3770" spans="1:13" x14ac:dyDescent="0.3">
      <c r="A3770" t="str">
        <f>Segmenter!A3770</f>
        <v/>
      </c>
      <c r="B3770" t="str">
        <f>Segmenter!B3770</f>
        <v/>
      </c>
      <c r="C3770" t="str">
        <f t="shared" si="290"/>
        <v/>
      </c>
      <c r="D3770" t="str">
        <f t="shared" si="291"/>
        <v/>
      </c>
      <c r="E3770" t="str">
        <f t="shared" si="292"/>
        <v/>
      </c>
      <c r="F3770" t="str">
        <f>IF(D3770="","",INDEX(Knutepunkter!$B:$B,D3770+1))</f>
        <v/>
      </c>
      <c r="G3770" t="str">
        <f>IF(D3770="","",INDEX(Knutepunkter!$C:$C,D3770+1))</f>
        <v/>
      </c>
      <c r="H3770" t="str">
        <f>IF(D3770="","",INDEX(Knutepunkter!$D:$D,D3770+1))</f>
        <v/>
      </c>
      <c r="I3770" t="str">
        <f>IF(E3770="","",INDEX(Knutepunkter!$B:$B,E3770+1))</f>
        <v/>
      </c>
      <c r="J3770" t="str">
        <f>IF(E3770="","",INDEX(Knutepunkter!$C:$C,E3770+1))</f>
        <v/>
      </c>
      <c r="K3770" t="str">
        <f>IF(E3770="","",INDEX(Knutepunkter!$D:$D,E3770+1))</f>
        <v/>
      </c>
      <c r="L3770" t="str">
        <f t="shared" si="293"/>
        <v/>
      </c>
      <c r="M3770" t="str">
        <f t="shared" si="294"/>
        <v/>
      </c>
    </row>
    <row r="3771" spans="1:13" x14ac:dyDescent="0.3">
      <c r="A3771" t="str">
        <f>Segmenter!A3771</f>
        <v/>
      </c>
      <c r="B3771" t="str">
        <f>Segmenter!B3771</f>
        <v/>
      </c>
      <c r="C3771" t="str">
        <f t="shared" si="290"/>
        <v/>
      </c>
      <c r="D3771" t="str">
        <f t="shared" si="291"/>
        <v/>
      </c>
      <c r="E3771" t="str">
        <f t="shared" si="292"/>
        <v/>
      </c>
      <c r="F3771" t="str">
        <f>IF(D3771="","",INDEX(Knutepunkter!$B:$B,D3771+1))</f>
        <v/>
      </c>
      <c r="G3771" t="str">
        <f>IF(D3771="","",INDEX(Knutepunkter!$C:$C,D3771+1))</f>
        <v/>
      </c>
      <c r="H3771" t="str">
        <f>IF(D3771="","",INDEX(Knutepunkter!$D:$D,D3771+1))</f>
        <v/>
      </c>
      <c r="I3771" t="str">
        <f>IF(E3771="","",INDEX(Knutepunkter!$B:$B,E3771+1))</f>
        <v/>
      </c>
      <c r="J3771" t="str">
        <f>IF(E3771="","",INDEX(Knutepunkter!$C:$C,E3771+1))</f>
        <v/>
      </c>
      <c r="K3771" t="str">
        <f>IF(E3771="","",INDEX(Knutepunkter!$D:$D,E3771+1))</f>
        <v/>
      </c>
      <c r="L3771" t="str">
        <f t="shared" si="293"/>
        <v/>
      </c>
      <c r="M3771" t="str">
        <f t="shared" si="294"/>
        <v/>
      </c>
    </row>
    <row r="3772" spans="1:13" x14ac:dyDescent="0.3">
      <c r="A3772" t="str">
        <f>Segmenter!A3772</f>
        <v/>
      </c>
      <c r="B3772" t="str">
        <f>Segmenter!B3772</f>
        <v/>
      </c>
      <c r="C3772" t="str">
        <f t="shared" si="290"/>
        <v/>
      </c>
      <c r="D3772" t="str">
        <f t="shared" si="291"/>
        <v/>
      </c>
      <c r="E3772" t="str">
        <f t="shared" si="292"/>
        <v/>
      </c>
      <c r="F3772" t="str">
        <f>IF(D3772="","",INDEX(Knutepunkter!$B:$B,D3772+1))</f>
        <v/>
      </c>
      <c r="G3772" t="str">
        <f>IF(D3772="","",INDEX(Knutepunkter!$C:$C,D3772+1))</f>
        <v/>
      </c>
      <c r="H3772" t="str">
        <f>IF(D3772="","",INDEX(Knutepunkter!$D:$D,D3772+1))</f>
        <v/>
      </c>
      <c r="I3772" t="str">
        <f>IF(E3772="","",INDEX(Knutepunkter!$B:$B,E3772+1))</f>
        <v/>
      </c>
      <c r="J3772" t="str">
        <f>IF(E3772="","",INDEX(Knutepunkter!$C:$C,E3772+1))</f>
        <v/>
      </c>
      <c r="K3772" t="str">
        <f>IF(E3772="","",INDEX(Knutepunkter!$D:$D,E3772+1))</f>
        <v/>
      </c>
      <c r="L3772" t="str">
        <f t="shared" si="293"/>
        <v/>
      </c>
      <c r="M3772" t="str">
        <f t="shared" si="294"/>
        <v/>
      </c>
    </row>
    <row r="3773" spans="1:13" x14ac:dyDescent="0.3">
      <c r="A3773" t="str">
        <f>Segmenter!A3773</f>
        <v/>
      </c>
      <c r="B3773" t="str">
        <f>Segmenter!B3773</f>
        <v/>
      </c>
      <c r="C3773" t="str">
        <f t="shared" si="290"/>
        <v/>
      </c>
      <c r="D3773" t="str">
        <f t="shared" si="291"/>
        <v/>
      </c>
      <c r="E3773" t="str">
        <f t="shared" si="292"/>
        <v/>
      </c>
      <c r="F3773" t="str">
        <f>IF(D3773="","",INDEX(Knutepunkter!$B:$B,D3773+1))</f>
        <v/>
      </c>
      <c r="G3773" t="str">
        <f>IF(D3773="","",INDEX(Knutepunkter!$C:$C,D3773+1))</f>
        <v/>
      </c>
      <c r="H3773" t="str">
        <f>IF(D3773="","",INDEX(Knutepunkter!$D:$D,D3773+1))</f>
        <v/>
      </c>
      <c r="I3773" t="str">
        <f>IF(E3773="","",INDEX(Knutepunkter!$B:$B,E3773+1))</f>
        <v/>
      </c>
      <c r="J3773" t="str">
        <f>IF(E3773="","",INDEX(Knutepunkter!$C:$C,E3773+1))</f>
        <v/>
      </c>
      <c r="K3773" t="str">
        <f>IF(E3773="","",INDEX(Knutepunkter!$D:$D,E3773+1))</f>
        <v/>
      </c>
      <c r="L3773" t="str">
        <f t="shared" si="293"/>
        <v/>
      </c>
      <c r="M3773" t="str">
        <f t="shared" si="294"/>
        <v/>
      </c>
    </row>
    <row r="3774" spans="1:13" x14ac:dyDescent="0.3">
      <c r="A3774" t="str">
        <f>Segmenter!A3774</f>
        <v/>
      </c>
      <c r="B3774" t="str">
        <f>Segmenter!B3774</f>
        <v/>
      </c>
      <c r="C3774" t="str">
        <f t="shared" si="290"/>
        <v/>
      </c>
      <c r="D3774" t="str">
        <f t="shared" si="291"/>
        <v/>
      </c>
      <c r="E3774" t="str">
        <f t="shared" si="292"/>
        <v/>
      </c>
      <c r="F3774" t="str">
        <f>IF(D3774="","",INDEX(Knutepunkter!$B:$B,D3774+1))</f>
        <v/>
      </c>
      <c r="G3774" t="str">
        <f>IF(D3774="","",INDEX(Knutepunkter!$C:$C,D3774+1))</f>
        <v/>
      </c>
      <c r="H3774" t="str">
        <f>IF(D3774="","",INDEX(Knutepunkter!$D:$D,D3774+1))</f>
        <v/>
      </c>
      <c r="I3774" t="str">
        <f>IF(E3774="","",INDEX(Knutepunkter!$B:$B,E3774+1))</f>
        <v/>
      </c>
      <c r="J3774" t="str">
        <f>IF(E3774="","",INDEX(Knutepunkter!$C:$C,E3774+1))</f>
        <v/>
      </c>
      <c r="K3774" t="str">
        <f>IF(E3774="","",INDEX(Knutepunkter!$D:$D,E3774+1))</f>
        <v/>
      </c>
      <c r="L3774" t="str">
        <f t="shared" si="293"/>
        <v/>
      </c>
      <c r="M3774" t="str">
        <f t="shared" si="294"/>
        <v/>
      </c>
    </row>
    <row r="3775" spans="1:13" x14ac:dyDescent="0.3">
      <c r="A3775" t="str">
        <f>Segmenter!A3775</f>
        <v/>
      </c>
      <c r="B3775" t="str">
        <f>Segmenter!B3775</f>
        <v/>
      </c>
      <c r="C3775" t="str">
        <f t="shared" si="290"/>
        <v/>
      </c>
      <c r="D3775" t="str">
        <f t="shared" si="291"/>
        <v/>
      </c>
      <c r="E3775" t="str">
        <f t="shared" si="292"/>
        <v/>
      </c>
      <c r="F3775" t="str">
        <f>IF(D3775="","",INDEX(Knutepunkter!$B:$B,D3775+1))</f>
        <v/>
      </c>
      <c r="G3775" t="str">
        <f>IF(D3775="","",INDEX(Knutepunkter!$C:$C,D3775+1))</f>
        <v/>
      </c>
      <c r="H3775" t="str">
        <f>IF(D3775="","",INDEX(Knutepunkter!$D:$D,D3775+1))</f>
        <v/>
      </c>
      <c r="I3775" t="str">
        <f>IF(E3775="","",INDEX(Knutepunkter!$B:$B,E3775+1))</f>
        <v/>
      </c>
      <c r="J3775" t="str">
        <f>IF(E3775="","",INDEX(Knutepunkter!$C:$C,E3775+1))</f>
        <v/>
      </c>
      <c r="K3775" t="str">
        <f>IF(E3775="","",INDEX(Knutepunkter!$D:$D,E3775+1))</f>
        <v/>
      </c>
      <c r="L3775" t="str">
        <f t="shared" si="293"/>
        <v/>
      </c>
      <c r="M3775" t="str">
        <f t="shared" si="294"/>
        <v/>
      </c>
    </row>
    <row r="3776" spans="1:13" x14ac:dyDescent="0.3">
      <c r="A3776" t="str">
        <f>Segmenter!A3776</f>
        <v/>
      </c>
      <c r="B3776" t="str">
        <f>Segmenter!B3776</f>
        <v/>
      </c>
      <c r="C3776" t="str">
        <f t="shared" si="290"/>
        <v/>
      </c>
      <c r="D3776" t="str">
        <f t="shared" si="291"/>
        <v/>
      </c>
      <c r="E3776" t="str">
        <f t="shared" si="292"/>
        <v/>
      </c>
      <c r="F3776" t="str">
        <f>IF(D3776="","",INDEX(Knutepunkter!$B:$B,D3776+1))</f>
        <v/>
      </c>
      <c r="G3776" t="str">
        <f>IF(D3776="","",INDEX(Knutepunkter!$C:$C,D3776+1))</f>
        <v/>
      </c>
      <c r="H3776" t="str">
        <f>IF(D3776="","",INDEX(Knutepunkter!$D:$D,D3776+1))</f>
        <v/>
      </c>
      <c r="I3776" t="str">
        <f>IF(E3776="","",INDEX(Knutepunkter!$B:$B,E3776+1))</f>
        <v/>
      </c>
      <c r="J3776" t="str">
        <f>IF(E3776="","",INDEX(Knutepunkter!$C:$C,E3776+1))</f>
        <v/>
      </c>
      <c r="K3776" t="str">
        <f>IF(E3776="","",INDEX(Knutepunkter!$D:$D,E3776+1))</f>
        <v/>
      </c>
      <c r="L3776" t="str">
        <f t="shared" si="293"/>
        <v/>
      </c>
      <c r="M3776" t="str">
        <f t="shared" si="294"/>
        <v/>
      </c>
    </row>
    <row r="3777" spans="1:13" x14ac:dyDescent="0.3">
      <c r="A3777" t="str">
        <f>Segmenter!A3777</f>
        <v/>
      </c>
      <c r="B3777" t="str">
        <f>Segmenter!B3777</f>
        <v/>
      </c>
      <c r="C3777" t="str">
        <f t="shared" si="290"/>
        <v/>
      </c>
      <c r="D3777" t="str">
        <f t="shared" si="291"/>
        <v/>
      </c>
      <c r="E3777" t="str">
        <f t="shared" si="292"/>
        <v/>
      </c>
      <c r="F3777" t="str">
        <f>IF(D3777="","",INDEX(Knutepunkter!$B:$B,D3777+1))</f>
        <v/>
      </c>
      <c r="G3777" t="str">
        <f>IF(D3777="","",INDEX(Knutepunkter!$C:$C,D3777+1))</f>
        <v/>
      </c>
      <c r="H3777" t="str">
        <f>IF(D3777="","",INDEX(Knutepunkter!$D:$D,D3777+1))</f>
        <v/>
      </c>
      <c r="I3777" t="str">
        <f>IF(E3777="","",INDEX(Knutepunkter!$B:$B,E3777+1))</f>
        <v/>
      </c>
      <c r="J3777" t="str">
        <f>IF(E3777="","",INDEX(Knutepunkter!$C:$C,E3777+1))</f>
        <v/>
      </c>
      <c r="K3777" t="str">
        <f>IF(E3777="","",INDEX(Knutepunkter!$D:$D,E3777+1))</f>
        <v/>
      </c>
      <c r="L3777" t="str">
        <f t="shared" si="293"/>
        <v/>
      </c>
      <c r="M3777" t="str">
        <f t="shared" si="294"/>
        <v/>
      </c>
    </row>
    <row r="3778" spans="1:13" x14ac:dyDescent="0.3">
      <c r="A3778" t="str">
        <f>Segmenter!A3778</f>
        <v/>
      </c>
      <c r="B3778" t="str">
        <f>Segmenter!B3778</f>
        <v/>
      </c>
      <c r="C3778" t="str">
        <f t="shared" ref="C3778:C3841" si="295">IF(B3778="","",IF(AND(F3778=I3778,G3778=J3778,H3778&lt;&gt;K3778),"Søyle","Bjelke"))</f>
        <v/>
      </c>
      <c r="D3778" t="str">
        <f t="shared" ref="D3778:D3841" si="296">IF(B3778="","",VALUE(LEFT(B3778,FIND(" -&gt; ",B3778)-1)))</f>
        <v/>
      </c>
      <c r="E3778" t="str">
        <f t="shared" ref="E3778:E3841" si="297">IF(B3778="","",VALUE(MID(B3778,FIND(" -&gt; ",B3778)+4,99)))</f>
        <v/>
      </c>
      <c r="F3778" t="str">
        <f>IF(D3778="","",INDEX(Knutepunkter!$B:$B,D3778+1))</f>
        <v/>
      </c>
      <c r="G3778" t="str">
        <f>IF(D3778="","",INDEX(Knutepunkter!$C:$C,D3778+1))</f>
        <v/>
      </c>
      <c r="H3778" t="str">
        <f>IF(D3778="","",INDEX(Knutepunkter!$D:$D,D3778+1))</f>
        <v/>
      </c>
      <c r="I3778" t="str">
        <f>IF(E3778="","",INDEX(Knutepunkter!$B:$B,E3778+1))</f>
        <v/>
      </c>
      <c r="J3778" t="str">
        <f>IF(E3778="","",INDEX(Knutepunkter!$C:$C,E3778+1))</f>
        <v/>
      </c>
      <c r="K3778" t="str">
        <f>IF(E3778="","",INDEX(Knutepunkter!$D:$D,E3778+1))</f>
        <v/>
      </c>
      <c r="L3778" t="str">
        <f t="shared" ref="L3778:L3841" si="298">IF(B3778="","",SQRT((I3778-F3778)^2+(J3778-G3778)^2+(K3778-H3778)^2))</f>
        <v/>
      </c>
      <c r="M3778" t="str">
        <f t="shared" ref="M3778:M3841" si="299">IF(L3778="","",L3778/1000)</f>
        <v/>
      </c>
    </row>
    <row r="3779" spans="1:13" x14ac:dyDescent="0.3">
      <c r="A3779" t="str">
        <f>Segmenter!A3779</f>
        <v/>
      </c>
      <c r="B3779" t="str">
        <f>Segmenter!B3779</f>
        <v/>
      </c>
      <c r="C3779" t="str">
        <f t="shared" si="295"/>
        <v/>
      </c>
      <c r="D3779" t="str">
        <f t="shared" si="296"/>
        <v/>
      </c>
      <c r="E3779" t="str">
        <f t="shared" si="297"/>
        <v/>
      </c>
      <c r="F3779" t="str">
        <f>IF(D3779="","",INDEX(Knutepunkter!$B:$B,D3779+1))</f>
        <v/>
      </c>
      <c r="G3779" t="str">
        <f>IF(D3779="","",INDEX(Knutepunkter!$C:$C,D3779+1))</f>
        <v/>
      </c>
      <c r="H3779" t="str">
        <f>IF(D3779="","",INDEX(Knutepunkter!$D:$D,D3779+1))</f>
        <v/>
      </c>
      <c r="I3779" t="str">
        <f>IF(E3779="","",INDEX(Knutepunkter!$B:$B,E3779+1))</f>
        <v/>
      </c>
      <c r="J3779" t="str">
        <f>IF(E3779="","",INDEX(Knutepunkter!$C:$C,E3779+1))</f>
        <v/>
      </c>
      <c r="K3779" t="str">
        <f>IF(E3779="","",INDEX(Knutepunkter!$D:$D,E3779+1))</f>
        <v/>
      </c>
      <c r="L3779" t="str">
        <f t="shared" si="298"/>
        <v/>
      </c>
      <c r="M3779" t="str">
        <f t="shared" si="299"/>
        <v/>
      </c>
    </row>
    <row r="3780" spans="1:13" x14ac:dyDescent="0.3">
      <c r="A3780" t="str">
        <f>Segmenter!A3780</f>
        <v/>
      </c>
      <c r="B3780" t="str">
        <f>Segmenter!B3780</f>
        <v/>
      </c>
      <c r="C3780" t="str">
        <f t="shared" si="295"/>
        <v/>
      </c>
      <c r="D3780" t="str">
        <f t="shared" si="296"/>
        <v/>
      </c>
      <c r="E3780" t="str">
        <f t="shared" si="297"/>
        <v/>
      </c>
      <c r="F3780" t="str">
        <f>IF(D3780="","",INDEX(Knutepunkter!$B:$B,D3780+1))</f>
        <v/>
      </c>
      <c r="G3780" t="str">
        <f>IF(D3780="","",INDEX(Knutepunkter!$C:$C,D3780+1))</f>
        <v/>
      </c>
      <c r="H3780" t="str">
        <f>IF(D3780="","",INDEX(Knutepunkter!$D:$D,D3780+1))</f>
        <v/>
      </c>
      <c r="I3780" t="str">
        <f>IF(E3780="","",INDEX(Knutepunkter!$B:$B,E3780+1))</f>
        <v/>
      </c>
      <c r="J3780" t="str">
        <f>IF(E3780="","",INDEX(Knutepunkter!$C:$C,E3780+1))</f>
        <v/>
      </c>
      <c r="K3780" t="str">
        <f>IF(E3780="","",INDEX(Knutepunkter!$D:$D,E3780+1))</f>
        <v/>
      </c>
      <c r="L3780" t="str">
        <f t="shared" si="298"/>
        <v/>
      </c>
      <c r="M3780" t="str">
        <f t="shared" si="299"/>
        <v/>
      </c>
    </row>
    <row r="3781" spans="1:13" x14ac:dyDescent="0.3">
      <c r="A3781" t="str">
        <f>Segmenter!A3781</f>
        <v/>
      </c>
      <c r="B3781" t="str">
        <f>Segmenter!B3781</f>
        <v/>
      </c>
      <c r="C3781" t="str">
        <f t="shared" si="295"/>
        <v/>
      </c>
      <c r="D3781" t="str">
        <f t="shared" si="296"/>
        <v/>
      </c>
      <c r="E3781" t="str">
        <f t="shared" si="297"/>
        <v/>
      </c>
      <c r="F3781" t="str">
        <f>IF(D3781="","",INDEX(Knutepunkter!$B:$B,D3781+1))</f>
        <v/>
      </c>
      <c r="G3781" t="str">
        <f>IF(D3781="","",INDEX(Knutepunkter!$C:$C,D3781+1))</f>
        <v/>
      </c>
      <c r="H3781" t="str">
        <f>IF(D3781="","",INDEX(Knutepunkter!$D:$D,D3781+1))</f>
        <v/>
      </c>
      <c r="I3781" t="str">
        <f>IF(E3781="","",INDEX(Knutepunkter!$B:$B,E3781+1))</f>
        <v/>
      </c>
      <c r="J3781" t="str">
        <f>IF(E3781="","",INDEX(Knutepunkter!$C:$C,E3781+1))</f>
        <v/>
      </c>
      <c r="K3781" t="str">
        <f>IF(E3781="","",INDEX(Knutepunkter!$D:$D,E3781+1))</f>
        <v/>
      </c>
      <c r="L3781" t="str">
        <f t="shared" si="298"/>
        <v/>
      </c>
      <c r="M3781" t="str">
        <f t="shared" si="299"/>
        <v/>
      </c>
    </row>
    <row r="3782" spans="1:13" x14ac:dyDescent="0.3">
      <c r="A3782" t="str">
        <f>Segmenter!A3782</f>
        <v/>
      </c>
      <c r="B3782" t="str">
        <f>Segmenter!B3782</f>
        <v/>
      </c>
      <c r="C3782" t="str">
        <f t="shared" si="295"/>
        <v/>
      </c>
      <c r="D3782" t="str">
        <f t="shared" si="296"/>
        <v/>
      </c>
      <c r="E3782" t="str">
        <f t="shared" si="297"/>
        <v/>
      </c>
      <c r="F3782" t="str">
        <f>IF(D3782="","",INDEX(Knutepunkter!$B:$B,D3782+1))</f>
        <v/>
      </c>
      <c r="G3782" t="str">
        <f>IF(D3782="","",INDEX(Knutepunkter!$C:$C,D3782+1))</f>
        <v/>
      </c>
      <c r="H3782" t="str">
        <f>IF(D3782="","",INDEX(Knutepunkter!$D:$D,D3782+1))</f>
        <v/>
      </c>
      <c r="I3782" t="str">
        <f>IF(E3782="","",INDEX(Knutepunkter!$B:$B,E3782+1))</f>
        <v/>
      </c>
      <c r="J3782" t="str">
        <f>IF(E3782="","",INDEX(Knutepunkter!$C:$C,E3782+1))</f>
        <v/>
      </c>
      <c r="K3782" t="str">
        <f>IF(E3782="","",INDEX(Knutepunkter!$D:$D,E3782+1))</f>
        <v/>
      </c>
      <c r="L3782" t="str">
        <f t="shared" si="298"/>
        <v/>
      </c>
      <c r="M3782" t="str">
        <f t="shared" si="299"/>
        <v/>
      </c>
    </row>
    <row r="3783" spans="1:13" x14ac:dyDescent="0.3">
      <c r="A3783" t="str">
        <f>Segmenter!A3783</f>
        <v/>
      </c>
      <c r="B3783" t="str">
        <f>Segmenter!B3783</f>
        <v/>
      </c>
      <c r="C3783" t="str">
        <f t="shared" si="295"/>
        <v/>
      </c>
      <c r="D3783" t="str">
        <f t="shared" si="296"/>
        <v/>
      </c>
      <c r="E3783" t="str">
        <f t="shared" si="297"/>
        <v/>
      </c>
      <c r="F3783" t="str">
        <f>IF(D3783="","",INDEX(Knutepunkter!$B:$B,D3783+1))</f>
        <v/>
      </c>
      <c r="G3783" t="str">
        <f>IF(D3783="","",INDEX(Knutepunkter!$C:$C,D3783+1))</f>
        <v/>
      </c>
      <c r="H3783" t="str">
        <f>IF(D3783="","",INDEX(Knutepunkter!$D:$D,D3783+1))</f>
        <v/>
      </c>
      <c r="I3783" t="str">
        <f>IF(E3783="","",INDEX(Knutepunkter!$B:$B,E3783+1))</f>
        <v/>
      </c>
      <c r="J3783" t="str">
        <f>IF(E3783="","",INDEX(Knutepunkter!$C:$C,E3783+1))</f>
        <v/>
      </c>
      <c r="K3783" t="str">
        <f>IF(E3783="","",INDEX(Knutepunkter!$D:$D,E3783+1))</f>
        <v/>
      </c>
      <c r="L3783" t="str">
        <f t="shared" si="298"/>
        <v/>
      </c>
      <c r="M3783" t="str">
        <f t="shared" si="299"/>
        <v/>
      </c>
    </row>
    <row r="3784" spans="1:13" x14ac:dyDescent="0.3">
      <c r="A3784" t="str">
        <f>Segmenter!A3784</f>
        <v/>
      </c>
      <c r="B3784" t="str">
        <f>Segmenter!B3784</f>
        <v/>
      </c>
      <c r="C3784" t="str">
        <f t="shared" si="295"/>
        <v/>
      </c>
      <c r="D3784" t="str">
        <f t="shared" si="296"/>
        <v/>
      </c>
      <c r="E3784" t="str">
        <f t="shared" si="297"/>
        <v/>
      </c>
      <c r="F3784" t="str">
        <f>IF(D3784="","",INDEX(Knutepunkter!$B:$B,D3784+1))</f>
        <v/>
      </c>
      <c r="G3784" t="str">
        <f>IF(D3784="","",INDEX(Knutepunkter!$C:$C,D3784+1))</f>
        <v/>
      </c>
      <c r="H3784" t="str">
        <f>IF(D3784="","",INDEX(Knutepunkter!$D:$D,D3784+1))</f>
        <v/>
      </c>
      <c r="I3784" t="str">
        <f>IF(E3784="","",INDEX(Knutepunkter!$B:$B,E3784+1))</f>
        <v/>
      </c>
      <c r="J3784" t="str">
        <f>IF(E3784="","",INDEX(Knutepunkter!$C:$C,E3784+1))</f>
        <v/>
      </c>
      <c r="K3784" t="str">
        <f>IF(E3784="","",INDEX(Knutepunkter!$D:$D,E3784+1))</f>
        <v/>
      </c>
      <c r="L3784" t="str">
        <f t="shared" si="298"/>
        <v/>
      </c>
      <c r="M3784" t="str">
        <f t="shared" si="299"/>
        <v/>
      </c>
    </row>
    <row r="3785" spans="1:13" x14ac:dyDescent="0.3">
      <c r="A3785" t="str">
        <f>Segmenter!A3785</f>
        <v/>
      </c>
      <c r="B3785" t="str">
        <f>Segmenter!B3785</f>
        <v/>
      </c>
      <c r="C3785" t="str">
        <f t="shared" si="295"/>
        <v/>
      </c>
      <c r="D3785" t="str">
        <f t="shared" si="296"/>
        <v/>
      </c>
      <c r="E3785" t="str">
        <f t="shared" si="297"/>
        <v/>
      </c>
      <c r="F3785" t="str">
        <f>IF(D3785="","",INDEX(Knutepunkter!$B:$B,D3785+1))</f>
        <v/>
      </c>
      <c r="G3785" t="str">
        <f>IF(D3785="","",INDEX(Knutepunkter!$C:$C,D3785+1))</f>
        <v/>
      </c>
      <c r="H3785" t="str">
        <f>IF(D3785="","",INDEX(Knutepunkter!$D:$D,D3785+1))</f>
        <v/>
      </c>
      <c r="I3785" t="str">
        <f>IF(E3785="","",INDEX(Knutepunkter!$B:$B,E3785+1))</f>
        <v/>
      </c>
      <c r="J3785" t="str">
        <f>IF(E3785="","",INDEX(Knutepunkter!$C:$C,E3785+1))</f>
        <v/>
      </c>
      <c r="K3785" t="str">
        <f>IF(E3785="","",INDEX(Knutepunkter!$D:$D,E3785+1))</f>
        <v/>
      </c>
      <c r="L3785" t="str">
        <f t="shared" si="298"/>
        <v/>
      </c>
      <c r="M3785" t="str">
        <f t="shared" si="299"/>
        <v/>
      </c>
    </row>
    <row r="3786" spans="1:13" x14ac:dyDescent="0.3">
      <c r="A3786" t="str">
        <f>Segmenter!A3786</f>
        <v/>
      </c>
      <c r="B3786" t="str">
        <f>Segmenter!B3786</f>
        <v/>
      </c>
      <c r="C3786" t="str">
        <f t="shared" si="295"/>
        <v/>
      </c>
      <c r="D3786" t="str">
        <f t="shared" si="296"/>
        <v/>
      </c>
      <c r="E3786" t="str">
        <f t="shared" si="297"/>
        <v/>
      </c>
      <c r="F3786" t="str">
        <f>IF(D3786="","",INDEX(Knutepunkter!$B:$B,D3786+1))</f>
        <v/>
      </c>
      <c r="G3786" t="str">
        <f>IF(D3786="","",INDEX(Knutepunkter!$C:$C,D3786+1))</f>
        <v/>
      </c>
      <c r="H3786" t="str">
        <f>IF(D3786="","",INDEX(Knutepunkter!$D:$D,D3786+1))</f>
        <v/>
      </c>
      <c r="I3786" t="str">
        <f>IF(E3786="","",INDEX(Knutepunkter!$B:$B,E3786+1))</f>
        <v/>
      </c>
      <c r="J3786" t="str">
        <f>IF(E3786="","",INDEX(Knutepunkter!$C:$C,E3786+1))</f>
        <v/>
      </c>
      <c r="K3786" t="str">
        <f>IF(E3786="","",INDEX(Knutepunkter!$D:$D,E3786+1))</f>
        <v/>
      </c>
      <c r="L3786" t="str">
        <f t="shared" si="298"/>
        <v/>
      </c>
      <c r="M3786" t="str">
        <f t="shared" si="299"/>
        <v/>
      </c>
    </row>
    <row r="3787" spans="1:13" x14ac:dyDescent="0.3">
      <c r="A3787" t="str">
        <f>Segmenter!A3787</f>
        <v/>
      </c>
      <c r="B3787" t="str">
        <f>Segmenter!B3787</f>
        <v/>
      </c>
      <c r="C3787" t="str">
        <f t="shared" si="295"/>
        <v/>
      </c>
      <c r="D3787" t="str">
        <f t="shared" si="296"/>
        <v/>
      </c>
      <c r="E3787" t="str">
        <f t="shared" si="297"/>
        <v/>
      </c>
      <c r="F3787" t="str">
        <f>IF(D3787="","",INDEX(Knutepunkter!$B:$B,D3787+1))</f>
        <v/>
      </c>
      <c r="G3787" t="str">
        <f>IF(D3787="","",INDEX(Knutepunkter!$C:$C,D3787+1))</f>
        <v/>
      </c>
      <c r="H3787" t="str">
        <f>IF(D3787="","",INDEX(Knutepunkter!$D:$D,D3787+1))</f>
        <v/>
      </c>
      <c r="I3787" t="str">
        <f>IF(E3787="","",INDEX(Knutepunkter!$B:$B,E3787+1))</f>
        <v/>
      </c>
      <c r="J3787" t="str">
        <f>IF(E3787="","",INDEX(Knutepunkter!$C:$C,E3787+1))</f>
        <v/>
      </c>
      <c r="K3787" t="str">
        <f>IF(E3787="","",INDEX(Knutepunkter!$D:$D,E3787+1))</f>
        <v/>
      </c>
      <c r="L3787" t="str">
        <f t="shared" si="298"/>
        <v/>
      </c>
      <c r="M3787" t="str">
        <f t="shared" si="299"/>
        <v/>
      </c>
    </row>
    <row r="3788" spans="1:13" x14ac:dyDescent="0.3">
      <c r="A3788" t="str">
        <f>Segmenter!A3788</f>
        <v/>
      </c>
      <c r="B3788" t="str">
        <f>Segmenter!B3788</f>
        <v/>
      </c>
      <c r="C3788" t="str">
        <f t="shared" si="295"/>
        <v/>
      </c>
      <c r="D3788" t="str">
        <f t="shared" si="296"/>
        <v/>
      </c>
      <c r="E3788" t="str">
        <f t="shared" si="297"/>
        <v/>
      </c>
      <c r="F3788" t="str">
        <f>IF(D3788="","",INDEX(Knutepunkter!$B:$B,D3788+1))</f>
        <v/>
      </c>
      <c r="G3788" t="str">
        <f>IF(D3788="","",INDEX(Knutepunkter!$C:$C,D3788+1))</f>
        <v/>
      </c>
      <c r="H3788" t="str">
        <f>IF(D3788="","",INDEX(Knutepunkter!$D:$D,D3788+1))</f>
        <v/>
      </c>
      <c r="I3788" t="str">
        <f>IF(E3788="","",INDEX(Knutepunkter!$B:$B,E3788+1))</f>
        <v/>
      </c>
      <c r="J3788" t="str">
        <f>IF(E3788="","",INDEX(Knutepunkter!$C:$C,E3788+1))</f>
        <v/>
      </c>
      <c r="K3788" t="str">
        <f>IF(E3788="","",INDEX(Knutepunkter!$D:$D,E3788+1))</f>
        <v/>
      </c>
      <c r="L3788" t="str">
        <f t="shared" si="298"/>
        <v/>
      </c>
      <c r="M3788" t="str">
        <f t="shared" si="299"/>
        <v/>
      </c>
    </row>
    <row r="3789" spans="1:13" x14ac:dyDescent="0.3">
      <c r="A3789" t="str">
        <f>Segmenter!A3789</f>
        <v/>
      </c>
      <c r="B3789" t="str">
        <f>Segmenter!B3789</f>
        <v/>
      </c>
      <c r="C3789" t="str">
        <f t="shared" si="295"/>
        <v/>
      </c>
      <c r="D3789" t="str">
        <f t="shared" si="296"/>
        <v/>
      </c>
      <c r="E3789" t="str">
        <f t="shared" si="297"/>
        <v/>
      </c>
      <c r="F3789" t="str">
        <f>IF(D3789="","",INDEX(Knutepunkter!$B:$B,D3789+1))</f>
        <v/>
      </c>
      <c r="G3789" t="str">
        <f>IF(D3789="","",INDEX(Knutepunkter!$C:$C,D3789+1))</f>
        <v/>
      </c>
      <c r="H3789" t="str">
        <f>IF(D3789="","",INDEX(Knutepunkter!$D:$D,D3789+1))</f>
        <v/>
      </c>
      <c r="I3789" t="str">
        <f>IF(E3789="","",INDEX(Knutepunkter!$B:$B,E3789+1))</f>
        <v/>
      </c>
      <c r="J3789" t="str">
        <f>IF(E3789="","",INDEX(Knutepunkter!$C:$C,E3789+1))</f>
        <v/>
      </c>
      <c r="K3789" t="str">
        <f>IF(E3789="","",INDEX(Knutepunkter!$D:$D,E3789+1))</f>
        <v/>
      </c>
      <c r="L3789" t="str">
        <f t="shared" si="298"/>
        <v/>
      </c>
      <c r="M3789" t="str">
        <f t="shared" si="299"/>
        <v/>
      </c>
    </row>
    <row r="3790" spans="1:13" x14ac:dyDescent="0.3">
      <c r="A3790" t="str">
        <f>Segmenter!A3790</f>
        <v/>
      </c>
      <c r="B3790" t="str">
        <f>Segmenter!B3790</f>
        <v/>
      </c>
      <c r="C3790" t="str">
        <f t="shared" si="295"/>
        <v/>
      </c>
      <c r="D3790" t="str">
        <f t="shared" si="296"/>
        <v/>
      </c>
      <c r="E3790" t="str">
        <f t="shared" si="297"/>
        <v/>
      </c>
      <c r="F3790" t="str">
        <f>IF(D3790="","",INDEX(Knutepunkter!$B:$B,D3790+1))</f>
        <v/>
      </c>
      <c r="G3790" t="str">
        <f>IF(D3790="","",INDEX(Knutepunkter!$C:$C,D3790+1))</f>
        <v/>
      </c>
      <c r="H3790" t="str">
        <f>IF(D3790="","",INDEX(Knutepunkter!$D:$D,D3790+1))</f>
        <v/>
      </c>
      <c r="I3790" t="str">
        <f>IF(E3790="","",INDEX(Knutepunkter!$B:$B,E3790+1))</f>
        <v/>
      </c>
      <c r="J3790" t="str">
        <f>IF(E3790="","",INDEX(Knutepunkter!$C:$C,E3790+1))</f>
        <v/>
      </c>
      <c r="K3790" t="str">
        <f>IF(E3790="","",INDEX(Knutepunkter!$D:$D,E3790+1))</f>
        <v/>
      </c>
      <c r="L3790" t="str">
        <f t="shared" si="298"/>
        <v/>
      </c>
      <c r="M3790" t="str">
        <f t="shared" si="299"/>
        <v/>
      </c>
    </row>
    <row r="3791" spans="1:13" x14ac:dyDescent="0.3">
      <c r="A3791" t="str">
        <f>Segmenter!A3791</f>
        <v/>
      </c>
      <c r="B3791" t="str">
        <f>Segmenter!B3791</f>
        <v/>
      </c>
      <c r="C3791" t="str">
        <f t="shared" si="295"/>
        <v/>
      </c>
      <c r="D3791" t="str">
        <f t="shared" si="296"/>
        <v/>
      </c>
      <c r="E3791" t="str">
        <f t="shared" si="297"/>
        <v/>
      </c>
      <c r="F3791" t="str">
        <f>IF(D3791="","",INDEX(Knutepunkter!$B:$B,D3791+1))</f>
        <v/>
      </c>
      <c r="G3791" t="str">
        <f>IF(D3791="","",INDEX(Knutepunkter!$C:$C,D3791+1))</f>
        <v/>
      </c>
      <c r="H3791" t="str">
        <f>IF(D3791="","",INDEX(Knutepunkter!$D:$D,D3791+1))</f>
        <v/>
      </c>
      <c r="I3791" t="str">
        <f>IF(E3791="","",INDEX(Knutepunkter!$B:$B,E3791+1))</f>
        <v/>
      </c>
      <c r="J3791" t="str">
        <f>IF(E3791="","",INDEX(Knutepunkter!$C:$C,E3791+1))</f>
        <v/>
      </c>
      <c r="K3791" t="str">
        <f>IF(E3791="","",INDEX(Knutepunkter!$D:$D,E3791+1))</f>
        <v/>
      </c>
      <c r="L3791" t="str">
        <f t="shared" si="298"/>
        <v/>
      </c>
      <c r="M3791" t="str">
        <f t="shared" si="299"/>
        <v/>
      </c>
    </row>
    <row r="3792" spans="1:13" x14ac:dyDescent="0.3">
      <c r="A3792" t="str">
        <f>Segmenter!A3792</f>
        <v/>
      </c>
      <c r="B3792" t="str">
        <f>Segmenter!B3792</f>
        <v/>
      </c>
      <c r="C3792" t="str">
        <f t="shared" si="295"/>
        <v/>
      </c>
      <c r="D3792" t="str">
        <f t="shared" si="296"/>
        <v/>
      </c>
      <c r="E3792" t="str">
        <f t="shared" si="297"/>
        <v/>
      </c>
      <c r="F3792" t="str">
        <f>IF(D3792="","",INDEX(Knutepunkter!$B:$B,D3792+1))</f>
        <v/>
      </c>
      <c r="G3792" t="str">
        <f>IF(D3792="","",INDEX(Knutepunkter!$C:$C,D3792+1))</f>
        <v/>
      </c>
      <c r="H3792" t="str">
        <f>IF(D3792="","",INDEX(Knutepunkter!$D:$D,D3792+1))</f>
        <v/>
      </c>
      <c r="I3792" t="str">
        <f>IF(E3792="","",INDEX(Knutepunkter!$B:$B,E3792+1))</f>
        <v/>
      </c>
      <c r="J3792" t="str">
        <f>IF(E3792="","",INDEX(Knutepunkter!$C:$C,E3792+1))</f>
        <v/>
      </c>
      <c r="K3792" t="str">
        <f>IF(E3792="","",INDEX(Knutepunkter!$D:$D,E3792+1))</f>
        <v/>
      </c>
      <c r="L3792" t="str">
        <f t="shared" si="298"/>
        <v/>
      </c>
      <c r="M3792" t="str">
        <f t="shared" si="299"/>
        <v/>
      </c>
    </row>
    <row r="3793" spans="1:13" x14ac:dyDescent="0.3">
      <c r="A3793" t="str">
        <f>Segmenter!A3793</f>
        <v/>
      </c>
      <c r="B3793" t="str">
        <f>Segmenter!B3793</f>
        <v/>
      </c>
      <c r="C3793" t="str">
        <f t="shared" si="295"/>
        <v/>
      </c>
      <c r="D3793" t="str">
        <f t="shared" si="296"/>
        <v/>
      </c>
      <c r="E3793" t="str">
        <f t="shared" si="297"/>
        <v/>
      </c>
      <c r="F3793" t="str">
        <f>IF(D3793="","",INDEX(Knutepunkter!$B:$B,D3793+1))</f>
        <v/>
      </c>
      <c r="G3793" t="str">
        <f>IF(D3793="","",INDEX(Knutepunkter!$C:$C,D3793+1))</f>
        <v/>
      </c>
      <c r="H3793" t="str">
        <f>IF(D3793="","",INDEX(Knutepunkter!$D:$D,D3793+1))</f>
        <v/>
      </c>
      <c r="I3793" t="str">
        <f>IF(E3793="","",INDEX(Knutepunkter!$B:$B,E3793+1))</f>
        <v/>
      </c>
      <c r="J3793" t="str">
        <f>IF(E3793="","",INDEX(Knutepunkter!$C:$C,E3793+1))</f>
        <v/>
      </c>
      <c r="K3793" t="str">
        <f>IF(E3793="","",INDEX(Knutepunkter!$D:$D,E3793+1))</f>
        <v/>
      </c>
      <c r="L3793" t="str">
        <f t="shared" si="298"/>
        <v/>
      </c>
      <c r="M3793" t="str">
        <f t="shared" si="299"/>
        <v/>
      </c>
    </row>
    <row r="3794" spans="1:13" x14ac:dyDescent="0.3">
      <c r="A3794" t="str">
        <f>Segmenter!A3794</f>
        <v/>
      </c>
      <c r="B3794" t="str">
        <f>Segmenter!B3794</f>
        <v/>
      </c>
      <c r="C3794" t="str">
        <f t="shared" si="295"/>
        <v/>
      </c>
      <c r="D3794" t="str">
        <f t="shared" si="296"/>
        <v/>
      </c>
      <c r="E3794" t="str">
        <f t="shared" si="297"/>
        <v/>
      </c>
      <c r="F3794" t="str">
        <f>IF(D3794="","",INDEX(Knutepunkter!$B:$B,D3794+1))</f>
        <v/>
      </c>
      <c r="G3794" t="str">
        <f>IF(D3794="","",INDEX(Knutepunkter!$C:$C,D3794+1))</f>
        <v/>
      </c>
      <c r="H3794" t="str">
        <f>IF(D3794="","",INDEX(Knutepunkter!$D:$D,D3794+1))</f>
        <v/>
      </c>
      <c r="I3794" t="str">
        <f>IF(E3794="","",INDEX(Knutepunkter!$B:$B,E3794+1))</f>
        <v/>
      </c>
      <c r="J3794" t="str">
        <f>IF(E3794="","",INDEX(Knutepunkter!$C:$C,E3794+1))</f>
        <v/>
      </c>
      <c r="K3794" t="str">
        <f>IF(E3794="","",INDEX(Knutepunkter!$D:$D,E3794+1))</f>
        <v/>
      </c>
      <c r="L3794" t="str">
        <f t="shared" si="298"/>
        <v/>
      </c>
      <c r="M3794" t="str">
        <f t="shared" si="299"/>
        <v/>
      </c>
    </row>
    <row r="3795" spans="1:13" x14ac:dyDescent="0.3">
      <c r="A3795" t="str">
        <f>Segmenter!A3795</f>
        <v/>
      </c>
      <c r="B3795" t="str">
        <f>Segmenter!B3795</f>
        <v/>
      </c>
      <c r="C3795" t="str">
        <f t="shared" si="295"/>
        <v/>
      </c>
      <c r="D3795" t="str">
        <f t="shared" si="296"/>
        <v/>
      </c>
      <c r="E3795" t="str">
        <f t="shared" si="297"/>
        <v/>
      </c>
      <c r="F3795" t="str">
        <f>IF(D3795="","",INDEX(Knutepunkter!$B:$B,D3795+1))</f>
        <v/>
      </c>
      <c r="G3795" t="str">
        <f>IF(D3795="","",INDEX(Knutepunkter!$C:$C,D3795+1))</f>
        <v/>
      </c>
      <c r="H3795" t="str">
        <f>IF(D3795="","",INDEX(Knutepunkter!$D:$D,D3795+1))</f>
        <v/>
      </c>
      <c r="I3795" t="str">
        <f>IF(E3795="","",INDEX(Knutepunkter!$B:$B,E3795+1))</f>
        <v/>
      </c>
      <c r="J3795" t="str">
        <f>IF(E3795="","",INDEX(Knutepunkter!$C:$C,E3795+1))</f>
        <v/>
      </c>
      <c r="K3795" t="str">
        <f>IF(E3795="","",INDEX(Knutepunkter!$D:$D,E3795+1))</f>
        <v/>
      </c>
      <c r="L3795" t="str">
        <f t="shared" si="298"/>
        <v/>
      </c>
      <c r="M3795" t="str">
        <f t="shared" si="299"/>
        <v/>
      </c>
    </row>
    <row r="3796" spans="1:13" x14ac:dyDescent="0.3">
      <c r="A3796" t="str">
        <f>Segmenter!A3796</f>
        <v/>
      </c>
      <c r="B3796" t="str">
        <f>Segmenter!B3796</f>
        <v/>
      </c>
      <c r="C3796" t="str">
        <f t="shared" si="295"/>
        <v/>
      </c>
      <c r="D3796" t="str">
        <f t="shared" si="296"/>
        <v/>
      </c>
      <c r="E3796" t="str">
        <f t="shared" si="297"/>
        <v/>
      </c>
      <c r="F3796" t="str">
        <f>IF(D3796="","",INDEX(Knutepunkter!$B:$B,D3796+1))</f>
        <v/>
      </c>
      <c r="G3796" t="str">
        <f>IF(D3796="","",INDEX(Knutepunkter!$C:$C,D3796+1))</f>
        <v/>
      </c>
      <c r="H3796" t="str">
        <f>IF(D3796="","",INDEX(Knutepunkter!$D:$D,D3796+1))</f>
        <v/>
      </c>
      <c r="I3796" t="str">
        <f>IF(E3796="","",INDEX(Knutepunkter!$B:$B,E3796+1))</f>
        <v/>
      </c>
      <c r="J3796" t="str">
        <f>IF(E3796="","",INDEX(Knutepunkter!$C:$C,E3796+1))</f>
        <v/>
      </c>
      <c r="K3796" t="str">
        <f>IF(E3796="","",INDEX(Knutepunkter!$D:$D,E3796+1))</f>
        <v/>
      </c>
      <c r="L3796" t="str">
        <f t="shared" si="298"/>
        <v/>
      </c>
      <c r="M3796" t="str">
        <f t="shared" si="299"/>
        <v/>
      </c>
    </row>
    <row r="3797" spans="1:13" x14ac:dyDescent="0.3">
      <c r="A3797" t="str">
        <f>Segmenter!A3797</f>
        <v/>
      </c>
      <c r="B3797" t="str">
        <f>Segmenter!B3797</f>
        <v/>
      </c>
      <c r="C3797" t="str">
        <f t="shared" si="295"/>
        <v/>
      </c>
      <c r="D3797" t="str">
        <f t="shared" si="296"/>
        <v/>
      </c>
      <c r="E3797" t="str">
        <f t="shared" si="297"/>
        <v/>
      </c>
      <c r="F3797" t="str">
        <f>IF(D3797="","",INDEX(Knutepunkter!$B:$B,D3797+1))</f>
        <v/>
      </c>
      <c r="G3797" t="str">
        <f>IF(D3797="","",INDEX(Knutepunkter!$C:$C,D3797+1))</f>
        <v/>
      </c>
      <c r="H3797" t="str">
        <f>IF(D3797="","",INDEX(Knutepunkter!$D:$D,D3797+1))</f>
        <v/>
      </c>
      <c r="I3797" t="str">
        <f>IF(E3797="","",INDEX(Knutepunkter!$B:$B,E3797+1))</f>
        <v/>
      </c>
      <c r="J3797" t="str">
        <f>IF(E3797="","",INDEX(Knutepunkter!$C:$C,E3797+1))</f>
        <v/>
      </c>
      <c r="K3797" t="str">
        <f>IF(E3797="","",INDEX(Knutepunkter!$D:$D,E3797+1))</f>
        <v/>
      </c>
      <c r="L3797" t="str">
        <f t="shared" si="298"/>
        <v/>
      </c>
      <c r="M3797" t="str">
        <f t="shared" si="299"/>
        <v/>
      </c>
    </row>
    <row r="3798" spans="1:13" x14ac:dyDescent="0.3">
      <c r="A3798" t="str">
        <f>Segmenter!A3798</f>
        <v/>
      </c>
      <c r="B3798" t="str">
        <f>Segmenter!B3798</f>
        <v/>
      </c>
      <c r="C3798" t="str">
        <f t="shared" si="295"/>
        <v/>
      </c>
      <c r="D3798" t="str">
        <f t="shared" si="296"/>
        <v/>
      </c>
      <c r="E3798" t="str">
        <f t="shared" si="297"/>
        <v/>
      </c>
      <c r="F3798" t="str">
        <f>IF(D3798="","",INDEX(Knutepunkter!$B:$B,D3798+1))</f>
        <v/>
      </c>
      <c r="G3798" t="str">
        <f>IF(D3798="","",INDEX(Knutepunkter!$C:$C,D3798+1))</f>
        <v/>
      </c>
      <c r="H3798" t="str">
        <f>IF(D3798="","",INDEX(Knutepunkter!$D:$D,D3798+1))</f>
        <v/>
      </c>
      <c r="I3798" t="str">
        <f>IF(E3798="","",INDEX(Knutepunkter!$B:$B,E3798+1))</f>
        <v/>
      </c>
      <c r="J3798" t="str">
        <f>IF(E3798="","",INDEX(Knutepunkter!$C:$C,E3798+1))</f>
        <v/>
      </c>
      <c r="K3798" t="str">
        <f>IF(E3798="","",INDEX(Knutepunkter!$D:$D,E3798+1))</f>
        <v/>
      </c>
      <c r="L3798" t="str">
        <f t="shared" si="298"/>
        <v/>
      </c>
      <c r="M3798" t="str">
        <f t="shared" si="299"/>
        <v/>
      </c>
    </row>
    <row r="3799" spans="1:13" x14ac:dyDescent="0.3">
      <c r="A3799" t="str">
        <f>Segmenter!A3799</f>
        <v/>
      </c>
      <c r="B3799" t="str">
        <f>Segmenter!B3799</f>
        <v/>
      </c>
      <c r="C3799" t="str">
        <f t="shared" si="295"/>
        <v/>
      </c>
      <c r="D3799" t="str">
        <f t="shared" si="296"/>
        <v/>
      </c>
      <c r="E3799" t="str">
        <f t="shared" si="297"/>
        <v/>
      </c>
      <c r="F3799" t="str">
        <f>IF(D3799="","",INDEX(Knutepunkter!$B:$B,D3799+1))</f>
        <v/>
      </c>
      <c r="G3799" t="str">
        <f>IF(D3799="","",INDEX(Knutepunkter!$C:$C,D3799+1))</f>
        <v/>
      </c>
      <c r="H3799" t="str">
        <f>IF(D3799="","",INDEX(Knutepunkter!$D:$D,D3799+1))</f>
        <v/>
      </c>
      <c r="I3799" t="str">
        <f>IF(E3799="","",INDEX(Knutepunkter!$B:$B,E3799+1))</f>
        <v/>
      </c>
      <c r="J3799" t="str">
        <f>IF(E3799="","",INDEX(Knutepunkter!$C:$C,E3799+1))</f>
        <v/>
      </c>
      <c r="K3799" t="str">
        <f>IF(E3799="","",INDEX(Knutepunkter!$D:$D,E3799+1))</f>
        <v/>
      </c>
      <c r="L3799" t="str">
        <f t="shared" si="298"/>
        <v/>
      </c>
      <c r="M3799" t="str">
        <f t="shared" si="299"/>
        <v/>
      </c>
    </row>
    <row r="3800" spans="1:13" x14ac:dyDescent="0.3">
      <c r="A3800" t="str">
        <f>Segmenter!A3800</f>
        <v/>
      </c>
      <c r="B3800" t="str">
        <f>Segmenter!B3800</f>
        <v/>
      </c>
      <c r="C3800" t="str">
        <f t="shared" si="295"/>
        <v/>
      </c>
      <c r="D3800" t="str">
        <f t="shared" si="296"/>
        <v/>
      </c>
      <c r="E3800" t="str">
        <f t="shared" si="297"/>
        <v/>
      </c>
      <c r="F3800" t="str">
        <f>IF(D3800="","",INDEX(Knutepunkter!$B:$B,D3800+1))</f>
        <v/>
      </c>
      <c r="G3800" t="str">
        <f>IF(D3800="","",INDEX(Knutepunkter!$C:$C,D3800+1))</f>
        <v/>
      </c>
      <c r="H3800" t="str">
        <f>IF(D3800="","",INDEX(Knutepunkter!$D:$D,D3800+1))</f>
        <v/>
      </c>
      <c r="I3800" t="str">
        <f>IF(E3800="","",INDEX(Knutepunkter!$B:$B,E3800+1))</f>
        <v/>
      </c>
      <c r="J3800" t="str">
        <f>IF(E3800="","",INDEX(Knutepunkter!$C:$C,E3800+1))</f>
        <v/>
      </c>
      <c r="K3800" t="str">
        <f>IF(E3800="","",INDEX(Knutepunkter!$D:$D,E3800+1))</f>
        <v/>
      </c>
      <c r="L3800" t="str">
        <f t="shared" si="298"/>
        <v/>
      </c>
      <c r="M3800" t="str">
        <f t="shared" si="299"/>
        <v/>
      </c>
    </row>
    <row r="3801" spans="1:13" x14ac:dyDescent="0.3">
      <c r="A3801" t="str">
        <f>Segmenter!A3801</f>
        <v/>
      </c>
      <c r="B3801" t="str">
        <f>Segmenter!B3801</f>
        <v/>
      </c>
      <c r="C3801" t="str">
        <f t="shared" si="295"/>
        <v/>
      </c>
      <c r="D3801" t="str">
        <f t="shared" si="296"/>
        <v/>
      </c>
      <c r="E3801" t="str">
        <f t="shared" si="297"/>
        <v/>
      </c>
      <c r="F3801" t="str">
        <f>IF(D3801="","",INDEX(Knutepunkter!$B:$B,D3801+1))</f>
        <v/>
      </c>
      <c r="G3801" t="str">
        <f>IF(D3801="","",INDEX(Knutepunkter!$C:$C,D3801+1))</f>
        <v/>
      </c>
      <c r="H3801" t="str">
        <f>IF(D3801="","",INDEX(Knutepunkter!$D:$D,D3801+1))</f>
        <v/>
      </c>
      <c r="I3801" t="str">
        <f>IF(E3801="","",INDEX(Knutepunkter!$B:$B,E3801+1))</f>
        <v/>
      </c>
      <c r="J3801" t="str">
        <f>IF(E3801="","",INDEX(Knutepunkter!$C:$C,E3801+1))</f>
        <v/>
      </c>
      <c r="K3801" t="str">
        <f>IF(E3801="","",INDEX(Knutepunkter!$D:$D,E3801+1))</f>
        <v/>
      </c>
      <c r="L3801" t="str">
        <f t="shared" si="298"/>
        <v/>
      </c>
      <c r="M3801" t="str">
        <f t="shared" si="299"/>
        <v/>
      </c>
    </row>
    <row r="3802" spans="1:13" x14ac:dyDescent="0.3">
      <c r="A3802" t="str">
        <f>Segmenter!A3802</f>
        <v/>
      </c>
      <c r="B3802" t="str">
        <f>Segmenter!B3802</f>
        <v/>
      </c>
      <c r="C3802" t="str">
        <f t="shared" si="295"/>
        <v/>
      </c>
      <c r="D3802" t="str">
        <f t="shared" si="296"/>
        <v/>
      </c>
      <c r="E3802" t="str">
        <f t="shared" si="297"/>
        <v/>
      </c>
      <c r="F3802" t="str">
        <f>IF(D3802="","",INDEX(Knutepunkter!$B:$B,D3802+1))</f>
        <v/>
      </c>
      <c r="G3802" t="str">
        <f>IF(D3802="","",INDEX(Knutepunkter!$C:$C,D3802+1))</f>
        <v/>
      </c>
      <c r="H3802" t="str">
        <f>IF(D3802="","",INDEX(Knutepunkter!$D:$D,D3802+1))</f>
        <v/>
      </c>
      <c r="I3802" t="str">
        <f>IF(E3802="","",INDEX(Knutepunkter!$B:$B,E3802+1))</f>
        <v/>
      </c>
      <c r="J3802" t="str">
        <f>IF(E3802="","",INDEX(Knutepunkter!$C:$C,E3802+1))</f>
        <v/>
      </c>
      <c r="K3802" t="str">
        <f>IF(E3802="","",INDEX(Knutepunkter!$D:$D,E3802+1))</f>
        <v/>
      </c>
      <c r="L3802" t="str">
        <f t="shared" si="298"/>
        <v/>
      </c>
      <c r="M3802" t="str">
        <f t="shared" si="299"/>
        <v/>
      </c>
    </row>
    <row r="3803" spans="1:13" x14ac:dyDescent="0.3">
      <c r="A3803" t="str">
        <f>Segmenter!A3803</f>
        <v/>
      </c>
      <c r="B3803" t="str">
        <f>Segmenter!B3803</f>
        <v/>
      </c>
      <c r="C3803" t="str">
        <f t="shared" si="295"/>
        <v/>
      </c>
      <c r="D3803" t="str">
        <f t="shared" si="296"/>
        <v/>
      </c>
      <c r="E3803" t="str">
        <f t="shared" si="297"/>
        <v/>
      </c>
      <c r="F3803" t="str">
        <f>IF(D3803="","",INDEX(Knutepunkter!$B:$B,D3803+1))</f>
        <v/>
      </c>
      <c r="G3803" t="str">
        <f>IF(D3803="","",INDEX(Knutepunkter!$C:$C,D3803+1))</f>
        <v/>
      </c>
      <c r="H3803" t="str">
        <f>IF(D3803="","",INDEX(Knutepunkter!$D:$D,D3803+1))</f>
        <v/>
      </c>
      <c r="I3803" t="str">
        <f>IF(E3803="","",INDEX(Knutepunkter!$B:$B,E3803+1))</f>
        <v/>
      </c>
      <c r="J3803" t="str">
        <f>IF(E3803="","",INDEX(Knutepunkter!$C:$C,E3803+1))</f>
        <v/>
      </c>
      <c r="K3803" t="str">
        <f>IF(E3803="","",INDEX(Knutepunkter!$D:$D,E3803+1))</f>
        <v/>
      </c>
      <c r="L3803" t="str">
        <f t="shared" si="298"/>
        <v/>
      </c>
      <c r="M3803" t="str">
        <f t="shared" si="299"/>
        <v/>
      </c>
    </row>
    <row r="3804" spans="1:13" x14ac:dyDescent="0.3">
      <c r="A3804" t="str">
        <f>Segmenter!A3804</f>
        <v/>
      </c>
      <c r="B3804" t="str">
        <f>Segmenter!B3804</f>
        <v/>
      </c>
      <c r="C3804" t="str">
        <f t="shared" si="295"/>
        <v/>
      </c>
      <c r="D3804" t="str">
        <f t="shared" si="296"/>
        <v/>
      </c>
      <c r="E3804" t="str">
        <f t="shared" si="297"/>
        <v/>
      </c>
      <c r="F3804" t="str">
        <f>IF(D3804="","",INDEX(Knutepunkter!$B:$B,D3804+1))</f>
        <v/>
      </c>
      <c r="G3804" t="str">
        <f>IF(D3804="","",INDEX(Knutepunkter!$C:$C,D3804+1))</f>
        <v/>
      </c>
      <c r="H3804" t="str">
        <f>IF(D3804="","",INDEX(Knutepunkter!$D:$D,D3804+1))</f>
        <v/>
      </c>
      <c r="I3804" t="str">
        <f>IF(E3804="","",INDEX(Knutepunkter!$B:$B,E3804+1))</f>
        <v/>
      </c>
      <c r="J3804" t="str">
        <f>IF(E3804="","",INDEX(Knutepunkter!$C:$C,E3804+1))</f>
        <v/>
      </c>
      <c r="K3804" t="str">
        <f>IF(E3804="","",INDEX(Knutepunkter!$D:$D,E3804+1))</f>
        <v/>
      </c>
      <c r="L3804" t="str">
        <f t="shared" si="298"/>
        <v/>
      </c>
      <c r="M3804" t="str">
        <f t="shared" si="299"/>
        <v/>
      </c>
    </row>
    <row r="3805" spans="1:13" x14ac:dyDescent="0.3">
      <c r="A3805" t="str">
        <f>Segmenter!A3805</f>
        <v/>
      </c>
      <c r="B3805" t="str">
        <f>Segmenter!B3805</f>
        <v/>
      </c>
      <c r="C3805" t="str">
        <f t="shared" si="295"/>
        <v/>
      </c>
      <c r="D3805" t="str">
        <f t="shared" si="296"/>
        <v/>
      </c>
      <c r="E3805" t="str">
        <f t="shared" si="297"/>
        <v/>
      </c>
      <c r="F3805" t="str">
        <f>IF(D3805="","",INDEX(Knutepunkter!$B:$B,D3805+1))</f>
        <v/>
      </c>
      <c r="G3805" t="str">
        <f>IF(D3805="","",INDEX(Knutepunkter!$C:$C,D3805+1))</f>
        <v/>
      </c>
      <c r="H3805" t="str">
        <f>IF(D3805="","",INDEX(Knutepunkter!$D:$D,D3805+1))</f>
        <v/>
      </c>
      <c r="I3805" t="str">
        <f>IF(E3805="","",INDEX(Knutepunkter!$B:$B,E3805+1))</f>
        <v/>
      </c>
      <c r="J3805" t="str">
        <f>IF(E3805="","",INDEX(Knutepunkter!$C:$C,E3805+1))</f>
        <v/>
      </c>
      <c r="K3805" t="str">
        <f>IF(E3805="","",INDEX(Knutepunkter!$D:$D,E3805+1))</f>
        <v/>
      </c>
      <c r="L3805" t="str">
        <f t="shared" si="298"/>
        <v/>
      </c>
      <c r="M3805" t="str">
        <f t="shared" si="299"/>
        <v/>
      </c>
    </row>
    <row r="3806" spans="1:13" x14ac:dyDescent="0.3">
      <c r="A3806" t="str">
        <f>Segmenter!A3806</f>
        <v/>
      </c>
      <c r="B3806" t="str">
        <f>Segmenter!B3806</f>
        <v/>
      </c>
      <c r="C3806" t="str">
        <f t="shared" si="295"/>
        <v/>
      </c>
      <c r="D3806" t="str">
        <f t="shared" si="296"/>
        <v/>
      </c>
      <c r="E3806" t="str">
        <f t="shared" si="297"/>
        <v/>
      </c>
      <c r="F3806" t="str">
        <f>IF(D3806="","",INDEX(Knutepunkter!$B:$B,D3806+1))</f>
        <v/>
      </c>
      <c r="G3806" t="str">
        <f>IF(D3806="","",INDEX(Knutepunkter!$C:$C,D3806+1))</f>
        <v/>
      </c>
      <c r="H3806" t="str">
        <f>IF(D3806="","",INDEX(Knutepunkter!$D:$D,D3806+1))</f>
        <v/>
      </c>
      <c r="I3806" t="str">
        <f>IF(E3806="","",INDEX(Knutepunkter!$B:$B,E3806+1))</f>
        <v/>
      </c>
      <c r="J3806" t="str">
        <f>IF(E3806="","",INDEX(Knutepunkter!$C:$C,E3806+1))</f>
        <v/>
      </c>
      <c r="K3806" t="str">
        <f>IF(E3806="","",INDEX(Knutepunkter!$D:$D,E3806+1))</f>
        <v/>
      </c>
      <c r="L3806" t="str">
        <f t="shared" si="298"/>
        <v/>
      </c>
      <c r="M3806" t="str">
        <f t="shared" si="299"/>
        <v/>
      </c>
    </row>
    <row r="3807" spans="1:13" x14ac:dyDescent="0.3">
      <c r="A3807" t="str">
        <f>Segmenter!A3807</f>
        <v/>
      </c>
      <c r="B3807" t="str">
        <f>Segmenter!B3807</f>
        <v/>
      </c>
      <c r="C3807" t="str">
        <f t="shared" si="295"/>
        <v/>
      </c>
      <c r="D3807" t="str">
        <f t="shared" si="296"/>
        <v/>
      </c>
      <c r="E3807" t="str">
        <f t="shared" si="297"/>
        <v/>
      </c>
      <c r="F3807" t="str">
        <f>IF(D3807="","",INDEX(Knutepunkter!$B:$B,D3807+1))</f>
        <v/>
      </c>
      <c r="G3807" t="str">
        <f>IF(D3807="","",INDEX(Knutepunkter!$C:$C,D3807+1))</f>
        <v/>
      </c>
      <c r="H3807" t="str">
        <f>IF(D3807="","",INDEX(Knutepunkter!$D:$D,D3807+1))</f>
        <v/>
      </c>
      <c r="I3807" t="str">
        <f>IF(E3807="","",INDEX(Knutepunkter!$B:$B,E3807+1))</f>
        <v/>
      </c>
      <c r="J3807" t="str">
        <f>IF(E3807="","",INDEX(Knutepunkter!$C:$C,E3807+1))</f>
        <v/>
      </c>
      <c r="K3807" t="str">
        <f>IF(E3807="","",INDEX(Knutepunkter!$D:$D,E3807+1))</f>
        <v/>
      </c>
      <c r="L3807" t="str">
        <f t="shared" si="298"/>
        <v/>
      </c>
      <c r="M3807" t="str">
        <f t="shared" si="299"/>
        <v/>
      </c>
    </row>
    <row r="3808" spans="1:13" x14ac:dyDescent="0.3">
      <c r="A3808" t="str">
        <f>Segmenter!A3808</f>
        <v/>
      </c>
      <c r="B3808" t="str">
        <f>Segmenter!B3808</f>
        <v/>
      </c>
      <c r="C3808" t="str">
        <f t="shared" si="295"/>
        <v/>
      </c>
      <c r="D3808" t="str">
        <f t="shared" si="296"/>
        <v/>
      </c>
      <c r="E3808" t="str">
        <f t="shared" si="297"/>
        <v/>
      </c>
      <c r="F3808" t="str">
        <f>IF(D3808="","",INDEX(Knutepunkter!$B:$B,D3808+1))</f>
        <v/>
      </c>
      <c r="G3808" t="str">
        <f>IF(D3808="","",INDEX(Knutepunkter!$C:$C,D3808+1))</f>
        <v/>
      </c>
      <c r="H3808" t="str">
        <f>IF(D3808="","",INDEX(Knutepunkter!$D:$D,D3808+1))</f>
        <v/>
      </c>
      <c r="I3808" t="str">
        <f>IF(E3808="","",INDEX(Knutepunkter!$B:$B,E3808+1))</f>
        <v/>
      </c>
      <c r="J3808" t="str">
        <f>IF(E3808="","",INDEX(Knutepunkter!$C:$C,E3808+1))</f>
        <v/>
      </c>
      <c r="K3808" t="str">
        <f>IF(E3808="","",INDEX(Knutepunkter!$D:$D,E3808+1))</f>
        <v/>
      </c>
      <c r="L3808" t="str">
        <f t="shared" si="298"/>
        <v/>
      </c>
      <c r="M3808" t="str">
        <f t="shared" si="299"/>
        <v/>
      </c>
    </row>
    <row r="3809" spans="1:13" x14ac:dyDescent="0.3">
      <c r="A3809" t="str">
        <f>Segmenter!A3809</f>
        <v/>
      </c>
      <c r="B3809" t="str">
        <f>Segmenter!B3809</f>
        <v/>
      </c>
      <c r="C3809" t="str">
        <f t="shared" si="295"/>
        <v/>
      </c>
      <c r="D3809" t="str">
        <f t="shared" si="296"/>
        <v/>
      </c>
      <c r="E3809" t="str">
        <f t="shared" si="297"/>
        <v/>
      </c>
      <c r="F3809" t="str">
        <f>IF(D3809="","",INDEX(Knutepunkter!$B:$B,D3809+1))</f>
        <v/>
      </c>
      <c r="G3809" t="str">
        <f>IF(D3809="","",INDEX(Knutepunkter!$C:$C,D3809+1))</f>
        <v/>
      </c>
      <c r="H3809" t="str">
        <f>IF(D3809="","",INDEX(Knutepunkter!$D:$D,D3809+1))</f>
        <v/>
      </c>
      <c r="I3809" t="str">
        <f>IF(E3809="","",INDEX(Knutepunkter!$B:$B,E3809+1))</f>
        <v/>
      </c>
      <c r="J3809" t="str">
        <f>IF(E3809="","",INDEX(Knutepunkter!$C:$C,E3809+1))</f>
        <v/>
      </c>
      <c r="K3809" t="str">
        <f>IF(E3809="","",INDEX(Knutepunkter!$D:$D,E3809+1))</f>
        <v/>
      </c>
      <c r="L3809" t="str">
        <f t="shared" si="298"/>
        <v/>
      </c>
      <c r="M3809" t="str">
        <f t="shared" si="299"/>
        <v/>
      </c>
    </row>
    <row r="3810" spans="1:13" x14ac:dyDescent="0.3">
      <c r="A3810" t="str">
        <f>Segmenter!A3810</f>
        <v/>
      </c>
      <c r="B3810" t="str">
        <f>Segmenter!B3810</f>
        <v/>
      </c>
      <c r="C3810" t="str">
        <f t="shared" si="295"/>
        <v/>
      </c>
      <c r="D3810" t="str">
        <f t="shared" si="296"/>
        <v/>
      </c>
      <c r="E3810" t="str">
        <f t="shared" si="297"/>
        <v/>
      </c>
      <c r="F3810" t="str">
        <f>IF(D3810="","",INDEX(Knutepunkter!$B:$B,D3810+1))</f>
        <v/>
      </c>
      <c r="G3810" t="str">
        <f>IF(D3810="","",INDEX(Knutepunkter!$C:$C,D3810+1))</f>
        <v/>
      </c>
      <c r="H3810" t="str">
        <f>IF(D3810="","",INDEX(Knutepunkter!$D:$D,D3810+1))</f>
        <v/>
      </c>
      <c r="I3810" t="str">
        <f>IF(E3810="","",INDEX(Knutepunkter!$B:$B,E3810+1))</f>
        <v/>
      </c>
      <c r="J3810" t="str">
        <f>IF(E3810="","",INDEX(Knutepunkter!$C:$C,E3810+1))</f>
        <v/>
      </c>
      <c r="K3810" t="str">
        <f>IF(E3810="","",INDEX(Knutepunkter!$D:$D,E3810+1))</f>
        <v/>
      </c>
      <c r="L3810" t="str">
        <f t="shared" si="298"/>
        <v/>
      </c>
      <c r="M3810" t="str">
        <f t="shared" si="299"/>
        <v/>
      </c>
    </row>
    <row r="3811" spans="1:13" x14ac:dyDescent="0.3">
      <c r="A3811" t="str">
        <f>Segmenter!A3811</f>
        <v/>
      </c>
      <c r="B3811" t="str">
        <f>Segmenter!B3811</f>
        <v/>
      </c>
      <c r="C3811" t="str">
        <f t="shared" si="295"/>
        <v/>
      </c>
      <c r="D3811" t="str">
        <f t="shared" si="296"/>
        <v/>
      </c>
      <c r="E3811" t="str">
        <f t="shared" si="297"/>
        <v/>
      </c>
      <c r="F3811" t="str">
        <f>IF(D3811="","",INDEX(Knutepunkter!$B:$B,D3811+1))</f>
        <v/>
      </c>
      <c r="G3811" t="str">
        <f>IF(D3811="","",INDEX(Knutepunkter!$C:$C,D3811+1))</f>
        <v/>
      </c>
      <c r="H3811" t="str">
        <f>IF(D3811="","",INDEX(Knutepunkter!$D:$D,D3811+1))</f>
        <v/>
      </c>
      <c r="I3811" t="str">
        <f>IF(E3811="","",INDEX(Knutepunkter!$B:$B,E3811+1))</f>
        <v/>
      </c>
      <c r="J3811" t="str">
        <f>IF(E3811="","",INDEX(Knutepunkter!$C:$C,E3811+1))</f>
        <v/>
      </c>
      <c r="K3811" t="str">
        <f>IF(E3811="","",INDEX(Knutepunkter!$D:$D,E3811+1))</f>
        <v/>
      </c>
      <c r="L3811" t="str">
        <f t="shared" si="298"/>
        <v/>
      </c>
      <c r="M3811" t="str">
        <f t="shared" si="299"/>
        <v/>
      </c>
    </row>
    <row r="3812" spans="1:13" x14ac:dyDescent="0.3">
      <c r="A3812" t="str">
        <f>Segmenter!A3812</f>
        <v/>
      </c>
      <c r="B3812" t="str">
        <f>Segmenter!B3812</f>
        <v/>
      </c>
      <c r="C3812" t="str">
        <f t="shared" si="295"/>
        <v/>
      </c>
      <c r="D3812" t="str">
        <f t="shared" si="296"/>
        <v/>
      </c>
      <c r="E3812" t="str">
        <f t="shared" si="297"/>
        <v/>
      </c>
      <c r="F3812" t="str">
        <f>IF(D3812="","",INDEX(Knutepunkter!$B:$B,D3812+1))</f>
        <v/>
      </c>
      <c r="G3812" t="str">
        <f>IF(D3812="","",INDEX(Knutepunkter!$C:$C,D3812+1))</f>
        <v/>
      </c>
      <c r="H3812" t="str">
        <f>IF(D3812="","",INDEX(Knutepunkter!$D:$D,D3812+1))</f>
        <v/>
      </c>
      <c r="I3812" t="str">
        <f>IF(E3812="","",INDEX(Knutepunkter!$B:$B,E3812+1))</f>
        <v/>
      </c>
      <c r="J3812" t="str">
        <f>IF(E3812="","",INDEX(Knutepunkter!$C:$C,E3812+1))</f>
        <v/>
      </c>
      <c r="K3812" t="str">
        <f>IF(E3812="","",INDEX(Knutepunkter!$D:$D,E3812+1))</f>
        <v/>
      </c>
      <c r="L3812" t="str">
        <f t="shared" si="298"/>
        <v/>
      </c>
      <c r="M3812" t="str">
        <f t="shared" si="299"/>
        <v/>
      </c>
    </row>
    <row r="3813" spans="1:13" x14ac:dyDescent="0.3">
      <c r="A3813" t="str">
        <f>Segmenter!A3813</f>
        <v/>
      </c>
      <c r="B3813" t="str">
        <f>Segmenter!B3813</f>
        <v/>
      </c>
      <c r="C3813" t="str">
        <f t="shared" si="295"/>
        <v/>
      </c>
      <c r="D3813" t="str">
        <f t="shared" si="296"/>
        <v/>
      </c>
      <c r="E3813" t="str">
        <f t="shared" si="297"/>
        <v/>
      </c>
      <c r="F3813" t="str">
        <f>IF(D3813="","",INDEX(Knutepunkter!$B:$B,D3813+1))</f>
        <v/>
      </c>
      <c r="G3813" t="str">
        <f>IF(D3813="","",INDEX(Knutepunkter!$C:$C,D3813+1))</f>
        <v/>
      </c>
      <c r="H3813" t="str">
        <f>IF(D3813="","",INDEX(Knutepunkter!$D:$D,D3813+1))</f>
        <v/>
      </c>
      <c r="I3813" t="str">
        <f>IF(E3813="","",INDEX(Knutepunkter!$B:$B,E3813+1))</f>
        <v/>
      </c>
      <c r="J3813" t="str">
        <f>IF(E3813="","",INDEX(Knutepunkter!$C:$C,E3813+1))</f>
        <v/>
      </c>
      <c r="K3813" t="str">
        <f>IF(E3813="","",INDEX(Knutepunkter!$D:$D,E3813+1))</f>
        <v/>
      </c>
      <c r="L3813" t="str">
        <f t="shared" si="298"/>
        <v/>
      </c>
      <c r="M3813" t="str">
        <f t="shared" si="299"/>
        <v/>
      </c>
    </row>
    <row r="3814" spans="1:13" x14ac:dyDescent="0.3">
      <c r="A3814" t="str">
        <f>Segmenter!A3814</f>
        <v/>
      </c>
      <c r="B3814" t="str">
        <f>Segmenter!B3814</f>
        <v/>
      </c>
      <c r="C3814" t="str">
        <f t="shared" si="295"/>
        <v/>
      </c>
      <c r="D3814" t="str">
        <f t="shared" si="296"/>
        <v/>
      </c>
      <c r="E3814" t="str">
        <f t="shared" si="297"/>
        <v/>
      </c>
      <c r="F3814" t="str">
        <f>IF(D3814="","",INDEX(Knutepunkter!$B:$B,D3814+1))</f>
        <v/>
      </c>
      <c r="G3814" t="str">
        <f>IF(D3814="","",INDEX(Knutepunkter!$C:$C,D3814+1))</f>
        <v/>
      </c>
      <c r="H3814" t="str">
        <f>IF(D3814="","",INDEX(Knutepunkter!$D:$D,D3814+1))</f>
        <v/>
      </c>
      <c r="I3814" t="str">
        <f>IF(E3814="","",INDEX(Knutepunkter!$B:$B,E3814+1))</f>
        <v/>
      </c>
      <c r="J3814" t="str">
        <f>IF(E3814="","",INDEX(Knutepunkter!$C:$C,E3814+1))</f>
        <v/>
      </c>
      <c r="K3814" t="str">
        <f>IF(E3814="","",INDEX(Knutepunkter!$D:$D,E3814+1))</f>
        <v/>
      </c>
      <c r="L3814" t="str">
        <f t="shared" si="298"/>
        <v/>
      </c>
      <c r="M3814" t="str">
        <f t="shared" si="299"/>
        <v/>
      </c>
    </row>
    <row r="3815" spans="1:13" x14ac:dyDescent="0.3">
      <c r="A3815" t="str">
        <f>Segmenter!A3815</f>
        <v/>
      </c>
      <c r="B3815" t="str">
        <f>Segmenter!B3815</f>
        <v/>
      </c>
      <c r="C3815" t="str">
        <f t="shared" si="295"/>
        <v/>
      </c>
      <c r="D3815" t="str">
        <f t="shared" si="296"/>
        <v/>
      </c>
      <c r="E3815" t="str">
        <f t="shared" si="297"/>
        <v/>
      </c>
      <c r="F3815" t="str">
        <f>IF(D3815="","",INDEX(Knutepunkter!$B:$B,D3815+1))</f>
        <v/>
      </c>
      <c r="G3815" t="str">
        <f>IF(D3815="","",INDEX(Knutepunkter!$C:$C,D3815+1))</f>
        <v/>
      </c>
      <c r="H3815" t="str">
        <f>IF(D3815="","",INDEX(Knutepunkter!$D:$D,D3815+1))</f>
        <v/>
      </c>
      <c r="I3815" t="str">
        <f>IF(E3815="","",INDEX(Knutepunkter!$B:$B,E3815+1))</f>
        <v/>
      </c>
      <c r="J3815" t="str">
        <f>IF(E3815="","",INDEX(Knutepunkter!$C:$C,E3815+1))</f>
        <v/>
      </c>
      <c r="K3815" t="str">
        <f>IF(E3815="","",INDEX(Knutepunkter!$D:$D,E3815+1))</f>
        <v/>
      </c>
      <c r="L3815" t="str">
        <f t="shared" si="298"/>
        <v/>
      </c>
      <c r="M3815" t="str">
        <f t="shared" si="299"/>
        <v/>
      </c>
    </row>
    <row r="3816" spans="1:13" x14ac:dyDescent="0.3">
      <c r="A3816" t="str">
        <f>Segmenter!A3816</f>
        <v/>
      </c>
      <c r="B3816" t="str">
        <f>Segmenter!B3816</f>
        <v/>
      </c>
      <c r="C3816" t="str">
        <f t="shared" si="295"/>
        <v/>
      </c>
      <c r="D3816" t="str">
        <f t="shared" si="296"/>
        <v/>
      </c>
      <c r="E3816" t="str">
        <f t="shared" si="297"/>
        <v/>
      </c>
      <c r="F3816" t="str">
        <f>IF(D3816="","",INDEX(Knutepunkter!$B:$B,D3816+1))</f>
        <v/>
      </c>
      <c r="G3816" t="str">
        <f>IF(D3816="","",INDEX(Knutepunkter!$C:$C,D3816+1))</f>
        <v/>
      </c>
      <c r="H3816" t="str">
        <f>IF(D3816="","",INDEX(Knutepunkter!$D:$D,D3816+1))</f>
        <v/>
      </c>
      <c r="I3816" t="str">
        <f>IF(E3816="","",INDEX(Knutepunkter!$B:$B,E3816+1))</f>
        <v/>
      </c>
      <c r="J3816" t="str">
        <f>IF(E3816="","",INDEX(Knutepunkter!$C:$C,E3816+1))</f>
        <v/>
      </c>
      <c r="K3816" t="str">
        <f>IF(E3816="","",INDEX(Knutepunkter!$D:$D,E3816+1))</f>
        <v/>
      </c>
      <c r="L3816" t="str">
        <f t="shared" si="298"/>
        <v/>
      </c>
      <c r="M3816" t="str">
        <f t="shared" si="299"/>
        <v/>
      </c>
    </row>
    <row r="3817" spans="1:13" x14ac:dyDescent="0.3">
      <c r="A3817" t="str">
        <f>Segmenter!A3817</f>
        <v/>
      </c>
      <c r="B3817" t="str">
        <f>Segmenter!B3817</f>
        <v/>
      </c>
      <c r="C3817" t="str">
        <f t="shared" si="295"/>
        <v/>
      </c>
      <c r="D3817" t="str">
        <f t="shared" si="296"/>
        <v/>
      </c>
      <c r="E3817" t="str">
        <f t="shared" si="297"/>
        <v/>
      </c>
      <c r="F3817" t="str">
        <f>IF(D3817="","",INDEX(Knutepunkter!$B:$B,D3817+1))</f>
        <v/>
      </c>
      <c r="G3817" t="str">
        <f>IF(D3817="","",INDEX(Knutepunkter!$C:$C,D3817+1))</f>
        <v/>
      </c>
      <c r="H3817" t="str">
        <f>IF(D3817="","",INDEX(Knutepunkter!$D:$D,D3817+1))</f>
        <v/>
      </c>
      <c r="I3817" t="str">
        <f>IF(E3817="","",INDEX(Knutepunkter!$B:$B,E3817+1))</f>
        <v/>
      </c>
      <c r="J3817" t="str">
        <f>IF(E3817="","",INDEX(Knutepunkter!$C:$C,E3817+1))</f>
        <v/>
      </c>
      <c r="K3817" t="str">
        <f>IF(E3817="","",INDEX(Knutepunkter!$D:$D,E3817+1))</f>
        <v/>
      </c>
      <c r="L3817" t="str">
        <f t="shared" si="298"/>
        <v/>
      </c>
      <c r="M3817" t="str">
        <f t="shared" si="299"/>
        <v/>
      </c>
    </row>
    <row r="3818" spans="1:13" x14ac:dyDescent="0.3">
      <c r="A3818" t="str">
        <f>Segmenter!A3818</f>
        <v/>
      </c>
      <c r="B3818" t="str">
        <f>Segmenter!B3818</f>
        <v/>
      </c>
      <c r="C3818" t="str">
        <f t="shared" si="295"/>
        <v/>
      </c>
      <c r="D3818" t="str">
        <f t="shared" si="296"/>
        <v/>
      </c>
      <c r="E3818" t="str">
        <f t="shared" si="297"/>
        <v/>
      </c>
      <c r="F3818" t="str">
        <f>IF(D3818="","",INDEX(Knutepunkter!$B:$B,D3818+1))</f>
        <v/>
      </c>
      <c r="G3818" t="str">
        <f>IF(D3818="","",INDEX(Knutepunkter!$C:$C,D3818+1))</f>
        <v/>
      </c>
      <c r="H3818" t="str">
        <f>IF(D3818="","",INDEX(Knutepunkter!$D:$D,D3818+1))</f>
        <v/>
      </c>
      <c r="I3818" t="str">
        <f>IF(E3818="","",INDEX(Knutepunkter!$B:$B,E3818+1))</f>
        <v/>
      </c>
      <c r="J3818" t="str">
        <f>IF(E3818="","",INDEX(Knutepunkter!$C:$C,E3818+1))</f>
        <v/>
      </c>
      <c r="K3818" t="str">
        <f>IF(E3818="","",INDEX(Knutepunkter!$D:$D,E3818+1))</f>
        <v/>
      </c>
      <c r="L3818" t="str">
        <f t="shared" si="298"/>
        <v/>
      </c>
      <c r="M3818" t="str">
        <f t="shared" si="299"/>
        <v/>
      </c>
    </row>
    <row r="3819" spans="1:13" x14ac:dyDescent="0.3">
      <c r="A3819" t="str">
        <f>Segmenter!A3819</f>
        <v/>
      </c>
      <c r="B3819" t="str">
        <f>Segmenter!B3819</f>
        <v/>
      </c>
      <c r="C3819" t="str">
        <f t="shared" si="295"/>
        <v/>
      </c>
      <c r="D3819" t="str">
        <f t="shared" si="296"/>
        <v/>
      </c>
      <c r="E3819" t="str">
        <f t="shared" si="297"/>
        <v/>
      </c>
      <c r="F3819" t="str">
        <f>IF(D3819="","",INDEX(Knutepunkter!$B:$B,D3819+1))</f>
        <v/>
      </c>
      <c r="G3819" t="str">
        <f>IF(D3819="","",INDEX(Knutepunkter!$C:$C,D3819+1))</f>
        <v/>
      </c>
      <c r="H3819" t="str">
        <f>IF(D3819="","",INDEX(Knutepunkter!$D:$D,D3819+1))</f>
        <v/>
      </c>
      <c r="I3819" t="str">
        <f>IF(E3819="","",INDEX(Knutepunkter!$B:$B,E3819+1))</f>
        <v/>
      </c>
      <c r="J3819" t="str">
        <f>IF(E3819="","",INDEX(Knutepunkter!$C:$C,E3819+1))</f>
        <v/>
      </c>
      <c r="K3819" t="str">
        <f>IF(E3819="","",INDEX(Knutepunkter!$D:$D,E3819+1))</f>
        <v/>
      </c>
      <c r="L3819" t="str">
        <f t="shared" si="298"/>
        <v/>
      </c>
      <c r="M3819" t="str">
        <f t="shared" si="299"/>
        <v/>
      </c>
    </row>
    <row r="3820" spans="1:13" x14ac:dyDescent="0.3">
      <c r="A3820" t="str">
        <f>Segmenter!A3820</f>
        <v/>
      </c>
      <c r="B3820" t="str">
        <f>Segmenter!B3820</f>
        <v/>
      </c>
      <c r="C3820" t="str">
        <f t="shared" si="295"/>
        <v/>
      </c>
      <c r="D3820" t="str">
        <f t="shared" si="296"/>
        <v/>
      </c>
      <c r="E3820" t="str">
        <f t="shared" si="297"/>
        <v/>
      </c>
      <c r="F3820" t="str">
        <f>IF(D3820="","",INDEX(Knutepunkter!$B:$B,D3820+1))</f>
        <v/>
      </c>
      <c r="G3820" t="str">
        <f>IF(D3820="","",INDEX(Knutepunkter!$C:$C,D3820+1))</f>
        <v/>
      </c>
      <c r="H3820" t="str">
        <f>IF(D3820="","",INDEX(Knutepunkter!$D:$D,D3820+1))</f>
        <v/>
      </c>
      <c r="I3820" t="str">
        <f>IF(E3820="","",INDEX(Knutepunkter!$B:$B,E3820+1))</f>
        <v/>
      </c>
      <c r="J3820" t="str">
        <f>IF(E3820="","",INDEX(Knutepunkter!$C:$C,E3820+1))</f>
        <v/>
      </c>
      <c r="K3820" t="str">
        <f>IF(E3820="","",INDEX(Knutepunkter!$D:$D,E3820+1))</f>
        <v/>
      </c>
      <c r="L3820" t="str">
        <f t="shared" si="298"/>
        <v/>
      </c>
      <c r="M3820" t="str">
        <f t="shared" si="299"/>
        <v/>
      </c>
    </row>
    <row r="3821" spans="1:13" x14ac:dyDescent="0.3">
      <c r="A3821" t="str">
        <f>Segmenter!A3821</f>
        <v/>
      </c>
      <c r="B3821" t="str">
        <f>Segmenter!B3821</f>
        <v/>
      </c>
      <c r="C3821" t="str">
        <f t="shared" si="295"/>
        <v/>
      </c>
      <c r="D3821" t="str">
        <f t="shared" si="296"/>
        <v/>
      </c>
      <c r="E3821" t="str">
        <f t="shared" si="297"/>
        <v/>
      </c>
      <c r="F3821" t="str">
        <f>IF(D3821="","",INDEX(Knutepunkter!$B:$B,D3821+1))</f>
        <v/>
      </c>
      <c r="G3821" t="str">
        <f>IF(D3821="","",INDEX(Knutepunkter!$C:$C,D3821+1))</f>
        <v/>
      </c>
      <c r="H3821" t="str">
        <f>IF(D3821="","",INDEX(Knutepunkter!$D:$D,D3821+1))</f>
        <v/>
      </c>
      <c r="I3821" t="str">
        <f>IF(E3821="","",INDEX(Knutepunkter!$B:$B,E3821+1))</f>
        <v/>
      </c>
      <c r="J3821" t="str">
        <f>IF(E3821="","",INDEX(Knutepunkter!$C:$C,E3821+1))</f>
        <v/>
      </c>
      <c r="K3821" t="str">
        <f>IF(E3821="","",INDEX(Knutepunkter!$D:$D,E3821+1))</f>
        <v/>
      </c>
      <c r="L3821" t="str">
        <f t="shared" si="298"/>
        <v/>
      </c>
      <c r="M3821" t="str">
        <f t="shared" si="299"/>
        <v/>
      </c>
    </row>
    <row r="3822" spans="1:13" x14ac:dyDescent="0.3">
      <c r="A3822" t="str">
        <f>Segmenter!A3822</f>
        <v/>
      </c>
      <c r="B3822" t="str">
        <f>Segmenter!B3822</f>
        <v/>
      </c>
      <c r="C3822" t="str">
        <f t="shared" si="295"/>
        <v/>
      </c>
      <c r="D3822" t="str">
        <f t="shared" si="296"/>
        <v/>
      </c>
      <c r="E3822" t="str">
        <f t="shared" si="297"/>
        <v/>
      </c>
      <c r="F3822" t="str">
        <f>IF(D3822="","",INDEX(Knutepunkter!$B:$B,D3822+1))</f>
        <v/>
      </c>
      <c r="G3822" t="str">
        <f>IF(D3822="","",INDEX(Knutepunkter!$C:$C,D3822+1))</f>
        <v/>
      </c>
      <c r="H3822" t="str">
        <f>IF(D3822="","",INDEX(Knutepunkter!$D:$D,D3822+1))</f>
        <v/>
      </c>
      <c r="I3822" t="str">
        <f>IF(E3822="","",INDEX(Knutepunkter!$B:$B,E3822+1))</f>
        <v/>
      </c>
      <c r="J3822" t="str">
        <f>IF(E3822="","",INDEX(Knutepunkter!$C:$C,E3822+1))</f>
        <v/>
      </c>
      <c r="K3822" t="str">
        <f>IF(E3822="","",INDEX(Knutepunkter!$D:$D,E3822+1))</f>
        <v/>
      </c>
      <c r="L3822" t="str">
        <f t="shared" si="298"/>
        <v/>
      </c>
      <c r="M3822" t="str">
        <f t="shared" si="299"/>
        <v/>
      </c>
    </row>
    <row r="3823" spans="1:13" x14ac:dyDescent="0.3">
      <c r="A3823" t="str">
        <f>Segmenter!A3823</f>
        <v/>
      </c>
      <c r="B3823" t="str">
        <f>Segmenter!B3823</f>
        <v/>
      </c>
      <c r="C3823" t="str">
        <f t="shared" si="295"/>
        <v/>
      </c>
      <c r="D3823" t="str">
        <f t="shared" si="296"/>
        <v/>
      </c>
      <c r="E3823" t="str">
        <f t="shared" si="297"/>
        <v/>
      </c>
      <c r="F3823" t="str">
        <f>IF(D3823="","",INDEX(Knutepunkter!$B:$B,D3823+1))</f>
        <v/>
      </c>
      <c r="G3823" t="str">
        <f>IF(D3823="","",INDEX(Knutepunkter!$C:$C,D3823+1))</f>
        <v/>
      </c>
      <c r="H3823" t="str">
        <f>IF(D3823="","",INDEX(Knutepunkter!$D:$D,D3823+1))</f>
        <v/>
      </c>
      <c r="I3823" t="str">
        <f>IF(E3823="","",INDEX(Knutepunkter!$B:$B,E3823+1))</f>
        <v/>
      </c>
      <c r="J3823" t="str">
        <f>IF(E3823="","",INDEX(Knutepunkter!$C:$C,E3823+1))</f>
        <v/>
      </c>
      <c r="K3823" t="str">
        <f>IF(E3823="","",INDEX(Knutepunkter!$D:$D,E3823+1))</f>
        <v/>
      </c>
      <c r="L3823" t="str">
        <f t="shared" si="298"/>
        <v/>
      </c>
      <c r="M3823" t="str">
        <f t="shared" si="299"/>
        <v/>
      </c>
    </row>
    <row r="3824" spans="1:13" x14ac:dyDescent="0.3">
      <c r="A3824" t="str">
        <f>Segmenter!A3824</f>
        <v/>
      </c>
      <c r="B3824" t="str">
        <f>Segmenter!B3824</f>
        <v/>
      </c>
      <c r="C3824" t="str">
        <f t="shared" si="295"/>
        <v/>
      </c>
      <c r="D3824" t="str">
        <f t="shared" si="296"/>
        <v/>
      </c>
      <c r="E3824" t="str">
        <f t="shared" si="297"/>
        <v/>
      </c>
      <c r="F3824" t="str">
        <f>IF(D3824="","",INDEX(Knutepunkter!$B:$B,D3824+1))</f>
        <v/>
      </c>
      <c r="G3824" t="str">
        <f>IF(D3824="","",INDEX(Knutepunkter!$C:$C,D3824+1))</f>
        <v/>
      </c>
      <c r="H3824" t="str">
        <f>IF(D3824="","",INDEX(Knutepunkter!$D:$D,D3824+1))</f>
        <v/>
      </c>
      <c r="I3824" t="str">
        <f>IF(E3824="","",INDEX(Knutepunkter!$B:$B,E3824+1))</f>
        <v/>
      </c>
      <c r="J3824" t="str">
        <f>IF(E3824="","",INDEX(Knutepunkter!$C:$C,E3824+1))</f>
        <v/>
      </c>
      <c r="K3824" t="str">
        <f>IF(E3824="","",INDEX(Knutepunkter!$D:$D,E3824+1))</f>
        <v/>
      </c>
      <c r="L3824" t="str">
        <f t="shared" si="298"/>
        <v/>
      </c>
      <c r="M3824" t="str">
        <f t="shared" si="299"/>
        <v/>
      </c>
    </row>
    <row r="3825" spans="1:13" x14ac:dyDescent="0.3">
      <c r="A3825" t="str">
        <f>Segmenter!A3825</f>
        <v/>
      </c>
      <c r="B3825" t="str">
        <f>Segmenter!B3825</f>
        <v/>
      </c>
      <c r="C3825" t="str">
        <f t="shared" si="295"/>
        <v/>
      </c>
      <c r="D3825" t="str">
        <f t="shared" si="296"/>
        <v/>
      </c>
      <c r="E3825" t="str">
        <f t="shared" si="297"/>
        <v/>
      </c>
      <c r="F3825" t="str">
        <f>IF(D3825="","",INDEX(Knutepunkter!$B:$B,D3825+1))</f>
        <v/>
      </c>
      <c r="G3825" t="str">
        <f>IF(D3825="","",INDEX(Knutepunkter!$C:$C,D3825+1))</f>
        <v/>
      </c>
      <c r="H3825" t="str">
        <f>IF(D3825="","",INDEX(Knutepunkter!$D:$D,D3825+1))</f>
        <v/>
      </c>
      <c r="I3825" t="str">
        <f>IF(E3825="","",INDEX(Knutepunkter!$B:$B,E3825+1))</f>
        <v/>
      </c>
      <c r="J3825" t="str">
        <f>IF(E3825="","",INDEX(Knutepunkter!$C:$C,E3825+1))</f>
        <v/>
      </c>
      <c r="K3825" t="str">
        <f>IF(E3825="","",INDEX(Knutepunkter!$D:$D,E3825+1))</f>
        <v/>
      </c>
      <c r="L3825" t="str">
        <f t="shared" si="298"/>
        <v/>
      </c>
      <c r="M3825" t="str">
        <f t="shared" si="299"/>
        <v/>
      </c>
    </row>
    <row r="3826" spans="1:13" x14ac:dyDescent="0.3">
      <c r="A3826" t="str">
        <f>Segmenter!A3826</f>
        <v/>
      </c>
      <c r="B3826" t="str">
        <f>Segmenter!B3826</f>
        <v/>
      </c>
      <c r="C3826" t="str">
        <f t="shared" si="295"/>
        <v/>
      </c>
      <c r="D3826" t="str">
        <f t="shared" si="296"/>
        <v/>
      </c>
      <c r="E3826" t="str">
        <f t="shared" si="297"/>
        <v/>
      </c>
      <c r="F3826" t="str">
        <f>IF(D3826="","",INDEX(Knutepunkter!$B:$B,D3826+1))</f>
        <v/>
      </c>
      <c r="G3826" t="str">
        <f>IF(D3826="","",INDEX(Knutepunkter!$C:$C,D3826+1))</f>
        <v/>
      </c>
      <c r="H3826" t="str">
        <f>IF(D3826="","",INDEX(Knutepunkter!$D:$D,D3826+1))</f>
        <v/>
      </c>
      <c r="I3826" t="str">
        <f>IF(E3826="","",INDEX(Knutepunkter!$B:$B,E3826+1))</f>
        <v/>
      </c>
      <c r="J3826" t="str">
        <f>IF(E3826="","",INDEX(Knutepunkter!$C:$C,E3826+1))</f>
        <v/>
      </c>
      <c r="K3826" t="str">
        <f>IF(E3826="","",INDEX(Knutepunkter!$D:$D,E3826+1))</f>
        <v/>
      </c>
      <c r="L3826" t="str">
        <f t="shared" si="298"/>
        <v/>
      </c>
      <c r="M3826" t="str">
        <f t="shared" si="299"/>
        <v/>
      </c>
    </row>
    <row r="3827" spans="1:13" x14ac:dyDescent="0.3">
      <c r="A3827" t="str">
        <f>Segmenter!A3827</f>
        <v/>
      </c>
      <c r="B3827" t="str">
        <f>Segmenter!B3827</f>
        <v/>
      </c>
      <c r="C3827" t="str">
        <f t="shared" si="295"/>
        <v/>
      </c>
      <c r="D3827" t="str">
        <f t="shared" si="296"/>
        <v/>
      </c>
      <c r="E3827" t="str">
        <f t="shared" si="297"/>
        <v/>
      </c>
      <c r="F3827" t="str">
        <f>IF(D3827="","",INDEX(Knutepunkter!$B:$B,D3827+1))</f>
        <v/>
      </c>
      <c r="G3827" t="str">
        <f>IF(D3827="","",INDEX(Knutepunkter!$C:$C,D3827+1))</f>
        <v/>
      </c>
      <c r="H3827" t="str">
        <f>IF(D3827="","",INDEX(Knutepunkter!$D:$D,D3827+1))</f>
        <v/>
      </c>
      <c r="I3827" t="str">
        <f>IF(E3827="","",INDEX(Knutepunkter!$B:$B,E3827+1))</f>
        <v/>
      </c>
      <c r="J3827" t="str">
        <f>IF(E3827="","",INDEX(Knutepunkter!$C:$C,E3827+1))</f>
        <v/>
      </c>
      <c r="K3827" t="str">
        <f>IF(E3827="","",INDEX(Knutepunkter!$D:$D,E3827+1))</f>
        <v/>
      </c>
      <c r="L3827" t="str">
        <f t="shared" si="298"/>
        <v/>
      </c>
      <c r="M3827" t="str">
        <f t="shared" si="299"/>
        <v/>
      </c>
    </row>
    <row r="3828" spans="1:13" x14ac:dyDescent="0.3">
      <c r="A3828" t="str">
        <f>Segmenter!A3828</f>
        <v/>
      </c>
      <c r="B3828" t="str">
        <f>Segmenter!B3828</f>
        <v/>
      </c>
      <c r="C3828" t="str">
        <f t="shared" si="295"/>
        <v/>
      </c>
      <c r="D3828" t="str">
        <f t="shared" si="296"/>
        <v/>
      </c>
      <c r="E3828" t="str">
        <f t="shared" si="297"/>
        <v/>
      </c>
      <c r="F3828" t="str">
        <f>IF(D3828="","",INDEX(Knutepunkter!$B:$B,D3828+1))</f>
        <v/>
      </c>
      <c r="G3828" t="str">
        <f>IF(D3828="","",INDEX(Knutepunkter!$C:$C,D3828+1))</f>
        <v/>
      </c>
      <c r="H3828" t="str">
        <f>IF(D3828="","",INDEX(Knutepunkter!$D:$D,D3828+1))</f>
        <v/>
      </c>
      <c r="I3828" t="str">
        <f>IF(E3828="","",INDEX(Knutepunkter!$B:$B,E3828+1))</f>
        <v/>
      </c>
      <c r="J3828" t="str">
        <f>IF(E3828="","",INDEX(Knutepunkter!$C:$C,E3828+1))</f>
        <v/>
      </c>
      <c r="K3828" t="str">
        <f>IF(E3828="","",INDEX(Knutepunkter!$D:$D,E3828+1))</f>
        <v/>
      </c>
      <c r="L3828" t="str">
        <f t="shared" si="298"/>
        <v/>
      </c>
      <c r="M3828" t="str">
        <f t="shared" si="299"/>
        <v/>
      </c>
    </row>
    <row r="3829" spans="1:13" x14ac:dyDescent="0.3">
      <c r="A3829" t="str">
        <f>Segmenter!A3829</f>
        <v/>
      </c>
      <c r="B3829" t="str">
        <f>Segmenter!B3829</f>
        <v/>
      </c>
      <c r="C3829" t="str">
        <f t="shared" si="295"/>
        <v/>
      </c>
      <c r="D3829" t="str">
        <f t="shared" si="296"/>
        <v/>
      </c>
      <c r="E3829" t="str">
        <f t="shared" si="297"/>
        <v/>
      </c>
      <c r="F3829" t="str">
        <f>IF(D3829="","",INDEX(Knutepunkter!$B:$B,D3829+1))</f>
        <v/>
      </c>
      <c r="G3829" t="str">
        <f>IF(D3829="","",INDEX(Knutepunkter!$C:$C,D3829+1))</f>
        <v/>
      </c>
      <c r="H3829" t="str">
        <f>IF(D3829="","",INDEX(Knutepunkter!$D:$D,D3829+1))</f>
        <v/>
      </c>
      <c r="I3829" t="str">
        <f>IF(E3829="","",INDEX(Knutepunkter!$B:$B,E3829+1))</f>
        <v/>
      </c>
      <c r="J3829" t="str">
        <f>IF(E3829="","",INDEX(Knutepunkter!$C:$C,E3829+1))</f>
        <v/>
      </c>
      <c r="K3829" t="str">
        <f>IF(E3829="","",INDEX(Knutepunkter!$D:$D,E3829+1))</f>
        <v/>
      </c>
      <c r="L3829" t="str">
        <f t="shared" si="298"/>
        <v/>
      </c>
      <c r="M3829" t="str">
        <f t="shared" si="299"/>
        <v/>
      </c>
    </row>
    <row r="3830" spans="1:13" x14ac:dyDescent="0.3">
      <c r="A3830" t="str">
        <f>Segmenter!A3830</f>
        <v/>
      </c>
      <c r="B3830" t="str">
        <f>Segmenter!B3830</f>
        <v/>
      </c>
      <c r="C3830" t="str">
        <f t="shared" si="295"/>
        <v/>
      </c>
      <c r="D3830" t="str">
        <f t="shared" si="296"/>
        <v/>
      </c>
      <c r="E3830" t="str">
        <f t="shared" si="297"/>
        <v/>
      </c>
      <c r="F3830" t="str">
        <f>IF(D3830="","",INDEX(Knutepunkter!$B:$B,D3830+1))</f>
        <v/>
      </c>
      <c r="G3830" t="str">
        <f>IF(D3830="","",INDEX(Knutepunkter!$C:$C,D3830+1))</f>
        <v/>
      </c>
      <c r="H3830" t="str">
        <f>IF(D3830="","",INDEX(Knutepunkter!$D:$D,D3830+1))</f>
        <v/>
      </c>
      <c r="I3830" t="str">
        <f>IF(E3830="","",INDEX(Knutepunkter!$B:$B,E3830+1))</f>
        <v/>
      </c>
      <c r="J3830" t="str">
        <f>IF(E3830="","",INDEX(Knutepunkter!$C:$C,E3830+1))</f>
        <v/>
      </c>
      <c r="K3830" t="str">
        <f>IF(E3830="","",INDEX(Knutepunkter!$D:$D,E3830+1))</f>
        <v/>
      </c>
      <c r="L3830" t="str">
        <f t="shared" si="298"/>
        <v/>
      </c>
      <c r="M3830" t="str">
        <f t="shared" si="299"/>
        <v/>
      </c>
    </row>
    <row r="3831" spans="1:13" x14ac:dyDescent="0.3">
      <c r="A3831" t="str">
        <f>Segmenter!A3831</f>
        <v/>
      </c>
      <c r="B3831" t="str">
        <f>Segmenter!B3831</f>
        <v/>
      </c>
      <c r="C3831" t="str">
        <f t="shared" si="295"/>
        <v/>
      </c>
      <c r="D3831" t="str">
        <f t="shared" si="296"/>
        <v/>
      </c>
      <c r="E3831" t="str">
        <f t="shared" si="297"/>
        <v/>
      </c>
      <c r="F3831" t="str">
        <f>IF(D3831="","",INDEX(Knutepunkter!$B:$B,D3831+1))</f>
        <v/>
      </c>
      <c r="G3831" t="str">
        <f>IF(D3831="","",INDEX(Knutepunkter!$C:$C,D3831+1))</f>
        <v/>
      </c>
      <c r="H3831" t="str">
        <f>IF(D3831="","",INDEX(Knutepunkter!$D:$D,D3831+1))</f>
        <v/>
      </c>
      <c r="I3831" t="str">
        <f>IF(E3831="","",INDEX(Knutepunkter!$B:$B,E3831+1))</f>
        <v/>
      </c>
      <c r="J3831" t="str">
        <f>IF(E3831="","",INDEX(Knutepunkter!$C:$C,E3831+1))</f>
        <v/>
      </c>
      <c r="K3831" t="str">
        <f>IF(E3831="","",INDEX(Knutepunkter!$D:$D,E3831+1))</f>
        <v/>
      </c>
      <c r="L3831" t="str">
        <f t="shared" si="298"/>
        <v/>
      </c>
      <c r="M3831" t="str">
        <f t="shared" si="299"/>
        <v/>
      </c>
    </row>
    <row r="3832" spans="1:13" x14ac:dyDescent="0.3">
      <c r="A3832" t="str">
        <f>Segmenter!A3832</f>
        <v/>
      </c>
      <c r="B3832" t="str">
        <f>Segmenter!B3832</f>
        <v/>
      </c>
      <c r="C3832" t="str">
        <f t="shared" si="295"/>
        <v/>
      </c>
      <c r="D3832" t="str">
        <f t="shared" si="296"/>
        <v/>
      </c>
      <c r="E3832" t="str">
        <f t="shared" si="297"/>
        <v/>
      </c>
      <c r="F3832" t="str">
        <f>IF(D3832="","",INDEX(Knutepunkter!$B:$B,D3832+1))</f>
        <v/>
      </c>
      <c r="G3832" t="str">
        <f>IF(D3832="","",INDEX(Knutepunkter!$C:$C,D3832+1))</f>
        <v/>
      </c>
      <c r="H3832" t="str">
        <f>IF(D3832="","",INDEX(Knutepunkter!$D:$D,D3832+1))</f>
        <v/>
      </c>
      <c r="I3832" t="str">
        <f>IF(E3832="","",INDEX(Knutepunkter!$B:$B,E3832+1))</f>
        <v/>
      </c>
      <c r="J3832" t="str">
        <f>IF(E3832="","",INDEX(Knutepunkter!$C:$C,E3832+1))</f>
        <v/>
      </c>
      <c r="K3832" t="str">
        <f>IF(E3832="","",INDEX(Knutepunkter!$D:$D,E3832+1))</f>
        <v/>
      </c>
      <c r="L3832" t="str">
        <f t="shared" si="298"/>
        <v/>
      </c>
      <c r="M3832" t="str">
        <f t="shared" si="299"/>
        <v/>
      </c>
    </row>
    <row r="3833" spans="1:13" x14ac:dyDescent="0.3">
      <c r="A3833" t="str">
        <f>Segmenter!A3833</f>
        <v/>
      </c>
      <c r="B3833" t="str">
        <f>Segmenter!B3833</f>
        <v/>
      </c>
      <c r="C3833" t="str">
        <f t="shared" si="295"/>
        <v/>
      </c>
      <c r="D3833" t="str">
        <f t="shared" si="296"/>
        <v/>
      </c>
      <c r="E3833" t="str">
        <f t="shared" si="297"/>
        <v/>
      </c>
      <c r="F3833" t="str">
        <f>IF(D3833="","",INDEX(Knutepunkter!$B:$B,D3833+1))</f>
        <v/>
      </c>
      <c r="G3833" t="str">
        <f>IF(D3833="","",INDEX(Knutepunkter!$C:$C,D3833+1))</f>
        <v/>
      </c>
      <c r="H3833" t="str">
        <f>IF(D3833="","",INDEX(Knutepunkter!$D:$D,D3833+1))</f>
        <v/>
      </c>
      <c r="I3833" t="str">
        <f>IF(E3833="","",INDEX(Knutepunkter!$B:$B,E3833+1))</f>
        <v/>
      </c>
      <c r="J3833" t="str">
        <f>IF(E3833="","",INDEX(Knutepunkter!$C:$C,E3833+1))</f>
        <v/>
      </c>
      <c r="K3833" t="str">
        <f>IF(E3833="","",INDEX(Knutepunkter!$D:$D,E3833+1))</f>
        <v/>
      </c>
      <c r="L3833" t="str">
        <f t="shared" si="298"/>
        <v/>
      </c>
      <c r="M3833" t="str">
        <f t="shared" si="299"/>
        <v/>
      </c>
    </row>
    <row r="3834" spans="1:13" x14ac:dyDescent="0.3">
      <c r="A3834" t="str">
        <f>Segmenter!A3834</f>
        <v/>
      </c>
      <c r="B3834" t="str">
        <f>Segmenter!B3834</f>
        <v/>
      </c>
      <c r="C3834" t="str">
        <f t="shared" si="295"/>
        <v/>
      </c>
      <c r="D3834" t="str">
        <f t="shared" si="296"/>
        <v/>
      </c>
      <c r="E3834" t="str">
        <f t="shared" si="297"/>
        <v/>
      </c>
      <c r="F3834" t="str">
        <f>IF(D3834="","",INDEX(Knutepunkter!$B:$B,D3834+1))</f>
        <v/>
      </c>
      <c r="G3834" t="str">
        <f>IF(D3834="","",INDEX(Knutepunkter!$C:$C,D3834+1))</f>
        <v/>
      </c>
      <c r="H3834" t="str">
        <f>IF(D3834="","",INDEX(Knutepunkter!$D:$D,D3834+1))</f>
        <v/>
      </c>
      <c r="I3834" t="str">
        <f>IF(E3834="","",INDEX(Knutepunkter!$B:$B,E3834+1))</f>
        <v/>
      </c>
      <c r="J3834" t="str">
        <f>IF(E3834="","",INDEX(Knutepunkter!$C:$C,E3834+1))</f>
        <v/>
      </c>
      <c r="K3834" t="str">
        <f>IF(E3834="","",INDEX(Knutepunkter!$D:$D,E3834+1))</f>
        <v/>
      </c>
      <c r="L3834" t="str">
        <f t="shared" si="298"/>
        <v/>
      </c>
      <c r="M3834" t="str">
        <f t="shared" si="299"/>
        <v/>
      </c>
    </row>
    <row r="3835" spans="1:13" x14ac:dyDescent="0.3">
      <c r="A3835" t="str">
        <f>Segmenter!A3835</f>
        <v/>
      </c>
      <c r="B3835" t="str">
        <f>Segmenter!B3835</f>
        <v/>
      </c>
      <c r="C3835" t="str">
        <f t="shared" si="295"/>
        <v/>
      </c>
      <c r="D3835" t="str">
        <f t="shared" si="296"/>
        <v/>
      </c>
      <c r="E3835" t="str">
        <f t="shared" si="297"/>
        <v/>
      </c>
      <c r="F3835" t="str">
        <f>IF(D3835="","",INDEX(Knutepunkter!$B:$B,D3835+1))</f>
        <v/>
      </c>
      <c r="G3835" t="str">
        <f>IF(D3835="","",INDEX(Knutepunkter!$C:$C,D3835+1))</f>
        <v/>
      </c>
      <c r="H3835" t="str">
        <f>IF(D3835="","",INDEX(Knutepunkter!$D:$D,D3835+1))</f>
        <v/>
      </c>
      <c r="I3835" t="str">
        <f>IF(E3835="","",INDEX(Knutepunkter!$B:$B,E3835+1))</f>
        <v/>
      </c>
      <c r="J3835" t="str">
        <f>IF(E3835="","",INDEX(Knutepunkter!$C:$C,E3835+1))</f>
        <v/>
      </c>
      <c r="K3835" t="str">
        <f>IF(E3835="","",INDEX(Knutepunkter!$D:$D,E3835+1))</f>
        <v/>
      </c>
      <c r="L3835" t="str">
        <f t="shared" si="298"/>
        <v/>
      </c>
      <c r="M3835" t="str">
        <f t="shared" si="299"/>
        <v/>
      </c>
    </row>
    <row r="3836" spans="1:13" x14ac:dyDescent="0.3">
      <c r="A3836" t="str">
        <f>Segmenter!A3836</f>
        <v/>
      </c>
      <c r="B3836" t="str">
        <f>Segmenter!B3836</f>
        <v/>
      </c>
      <c r="C3836" t="str">
        <f t="shared" si="295"/>
        <v/>
      </c>
      <c r="D3836" t="str">
        <f t="shared" si="296"/>
        <v/>
      </c>
      <c r="E3836" t="str">
        <f t="shared" si="297"/>
        <v/>
      </c>
      <c r="F3836" t="str">
        <f>IF(D3836="","",INDEX(Knutepunkter!$B:$B,D3836+1))</f>
        <v/>
      </c>
      <c r="G3836" t="str">
        <f>IF(D3836="","",INDEX(Knutepunkter!$C:$C,D3836+1))</f>
        <v/>
      </c>
      <c r="H3836" t="str">
        <f>IF(D3836="","",INDEX(Knutepunkter!$D:$D,D3836+1))</f>
        <v/>
      </c>
      <c r="I3836" t="str">
        <f>IF(E3836="","",INDEX(Knutepunkter!$B:$B,E3836+1))</f>
        <v/>
      </c>
      <c r="J3836" t="str">
        <f>IF(E3836="","",INDEX(Knutepunkter!$C:$C,E3836+1))</f>
        <v/>
      </c>
      <c r="K3836" t="str">
        <f>IF(E3836="","",INDEX(Knutepunkter!$D:$D,E3836+1))</f>
        <v/>
      </c>
      <c r="L3836" t="str">
        <f t="shared" si="298"/>
        <v/>
      </c>
      <c r="M3836" t="str">
        <f t="shared" si="299"/>
        <v/>
      </c>
    </row>
    <row r="3837" spans="1:13" x14ac:dyDescent="0.3">
      <c r="A3837" t="str">
        <f>Segmenter!A3837</f>
        <v/>
      </c>
      <c r="B3837" t="str">
        <f>Segmenter!B3837</f>
        <v/>
      </c>
      <c r="C3837" t="str">
        <f t="shared" si="295"/>
        <v/>
      </c>
      <c r="D3837" t="str">
        <f t="shared" si="296"/>
        <v/>
      </c>
      <c r="E3837" t="str">
        <f t="shared" si="297"/>
        <v/>
      </c>
      <c r="F3837" t="str">
        <f>IF(D3837="","",INDEX(Knutepunkter!$B:$B,D3837+1))</f>
        <v/>
      </c>
      <c r="G3837" t="str">
        <f>IF(D3837="","",INDEX(Knutepunkter!$C:$C,D3837+1))</f>
        <v/>
      </c>
      <c r="H3837" t="str">
        <f>IF(D3837="","",INDEX(Knutepunkter!$D:$D,D3837+1))</f>
        <v/>
      </c>
      <c r="I3837" t="str">
        <f>IF(E3837="","",INDEX(Knutepunkter!$B:$B,E3837+1))</f>
        <v/>
      </c>
      <c r="J3837" t="str">
        <f>IF(E3837="","",INDEX(Knutepunkter!$C:$C,E3837+1))</f>
        <v/>
      </c>
      <c r="K3837" t="str">
        <f>IF(E3837="","",INDEX(Knutepunkter!$D:$D,E3837+1))</f>
        <v/>
      </c>
      <c r="L3837" t="str">
        <f t="shared" si="298"/>
        <v/>
      </c>
      <c r="M3837" t="str">
        <f t="shared" si="299"/>
        <v/>
      </c>
    </row>
    <row r="3838" spans="1:13" x14ac:dyDescent="0.3">
      <c r="A3838" t="str">
        <f>Segmenter!A3838</f>
        <v/>
      </c>
      <c r="B3838" t="str">
        <f>Segmenter!B3838</f>
        <v/>
      </c>
      <c r="C3838" t="str">
        <f t="shared" si="295"/>
        <v/>
      </c>
      <c r="D3838" t="str">
        <f t="shared" si="296"/>
        <v/>
      </c>
      <c r="E3838" t="str">
        <f t="shared" si="297"/>
        <v/>
      </c>
      <c r="F3838" t="str">
        <f>IF(D3838="","",INDEX(Knutepunkter!$B:$B,D3838+1))</f>
        <v/>
      </c>
      <c r="G3838" t="str">
        <f>IF(D3838="","",INDEX(Knutepunkter!$C:$C,D3838+1))</f>
        <v/>
      </c>
      <c r="H3838" t="str">
        <f>IF(D3838="","",INDEX(Knutepunkter!$D:$D,D3838+1))</f>
        <v/>
      </c>
      <c r="I3838" t="str">
        <f>IF(E3838="","",INDEX(Knutepunkter!$B:$B,E3838+1))</f>
        <v/>
      </c>
      <c r="J3838" t="str">
        <f>IF(E3838="","",INDEX(Knutepunkter!$C:$C,E3838+1))</f>
        <v/>
      </c>
      <c r="K3838" t="str">
        <f>IF(E3838="","",INDEX(Knutepunkter!$D:$D,E3838+1))</f>
        <v/>
      </c>
      <c r="L3838" t="str">
        <f t="shared" si="298"/>
        <v/>
      </c>
      <c r="M3838" t="str">
        <f t="shared" si="299"/>
        <v/>
      </c>
    </row>
    <row r="3839" spans="1:13" x14ac:dyDescent="0.3">
      <c r="A3839" t="str">
        <f>Segmenter!A3839</f>
        <v/>
      </c>
      <c r="B3839" t="str">
        <f>Segmenter!B3839</f>
        <v/>
      </c>
      <c r="C3839" t="str">
        <f t="shared" si="295"/>
        <v/>
      </c>
      <c r="D3839" t="str">
        <f t="shared" si="296"/>
        <v/>
      </c>
      <c r="E3839" t="str">
        <f t="shared" si="297"/>
        <v/>
      </c>
      <c r="F3839" t="str">
        <f>IF(D3839="","",INDEX(Knutepunkter!$B:$B,D3839+1))</f>
        <v/>
      </c>
      <c r="G3839" t="str">
        <f>IF(D3839="","",INDEX(Knutepunkter!$C:$C,D3839+1))</f>
        <v/>
      </c>
      <c r="H3839" t="str">
        <f>IF(D3839="","",INDEX(Knutepunkter!$D:$D,D3839+1))</f>
        <v/>
      </c>
      <c r="I3839" t="str">
        <f>IF(E3839="","",INDEX(Knutepunkter!$B:$B,E3839+1))</f>
        <v/>
      </c>
      <c r="J3839" t="str">
        <f>IF(E3839="","",INDEX(Knutepunkter!$C:$C,E3839+1))</f>
        <v/>
      </c>
      <c r="K3839" t="str">
        <f>IF(E3839="","",INDEX(Knutepunkter!$D:$D,E3839+1))</f>
        <v/>
      </c>
      <c r="L3839" t="str">
        <f t="shared" si="298"/>
        <v/>
      </c>
      <c r="M3839" t="str">
        <f t="shared" si="299"/>
        <v/>
      </c>
    </row>
    <row r="3840" spans="1:13" x14ac:dyDescent="0.3">
      <c r="A3840" t="str">
        <f>Segmenter!A3840</f>
        <v/>
      </c>
      <c r="B3840" t="str">
        <f>Segmenter!B3840</f>
        <v/>
      </c>
      <c r="C3840" t="str">
        <f t="shared" si="295"/>
        <v/>
      </c>
      <c r="D3840" t="str">
        <f t="shared" si="296"/>
        <v/>
      </c>
      <c r="E3840" t="str">
        <f t="shared" si="297"/>
        <v/>
      </c>
      <c r="F3840" t="str">
        <f>IF(D3840="","",INDEX(Knutepunkter!$B:$B,D3840+1))</f>
        <v/>
      </c>
      <c r="G3840" t="str">
        <f>IF(D3840="","",INDEX(Knutepunkter!$C:$C,D3840+1))</f>
        <v/>
      </c>
      <c r="H3840" t="str">
        <f>IF(D3840="","",INDEX(Knutepunkter!$D:$D,D3840+1))</f>
        <v/>
      </c>
      <c r="I3840" t="str">
        <f>IF(E3840="","",INDEX(Knutepunkter!$B:$B,E3840+1))</f>
        <v/>
      </c>
      <c r="J3840" t="str">
        <f>IF(E3840="","",INDEX(Knutepunkter!$C:$C,E3840+1))</f>
        <v/>
      </c>
      <c r="K3840" t="str">
        <f>IF(E3840="","",INDEX(Knutepunkter!$D:$D,E3840+1))</f>
        <v/>
      </c>
      <c r="L3840" t="str">
        <f t="shared" si="298"/>
        <v/>
      </c>
      <c r="M3840" t="str">
        <f t="shared" si="299"/>
        <v/>
      </c>
    </row>
    <row r="3841" spans="1:13" x14ac:dyDescent="0.3">
      <c r="A3841" t="str">
        <f>Segmenter!A3841</f>
        <v/>
      </c>
      <c r="B3841" t="str">
        <f>Segmenter!B3841</f>
        <v/>
      </c>
      <c r="C3841" t="str">
        <f t="shared" si="295"/>
        <v/>
      </c>
      <c r="D3841" t="str">
        <f t="shared" si="296"/>
        <v/>
      </c>
      <c r="E3841" t="str">
        <f t="shared" si="297"/>
        <v/>
      </c>
      <c r="F3841" t="str">
        <f>IF(D3841="","",INDEX(Knutepunkter!$B:$B,D3841+1))</f>
        <v/>
      </c>
      <c r="G3841" t="str">
        <f>IF(D3841="","",INDEX(Knutepunkter!$C:$C,D3841+1))</f>
        <v/>
      </c>
      <c r="H3841" t="str">
        <f>IF(D3841="","",INDEX(Knutepunkter!$D:$D,D3841+1))</f>
        <v/>
      </c>
      <c r="I3841" t="str">
        <f>IF(E3841="","",INDEX(Knutepunkter!$B:$B,E3841+1))</f>
        <v/>
      </c>
      <c r="J3841" t="str">
        <f>IF(E3841="","",INDEX(Knutepunkter!$C:$C,E3841+1))</f>
        <v/>
      </c>
      <c r="K3841" t="str">
        <f>IF(E3841="","",INDEX(Knutepunkter!$D:$D,E3841+1))</f>
        <v/>
      </c>
      <c r="L3841" t="str">
        <f t="shared" si="298"/>
        <v/>
      </c>
      <c r="M3841" t="str">
        <f t="shared" si="299"/>
        <v/>
      </c>
    </row>
    <row r="3842" spans="1:13" x14ac:dyDescent="0.3">
      <c r="A3842" t="str">
        <f>Segmenter!A3842</f>
        <v/>
      </c>
      <c r="B3842" t="str">
        <f>Segmenter!B3842</f>
        <v/>
      </c>
      <c r="C3842" t="str">
        <f t="shared" ref="C3842:C3905" si="300">IF(B3842="","",IF(AND(F3842=I3842,G3842=J3842,H3842&lt;&gt;K3842),"Søyle","Bjelke"))</f>
        <v/>
      </c>
      <c r="D3842" t="str">
        <f t="shared" ref="D3842:D3905" si="301">IF(B3842="","",VALUE(LEFT(B3842,FIND(" -&gt; ",B3842)-1)))</f>
        <v/>
      </c>
      <c r="E3842" t="str">
        <f t="shared" ref="E3842:E3905" si="302">IF(B3842="","",VALUE(MID(B3842,FIND(" -&gt; ",B3842)+4,99)))</f>
        <v/>
      </c>
      <c r="F3842" t="str">
        <f>IF(D3842="","",INDEX(Knutepunkter!$B:$B,D3842+1))</f>
        <v/>
      </c>
      <c r="G3842" t="str">
        <f>IF(D3842="","",INDEX(Knutepunkter!$C:$C,D3842+1))</f>
        <v/>
      </c>
      <c r="H3842" t="str">
        <f>IF(D3842="","",INDEX(Knutepunkter!$D:$D,D3842+1))</f>
        <v/>
      </c>
      <c r="I3842" t="str">
        <f>IF(E3842="","",INDEX(Knutepunkter!$B:$B,E3842+1))</f>
        <v/>
      </c>
      <c r="J3842" t="str">
        <f>IF(E3842="","",INDEX(Knutepunkter!$C:$C,E3842+1))</f>
        <v/>
      </c>
      <c r="K3842" t="str">
        <f>IF(E3842="","",INDEX(Knutepunkter!$D:$D,E3842+1))</f>
        <v/>
      </c>
      <c r="L3842" t="str">
        <f t="shared" ref="L3842:L3905" si="303">IF(B3842="","",SQRT((I3842-F3842)^2+(J3842-G3842)^2+(K3842-H3842)^2))</f>
        <v/>
      </c>
      <c r="M3842" t="str">
        <f t="shared" ref="M3842:M3905" si="304">IF(L3842="","",L3842/1000)</f>
        <v/>
      </c>
    </row>
    <row r="3843" spans="1:13" x14ac:dyDescent="0.3">
      <c r="A3843" t="str">
        <f>Segmenter!A3843</f>
        <v/>
      </c>
      <c r="B3843" t="str">
        <f>Segmenter!B3843</f>
        <v/>
      </c>
      <c r="C3843" t="str">
        <f t="shared" si="300"/>
        <v/>
      </c>
      <c r="D3843" t="str">
        <f t="shared" si="301"/>
        <v/>
      </c>
      <c r="E3843" t="str">
        <f t="shared" si="302"/>
        <v/>
      </c>
      <c r="F3843" t="str">
        <f>IF(D3843="","",INDEX(Knutepunkter!$B:$B,D3843+1))</f>
        <v/>
      </c>
      <c r="G3843" t="str">
        <f>IF(D3843="","",INDEX(Knutepunkter!$C:$C,D3843+1))</f>
        <v/>
      </c>
      <c r="H3843" t="str">
        <f>IF(D3843="","",INDEX(Knutepunkter!$D:$D,D3843+1))</f>
        <v/>
      </c>
      <c r="I3843" t="str">
        <f>IF(E3843="","",INDEX(Knutepunkter!$B:$B,E3843+1))</f>
        <v/>
      </c>
      <c r="J3843" t="str">
        <f>IF(E3843="","",INDEX(Knutepunkter!$C:$C,E3843+1))</f>
        <v/>
      </c>
      <c r="K3843" t="str">
        <f>IF(E3843="","",INDEX(Knutepunkter!$D:$D,E3843+1))</f>
        <v/>
      </c>
      <c r="L3843" t="str">
        <f t="shared" si="303"/>
        <v/>
      </c>
      <c r="M3843" t="str">
        <f t="shared" si="304"/>
        <v/>
      </c>
    </row>
    <row r="3844" spans="1:13" x14ac:dyDescent="0.3">
      <c r="A3844" t="str">
        <f>Segmenter!A3844</f>
        <v/>
      </c>
      <c r="B3844" t="str">
        <f>Segmenter!B3844</f>
        <v/>
      </c>
      <c r="C3844" t="str">
        <f t="shared" si="300"/>
        <v/>
      </c>
      <c r="D3844" t="str">
        <f t="shared" si="301"/>
        <v/>
      </c>
      <c r="E3844" t="str">
        <f t="shared" si="302"/>
        <v/>
      </c>
      <c r="F3844" t="str">
        <f>IF(D3844="","",INDEX(Knutepunkter!$B:$B,D3844+1))</f>
        <v/>
      </c>
      <c r="G3844" t="str">
        <f>IF(D3844="","",INDEX(Knutepunkter!$C:$C,D3844+1))</f>
        <v/>
      </c>
      <c r="H3844" t="str">
        <f>IF(D3844="","",INDEX(Knutepunkter!$D:$D,D3844+1))</f>
        <v/>
      </c>
      <c r="I3844" t="str">
        <f>IF(E3844="","",INDEX(Knutepunkter!$B:$B,E3844+1))</f>
        <v/>
      </c>
      <c r="J3844" t="str">
        <f>IF(E3844="","",INDEX(Knutepunkter!$C:$C,E3844+1))</f>
        <v/>
      </c>
      <c r="K3844" t="str">
        <f>IF(E3844="","",INDEX(Knutepunkter!$D:$D,E3844+1))</f>
        <v/>
      </c>
      <c r="L3844" t="str">
        <f t="shared" si="303"/>
        <v/>
      </c>
      <c r="M3844" t="str">
        <f t="shared" si="304"/>
        <v/>
      </c>
    </row>
    <row r="3845" spans="1:13" x14ac:dyDescent="0.3">
      <c r="A3845" t="str">
        <f>Segmenter!A3845</f>
        <v/>
      </c>
      <c r="B3845" t="str">
        <f>Segmenter!B3845</f>
        <v/>
      </c>
      <c r="C3845" t="str">
        <f t="shared" si="300"/>
        <v/>
      </c>
      <c r="D3845" t="str">
        <f t="shared" si="301"/>
        <v/>
      </c>
      <c r="E3845" t="str">
        <f t="shared" si="302"/>
        <v/>
      </c>
      <c r="F3845" t="str">
        <f>IF(D3845="","",INDEX(Knutepunkter!$B:$B,D3845+1))</f>
        <v/>
      </c>
      <c r="G3845" t="str">
        <f>IF(D3845="","",INDEX(Knutepunkter!$C:$C,D3845+1))</f>
        <v/>
      </c>
      <c r="H3845" t="str">
        <f>IF(D3845="","",INDEX(Knutepunkter!$D:$D,D3845+1))</f>
        <v/>
      </c>
      <c r="I3845" t="str">
        <f>IF(E3845="","",INDEX(Knutepunkter!$B:$B,E3845+1))</f>
        <v/>
      </c>
      <c r="J3845" t="str">
        <f>IF(E3845="","",INDEX(Knutepunkter!$C:$C,E3845+1))</f>
        <v/>
      </c>
      <c r="K3845" t="str">
        <f>IF(E3845="","",INDEX(Knutepunkter!$D:$D,E3845+1))</f>
        <v/>
      </c>
      <c r="L3845" t="str">
        <f t="shared" si="303"/>
        <v/>
      </c>
      <c r="M3845" t="str">
        <f t="shared" si="304"/>
        <v/>
      </c>
    </row>
    <row r="3846" spans="1:13" x14ac:dyDescent="0.3">
      <c r="A3846" t="str">
        <f>Segmenter!A3846</f>
        <v/>
      </c>
      <c r="B3846" t="str">
        <f>Segmenter!B3846</f>
        <v/>
      </c>
      <c r="C3846" t="str">
        <f t="shared" si="300"/>
        <v/>
      </c>
      <c r="D3846" t="str">
        <f t="shared" si="301"/>
        <v/>
      </c>
      <c r="E3846" t="str">
        <f t="shared" si="302"/>
        <v/>
      </c>
      <c r="F3846" t="str">
        <f>IF(D3846="","",INDEX(Knutepunkter!$B:$B,D3846+1))</f>
        <v/>
      </c>
      <c r="G3846" t="str">
        <f>IF(D3846="","",INDEX(Knutepunkter!$C:$C,D3846+1))</f>
        <v/>
      </c>
      <c r="H3846" t="str">
        <f>IF(D3846="","",INDEX(Knutepunkter!$D:$D,D3846+1))</f>
        <v/>
      </c>
      <c r="I3846" t="str">
        <f>IF(E3846="","",INDEX(Knutepunkter!$B:$B,E3846+1))</f>
        <v/>
      </c>
      <c r="J3846" t="str">
        <f>IF(E3846="","",INDEX(Knutepunkter!$C:$C,E3846+1))</f>
        <v/>
      </c>
      <c r="K3846" t="str">
        <f>IF(E3846="","",INDEX(Knutepunkter!$D:$D,E3846+1))</f>
        <v/>
      </c>
      <c r="L3846" t="str">
        <f t="shared" si="303"/>
        <v/>
      </c>
      <c r="M3846" t="str">
        <f t="shared" si="304"/>
        <v/>
      </c>
    </row>
    <row r="3847" spans="1:13" x14ac:dyDescent="0.3">
      <c r="A3847" t="str">
        <f>Segmenter!A3847</f>
        <v/>
      </c>
      <c r="B3847" t="str">
        <f>Segmenter!B3847</f>
        <v/>
      </c>
      <c r="C3847" t="str">
        <f t="shared" si="300"/>
        <v/>
      </c>
      <c r="D3847" t="str">
        <f t="shared" si="301"/>
        <v/>
      </c>
      <c r="E3847" t="str">
        <f t="shared" si="302"/>
        <v/>
      </c>
      <c r="F3847" t="str">
        <f>IF(D3847="","",INDEX(Knutepunkter!$B:$B,D3847+1))</f>
        <v/>
      </c>
      <c r="G3847" t="str">
        <f>IF(D3847="","",INDEX(Knutepunkter!$C:$C,D3847+1))</f>
        <v/>
      </c>
      <c r="H3847" t="str">
        <f>IF(D3847="","",INDEX(Knutepunkter!$D:$D,D3847+1))</f>
        <v/>
      </c>
      <c r="I3847" t="str">
        <f>IF(E3847="","",INDEX(Knutepunkter!$B:$B,E3847+1))</f>
        <v/>
      </c>
      <c r="J3847" t="str">
        <f>IF(E3847="","",INDEX(Knutepunkter!$C:$C,E3847+1))</f>
        <v/>
      </c>
      <c r="K3847" t="str">
        <f>IF(E3847="","",INDEX(Knutepunkter!$D:$D,E3847+1))</f>
        <v/>
      </c>
      <c r="L3847" t="str">
        <f t="shared" si="303"/>
        <v/>
      </c>
      <c r="M3847" t="str">
        <f t="shared" si="304"/>
        <v/>
      </c>
    </row>
    <row r="3848" spans="1:13" x14ac:dyDescent="0.3">
      <c r="A3848" t="str">
        <f>Segmenter!A3848</f>
        <v/>
      </c>
      <c r="B3848" t="str">
        <f>Segmenter!B3848</f>
        <v/>
      </c>
      <c r="C3848" t="str">
        <f t="shared" si="300"/>
        <v/>
      </c>
      <c r="D3848" t="str">
        <f t="shared" si="301"/>
        <v/>
      </c>
      <c r="E3848" t="str">
        <f t="shared" si="302"/>
        <v/>
      </c>
      <c r="F3848" t="str">
        <f>IF(D3848="","",INDEX(Knutepunkter!$B:$B,D3848+1))</f>
        <v/>
      </c>
      <c r="G3848" t="str">
        <f>IF(D3848="","",INDEX(Knutepunkter!$C:$C,D3848+1))</f>
        <v/>
      </c>
      <c r="H3848" t="str">
        <f>IF(D3848="","",INDEX(Knutepunkter!$D:$D,D3848+1))</f>
        <v/>
      </c>
      <c r="I3848" t="str">
        <f>IF(E3848="","",INDEX(Knutepunkter!$B:$B,E3848+1))</f>
        <v/>
      </c>
      <c r="J3848" t="str">
        <f>IF(E3848="","",INDEX(Knutepunkter!$C:$C,E3848+1))</f>
        <v/>
      </c>
      <c r="K3848" t="str">
        <f>IF(E3848="","",INDEX(Knutepunkter!$D:$D,E3848+1))</f>
        <v/>
      </c>
      <c r="L3848" t="str">
        <f t="shared" si="303"/>
        <v/>
      </c>
      <c r="M3848" t="str">
        <f t="shared" si="304"/>
        <v/>
      </c>
    </row>
    <row r="3849" spans="1:13" x14ac:dyDescent="0.3">
      <c r="A3849" t="str">
        <f>Segmenter!A3849</f>
        <v/>
      </c>
      <c r="B3849" t="str">
        <f>Segmenter!B3849</f>
        <v/>
      </c>
      <c r="C3849" t="str">
        <f t="shared" si="300"/>
        <v/>
      </c>
      <c r="D3849" t="str">
        <f t="shared" si="301"/>
        <v/>
      </c>
      <c r="E3849" t="str">
        <f t="shared" si="302"/>
        <v/>
      </c>
      <c r="F3849" t="str">
        <f>IF(D3849="","",INDEX(Knutepunkter!$B:$B,D3849+1))</f>
        <v/>
      </c>
      <c r="G3849" t="str">
        <f>IF(D3849="","",INDEX(Knutepunkter!$C:$C,D3849+1))</f>
        <v/>
      </c>
      <c r="H3849" t="str">
        <f>IF(D3849="","",INDEX(Knutepunkter!$D:$D,D3849+1))</f>
        <v/>
      </c>
      <c r="I3849" t="str">
        <f>IF(E3849="","",INDEX(Knutepunkter!$B:$B,E3849+1))</f>
        <v/>
      </c>
      <c r="J3849" t="str">
        <f>IF(E3849="","",INDEX(Knutepunkter!$C:$C,E3849+1))</f>
        <v/>
      </c>
      <c r="K3849" t="str">
        <f>IF(E3849="","",INDEX(Knutepunkter!$D:$D,E3849+1))</f>
        <v/>
      </c>
      <c r="L3849" t="str">
        <f t="shared" si="303"/>
        <v/>
      </c>
      <c r="M3849" t="str">
        <f t="shared" si="304"/>
        <v/>
      </c>
    </row>
    <row r="3850" spans="1:13" x14ac:dyDescent="0.3">
      <c r="A3850" t="str">
        <f>Segmenter!A3850</f>
        <v/>
      </c>
      <c r="B3850" t="str">
        <f>Segmenter!B3850</f>
        <v/>
      </c>
      <c r="C3850" t="str">
        <f t="shared" si="300"/>
        <v/>
      </c>
      <c r="D3850" t="str">
        <f t="shared" si="301"/>
        <v/>
      </c>
      <c r="E3850" t="str">
        <f t="shared" si="302"/>
        <v/>
      </c>
      <c r="F3850" t="str">
        <f>IF(D3850="","",INDEX(Knutepunkter!$B:$B,D3850+1))</f>
        <v/>
      </c>
      <c r="G3850" t="str">
        <f>IF(D3850="","",INDEX(Knutepunkter!$C:$C,D3850+1))</f>
        <v/>
      </c>
      <c r="H3850" t="str">
        <f>IF(D3850="","",INDEX(Knutepunkter!$D:$D,D3850+1))</f>
        <v/>
      </c>
      <c r="I3850" t="str">
        <f>IF(E3850="","",INDEX(Knutepunkter!$B:$B,E3850+1))</f>
        <v/>
      </c>
      <c r="J3850" t="str">
        <f>IF(E3850="","",INDEX(Knutepunkter!$C:$C,E3850+1))</f>
        <v/>
      </c>
      <c r="K3850" t="str">
        <f>IF(E3850="","",INDEX(Knutepunkter!$D:$D,E3850+1))</f>
        <v/>
      </c>
      <c r="L3850" t="str">
        <f t="shared" si="303"/>
        <v/>
      </c>
      <c r="M3850" t="str">
        <f t="shared" si="304"/>
        <v/>
      </c>
    </row>
    <row r="3851" spans="1:13" x14ac:dyDescent="0.3">
      <c r="A3851" t="str">
        <f>Segmenter!A3851</f>
        <v/>
      </c>
      <c r="B3851" t="str">
        <f>Segmenter!B3851</f>
        <v/>
      </c>
      <c r="C3851" t="str">
        <f t="shared" si="300"/>
        <v/>
      </c>
      <c r="D3851" t="str">
        <f t="shared" si="301"/>
        <v/>
      </c>
      <c r="E3851" t="str">
        <f t="shared" si="302"/>
        <v/>
      </c>
      <c r="F3851" t="str">
        <f>IF(D3851="","",INDEX(Knutepunkter!$B:$B,D3851+1))</f>
        <v/>
      </c>
      <c r="G3851" t="str">
        <f>IF(D3851="","",INDEX(Knutepunkter!$C:$C,D3851+1))</f>
        <v/>
      </c>
      <c r="H3851" t="str">
        <f>IF(D3851="","",INDEX(Knutepunkter!$D:$D,D3851+1))</f>
        <v/>
      </c>
      <c r="I3851" t="str">
        <f>IF(E3851="","",INDEX(Knutepunkter!$B:$B,E3851+1))</f>
        <v/>
      </c>
      <c r="J3851" t="str">
        <f>IF(E3851="","",INDEX(Knutepunkter!$C:$C,E3851+1))</f>
        <v/>
      </c>
      <c r="K3851" t="str">
        <f>IF(E3851="","",INDEX(Knutepunkter!$D:$D,E3851+1))</f>
        <v/>
      </c>
      <c r="L3851" t="str">
        <f t="shared" si="303"/>
        <v/>
      </c>
      <c r="M3851" t="str">
        <f t="shared" si="304"/>
        <v/>
      </c>
    </row>
    <row r="3852" spans="1:13" x14ac:dyDescent="0.3">
      <c r="A3852" t="str">
        <f>Segmenter!A3852</f>
        <v/>
      </c>
      <c r="B3852" t="str">
        <f>Segmenter!B3852</f>
        <v/>
      </c>
      <c r="C3852" t="str">
        <f t="shared" si="300"/>
        <v/>
      </c>
      <c r="D3852" t="str">
        <f t="shared" si="301"/>
        <v/>
      </c>
      <c r="E3852" t="str">
        <f t="shared" si="302"/>
        <v/>
      </c>
      <c r="F3852" t="str">
        <f>IF(D3852="","",INDEX(Knutepunkter!$B:$B,D3852+1))</f>
        <v/>
      </c>
      <c r="G3852" t="str">
        <f>IF(D3852="","",INDEX(Knutepunkter!$C:$C,D3852+1))</f>
        <v/>
      </c>
      <c r="H3852" t="str">
        <f>IF(D3852="","",INDEX(Knutepunkter!$D:$D,D3852+1))</f>
        <v/>
      </c>
      <c r="I3852" t="str">
        <f>IF(E3852="","",INDEX(Knutepunkter!$B:$B,E3852+1))</f>
        <v/>
      </c>
      <c r="J3852" t="str">
        <f>IF(E3852="","",INDEX(Knutepunkter!$C:$C,E3852+1))</f>
        <v/>
      </c>
      <c r="K3852" t="str">
        <f>IF(E3852="","",INDEX(Knutepunkter!$D:$D,E3852+1))</f>
        <v/>
      </c>
      <c r="L3852" t="str">
        <f t="shared" si="303"/>
        <v/>
      </c>
      <c r="M3852" t="str">
        <f t="shared" si="304"/>
        <v/>
      </c>
    </row>
    <row r="3853" spans="1:13" x14ac:dyDescent="0.3">
      <c r="A3853" t="str">
        <f>Segmenter!A3853</f>
        <v/>
      </c>
      <c r="B3853" t="str">
        <f>Segmenter!B3853</f>
        <v/>
      </c>
      <c r="C3853" t="str">
        <f t="shared" si="300"/>
        <v/>
      </c>
      <c r="D3853" t="str">
        <f t="shared" si="301"/>
        <v/>
      </c>
      <c r="E3853" t="str">
        <f t="shared" si="302"/>
        <v/>
      </c>
      <c r="F3853" t="str">
        <f>IF(D3853="","",INDEX(Knutepunkter!$B:$B,D3853+1))</f>
        <v/>
      </c>
      <c r="G3853" t="str">
        <f>IF(D3853="","",INDEX(Knutepunkter!$C:$C,D3853+1))</f>
        <v/>
      </c>
      <c r="H3853" t="str">
        <f>IF(D3853="","",INDEX(Knutepunkter!$D:$D,D3853+1))</f>
        <v/>
      </c>
      <c r="I3853" t="str">
        <f>IF(E3853="","",INDEX(Knutepunkter!$B:$B,E3853+1))</f>
        <v/>
      </c>
      <c r="J3853" t="str">
        <f>IF(E3853="","",INDEX(Knutepunkter!$C:$C,E3853+1))</f>
        <v/>
      </c>
      <c r="K3853" t="str">
        <f>IF(E3853="","",INDEX(Knutepunkter!$D:$D,E3853+1))</f>
        <v/>
      </c>
      <c r="L3853" t="str">
        <f t="shared" si="303"/>
        <v/>
      </c>
      <c r="M3853" t="str">
        <f t="shared" si="304"/>
        <v/>
      </c>
    </row>
    <row r="3854" spans="1:13" x14ac:dyDescent="0.3">
      <c r="A3854" t="str">
        <f>Segmenter!A3854</f>
        <v/>
      </c>
      <c r="B3854" t="str">
        <f>Segmenter!B3854</f>
        <v/>
      </c>
      <c r="C3854" t="str">
        <f t="shared" si="300"/>
        <v/>
      </c>
      <c r="D3854" t="str">
        <f t="shared" si="301"/>
        <v/>
      </c>
      <c r="E3854" t="str">
        <f t="shared" si="302"/>
        <v/>
      </c>
      <c r="F3854" t="str">
        <f>IF(D3854="","",INDEX(Knutepunkter!$B:$B,D3854+1))</f>
        <v/>
      </c>
      <c r="G3854" t="str">
        <f>IF(D3854="","",INDEX(Knutepunkter!$C:$C,D3854+1))</f>
        <v/>
      </c>
      <c r="H3854" t="str">
        <f>IF(D3854="","",INDEX(Knutepunkter!$D:$D,D3854+1))</f>
        <v/>
      </c>
      <c r="I3854" t="str">
        <f>IF(E3854="","",INDEX(Knutepunkter!$B:$B,E3854+1))</f>
        <v/>
      </c>
      <c r="J3854" t="str">
        <f>IF(E3854="","",INDEX(Knutepunkter!$C:$C,E3854+1))</f>
        <v/>
      </c>
      <c r="K3854" t="str">
        <f>IF(E3854="","",INDEX(Knutepunkter!$D:$D,E3854+1))</f>
        <v/>
      </c>
      <c r="L3854" t="str">
        <f t="shared" si="303"/>
        <v/>
      </c>
      <c r="M3854" t="str">
        <f t="shared" si="304"/>
        <v/>
      </c>
    </row>
    <row r="3855" spans="1:13" x14ac:dyDescent="0.3">
      <c r="A3855" t="str">
        <f>Segmenter!A3855</f>
        <v/>
      </c>
      <c r="B3855" t="str">
        <f>Segmenter!B3855</f>
        <v/>
      </c>
      <c r="C3855" t="str">
        <f t="shared" si="300"/>
        <v/>
      </c>
      <c r="D3855" t="str">
        <f t="shared" si="301"/>
        <v/>
      </c>
      <c r="E3855" t="str">
        <f t="shared" si="302"/>
        <v/>
      </c>
      <c r="F3855" t="str">
        <f>IF(D3855="","",INDEX(Knutepunkter!$B:$B,D3855+1))</f>
        <v/>
      </c>
      <c r="G3855" t="str">
        <f>IF(D3855="","",INDEX(Knutepunkter!$C:$C,D3855+1))</f>
        <v/>
      </c>
      <c r="H3855" t="str">
        <f>IF(D3855="","",INDEX(Knutepunkter!$D:$D,D3855+1))</f>
        <v/>
      </c>
      <c r="I3855" t="str">
        <f>IF(E3855="","",INDEX(Knutepunkter!$B:$B,E3855+1))</f>
        <v/>
      </c>
      <c r="J3855" t="str">
        <f>IF(E3855="","",INDEX(Knutepunkter!$C:$C,E3855+1))</f>
        <v/>
      </c>
      <c r="K3855" t="str">
        <f>IF(E3855="","",INDEX(Knutepunkter!$D:$D,E3855+1))</f>
        <v/>
      </c>
      <c r="L3855" t="str">
        <f t="shared" si="303"/>
        <v/>
      </c>
      <c r="M3855" t="str">
        <f t="shared" si="304"/>
        <v/>
      </c>
    </row>
    <row r="3856" spans="1:13" x14ac:dyDescent="0.3">
      <c r="A3856" t="str">
        <f>Segmenter!A3856</f>
        <v/>
      </c>
      <c r="B3856" t="str">
        <f>Segmenter!B3856</f>
        <v/>
      </c>
      <c r="C3856" t="str">
        <f t="shared" si="300"/>
        <v/>
      </c>
      <c r="D3856" t="str">
        <f t="shared" si="301"/>
        <v/>
      </c>
      <c r="E3856" t="str">
        <f t="shared" si="302"/>
        <v/>
      </c>
      <c r="F3856" t="str">
        <f>IF(D3856="","",INDEX(Knutepunkter!$B:$B,D3856+1))</f>
        <v/>
      </c>
      <c r="G3856" t="str">
        <f>IF(D3856="","",INDEX(Knutepunkter!$C:$C,D3856+1))</f>
        <v/>
      </c>
      <c r="H3856" t="str">
        <f>IF(D3856="","",INDEX(Knutepunkter!$D:$D,D3856+1))</f>
        <v/>
      </c>
      <c r="I3856" t="str">
        <f>IF(E3856="","",INDEX(Knutepunkter!$B:$B,E3856+1))</f>
        <v/>
      </c>
      <c r="J3856" t="str">
        <f>IF(E3856="","",INDEX(Knutepunkter!$C:$C,E3856+1))</f>
        <v/>
      </c>
      <c r="K3856" t="str">
        <f>IF(E3856="","",INDEX(Knutepunkter!$D:$D,E3856+1))</f>
        <v/>
      </c>
      <c r="L3856" t="str">
        <f t="shared" si="303"/>
        <v/>
      </c>
      <c r="M3856" t="str">
        <f t="shared" si="304"/>
        <v/>
      </c>
    </row>
    <row r="3857" spans="1:13" x14ac:dyDescent="0.3">
      <c r="A3857" t="str">
        <f>Segmenter!A3857</f>
        <v/>
      </c>
      <c r="B3857" t="str">
        <f>Segmenter!B3857</f>
        <v/>
      </c>
      <c r="C3857" t="str">
        <f t="shared" si="300"/>
        <v/>
      </c>
      <c r="D3857" t="str">
        <f t="shared" si="301"/>
        <v/>
      </c>
      <c r="E3857" t="str">
        <f t="shared" si="302"/>
        <v/>
      </c>
      <c r="F3857" t="str">
        <f>IF(D3857="","",INDEX(Knutepunkter!$B:$B,D3857+1))</f>
        <v/>
      </c>
      <c r="G3857" t="str">
        <f>IF(D3857="","",INDEX(Knutepunkter!$C:$C,D3857+1))</f>
        <v/>
      </c>
      <c r="H3857" t="str">
        <f>IF(D3857="","",INDEX(Knutepunkter!$D:$D,D3857+1))</f>
        <v/>
      </c>
      <c r="I3857" t="str">
        <f>IF(E3857="","",INDEX(Knutepunkter!$B:$B,E3857+1))</f>
        <v/>
      </c>
      <c r="J3857" t="str">
        <f>IF(E3857="","",INDEX(Knutepunkter!$C:$C,E3857+1))</f>
        <v/>
      </c>
      <c r="K3857" t="str">
        <f>IF(E3857="","",INDEX(Knutepunkter!$D:$D,E3857+1))</f>
        <v/>
      </c>
      <c r="L3857" t="str">
        <f t="shared" si="303"/>
        <v/>
      </c>
      <c r="M3857" t="str">
        <f t="shared" si="304"/>
        <v/>
      </c>
    </row>
    <row r="3858" spans="1:13" x14ac:dyDescent="0.3">
      <c r="A3858" t="str">
        <f>Segmenter!A3858</f>
        <v/>
      </c>
      <c r="B3858" t="str">
        <f>Segmenter!B3858</f>
        <v/>
      </c>
      <c r="C3858" t="str">
        <f t="shared" si="300"/>
        <v/>
      </c>
      <c r="D3858" t="str">
        <f t="shared" si="301"/>
        <v/>
      </c>
      <c r="E3858" t="str">
        <f t="shared" si="302"/>
        <v/>
      </c>
      <c r="F3858" t="str">
        <f>IF(D3858="","",INDEX(Knutepunkter!$B:$B,D3858+1))</f>
        <v/>
      </c>
      <c r="G3858" t="str">
        <f>IF(D3858="","",INDEX(Knutepunkter!$C:$C,D3858+1))</f>
        <v/>
      </c>
      <c r="H3858" t="str">
        <f>IF(D3858="","",INDEX(Knutepunkter!$D:$D,D3858+1))</f>
        <v/>
      </c>
      <c r="I3858" t="str">
        <f>IF(E3858="","",INDEX(Knutepunkter!$B:$B,E3858+1))</f>
        <v/>
      </c>
      <c r="J3858" t="str">
        <f>IF(E3858="","",INDEX(Knutepunkter!$C:$C,E3858+1))</f>
        <v/>
      </c>
      <c r="K3858" t="str">
        <f>IF(E3858="","",INDEX(Knutepunkter!$D:$D,E3858+1))</f>
        <v/>
      </c>
      <c r="L3858" t="str">
        <f t="shared" si="303"/>
        <v/>
      </c>
      <c r="M3858" t="str">
        <f t="shared" si="304"/>
        <v/>
      </c>
    </row>
    <row r="3859" spans="1:13" x14ac:dyDescent="0.3">
      <c r="A3859" t="str">
        <f>Segmenter!A3859</f>
        <v/>
      </c>
      <c r="B3859" t="str">
        <f>Segmenter!B3859</f>
        <v/>
      </c>
      <c r="C3859" t="str">
        <f t="shared" si="300"/>
        <v/>
      </c>
      <c r="D3859" t="str">
        <f t="shared" si="301"/>
        <v/>
      </c>
      <c r="E3859" t="str">
        <f t="shared" si="302"/>
        <v/>
      </c>
      <c r="F3859" t="str">
        <f>IF(D3859="","",INDEX(Knutepunkter!$B:$B,D3859+1))</f>
        <v/>
      </c>
      <c r="G3859" t="str">
        <f>IF(D3859="","",INDEX(Knutepunkter!$C:$C,D3859+1))</f>
        <v/>
      </c>
      <c r="H3859" t="str">
        <f>IF(D3859="","",INDEX(Knutepunkter!$D:$D,D3859+1))</f>
        <v/>
      </c>
      <c r="I3859" t="str">
        <f>IF(E3859="","",INDEX(Knutepunkter!$B:$B,E3859+1))</f>
        <v/>
      </c>
      <c r="J3859" t="str">
        <f>IF(E3859="","",INDEX(Knutepunkter!$C:$C,E3859+1))</f>
        <v/>
      </c>
      <c r="K3859" t="str">
        <f>IF(E3859="","",INDEX(Knutepunkter!$D:$D,E3859+1))</f>
        <v/>
      </c>
      <c r="L3859" t="str">
        <f t="shared" si="303"/>
        <v/>
      </c>
      <c r="M3859" t="str">
        <f t="shared" si="304"/>
        <v/>
      </c>
    </row>
    <row r="3860" spans="1:13" x14ac:dyDescent="0.3">
      <c r="A3860" t="str">
        <f>Segmenter!A3860</f>
        <v/>
      </c>
      <c r="B3860" t="str">
        <f>Segmenter!B3860</f>
        <v/>
      </c>
      <c r="C3860" t="str">
        <f t="shared" si="300"/>
        <v/>
      </c>
      <c r="D3860" t="str">
        <f t="shared" si="301"/>
        <v/>
      </c>
      <c r="E3860" t="str">
        <f t="shared" si="302"/>
        <v/>
      </c>
      <c r="F3860" t="str">
        <f>IF(D3860="","",INDEX(Knutepunkter!$B:$B,D3860+1))</f>
        <v/>
      </c>
      <c r="G3860" t="str">
        <f>IF(D3860="","",INDEX(Knutepunkter!$C:$C,D3860+1))</f>
        <v/>
      </c>
      <c r="H3860" t="str">
        <f>IF(D3860="","",INDEX(Knutepunkter!$D:$D,D3860+1))</f>
        <v/>
      </c>
      <c r="I3860" t="str">
        <f>IF(E3860="","",INDEX(Knutepunkter!$B:$B,E3860+1))</f>
        <v/>
      </c>
      <c r="J3860" t="str">
        <f>IF(E3860="","",INDEX(Knutepunkter!$C:$C,E3860+1))</f>
        <v/>
      </c>
      <c r="K3860" t="str">
        <f>IF(E3860="","",INDEX(Knutepunkter!$D:$D,E3860+1))</f>
        <v/>
      </c>
      <c r="L3860" t="str">
        <f t="shared" si="303"/>
        <v/>
      </c>
      <c r="M3860" t="str">
        <f t="shared" si="304"/>
        <v/>
      </c>
    </row>
    <row r="3861" spans="1:13" x14ac:dyDescent="0.3">
      <c r="A3861" t="str">
        <f>Segmenter!A3861</f>
        <v/>
      </c>
      <c r="B3861" t="str">
        <f>Segmenter!B3861</f>
        <v/>
      </c>
      <c r="C3861" t="str">
        <f t="shared" si="300"/>
        <v/>
      </c>
      <c r="D3861" t="str">
        <f t="shared" si="301"/>
        <v/>
      </c>
      <c r="E3861" t="str">
        <f t="shared" si="302"/>
        <v/>
      </c>
      <c r="F3861" t="str">
        <f>IF(D3861="","",INDEX(Knutepunkter!$B:$B,D3861+1))</f>
        <v/>
      </c>
      <c r="G3861" t="str">
        <f>IF(D3861="","",INDEX(Knutepunkter!$C:$C,D3861+1))</f>
        <v/>
      </c>
      <c r="H3861" t="str">
        <f>IF(D3861="","",INDEX(Knutepunkter!$D:$D,D3861+1))</f>
        <v/>
      </c>
      <c r="I3861" t="str">
        <f>IF(E3861="","",INDEX(Knutepunkter!$B:$B,E3861+1))</f>
        <v/>
      </c>
      <c r="J3861" t="str">
        <f>IF(E3861="","",INDEX(Knutepunkter!$C:$C,E3861+1))</f>
        <v/>
      </c>
      <c r="K3861" t="str">
        <f>IF(E3861="","",INDEX(Knutepunkter!$D:$D,E3861+1))</f>
        <v/>
      </c>
      <c r="L3861" t="str">
        <f t="shared" si="303"/>
        <v/>
      </c>
      <c r="M3861" t="str">
        <f t="shared" si="304"/>
        <v/>
      </c>
    </row>
    <row r="3862" spans="1:13" x14ac:dyDescent="0.3">
      <c r="A3862" t="str">
        <f>Segmenter!A3862</f>
        <v/>
      </c>
      <c r="B3862" t="str">
        <f>Segmenter!B3862</f>
        <v/>
      </c>
      <c r="C3862" t="str">
        <f t="shared" si="300"/>
        <v/>
      </c>
      <c r="D3862" t="str">
        <f t="shared" si="301"/>
        <v/>
      </c>
      <c r="E3862" t="str">
        <f t="shared" si="302"/>
        <v/>
      </c>
      <c r="F3862" t="str">
        <f>IF(D3862="","",INDEX(Knutepunkter!$B:$B,D3862+1))</f>
        <v/>
      </c>
      <c r="G3862" t="str">
        <f>IF(D3862="","",INDEX(Knutepunkter!$C:$C,D3862+1))</f>
        <v/>
      </c>
      <c r="H3862" t="str">
        <f>IF(D3862="","",INDEX(Knutepunkter!$D:$D,D3862+1))</f>
        <v/>
      </c>
      <c r="I3862" t="str">
        <f>IF(E3862="","",INDEX(Knutepunkter!$B:$B,E3862+1))</f>
        <v/>
      </c>
      <c r="J3862" t="str">
        <f>IF(E3862="","",INDEX(Knutepunkter!$C:$C,E3862+1))</f>
        <v/>
      </c>
      <c r="K3862" t="str">
        <f>IF(E3862="","",INDEX(Knutepunkter!$D:$D,E3862+1))</f>
        <v/>
      </c>
      <c r="L3862" t="str">
        <f t="shared" si="303"/>
        <v/>
      </c>
      <c r="M3862" t="str">
        <f t="shared" si="304"/>
        <v/>
      </c>
    </row>
    <row r="3863" spans="1:13" x14ac:dyDescent="0.3">
      <c r="A3863" t="str">
        <f>Segmenter!A3863</f>
        <v/>
      </c>
      <c r="B3863" t="str">
        <f>Segmenter!B3863</f>
        <v/>
      </c>
      <c r="C3863" t="str">
        <f t="shared" si="300"/>
        <v/>
      </c>
      <c r="D3863" t="str">
        <f t="shared" si="301"/>
        <v/>
      </c>
      <c r="E3863" t="str">
        <f t="shared" si="302"/>
        <v/>
      </c>
      <c r="F3863" t="str">
        <f>IF(D3863="","",INDEX(Knutepunkter!$B:$B,D3863+1))</f>
        <v/>
      </c>
      <c r="G3863" t="str">
        <f>IF(D3863="","",INDEX(Knutepunkter!$C:$C,D3863+1))</f>
        <v/>
      </c>
      <c r="H3863" t="str">
        <f>IF(D3863="","",INDEX(Knutepunkter!$D:$D,D3863+1))</f>
        <v/>
      </c>
      <c r="I3863" t="str">
        <f>IF(E3863="","",INDEX(Knutepunkter!$B:$B,E3863+1))</f>
        <v/>
      </c>
      <c r="J3863" t="str">
        <f>IF(E3863="","",INDEX(Knutepunkter!$C:$C,E3863+1))</f>
        <v/>
      </c>
      <c r="K3863" t="str">
        <f>IF(E3863="","",INDEX(Knutepunkter!$D:$D,E3863+1))</f>
        <v/>
      </c>
      <c r="L3863" t="str">
        <f t="shared" si="303"/>
        <v/>
      </c>
      <c r="M3863" t="str">
        <f t="shared" si="304"/>
        <v/>
      </c>
    </row>
    <row r="3864" spans="1:13" x14ac:dyDescent="0.3">
      <c r="A3864" t="str">
        <f>Segmenter!A3864</f>
        <v/>
      </c>
      <c r="B3864" t="str">
        <f>Segmenter!B3864</f>
        <v/>
      </c>
      <c r="C3864" t="str">
        <f t="shared" si="300"/>
        <v/>
      </c>
      <c r="D3864" t="str">
        <f t="shared" si="301"/>
        <v/>
      </c>
      <c r="E3864" t="str">
        <f t="shared" si="302"/>
        <v/>
      </c>
      <c r="F3864" t="str">
        <f>IF(D3864="","",INDEX(Knutepunkter!$B:$B,D3864+1))</f>
        <v/>
      </c>
      <c r="G3864" t="str">
        <f>IF(D3864="","",INDEX(Knutepunkter!$C:$C,D3864+1))</f>
        <v/>
      </c>
      <c r="H3864" t="str">
        <f>IF(D3864="","",INDEX(Knutepunkter!$D:$D,D3864+1))</f>
        <v/>
      </c>
      <c r="I3864" t="str">
        <f>IF(E3864="","",INDEX(Knutepunkter!$B:$B,E3864+1))</f>
        <v/>
      </c>
      <c r="J3864" t="str">
        <f>IF(E3864="","",INDEX(Knutepunkter!$C:$C,E3864+1))</f>
        <v/>
      </c>
      <c r="K3864" t="str">
        <f>IF(E3864="","",INDEX(Knutepunkter!$D:$D,E3864+1))</f>
        <v/>
      </c>
      <c r="L3864" t="str">
        <f t="shared" si="303"/>
        <v/>
      </c>
      <c r="M3864" t="str">
        <f t="shared" si="304"/>
        <v/>
      </c>
    </row>
    <row r="3865" spans="1:13" x14ac:dyDescent="0.3">
      <c r="A3865" t="str">
        <f>Segmenter!A3865</f>
        <v/>
      </c>
      <c r="B3865" t="str">
        <f>Segmenter!B3865</f>
        <v/>
      </c>
      <c r="C3865" t="str">
        <f t="shared" si="300"/>
        <v/>
      </c>
      <c r="D3865" t="str">
        <f t="shared" si="301"/>
        <v/>
      </c>
      <c r="E3865" t="str">
        <f t="shared" si="302"/>
        <v/>
      </c>
      <c r="F3865" t="str">
        <f>IF(D3865="","",INDEX(Knutepunkter!$B:$B,D3865+1))</f>
        <v/>
      </c>
      <c r="G3865" t="str">
        <f>IF(D3865="","",INDEX(Knutepunkter!$C:$C,D3865+1))</f>
        <v/>
      </c>
      <c r="H3865" t="str">
        <f>IF(D3865="","",INDEX(Knutepunkter!$D:$D,D3865+1))</f>
        <v/>
      </c>
      <c r="I3865" t="str">
        <f>IF(E3865="","",INDEX(Knutepunkter!$B:$B,E3865+1))</f>
        <v/>
      </c>
      <c r="J3865" t="str">
        <f>IF(E3865="","",INDEX(Knutepunkter!$C:$C,E3865+1))</f>
        <v/>
      </c>
      <c r="K3865" t="str">
        <f>IF(E3865="","",INDEX(Knutepunkter!$D:$D,E3865+1))</f>
        <v/>
      </c>
      <c r="L3865" t="str">
        <f t="shared" si="303"/>
        <v/>
      </c>
      <c r="M3865" t="str">
        <f t="shared" si="304"/>
        <v/>
      </c>
    </row>
    <row r="3866" spans="1:13" x14ac:dyDescent="0.3">
      <c r="A3866" t="str">
        <f>Segmenter!A3866</f>
        <v/>
      </c>
      <c r="B3866" t="str">
        <f>Segmenter!B3866</f>
        <v/>
      </c>
      <c r="C3866" t="str">
        <f t="shared" si="300"/>
        <v/>
      </c>
      <c r="D3866" t="str">
        <f t="shared" si="301"/>
        <v/>
      </c>
      <c r="E3866" t="str">
        <f t="shared" si="302"/>
        <v/>
      </c>
      <c r="F3866" t="str">
        <f>IF(D3866="","",INDEX(Knutepunkter!$B:$B,D3866+1))</f>
        <v/>
      </c>
      <c r="G3866" t="str">
        <f>IF(D3866="","",INDEX(Knutepunkter!$C:$C,D3866+1))</f>
        <v/>
      </c>
      <c r="H3866" t="str">
        <f>IF(D3866="","",INDEX(Knutepunkter!$D:$D,D3866+1))</f>
        <v/>
      </c>
      <c r="I3866" t="str">
        <f>IF(E3866="","",INDEX(Knutepunkter!$B:$B,E3866+1))</f>
        <v/>
      </c>
      <c r="J3866" t="str">
        <f>IF(E3866="","",INDEX(Knutepunkter!$C:$C,E3866+1))</f>
        <v/>
      </c>
      <c r="K3866" t="str">
        <f>IF(E3866="","",INDEX(Knutepunkter!$D:$D,E3866+1))</f>
        <v/>
      </c>
      <c r="L3866" t="str">
        <f t="shared" si="303"/>
        <v/>
      </c>
      <c r="M3866" t="str">
        <f t="shared" si="304"/>
        <v/>
      </c>
    </row>
    <row r="3867" spans="1:13" x14ac:dyDescent="0.3">
      <c r="A3867" t="str">
        <f>Segmenter!A3867</f>
        <v/>
      </c>
      <c r="B3867" t="str">
        <f>Segmenter!B3867</f>
        <v/>
      </c>
      <c r="C3867" t="str">
        <f t="shared" si="300"/>
        <v/>
      </c>
      <c r="D3867" t="str">
        <f t="shared" si="301"/>
        <v/>
      </c>
      <c r="E3867" t="str">
        <f t="shared" si="302"/>
        <v/>
      </c>
      <c r="F3867" t="str">
        <f>IF(D3867="","",INDEX(Knutepunkter!$B:$B,D3867+1))</f>
        <v/>
      </c>
      <c r="G3867" t="str">
        <f>IF(D3867="","",INDEX(Knutepunkter!$C:$C,D3867+1))</f>
        <v/>
      </c>
      <c r="H3867" t="str">
        <f>IF(D3867="","",INDEX(Knutepunkter!$D:$D,D3867+1))</f>
        <v/>
      </c>
      <c r="I3867" t="str">
        <f>IF(E3867="","",INDEX(Knutepunkter!$B:$B,E3867+1))</f>
        <v/>
      </c>
      <c r="J3867" t="str">
        <f>IF(E3867="","",INDEX(Knutepunkter!$C:$C,E3867+1))</f>
        <v/>
      </c>
      <c r="K3867" t="str">
        <f>IF(E3867="","",INDEX(Knutepunkter!$D:$D,E3867+1))</f>
        <v/>
      </c>
      <c r="L3867" t="str">
        <f t="shared" si="303"/>
        <v/>
      </c>
      <c r="M3867" t="str">
        <f t="shared" si="304"/>
        <v/>
      </c>
    </row>
    <row r="3868" spans="1:13" x14ac:dyDescent="0.3">
      <c r="A3868" t="str">
        <f>Segmenter!A3868</f>
        <v/>
      </c>
      <c r="B3868" t="str">
        <f>Segmenter!B3868</f>
        <v/>
      </c>
      <c r="C3868" t="str">
        <f t="shared" si="300"/>
        <v/>
      </c>
      <c r="D3868" t="str">
        <f t="shared" si="301"/>
        <v/>
      </c>
      <c r="E3868" t="str">
        <f t="shared" si="302"/>
        <v/>
      </c>
      <c r="F3868" t="str">
        <f>IF(D3868="","",INDEX(Knutepunkter!$B:$B,D3868+1))</f>
        <v/>
      </c>
      <c r="G3868" t="str">
        <f>IF(D3868="","",INDEX(Knutepunkter!$C:$C,D3868+1))</f>
        <v/>
      </c>
      <c r="H3868" t="str">
        <f>IF(D3868="","",INDEX(Knutepunkter!$D:$D,D3868+1))</f>
        <v/>
      </c>
      <c r="I3868" t="str">
        <f>IF(E3868="","",INDEX(Knutepunkter!$B:$B,E3868+1))</f>
        <v/>
      </c>
      <c r="J3868" t="str">
        <f>IF(E3868="","",INDEX(Knutepunkter!$C:$C,E3868+1))</f>
        <v/>
      </c>
      <c r="K3868" t="str">
        <f>IF(E3868="","",INDEX(Knutepunkter!$D:$D,E3868+1))</f>
        <v/>
      </c>
      <c r="L3868" t="str">
        <f t="shared" si="303"/>
        <v/>
      </c>
      <c r="M3868" t="str">
        <f t="shared" si="304"/>
        <v/>
      </c>
    </row>
    <row r="3869" spans="1:13" x14ac:dyDescent="0.3">
      <c r="A3869" t="str">
        <f>Segmenter!A3869</f>
        <v/>
      </c>
      <c r="B3869" t="str">
        <f>Segmenter!B3869</f>
        <v/>
      </c>
      <c r="C3869" t="str">
        <f t="shared" si="300"/>
        <v/>
      </c>
      <c r="D3869" t="str">
        <f t="shared" si="301"/>
        <v/>
      </c>
      <c r="E3869" t="str">
        <f t="shared" si="302"/>
        <v/>
      </c>
      <c r="F3869" t="str">
        <f>IF(D3869="","",INDEX(Knutepunkter!$B:$B,D3869+1))</f>
        <v/>
      </c>
      <c r="G3869" t="str">
        <f>IF(D3869="","",INDEX(Knutepunkter!$C:$C,D3869+1))</f>
        <v/>
      </c>
      <c r="H3869" t="str">
        <f>IF(D3869="","",INDEX(Knutepunkter!$D:$D,D3869+1))</f>
        <v/>
      </c>
      <c r="I3869" t="str">
        <f>IF(E3869="","",INDEX(Knutepunkter!$B:$B,E3869+1))</f>
        <v/>
      </c>
      <c r="J3869" t="str">
        <f>IF(E3869="","",INDEX(Knutepunkter!$C:$C,E3869+1))</f>
        <v/>
      </c>
      <c r="K3869" t="str">
        <f>IF(E3869="","",INDEX(Knutepunkter!$D:$D,E3869+1))</f>
        <v/>
      </c>
      <c r="L3869" t="str">
        <f t="shared" si="303"/>
        <v/>
      </c>
      <c r="M3869" t="str">
        <f t="shared" si="304"/>
        <v/>
      </c>
    </row>
    <row r="3870" spans="1:13" x14ac:dyDescent="0.3">
      <c r="A3870" t="str">
        <f>Segmenter!A3870</f>
        <v/>
      </c>
      <c r="B3870" t="str">
        <f>Segmenter!B3870</f>
        <v/>
      </c>
      <c r="C3870" t="str">
        <f t="shared" si="300"/>
        <v/>
      </c>
      <c r="D3870" t="str">
        <f t="shared" si="301"/>
        <v/>
      </c>
      <c r="E3870" t="str">
        <f t="shared" si="302"/>
        <v/>
      </c>
      <c r="F3870" t="str">
        <f>IF(D3870="","",INDEX(Knutepunkter!$B:$B,D3870+1))</f>
        <v/>
      </c>
      <c r="G3870" t="str">
        <f>IF(D3870="","",INDEX(Knutepunkter!$C:$C,D3870+1))</f>
        <v/>
      </c>
      <c r="H3870" t="str">
        <f>IF(D3870="","",INDEX(Knutepunkter!$D:$D,D3870+1))</f>
        <v/>
      </c>
      <c r="I3870" t="str">
        <f>IF(E3870="","",INDEX(Knutepunkter!$B:$B,E3870+1))</f>
        <v/>
      </c>
      <c r="J3870" t="str">
        <f>IF(E3870="","",INDEX(Knutepunkter!$C:$C,E3870+1))</f>
        <v/>
      </c>
      <c r="K3870" t="str">
        <f>IF(E3870="","",INDEX(Knutepunkter!$D:$D,E3870+1))</f>
        <v/>
      </c>
      <c r="L3870" t="str">
        <f t="shared" si="303"/>
        <v/>
      </c>
      <c r="M3870" t="str">
        <f t="shared" si="304"/>
        <v/>
      </c>
    </row>
    <row r="3871" spans="1:13" x14ac:dyDescent="0.3">
      <c r="A3871" t="str">
        <f>Segmenter!A3871</f>
        <v/>
      </c>
      <c r="B3871" t="str">
        <f>Segmenter!B3871</f>
        <v/>
      </c>
      <c r="C3871" t="str">
        <f t="shared" si="300"/>
        <v/>
      </c>
      <c r="D3871" t="str">
        <f t="shared" si="301"/>
        <v/>
      </c>
      <c r="E3871" t="str">
        <f t="shared" si="302"/>
        <v/>
      </c>
      <c r="F3871" t="str">
        <f>IF(D3871="","",INDEX(Knutepunkter!$B:$B,D3871+1))</f>
        <v/>
      </c>
      <c r="G3871" t="str">
        <f>IF(D3871="","",INDEX(Knutepunkter!$C:$C,D3871+1))</f>
        <v/>
      </c>
      <c r="H3871" t="str">
        <f>IF(D3871="","",INDEX(Knutepunkter!$D:$D,D3871+1))</f>
        <v/>
      </c>
      <c r="I3871" t="str">
        <f>IF(E3871="","",INDEX(Knutepunkter!$B:$B,E3871+1))</f>
        <v/>
      </c>
      <c r="J3871" t="str">
        <f>IF(E3871="","",INDEX(Knutepunkter!$C:$C,E3871+1))</f>
        <v/>
      </c>
      <c r="K3871" t="str">
        <f>IF(E3871="","",INDEX(Knutepunkter!$D:$D,E3871+1))</f>
        <v/>
      </c>
      <c r="L3871" t="str">
        <f t="shared" si="303"/>
        <v/>
      </c>
      <c r="M3871" t="str">
        <f t="shared" si="304"/>
        <v/>
      </c>
    </row>
    <row r="3872" spans="1:13" x14ac:dyDescent="0.3">
      <c r="A3872" t="str">
        <f>Segmenter!A3872</f>
        <v/>
      </c>
      <c r="B3872" t="str">
        <f>Segmenter!B3872</f>
        <v/>
      </c>
      <c r="C3872" t="str">
        <f t="shared" si="300"/>
        <v/>
      </c>
      <c r="D3872" t="str">
        <f t="shared" si="301"/>
        <v/>
      </c>
      <c r="E3872" t="str">
        <f t="shared" si="302"/>
        <v/>
      </c>
      <c r="F3872" t="str">
        <f>IF(D3872="","",INDEX(Knutepunkter!$B:$B,D3872+1))</f>
        <v/>
      </c>
      <c r="G3872" t="str">
        <f>IF(D3872="","",INDEX(Knutepunkter!$C:$C,D3872+1))</f>
        <v/>
      </c>
      <c r="H3872" t="str">
        <f>IF(D3872="","",INDEX(Knutepunkter!$D:$D,D3872+1))</f>
        <v/>
      </c>
      <c r="I3872" t="str">
        <f>IF(E3872="","",INDEX(Knutepunkter!$B:$B,E3872+1))</f>
        <v/>
      </c>
      <c r="J3872" t="str">
        <f>IF(E3872="","",INDEX(Knutepunkter!$C:$C,E3872+1))</f>
        <v/>
      </c>
      <c r="K3872" t="str">
        <f>IF(E3872="","",INDEX(Knutepunkter!$D:$D,E3872+1))</f>
        <v/>
      </c>
      <c r="L3872" t="str">
        <f t="shared" si="303"/>
        <v/>
      </c>
      <c r="M3872" t="str">
        <f t="shared" si="304"/>
        <v/>
      </c>
    </row>
    <row r="3873" spans="1:13" x14ac:dyDescent="0.3">
      <c r="A3873" t="str">
        <f>Segmenter!A3873</f>
        <v/>
      </c>
      <c r="B3873" t="str">
        <f>Segmenter!B3873</f>
        <v/>
      </c>
      <c r="C3873" t="str">
        <f t="shared" si="300"/>
        <v/>
      </c>
      <c r="D3873" t="str">
        <f t="shared" si="301"/>
        <v/>
      </c>
      <c r="E3873" t="str">
        <f t="shared" si="302"/>
        <v/>
      </c>
      <c r="F3873" t="str">
        <f>IF(D3873="","",INDEX(Knutepunkter!$B:$B,D3873+1))</f>
        <v/>
      </c>
      <c r="G3873" t="str">
        <f>IF(D3873="","",INDEX(Knutepunkter!$C:$C,D3873+1))</f>
        <v/>
      </c>
      <c r="H3873" t="str">
        <f>IF(D3873="","",INDEX(Knutepunkter!$D:$D,D3873+1))</f>
        <v/>
      </c>
      <c r="I3873" t="str">
        <f>IF(E3873="","",INDEX(Knutepunkter!$B:$B,E3873+1))</f>
        <v/>
      </c>
      <c r="J3873" t="str">
        <f>IF(E3873="","",INDEX(Knutepunkter!$C:$C,E3873+1))</f>
        <v/>
      </c>
      <c r="K3873" t="str">
        <f>IF(E3873="","",INDEX(Knutepunkter!$D:$D,E3873+1))</f>
        <v/>
      </c>
      <c r="L3873" t="str">
        <f t="shared" si="303"/>
        <v/>
      </c>
      <c r="M3873" t="str">
        <f t="shared" si="304"/>
        <v/>
      </c>
    </row>
    <row r="3874" spans="1:13" x14ac:dyDescent="0.3">
      <c r="A3874" t="str">
        <f>Segmenter!A3874</f>
        <v/>
      </c>
      <c r="B3874" t="str">
        <f>Segmenter!B3874</f>
        <v/>
      </c>
      <c r="C3874" t="str">
        <f t="shared" si="300"/>
        <v/>
      </c>
      <c r="D3874" t="str">
        <f t="shared" si="301"/>
        <v/>
      </c>
      <c r="E3874" t="str">
        <f t="shared" si="302"/>
        <v/>
      </c>
      <c r="F3874" t="str">
        <f>IF(D3874="","",INDEX(Knutepunkter!$B:$B,D3874+1))</f>
        <v/>
      </c>
      <c r="G3874" t="str">
        <f>IF(D3874="","",INDEX(Knutepunkter!$C:$C,D3874+1))</f>
        <v/>
      </c>
      <c r="H3874" t="str">
        <f>IF(D3874="","",INDEX(Knutepunkter!$D:$D,D3874+1))</f>
        <v/>
      </c>
      <c r="I3874" t="str">
        <f>IF(E3874="","",INDEX(Knutepunkter!$B:$B,E3874+1))</f>
        <v/>
      </c>
      <c r="J3874" t="str">
        <f>IF(E3874="","",INDEX(Knutepunkter!$C:$C,E3874+1))</f>
        <v/>
      </c>
      <c r="K3874" t="str">
        <f>IF(E3874="","",INDEX(Knutepunkter!$D:$D,E3874+1))</f>
        <v/>
      </c>
      <c r="L3874" t="str">
        <f t="shared" si="303"/>
        <v/>
      </c>
      <c r="M3874" t="str">
        <f t="shared" si="304"/>
        <v/>
      </c>
    </row>
    <row r="3875" spans="1:13" x14ac:dyDescent="0.3">
      <c r="A3875" t="str">
        <f>Segmenter!A3875</f>
        <v/>
      </c>
      <c r="B3875" t="str">
        <f>Segmenter!B3875</f>
        <v/>
      </c>
      <c r="C3875" t="str">
        <f t="shared" si="300"/>
        <v/>
      </c>
      <c r="D3875" t="str">
        <f t="shared" si="301"/>
        <v/>
      </c>
      <c r="E3875" t="str">
        <f t="shared" si="302"/>
        <v/>
      </c>
      <c r="F3875" t="str">
        <f>IF(D3875="","",INDEX(Knutepunkter!$B:$B,D3875+1))</f>
        <v/>
      </c>
      <c r="G3875" t="str">
        <f>IF(D3875="","",INDEX(Knutepunkter!$C:$C,D3875+1))</f>
        <v/>
      </c>
      <c r="H3875" t="str">
        <f>IF(D3875="","",INDEX(Knutepunkter!$D:$D,D3875+1))</f>
        <v/>
      </c>
      <c r="I3875" t="str">
        <f>IF(E3875="","",INDEX(Knutepunkter!$B:$B,E3875+1))</f>
        <v/>
      </c>
      <c r="J3875" t="str">
        <f>IF(E3875="","",INDEX(Knutepunkter!$C:$C,E3875+1))</f>
        <v/>
      </c>
      <c r="K3875" t="str">
        <f>IF(E3875="","",INDEX(Knutepunkter!$D:$D,E3875+1))</f>
        <v/>
      </c>
      <c r="L3875" t="str">
        <f t="shared" si="303"/>
        <v/>
      </c>
      <c r="M3875" t="str">
        <f t="shared" si="304"/>
        <v/>
      </c>
    </row>
    <row r="3876" spans="1:13" x14ac:dyDescent="0.3">
      <c r="A3876" t="str">
        <f>Segmenter!A3876</f>
        <v/>
      </c>
      <c r="B3876" t="str">
        <f>Segmenter!B3876</f>
        <v/>
      </c>
      <c r="C3876" t="str">
        <f t="shared" si="300"/>
        <v/>
      </c>
      <c r="D3876" t="str">
        <f t="shared" si="301"/>
        <v/>
      </c>
      <c r="E3876" t="str">
        <f t="shared" si="302"/>
        <v/>
      </c>
      <c r="F3876" t="str">
        <f>IF(D3876="","",INDEX(Knutepunkter!$B:$B,D3876+1))</f>
        <v/>
      </c>
      <c r="G3876" t="str">
        <f>IF(D3876="","",INDEX(Knutepunkter!$C:$C,D3876+1))</f>
        <v/>
      </c>
      <c r="H3876" t="str">
        <f>IF(D3876="","",INDEX(Knutepunkter!$D:$D,D3876+1))</f>
        <v/>
      </c>
      <c r="I3876" t="str">
        <f>IF(E3876="","",INDEX(Knutepunkter!$B:$B,E3876+1))</f>
        <v/>
      </c>
      <c r="J3876" t="str">
        <f>IF(E3876="","",INDEX(Knutepunkter!$C:$C,E3876+1))</f>
        <v/>
      </c>
      <c r="K3876" t="str">
        <f>IF(E3876="","",INDEX(Knutepunkter!$D:$D,E3876+1))</f>
        <v/>
      </c>
      <c r="L3876" t="str">
        <f t="shared" si="303"/>
        <v/>
      </c>
      <c r="M3876" t="str">
        <f t="shared" si="304"/>
        <v/>
      </c>
    </row>
    <row r="3877" spans="1:13" x14ac:dyDescent="0.3">
      <c r="A3877" t="str">
        <f>Segmenter!A3877</f>
        <v/>
      </c>
      <c r="B3877" t="str">
        <f>Segmenter!B3877</f>
        <v/>
      </c>
      <c r="C3877" t="str">
        <f t="shared" si="300"/>
        <v/>
      </c>
      <c r="D3877" t="str">
        <f t="shared" si="301"/>
        <v/>
      </c>
      <c r="E3877" t="str">
        <f t="shared" si="302"/>
        <v/>
      </c>
      <c r="F3877" t="str">
        <f>IF(D3877="","",INDEX(Knutepunkter!$B:$B,D3877+1))</f>
        <v/>
      </c>
      <c r="G3877" t="str">
        <f>IF(D3877="","",INDEX(Knutepunkter!$C:$C,D3877+1))</f>
        <v/>
      </c>
      <c r="H3877" t="str">
        <f>IF(D3877="","",INDEX(Knutepunkter!$D:$D,D3877+1))</f>
        <v/>
      </c>
      <c r="I3877" t="str">
        <f>IF(E3877="","",INDEX(Knutepunkter!$B:$B,E3877+1))</f>
        <v/>
      </c>
      <c r="J3877" t="str">
        <f>IF(E3877="","",INDEX(Knutepunkter!$C:$C,E3877+1))</f>
        <v/>
      </c>
      <c r="K3877" t="str">
        <f>IF(E3877="","",INDEX(Knutepunkter!$D:$D,E3877+1))</f>
        <v/>
      </c>
      <c r="L3877" t="str">
        <f t="shared" si="303"/>
        <v/>
      </c>
      <c r="M3877" t="str">
        <f t="shared" si="304"/>
        <v/>
      </c>
    </row>
    <row r="3878" spans="1:13" x14ac:dyDescent="0.3">
      <c r="A3878" t="str">
        <f>Segmenter!A3878</f>
        <v/>
      </c>
      <c r="B3878" t="str">
        <f>Segmenter!B3878</f>
        <v/>
      </c>
      <c r="C3878" t="str">
        <f t="shared" si="300"/>
        <v/>
      </c>
      <c r="D3878" t="str">
        <f t="shared" si="301"/>
        <v/>
      </c>
      <c r="E3878" t="str">
        <f t="shared" si="302"/>
        <v/>
      </c>
      <c r="F3878" t="str">
        <f>IF(D3878="","",INDEX(Knutepunkter!$B:$B,D3878+1))</f>
        <v/>
      </c>
      <c r="G3878" t="str">
        <f>IF(D3878="","",INDEX(Knutepunkter!$C:$C,D3878+1))</f>
        <v/>
      </c>
      <c r="H3878" t="str">
        <f>IF(D3878="","",INDEX(Knutepunkter!$D:$D,D3878+1))</f>
        <v/>
      </c>
      <c r="I3878" t="str">
        <f>IF(E3878="","",INDEX(Knutepunkter!$B:$B,E3878+1))</f>
        <v/>
      </c>
      <c r="J3878" t="str">
        <f>IF(E3878="","",INDEX(Knutepunkter!$C:$C,E3878+1))</f>
        <v/>
      </c>
      <c r="K3878" t="str">
        <f>IF(E3878="","",INDEX(Knutepunkter!$D:$D,E3878+1))</f>
        <v/>
      </c>
      <c r="L3878" t="str">
        <f t="shared" si="303"/>
        <v/>
      </c>
      <c r="M3878" t="str">
        <f t="shared" si="304"/>
        <v/>
      </c>
    </row>
    <row r="3879" spans="1:13" x14ac:dyDescent="0.3">
      <c r="A3879" t="str">
        <f>Segmenter!A3879</f>
        <v/>
      </c>
      <c r="B3879" t="str">
        <f>Segmenter!B3879</f>
        <v/>
      </c>
      <c r="C3879" t="str">
        <f t="shared" si="300"/>
        <v/>
      </c>
      <c r="D3879" t="str">
        <f t="shared" si="301"/>
        <v/>
      </c>
      <c r="E3879" t="str">
        <f t="shared" si="302"/>
        <v/>
      </c>
      <c r="F3879" t="str">
        <f>IF(D3879="","",INDEX(Knutepunkter!$B:$B,D3879+1))</f>
        <v/>
      </c>
      <c r="G3879" t="str">
        <f>IF(D3879="","",INDEX(Knutepunkter!$C:$C,D3879+1))</f>
        <v/>
      </c>
      <c r="H3879" t="str">
        <f>IF(D3879="","",INDEX(Knutepunkter!$D:$D,D3879+1))</f>
        <v/>
      </c>
      <c r="I3879" t="str">
        <f>IF(E3879="","",INDEX(Knutepunkter!$B:$B,E3879+1))</f>
        <v/>
      </c>
      <c r="J3879" t="str">
        <f>IF(E3879="","",INDEX(Knutepunkter!$C:$C,E3879+1))</f>
        <v/>
      </c>
      <c r="K3879" t="str">
        <f>IF(E3879="","",INDEX(Knutepunkter!$D:$D,E3879+1))</f>
        <v/>
      </c>
      <c r="L3879" t="str">
        <f t="shared" si="303"/>
        <v/>
      </c>
      <c r="M3879" t="str">
        <f t="shared" si="304"/>
        <v/>
      </c>
    </row>
    <row r="3880" spans="1:13" x14ac:dyDescent="0.3">
      <c r="A3880" t="str">
        <f>Segmenter!A3880</f>
        <v/>
      </c>
      <c r="B3880" t="str">
        <f>Segmenter!B3880</f>
        <v/>
      </c>
      <c r="C3880" t="str">
        <f t="shared" si="300"/>
        <v/>
      </c>
      <c r="D3880" t="str">
        <f t="shared" si="301"/>
        <v/>
      </c>
      <c r="E3880" t="str">
        <f t="shared" si="302"/>
        <v/>
      </c>
      <c r="F3880" t="str">
        <f>IF(D3880="","",INDEX(Knutepunkter!$B:$B,D3880+1))</f>
        <v/>
      </c>
      <c r="G3880" t="str">
        <f>IF(D3880="","",INDEX(Knutepunkter!$C:$C,D3880+1))</f>
        <v/>
      </c>
      <c r="H3880" t="str">
        <f>IF(D3880="","",INDEX(Knutepunkter!$D:$D,D3880+1))</f>
        <v/>
      </c>
      <c r="I3880" t="str">
        <f>IF(E3880="","",INDEX(Knutepunkter!$B:$B,E3880+1))</f>
        <v/>
      </c>
      <c r="J3880" t="str">
        <f>IF(E3880="","",INDEX(Knutepunkter!$C:$C,E3880+1))</f>
        <v/>
      </c>
      <c r="K3880" t="str">
        <f>IF(E3880="","",INDEX(Knutepunkter!$D:$D,E3880+1))</f>
        <v/>
      </c>
      <c r="L3880" t="str">
        <f t="shared" si="303"/>
        <v/>
      </c>
      <c r="M3880" t="str">
        <f t="shared" si="304"/>
        <v/>
      </c>
    </row>
    <row r="3881" spans="1:13" x14ac:dyDescent="0.3">
      <c r="A3881" t="str">
        <f>Segmenter!A3881</f>
        <v/>
      </c>
      <c r="B3881" t="str">
        <f>Segmenter!B3881</f>
        <v/>
      </c>
      <c r="C3881" t="str">
        <f t="shared" si="300"/>
        <v/>
      </c>
      <c r="D3881" t="str">
        <f t="shared" si="301"/>
        <v/>
      </c>
      <c r="E3881" t="str">
        <f t="shared" si="302"/>
        <v/>
      </c>
      <c r="F3881" t="str">
        <f>IF(D3881="","",INDEX(Knutepunkter!$B:$B,D3881+1))</f>
        <v/>
      </c>
      <c r="G3881" t="str">
        <f>IF(D3881="","",INDEX(Knutepunkter!$C:$C,D3881+1))</f>
        <v/>
      </c>
      <c r="H3881" t="str">
        <f>IF(D3881="","",INDEX(Knutepunkter!$D:$D,D3881+1))</f>
        <v/>
      </c>
      <c r="I3881" t="str">
        <f>IF(E3881="","",INDEX(Knutepunkter!$B:$B,E3881+1))</f>
        <v/>
      </c>
      <c r="J3881" t="str">
        <f>IF(E3881="","",INDEX(Knutepunkter!$C:$C,E3881+1))</f>
        <v/>
      </c>
      <c r="K3881" t="str">
        <f>IF(E3881="","",INDEX(Knutepunkter!$D:$D,E3881+1))</f>
        <v/>
      </c>
      <c r="L3881" t="str">
        <f t="shared" si="303"/>
        <v/>
      </c>
      <c r="M3881" t="str">
        <f t="shared" si="304"/>
        <v/>
      </c>
    </row>
    <row r="3882" spans="1:13" x14ac:dyDescent="0.3">
      <c r="A3882" t="str">
        <f>Segmenter!A3882</f>
        <v/>
      </c>
      <c r="B3882" t="str">
        <f>Segmenter!B3882</f>
        <v/>
      </c>
      <c r="C3882" t="str">
        <f t="shared" si="300"/>
        <v/>
      </c>
      <c r="D3882" t="str">
        <f t="shared" si="301"/>
        <v/>
      </c>
      <c r="E3882" t="str">
        <f t="shared" si="302"/>
        <v/>
      </c>
      <c r="F3882" t="str">
        <f>IF(D3882="","",INDEX(Knutepunkter!$B:$B,D3882+1))</f>
        <v/>
      </c>
      <c r="G3882" t="str">
        <f>IF(D3882="","",INDEX(Knutepunkter!$C:$C,D3882+1))</f>
        <v/>
      </c>
      <c r="H3882" t="str">
        <f>IF(D3882="","",INDEX(Knutepunkter!$D:$D,D3882+1))</f>
        <v/>
      </c>
      <c r="I3882" t="str">
        <f>IF(E3882="","",INDEX(Knutepunkter!$B:$B,E3882+1))</f>
        <v/>
      </c>
      <c r="J3882" t="str">
        <f>IF(E3882="","",INDEX(Knutepunkter!$C:$C,E3882+1))</f>
        <v/>
      </c>
      <c r="K3882" t="str">
        <f>IF(E3882="","",INDEX(Knutepunkter!$D:$D,E3882+1))</f>
        <v/>
      </c>
      <c r="L3882" t="str">
        <f t="shared" si="303"/>
        <v/>
      </c>
      <c r="M3882" t="str">
        <f t="shared" si="304"/>
        <v/>
      </c>
    </row>
    <row r="3883" spans="1:13" x14ac:dyDescent="0.3">
      <c r="A3883" t="str">
        <f>Segmenter!A3883</f>
        <v/>
      </c>
      <c r="B3883" t="str">
        <f>Segmenter!B3883</f>
        <v/>
      </c>
      <c r="C3883" t="str">
        <f t="shared" si="300"/>
        <v/>
      </c>
      <c r="D3883" t="str">
        <f t="shared" si="301"/>
        <v/>
      </c>
      <c r="E3883" t="str">
        <f t="shared" si="302"/>
        <v/>
      </c>
      <c r="F3883" t="str">
        <f>IF(D3883="","",INDEX(Knutepunkter!$B:$B,D3883+1))</f>
        <v/>
      </c>
      <c r="G3883" t="str">
        <f>IF(D3883="","",INDEX(Knutepunkter!$C:$C,D3883+1))</f>
        <v/>
      </c>
      <c r="H3883" t="str">
        <f>IF(D3883="","",INDEX(Knutepunkter!$D:$D,D3883+1))</f>
        <v/>
      </c>
      <c r="I3883" t="str">
        <f>IF(E3883="","",INDEX(Knutepunkter!$B:$B,E3883+1))</f>
        <v/>
      </c>
      <c r="J3883" t="str">
        <f>IF(E3883="","",INDEX(Knutepunkter!$C:$C,E3883+1))</f>
        <v/>
      </c>
      <c r="K3883" t="str">
        <f>IF(E3883="","",INDEX(Knutepunkter!$D:$D,E3883+1))</f>
        <v/>
      </c>
      <c r="L3883" t="str">
        <f t="shared" si="303"/>
        <v/>
      </c>
      <c r="M3883" t="str">
        <f t="shared" si="304"/>
        <v/>
      </c>
    </row>
    <row r="3884" spans="1:13" x14ac:dyDescent="0.3">
      <c r="A3884" t="str">
        <f>Segmenter!A3884</f>
        <v/>
      </c>
      <c r="B3884" t="str">
        <f>Segmenter!B3884</f>
        <v/>
      </c>
      <c r="C3884" t="str">
        <f t="shared" si="300"/>
        <v/>
      </c>
      <c r="D3884" t="str">
        <f t="shared" si="301"/>
        <v/>
      </c>
      <c r="E3884" t="str">
        <f t="shared" si="302"/>
        <v/>
      </c>
      <c r="F3884" t="str">
        <f>IF(D3884="","",INDEX(Knutepunkter!$B:$B,D3884+1))</f>
        <v/>
      </c>
      <c r="G3884" t="str">
        <f>IF(D3884="","",INDEX(Knutepunkter!$C:$C,D3884+1))</f>
        <v/>
      </c>
      <c r="H3884" t="str">
        <f>IF(D3884="","",INDEX(Knutepunkter!$D:$D,D3884+1))</f>
        <v/>
      </c>
      <c r="I3884" t="str">
        <f>IF(E3884="","",INDEX(Knutepunkter!$B:$B,E3884+1))</f>
        <v/>
      </c>
      <c r="J3884" t="str">
        <f>IF(E3884="","",INDEX(Knutepunkter!$C:$C,E3884+1))</f>
        <v/>
      </c>
      <c r="K3884" t="str">
        <f>IF(E3884="","",INDEX(Knutepunkter!$D:$D,E3884+1))</f>
        <v/>
      </c>
      <c r="L3884" t="str">
        <f t="shared" si="303"/>
        <v/>
      </c>
      <c r="M3884" t="str">
        <f t="shared" si="304"/>
        <v/>
      </c>
    </row>
    <row r="3885" spans="1:13" x14ac:dyDescent="0.3">
      <c r="A3885" t="str">
        <f>Segmenter!A3885</f>
        <v/>
      </c>
      <c r="B3885" t="str">
        <f>Segmenter!B3885</f>
        <v/>
      </c>
      <c r="C3885" t="str">
        <f t="shared" si="300"/>
        <v/>
      </c>
      <c r="D3885" t="str">
        <f t="shared" si="301"/>
        <v/>
      </c>
      <c r="E3885" t="str">
        <f t="shared" si="302"/>
        <v/>
      </c>
      <c r="F3885" t="str">
        <f>IF(D3885="","",INDEX(Knutepunkter!$B:$B,D3885+1))</f>
        <v/>
      </c>
      <c r="G3885" t="str">
        <f>IF(D3885="","",INDEX(Knutepunkter!$C:$C,D3885+1))</f>
        <v/>
      </c>
      <c r="H3885" t="str">
        <f>IF(D3885="","",INDEX(Knutepunkter!$D:$D,D3885+1))</f>
        <v/>
      </c>
      <c r="I3885" t="str">
        <f>IF(E3885="","",INDEX(Knutepunkter!$B:$B,E3885+1))</f>
        <v/>
      </c>
      <c r="J3885" t="str">
        <f>IF(E3885="","",INDEX(Knutepunkter!$C:$C,E3885+1))</f>
        <v/>
      </c>
      <c r="K3885" t="str">
        <f>IF(E3885="","",INDEX(Knutepunkter!$D:$D,E3885+1))</f>
        <v/>
      </c>
      <c r="L3885" t="str">
        <f t="shared" si="303"/>
        <v/>
      </c>
      <c r="M3885" t="str">
        <f t="shared" si="304"/>
        <v/>
      </c>
    </row>
    <row r="3886" spans="1:13" x14ac:dyDescent="0.3">
      <c r="A3886" t="str">
        <f>Segmenter!A3886</f>
        <v/>
      </c>
      <c r="B3886" t="str">
        <f>Segmenter!B3886</f>
        <v/>
      </c>
      <c r="C3886" t="str">
        <f t="shared" si="300"/>
        <v/>
      </c>
      <c r="D3886" t="str">
        <f t="shared" si="301"/>
        <v/>
      </c>
      <c r="E3886" t="str">
        <f t="shared" si="302"/>
        <v/>
      </c>
      <c r="F3886" t="str">
        <f>IF(D3886="","",INDEX(Knutepunkter!$B:$B,D3886+1))</f>
        <v/>
      </c>
      <c r="G3886" t="str">
        <f>IF(D3886="","",INDEX(Knutepunkter!$C:$C,D3886+1))</f>
        <v/>
      </c>
      <c r="H3886" t="str">
        <f>IF(D3886="","",INDEX(Knutepunkter!$D:$D,D3886+1))</f>
        <v/>
      </c>
      <c r="I3886" t="str">
        <f>IF(E3886="","",INDEX(Knutepunkter!$B:$B,E3886+1))</f>
        <v/>
      </c>
      <c r="J3886" t="str">
        <f>IF(E3886="","",INDEX(Knutepunkter!$C:$C,E3886+1))</f>
        <v/>
      </c>
      <c r="K3886" t="str">
        <f>IF(E3886="","",INDEX(Knutepunkter!$D:$D,E3886+1))</f>
        <v/>
      </c>
      <c r="L3886" t="str">
        <f t="shared" si="303"/>
        <v/>
      </c>
      <c r="M3886" t="str">
        <f t="shared" si="304"/>
        <v/>
      </c>
    </row>
    <row r="3887" spans="1:13" x14ac:dyDescent="0.3">
      <c r="A3887" t="str">
        <f>Segmenter!A3887</f>
        <v/>
      </c>
      <c r="B3887" t="str">
        <f>Segmenter!B3887</f>
        <v/>
      </c>
      <c r="C3887" t="str">
        <f t="shared" si="300"/>
        <v/>
      </c>
      <c r="D3887" t="str">
        <f t="shared" si="301"/>
        <v/>
      </c>
      <c r="E3887" t="str">
        <f t="shared" si="302"/>
        <v/>
      </c>
      <c r="F3887" t="str">
        <f>IF(D3887="","",INDEX(Knutepunkter!$B:$B,D3887+1))</f>
        <v/>
      </c>
      <c r="G3887" t="str">
        <f>IF(D3887="","",INDEX(Knutepunkter!$C:$C,D3887+1))</f>
        <v/>
      </c>
      <c r="H3887" t="str">
        <f>IF(D3887="","",INDEX(Knutepunkter!$D:$D,D3887+1))</f>
        <v/>
      </c>
      <c r="I3887" t="str">
        <f>IF(E3887="","",INDEX(Knutepunkter!$B:$B,E3887+1))</f>
        <v/>
      </c>
      <c r="J3887" t="str">
        <f>IF(E3887="","",INDEX(Knutepunkter!$C:$C,E3887+1))</f>
        <v/>
      </c>
      <c r="K3887" t="str">
        <f>IF(E3887="","",INDEX(Knutepunkter!$D:$D,E3887+1))</f>
        <v/>
      </c>
      <c r="L3887" t="str">
        <f t="shared" si="303"/>
        <v/>
      </c>
      <c r="M3887" t="str">
        <f t="shared" si="304"/>
        <v/>
      </c>
    </row>
    <row r="3888" spans="1:13" x14ac:dyDescent="0.3">
      <c r="A3888" t="str">
        <f>Segmenter!A3888</f>
        <v/>
      </c>
      <c r="B3888" t="str">
        <f>Segmenter!B3888</f>
        <v/>
      </c>
      <c r="C3888" t="str">
        <f t="shared" si="300"/>
        <v/>
      </c>
      <c r="D3888" t="str">
        <f t="shared" si="301"/>
        <v/>
      </c>
      <c r="E3888" t="str">
        <f t="shared" si="302"/>
        <v/>
      </c>
      <c r="F3888" t="str">
        <f>IF(D3888="","",INDEX(Knutepunkter!$B:$B,D3888+1))</f>
        <v/>
      </c>
      <c r="G3888" t="str">
        <f>IF(D3888="","",INDEX(Knutepunkter!$C:$C,D3888+1))</f>
        <v/>
      </c>
      <c r="H3888" t="str">
        <f>IF(D3888="","",INDEX(Knutepunkter!$D:$D,D3888+1))</f>
        <v/>
      </c>
      <c r="I3888" t="str">
        <f>IF(E3888="","",INDEX(Knutepunkter!$B:$B,E3888+1))</f>
        <v/>
      </c>
      <c r="J3888" t="str">
        <f>IF(E3888="","",INDEX(Knutepunkter!$C:$C,E3888+1))</f>
        <v/>
      </c>
      <c r="K3888" t="str">
        <f>IF(E3888="","",INDEX(Knutepunkter!$D:$D,E3888+1))</f>
        <v/>
      </c>
      <c r="L3888" t="str">
        <f t="shared" si="303"/>
        <v/>
      </c>
      <c r="M3888" t="str">
        <f t="shared" si="304"/>
        <v/>
      </c>
    </row>
    <row r="3889" spans="1:13" x14ac:dyDescent="0.3">
      <c r="A3889" t="str">
        <f>Segmenter!A3889</f>
        <v/>
      </c>
      <c r="B3889" t="str">
        <f>Segmenter!B3889</f>
        <v/>
      </c>
      <c r="C3889" t="str">
        <f t="shared" si="300"/>
        <v/>
      </c>
      <c r="D3889" t="str">
        <f t="shared" si="301"/>
        <v/>
      </c>
      <c r="E3889" t="str">
        <f t="shared" si="302"/>
        <v/>
      </c>
      <c r="F3889" t="str">
        <f>IF(D3889="","",INDEX(Knutepunkter!$B:$B,D3889+1))</f>
        <v/>
      </c>
      <c r="G3889" t="str">
        <f>IF(D3889="","",INDEX(Knutepunkter!$C:$C,D3889+1))</f>
        <v/>
      </c>
      <c r="H3889" t="str">
        <f>IF(D3889="","",INDEX(Knutepunkter!$D:$D,D3889+1))</f>
        <v/>
      </c>
      <c r="I3889" t="str">
        <f>IF(E3889="","",INDEX(Knutepunkter!$B:$B,E3889+1))</f>
        <v/>
      </c>
      <c r="J3889" t="str">
        <f>IF(E3889="","",INDEX(Knutepunkter!$C:$C,E3889+1))</f>
        <v/>
      </c>
      <c r="K3889" t="str">
        <f>IF(E3889="","",INDEX(Knutepunkter!$D:$D,E3889+1))</f>
        <v/>
      </c>
      <c r="L3889" t="str">
        <f t="shared" si="303"/>
        <v/>
      </c>
      <c r="M3889" t="str">
        <f t="shared" si="304"/>
        <v/>
      </c>
    </row>
    <row r="3890" spans="1:13" x14ac:dyDescent="0.3">
      <c r="A3890" t="str">
        <f>Segmenter!A3890</f>
        <v/>
      </c>
      <c r="B3890" t="str">
        <f>Segmenter!B3890</f>
        <v/>
      </c>
      <c r="C3890" t="str">
        <f t="shared" si="300"/>
        <v/>
      </c>
      <c r="D3890" t="str">
        <f t="shared" si="301"/>
        <v/>
      </c>
      <c r="E3890" t="str">
        <f t="shared" si="302"/>
        <v/>
      </c>
      <c r="F3890" t="str">
        <f>IF(D3890="","",INDEX(Knutepunkter!$B:$B,D3890+1))</f>
        <v/>
      </c>
      <c r="G3890" t="str">
        <f>IF(D3890="","",INDEX(Knutepunkter!$C:$C,D3890+1))</f>
        <v/>
      </c>
      <c r="H3890" t="str">
        <f>IF(D3890="","",INDEX(Knutepunkter!$D:$D,D3890+1))</f>
        <v/>
      </c>
      <c r="I3890" t="str">
        <f>IF(E3890="","",INDEX(Knutepunkter!$B:$B,E3890+1))</f>
        <v/>
      </c>
      <c r="J3890" t="str">
        <f>IF(E3890="","",INDEX(Knutepunkter!$C:$C,E3890+1))</f>
        <v/>
      </c>
      <c r="K3890" t="str">
        <f>IF(E3890="","",INDEX(Knutepunkter!$D:$D,E3890+1))</f>
        <v/>
      </c>
      <c r="L3890" t="str">
        <f t="shared" si="303"/>
        <v/>
      </c>
      <c r="M3890" t="str">
        <f t="shared" si="304"/>
        <v/>
      </c>
    </row>
    <row r="3891" spans="1:13" x14ac:dyDescent="0.3">
      <c r="A3891" t="str">
        <f>Segmenter!A3891</f>
        <v/>
      </c>
      <c r="B3891" t="str">
        <f>Segmenter!B3891</f>
        <v/>
      </c>
      <c r="C3891" t="str">
        <f t="shared" si="300"/>
        <v/>
      </c>
      <c r="D3891" t="str">
        <f t="shared" si="301"/>
        <v/>
      </c>
      <c r="E3891" t="str">
        <f t="shared" si="302"/>
        <v/>
      </c>
      <c r="F3891" t="str">
        <f>IF(D3891="","",INDEX(Knutepunkter!$B:$B,D3891+1))</f>
        <v/>
      </c>
      <c r="G3891" t="str">
        <f>IF(D3891="","",INDEX(Knutepunkter!$C:$C,D3891+1))</f>
        <v/>
      </c>
      <c r="H3891" t="str">
        <f>IF(D3891="","",INDEX(Knutepunkter!$D:$D,D3891+1))</f>
        <v/>
      </c>
      <c r="I3891" t="str">
        <f>IF(E3891="","",INDEX(Knutepunkter!$B:$B,E3891+1))</f>
        <v/>
      </c>
      <c r="J3891" t="str">
        <f>IF(E3891="","",INDEX(Knutepunkter!$C:$C,E3891+1))</f>
        <v/>
      </c>
      <c r="K3891" t="str">
        <f>IF(E3891="","",INDEX(Knutepunkter!$D:$D,E3891+1))</f>
        <v/>
      </c>
      <c r="L3891" t="str">
        <f t="shared" si="303"/>
        <v/>
      </c>
      <c r="M3891" t="str">
        <f t="shared" si="304"/>
        <v/>
      </c>
    </row>
    <row r="3892" spans="1:13" x14ac:dyDescent="0.3">
      <c r="A3892" t="str">
        <f>Segmenter!A3892</f>
        <v/>
      </c>
      <c r="B3892" t="str">
        <f>Segmenter!B3892</f>
        <v/>
      </c>
      <c r="C3892" t="str">
        <f t="shared" si="300"/>
        <v/>
      </c>
      <c r="D3892" t="str">
        <f t="shared" si="301"/>
        <v/>
      </c>
      <c r="E3892" t="str">
        <f t="shared" si="302"/>
        <v/>
      </c>
      <c r="F3892" t="str">
        <f>IF(D3892="","",INDEX(Knutepunkter!$B:$B,D3892+1))</f>
        <v/>
      </c>
      <c r="G3892" t="str">
        <f>IF(D3892="","",INDEX(Knutepunkter!$C:$C,D3892+1))</f>
        <v/>
      </c>
      <c r="H3892" t="str">
        <f>IF(D3892="","",INDEX(Knutepunkter!$D:$D,D3892+1))</f>
        <v/>
      </c>
      <c r="I3892" t="str">
        <f>IF(E3892="","",INDEX(Knutepunkter!$B:$B,E3892+1))</f>
        <v/>
      </c>
      <c r="J3892" t="str">
        <f>IF(E3892="","",INDEX(Knutepunkter!$C:$C,E3892+1))</f>
        <v/>
      </c>
      <c r="K3892" t="str">
        <f>IF(E3892="","",INDEX(Knutepunkter!$D:$D,E3892+1))</f>
        <v/>
      </c>
      <c r="L3892" t="str">
        <f t="shared" si="303"/>
        <v/>
      </c>
      <c r="M3892" t="str">
        <f t="shared" si="304"/>
        <v/>
      </c>
    </row>
    <row r="3893" spans="1:13" x14ac:dyDescent="0.3">
      <c r="A3893" t="str">
        <f>Segmenter!A3893</f>
        <v/>
      </c>
      <c r="B3893" t="str">
        <f>Segmenter!B3893</f>
        <v/>
      </c>
      <c r="C3893" t="str">
        <f t="shared" si="300"/>
        <v/>
      </c>
      <c r="D3893" t="str">
        <f t="shared" si="301"/>
        <v/>
      </c>
      <c r="E3893" t="str">
        <f t="shared" si="302"/>
        <v/>
      </c>
      <c r="F3893" t="str">
        <f>IF(D3893="","",INDEX(Knutepunkter!$B:$B,D3893+1))</f>
        <v/>
      </c>
      <c r="G3893" t="str">
        <f>IF(D3893="","",INDEX(Knutepunkter!$C:$C,D3893+1))</f>
        <v/>
      </c>
      <c r="H3893" t="str">
        <f>IF(D3893="","",INDEX(Knutepunkter!$D:$D,D3893+1))</f>
        <v/>
      </c>
      <c r="I3893" t="str">
        <f>IF(E3893="","",INDEX(Knutepunkter!$B:$B,E3893+1))</f>
        <v/>
      </c>
      <c r="J3893" t="str">
        <f>IF(E3893="","",INDEX(Knutepunkter!$C:$C,E3893+1))</f>
        <v/>
      </c>
      <c r="K3893" t="str">
        <f>IF(E3893="","",INDEX(Knutepunkter!$D:$D,E3893+1))</f>
        <v/>
      </c>
      <c r="L3893" t="str">
        <f t="shared" si="303"/>
        <v/>
      </c>
      <c r="M3893" t="str">
        <f t="shared" si="304"/>
        <v/>
      </c>
    </row>
    <row r="3894" spans="1:13" x14ac:dyDescent="0.3">
      <c r="A3894" t="str">
        <f>Segmenter!A3894</f>
        <v/>
      </c>
      <c r="B3894" t="str">
        <f>Segmenter!B3894</f>
        <v/>
      </c>
      <c r="C3894" t="str">
        <f t="shared" si="300"/>
        <v/>
      </c>
      <c r="D3894" t="str">
        <f t="shared" si="301"/>
        <v/>
      </c>
      <c r="E3894" t="str">
        <f t="shared" si="302"/>
        <v/>
      </c>
      <c r="F3894" t="str">
        <f>IF(D3894="","",INDEX(Knutepunkter!$B:$B,D3894+1))</f>
        <v/>
      </c>
      <c r="G3894" t="str">
        <f>IF(D3894="","",INDEX(Knutepunkter!$C:$C,D3894+1))</f>
        <v/>
      </c>
      <c r="H3894" t="str">
        <f>IF(D3894="","",INDEX(Knutepunkter!$D:$D,D3894+1))</f>
        <v/>
      </c>
      <c r="I3894" t="str">
        <f>IF(E3894="","",INDEX(Knutepunkter!$B:$B,E3894+1))</f>
        <v/>
      </c>
      <c r="J3894" t="str">
        <f>IF(E3894="","",INDEX(Knutepunkter!$C:$C,E3894+1))</f>
        <v/>
      </c>
      <c r="K3894" t="str">
        <f>IF(E3894="","",INDEX(Knutepunkter!$D:$D,E3894+1))</f>
        <v/>
      </c>
      <c r="L3894" t="str">
        <f t="shared" si="303"/>
        <v/>
      </c>
      <c r="M3894" t="str">
        <f t="shared" si="304"/>
        <v/>
      </c>
    </row>
    <row r="3895" spans="1:13" x14ac:dyDescent="0.3">
      <c r="A3895" t="str">
        <f>Segmenter!A3895</f>
        <v/>
      </c>
      <c r="B3895" t="str">
        <f>Segmenter!B3895</f>
        <v/>
      </c>
      <c r="C3895" t="str">
        <f t="shared" si="300"/>
        <v/>
      </c>
      <c r="D3895" t="str">
        <f t="shared" si="301"/>
        <v/>
      </c>
      <c r="E3895" t="str">
        <f t="shared" si="302"/>
        <v/>
      </c>
      <c r="F3895" t="str">
        <f>IF(D3895="","",INDEX(Knutepunkter!$B:$B,D3895+1))</f>
        <v/>
      </c>
      <c r="G3895" t="str">
        <f>IF(D3895="","",INDEX(Knutepunkter!$C:$C,D3895+1))</f>
        <v/>
      </c>
      <c r="H3895" t="str">
        <f>IF(D3895="","",INDEX(Knutepunkter!$D:$D,D3895+1))</f>
        <v/>
      </c>
      <c r="I3895" t="str">
        <f>IF(E3895="","",INDEX(Knutepunkter!$B:$B,E3895+1))</f>
        <v/>
      </c>
      <c r="J3895" t="str">
        <f>IF(E3895="","",INDEX(Knutepunkter!$C:$C,E3895+1))</f>
        <v/>
      </c>
      <c r="K3895" t="str">
        <f>IF(E3895="","",INDEX(Knutepunkter!$D:$D,E3895+1))</f>
        <v/>
      </c>
      <c r="L3895" t="str">
        <f t="shared" si="303"/>
        <v/>
      </c>
      <c r="M3895" t="str">
        <f t="shared" si="304"/>
        <v/>
      </c>
    </row>
    <row r="3896" spans="1:13" x14ac:dyDescent="0.3">
      <c r="A3896" t="str">
        <f>Segmenter!A3896</f>
        <v/>
      </c>
      <c r="B3896" t="str">
        <f>Segmenter!B3896</f>
        <v/>
      </c>
      <c r="C3896" t="str">
        <f t="shared" si="300"/>
        <v/>
      </c>
      <c r="D3896" t="str">
        <f t="shared" si="301"/>
        <v/>
      </c>
      <c r="E3896" t="str">
        <f t="shared" si="302"/>
        <v/>
      </c>
      <c r="F3896" t="str">
        <f>IF(D3896="","",INDEX(Knutepunkter!$B:$B,D3896+1))</f>
        <v/>
      </c>
      <c r="G3896" t="str">
        <f>IF(D3896="","",INDEX(Knutepunkter!$C:$C,D3896+1))</f>
        <v/>
      </c>
      <c r="H3896" t="str">
        <f>IF(D3896="","",INDEX(Knutepunkter!$D:$D,D3896+1))</f>
        <v/>
      </c>
      <c r="I3896" t="str">
        <f>IF(E3896="","",INDEX(Knutepunkter!$B:$B,E3896+1))</f>
        <v/>
      </c>
      <c r="J3896" t="str">
        <f>IF(E3896="","",INDEX(Knutepunkter!$C:$C,E3896+1))</f>
        <v/>
      </c>
      <c r="K3896" t="str">
        <f>IF(E3896="","",INDEX(Knutepunkter!$D:$D,E3896+1))</f>
        <v/>
      </c>
      <c r="L3896" t="str">
        <f t="shared" si="303"/>
        <v/>
      </c>
      <c r="M3896" t="str">
        <f t="shared" si="304"/>
        <v/>
      </c>
    </row>
    <row r="3897" spans="1:13" x14ac:dyDescent="0.3">
      <c r="A3897" t="str">
        <f>Segmenter!A3897</f>
        <v/>
      </c>
      <c r="B3897" t="str">
        <f>Segmenter!B3897</f>
        <v/>
      </c>
      <c r="C3897" t="str">
        <f t="shared" si="300"/>
        <v/>
      </c>
      <c r="D3897" t="str">
        <f t="shared" si="301"/>
        <v/>
      </c>
      <c r="E3897" t="str">
        <f t="shared" si="302"/>
        <v/>
      </c>
      <c r="F3897" t="str">
        <f>IF(D3897="","",INDEX(Knutepunkter!$B:$B,D3897+1))</f>
        <v/>
      </c>
      <c r="G3897" t="str">
        <f>IF(D3897="","",INDEX(Knutepunkter!$C:$C,D3897+1))</f>
        <v/>
      </c>
      <c r="H3897" t="str">
        <f>IF(D3897="","",INDEX(Knutepunkter!$D:$D,D3897+1))</f>
        <v/>
      </c>
      <c r="I3897" t="str">
        <f>IF(E3897="","",INDEX(Knutepunkter!$B:$B,E3897+1))</f>
        <v/>
      </c>
      <c r="J3897" t="str">
        <f>IF(E3897="","",INDEX(Knutepunkter!$C:$C,E3897+1))</f>
        <v/>
      </c>
      <c r="K3897" t="str">
        <f>IF(E3897="","",INDEX(Knutepunkter!$D:$D,E3897+1))</f>
        <v/>
      </c>
      <c r="L3897" t="str">
        <f t="shared" si="303"/>
        <v/>
      </c>
      <c r="M3897" t="str">
        <f t="shared" si="304"/>
        <v/>
      </c>
    </row>
    <row r="3898" spans="1:13" x14ac:dyDescent="0.3">
      <c r="A3898" t="str">
        <f>Segmenter!A3898</f>
        <v/>
      </c>
      <c r="B3898" t="str">
        <f>Segmenter!B3898</f>
        <v/>
      </c>
      <c r="C3898" t="str">
        <f t="shared" si="300"/>
        <v/>
      </c>
      <c r="D3898" t="str">
        <f t="shared" si="301"/>
        <v/>
      </c>
      <c r="E3898" t="str">
        <f t="shared" si="302"/>
        <v/>
      </c>
      <c r="F3898" t="str">
        <f>IF(D3898="","",INDEX(Knutepunkter!$B:$B,D3898+1))</f>
        <v/>
      </c>
      <c r="G3898" t="str">
        <f>IF(D3898="","",INDEX(Knutepunkter!$C:$C,D3898+1))</f>
        <v/>
      </c>
      <c r="H3898" t="str">
        <f>IF(D3898="","",INDEX(Knutepunkter!$D:$D,D3898+1))</f>
        <v/>
      </c>
      <c r="I3898" t="str">
        <f>IF(E3898="","",INDEX(Knutepunkter!$B:$B,E3898+1))</f>
        <v/>
      </c>
      <c r="J3898" t="str">
        <f>IF(E3898="","",INDEX(Knutepunkter!$C:$C,E3898+1))</f>
        <v/>
      </c>
      <c r="K3898" t="str">
        <f>IF(E3898="","",INDEX(Knutepunkter!$D:$D,E3898+1))</f>
        <v/>
      </c>
      <c r="L3898" t="str">
        <f t="shared" si="303"/>
        <v/>
      </c>
      <c r="M3898" t="str">
        <f t="shared" si="304"/>
        <v/>
      </c>
    </row>
    <row r="3899" spans="1:13" x14ac:dyDescent="0.3">
      <c r="A3899" t="str">
        <f>Segmenter!A3899</f>
        <v/>
      </c>
      <c r="B3899" t="str">
        <f>Segmenter!B3899</f>
        <v/>
      </c>
      <c r="C3899" t="str">
        <f t="shared" si="300"/>
        <v/>
      </c>
      <c r="D3899" t="str">
        <f t="shared" si="301"/>
        <v/>
      </c>
      <c r="E3899" t="str">
        <f t="shared" si="302"/>
        <v/>
      </c>
      <c r="F3899" t="str">
        <f>IF(D3899="","",INDEX(Knutepunkter!$B:$B,D3899+1))</f>
        <v/>
      </c>
      <c r="G3899" t="str">
        <f>IF(D3899="","",INDEX(Knutepunkter!$C:$C,D3899+1))</f>
        <v/>
      </c>
      <c r="H3899" t="str">
        <f>IF(D3899="","",INDEX(Knutepunkter!$D:$D,D3899+1))</f>
        <v/>
      </c>
      <c r="I3899" t="str">
        <f>IF(E3899="","",INDEX(Knutepunkter!$B:$B,E3899+1))</f>
        <v/>
      </c>
      <c r="J3899" t="str">
        <f>IF(E3899="","",INDEX(Knutepunkter!$C:$C,E3899+1))</f>
        <v/>
      </c>
      <c r="K3899" t="str">
        <f>IF(E3899="","",INDEX(Knutepunkter!$D:$D,E3899+1))</f>
        <v/>
      </c>
      <c r="L3899" t="str">
        <f t="shared" si="303"/>
        <v/>
      </c>
      <c r="M3899" t="str">
        <f t="shared" si="304"/>
        <v/>
      </c>
    </row>
    <row r="3900" spans="1:13" x14ac:dyDescent="0.3">
      <c r="A3900" t="str">
        <f>Segmenter!A3900</f>
        <v/>
      </c>
      <c r="B3900" t="str">
        <f>Segmenter!B3900</f>
        <v/>
      </c>
      <c r="C3900" t="str">
        <f t="shared" si="300"/>
        <v/>
      </c>
      <c r="D3900" t="str">
        <f t="shared" si="301"/>
        <v/>
      </c>
      <c r="E3900" t="str">
        <f t="shared" si="302"/>
        <v/>
      </c>
      <c r="F3900" t="str">
        <f>IF(D3900="","",INDEX(Knutepunkter!$B:$B,D3900+1))</f>
        <v/>
      </c>
      <c r="G3900" t="str">
        <f>IF(D3900="","",INDEX(Knutepunkter!$C:$C,D3900+1))</f>
        <v/>
      </c>
      <c r="H3900" t="str">
        <f>IF(D3900="","",INDEX(Knutepunkter!$D:$D,D3900+1))</f>
        <v/>
      </c>
      <c r="I3900" t="str">
        <f>IF(E3900="","",INDEX(Knutepunkter!$B:$B,E3900+1))</f>
        <v/>
      </c>
      <c r="J3900" t="str">
        <f>IF(E3900="","",INDEX(Knutepunkter!$C:$C,E3900+1))</f>
        <v/>
      </c>
      <c r="K3900" t="str">
        <f>IF(E3900="","",INDEX(Knutepunkter!$D:$D,E3900+1))</f>
        <v/>
      </c>
      <c r="L3900" t="str">
        <f t="shared" si="303"/>
        <v/>
      </c>
      <c r="M3900" t="str">
        <f t="shared" si="304"/>
        <v/>
      </c>
    </row>
    <row r="3901" spans="1:13" x14ac:dyDescent="0.3">
      <c r="A3901" t="str">
        <f>Segmenter!A3901</f>
        <v/>
      </c>
      <c r="B3901" t="str">
        <f>Segmenter!B3901</f>
        <v/>
      </c>
      <c r="C3901" t="str">
        <f t="shared" si="300"/>
        <v/>
      </c>
      <c r="D3901" t="str">
        <f t="shared" si="301"/>
        <v/>
      </c>
      <c r="E3901" t="str">
        <f t="shared" si="302"/>
        <v/>
      </c>
      <c r="F3901" t="str">
        <f>IF(D3901="","",INDEX(Knutepunkter!$B:$B,D3901+1))</f>
        <v/>
      </c>
      <c r="G3901" t="str">
        <f>IF(D3901="","",INDEX(Knutepunkter!$C:$C,D3901+1))</f>
        <v/>
      </c>
      <c r="H3901" t="str">
        <f>IF(D3901="","",INDEX(Knutepunkter!$D:$D,D3901+1))</f>
        <v/>
      </c>
      <c r="I3901" t="str">
        <f>IF(E3901="","",INDEX(Knutepunkter!$B:$B,E3901+1))</f>
        <v/>
      </c>
      <c r="J3901" t="str">
        <f>IF(E3901="","",INDEX(Knutepunkter!$C:$C,E3901+1))</f>
        <v/>
      </c>
      <c r="K3901" t="str">
        <f>IF(E3901="","",INDEX(Knutepunkter!$D:$D,E3901+1))</f>
        <v/>
      </c>
      <c r="L3901" t="str">
        <f t="shared" si="303"/>
        <v/>
      </c>
      <c r="M3901" t="str">
        <f t="shared" si="304"/>
        <v/>
      </c>
    </row>
    <row r="3902" spans="1:13" x14ac:dyDescent="0.3">
      <c r="A3902" t="str">
        <f>Segmenter!A3902</f>
        <v/>
      </c>
      <c r="B3902" t="str">
        <f>Segmenter!B3902</f>
        <v/>
      </c>
      <c r="C3902" t="str">
        <f t="shared" si="300"/>
        <v/>
      </c>
      <c r="D3902" t="str">
        <f t="shared" si="301"/>
        <v/>
      </c>
      <c r="E3902" t="str">
        <f t="shared" si="302"/>
        <v/>
      </c>
      <c r="F3902" t="str">
        <f>IF(D3902="","",INDEX(Knutepunkter!$B:$B,D3902+1))</f>
        <v/>
      </c>
      <c r="G3902" t="str">
        <f>IF(D3902="","",INDEX(Knutepunkter!$C:$C,D3902+1))</f>
        <v/>
      </c>
      <c r="H3902" t="str">
        <f>IF(D3902="","",INDEX(Knutepunkter!$D:$D,D3902+1))</f>
        <v/>
      </c>
      <c r="I3902" t="str">
        <f>IF(E3902="","",INDEX(Knutepunkter!$B:$B,E3902+1))</f>
        <v/>
      </c>
      <c r="J3902" t="str">
        <f>IF(E3902="","",INDEX(Knutepunkter!$C:$C,E3902+1))</f>
        <v/>
      </c>
      <c r="K3902" t="str">
        <f>IF(E3902="","",INDEX(Knutepunkter!$D:$D,E3902+1))</f>
        <v/>
      </c>
      <c r="L3902" t="str">
        <f t="shared" si="303"/>
        <v/>
      </c>
      <c r="M3902" t="str">
        <f t="shared" si="304"/>
        <v/>
      </c>
    </row>
    <row r="3903" spans="1:13" x14ac:dyDescent="0.3">
      <c r="A3903" t="str">
        <f>Segmenter!A3903</f>
        <v/>
      </c>
      <c r="B3903" t="str">
        <f>Segmenter!B3903</f>
        <v/>
      </c>
      <c r="C3903" t="str">
        <f t="shared" si="300"/>
        <v/>
      </c>
      <c r="D3903" t="str">
        <f t="shared" si="301"/>
        <v/>
      </c>
      <c r="E3903" t="str">
        <f t="shared" si="302"/>
        <v/>
      </c>
      <c r="F3903" t="str">
        <f>IF(D3903="","",INDEX(Knutepunkter!$B:$B,D3903+1))</f>
        <v/>
      </c>
      <c r="G3903" t="str">
        <f>IF(D3903="","",INDEX(Knutepunkter!$C:$C,D3903+1))</f>
        <v/>
      </c>
      <c r="H3903" t="str">
        <f>IF(D3903="","",INDEX(Knutepunkter!$D:$D,D3903+1))</f>
        <v/>
      </c>
      <c r="I3903" t="str">
        <f>IF(E3903="","",INDEX(Knutepunkter!$B:$B,E3903+1))</f>
        <v/>
      </c>
      <c r="J3903" t="str">
        <f>IF(E3903="","",INDEX(Knutepunkter!$C:$C,E3903+1))</f>
        <v/>
      </c>
      <c r="K3903" t="str">
        <f>IF(E3903="","",INDEX(Knutepunkter!$D:$D,E3903+1))</f>
        <v/>
      </c>
      <c r="L3903" t="str">
        <f t="shared" si="303"/>
        <v/>
      </c>
      <c r="M3903" t="str">
        <f t="shared" si="304"/>
        <v/>
      </c>
    </row>
    <row r="3904" spans="1:13" x14ac:dyDescent="0.3">
      <c r="A3904" t="str">
        <f>Segmenter!A3904</f>
        <v/>
      </c>
      <c r="B3904" t="str">
        <f>Segmenter!B3904</f>
        <v/>
      </c>
      <c r="C3904" t="str">
        <f t="shared" si="300"/>
        <v/>
      </c>
      <c r="D3904" t="str">
        <f t="shared" si="301"/>
        <v/>
      </c>
      <c r="E3904" t="str">
        <f t="shared" si="302"/>
        <v/>
      </c>
      <c r="F3904" t="str">
        <f>IF(D3904="","",INDEX(Knutepunkter!$B:$B,D3904+1))</f>
        <v/>
      </c>
      <c r="G3904" t="str">
        <f>IF(D3904="","",INDEX(Knutepunkter!$C:$C,D3904+1))</f>
        <v/>
      </c>
      <c r="H3904" t="str">
        <f>IF(D3904="","",INDEX(Knutepunkter!$D:$D,D3904+1))</f>
        <v/>
      </c>
      <c r="I3904" t="str">
        <f>IF(E3904="","",INDEX(Knutepunkter!$B:$B,E3904+1))</f>
        <v/>
      </c>
      <c r="J3904" t="str">
        <f>IF(E3904="","",INDEX(Knutepunkter!$C:$C,E3904+1))</f>
        <v/>
      </c>
      <c r="K3904" t="str">
        <f>IF(E3904="","",INDEX(Knutepunkter!$D:$D,E3904+1))</f>
        <v/>
      </c>
      <c r="L3904" t="str">
        <f t="shared" si="303"/>
        <v/>
      </c>
      <c r="M3904" t="str">
        <f t="shared" si="304"/>
        <v/>
      </c>
    </row>
    <row r="3905" spans="1:13" x14ac:dyDescent="0.3">
      <c r="A3905" t="str">
        <f>Segmenter!A3905</f>
        <v/>
      </c>
      <c r="B3905" t="str">
        <f>Segmenter!B3905</f>
        <v/>
      </c>
      <c r="C3905" t="str">
        <f t="shared" si="300"/>
        <v/>
      </c>
      <c r="D3905" t="str">
        <f t="shared" si="301"/>
        <v/>
      </c>
      <c r="E3905" t="str">
        <f t="shared" si="302"/>
        <v/>
      </c>
      <c r="F3905" t="str">
        <f>IF(D3905="","",INDEX(Knutepunkter!$B:$B,D3905+1))</f>
        <v/>
      </c>
      <c r="G3905" t="str">
        <f>IF(D3905="","",INDEX(Knutepunkter!$C:$C,D3905+1))</f>
        <v/>
      </c>
      <c r="H3905" t="str">
        <f>IF(D3905="","",INDEX(Knutepunkter!$D:$D,D3905+1))</f>
        <v/>
      </c>
      <c r="I3905" t="str">
        <f>IF(E3905="","",INDEX(Knutepunkter!$B:$B,E3905+1))</f>
        <v/>
      </c>
      <c r="J3905" t="str">
        <f>IF(E3905="","",INDEX(Knutepunkter!$C:$C,E3905+1))</f>
        <v/>
      </c>
      <c r="K3905" t="str">
        <f>IF(E3905="","",INDEX(Knutepunkter!$D:$D,E3905+1))</f>
        <v/>
      </c>
      <c r="L3905" t="str">
        <f t="shared" si="303"/>
        <v/>
      </c>
      <c r="M3905" t="str">
        <f t="shared" si="304"/>
        <v/>
      </c>
    </row>
    <row r="3906" spans="1:13" x14ac:dyDescent="0.3">
      <c r="A3906" t="str">
        <f>Segmenter!A3906</f>
        <v/>
      </c>
      <c r="B3906" t="str">
        <f>Segmenter!B3906</f>
        <v/>
      </c>
      <c r="C3906" t="str">
        <f t="shared" ref="C3906:C3969" si="305">IF(B3906="","",IF(AND(F3906=I3906,G3906=J3906,H3906&lt;&gt;K3906),"Søyle","Bjelke"))</f>
        <v/>
      </c>
      <c r="D3906" t="str">
        <f t="shared" ref="D3906:D3969" si="306">IF(B3906="","",VALUE(LEFT(B3906,FIND(" -&gt; ",B3906)-1)))</f>
        <v/>
      </c>
      <c r="E3906" t="str">
        <f t="shared" ref="E3906:E3969" si="307">IF(B3906="","",VALUE(MID(B3906,FIND(" -&gt; ",B3906)+4,99)))</f>
        <v/>
      </c>
      <c r="F3906" t="str">
        <f>IF(D3906="","",INDEX(Knutepunkter!$B:$B,D3906+1))</f>
        <v/>
      </c>
      <c r="G3906" t="str">
        <f>IF(D3906="","",INDEX(Knutepunkter!$C:$C,D3906+1))</f>
        <v/>
      </c>
      <c r="H3906" t="str">
        <f>IF(D3906="","",INDEX(Knutepunkter!$D:$D,D3906+1))</f>
        <v/>
      </c>
      <c r="I3906" t="str">
        <f>IF(E3906="","",INDEX(Knutepunkter!$B:$B,E3906+1))</f>
        <v/>
      </c>
      <c r="J3906" t="str">
        <f>IF(E3906="","",INDEX(Knutepunkter!$C:$C,E3906+1))</f>
        <v/>
      </c>
      <c r="K3906" t="str">
        <f>IF(E3906="","",INDEX(Knutepunkter!$D:$D,E3906+1))</f>
        <v/>
      </c>
      <c r="L3906" t="str">
        <f t="shared" ref="L3906:L3969" si="308">IF(B3906="","",SQRT((I3906-F3906)^2+(J3906-G3906)^2+(K3906-H3906)^2))</f>
        <v/>
      </c>
      <c r="M3906" t="str">
        <f t="shared" ref="M3906:M3969" si="309">IF(L3906="","",L3906/1000)</f>
        <v/>
      </c>
    </row>
    <row r="3907" spans="1:13" x14ac:dyDescent="0.3">
      <c r="A3907" t="str">
        <f>Segmenter!A3907</f>
        <v/>
      </c>
      <c r="B3907" t="str">
        <f>Segmenter!B3907</f>
        <v/>
      </c>
      <c r="C3907" t="str">
        <f t="shared" si="305"/>
        <v/>
      </c>
      <c r="D3907" t="str">
        <f t="shared" si="306"/>
        <v/>
      </c>
      <c r="E3907" t="str">
        <f t="shared" si="307"/>
        <v/>
      </c>
      <c r="F3907" t="str">
        <f>IF(D3907="","",INDEX(Knutepunkter!$B:$B,D3907+1))</f>
        <v/>
      </c>
      <c r="G3907" t="str">
        <f>IF(D3907="","",INDEX(Knutepunkter!$C:$C,D3907+1))</f>
        <v/>
      </c>
      <c r="H3907" t="str">
        <f>IF(D3907="","",INDEX(Knutepunkter!$D:$D,D3907+1))</f>
        <v/>
      </c>
      <c r="I3907" t="str">
        <f>IF(E3907="","",INDEX(Knutepunkter!$B:$B,E3907+1))</f>
        <v/>
      </c>
      <c r="J3907" t="str">
        <f>IF(E3907="","",INDEX(Knutepunkter!$C:$C,E3907+1))</f>
        <v/>
      </c>
      <c r="K3907" t="str">
        <f>IF(E3907="","",INDEX(Knutepunkter!$D:$D,E3907+1))</f>
        <v/>
      </c>
      <c r="L3907" t="str">
        <f t="shared" si="308"/>
        <v/>
      </c>
      <c r="M3907" t="str">
        <f t="shared" si="309"/>
        <v/>
      </c>
    </row>
    <row r="3908" spans="1:13" x14ac:dyDescent="0.3">
      <c r="A3908" t="str">
        <f>Segmenter!A3908</f>
        <v/>
      </c>
      <c r="B3908" t="str">
        <f>Segmenter!B3908</f>
        <v/>
      </c>
      <c r="C3908" t="str">
        <f t="shared" si="305"/>
        <v/>
      </c>
      <c r="D3908" t="str">
        <f t="shared" si="306"/>
        <v/>
      </c>
      <c r="E3908" t="str">
        <f t="shared" si="307"/>
        <v/>
      </c>
      <c r="F3908" t="str">
        <f>IF(D3908="","",INDEX(Knutepunkter!$B:$B,D3908+1))</f>
        <v/>
      </c>
      <c r="G3908" t="str">
        <f>IF(D3908="","",INDEX(Knutepunkter!$C:$C,D3908+1))</f>
        <v/>
      </c>
      <c r="H3908" t="str">
        <f>IF(D3908="","",INDEX(Knutepunkter!$D:$D,D3908+1))</f>
        <v/>
      </c>
      <c r="I3908" t="str">
        <f>IF(E3908="","",INDEX(Knutepunkter!$B:$B,E3908+1))</f>
        <v/>
      </c>
      <c r="J3908" t="str">
        <f>IF(E3908="","",INDEX(Knutepunkter!$C:$C,E3908+1))</f>
        <v/>
      </c>
      <c r="K3908" t="str">
        <f>IF(E3908="","",INDEX(Knutepunkter!$D:$D,E3908+1))</f>
        <v/>
      </c>
      <c r="L3908" t="str">
        <f t="shared" si="308"/>
        <v/>
      </c>
      <c r="M3908" t="str">
        <f t="shared" si="309"/>
        <v/>
      </c>
    </row>
    <row r="3909" spans="1:13" x14ac:dyDescent="0.3">
      <c r="A3909" t="str">
        <f>Segmenter!A3909</f>
        <v/>
      </c>
      <c r="B3909" t="str">
        <f>Segmenter!B3909</f>
        <v/>
      </c>
      <c r="C3909" t="str">
        <f t="shared" si="305"/>
        <v/>
      </c>
      <c r="D3909" t="str">
        <f t="shared" si="306"/>
        <v/>
      </c>
      <c r="E3909" t="str">
        <f t="shared" si="307"/>
        <v/>
      </c>
      <c r="F3909" t="str">
        <f>IF(D3909="","",INDEX(Knutepunkter!$B:$B,D3909+1))</f>
        <v/>
      </c>
      <c r="G3909" t="str">
        <f>IF(D3909="","",INDEX(Knutepunkter!$C:$C,D3909+1))</f>
        <v/>
      </c>
      <c r="H3909" t="str">
        <f>IF(D3909="","",INDEX(Knutepunkter!$D:$D,D3909+1))</f>
        <v/>
      </c>
      <c r="I3909" t="str">
        <f>IF(E3909="","",INDEX(Knutepunkter!$B:$B,E3909+1))</f>
        <v/>
      </c>
      <c r="J3909" t="str">
        <f>IF(E3909="","",INDEX(Knutepunkter!$C:$C,E3909+1))</f>
        <v/>
      </c>
      <c r="K3909" t="str">
        <f>IF(E3909="","",INDEX(Knutepunkter!$D:$D,E3909+1))</f>
        <v/>
      </c>
      <c r="L3909" t="str">
        <f t="shared" si="308"/>
        <v/>
      </c>
      <c r="M3909" t="str">
        <f t="shared" si="309"/>
        <v/>
      </c>
    </row>
    <row r="3910" spans="1:13" x14ac:dyDescent="0.3">
      <c r="A3910" t="str">
        <f>Segmenter!A3910</f>
        <v/>
      </c>
      <c r="B3910" t="str">
        <f>Segmenter!B3910</f>
        <v/>
      </c>
      <c r="C3910" t="str">
        <f t="shared" si="305"/>
        <v/>
      </c>
      <c r="D3910" t="str">
        <f t="shared" si="306"/>
        <v/>
      </c>
      <c r="E3910" t="str">
        <f t="shared" si="307"/>
        <v/>
      </c>
      <c r="F3910" t="str">
        <f>IF(D3910="","",INDEX(Knutepunkter!$B:$B,D3910+1))</f>
        <v/>
      </c>
      <c r="G3910" t="str">
        <f>IF(D3910="","",INDEX(Knutepunkter!$C:$C,D3910+1))</f>
        <v/>
      </c>
      <c r="H3910" t="str">
        <f>IF(D3910="","",INDEX(Knutepunkter!$D:$D,D3910+1))</f>
        <v/>
      </c>
      <c r="I3910" t="str">
        <f>IF(E3910="","",INDEX(Knutepunkter!$B:$B,E3910+1))</f>
        <v/>
      </c>
      <c r="J3910" t="str">
        <f>IF(E3910="","",INDEX(Knutepunkter!$C:$C,E3910+1))</f>
        <v/>
      </c>
      <c r="K3910" t="str">
        <f>IF(E3910="","",INDEX(Knutepunkter!$D:$D,E3910+1))</f>
        <v/>
      </c>
      <c r="L3910" t="str">
        <f t="shared" si="308"/>
        <v/>
      </c>
      <c r="M3910" t="str">
        <f t="shared" si="309"/>
        <v/>
      </c>
    </row>
    <row r="3911" spans="1:13" x14ac:dyDescent="0.3">
      <c r="A3911" t="str">
        <f>Segmenter!A3911</f>
        <v/>
      </c>
      <c r="B3911" t="str">
        <f>Segmenter!B3911</f>
        <v/>
      </c>
      <c r="C3911" t="str">
        <f t="shared" si="305"/>
        <v/>
      </c>
      <c r="D3911" t="str">
        <f t="shared" si="306"/>
        <v/>
      </c>
      <c r="E3911" t="str">
        <f t="shared" si="307"/>
        <v/>
      </c>
      <c r="F3911" t="str">
        <f>IF(D3911="","",INDEX(Knutepunkter!$B:$B,D3911+1))</f>
        <v/>
      </c>
      <c r="G3911" t="str">
        <f>IF(D3911="","",INDEX(Knutepunkter!$C:$C,D3911+1))</f>
        <v/>
      </c>
      <c r="H3911" t="str">
        <f>IF(D3911="","",INDEX(Knutepunkter!$D:$D,D3911+1))</f>
        <v/>
      </c>
      <c r="I3911" t="str">
        <f>IF(E3911="","",INDEX(Knutepunkter!$B:$B,E3911+1))</f>
        <v/>
      </c>
      <c r="J3911" t="str">
        <f>IF(E3911="","",INDEX(Knutepunkter!$C:$C,E3911+1))</f>
        <v/>
      </c>
      <c r="K3911" t="str">
        <f>IF(E3911="","",INDEX(Knutepunkter!$D:$D,E3911+1))</f>
        <v/>
      </c>
      <c r="L3911" t="str">
        <f t="shared" si="308"/>
        <v/>
      </c>
      <c r="M3911" t="str">
        <f t="shared" si="309"/>
        <v/>
      </c>
    </row>
    <row r="3912" spans="1:13" x14ac:dyDescent="0.3">
      <c r="A3912" t="str">
        <f>Segmenter!A3912</f>
        <v/>
      </c>
      <c r="B3912" t="str">
        <f>Segmenter!B3912</f>
        <v/>
      </c>
      <c r="C3912" t="str">
        <f t="shared" si="305"/>
        <v/>
      </c>
      <c r="D3912" t="str">
        <f t="shared" si="306"/>
        <v/>
      </c>
      <c r="E3912" t="str">
        <f t="shared" si="307"/>
        <v/>
      </c>
      <c r="F3912" t="str">
        <f>IF(D3912="","",INDEX(Knutepunkter!$B:$B,D3912+1))</f>
        <v/>
      </c>
      <c r="G3912" t="str">
        <f>IF(D3912="","",INDEX(Knutepunkter!$C:$C,D3912+1))</f>
        <v/>
      </c>
      <c r="H3912" t="str">
        <f>IF(D3912="","",INDEX(Knutepunkter!$D:$D,D3912+1))</f>
        <v/>
      </c>
      <c r="I3912" t="str">
        <f>IF(E3912="","",INDEX(Knutepunkter!$B:$B,E3912+1))</f>
        <v/>
      </c>
      <c r="J3912" t="str">
        <f>IF(E3912="","",INDEX(Knutepunkter!$C:$C,E3912+1))</f>
        <v/>
      </c>
      <c r="K3912" t="str">
        <f>IF(E3912="","",INDEX(Knutepunkter!$D:$D,E3912+1))</f>
        <v/>
      </c>
      <c r="L3912" t="str">
        <f t="shared" si="308"/>
        <v/>
      </c>
      <c r="M3912" t="str">
        <f t="shared" si="309"/>
        <v/>
      </c>
    </row>
    <row r="3913" spans="1:13" x14ac:dyDescent="0.3">
      <c r="A3913" t="str">
        <f>Segmenter!A3913</f>
        <v/>
      </c>
      <c r="B3913" t="str">
        <f>Segmenter!B3913</f>
        <v/>
      </c>
      <c r="C3913" t="str">
        <f t="shared" si="305"/>
        <v/>
      </c>
      <c r="D3913" t="str">
        <f t="shared" si="306"/>
        <v/>
      </c>
      <c r="E3913" t="str">
        <f t="shared" si="307"/>
        <v/>
      </c>
      <c r="F3913" t="str">
        <f>IF(D3913="","",INDEX(Knutepunkter!$B:$B,D3913+1))</f>
        <v/>
      </c>
      <c r="G3913" t="str">
        <f>IF(D3913="","",INDEX(Knutepunkter!$C:$C,D3913+1))</f>
        <v/>
      </c>
      <c r="H3913" t="str">
        <f>IF(D3913="","",INDEX(Knutepunkter!$D:$D,D3913+1))</f>
        <v/>
      </c>
      <c r="I3913" t="str">
        <f>IF(E3913="","",INDEX(Knutepunkter!$B:$B,E3913+1))</f>
        <v/>
      </c>
      <c r="J3913" t="str">
        <f>IF(E3913="","",INDEX(Knutepunkter!$C:$C,E3913+1))</f>
        <v/>
      </c>
      <c r="K3913" t="str">
        <f>IF(E3913="","",INDEX(Knutepunkter!$D:$D,E3913+1))</f>
        <v/>
      </c>
      <c r="L3913" t="str">
        <f t="shared" si="308"/>
        <v/>
      </c>
      <c r="M3913" t="str">
        <f t="shared" si="309"/>
        <v/>
      </c>
    </row>
    <row r="3914" spans="1:13" x14ac:dyDescent="0.3">
      <c r="A3914" t="str">
        <f>Segmenter!A3914</f>
        <v/>
      </c>
      <c r="B3914" t="str">
        <f>Segmenter!B3914</f>
        <v/>
      </c>
      <c r="C3914" t="str">
        <f t="shared" si="305"/>
        <v/>
      </c>
      <c r="D3914" t="str">
        <f t="shared" si="306"/>
        <v/>
      </c>
      <c r="E3914" t="str">
        <f t="shared" si="307"/>
        <v/>
      </c>
      <c r="F3914" t="str">
        <f>IF(D3914="","",INDEX(Knutepunkter!$B:$B,D3914+1))</f>
        <v/>
      </c>
      <c r="G3914" t="str">
        <f>IF(D3914="","",INDEX(Knutepunkter!$C:$C,D3914+1))</f>
        <v/>
      </c>
      <c r="H3914" t="str">
        <f>IF(D3914="","",INDEX(Knutepunkter!$D:$D,D3914+1))</f>
        <v/>
      </c>
      <c r="I3914" t="str">
        <f>IF(E3914="","",INDEX(Knutepunkter!$B:$B,E3914+1))</f>
        <v/>
      </c>
      <c r="J3914" t="str">
        <f>IF(E3914="","",INDEX(Knutepunkter!$C:$C,E3914+1))</f>
        <v/>
      </c>
      <c r="K3914" t="str">
        <f>IF(E3914="","",INDEX(Knutepunkter!$D:$D,E3914+1))</f>
        <v/>
      </c>
      <c r="L3914" t="str">
        <f t="shared" si="308"/>
        <v/>
      </c>
      <c r="M3914" t="str">
        <f t="shared" si="309"/>
        <v/>
      </c>
    </row>
    <row r="3915" spans="1:13" x14ac:dyDescent="0.3">
      <c r="A3915" t="str">
        <f>Segmenter!A3915</f>
        <v/>
      </c>
      <c r="B3915" t="str">
        <f>Segmenter!B3915</f>
        <v/>
      </c>
      <c r="C3915" t="str">
        <f t="shared" si="305"/>
        <v/>
      </c>
      <c r="D3915" t="str">
        <f t="shared" si="306"/>
        <v/>
      </c>
      <c r="E3915" t="str">
        <f t="shared" si="307"/>
        <v/>
      </c>
      <c r="F3915" t="str">
        <f>IF(D3915="","",INDEX(Knutepunkter!$B:$B,D3915+1))</f>
        <v/>
      </c>
      <c r="G3915" t="str">
        <f>IF(D3915="","",INDEX(Knutepunkter!$C:$C,D3915+1))</f>
        <v/>
      </c>
      <c r="H3915" t="str">
        <f>IF(D3915="","",INDEX(Knutepunkter!$D:$D,D3915+1))</f>
        <v/>
      </c>
      <c r="I3915" t="str">
        <f>IF(E3915="","",INDEX(Knutepunkter!$B:$B,E3915+1))</f>
        <v/>
      </c>
      <c r="J3915" t="str">
        <f>IF(E3915="","",INDEX(Knutepunkter!$C:$C,E3915+1))</f>
        <v/>
      </c>
      <c r="K3915" t="str">
        <f>IF(E3915="","",INDEX(Knutepunkter!$D:$D,E3915+1))</f>
        <v/>
      </c>
      <c r="L3915" t="str">
        <f t="shared" si="308"/>
        <v/>
      </c>
      <c r="M3915" t="str">
        <f t="shared" si="309"/>
        <v/>
      </c>
    </row>
    <row r="3916" spans="1:13" x14ac:dyDescent="0.3">
      <c r="A3916" t="str">
        <f>Segmenter!A3916</f>
        <v/>
      </c>
      <c r="B3916" t="str">
        <f>Segmenter!B3916</f>
        <v/>
      </c>
      <c r="C3916" t="str">
        <f t="shared" si="305"/>
        <v/>
      </c>
      <c r="D3916" t="str">
        <f t="shared" si="306"/>
        <v/>
      </c>
      <c r="E3916" t="str">
        <f t="shared" si="307"/>
        <v/>
      </c>
      <c r="F3916" t="str">
        <f>IF(D3916="","",INDEX(Knutepunkter!$B:$B,D3916+1))</f>
        <v/>
      </c>
      <c r="G3916" t="str">
        <f>IF(D3916="","",INDEX(Knutepunkter!$C:$C,D3916+1))</f>
        <v/>
      </c>
      <c r="H3916" t="str">
        <f>IF(D3916="","",INDEX(Knutepunkter!$D:$D,D3916+1))</f>
        <v/>
      </c>
      <c r="I3916" t="str">
        <f>IF(E3916="","",INDEX(Knutepunkter!$B:$B,E3916+1))</f>
        <v/>
      </c>
      <c r="J3916" t="str">
        <f>IF(E3916="","",INDEX(Knutepunkter!$C:$C,E3916+1))</f>
        <v/>
      </c>
      <c r="K3916" t="str">
        <f>IF(E3916="","",INDEX(Knutepunkter!$D:$D,E3916+1))</f>
        <v/>
      </c>
      <c r="L3916" t="str">
        <f t="shared" si="308"/>
        <v/>
      </c>
      <c r="M3916" t="str">
        <f t="shared" si="309"/>
        <v/>
      </c>
    </row>
    <row r="3917" spans="1:13" x14ac:dyDescent="0.3">
      <c r="A3917" t="str">
        <f>Segmenter!A3917</f>
        <v/>
      </c>
      <c r="B3917" t="str">
        <f>Segmenter!B3917</f>
        <v/>
      </c>
      <c r="C3917" t="str">
        <f t="shared" si="305"/>
        <v/>
      </c>
      <c r="D3917" t="str">
        <f t="shared" si="306"/>
        <v/>
      </c>
      <c r="E3917" t="str">
        <f t="shared" si="307"/>
        <v/>
      </c>
      <c r="F3917" t="str">
        <f>IF(D3917="","",INDEX(Knutepunkter!$B:$B,D3917+1))</f>
        <v/>
      </c>
      <c r="G3917" t="str">
        <f>IF(D3917="","",INDEX(Knutepunkter!$C:$C,D3917+1))</f>
        <v/>
      </c>
      <c r="H3917" t="str">
        <f>IF(D3917="","",INDEX(Knutepunkter!$D:$D,D3917+1))</f>
        <v/>
      </c>
      <c r="I3917" t="str">
        <f>IF(E3917="","",INDEX(Knutepunkter!$B:$B,E3917+1))</f>
        <v/>
      </c>
      <c r="J3917" t="str">
        <f>IF(E3917="","",INDEX(Knutepunkter!$C:$C,E3917+1))</f>
        <v/>
      </c>
      <c r="K3917" t="str">
        <f>IF(E3917="","",INDEX(Knutepunkter!$D:$D,E3917+1))</f>
        <v/>
      </c>
      <c r="L3917" t="str">
        <f t="shared" si="308"/>
        <v/>
      </c>
      <c r="M3917" t="str">
        <f t="shared" si="309"/>
        <v/>
      </c>
    </row>
    <row r="3918" spans="1:13" x14ac:dyDescent="0.3">
      <c r="A3918" t="str">
        <f>Segmenter!A3918</f>
        <v/>
      </c>
      <c r="B3918" t="str">
        <f>Segmenter!B3918</f>
        <v/>
      </c>
      <c r="C3918" t="str">
        <f t="shared" si="305"/>
        <v/>
      </c>
      <c r="D3918" t="str">
        <f t="shared" si="306"/>
        <v/>
      </c>
      <c r="E3918" t="str">
        <f t="shared" si="307"/>
        <v/>
      </c>
      <c r="F3918" t="str">
        <f>IF(D3918="","",INDEX(Knutepunkter!$B:$B,D3918+1))</f>
        <v/>
      </c>
      <c r="G3918" t="str">
        <f>IF(D3918="","",INDEX(Knutepunkter!$C:$C,D3918+1))</f>
        <v/>
      </c>
      <c r="H3918" t="str">
        <f>IF(D3918="","",INDEX(Knutepunkter!$D:$D,D3918+1))</f>
        <v/>
      </c>
      <c r="I3918" t="str">
        <f>IF(E3918="","",INDEX(Knutepunkter!$B:$B,E3918+1))</f>
        <v/>
      </c>
      <c r="J3918" t="str">
        <f>IF(E3918="","",INDEX(Knutepunkter!$C:$C,E3918+1))</f>
        <v/>
      </c>
      <c r="K3918" t="str">
        <f>IF(E3918="","",INDEX(Knutepunkter!$D:$D,E3918+1))</f>
        <v/>
      </c>
      <c r="L3918" t="str">
        <f t="shared" si="308"/>
        <v/>
      </c>
      <c r="M3918" t="str">
        <f t="shared" si="309"/>
        <v/>
      </c>
    </row>
    <row r="3919" spans="1:13" x14ac:dyDescent="0.3">
      <c r="A3919" t="str">
        <f>Segmenter!A3919</f>
        <v/>
      </c>
      <c r="B3919" t="str">
        <f>Segmenter!B3919</f>
        <v/>
      </c>
      <c r="C3919" t="str">
        <f t="shared" si="305"/>
        <v/>
      </c>
      <c r="D3919" t="str">
        <f t="shared" si="306"/>
        <v/>
      </c>
      <c r="E3919" t="str">
        <f t="shared" si="307"/>
        <v/>
      </c>
      <c r="F3919" t="str">
        <f>IF(D3919="","",INDEX(Knutepunkter!$B:$B,D3919+1))</f>
        <v/>
      </c>
      <c r="G3919" t="str">
        <f>IF(D3919="","",INDEX(Knutepunkter!$C:$C,D3919+1))</f>
        <v/>
      </c>
      <c r="H3919" t="str">
        <f>IF(D3919="","",INDEX(Knutepunkter!$D:$D,D3919+1))</f>
        <v/>
      </c>
      <c r="I3919" t="str">
        <f>IF(E3919="","",INDEX(Knutepunkter!$B:$B,E3919+1))</f>
        <v/>
      </c>
      <c r="J3919" t="str">
        <f>IF(E3919="","",INDEX(Knutepunkter!$C:$C,E3919+1))</f>
        <v/>
      </c>
      <c r="K3919" t="str">
        <f>IF(E3919="","",INDEX(Knutepunkter!$D:$D,E3919+1))</f>
        <v/>
      </c>
      <c r="L3919" t="str">
        <f t="shared" si="308"/>
        <v/>
      </c>
      <c r="M3919" t="str">
        <f t="shared" si="309"/>
        <v/>
      </c>
    </row>
    <row r="3920" spans="1:13" x14ac:dyDescent="0.3">
      <c r="A3920" t="str">
        <f>Segmenter!A3920</f>
        <v/>
      </c>
      <c r="B3920" t="str">
        <f>Segmenter!B3920</f>
        <v/>
      </c>
      <c r="C3920" t="str">
        <f t="shared" si="305"/>
        <v/>
      </c>
      <c r="D3920" t="str">
        <f t="shared" si="306"/>
        <v/>
      </c>
      <c r="E3920" t="str">
        <f t="shared" si="307"/>
        <v/>
      </c>
      <c r="F3920" t="str">
        <f>IF(D3920="","",INDEX(Knutepunkter!$B:$B,D3920+1))</f>
        <v/>
      </c>
      <c r="G3920" t="str">
        <f>IF(D3920="","",INDEX(Knutepunkter!$C:$C,D3920+1))</f>
        <v/>
      </c>
      <c r="H3920" t="str">
        <f>IF(D3920="","",INDEX(Knutepunkter!$D:$D,D3920+1))</f>
        <v/>
      </c>
      <c r="I3920" t="str">
        <f>IF(E3920="","",INDEX(Knutepunkter!$B:$B,E3920+1))</f>
        <v/>
      </c>
      <c r="J3920" t="str">
        <f>IF(E3920="","",INDEX(Knutepunkter!$C:$C,E3920+1))</f>
        <v/>
      </c>
      <c r="K3920" t="str">
        <f>IF(E3920="","",INDEX(Knutepunkter!$D:$D,E3920+1))</f>
        <v/>
      </c>
      <c r="L3920" t="str">
        <f t="shared" si="308"/>
        <v/>
      </c>
      <c r="M3920" t="str">
        <f t="shared" si="309"/>
        <v/>
      </c>
    </row>
    <row r="3921" spans="1:13" x14ac:dyDescent="0.3">
      <c r="A3921" t="str">
        <f>Segmenter!A3921</f>
        <v/>
      </c>
      <c r="B3921" t="str">
        <f>Segmenter!B3921</f>
        <v/>
      </c>
      <c r="C3921" t="str">
        <f t="shared" si="305"/>
        <v/>
      </c>
      <c r="D3921" t="str">
        <f t="shared" si="306"/>
        <v/>
      </c>
      <c r="E3921" t="str">
        <f t="shared" si="307"/>
        <v/>
      </c>
      <c r="F3921" t="str">
        <f>IF(D3921="","",INDEX(Knutepunkter!$B:$B,D3921+1))</f>
        <v/>
      </c>
      <c r="G3921" t="str">
        <f>IF(D3921="","",INDEX(Knutepunkter!$C:$C,D3921+1))</f>
        <v/>
      </c>
      <c r="H3921" t="str">
        <f>IF(D3921="","",INDEX(Knutepunkter!$D:$D,D3921+1))</f>
        <v/>
      </c>
      <c r="I3921" t="str">
        <f>IF(E3921="","",INDEX(Knutepunkter!$B:$B,E3921+1))</f>
        <v/>
      </c>
      <c r="J3921" t="str">
        <f>IF(E3921="","",INDEX(Knutepunkter!$C:$C,E3921+1))</f>
        <v/>
      </c>
      <c r="K3921" t="str">
        <f>IF(E3921="","",INDEX(Knutepunkter!$D:$D,E3921+1))</f>
        <v/>
      </c>
      <c r="L3921" t="str">
        <f t="shared" si="308"/>
        <v/>
      </c>
      <c r="M3921" t="str">
        <f t="shared" si="309"/>
        <v/>
      </c>
    </row>
    <row r="3922" spans="1:13" x14ac:dyDescent="0.3">
      <c r="A3922" t="str">
        <f>Segmenter!A3922</f>
        <v/>
      </c>
      <c r="B3922" t="str">
        <f>Segmenter!B3922</f>
        <v/>
      </c>
      <c r="C3922" t="str">
        <f t="shared" si="305"/>
        <v/>
      </c>
      <c r="D3922" t="str">
        <f t="shared" si="306"/>
        <v/>
      </c>
      <c r="E3922" t="str">
        <f t="shared" si="307"/>
        <v/>
      </c>
      <c r="F3922" t="str">
        <f>IF(D3922="","",INDEX(Knutepunkter!$B:$B,D3922+1))</f>
        <v/>
      </c>
      <c r="G3922" t="str">
        <f>IF(D3922="","",INDEX(Knutepunkter!$C:$C,D3922+1))</f>
        <v/>
      </c>
      <c r="H3922" t="str">
        <f>IF(D3922="","",INDEX(Knutepunkter!$D:$D,D3922+1))</f>
        <v/>
      </c>
      <c r="I3922" t="str">
        <f>IF(E3922="","",INDEX(Knutepunkter!$B:$B,E3922+1))</f>
        <v/>
      </c>
      <c r="J3922" t="str">
        <f>IF(E3922="","",INDEX(Knutepunkter!$C:$C,E3922+1))</f>
        <v/>
      </c>
      <c r="K3922" t="str">
        <f>IF(E3922="","",INDEX(Knutepunkter!$D:$D,E3922+1))</f>
        <v/>
      </c>
      <c r="L3922" t="str">
        <f t="shared" si="308"/>
        <v/>
      </c>
      <c r="M3922" t="str">
        <f t="shared" si="309"/>
        <v/>
      </c>
    </row>
    <row r="3923" spans="1:13" x14ac:dyDescent="0.3">
      <c r="A3923" t="str">
        <f>Segmenter!A3923</f>
        <v/>
      </c>
      <c r="B3923" t="str">
        <f>Segmenter!B3923</f>
        <v/>
      </c>
      <c r="C3923" t="str">
        <f t="shared" si="305"/>
        <v/>
      </c>
      <c r="D3923" t="str">
        <f t="shared" si="306"/>
        <v/>
      </c>
      <c r="E3923" t="str">
        <f t="shared" si="307"/>
        <v/>
      </c>
      <c r="F3923" t="str">
        <f>IF(D3923="","",INDEX(Knutepunkter!$B:$B,D3923+1))</f>
        <v/>
      </c>
      <c r="G3923" t="str">
        <f>IF(D3923="","",INDEX(Knutepunkter!$C:$C,D3923+1))</f>
        <v/>
      </c>
      <c r="H3923" t="str">
        <f>IF(D3923="","",INDEX(Knutepunkter!$D:$D,D3923+1))</f>
        <v/>
      </c>
      <c r="I3923" t="str">
        <f>IF(E3923="","",INDEX(Knutepunkter!$B:$B,E3923+1))</f>
        <v/>
      </c>
      <c r="J3923" t="str">
        <f>IF(E3923="","",INDEX(Knutepunkter!$C:$C,E3923+1))</f>
        <v/>
      </c>
      <c r="K3923" t="str">
        <f>IF(E3923="","",INDEX(Knutepunkter!$D:$D,E3923+1))</f>
        <v/>
      </c>
      <c r="L3923" t="str">
        <f t="shared" si="308"/>
        <v/>
      </c>
      <c r="M3923" t="str">
        <f t="shared" si="309"/>
        <v/>
      </c>
    </row>
    <row r="3924" spans="1:13" x14ac:dyDescent="0.3">
      <c r="A3924" t="str">
        <f>Segmenter!A3924</f>
        <v/>
      </c>
      <c r="B3924" t="str">
        <f>Segmenter!B3924</f>
        <v/>
      </c>
      <c r="C3924" t="str">
        <f t="shared" si="305"/>
        <v/>
      </c>
      <c r="D3924" t="str">
        <f t="shared" si="306"/>
        <v/>
      </c>
      <c r="E3924" t="str">
        <f t="shared" si="307"/>
        <v/>
      </c>
      <c r="F3924" t="str">
        <f>IF(D3924="","",INDEX(Knutepunkter!$B:$B,D3924+1))</f>
        <v/>
      </c>
      <c r="G3924" t="str">
        <f>IF(D3924="","",INDEX(Knutepunkter!$C:$C,D3924+1))</f>
        <v/>
      </c>
      <c r="H3924" t="str">
        <f>IF(D3924="","",INDEX(Knutepunkter!$D:$D,D3924+1))</f>
        <v/>
      </c>
      <c r="I3924" t="str">
        <f>IF(E3924="","",INDEX(Knutepunkter!$B:$B,E3924+1))</f>
        <v/>
      </c>
      <c r="J3924" t="str">
        <f>IF(E3924="","",INDEX(Knutepunkter!$C:$C,E3924+1))</f>
        <v/>
      </c>
      <c r="K3924" t="str">
        <f>IF(E3924="","",INDEX(Knutepunkter!$D:$D,E3924+1))</f>
        <v/>
      </c>
      <c r="L3924" t="str">
        <f t="shared" si="308"/>
        <v/>
      </c>
      <c r="M3924" t="str">
        <f t="shared" si="309"/>
        <v/>
      </c>
    </row>
    <row r="3925" spans="1:13" x14ac:dyDescent="0.3">
      <c r="A3925" t="str">
        <f>Segmenter!A3925</f>
        <v/>
      </c>
      <c r="B3925" t="str">
        <f>Segmenter!B3925</f>
        <v/>
      </c>
      <c r="C3925" t="str">
        <f t="shared" si="305"/>
        <v/>
      </c>
      <c r="D3925" t="str">
        <f t="shared" si="306"/>
        <v/>
      </c>
      <c r="E3925" t="str">
        <f t="shared" si="307"/>
        <v/>
      </c>
      <c r="F3925" t="str">
        <f>IF(D3925="","",INDEX(Knutepunkter!$B:$B,D3925+1))</f>
        <v/>
      </c>
      <c r="G3925" t="str">
        <f>IF(D3925="","",INDEX(Knutepunkter!$C:$C,D3925+1))</f>
        <v/>
      </c>
      <c r="H3925" t="str">
        <f>IF(D3925="","",INDEX(Knutepunkter!$D:$D,D3925+1))</f>
        <v/>
      </c>
      <c r="I3925" t="str">
        <f>IF(E3925="","",INDEX(Knutepunkter!$B:$B,E3925+1))</f>
        <v/>
      </c>
      <c r="J3925" t="str">
        <f>IF(E3925="","",INDEX(Knutepunkter!$C:$C,E3925+1))</f>
        <v/>
      </c>
      <c r="K3925" t="str">
        <f>IF(E3925="","",INDEX(Knutepunkter!$D:$D,E3925+1))</f>
        <v/>
      </c>
      <c r="L3925" t="str">
        <f t="shared" si="308"/>
        <v/>
      </c>
      <c r="M3925" t="str">
        <f t="shared" si="309"/>
        <v/>
      </c>
    </row>
    <row r="3926" spans="1:13" x14ac:dyDescent="0.3">
      <c r="A3926" t="str">
        <f>Segmenter!A3926</f>
        <v/>
      </c>
      <c r="B3926" t="str">
        <f>Segmenter!B3926</f>
        <v/>
      </c>
      <c r="C3926" t="str">
        <f t="shared" si="305"/>
        <v/>
      </c>
      <c r="D3926" t="str">
        <f t="shared" si="306"/>
        <v/>
      </c>
      <c r="E3926" t="str">
        <f t="shared" si="307"/>
        <v/>
      </c>
      <c r="F3926" t="str">
        <f>IF(D3926="","",INDEX(Knutepunkter!$B:$B,D3926+1))</f>
        <v/>
      </c>
      <c r="G3926" t="str">
        <f>IF(D3926="","",INDEX(Knutepunkter!$C:$C,D3926+1))</f>
        <v/>
      </c>
      <c r="H3926" t="str">
        <f>IF(D3926="","",INDEX(Knutepunkter!$D:$D,D3926+1))</f>
        <v/>
      </c>
      <c r="I3926" t="str">
        <f>IF(E3926="","",INDEX(Knutepunkter!$B:$B,E3926+1))</f>
        <v/>
      </c>
      <c r="J3926" t="str">
        <f>IF(E3926="","",INDEX(Knutepunkter!$C:$C,E3926+1))</f>
        <v/>
      </c>
      <c r="K3926" t="str">
        <f>IF(E3926="","",INDEX(Knutepunkter!$D:$D,E3926+1))</f>
        <v/>
      </c>
      <c r="L3926" t="str">
        <f t="shared" si="308"/>
        <v/>
      </c>
      <c r="M3926" t="str">
        <f t="shared" si="309"/>
        <v/>
      </c>
    </row>
    <row r="3927" spans="1:13" x14ac:dyDescent="0.3">
      <c r="A3927" t="str">
        <f>Segmenter!A3927</f>
        <v/>
      </c>
      <c r="B3927" t="str">
        <f>Segmenter!B3927</f>
        <v/>
      </c>
      <c r="C3927" t="str">
        <f t="shared" si="305"/>
        <v/>
      </c>
      <c r="D3927" t="str">
        <f t="shared" si="306"/>
        <v/>
      </c>
      <c r="E3927" t="str">
        <f t="shared" si="307"/>
        <v/>
      </c>
      <c r="F3927" t="str">
        <f>IF(D3927="","",INDEX(Knutepunkter!$B:$B,D3927+1))</f>
        <v/>
      </c>
      <c r="G3927" t="str">
        <f>IF(D3927="","",INDEX(Knutepunkter!$C:$C,D3927+1))</f>
        <v/>
      </c>
      <c r="H3927" t="str">
        <f>IF(D3927="","",INDEX(Knutepunkter!$D:$D,D3927+1))</f>
        <v/>
      </c>
      <c r="I3927" t="str">
        <f>IF(E3927="","",INDEX(Knutepunkter!$B:$B,E3927+1))</f>
        <v/>
      </c>
      <c r="J3927" t="str">
        <f>IF(E3927="","",INDEX(Knutepunkter!$C:$C,E3927+1))</f>
        <v/>
      </c>
      <c r="K3927" t="str">
        <f>IF(E3927="","",INDEX(Knutepunkter!$D:$D,E3927+1))</f>
        <v/>
      </c>
      <c r="L3927" t="str">
        <f t="shared" si="308"/>
        <v/>
      </c>
      <c r="M3927" t="str">
        <f t="shared" si="309"/>
        <v/>
      </c>
    </row>
    <row r="3928" spans="1:13" x14ac:dyDescent="0.3">
      <c r="A3928" t="str">
        <f>Segmenter!A3928</f>
        <v/>
      </c>
      <c r="B3928" t="str">
        <f>Segmenter!B3928</f>
        <v/>
      </c>
      <c r="C3928" t="str">
        <f t="shared" si="305"/>
        <v/>
      </c>
      <c r="D3928" t="str">
        <f t="shared" si="306"/>
        <v/>
      </c>
      <c r="E3928" t="str">
        <f t="shared" si="307"/>
        <v/>
      </c>
      <c r="F3928" t="str">
        <f>IF(D3928="","",INDEX(Knutepunkter!$B:$B,D3928+1))</f>
        <v/>
      </c>
      <c r="G3928" t="str">
        <f>IF(D3928="","",INDEX(Knutepunkter!$C:$C,D3928+1))</f>
        <v/>
      </c>
      <c r="H3928" t="str">
        <f>IF(D3928="","",INDEX(Knutepunkter!$D:$D,D3928+1))</f>
        <v/>
      </c>
      <c r="I3928" t="str">
        <f>IF(E3928="","",INDEX(Knutepunkter!$B:$B,E3928+1))</f>
        <v/>
      </c>
      <c r="J3928" t="str">
        <f>IF(E3928="","",INDEX(Knutepunkter!$C:$C,E3928+1))</f>
        <v/>
      </c>
      <c r="K3928" t="str">
        <f>IF(E3928="","",INDEX(Knutepunkter!$D:$D,E3928+1))</f>
        <v/>
      </c>
      <c r="L3928" t="str">
        <f t="shared" si="308"/>
        <v/>
      </c>
      <c r="M3928" t="str">
        <f t="shared" si="309"/>
        <v/>
      </c>
    </row>
    <row r="3929" spans="1:13" x14ac:dyDescent="0.3">
      <c r="A3929" t="str">
        <f>Segmenter!A3929</f>
        <v/>
      </c>
      <c r="B3929" t="str">
        <f>Segmenter!B3929</f>
        <v/>
      </c>
      <c r="C3929" t="str">
        <f t="shared" si="305"/>
        <v/>
      </c>
      <c r="D3929" t="str">
        <f t="shared" si="306"/>
        <v/>
      </c>
      <c r="E3929" t="str">
        <f t="shared" si="307"/>
        <v/>
      </c>
      <c r="F3929" t="str">
        <f>IF(D3929="","",INDEX(Knutepunkter!$B:$B,D3929+1))</f>
        <v/>
      </c>
      <c r="G3929" t="str">
        <f>IF(D3929="","",INDEX(Knutepunkter!$C:$C,D3929+1))</f>
        <v/>
      </c>
      <c r="H3929" t="str">
        <f>IF(D3929="","",INDEX(Knutepunkter!$D:$D,D3929+1))</f>
        <v/>
      </c>
      <c r="I3929" t="str">
        <f>IF(E3929="","",INDEX(Knutepunkter!$B:$B,E3929+1))</f>
        <v/>
      </c>
      <c r="J3929" t="str">
        <f>IF(E3929="","",INDEX(Knutepunkter!$C:$C,E3929+1))</f>
        <v/>
      </c>
      <c r="K3929" t="str">
        <f>IF(E3929="","",INDEX(Knutepunkter!$D:$D,E3929+1))</f>
        <v/>
      </c>
      <c r="L3929" t="str">
        <f t="shared" si="308"/>
        <v/>
      </c>
      <c r="M3929" t="str">
        <f t="shared" si="309"/>
        <v/>
      </c>
    </row>
    <row r="3930" spans="1:13" x14ac:dyDescent="0.3">
      <c r="A3930" t="str">
        <f>Segmenter!A3930</f>
        <v/>
      </c>
      <c r="B3930" t="str">
        <f>Segmenter!B3930</f>
        <v/>
      </c>
      <c r="C3930" t="str">
        <f t="shared" si="305"/>
        <v/>
      </c>
      <c r="D3930" t="str">
        <f t="shared" si="306"/>
        <v/>
      </c>
      <c r="E3930" t="str">
        <f t="shared" si="307"/>
        <v/>
      </c>
      <c r="F3930" t="str">
        <f>IF(D3930="","",INDEX(Knutepunkter!$B:$B,D3930+1))</f>
        <v/>
      </c>
      <c r="G3930" t="str">
        <f>IF(D3930="","",INDEX(Knutepunkter!$C:$C,D3930+1))</f>
        <v/>
      </c>
      <c r="H3930" t="str">
        <f>IF(D3930="","",INDEX(Knutepunkter!$D:$D,D3930+1))</f>
        <v/>
      </c>
      <c r="I3930" t="str">
        <f>IF(E3930="","",INDEX(Knutepunkter!$B:$B,E3930+1))</f>
        <v/>
      </c>
      <c r="J3930" t="str">
        <f>IF(E3930="","",INDEX(Knutepunkter!$C:$C,E3930+1))</f>
        <v/>
      </c>
      <c r="K3930" t="str">
        <f>IF(E3930="","",INDEX(Knutepunkter!$D:$D,E3930+1))</f>
        <v/>
      </c>
      <c r="L3930" t="str">
        <f t="shared" si="308"/>
        <v/>
      </c>
      <c r="M3930" t="str">
        <f t="shared" si="309"/>
        <v/>
      </c>
    </row>
    <row r="3931" spans="1:13" x14ac:dyDescent="0.3">
      <c r="A3931" t="str">
        <f>Segmenter!A3931</f>
        <v/>
      </c>
      <c r="B3931" t="str">
        <f>Segmenter!B3931</f>
        <v/>
      </c>
      <c r="C3931" t="str">
        <f t="shared" si="305"/>
        <v/>
      </c>
      <c r="D3931" t="str">
        <f t="shared" si="306"/>
        <v/>
      </c>
      <c r="E3931" t="str">
        <f t="shared" si="307"/>
        <v/>
      </c>
      <c r="F3931" t="str">
        <f>IF(D3931="","",INDEX(Knutepunkter!$B:$B,D3931+1))</f>
        <v/>
      </c>
      <c r="G3931" t="str">
        <f>IF(D3931="","",INDEX(Knutepunkter!$C:$C,D3931+1))</f>
        <v/>
      </c>
      <c r="H3931" t="str">
        <f>IF(D3931="","",INDEX(Knutepunkter!$D:$D,D3931+1))</f>
        <v/>
      </c>
      <c r="I3931" t="str">
        <f>IF(E3931="","",INDEX(Knutepunkter!$B:$B,E3931+1))</f>
        <v/>
      </c>
      <c r="J3931" t="str">
        <f>IF(E3931="","",INDEX(Knutepunkter!$C:$C,E3931+1))</f>
        <v/>
      </c>
      <c r="K3931" t="str">
        <f>IF(E3931="","",INDEX(Knutepunkter!$D:$D,E3931+1))</f>
        <v/>
      </c>
      <c r="L3931" t="str">
        <f t="shared" si="308"/>
        <v/>
      </c>
      <c r="M3931" t="str">
        <f t="shared" si="309"/>
        <v/>
      </c>
    </row>
    <row r="3932" spans="1:13" x14ac:dyDescent="0.3">
      <c r="A3932" t="str">
        <f>Segmenter!A3932</f>
        <v/>
      </c>
      <c r="B3932" t="str">
        <f>Segmenter!B3932</f>
        <v/>
      </c>
      <c r="C3932" t="str">
        <f t="shared" si="305"/>
        <v/>
      </c>
      <c r="D3932" t="str">
        <f t="shared" si="306"/>
        <v/>
      </c>
      <c r="E3932" t="str">
        <f t="shared" si="307"/>
        <v/>
      </c>
      <c r="F3932" t="str">
        <f>IF(D3932="","",INDEX(Knutepunkter!$B:$B,D3932+1))</f>
        <v/>
      </c>
      <c r="G3932" t="str">
        <f>IF(D3932="","",INDEX(Knutepunkter!$C:$C,D3932+1))</f>
        <v/>
      </c>
      <c r="H3932" t="str">
        <f>IF(D3932="","",INDEX(Knutepunkter!$D:$D,D3932+1))</f>
        <v/>
      </c>
      <c r="I3932" t="str">
        <f>IF(E3932="","",INDEX(Knutepunkter!$B:$B,E3932+1))</f>
        <v/>
      </c>
      <c r="J3932" t="str">
        <f>IF(E3932="","",INDEX(Knutepunkter!$C:$C,E3932+1))</f>
        <v/>
      </c>
      <c r="K3932" t="str">
        <f>IF(E3932="","",INDEX(Knutepunkter!$D:$D,E3932+1))</f>
        <v/>
      </c>
      <c r="L3932" t="str">
        <f t="shared" si="308"/>
        <v/>
      </c>
      <c r="M3932" t="str">
        <f t="shared" si="309"/>
        <v/>
      </c>
    </row>
    <row r="3933" spans="1:13" x14ac:dyDescent="0.3">
      <c r="A3933" t="str">
        <f>Segmenter!A3933</f>
        <v/>
      </c>
      <c r="B3933" t="str">
        <f>Segmenter!B3933</f>
        <v/>
      </c>
      <c r="C3933" t="str">
        <f t="shared" si="305"/>
        <v/>
      </c>
      <c r="D3933" t="str">
        <f t="shared" si="306"/>
        <v/>
      </c>
      <c r="E3933" t="str">
        <f t="shared" si="307"/>
        <v/>
      </c>
      <c r="F3933" t="str">
        <f>IF(D3933="","",INDEX(Knutepunkter!$B:$B,D3933+1))</f>
        <v/>
      </c>
      <c r="G3933" t="str">
        <f>IF(D3933="","",INDEX(Knutepunkter!$C:$C,D3933+1))</f>
        <v/>
      </c>
      <c r="H3933" t="str">
        <f>IF(D3933="","",INDEX(Knutepunkter!$D:$D,D3933+1))</f>
        <v/>
      </c>
      <c r="I3933" t="str">
        <f>IF(E3933="","",INDEX(Knutepunkter!$B:$B,E3933+1))</f>
        <v/>
      </c>
      <c r="J3933" t="str">
        <f>IF(E3933="","",INDEX(Knutepunkter!$C:$C,E3933+1))</f>
        <v/>
      </c>
      <c r="K3933" t="str">
        <f>IF(E3933="","",INDEX(Knutepunkter!$D:$D,E3933+1))</f>
        <v/>
      </c>
      <c r="L3933" t="str">
        <f t="shared" si="308"/>
        <v/>
      </c>
      <c r="M3933" t="str">
        <f t="shared" si="309"/>
        <v/>
      </c>
    </row>
    <row r="3934" spans="1:13" x14ac:dyDescent="0.3">
      <c r="A3934" t="str">
        <f>Segmenter!A3934</f>
        <v/>
      </c>
      <c r="B3934" t="str">
        <f>Segmenter!B3934</f>
        <v/>
      </c>
      <c r="C3934" t="str">
        <f t="shared" si="305"/>
        <v/>
      </c>
      <c r="D3934" t="str">
        <f t="shared" si="306"/>
        <v/>
      </c>
      <c r="E3934" t="str">
        <f t="shared" si="307"/>
        <v/>
      </c>
      <c r="F3934" t="str">
        <f>IF(D3934="","",INDEX(Knutepunkter!$B:$B,D3934+1))</f>
        <v/>
      </c>
      <c r="G3934" t="str">
        <f>IF(D3934="","",INDEX(Knutepunkter!$C:$C,D3934+1))</f>
        <v/>
      </c>
      <c r="H3934" t="str">
        <f>IF(D3934="","",INDEX(Knutepunkter!$D:$D,D3934+1))</f>
        <v/>
      </c>
      <c r="I3934" t="str">
        <f>IF(E3934="","",INDEX(Knutepunkter!$B:$B,E3934+1))</f>
        <v/>
      </c>
      <c r="J3934" t="str">
        <f>IF(E3934="","",INDEX(Knutepunkter!$C:$C,E3934+1))</f>
        <v/>
      </c>
      <c r="K3934" t="str">
        <f>IF(E3934="","",INDEX(Knutepunkter!$D:$D,E3934+1))</f>
        <v/>
      </c>
      <c r="L3934" t="str">
        <f t="shared" si="308"/>
        <v/>
      </c>
      <c r="M3934" t="str">
        <f t="shared" si="309"/>
        <v/>
      </c>
    </row>
    <row r="3935" spans="1:13" x14ac:dyDescent="0.3">
      <c r="A3935" t="str">
        <f>Segmenter!A3935</f>
        <v/>
      </c>
      <c r="B3935" t="str">
        <f>Segmenter!B3935</f>
        <v/>
      </c>
      <c r="C3935" t="str">
        <f t="shared" si="305"/>
        <v/>
      </c>
      <c r="D3935" t="str">
        <f t="shared" si="306"/>
        <v/>
      </c>
      <c r="E3935" t="str">
        <f t="shared" si="307"/>
        <v/>
      </c>
      <c r="F3935" t="str">
        <f>IF(D3935="","",INDEX(Knutepunkter!$B:$B,D3935+1))</f>
        <v/>
      </c>
      <c r="G3935" t="str">
        <f>IF(D3935="","",INDEX(Knutepunkter!$C:$C,D3935+1))</f>
        <v/>
      </c>
      <c r="H3935" t="str">
        <f>IF(D3935="","",INDEX(Knutepunkter!$D:$D,D3935+1))</f>
        <v/>
      </c>
      <c r="I3935" t="str">
        <f>IF(E3935="","",INDEX(Knutepunkter!$B:$B,E3935+1))</f>
        <v/>
      </c>
      <c r="J3935" t="str">
        <f>IF(E3935="","",INDEX(Knutepunkter!$C:$C,E3935+1))</f>
        <v/>
      </c>
      <c r="K3935" t="str">
        <f>IF(E3935="","",INDEX(Knutepunkter!$D:$D,E3935+1))</f>
        <v/>
      </c>
      <c r="L3935" t="str">
        <f t="shared" si="308"/>
        <v/>
      </c>
      <c r="M3935" t="str">
        <f t="shared" si="309"/>
        <v/>
      </c>
    </row>
    <row r="3936" spans="1:13" x14ac:dyDescent="0.3">
      <c r="A3936" t="str">
        <f>Segmenter!A3936</f>
        <v/>
      </c>
      <c r="B3936" t="str">
        <f>Segmenter!B3936</f>
        <v/>
      </c>
      <c r="C3936" t="str">
        <f t="shared" si="305"/>
        <v/>
      </c>
      <c r="D3936" t="str">
        <f t="shared" si="306"/>
        <v/>
      </c>
      <c r="E3936" t="str">
        <f t="shared" si="307"/>
        <v/>
      </c>
      <c r="F3936" t="str">
        <f>IF(D3936="","",INDEX(Knutepunkter!$B:$B,D3936+1))</f>
        <v/>
      </c>
      <c r="G3936" t="str">
        <f>IF(D3936="","",INDEX(Knutepunkter!$C:$C,D3936+1))</f>
        <v/>
      </c>
      <c r="H3936" t="str">
        <f>IF(D3936="","",INDEX(Knutepunkter!$D:$D,D3936+1))</f>
        <v/>
      </c>
      <c r="I3936" t="str">
        <f>IF(E3936="","",INDEX(Knutepunkter!$B:$B,E3936+1))</f>
        <v/>
      </c>
      <c r="J3936" t="str">
        <f>IF(E3936="","",INDEX(Knutepunkter!$C:$C,E3936+1))</f>
        <v/>
      </c>
      <c r="K3936" t="str">
        <f>IF(E3936="","",INDEX(Knutepunkter!$D:$D,E3936+1))</f>
        <v/>
      </c>
      <c r="L3936" t="str">
        <f t="shared" si="308"/>
        <v/>
      </c>
      <c r="M3936" t="str">
        <f t="shared" si="309"/>
        <v/>
      </c>
    </row>
    <row r="3937" spans="1:13" x14ac:dyDescent="0.3">
      <c r="A3937" t="str">
        <f>Segmenter!A3937</f>
        <v/>
      </c>
      <c r="B3937" t="str">
        <f>Segmenter!B3937</f>
        <v/>
      </c>
      <c r="C3937" t="str">
        <f t="shared" si="305"/>
        <v/>
      </c>
      <c r="D3937" t="str">
        <f t="shared" si="306"/>
        <v/>
      </c>
      <c r="E3937" t="str">
        <f t="shared" si="307"/>
        <v/>
      </c>
      <c r="F3937" t="str">
        <f>IF(D3937="","",INDEX(Knutepunkter!$B:$B,D3937+1))</f>
        <v/>
      </c>
      <c r="G3937" t="str">
        <f>IF(D3937="","",INDEX(Knutepunkter!$C:$C,D3937+1))</f>
        <v/>
      </c>
      <c r="H3937" t="str">
        <f>IF(D3937="","",INDEX(Knutepunkter!$D:$D,D3937+1))</f>
        <v/>
      </c>
      <c r="I3937" t="str">
        <f>IF(E3937="","",INDEX(Knutepunkter!$B:$B,E3937+1))</f>
        <v/>
      </c>
      <c r="J3937" t="str">
        <f>IF(E3937="","",INDEX(Knutepunkter!$C:$C,E3937+1))</f>
        <v/>
      </c>
      <c r="K3937" t="str">
        <f>IF(E3937="","",INDEX(Knutepunkter!$D:$D,E3937+1))</f>
        <v/>
      </c>
      <c r="L3937" t="str">
        <f t="shared" si="308"/>
        <v/>
      </c>
      <c r="M3937" t="str">
        <f t="shared" si="309"/>
        <v/>
      </c>
    </row>
    <row r="3938" spans="1:13" x14ac:dyDescent="0.3">
      <c r="A3938" t="str">
        <f>Segmenter!A3938</f>
        <v/>
      </c>
      <c r="B3938" t="str">
        <f>Segmenter!B3938</f>
        <v/>
      </c>
      <c r="C3938" t="str">
        <f t="shared" si="305"/>
        <v/>
      </c>
      <c r="D3938" t="str">
        <f t="shared" si="306"/>
        <v/>
      </c>
      <c r="E3938" t="str">
        <f t="shared" si="307"/>
        <v/>
      </c>
      <c r="F3938" t="str">
        <f>IF(D3938="","",INDEX(Knutepunkter!$B:$B,D3938+1))</f>
        <v/>
      </c>
      <c r="G3938" t="str">
        <f>IF(D3938="","",INDEX(Knutepunkter!$C:$C,D3938+1))</f>
        <v/>
      </c>
      <c r="H3938" t="str">
        <f>IF(D3938="","",INDEX(Knutepunkter!$D:$D,D3938+1))</f>
        <v/>
      </c>
      <c r="I3938" t="str">
        <f>IF(E3938="","",INDEX(Knutepunkter!$B:$B,E3938+1))</f>
        <v/>
      </c>
      <c r="J3938" t="str">
        <f>IF(E3938="","",INDEX(Knutepunkter!$C:$C,E3938+1))</f>
        <v/>
      </c>
      <c r="K3938" t="str">
        <f>IF(E3938="","",INDEX(Knutepunkter!$D:$D,E3938+1))</f>
        <v/>
      </c>
      <c r="L3938" t="str">
        <f t="shared" si="308"/>
        <v/>
      </c>
      <c r="M3938" t="str">
        <f t="shared" si="309"/>
        <v/>
      </c>
    </row>
    <row r="3939" spans="1:13" x14ac:dyDescent="0.3">
      <c r="A3939" t="str">
        <f>Segmenter!A3939</f>
        <v/>
      </c>
      <c r="B3939" t="str">
        <f>Segmenter!B3939</f>
        <v/>
      </c>
      <c r="C3939" t="str">
        <f t="shared" si="305"/>
        <v/>
      </c>
      <c r="D3939" t="str">
        <f t="shared" si="306"/>
        <v/>
      </c>
      <c r="E3939" t="str">
        <f t="shared" si="307"/>
        <v/>
      </c>
      <c r="F3939" t="str">
        <f>IF(D3939="","",INDEX(Knutepunkter!$B:$B,D3939+1))</f>
        <v/>
      </c>
      <c r="G3939" t="str">
        <f>IF(D3939="","",INDEX(Knutepunkter!$C:$C,D3939+1))</f>
        <v/>
      </c>
      <c r="H3939" t="str">
        <f>IF(D3939="","",INDEX(Knutepunkter!$D:$D,D3939+1))</f>
        <v/>
      </c>
      <c r="I3939" t="str">
        <f>IF(E3939="","",INDEX(Knutepunkter!$B:$B,E3939+1))</f>
        <v/>
      </c>
      <c r="J3939" t="str">
        <f>IF(E3939="","",INDEX(Knutepunkter!$C:$C,E3939+1))</f>
        <v/>
      </c>
      <c r="K3939" t="str">
        <f>IF(E3939="","",INDEX(Knutepunkter!$D:$D,E3939+1))</f>
        <v/>
      </c>
      <c r="L3939" t="str">
        <f t="shared" si="308"/>
        <v/>
      </c>
      <c r="M3939" t="str">
        <f t="shared" si="309"/>
        <v/>
      </c>
    </row>
    <row r="3940" spans="1:13" x14ac:dyDescent="0.3">
      <c r="A3940" t="str">
        <f>Segmenter!A3940</f>
        <v/>
      </c>
      <c r="B3940" t="str">
        <f>Segmenter!B3940</f>
        <v/>
      </c>
      <c r="C3940" t="str">
        <f t="shared" si="305"/>
        <v/>
      </c>
      <c r="D3940" t="str">
        <f t="shared" si="306"/>
        <v/>
      </c>
      <c r="E3940" t="str">
        <f t="shared" si="307"/>
        <v/>
      </c>
      <c r="F3940" t="str">
        <f>IF(D3940="","",INDEX(Knutepunkter!$B:$B,D3940+1))</f>
        <v/>
      </c>
      <c r="G3940" t="str">
        <f>IF(D3940="","",INDEX(Knutepunkter!$C:$C,D3940+1))</f>
        <v/>
      </c>
      <c r="H3940" t="str">
        <f>IF(D3940="","",INDEX(Knutepunkter!$D:$D,D3940+1))</f>
        <v/>
      </c>
      <c r="I3940" t="str">
        <f>IF(E3940="","",INDEX(Knutepunkter!$B:$B,E3940+1))</f>
        <v/>
      </c>
      <c r="J3940" t="str">
        <f>IF(E3940="","",INDEX(Knutepunkter!$C:$C,E3940+1))</f>
        <v/>
      </c>
      <c r="K3940" t="str">
        <f>IF(E3940="","",INDEX(Knutepunkter!$D:$D,E3940+1))</f>
        <v/>
      </c>
      <c r="L3940" t="str">
        <f t="shared" si="308"/>
        <v/>
      </c>
      <c r="M3940" t="str">
        <f t="shared" si="309"/>
        <v/>
      </c>
    </row>
    <row r="3941" spans="1:13" x14ac:dyDescent="0.3">
      <c r="A3941" t="str">
        <f>Segmenter!A3941</f>
        <v/>
      </c>
      <c r="B3941" t="str">
        <f>Segmenter!B3941</f>
        <v/>
      </c>
      <c r="C3941" t="str">
        <f t="shared" si="305"/>
        <v/>
      </c>
      <c r="D3941" t="str">
        <f t="shared" si="306"/>
        <v/>
      </c>
      <c r="E3941" t="str">
        <f t="shared" si="307"/>
        <v/>
      </c>
      <c r="F3941" t="str">
        <f>IF(D3941="","",INDEX(Knutepunkter!$B:$B,D3941+1))</f>
        <v/>
      </c>
      <c r="G3941" t="str">
        <f>IF(D3941="","",INDEX(Knutepunkter!$C:$C,D3941+1))</f>
        <v/>
      </c>
      <c r="H3941" t="str">
        <f>IF(D3941="","",INDEX(Knutepunkter!$D:$D,D3941+1))</f>
        <v/>
      </c>
      <c r="I3941" t="str">
        <f>IF(E3941="","",INDEX(Knutepunkter!$B:$B,E3941+1))</f>
        <v/>
      </c>
      <c r="J3941" t="str">
        <f>IF(E3941="","",INDEX(Knutepunkter!$C:$C,E3941+1))</f>
        <v/>
      </c>
      <c r="K3941" t="str">
        <f>IF(E3941="","",INDEX(Knutepunkter!$D:$D,E3941+1))</f>
        <v/>
      </c>
      <c r="L3941" t="str">
        <f t="shared" si="308"/>
        <v/>
      </c>
      <c r="M3941" t="str">
        <f t="shared" si="309"/>
        <v/>
      </c>
    </row>
    <row r="3942" spans="1:13" x14ac:dyDescent="0.3">
      <c r="A3942" t="str">
        <f>Segmenter!A3942</f>
        <v/>
      </c>
      <c r="B3942" t="str">
        <f>Segmenter!B3942</f>
        <v/>
      </c>
      <c r="C3942" t="str">
        <f t="shared" si="305"/>
        <v/>
      </c>
      <c r="D3942" t="str">
        <f t="shared" si="306"/>
        <v/>
      </c>
      <c r="E3942" t="str">
        <f t="shared" si="307"/>
        <v/>
      </c>
      <c r="F3942" t="str">
        <f>IF(D3942="","",INDEX(Knutepunkter!$B:$B,D3942+1))</f>
        <v/>
      </c>
      <c r="G3942" t="str">
        <f>IF(D3942="","",INDEX(Knutepunkter!$C:$C,D3942+1))</f>
        <v/>
      </c>
      <c r="H3942" t="str">
        <f>IF(D3942="","",INDEX(Knutepunkter!$D:$D,D3942+1))</f>
        <v/>
      </c>
      <c r="I3942" t="str">
        <f>IF(E3942="","",INDEX(Knutepunkter!$B:$B,E3942+1))</f>
        <v/>
      </c>
      <c r="J3942" t="str">
        <f>IF(E3942="","",INDEX(Knutepunkter!$C:$C,E3942+1))</f>
        <v/>
      </c>
      <c r="K3942" t="str">
        <f>IF(E3942="","",INDEX(Knutepunkter!$D:$D,E3942+1))</f>
        <v/>
      </c>
      <c r="L3942" t="str">
        <f t="shared" si="308"/>
        <v/>
      </c>
      <c r="M3942" t="str">
        <f t="shared" si="309"/>
        <v/>
      </c>
    </row>
    <row r="3943" spans="1:13" x14ac:dyDescent="0.3">
      <c r="A3943" t="str">
        <f>Segmenter!A3943</f>
        <v/>
      </c>
      <c r="B3943" t="str">
        <f>Segmenter!B3943</f>
        <v/>
      </c>
      <c r="C3943" t="str">
        <f t="shared" si="305"/>
        <v/>
      </c>
      <c r="D3943" t="str">
        <f t="shared" si="306"/>
        <v/>
      </c>
      <c r="E3943" t="str">
        <f t="shared" si="307"/>
        <v/>
      </c>
      <c r="F3943" t="str">
        <f>IF(D3943="","",INDEX(Knutepunkter!$B:$B,D3943+1))</f>
        <v/>
      </c>
      <c r="G3943" t="str">
        <f>IF(D3943="","",INDEX(Knutepunkter!$C:$C,D3943+1))</f>
        <v/>
      </c>
      <c r="H3943" t="str">
        <f>IF(D3943="","",INDEX(Knutepunkter!$D:$D,D3943+1))</f>
        <v/>
      </c>
      <c r="I3943" t="str">
        <f>IF(E3943="","",INDEX(Knutepunkter!$B:$B,E3943+1))</f>
        <v/>
      </c>
      <c r="J3943" t="str">
        <f>IF(E3943="","",INDEX(Knutepunkter!$C:$C,E3943+1))</f>
        <v/>
      </c>
      <c r="K3943" t="str">
        <f>IF(E3943="","",INDEX(Knutepunkter!$D:$D,E3943+1))</f>
        <v/>
      </c>
      <c r="L3943" t="str">
        <f t="shared" si="308"/>
        <v/>
      </c>
      <c r="M3943" t="str">
        <f t="shared" si="309"/>
        <v/>
      </c>
    </row>
    <row r="3944" spans="1:13" x14ac:dyDescent="0.3">
      <c r="A3944" t="str">
        <f>Segmenter!A3944</f>
        <v/>
      </c>
      <c r="B3944" t="str">
        <f>Segmenter!B3944</f>
        <v/>
      </c>
      <c r="C3944" t="str">
        <f t="shared" si="305"/>
        <v/>
      </c>
      <c r="D3944" t="str">
        <f t="shared" si="306"/>
        <v/>
      </c>
      <c r="E3944" t="str">
        <f t="shared" si="307"/>
        <v/>
      </c>
      <c r="F3944" t="str">
        <f>IF(D3944="","",INDEX(Knutepunkter!$B:$B,D3944+1))</f>
        <v/>
      </c>
      <c r="G3944" t="str">
        <f>IF(D3944="","",INDEX(Knutepunkter!$C:$C,D3944+1))</f>
        <v/>
      </c>
      <c r="H3944" t="str">
        <f>IF(D3944="","",INDEX(Knutepunkter!$D:$D,D3944+1))</f>
        <v/>
      </c>
      <c r="I3944" t="str">
        <f>IF(E3944="","",INDEX(Knutepunkter!$B:$B,E3944+1))</f>
        <v/>
      </c>
      <c r="J3944" t="str">
        <f>IF(E3944="","",INDEX(Knutepunkter!$C:$C,E3944+1))</f>
        <v/>
      </c>
      <c r="K3944" t="str">
        <f>IF(E3944="","",INDEX(Knutepunkter!$D:$D,E3944+1))</f>
        <v/>
      </c>
      <c r="L3944" t="str">
        <f t="shared" si="308"/>
        <v/>
      </c>
      <c r="M3944" t="str">
        <f t="shared" si="309"/>
        <v/>
      </c>
    </row>
    <row r="3945" spans="1:13" x14ac:dyDescent="0.3">
      <c r="A3945" t="str">
        <f>Segmenter!A3945</f>
        <v/>
      </c>
      <c r="B3945" t="str">
        <f>Segmenter!B3945</f>
        <v/>
      </c>
      <c r="C3945" t="str">
        <f t="shared" si="305"/>
        <v/>
      </c>
      <c r="D3945" t="str">
        <f t="shared" si="306"/>
        <v/>
      </c>
      <c r="E3945" t="str">
        <f t="shared" si="307"/>
        <v/>
      </c>
      <c r="F3945" t="str">
        <f>IF(D3945="","",INDEX(Knutepunkter!$B:$B,D3945+1))</f>
        <v/>
      </c>
      <c r="G3945" t="str">
        <f>IF(D3945="","",INDEX(Knutepunkter!$C:$C,D3945+1))</f>
        <v/>
      </c>
      <c r="H3945" t="str">
        <f>IF(D3945="","",INDEX(Knutepunkter!$D:$D,D3945+1))</f>
        <v/>
      </c>
      <c r="I3945" t="str">
        <f>IF(E3945="","",INDEX(Knutepunkter!$B:$B,E3945+1))</f>
        <v/>
      </c>
      <c r="J3945" t="str">
        <f>IF(E3945="","",INDEX(Knutepunkter!$C:$C,E3945+1))</f>
        <v/>
      </c>
      <c r="K3945" t="str">
        <f>IF(E3945="","",INDEX(Knutepunkter!$D:$D,E3945+1))</f>
        <v/>
      </c>
      <c r="L3945" t="str">
        <f t="shared" si="308"/>
        <v/>
      </c>
      <c r="M3945" t="str">
        <f t="shared" si="309"/>
        <v/>
      </c>
    </row>
    <row r="3946" spans="1:13" x14ac:dyDescent="0.3">
      <c r="A3946" t="str">
        <f>Segmenter!A3946</f>
        <v/>
      </c>
      <c r="B3946" t="str">
        <f>Segmenter!B3946</f>
        <v/>
      </c>
      <c r="C3946" t="str">
        <f t="shared" si="305"/>
        <v/>
      </c>
      <c r="D3946" t="str">
        <f t="shared" si="306"/>
        <v/>
      </c>
      <c r="E3946" t="str">
        <f t="shared" si="307"/>
        <v/>
      </c>
      <c r="F3946" t="str">
        <f>IF(D3946="","",INDEX(Knutepunkter!$B:$B,D3946+1))</f>
        <v/>
      </c>
      <c r="G3946" t="str">
        <f>IF(D3946="","",INDEX(Knutepunkter!$C:$C,D3946+1))</f>
        <v/>
      </c>
      <c r="H3946" t="str">
        <f>IF(D3946="","",INDEX(Knutepunkter!$D:$D,D3946+1))</f>
        <v/>
      </c>
      <c r="I3946" t="str">
        <f>IF(E3946="","",INDEX(Knutepunkter!$B:$B,E3946+1))</f>
        <v/>
      </c>
      <c r="J3946" t="str">
        <f>IF(E3946="","",INDEX(Knutepunkter!$C:$C,E3946+1))</f>
        <v/>
      </c>
      <c r="K3946" t="str">
        <f>IF(E3946="","",INDEX(Knutepunkter!$D:$D,E3946+1))</f>
        <v/>
      </c>
      <c r="L3946" t="str">
        <f t="shared" si="308"/>
        <v/>
      </c>
      <c r="M3946" t="str">
        <f t="shared" si="309"/>
        <v/>
      </c>
    </row>
    <row r="3947" spans="1:13" x14ac:dyDescent="0.3">
      <c r="A3947" t="str">
        <f>Segmenter!A3947</f>
        <v/>
      </c>
      <c r="B3947" t="str">
        <f>Segmenter!B3947</f>
        <v/>
      </c>
      <c r="C3947" t="str">
        <f t="shared" si="305"/>
        <v/>
      </c>
      <c r="D3947" t="str">
        <f t="shared" si="306"/>
        <v/>
      </c>
      <c r="E3947" t="str">
        <f t="shared" si="307"/>
        <v/>
      </c>
      <c r="F3947" t="str">
        <f>IF(D3947="","",INDEX(Knutepunkter!$B:$B,D3947+1))</f>
        <v/>
      </c>
      <c r="G3947" t="str">
        <f>IF(D3947="","",INDEX(Knutepunkter!$C:$C,D3947+1))</f>
        <v/>
      </c>
      <c r="H3947" t="str">
        <f>IF(D3947="","",INDEX(Knutepunkter!$D:$D,D3947+1))</f>
        <v/>
      </c>
      <c r="I3947" t="str">
        <f>IF(E3947="","",INDEX(Knutepunkter!$B:$B,E3947+1))</f>
        <v/>
      </c>
      <c r="J3947" t="str">
        <f>IF(E3947="","",INDEX(Knutepunkter!$C:$C,E3947+1))</f>
        <v/>
      </c>
      <c r="K3947" t="str">
        <f>IF(E3947="","",INDEX(Knutepunkter!$D:$D,E3947+1))</f>
        <v/>
      </c>
      <c r="L3947" t="str">
        <f t="shared" si="308"/>
        <v/>
      </c>
      <c r="M3947" t="str">
        <f t="shared" si="309"/>
        <v/>
      </c>
    </row>
    <row r="3948" spans="1:13" x14ac:dyDescent="0.3">
      <c r="A3948" t="str">
        <f>Segmenter!A3948</f>
        <v/>
      </c>
      <c r="B3948" t="str">
        <f>Segmenter!B3948</f>
        <v/>
      </c>
      <c r="C3948" t="str">
        <f t="shared" si="305"/>
        <v/>
      </c>
      <c r="D3948" t="str">
        <f t="shared" si="306"/>
        <v/>
      </c>
      <c r="E3948" t="str">
        <f t="shared" si="307"/>
        <v/>
      </c>
      <c r="F3948" t="str">
        <f>IF(D3948="","",INDEX(Knutepunkter!$B:$B,D3948+1))</f>
        <v/>
      </c>
      <c r="G3948" t="str">
        <f>IF(D3948="","",INDEX(Knutepunkter!$C:$C,D3948+1))</f>
        <v/>
      </c>
      <c r="H3948" t="str">
        <f>IF(D3948="","",INDEX(Knutepunkter!$D:$D,D3948+1))</f>
        <v/>
      </c>
      <c r="I3948" t="str">
        <f>IF(E3948="","",INDEX(Knutepunkter!$B:$B,E3948+1))</f>
        <v/>
      </c>
      <c r="J3948" t="str">
        <f>IF(E3948="","",INDEX(Knutepunkter!$C:$C,E3948+1))</f>
        <v/>
      </c>
      <c r="K3948" t="str">
        <f>IF(E3948="","",INDEX(Knutepunkter!$D:$D,E3948+1))</f>
        <v/>
      </c>
      <c r="L3948" t="str">
        <f t="shared" si="308"/>
        <v/>
      </c>
      <c r="M3948" t="str">
        <f t="shared" si="309"/>
        <v/>
      </c>
    </row>
    <row r="3949" spans="1:13" x14ac:dyDescent="0.3">
      <c r="A3949" t="str">
        <f>Segmenter!A3949</f>
        <v/>
      </c>
      <c r="B3949" t="str">
        <f>Segmenter!B3949</f>
        <v/>
      </c>
      <c r="C3949" t="str">
        <f t="shared" si="305"/>
        <v/>
      </c>
      <c r="D3949" t="str">
        <f t="shared" si="306"/>
        <v/>
      </c>
      <c r="E3949" t="str">
        <f t="shared" si="307"/>
        <v/>
      </c>
      <c r="F3949" t="str">
        <f>IF(D3949="","",INDEX(Knutepunkter!$B:$B,D3949+1))</f>
        <v/>
      </c>
      <c r="G3949" t="str">
        <f>IF(D3949="","",INDEX(Knutepunkter!$C:$C,D3949+1))</f>
        <v/>
      </c>
      <c r="H3949" t="str">
        <f>IF(D3949="","",INDEX(Knutepunkter!$D:$D,D3949+1))</f>
        <v/>
      </c>
      <c r="I3949" t="str">
        <f>IF(E3949="","",INDEX(Knutepunkter!$B:$B,E3949+1))</f>
        <v/>
      </c>
      <c r="J3949" t="str">
        <f>IF(E3949="","",INDEX(Knutepunkter!$C:$C,E3949+1))</f>
        <v/>
      </c>
      <c r="K3949" t="str">
        <f>IF(E3949="","",INDEX(Knutepunkter!$D:$D,E3949+1))</f>
        <v/>
      </c>
      <c r="L3949" t="str">
        <f t="shared" si="308"/>
        <v/>
      </c>
      <c r="M3949" t="str">
        <f t="shared" si="309"/>
        <v/>
      </c>
    </row>
    <row r="3950" spans="1:13" x14ac:dyDescent="0.3">
      <c r="A3950" t="str">
        <f>Segmenter!A3950</f>
        <v/>
      </c>
      <c r="B3950" t="str">
        <f>Segmenter!B3950</f>
        <v/>
      </c>
      <c r="C3950" t="str">
        <f t="shared" si="305"/>
        <v/>
      </c>
      <c r="D3950" t="str">
        <f t="shared" si="306"/>
        <v/>
      </c>
      <c r="E3950" t="str">
        <f t="shared" si="307"/>
        <v/>
      </c>
      <c r="F3950" t="str">
        <f>IF(D3950="","",INDEX(Knutepunkter!$B:$B,D3950+1))</f>
        <v/>
      </c>
      <c r="G3950" t="str">
        <f>IF(D3950="","",INDEX(Knutepunkter!$C:$C,D3950+1))</f>
        <v/>
      </c>
      <c r="H3950" t="str">
        <f>IF(D3950="","",INDEX(Knutepunkter!$D:$D,D3950+1))</f>
        <v/>
      </c>
      <c r="I3950" t="str">
        <f>IF(E3950="","",INDEX(Knutepunkter!$B:$B,E3950+1))</f>
        <v/>
      </c>
      <c r="J3950" t="str">
        <f>IF(E3950="","",INDEX(Knutepunkter!$C:$C,E3950+1))</f>
        <v/>
      </c>
      <c r="K3950" t="str">
        <f>IF(E3950="","",INDEX(Knutepunkter!$D:$D,E3950+1))</f>
        <v/>
      </c>
      <c r="L3950" t="str">
        <f t="shared" si="308"/>
        <v/>
      </c>
      <c r="M3950" t="str">
        <f t="shared" si="309"/>
        <v/>
      </c>
    </row>
    <row r="3951" spans="1:13" x14ac:dyDescent="0.3">
      <c r="A3951" t="str">
        <f>Segmenter!A3951</f>
        <v/>
      </c>
      <c r="B3951" t="str">
        <f>Segmenter!B3951</f>
        <v/>
      </c>
      <c r="C3951" t="str">
        <f t="shared" si="305"/>
        <v/>
      </c>
      <c r="D3951" t="str">
        <f t="shared" si="306"/>
        <v/>
      </c>
      <c r="E3951" t="str">
        <f t="shared" si="307"/>
        <v/>
      </c>
      <c r="F3951" t="str">
        <f>IF(D3951="","",INDEX(Knutepunkter!$B:$B,D3951+1))</f>
        <v/>
      </c>
      <c r="G3951" t="str">
        <f>IF(D3951="","",INDEX(Knutepunkter!$C:$C,D3951+1))</f>
        <v/>
      </c>
      <c r="H3951" t="str">
        <f>IF(D3951="","",INDEX(Knutepunkter!$D:$D,D3951+1))</f>
        <v/>
      </c>
      <c r="I3951" t="str">
        <f>IF(E3951="","",INDEX(Knutepunkter!$B:$B,E3951+1))</f>
        <v/>
      </c>
      <c r="J3951" t="str">
        <f>IF(E3951="","",INDEX(Knutepunkter!$C:$C,E3951+1))</f>
        <v/>
      </c>
      <c r="K3951" t="str">
        <f>IF(E3951="","",INDEX(Knutepunkter!$D:$D,E3951+1))</f>
        <v/>
      </c>
      <c r="L3951" t="str">
        <f t="shared" si="308"/>
        <v/>
      </c>
      <c r="M3951" t="str">
        <f t="shared" si="309"/>
        <v/>
      </c>
    </row>
    <row r="3952" spans="1:13" x14ac:dyDescent="0.3">
      <c r="A3952" t="str">
        <f>Segmenter!A3952</f>
        <v/>
      </c>
      <c r="B3952" t="str">
        <f>Segmenter!B3952</f>
        <v/>
      </c>
      <c r="C3952" t="str">
        <f t="shared" si="305"/>
        <v/>
      </c>
      <c r="D3952" t="str">
        <f t="shared" si="306"/>
        <v/>
      </c>
      <c r="E3952" t="str">
        <f t="shared" si="307"/>
        <v/>
      </c>
      <c r="F3952" t="str">
        <f>IF(D3952="","",INDEX(Knutepunkter!$B:$B,D3952+1))</f>
        <v/>
      </c>
      <c r="G3952" t="str">
        <f>IF(D3952="","",INDEX(Knutepunkter!$C:$C,D3952+1))</f>
        <v/>
      </c>
      <c r="H3952" t="str">
        <f>IF(D3952="","",INDEX(Knutepunkter!$D:$D,D3952+1))</f>
        <v/>
      </c>
      <c r="I3952" t="str">
        <f>IF(E3952="","",INDEX(Knutepunkter!$B:$B,E3952+1))</f>
        <v/>
      </c>
      <c r="J3952" t="str">
        <f>IF(E3952="","",INDEX(Knutepunkter!$C:$C,E3952+1))</f>
        <v/>
      </c>
      <c r="K3952" t="str">
        <f>IF(E3952="","",INDEX(Knutepunkter!$D:$D,E3952+1))</f>
        <v/>
      </c>
      <c r="L3952" t="str">
        <f t="shared" si="308"/>
        <v/>
      </c>
      <c r="M3952" t="str">
        <f t="shared" si="309"/>
        <v/>
      </c>
    </row>
    <row r="3953" spans="1:13" x14ac:dyDescent="0.3">
      <c r="A3953" t="str">
        <f>Segmenter!A3953</f>
        <v/>
      </c>
      <c r="B3953" t="str">
        <f>Segmenter!B3953</f>
        <v/>
      </c>
      <c r="C3953" t="str">
        <f t="shared" si="305"/>
        <v/>
      </c>
      <c r="D3953" t="str">
        <f t="shared" si="306"/>
        <v/>
      </c>
      <c r="E3953" t="str">
        <f t="shared" si="307"/>
        <v/>
      </c>
      <c r="F3953" t="str">
        <f>IF(D3953="","",INDEX(Knutepunkter!$B:$B,D3953+1))</f>
        <v/>
      </c>
      <c r="G3953" t="str">
        <f>IF(D3953="","",INDEX(Knutepunkter!$C:$C,D3953+1))</f>
        <v/>
      </c>
      <c r="H3953" t="str">
        <f>IF(D3953="","",INDEX(Knutepunkter!$D:$D,D3953+1))</f>
        <v/>
      </c>
      <c r="I3953" t="str">
        <f>IF(E3953="","",INDEX(Knutepunkter!$B:$B,E3953+1))</f>
        <v/>
      </c>
      <c r="J3953" t="str">
        <f>IF(E3953="","",INDEX(Knutepunkter!$C:$C,E3953+1))</f>
        <v/>
      </c>
      <c r="K3953" t="str">
        <f>IF(E3953="","",INDEX(Knutepunkter!$D:$D,E3953+1))</f>
        <v/>
      </c>
      <c r="L3953" t="str">
        <f t="shared" si="308"/>
        <v/>
      </c>
      <c r="M3953" t="str">
        <f t="shared" si="309"/>
        <v/>
      </c>
    </row>
    <row r="3954" spans="1:13" x14ac:dyDescent="0.3">
      <c r="A3954" t="str">
        <f>Segmenter!A3954</f>
        <v/>
      </c>
      <c r="B3954" t="str">
        <f>Segmenter!B3954</f>
        <v/>
      </c>
      <c r="C3954" t="str">
        <f t="shared" si="305"/>
        <v/>
      </c>
      <c r="D3954" t="str">
        <f t="shared" si="306"/>
        <v/>
      </c>
      <c r="E3954" t="str">
        <f t="shared" si="307"/>
        <v/>
      </c>
      <c r="F3954" t="str">
        <f>IF(D3954="","",INDEX(Knutepunkter!$B:$B,D3954+1))</f>
        <v/>
      </c>
      <c r="G3954" t="str">
        <f>IF(D3954="","",INDEX(Knutepunkter!$C:$C,D3954+1))</f>
        <v/>
      </c>
      <c r="H3954" t="str">
        <f>IF(D3954="","",INDEX(Knutepunkter!$D:$D,D3954+1))</f>
        <v/>
      </c>
      <c r="I3954" t="str">
        <f>IF(E3954="","",INDEX(Knutepunkter!$B:$B,E3954+1))</f>
        <v/>
      </c>
      <c r="J3954" t="str">
        <f>IF(E3954="","",INDEX(Knutepunkter!$C:$C,E3954+1))</f>
        <v/>
      </c>
      <c r="K3954" t="str">
        <f>IF(E3954="","",INDEX(Knutepunkter!$D:$D,E3954+1))</f>
        <v/>
      </c>
      <c r="L3954" t="str">
        <f t="shared" si="308"/>
        <v/>
      </c>
      <c r="M3954" t="str">
        <f t="shared" si="309"/>
        <v/>
      </c>
    </row>
    <row r="3955" spans="1:13" x14ac:dyDescent="0.3">
      <c r="A3955" t="str">
        <f>Segmenter!A3955</f>
        <v/>
      </c>
      <c r="B3955" t="str">
        <f>Segmenter!B3955</f>
        <v/>
      </c>
      <c r="C3955" t="str">
        <f t="shared" si="305"/>
        <v/>
      </c>
      <c r="D3955" t="str">
        <f t="shared" si="306"/>
        <v/>
      </c>
      <c r="E3955" t="str">
        <f t="shared" si="307"/>
        <v/>
      </c>
      <c r="F3955" t="str">
        <f>IF(D3955="","",INDEX(Knutepunkter!$B:$B,D3955+1))</f>
        <v/>
      </c>
      <c r="G3955" t="str">
        <f>IF(D3955="","",INDEX(Knutepunkter!$C:$C,D3955+1))</f>
        <v/>
      </c>
      <c r="H3955" t="str">
        <f>IF(D3955="","",INDEX(Knutepunkter!$D:$D,D3955+1))</f>
        <v/>
      </c>
      <c r="I3955" t="str">
        <f>IF(E3955="","",INDEX(Knutepunkter!$B:$B,E3955+1))</f>
        <v/>
      </c>
      <c r="J3955" t="str">
        <f>IF(E3955="","",INDEX(Knutepunkter!$C:$C,E3955+1))</f>
        <v/>
      </c>
      <c r="K3955" t="str">
        <f>IF(E3955="","",INDEX(Knutepunkter!$D:$D,E3955+1))</f>
        <v/>
      </c>
      <c r="L3955" t="str">
        <f t="shared" si="308"/>
        <v/>
      </c>
      <c r="M3955" t="str">
        <f t="shared" si="309"/>
        <v/>
      </c>
    </row>
    <row r="3956" spans="1:13" x14ac:dyDescent="0.3">
      <c r="A3956" t="str">
        <f>Segmenter!A3956</f>
        <v/>
      </c>
      <c r="B3956" t="str">
        <f>Segmenter!B3956</f>
        <v/>
      </c>
      <c r="C3956" t="str">
        <f t="shared" si="305"/>
        <v/>
      </c>
      <c r="D3956" t="str">
        <f t="shared" si="306"/>
        <v/>
      </c>
      <c r="E3956" t="str">
        <f t="shared" si="307"/>
        <v/>
      </c>
      <c r="F3956" t="str">
        <f>IF(D3956="","",INDEX(Knutepunkter!$B:$B,D3956+1))</f>
        <v/>
      </c>
      <c r="G3956" t="str">
        <f>IF(D3956="","",INDEX(Knutepunkter!$C:$C,D3956+1))</f>
        <v/>
      </c>
      <c r="H3956" t="str">
        <f>IF(D3956="","",INDEX(Knutepunkter!$D:$D,D3956+1))</f>
        <v/>
      </c>
      <c r="I3956" t="str">
        <f>IF(E3956="","",INDEX(Knutepunkter!$B:$B,E3956+1))</f>
        <v/>
      </c>
      <c r="J3956" t="str">
        <f>IF(E3956="","",INDEX(Knutepunkter!$C:$C,E3956+1))</f>
        <v/>
      </c>
      <c r="K3956" t="str">
        <f>IF(E3956="","",INDEX(Knutepunkter!$D:$D,E3956+1))</f>
        <v/>
      </c>
      <c r="L3956" t="str">
        <f t="shared" si="308"/>
        <v/>
      </c>
      <c r="M3956" t="str">
        <f t="shared" si="309"/>
        <v/>
      </c>
    </row>
    <row r="3957" spans="1:13" x14ac:dyDescent="0.3">
      <c r="A3957" t="str">
        <f>Segmenter!A3957</f>
        <v/>
      </c>
      <c r="B3957" t="str">
        <f>Segmenter!B3957</f>
        <v/>
      </c>
      <c r="C3957" t="str">
        <f t="shared" si="305"/>
        <v/>
      </c>
      <c r="D3957" t="str">
        <f t="shared" si="306"/>
        <v/>
      </c>
      <c r="E3957" t="str">
        <f t="shared" si="307"/>
        <v/>
      </c>
      <c r="F3957" t="str">
        <f>IF(D3957="","",INDEX(Knutepunkter!$B:$B,D3957+1))</f>
        <v/>
      </c>
      <c r="G3957" t="str">
        <f>IF(D3957="","",INDEX(Knutepunkter!$C:$C,D3957+1))</f>
        <v/>
      </c>
      <c r="H3957" t="str">
        <f>IF(D3957="","",INDEX(Knutepunkter!$D:$D,D3957+1))</f>
        <v/>
      </c>
      <c r="I3957" t="str">
        <f>IF(E3957="","",INDEX(Knutepunkter!$B:$B,E3957+1))</f>
        <v/>
      </c>
      <c r="J3957" t="str">
        <f>IF(E3957="","",INDEX(Knutepunkter!$C:$C,E3957+1))</f>
        <v/>
      </c>
      <c r="K3957" t="str">
        <f>IF(E3957="","",INDEX(Knutepunkter!$D:$D,E3957+1))</f>
        <v/>
      </c>
      <c r="L3957" t="str">
        <f t="shared" si="308"/>
        <v/>
      </c>
      <c r="M3957" t="str">
        <f t="shared" si="309"/>
        <v/>
      </c>
    </row>
    <row r="3958" spans="1:13" x14ac:dyDescent="0.3">
      <c r="A3958" t="str">
        <f>Segmenter!A3958</f>
        <v/>
      </c>
      <c r="B3958" t="str">
        <f>Segmenter!B3958</f>
        <v/>
      </c>
      <c r="C3958" t="str">
        <f t="shared" si="305"/>
        <v/>
      </c>
      <c r="D3958" t="str">
        <f t="shared" si="306"/>
        <v/>
      </c>
      <c r="E3958" t="str">
        <f t="shared" si="307"/>
        <v/>
      </c>
      <c r="F3958" t="str">
        <f>IF(D3958="","",INDEX(Knutepunkter!$B:$B,D3958+1))</f>
        <v/>
      </c>
      <c r="G3958" t="str">
        <f>IF(D3958="","",INDEX(Knutepunkter!$C:$C,D3958+1))</f>
        <v/>
      </c>
      <c r="H3958" t="str">
        <f>IF(D3958="","",INDEX(Knutepunkter!$D:$D,D3958+1))</f>
        <v/>
      </c>
      <c r="I3958" t="str">
        <f>IF(E3958="","",INDEX(Knutepunkter!$B:$B,E3958+1))</f>
        <v/>
      </c>
      <c r="J3958" t="str">
        <f>IF(E3958="","",INDEX(Knutepunkter!$C:$C,E3958+1))</f>
        <v/>
      </c>
      <c r="K3958" t="str">
        <f>IF(E3958="","",INDEX(Knutepunkter!$D:$D,E3958+1))</f>
        <v/>
      </c>
      <c r="L3958" t="str">
        <f t="shared" si="308"/>
        <v/>
      </c>
      <c r="M3958" t="str">
        <f t="shared" si="309"/>
        <v/>
      </c>
    </row>
    <row r="3959" spans="1:13" x14ac:dyDescent="0.3">
      <c r="A3959" t="str">
        <f>Segmenter!A3959</f>
        <v/>
      </c>
      <c r="B3959" t="str">
        <f>Segmenter!B3959</f>
        <v/>
      </c>
      <c r="C3959" t="str">
        <f t="shared" si="305"/>
        <v/>
      </c>
      <c r="D3959" t="str">
        <f t="shared" si="306"/>
        <v/>
      </c>
      <c r="E3959" t="str">
        <f t="shared" si="307"/>
        <v/>
      </c>
      <c r="F3959" t="str">
        <f>IF(D3959="","",INDEX(Knutepunkter!$B:$B,D3959+1))</f>
        <v/>
      </c>
      <c r="G3959" t="str">
        <f>IF(D3959="","",INDEX(Knutepunkter!$C:$C,D3959+1))</f>
        <v/>
      </c>
      <c r="H3959" t="str">
        <f>IF(D3959="","",INDEX(Knutepunkter!$D:$D,D3959+1))</f>
        <v/>
      </c>
      <c r="I3959" t="str">
        <f>IF(E3959="","",INDEX(Knutepunkter!$B:$B,E3959+1))</f>
        <v/>
      </c>
      <c r="J3959" t="str">
        <f>IF(E3959="","",INDEX(Knutepunkter!$C:$C,E3959+1))</f>
        <v/>
      </c>
      <c r="K3959" t="str">
        <f>IF(E3959="","",INDEX(Knutepunkter!$D:$D,E3959+1))</f>
        <v/>
      </c>
      <c r="L3959" t="str">
        <f t="shared" si="308"/>
        <v/>
      </c>
      <c r="M3959" t="str">
        <f t="shared" si="309"/>
        <v/>
      </c>
    </row>
    <row r="3960" spans="1:13" x14ac:dyDescent="0.3">
      <c r="A3960" t="str">
        <f>Segmenter!A3960</f>
        <v/>
      </c>
      <c r="B3960" t="str">
        <f>Segmenter!B3960</f>
        <v/>
      </c>
      <c r="C3960" t="str">
        <f t="shared" si="305"/>
        <v/>
      </c>
      <c r="D3960" t="str">
        <f t="shared" si="306"/>
        <v/>
      </c>
      <c r="E3960" t="str">
        <f t="shared" si="307"/>
        <v/>
      </c>
      <c r="F3960" t="str">
        <f>IF(D3960="","",INDEX(Knutepunkter!$B:$B,D3960+1))</f>
        <v/>
      </c>
      <c r="G3960" t="str">
        <f>IF(D3960="","",INDEX(Knutepunkter!$C:$C,D3960+1))</f>
        <v/>
      </c>
      <c r="H3960" t="str">
        <f>IF(D3960="","",INDEX(Knutepunkter!$D:$D,D3960+1))</f>
        <v/>
      </c>
      <c r="I3960" t="str">
        <f>IF(E3960="","",INDEX(Knutepunkter!$B:$B,E3960+1))</f>
        <v/>
      </c>
      <c r="J3960" t="str">
        <f>IF(E3960="","",INDEX(Knutepunkter!$C:$C,E3960+1))</f>
        <v/>
      </c>
      <c r="K3960" t="str">
        <f>IF(E3960="","",INDEX(Knutepunkter!$D:$D,E3960+1))</f>
        <v/>
      </c>
      <c r="L3960" t="str">
        <f t="shared" si="308"/>
        <v/>
      </c>
      <c r="M3960" t="str">
        <f t="shared" si="309"/>
        <v/>
      </c>
    </row>
    <row r="3961" spans="1:13" x14ac:dyDescent="0.3">
      <c r="A3961" t="str">
        <f>Segmenter!A3961</f>
        <v/>
      </c>
      <c r="B3961" t="str">
        <f>Segmenter!B3961</f>
        <v/>
      </c>
      <c r="C3961" t="str">
        <f t="shared" si="305"/>
        <v/>
      </c>
      <c r="D3961" t="str">
        <f t="shared" si="306"/>
        <v/>
      </c>
      <c r="E3961" t="str">
        <f t="shared" si="307"/>
        <v/>
      </c>
      <c r="F3961" t="str">
        <f>IF(D3961="","",INDEX(Knutepunkter!$B:$B,D3961+1))</f>
        <v/>
      </c>
      <c r="G3961" t="str">
        <f>IF(D3961="","",INDEX(Knutepunkter!$C:$C,D3961+1))</f>
        <v/>
      </c>
      <c r="H3961" t="str">
        <f>IF(D3961="","",INDEX(Knutepunkter!$D:$D,D3961+1))</f>
        <v/>
      </c>
      <c r="I3961" t="str">
        <f>IF(E3961="","",INDEX(Knutepunkter!$B:$B,E3961+1))</f>
        <v/>
      </c>
      <c r="J3961" t="str">
        <f>IF(E3961="","",INDEX(Knutepunkter!$C:$C,E3961+1))</f>
        <v/>
      </c>
      <c r="K3961" t="str">
        <f>IF(E3961="","",INDEX(Knutepunkter!$D:$D,E3961+1))</f>
        <v/>
      </c>
      <c r="L3961" t="str">
        <f t="shared" si="308"/>
        <v/>
      </c>
      <c r="M3961" t="str">
        <f t="shared" si="309"/>
        <v/>
      </c>
    </row>
    <row r="3962" spans="1:13" x14ac:dyDescent="0.3">
      <c r="A3962" t="str">
        <f>Segmenter!A3962</f>
        <v/>
      </c>
      <c r="B3962" t="str">
        <f>Segmenter!B3962</f>
        <v/>
      </c>
      <c r="C3962" t="str">
        <f t="shared" si="305"/>
        <v/>
      </c>
      <c r="D3962" t="str">
        <f t="shared" si="306"/>
        <v/>
      </c>
      <c r="E3962" t="str">
        <f t="shared" si="307"/>
        <v/>
      </c>
      <c r="F3962" t="str">
        <f>IF(D3962="","",INDEX(Knutepunkter!$B:$B,D3962+1))</f>
        <v/>
      </c>
      <c r="G3962" t="str">
        <f>IF(D3962="","",INDEX(Knutepunkter!$C:$C,D3962+1))</f>
        <v/>
      </c>
      <c r="H3962" t="str">
        <f>IF(D3962="","",INDEX(Knutepunkter!$D:$D,D3962+1))</f>
        <v/>
      </c>
      <c r="I3962" t="str">
        <f>IF(E3962="","",INDEX(Knutepunkter!$B:$B,E3962+1))</f>
        <v/>
      </c>
      <c r="J3962" t="str">
        <f>IF(E3962="","",INDEX(Knutepunkter!$C:$C,E3962+1))</f>
        <v/>
      </c>
      <c r="K3962" t="str">
        <f>IF(E3962="","",INDEX(Knutepunkter!$D:$D,E3962+1))</f>
        <v/>
      </c>
      <c r="L3962" t="str">
        <f t="shared" si="308"/>
        <v/>
      </c>
      <c r="M3962" t="str">
        <f t="shared" si="309"/>
        <v/>
      </c>
    </row>
    <row r="3963" spans="1:13" x14ac:dyDescent="0.3">
      <c r="A3963" t="str">
        <f>Segmenter!A3963</f>
        <v/>
      </c>
      <c r="B3963" t="str">
        <f>Segmenter!B3963</f>
        <v/>
      </c>
      <c r="C3963" t="str">
        <f t="shared" si="305"/>
        <v/>
      </c>
      <c r="D3963" t="str">
        <f t="shared" si="306"/>
        <v/>
      </c>
      <c r="E3963" t="str">
        <f t="shared" si="307"/>
        <v/>
      </c>
      <c r="F3963" t="str">
        <f>IF(D3963="","",INDEX(Knutepunkter!$B:$B,D3963+1))</f>
        <v/>
      </c>
      <c r="G3963" t="str">
        <f>IF(D3963="","",INDEX(Knutepunkter!$C:$C,D3963+1))</f>
        <v/>
      </c>
      <c r="H3963" t="str">
        <f>IF(D3963="","",INDEX(Knutepunkter!$D:$D,D3963+1))</f>
        <v/>
      </c>
      <c r="I3963" t="str">
        <f>IF(E3963="","",INDEX(Knutepunkter!$B:$B,E3963+1))</f>
        <v/>
      </c>
      <c r="J3963" t="str">
        <f>IF(E3963="","",INDEX(Knutepunkter!$C:$C,E3963+1))</f>
        <v/>
      </c>
      <c r="K3963" t="str">
        <f>IF(E3963="","",INDEX(Knutepunkter!$D:$D,E3963+1))</f>
        <v/>
      </c>
      <c r="L3963" t="str">
        <f t="shared" si="308"/>
        <v/>
      </c>
      <c r="M3963" t="str">
        <f t="shared" si="309"/>
        <v/>
      </c>
    </row>
    <row r="3964" spans="1:13" x14ac:dyDescent="0.3">
      <c r="A3964" t="str">
        <f>Segmenter!A3964</f>
        <v/>
      </c>
      <c r="B3964" t="str">
        <f>Segmenter!B3964</f>
        <v/>
      </c>
      <c r="C3964" t="str">
        <f t="shared" si="305"/>
        <v/>
      </c>
      <c r="D3964" t="str">
        <f t="shared" si="306"/>
        <v/>
      </c>
      <c r="E3964" t="str">
        <f t="shared" si="307"/>
        <v/>
      </c>
      <c r="F3964" t="str">
        <f>IF(D3964="","",INDEX(Knutepunkter!$B:$B,D3964+1))</f>
        <v/>
      </c>
      <c r="G3964" t="str">
        <f>IF(D3964="","",INDEX(Knutepunkter!$C:$C,D3964+1))</f>
        <v/>
      </c>
      <c r="H3964" t="str">
        <f>IF(D3964="","",INDEX(Knutepunkter!$D:$D,D3964+1))</f>
        <v/>
      </c>
      <c r="I3964" t="str">
        <f>IF(E3964="","",INDEX(Knutepunkter!$B:$B,E3964+1))</f>
        <v/>
      </c>
      <c r="J3964" t="str">
        <f>IF(E3964="","",INDEX(Knutepunkter!$C:$C,E3964+1))</f>
        <v/>
      </c>
      <c r="K3964" t="str">
        <f>IF(E3964="","",INDEX(Knutepunkter!$D:$D,E3964+1))</f>
        <v/>
      </c>
      <c r="L3964" t="str">
        <f t="shared" si="308"/>
        <v/>
      </c>
      <c r="M3964" t="str">
        <f t="shared" si="309"/>
        <v/>
      </c>
    </row>
    <row r="3965" spans="1:13" x14ac:dyDescent="0.3">
      <c r="A3965" t="str">
        <f>Segmenter!A3965</f>
        <v/>
      </c>
      <c r="B3965" t="str">
        <f>Segmenter!B3965</f>
        <v/>
      </c>
      <c r="C3965" t="str">
        <f t="shared" si="305"/>
        <v/>
      </c>
      <c r="D3965" t="str">
        <f t="shared" si="306"/>
        <v/>
      </c>
      <c r="E3965" t="str">
        <f t="shared" si="307"/>
        <v/>
      </c>
      <c r="F3965" t="str">
        <f>IF(D3965="","",INDEX(Knutepunkter!$B:$B,D3965+1))</f>
        <v/>
      </c>
      <c r="G3965" t="str">
        <f>IF(D3965="","",INDEX(Knutepunkter!$C:$C,D3965+1))</f>
        <v/>
      </c>
      <c r="H3965" t="str">
        <f>IF(D3965="","",INDEX(Knutepunkter!$D:$D,D3965+1))</f>
        <v/>
      </c>
      <c r="I3965" t="str">
        <f>IF(E3965="","",INDEX(Knutepunkter!$B:$B,E3965+1))</f>
        <v/>
      </c>
      <c r="J3965" t="str">
        <f>IF(E3965="","",INDEX(Knutepunkter!$C:$C,E3965+1))</f>
        <v/>
      </c>
      <c r="K3965" t="str">
        <f>IF(E3965="","",INDEX(Knutepunkter!$D:$D,E3965+1))</f>
        <v/>
      </c>
      <c r="L3965" t="str">
        <f t="shared" si="308"/>
        <v/>
      </c>
      <c r="M3965" t="str">
        <f t="shared" si="309"/>
        <v/>
      </c>
    </row>
    <row r="3966" spans="1:13" x14ac:dyDescent="0.3">
      <c r="A3966" t="str">
        <f>Segmenter!A3966</f>
        <v/>
      </c>
      <c r="B3966" t="str">
        <f>Segmenter!B3966</f>
        <v/>
      </c>
      <c r="C3966" t="str">
        <f t="shared" si="305"/>
        <v/>
      </c>
      <c r="D3966" t="str">
        <f t="shared" si="306"/>
        <v/>
      </c>
      <c r="E3966" t="str">
        <f t="shared" si="307"/>
        <v/>
      </c>
      <c r="F3966" t="str">
        <f>IF(D3966="","",INDEX(Knutepunkter!$B:$B,D3966+1))</f>
        <v/>
      </c>
      <c r="G3966" t="str">
        <f>IF(D3966="","",INDEX(Knutepunkter!$C:$C,D3966+1))</f>
        <v/>
      </c>
      <c r="H3966" t="str">
        <f>IF(D3966="","",INDEX(Knutepunkter!$D:$D,D3966+1))</f>
        <v/>
      </c>
      <c r="I3966" t="str">
        <f>IF(E3966="","",INDEX(Knutepunkter!$B:$B,E3966+1))</f>
        <v/>
      </c>
      <c r="J3966" t="str">
        <f>IF(E3966="","",INDEX(Knutepunkter!$C:$C,E3966+1))</f>
        <v/>
      </c>
      <c r="K3966" t="str">
        <f>IF(E3966="","",INDEX(Knutepunkter!$D:$D,E3966+1))</f>
        <v/>
      </c>
      <c r="L3966" t="str">
        <f t="shared" si="308"/>
        <v/>
      </c>
      <c r="M3966" t="str">
        <f t="shared" si="309"/>
        <v/>
      </c>
    </row>
    <row r="3967" spans="1:13" x14ac:dyDescent="0.3">
      <c r="A3967" t="str">
        <f>Segmenter!A3967</f>
        <v/>
      </c>
      <c r="B3967" t="str">
        <f>Segmenter!B3967</f>
        <v/>
      </c>
      <c r="C3967" t="str">
        <f t="shared" si="305"/>
        <v/>
      </c>
      <c r="D3967" t="str">
        <f t="shared" si="306"/>
        <v/>
      </c>
      <c r="E3967" t="str">
        <f t="shared" si="307"/>
        <v/>
      </c>
      <c r="F3967" t="str">
        <f>IF(D3967="","",INDEX(Knutepunkter!$B:$B,D3967+1))</f>
        <v/>
      </c>
      <c r="G3967" t="str">
        <f>IF(D3967="","",INDEX(Knutepunkter!$C:$C,D3967+1))</f>
        <v/>
      </c>
      <c r="H3967" t="str">
        <f>IF(D3967="","",INDEX(Knutepunkter!$D:$D,D3967+1))</f>
        <v/>
      </c>
      <c r="I3967" t="str">
        <f>IF(E3967="","",INDEX(Knutepunkter!$B:$B,E3967+1))</f>
        <v/>
      </c>
      <c r="J3967" t="str">
        <f>IF(E3967="","",INDEX(Knutepunkter!$C:$C,E3967+1))</f>
        <v/>
      </c>
      <c r="K3967" t="str">
        <f>IF(E3967="","",INDEX(Knutepunkter!$D:$D,E3967+1))</f>
        <v/>
      </c>
      <c r="L3967" t="str">
        <f t="shared" si="308"/>
        <v/>
      </c>
      <c r="M3967" t="str">
        <f t="shared" si="309"/>
        <v/>
      </c>
    </row>
    <row r="3968" spans="1:13" x14ac:dyDescent="0.3">
      <c r="A3968" t="str">
        <f>Segmenter!A3968</f>
        <v/>
      </c>
      <c r="B3968" t="str">
        <f>Segmenter!B3968</f>
        <v/>
      </c>
      <c r="C3968" t="str">
        <f t="shared" si="305"/>
        <v/>
      </c>
      <c r="D3968" t="str">
        <f t="shared" si="306"/>
        <v/>
      </c>
      <c r="E3968" t="str">
        <f t="shared" si="307"/>
        <v/>
      </c>
      <c r="F3968" t="str">
        <f>IF(D3968="","",INDEX(Knutepunkter!$B:$B,D3968+1))</f>
        <v/>
      </c>
      <c r="G3968" t="str">
        <f>IF(D3968="","",INDEX(Knutepunkter!$C:$C,D3968+1))</f>
        <v/>
      </c>
      <c r="H3968" t="str">
        <f>IF(D3968="","",INDEX(Knutepunkter!$D:$D,D3968+1))</f>
        <v/>
      </c>
      <c r="I3968" t="str">
        <f>IF(E3968="","",INDEX(Knutepunkter!$B:$B,E3968+1))</f>
        <v/>
      </c>
      <c r="J3968" t="str">
        <f>IF(E3968="","",INDEX(Knutepunkter!$C:$C,E3968+1))</f>
        <v/>
      </c>
      <c r="K3968" t="str">
        <f>IF(E3968="","",INDEX(Knutepunkter!$D:$D,E3968+1))</f>
        <v/>
      </c>
      <c r="L3968" t="str">
        <f t="shared" si="308"/>
        <v/>
      </c>
      <c r="M3968" t="str">
        <f t="shared" si="309"/>
        <v/>
      </c>
    </row>
    <row r="3969" spans="1:13" x14ac:dyDescent="0.3">
      <c r="A3969" t="str">
        <f>Segmenter!A3969</f>
        <v/>
      </c>
      <c r="B3969" t="str">
        <f>Segmenter!B3969</f>
        <v/>
      </c>
      <c r="C3969" t="str">
        <f t="shared" si="305"/>
        <v/>
      </c>
      <c r="D3969" t="str">
        <f t="shared" si="306"/>
        <v/>
      </c>
      <c r="E3969" t="str">
        <f t="shared" si="307"/>
        <v/>
      </c>
      <c r="F3969" t="str">
        <f>IF(D3969="","",INDEX(Knutepunkter!$B:$B,D3969+1))</f>
        <v/>
      </c>
      <c r="G3969" t="str">
        <f>IF(D3969="","",INDEX(Knutepunkter!$C:$C,D3969+1))</f>
        <v/>
      </c>
      <c r="H3969" t="str">
        <f>IF(D3969="","",INDEX(Knutepunkter!$D:$D,D3969+1))</f>
        <v/>
      </c>
      <c r="I3969" t="str">
        <f>IF(E3969="","",INDEX(Knutepunkter!$B:$B,E3969+1))</f>
        <v/>
      </c>
      <c r="J3969" t="str">
        <f>IF(E3969="","",INDEX(Knutepunkter!$C:$C,E3969+1))</f>
        <v/>
      </c>
      <c r="K3969" t="str">
        <f>IF(E3969="","",INDEX(Knutepunkter!$D:$D,E3969+1))</f>
        <v/>
      </c>
      <c r="L3969" t="str">
        <f t="shared" si="308"/>
        <v/>
      </c>
      <c r="M3969" t="str">
        <f t="shared" si="309"/>
        <v/>
      </c>
    </row>
    <row r="3970" spans="1:13" x14ac:dyDescent="0.3">
      <c r="A3970" t="str">
        <f>Segmenter!A3970</f>
        <v/>
      </c>
      <c r="B3970" t="str">
        <f>Segmenter!B3970</f>
        <v/>
      </c>
      <c r="C3970" t="str">
        <f t="shared" ref="C3970:C4033" si="310">IF(B3970="","",IF(AND(F3970=I3970,G3970=J3970,H3970&lt;&gt;K3970),"Søyle","Bjelke"))</f>
        <v/>
      </c>
      <c r="D3970" t="str">
        <f t="shared" ref="D3970:D4033" si="311">IF(B3970="","",VALUE(LEFT(B3970,FIND(" -&gt; ",B3970)-1)))</f>
        <v/>
      </c>
      <c r="E3970" t="str">
        <f t="shared" ref="E3970:E4033" si="312">IF(B3970="","",VALUE(MID(B3970,FIND(" -&gt; ",B3970)+4,99)))</f>
        <v/>
      </c>
      <c r="F3970" t="str">
        <f>IF(D3970="","",INDEX(Knutepunkter!$B:$B,D3970+1))</f>
        <v/>
      </c>
      <c r="G3970" t="str">
        <f>IF(D3970="","",INDEX(Knutepunkter!$C:$C,D3970+1))</f>
        <v/>
      </c>
      <c r="H3970" t="str">
        <f>IF(D3970="","",INDEX(Knutepunkter!$D:$D,D3970+1))</f>
        <v/>
      </c>
      <c r="I3970" t="str">
        <f>IF(E3970="","",INDEX(Knutepunkter!$B:$B,E3970+1))</f>
        <v/>
      </c>
      <c r="J3970" t="str">
        <f>IF(E3970="","",INDEX(Knutepunkter!$C:$C,E3970+1))</f>
        <v/>
      </c>
      <c r="K3970" t="str">
        <f>IF(E3970="","",INDEX(Knutepunkter!$D:$D,E3970+1))</f>
        <v/>
      </c>
      <c r="L3970" t="str">
        <f t="shared" ref="L3970:L4033" si="313">IF(B3970="","",SQRT((I3970-F3970)^2+(J3970-G3970)^2+(K3970-H3970)^2))</f>
        <v/>
      </c>
      <c r="M3970" t="str">
        <f t="shared" ref="M3970:M4033" si="314">IF(L3970="","",L3970/1000)</f>
        <v/>
      </c>
    </row>
    <row r="3971" spans="1:13" x14ac:dyDescent="0.3">
      <c r="A3971" t="str">
        <f>Segmenter!A3971</f>
        <v/>
      </c>
      <c r="B3971" t="str">
        <f>Segmenter!B3971</f>
        <v/>
      </c>
      <c r="C3971" t="str">
        <f t="shared" si="310"/>
        <v/>
      </c>
      <c r="D3971" t="str">
        <f t="shared" si="311"/>
        <v/>
      </c>
      <c r="E3971" t="str">
        <f t="shared" si="312"/>
        <v/>
      </c>
      <c r="F3971" t="str">
        <f>IF(D3971="","",INDEX(Knutepunkter!$B:$B,D3971+1))</f>
        <v/>
      </c>
      <c r="G3971" t="str">
        <f>IF(D3971="","",INDEX(Knutepunkter!$C:$C,D3971+1))</f>
        <v/>
      </c>
      <c r="H3971" t="str">
        <f>IF(D3971="","",INDEX(Knutepunkter!$D:$D,D3971+1))</f>
        <v/>
      </c>
      <c r="I3971" t="str">
        <f>IF(E3971="","",INDEX(Knutepunkter!$B:$B,E3971+1))</f>
        <v/>
      </c>
      <c r="J3971" t="str">
        <f>IF(E3971="","",INDEX(Knutepunkter!$C:$C,E3971+1))</f>
        <v/>
      </c>
      <c r="K3971" t="str">
        <f>IF(E3971="","",INDEX(Knutepunkter!$D:$D,E3971+1))</f>
        <v/>
      </c>
      <c r="L3971" t="str">
        <f t="shared" si="313"/>
        <v/>
      </c>
      <c r="M3971" t="str">
        <f t="shared" si="314"/>
        <v/>
      </c>
    </row>
    <row r="3972" spans="1:13" x14ac:dyDescent="0.3">
      <c r="A3972" t="str">
        <f>Segmenter!A3972</f>
        <v/>
      </c>
      <c r="B3972" t="str">
        <f>Segmenter!B3972</f>
        <v/>
      </c>
      <c r="C3972" t="str">
        <f t="shared" si="310"/>
        <v/>
      </c>
      <c r="D3972" t="str">
        <f t="shared" si="311"/>
        <v/>
      </c>
      <c r="E3972" t="str">
        <f t="shared" si="312"/>
        <v/>
      </c>
      <c r="F3972" t="str">
        <f>IF(D3972="","",INDEX(Knutepunkter!$B:$B,D3972+1))</f>
        <v/>
      </c>
      <c r="G3972" t="str">
        <f>IF(D3972="","",INDEX(Knutepunkter!$C:$C,D3972+1))</f>
        <v/>
      </c>
      <c r="H3972" t="str">
        <f>IF(D3972="","",INDEX(Knutepunkter!$D:$D,D3972+1))</f>
        <v/>
      </c>
      <c r="I3972" t="str">
        <f>IF(E3972="","",INDEX(Knutepunkter!$B:$B,E3972+1))</f>
        <v/>
      </c>
      <c r="J3972" t="str">
        <f>IF(E3972="","",INDEX(Knutepunkter!$C:$C,E3972+1))</f>
        <v/>
      </c>
      <c r="K3972" t="str">
        <f>IF(E3972="","",INDEX(Knutepunkter!$D:$D,E3972+1))</f>
        <v/>
      </c>
      <c r="L3972" t="str">
        <f t="shared" si="313"/>
        <v/>
      </c>
      <c r="M3972" t="str">
        <f t="shared" si="314"/>
        <v/>
      </c>
    </row>
    <row r="3973" spans="1:13" x14ac:dyDescent="0.3">
      <c r="A3973" t="str">
        <f>Segmenter!A3973</f>
        <v/>
      </c>
      <c r="B3973" t="str">
        <f>Segmenter!B3973</f>
        <v/>
      </c>
      <c r="C3973" t="str">
        <f t="shared" si="310"/>
        <v/>
      </c>
      <c r="D3973" t="str">
        <f t="shared" si="311"/>
        <v/>
      </c>
      <c r="E3973" t="str">
        <f t="shared" si="312"/>
        <v/>
      </c>
      <c r="F3973" t="str">
        <f>IF(D3973="","",INDEX(Knutepunkter!$B:$B,D3973+1))</f>
        <v/>
      </c>
      <c r="G3973" t="str">
        <f>IF(D3973="","",INDEX(Knutepunkter!$C:$C,D3973+1))</f>
        <v/>
      </c>
      <c r="H3973" t="str">
        <f>IF(D3973="","",INDEX(Knutepunkter!$D:$D,D3973+1))</f>
        <v/>
      </c>
      <c r="I3973" t="str">
        <f>IF(E3973="","",INDEX(Knutepunkter!$B:$B,E3973+1))</f>
        <v/>
      </c>
      <c r="J3973" t="str">
        <f>IF(E3973="","",INDEX(Knutepunkter!$C:$C,E3973+1))</f>
        <v/>
      </c>
      <c r="K3973" t="str">
        <f>IF(E3973="","",INDEX(Knutepunkter!$D:$D,E3973+1))</f>
        <v/>
      </c>
      <c r="L3973" t="str">
        <f t="shared" si="313"/>
        <v/>
      </c>
      <c r="M3973" t="str">
        <f t="shared" si="314"/>
        <v/>
      </c>
    </row>
    <row r="3974" spans="1:13" x14ac:dyDescent="0.3">
      <c r="A3974" t="str">
        <f>Segmenter!A3974</f>
        <v/>
      </c>
      <c r="B3974" t="str">
        <f>Segmenter!B3974</f>
        <v/>
      </c>
      <c r="C3974" t="str">
        <f t="shared" si="310"/>
        <v/>
      </c>
      <c r="D3974" t="str">
        <f t="shared" si="311"/>
        <v/>
      </c>
      <c r="E3974" t="str">
        <f t="shared" si="312"/>
        <v/>
      </c>
      <c r="F3974" t="str">
        <f>IF(D3974="","",INDEX(Knutepunkter!$B:$B,D3974+1))</f>
        <v/>
      </c>
      <c r="G3974" t="str">
        <f>IF(D3974="","",INDEX(Knutepunkter!$C:$C,D3974+1))</f>
        <v/>
      </c>
      <c r="H3974" t="str">
        <f>IF(D3974="","",INDEX(Knutepunkter!$D:$D,D3974+1))</f>
        <v/>
      </c>
      <c r="I3974" t="str">
        <f>IF(E3974="","",INDEX(Knutepunkter!$B:$B,E3974+1))</f>
        <v/>
      </c>
      <c r="J3974" t="str">
        <f>IF(E3974="","",INDEX(Knutepunkter!$C:$C,E3974+1))</f>
        <v/>
      </c>
      <c r="K3974" t="str">
        <f>IF(E3974="","",INDEX(Knutepunkter!$D:$D,E3974+1))</f>
        <v/>
      </c>
      <c r="L3974" t="str">
        <f t="shared" si="313"/>
        <v/>
      </c>
      <c r="M3974" t="str">
        <f t="shared" si="314"/>
        <v/>
      </c>
    </row>
    <row r="3975" spans="1:13" x14ac:dyDescent="0.3">
      <c r="A3975" t="str">
        <f>Segmenter!A3975</f>
        <v/>
      </c>
      <c r="B3975" t="str">
        <f>Segmenter!B3975</f>
        <v/>
      </c>
      <c r="C3975" t="str">
        <f t="shared" si="310"/>
        <v/>
      </c>
      <c r="D3975" t="str">
        <f t="shared" si="311"/>
        <v/>
      </c>
      <c r="E3975" t="str">
        <f t="shared" si="312"/>
        <v/>
      </c>
      <c r="F3975" t="str">
        <f>IF(D3975="","",INDEX(Knutepunkter!$B:$B,D3975+1))</f>
        <v/>
      </c>
      <c r="G3975" t="str">
        <f>IF(D3975="","",INDEX(Knutepunkter!$C:$C,D3975+1))</f>
        <v/>
      </c>
      <c r="H3975" t="str">
        <f>IF(D3975="","",INDEX(Knutepunkter!$D:$D,D3975+1))</f>
        <v/>
      </c>
      <c r="I3975" t="str">
        <f>IF(E3975="","",INDEX(Knutepunkter!$B:$B,E3975+1))</f>
        <v/>
      </c>
      <c r="J3975" t="str">
        <f>IF(E3975="","",INDEX(Knutepunkter!$C:$C,E3975+1))</f>
        <v/>
      </c>
      <c r="K3975" t="str">
        <f>IF(E3975="","",INDEX(Knutepunkter!$D:$D,E3975+1))</f>
        <v/>
      </c>
      <c r="L3975" t="str">
        <f t="shared" si="313"/>
        <v/>
      </c>
      <c r="M3975" t="str">
        <f t="shared" si="314"/>
        <v/>
      </c>
    </row>
    <row r="3976" spans="1:13" x14ac:dyDescent="0.3">
      <c r="A3976" t="str">
        <f>Segmenter!A3976</f>
        <v/>
      </c>
      <c r="B3976" t="str">
        <f>Segmenter!B3976</f>
        <v/>
      </c>
      <c r="C3976" t="str">
        <f t="shared" si="310"/>
        <v/>
      </c>
      <c r="D3976" t="str">
        <f t="shared" si="311"/>
        <v/>
      </c>
      <c r="E3976" t="str">
        <f t="shared" si="312"/>
        <v/>
      </c>
      <c r="F3976" t="str">
        <f>IF(D3976="","",INDEX(Knutepunkter!$B:$B,D3976+1))</f>
        <v/>
      </c>
      <c r="G3976" t="str">
        <f>IF(D3976="","",INDEX(Knutepunkter!$C:$C,D3976+1))</f>
        <v/>
      </c>
      <c r="H3976" t="str">
        <f>IF(D3976="","",INDEX(Knutepunkter!$D:$D,D3976+1))</f>
        <v/>
      </c>
      <c r="I3976" t="str">
        <f>IF(E3976="","",INDEX(Knutepunkter!$B:$B,E3976+1))</f>
        <v/>
      </c>
      <c r="J3976" t="str">
        <f>IF(E3976="","",INDEX(Knutepunkter!$C:$C,E3976+1))</f>
        <v/>
      </c>
      <c r="K3976" t="str">
        <f>IF(E3976="","",INDEX(Knutepunkter!$D:$D,E3976+1))</f>
        <v/>
      </c>
      <c r="L3976" t="str">
        <f t="shared" si="313"/>
        <v/>
      </c>
      <c r="M3976" t="str">
        <f t="shared" si="314"/>
        <v/>
      </c>
    </row>
    <row r="3977" spans="1:13" x14ac:dyDescent="0.3">
      <c r="A3977" t="str">
        <f>Segmenter!A3977</f>
        <v/>
      </c>
      <c r="B3977" t="str">
        <f>Segmenter!B3977</f>
        <v/>
      </c>
      <c r="C3977" t="str">
        <f t="shared" si="310"/>
        <v/>
      </c>
      <c r="D3977" t="str">
        <f t="shared" si="311"/>
        <v/>
      </c>
      <c r="E3977" t="str">
        <f t="shared" si="312"/>
        <v/>
      </c>
      <c r="F3977" t="str">
        <f>IF(D3977="","",INDEX(Knutepunkter!$B:$B,D3977+1))</f>
        <v/>
      </c>
      <c r="G3977" t="str">
        <f>IF(D3977="","",INDEX(Knutepunkter!$C:$C,D3977+1))</f>
        <v/>
      </c>
      <c r="H3977" t="str">
        <f>IF(D3977="","",INDEX(Knutepunkter!$D:$D,D3977+1))</f>
        <v/>
      </c>
      <c r="I3977" t="str">
        <f>IF(E3977="","",INDEX(Knutepunkter!$B:$B,E3977+1))</f>
        <v/>
      </c>
      <c r="J3977" t="str">
        <f>IF(E3977="","",INDEX(Knutepunkter!$C:$C,E3977+1))</f>
        <v/>
      </c>
      <c r="K3977" t="str">
        <f>IF(E3977="","",INDEX(Knutepunkter!$D:$D,E3977+1))</f>
        <v/>
      </c>
      <c r="L3977" t="str">
        <f t="shared" si="313"/>
        <v/>
      </c>
      <c r="M3977" t="str">
        <f t="shared" si="314"/>
        <v/>
      </c>
    </row>
    <row r="3978" spans="1:13" x14ac:dyDescent="0.3">
      <c r="A3978" t="str">
        <f>Segmenter!A3978</f>
        <v/>
      </c>
      <c r="B3978" t="str">
        <f>Segmenter!B3978</f>
        <v/>
      </c>
      <c r="C3978" t="str">
        <f t="shared" si="310"/>
        <v/>
      </c>
      <c r="D3978" t="str">
        <f t="shared" si="311"/>
        <v/>
      </c>
      <c r="E3978" t="str">
        <f t="shared" si="312"/>
        <v/>
      </c>
      <c r="F3978" t="str">
        <f>IF(D3978="","",INDEX(Knutepunkter!$B:$B,D3978+1))</f>
        <v/>
      </c>
      <c r="G3978" t="str">
        <f>IF(D3978="","",INDEX(Knutepunkter!$C:$C,D3978+1))</f>
        <v/>
      </c>
      <c r="H3978" t="str">
        <f>IF(D3978="","",INDEX(Knutepunkter!$D:$D,D3978+1))</f>
        <v/>
      </c>
      <c r="I3978" t="str">
        <f>IF(E3978="","",INDEX(Knutepunkter!$B:$B,E3978+1))</f>
        <v/>
      </c>
      <c r="J3978" t="str">
        <f>IF(E3978="","",INDEX(Knutepunkter!$C:$C,E3978+1))</f>
        <v/>
      </c>
      <c r="K3978" t="str">
        <f>IF(E3978="","",INDEX(Knutepunkter!$D:$D,E3978+1))</f>
        <v/>
      </c>
      <c r="L3978" t="str">
        <f t="shared" si="313"/>
        <v/>
      </c>
      <c r="M3978" t="str">
        <f t="shared" si="314"/>
        <v/>
      </c>
    </row>
    <row r="3979" spans="1:13" x14ac:dyDescent="0.3">
      <c r="A3979" t="str">
        <f>Segmenter!A3979</f>
        <v/>
      </c>
      <c r="B3979" t="str">
        <f>Segmenter!B3979</f>
        <v/>
      </c>
      <c r="C3979" t="str">
        <f t="shared" si="310"/>
        <v/>
      </c>
      <c r="D3979" t="str">
        <f t="shared" si="311"/>
        <v/>
      </c>
      <c r="E3979" t="str">
        <f t="shared" si="312"/>
        <v/>
      </c>
      <c r="F3979" t="str">
        <f>IF(D3979="","",INDEX(Knutepunkter!$B:$B,D3979+1))</f>
        <v/>
      </c>
      <c r="G3979" t="str">
        <f>IF(D3979="","",INDEX(Knutepunkter!$C:$C,D3979+1))</f>
        <v/>
      </c>
      <c r="H3979" t="str">
        <f>IF(D3979="","",INDEX(Knutepunkter!$D:$D,D3979+1))</f>
        <v/>
      </c>
      <c r="I3979" t="str">
        <f>IF(E3979="","",INDEX(Knutepunkter!$B:$B,E3979+1))</f>
        <v/>
      </c>
      <c r="J3979" t="str">
        <f>IF(E3979="","",INDEX(Knutepunkter!$C:$C,E3979+1))</f>
        <v/>
      </c>
      <c r="K3979" t="str">
        <f>IF(E3979="","",INDEX(Knutepunkter!$D:$D,E3979+1))</f>
        <v/>
      </c>
      <c r="L3979" t="str">
        <f t="shared" si="313"/>
        <v/>
      </c>
      <c r="M3979" t="str">
        <f t="shared" si="314"/>
        <v/>
      </c>
    </row>
    <row r="3980" spans="1:13" x14ac:dyDescent="0.3">
      <c r="A3980" t="str">
        <f>Segmenter!A3980</f>
        <v/>
      </c>
      <c r="B3980" t="str">
        <f>Segmenter!B3980</f>
        <v/>
      </c>
      <c r="C3980" t="str">
        <f t="shared" si="310"/>
        <v/>
      </c>
      <c r="D3980" t="str">
        <f t="shared" si="311"/>
        <v/>
      </c>
      <c r="E3980" t="str">
        <f t="shared" si="312"/>
        <v/>
      </c>
      <c r="F3980" t="str">
        <f>IF(D3980="","",INDEX(Knutepunkter!$B:$B,D3980+1))</f>
        <v/>
      </c>
      <c r="G3980" t="str">
        <f>IF(D3980="","",INDEX(Knutepunkter!$C:$C,D3980+1))</f>
        <v/>
      </c>
      <c r="H3980" t="str">
        <f>IF(D3980="","",INDEX(Knutepunkter!$D:$D,D3980+1))</f>
        <v/>
      </c>
      <c r="I3980" t="str">
        <f>IF(E3980="","",INDEX(Knutepunkter!$B:$B,E3980+1))</f>
        <v/>
      </c>
      <c r="J3980" t="str">
        <f>IF(E3980="","",INDEX(Knutepunkter!$C:$C,E3980+1))</f>
        <v/>
      </c>
      <c r="K3980" t="str">
        <f>IF(E3980="","",INDEX(Knutepunkter!$D:$D,E3980+1))</f>
        <v/>
      </c>
      <c r="L3980" t="str">
        <f t="shared" si="313"/>
        <v/>
      </c>
      <c r="M3980" t="str">
        <f t="shared" si="314"/>
        <v/>
      </c>
    </row>
    <row r="3981" spans="1:13" x14ac:dyDescent="0.3">
      <c r="A3981" t="str">
        <f>Segmenter!A3981</f>
        <v/>
      </c>
      <c r="B3981" t="str">
        <f>Segmenter!B3981</f>
        <v/>
      </c>
      <c r="C3981" t="str">
        <f t="shared" si="310"/>
        <v/>
      </c>
      <c r="D3981" t="str">
        <f t="shared" si="311"/>
        <v/>
      </c>
      <c r="E3981" t="str">
        <f t="shared" si="312"/>
        <v/>
      </c>
      <c r="F3981" t="str">
        <f>IF(D3981="","",INDEX(Knutepunkter!$B:$B,D3981+1))</f>
        <v/>
      </c>
      <c r="G3981" t="str">
        <f>IF(D3981="","",INDEX(Knutepunkter!$C:$C,D3981+1))</f>
        <v/>
      </c>
      <c r="H3981" t="str">
        <f>IF(D3981="","",INDEX(Knutepunkter!$D:$D,D3981+1))</f>
        <v/>
      </c>
      <c r="I3981" t="str">
        <f>IF(E3981="","",INDEX(Knutepunkter!$B:$B,E3981+1))</f>
        <v/>
      </c>
      <c r="J3981" t="str">
        <f>IF(E3981="","",INDEX(Knutepunkter!$C:$C,E3981+1))</f>
        <v/>
      </c>
      <c r="K3981" t="str">
        <f>IF(E3981="","",INDEX(Knutepunkter!$D:$D,E3981+1))</f>
        <v/>
      </c>
      <c r="L3981" t="str">
        <f t="shared" si="313"/>
        <v/>
      </c>
      <c r="M3981" t="str">
        <f t="shared" si="314"/>
        <v/>
      </c>
    </row>
    <row r="3982" spans="1:13" x14ac:dyDescent="0.3">
      <c r="A3982" t="str">
        <f>Segmenter!A3982</f>
        <v/>
      </c>
      <c r="B3982" t="str">
        <f>Segmenter!B3982</f>
        <v/>
      </c>
      <c r="C3982" t="str">
        <f t="shared" si="310"/>
        <v/>
      </c>
      <c r="D3982" t="str">
        <f t="shared" si="311"/>
        <v/>
      </c>
      <c r="E3982" t="str">
        <f t="shared" si="312"/>
        <v/>
      </c>
      <c r="F3982" t="str">
        <f>IF(D3982="","",INDEX(Knutepunkter!$B:$B,D3982+1))</f>
        <v/>
      </c>
      <c r="G3982" t="str">
        <f>IF(D3982="","",INDEX(Knutepunkter!$C:$C,D3982+1))</f>
        <v/>
      </c>
      <c r="H3982" t="str">
        <f>IF(D3982="","",INDEX(Knutepunkter!$D:$D,D3982+1))</f>
        <v/>
      </c>
      <c r="I3982" t="str">
        <f>IF(E3982="","",INDEX(Knutepunkter!$B:$B,E3982+1))</f>
        <v/>
      </c>
      <c r="J3982" t="str">
        <f>IF(E3982="","",INDEX(Knutepunkter!$C:$C,E3982+1))</f>
        <v/>
      </c>
      <c r="K3982" t="str">
        <f>IF(E3982="","",INDEX(Knutepunkter!$D:$D,E3982+1))</f>
        <v/>
      </c>
      <c r="L3982" t="str">
        <f t="shared" si="313"/>
        <v/>
      </c>
      <c r="M3982" t="str">
        <f t="shared" si="314"/>
        <v/>
      </c>
    </row>
    <row r="3983" spans="1:13" x14ac:dyDescent="0.3">
      <c r="A3983" t="str">
        <f>Segmenter!A3983</f>
        <v/>
      </c>
      <c r="B3983" t="str">
        <f>Segmenter!B3983</f>
        <v/>
      </c>
      <c r="C3983" t="str">
        <f t="shared" si="310"/>
        <v/>
      </c>
      <c r="D3983" t="str">
        <f t="shared" si="311"/>
        <v/>
      </c>
      <c r="E3983" t="str">
        <f t="shared" si="312"/>
        <v/>
      </c>
      <c r="F3983" t="str">
        <f>IF(D3983="","",INDEX(Knutepunkter!$B:$B,D3983+1))</f>
        <v/>
      </c>
      <c r="G3983" t="str">
        <f>IF(D3983="","",INDEX(Knutepunkter!$C:$C,D3983+1))</f>
        <v/>
      </c>
      <c r="H3983" t="str">
        <f>IF(D3983="","",INDEX(Knutepunkter!$D:$D,D3983+1))</f>
        <v/>
      </c>
      <c r="I3983" t="str">
        <f>IF(E3983="","",INDEX(Knutepunkter!$B:$B,E3983+1))</f>
        <v/>
      </c>
      <c r="J3983" t="str">
        <f>IF(E3983="","",INDEX(Knutepunkter!$C:$C,E3983+1))</f>
        <v/>
      </c>
      <c r="K3983" t="str">
        <f>IF(E3983="","",INDEX(Knutepunkter!$D:$D,E3983+1))</f>
        <v/>
      </c>
      <c r="L3983" t="str">
        <f t="shared" si="313"/>
        <v/>
      </c>
      <c r="M3983" t="str">
        <f t="shared" si="314"/>
        <v/>
      </c>
    </row>
    <row r="3984" spans="1:13" x14ac:dyDescent="0.3">
      <c r="A3984" t="str">
        <f>Segmenter!A3984</f>
        <v/>
      </c>
      <c r="B3984" t="str">
        <f>Segmenter!B3984</f>
        <v/>
      </c>
      <c r="C3984" t="str">
        <f t="shared" si="310"/>
        <v/>
      </c>
      <c r="D3984" t="str">
        <f t="shared" si="311"/>
        <v/>
      </c>
      <c r="E3984" t="str">
        <f t="shared" si="312"/>
        <v/>
      </c>
      <c r="F3984" t="str">
        <f>IF(D3984="","",INDEX(Knutepunkter!$B:$B,D3984+1))</f>
        <v/>
      </c>
      <c r="G3984" t="str">
        <f>IF(D3984="","",INDEX(Knutepunkter!$C:$C,D3984+1))</f>
        <v/>
      </c>
      <c r="H3984" t="str">
        <f>IF(D3984="","",INDEX(Knutepunkter!$D:$D,D3984+1))</f>
        <v/>
      </c>
      <c r="I3984" t="str">
        <f>IF(E3984="","",INDEX(Knutepunkter!$B:$B,E3984+1))</f>
        <v/>
      </c>
      <c r="J3984" t="str">
        <f>IF(E3984="","",INDEX(Knutepunkter!$C:$C,E3984+1))</f>
        <v/>
      </c>
      <c r="K3984" t="str">
        <f>IF(E3984="","",INDEX(Knutepunkter!$D:$D,E3984+1))</f>
        <v/>
      </c>
      <c r="L3984" t="str">
        <f t="shared" si="313"/>
        <v/>
      </c>
      <c r="M3984" t="str">
        <f t="shared" si="314"/>
        <v/>
      </c>
    </row>
    <row r="3985" spans="1:13" x14ac:dyDescent="0.3">
      <c r="A3985" t="str">
        <f>Segmenter!A3985</f>
        <v/>
      </c>
      <c r="B3985" t="str">
        <f>Segmenter!B3985</f>
        <v/>
      </c>
      <c r="C3985" t="str">
        <f t="shared" si="310"/>
        <v/>
      </c>
      <c r="D3985" t="str">
        <f t="shared" si="311"/>
        <v/>
      </c>
      <c r="E3985" t="str">
        <f t="shared" si="312"/>
        <v/>
      </c>
      <c r="F3985" t="str">
        <f>IF(D3985="","",INDEX(Knutepunkter!$B:$B,D3985+1))</f>
        <v/>
      </c>
      <c r="G3985" t="str">
        <f>IF(D3985="","",INDEX(Knutepunkter!$C:$C,D3985+1))</f>
        <v/>
      </c>
      <c r="H3985" t="str">
        <f>IF(D3985="","",INDEX(Knutepunkter!$D:$D,D3985+1))</f>
        <v/>
      </c>
      <c r="I3985" t="str">
        <f>IF(E3985="","",INDEX(Knutepunkter!$B:$B,E3985+1))</f>
        <v/>
      </c>
      <c r="J3985" t="str">
        <f>IF(E3985="","",INDEX(Knutepunkter!$C:$C,E3985+1))</f>
        <v/>
      </c>
      <c r="K3985" t="str">
        <f>IF(E3985="","",INDEX(Knutepunkter!$D:$D,E3985+1))</f>
        <v/>
      </c>
      <c r="L3985" t="str">
        <f t="shared" si="313"/>
        <v/>
      </c>
      <c r="M3985" t="str">
        <f t="shared" si="314"/>
        <v/>
      </c>
    </row>
    <row r="3986" spans="1:13" x14ac:dyDescent="0.3">
      <c r="A3986" t="str">
        <f>Segmenter!A3986</f>
        <v/>
      </c>
      <c r="B3986" t="str">
        <f>Segmenter!B3986</f>
        <v/>
      </c>
      <c r="C3986" t="str">
        <f t="shared" si="310"/>
        <v/>
      </c>
      <c r="D3986" t="str">
        <f t="shared" si="311"/>
        <v/>
      </c>
      <c r="E3986" t="str">
        <f t="shared" si="312"/>
        <v/>
      </c>
      <c r="F3986" t="str">
        <f>IF(D3986="","",INDEX(Knutepunkter!$B:$B,D3986+1))</f>
        <v/>
      </c>
      <c r="G3986" t="str">
        <f>IF(D3986="","",INDEX(Knutepunkter!$C:$C,D3986+1))</f>
        <v/>
      </c>
      <c r="H3986" t="str">
        <f>IF(D3986="","",INDEX(Knutepunkter!$D:$D,D3986+1))</f>
        <v/>
      </c>
      <c r="I3986" t="str">
        <f>IF(E3986="","",INDEX(Knutepunkter!$B:$B,E3986+1))</f>
        <v/>
      </c>
      <c r="J3986" t="str">
        <f>IF(E3986="","",INDEX(Knutepunkter!$C:$C,E3986+1))</f>
        <v/>
      </c>
      <c r="K3986" t="str">
        <f>IF(E3986="","",INDEX(Knutepunkter!$D:$D,E3986+1))</f>
        <v/>
      </c>
      <c r="L3986" t="str">
        <f t="shared" si="313"/>
        <v/>
      </c>
      <c r="M3986" t="str">
        <f t="shared" si="314"/>
        <v/>
      </c>
    </row>
    <row r="3987" spans="1:13" x14ac:dyDescent="0.3">
      <c r="A3987" t="str">
        <f>Segmenter!A3987</f>
        <v/>
      </c>
      <c r="B3987" t="str">
        <f>Segmenter!B3987</f>
        <v/>
      </c>
      <c r="C3987" t="str">
        <f t="shared" si="310"/>
        <v/>
      </c>
      <c r="D3987" t="str">
        <f t="shared" si="311"/>
        <v/>
      </c>
      <c r="E3987" t="str">
        <f t="shared" si="312"/>
        <v/>
      </c>
      <c r="F3987" t="str">
        <f>IF(D3987="","",INDEX(Knutepunkter!$B:$B,D3987+1))</f>
        <v/>
      </c>
      <c r="G3987" t="str">
        <f>IF(D3987="","",INDEX(Knutepunkter!$C:$C,D3987+1))</f>
        <v/>
      </c>
      <c r="H3987" t="str">
        <f>IF(D3987="","",INDEX(Knutepunkter!$D:$D,D3987+1))</f>
        <v/>
      </c>
      <c r="I3987" t="str">
        <f>IF(E3987="","",INDEX(Knutepunkter!$B:$B,E3987+1))</f>
        <v/>
      </c>
      <c r="J3987" t="str">
        <f>IF(E3987="","",INDEX(Knutepunkter!$C:$C,E3987+1))</f>
        <v/>
      </c>
      <c r="K3987" t="str">
        <f>IF(E3987="","",INDEX(Knutepunkter!$D:$D,E3987+1))</f>
        <v/>
      </c>
      <c r="L3987" t="str">
        <f t="shared" si="313"/>
        <v/>
      </c>
      <c r="M3987" t="str">
        <f t="shared" si="314"/>
        <v/>
      </c>
    </row>
    <row r="3988" spans="1:13" x14ac:dyDescent="0.3">
      <c r="A3988" t="str">
        <f>Segmenter!A3988</f>
        <v/>
      </c>
      <c r="B3988" t="str">
        <f>Segmenter!B3988</f>
        <v/>
      </c>
      <c r="C3988" t="str">
        <f t="shared" si="310"/>
        <v/>
      </c>
      <c r="D3988" t="str">
        <f t="shared" si="311"/>
        <v/>
      </c>
      <c r="E3988" t="str">
        <f t="shared" si="312"/>
        <v/>
      </c>
      <c r="F3988" t="str">
        <f>IF(D3988="","",INDEX(Knutepunkter!$B:$B,D3988+1))</f>
        <v/>
      </c>
      <c r="G3988" t="str">
        <f>IF(D3988="","",INDEX(Knutepunkter!$C:$C,D3988+1))</f>
        <v/>
      </c>
      <c r="H3988" t="str">
        <f>IF(D3988="","",INDEX(Knutepunkter!$D:$D,D3988+1))</f>
        <v/>
      </c>
      <c r="I3988" t="str">
        <f>IF(E3988="","",INDEX(Knutepunkter!$B:$B,E3988+1))</f>
        <v/>
      </c>
      <c r="J3988" t="str">
        <f>IF(E3988="","",INDEX(Knutepunkter!$C:$C,E3988+1))</f>
        <v/>
      </c>
      <c r="K3988" t="str">
        <f>IF(E3988="","",INDEX(Knutepunkter!$D:$D,E3988+1))</f>
        <v/>
      </c>
      <c r="L3988" t="str">
        <f t="shared" si="313"/>
        <v/>
      </c>
      <c r="M3988" t="str">
        <f t="shared" si="314"/>
        <v/>
      </c>
    </row>
    <row r="3989" spans="1:13" x14ac:dyDescent="0.3">
      <c r="A3989" t="str">
        <f>Segmenter!A3989</f>
        <v/>
      </c>
      <c r="B3989" t="str">
        <f>Segmenter!B3989</f>
        <v/>
      </c>
      <c r="C3989" t="str">
        <f t="shared" si="310"/>
        <v/>
      </c>
      <c r="D3989" t="str">
        <f t="shared" si="311"/>
        <v/>
      </c>
      <c r="E3989" t="str">
        <f t="shared" si="312"/>
        <v/>
      </c>
      <c r="F3989" t="str">
        <f>IF(D3989="","",INDEX(Knutepunkter!$B:$B,D3989+1))</f>
        <v/>
      </c>
      <c r="G3989" t="str">
        <f>IF(D3989="","",INDEX(Knutepunkter!$C:$C,D3989+1))</f>
        <v/>
      </c>
      <c r="H3989" t="str">
        <f>IF(D3989="","",INDEX(Knutepunkter!$D:$D,D3989+1))</f>
        <v/>
      </c>
      <c r="I3989" t="str">
        <f>IF(E3989="","",INDEX(Knutepunkter!$B:$B,E3989+1))</f>
        <v/>
      </c>
      <c r="J3989" t="str">
        <f>IF(E3989="","",INDEX(Knutepunkter!$C:$C,E3989+1))</f>
        <v/>
      </c>
      <c r="K3989" t="str">
        <f>IF(E3989="","",INDEX(Knutepunkter!$D:$D,E3989+1))</f>
        <v/>
      </c>
      <c r="L3989" t="str">
        <f t="shared" si="313"/>
        <v/>
      </c>
      <c r="M3989" t="str">
        <f t="shared" si="314"/>
        <v/>
      </c>
    </row>
    <row r="3990" spans="1:13" x14ac:dyDescent="0.3">
      <c r="A3990" t="str">
        <f>Segmenter!A3990</f>
        <v/>
      </c>
      <c r="B3990" t="str">
        <f>Segmenter!B3990</f>
        <v/>
      </c>
      <c r="C3990" t="str">
        <f t="shared" si="310"/>
        <v/>
      </c>
      <c r="D3990" t="str">
        <f t="shared" si="311"/>
        <v/>
      </c>
      <c r="E3990" t="str">
        <f t="shared" si="312"/>
        <v/>
      </c>
      <c r="F3990" t="str">
        <f>IF(D3990="","",INDEX(Knutepunkter!$B:$B,D3990+1))</f>
        <v/>
      </c>
      <c r="G3990" t="str">
        <f>IF(D3990="","",INDEX(Knutepunkter!$C:$C,D3990+1))</f>
        <v/>
      </c>
      <c r="H3990" t="str">
        <f>IF(D3990="","",INDEX(Knutepunkter!$D:$D,D3990+1))</f>
        <v/>
      </c>
      <c r="I3990" t="str">
        <f>IF(E3990="","",INDEX(Knutepunkter!$B:$B,E3990+1))</f>
        <v/>
      </c>
      <c r="J3990" t="str">
        <f>IF(E3990="","",INDEX(Knutepunkter!$C:$C,E3990+1))</f>
        <v/>
      </c>
      <c r="K3990" t="str">
        <f>IF(E3990="","",INDEX(Knutepunkter!$D:$D,E3990+1))</f>
        <v/>
      </c>
      <c r="L3990" t="str">
        <f t="shared" si="313"/>
        <v/>
      </c>
      <c r="M3990" t="str">
        <f t="shared" si="314"/>
        <v/>
      </c>
    </row>
    <row r="3991" spans="1:13" x14ac:dyDescent="0.3">
      <c r="A3991" t="str">
        <f>Segmenter!A3991</f>
        <v/>
      </c>
      <c r="B3991" t="str">
        <f>Segmenter!B3991</f>
        <v/>
      </c>
      <c r="C3991" t="str">
        <f t="shared" si="310"/>
        <v/>
      </c>
      <c r="D3991" t="str">
        <f t="shared" si="311"/>
        <v/>
      </c>
      <c r="E3991" t="str">
        <f t="shared" si="312"/>
        <v/>
      </c>
      <c r="F3991" t="str">
        <f>IF(D3991="","",INDEX(Knutepunkter!$B:$B,D3991+1))</f>
        <v/>
      </c>
      <c r="G3991" t="str">
        <f>IF(D3991="","",INDEX(Knutepunkter!$C:$C,D3991+1))</f>
        <v/>
      </c>
      <c r="H3991" t="str">
        <f>IF(D3991="","",INDEX(Knutepunkter!$D:$D,D3991+1))</f>
        <v/>
      </c>
      <c r="I3991" t="str">
        <f>IF(E3991="","",INDEX(Knutepunkter!$B:$B,E3991+1))</f>
        <v/>
      </c>
      <c r="J3991" t="str">
        <f>IF(E3991="","",INDEX(Knutepunkter!$C:$C,E3991+1))</f>
        <v/>
      </c>
      <c r="K3991" t="str">
        <f>IF(E3991="","",INDEX(Knutepunkter!$D:$D,E3991+1))</f>
        <v/>
      </c>
      <c r="L3991" t="str">
        <f t="shared" si="313"/>
        <v/>
      </c>
      <c r="M3991" t="str">
        <f t="shared" si="314"/>
        <v/>
      </c>
    </row>
    <row r="3992" spans="1:13" x14ac:dyDescent="0.3">
      <c r="A3992" t="str">
        <f>Segmenter!A3992</f>
        <v/>
      </c>
      <c r="B3992" t="str">
        <f>Segmenter!B3992</f>
        <v/>
      </c>
      <c r="C3992" t="str">
        <f t="shared" si="310"/>
        <v/>
      </c>
      <c r="D3992" t="str">
        <f t="shared" si="311"/>
        <v/>
      </c>
      <c r="E3992" t="str">
        <f t="shared" si="312"/>
        <v/>
      </c>
      <c r="F3992" t="str">
        <f>IF(D3992="","",INDEX(Knutepunkter!$B:$B,D3992+1))</f>
        <v/>
      </c>
      <c r="G3992" t="str">
        <f>IF(D3992="","",INDEX(Knutepunkter!$C:$C,D3992+1))</f>
        <v/>
      </c>
      <c r="H3992" t="str">
        <f>IF(D3992="","",INDEX(Knutepunkter!$D:$D,D3992+1))</f>
        <v/>
      </c>
      <c r="I3992" t="str">
        <f>IF(E3992="","",INDEX(Knutepunkter!$B:$B,E3992+1))</f>
        <v/>
      </c>
      <c r="J3992" t="str">
        <f>IF(E3992="","",INDEX(Knutepunkter!$C:$C,E3992+1))</f>
        <v/>
      </c>
      <c r="K3992" t="str">
        <f>IF(E3992="","",INDEX(Knutepunkter!$D:$D,E3992+1))</f>
        <v/>
      </c>
      <c r="L3992" t="str">
        <f t="shared" si="313"/>
        <v/>
      </c>
      <c r="M3992" t="str">
        <f t="shared" si="314"/>
        <v/>
      </c>
    </row>
    <row r="3993" spans="1:13" x14ac:dyDescent="0.3">
      <c r="A3993" t="str">
        <f>Segmenter!A3993</f>
        <v/>
      </c>
      <c r="B3993" t="str">
        <f>Segmenter!B3993</f>
        <v/>
      </c>
      <c r="C3993" t="str">
        <f t="shared" si="310"/>
        <v/>
      </c>
      <c r="D3993" t="str">
        <f t="shared" si="311"/>
        <v/>
      </c>
      <c r="E3993" t="str">
        <f t="shared" si="312"/>
        <v/>
      </c>
      <c r="F3993" t="str">
        <f>IF(D3993="","",INDEX(Knutepunkter!$B:$B,D3993+1))</f>
        <v/>
      </c>
      <c r="G3993" t="str">
        <f>IF(D3993="","",INDEX(Knutepunkter!$C:$C,D3993+1))</f>
        <v/>
      </c>
      <c r="H3993" t="str">
        <f>IF(D3993="","",INDEX(Knutepunkter!$D:$D,D3993+1))</f>
        <v/>
      </c>
      <c r="I3993" t="str">
        <f>IF(E3993="","",INDEX(Knutepunkter!$B:$B,E3993+1))</f>
        <v/>
      </c>
      <c r="J3993" t="str">
        <f>IF(E3993="","",INDEX(Knutepunkter!$C:$C,E3993+1))</f>
        <v/>
      </c>
      <c r="K3993" t="str">
        <f>IF(E3993="","",INDEX(Knutepunkter!$D:$D,E3993+1))</f>
        <v/>
      </c>
      <c r="L3993" t="str">
        <f t="shared" si="313"/>
        <v/>
      </c>
      <c r="M3993" t="str">
        <f t="shared" si="314"/>
        <v/>
      </c>
    </row>
    <row r="3994" spans="1:13" x14ac:dyDescent="0.3">
      <c r="A3994" t="str">
        <f>Segmenter!A3994</f>
        <v/>
      </c>
      <c r="B3994" t="str">
        <f>Segmenter!B3994</f>
        <v/>
      </c>
      <c r="C3994" t="str">
        <f t="shared" si="310"/>
        <v/>
      </c>
      <c r="D3994" t="str">
        <f t="shared" si="311"/>
        <v/>
      </c>
      <c r="E3994" t="str">
        <f t="shared" si="312"/>
        <v/>
      </c>
      <c r="F3994" t="str">
        <f>IF(D3994="","",INDEX(Knutepunkter!$B:$B,D3994+1))</f>
        <v/>
      </c>
      <c r="G3994" t="str">
        <f>IF(D3994="","",INDEX(Knutepunkter!$C:$C,D3994+1))</f>
        <v/>
      </c>
      <c r="H3994" t="str">
        <f>IF(D3994="","",INDEX(Knutepunkter!$D:$D,D3994+1))</f>
        <v/>
      </c>
      <c r="I3994" t="str">
        <f>IF(E3994="","",INDEX(Knutepunkter!$B:$B,E3994+1))</f>
        <v/>
      </c>
      <c r="J3994" t="str">
        <f>IF(E3994="","",INDEX(Knutepunkter!$C:$C,E3994+1))</f>
        <v/>
      </c>
      <c r="K3994" t="str">
        <f>IF(E3994="","",INDEX(Knutepunkter!$D:$D,E3994+1))</f>
        <v/>
      </c>
      <c r="L3994" t="str">
        <f t="shared" si="313"/>
        <v/>
      </c>
      <c r="M3994" t="str">
        <f t="shared" si="314"/>
        <v/>
      </c>
    </row>
    <row r="3995" spans="1:13" x14ac:dyDescent="0.3">
      <c r="A3995" t="str">
        <f>Segmenter!A3995</f>
        <v/>
      </c>
      <c r="B3995" t="str">
        <f>Segmenter!B3995</f>
        <v/>
      </c>
      <c r="C3995" t="str">
        <f t="shared" si="310"/>
        <v/>
      </c>
      <c r="D3995" t="str">
        <f t="shared" si="311"/>
        <v/>
      </c>
      <c r="E3995" t="str">
        <f t="shared" si="312"/>
        <v/>
      </c>
      <c r="F3995" t="str">
        <f>IF(D3995="","",INDEX(Knutepunkter!$B:$B,D3995+1))</f>
        <v/>
      </c>
      <c r="G3995" t="str">
        <f>IF(D3995="","",INDEX(Knutepunkter!$C:$C,D3995+1))</f>
        <v/>
      </c>
      <c r="H3995" t="str">
        <f>IF(D3995="","",INDEX(Knutepunkter!$D:$D,D3995+1))</f>
        <v/>
      </c>
      <c r="I3995" t="str">
        <f>IF(E3995="","",INDEX(Knutepunkter!$B:$B,E3995+1))</f>
        <v/>
      </c>
      <c r="J3995" t="str">
        <f>IF(E3995="","",INDEX(Knutepunkter!$C:$C,E3995+1))</f>
        <v/>
      </c>
      <c r="K3995" t="str">
        <f>IF(E3995="","",INDEX(Knutepunkter!$D:$D,E3995+1))</f>
        <v/>
      </c>
      <c r="L3995" t="str">
        <f t="shared" si="313"/>
        <v/>
      </c>
      <c r="M3995" t="str">
        <f t="shared" si="314"/>
        <v/>
      </c>
    </row>
    <row r="3996" spans="1:13" x14ac:dyDescent="0.3">
      <c r="A3996" t="str">
        <f>Segmenter!A3996</f>
        <v/>
      </c>
      <c r="B3996" t="str">
        <f>Segmenter!B3996</f>
        <v/>
      </c>
      <c r="C3996" t="str">
        <f t="shared" si="310"/>
        <v/>
      </c>
      <c r="D3996" t="str">
        <f t="shared" si="311"/>
        <v/>
      </c>
      <c r="E3996" t="str">
        <f t="shared" si="312"/>
        <v/>
      </c>
      <c r="F3996" t="str">
        <f>IF(D3996="","",INDEX(Knutepunkter!$B:$B,D3996+1))</f>
        <v/>
      </c>
      <c r="G3996" t="str">
        <f>IF(D3996="","",INDEX(Knutepunkter!$C:$C,D3996+1))</f>
        <v/>
      </c>
      <c r="H3996" t="str">
        <f>IF(D3996="","",INDEX(Knutepunkter!$D:$D,D3996+1))</f>
        <v/>
      </c>
      <c r="I3996" t="str">
        <f>IF(E3996="","",INDEX(Knutepunkter!$B:$B,E3996+1))</f>
        <v/>
      </c>
      <c r="J3996" t="str">
        <f>IF(E3996="","",INDEX(Knutepunkter!$C:$C,E3996+1))</f>
        <v/>
      </c>
      <c r="K3996" t="str">
        <f>IF(E3996="","",INDEX(Knutepunkter!$D:$D,E3996+1))</f>
        <v/>
      </c>
      <c r="L3996" t="str">
        <f t="shared" si="313"/>
        <v/>
      </c>
      <c r="M3996" t="str">
        <f t="shared" si="314"/>
        <v/>
      </c>
    </row>
    <row r="3997" spans="1:13" x14ac:dyDescent="0.3">
      <c r="A3997" t="str">
        <f>Segmenter!A3997</f>
        <v/>
      </c>
      <c r="B3997" t="str">
        <f>Segmenter!B3997</f>
        <v/>
      </c>
      <c r="C3997" t="str">
        <f t="shared" si="310"/>
        <v/>
      </c>
      <c r="D3997" t="str">
        <f t="shared" si="311"/>
        <v/>
      </c>
      <c r="E3997" t="str">
        <f t="shared" si="312"/>
        <v/>
      </c>
      <c r="F3997" t="str">
        <f>IF(D3997="","",INDEX(Knutepunkter!$B:$B,D3997+1))</f>
        <v/>
      </c>
      <c r="G3997" t="str">
        <f>IF(D3997="","",INDEX(Knutepunkter!$C:$C,D3997+1))</f>
        <v/>
      </c>
      <c r="H3997" t="str">
        <f>IF(D3997="","",INDEX(Knutepunkter!$D:$D,D3997+1))</f>
        <v/>
      </c>
      <c r="I3997" t="str">
        <f>IF(E3997="","",INDEX(Knutepunkter!$B:$B,E3997+1))</f>
        <v/>
      </c>
      <c r="J3997" t="str">
        <f>IF(E3997="","",INDEX(Knutepunkter!$C:$C,E3997+1))</f>
        <v/>
      </c>
      <c r="K3997" t="str">
        <f>IF(E3997="","",INDEX(Knutepunkter!$D:$D,E3997+1))</f>
        <v/>
      </c>
      <c r="L3997" t="str">
        <f t="shared" si="313"/>
        <v/>
      </c>
      <c r="M3997" t="str">
        <f t="shared" si="314"/>
        <v/>
      </c>
    </row>
    <row r="3998" spans="1:13" x14ac:dyDescent="0.3">
      <c r="A3998" t="str">
        <f>Segmenter!A3998</f>
        <v/>
      </c>
      <c r="B3998" t="str">
        <f>Segmenter!B3998</f>
        <v/>
      </c>
      <c r="C3998" t="str">
        <f t="shared" si="310"/>
        <v/>
      </c>
      <c r="D3998" t="str">
        <f t="shared" si="311"/>
        <v/>
      </c>
      <c r="E3998" t="str">
        <f t="shared" si="312"/>
        <v/>
      </c>
      <c r="F3998" t="str">
        <f>IF(D3998="","",INDEX(Knutepunkter!$B:$B,D3998+1))</f>
        <v/>
      </c>
      <c r="G3998" t="str">
        <f>IF(D3998="","",INDEX(Knutepunkter!$C:$C,D3998+1))</f>
        <v/>
      </c>
      <c r="H3998" t="str">
        <f>IF(D3998="","",INDEX(Knutepunkter!$D:$D,D3998+1))</f>
        <v/>
      </c>
      <c r="I3998" t="str">
        <f>IF(E3998="","",INDEX(Knutepunkter!$B:$B,E3998+1))</f>
        <v/>
      </c>
      <c r="J3998" t="str">
        <f>IF(E3998="","",INDEX(Knutepunkter!$C:$C,E3998+1))</f>
        <v/>
      </c>
      <c r="K3998" t="str">
        <f>IF(E3998="","",INDEX(Knutepunkter!$D:$D,E3998+1))</f>
        <v/>
      </c>
      <c r="L3998" t="str">
        <f t="shared" si="313"/>
        <v/>
      </c>
      <c r="M3998" t="str">
        <f t="shared" si="314"/>
        <v/>
      </c>
    </row>
    <row r="3999" spans="1:13" x14ac:dyDescent="0.3">
      <c r="A3999" t="str">
        <f>Segmenter!A3999</f>
        <v/>
      </c>
      <c r="B3999" t="str">
        <f>Segmenter!B3999</f>
        <v/>
      </c>
      <c r="C3999" t="str">
        <f t="shared" si="310"/>
        <v/>
      </c>
      <c r="D3999" t="str">
        <f t="shared" si="311"/>
        <v/>
      </c>
      <c r="E3999" t="str">
        <f t="shared" si="312"/>
        <v/>
      </c>
      <c r="F3999" t="str">
        <f>IF(D3999="","",INDEX(Knutepunkter!$B:$B,D3999+1))</f>
        <v/>
      </c>
      <c r="G3999" t="str">
        <f>IF(D3999="","",INDEX(Knutepunkter!$C:$C,D3999+1))</f>
        <v/>
      </c>
      <c r="H3999" t="str">
        <f>IF(D3999="","",INDEX(Knutepunkter!$D:$D,D3999+1))</f>
        <v/>
      </c>
      <c r="I3999" t="str">
        <f>IF(E3999="","",INDEX(Knutepunkter!$B:$B,E3999+1))</f>
        <v/>
      </c>
      <c r="J3999" t="str">
        <f>IF(E3999="","",INDEX(Knutepunkter!$C:$C,E3999+1))</f>
        <v/>
      </c>
      <c r="K3999" t="str">
        <f>IF(E3999="","",INDEX(Knutepunkter!$D:$D,E3999+1))</f>
        <v/>
      </c>
      <c r="L3999" t="str">
        <f t="shared" si="313"/>
        <v/>
      </c>
      <c r="M3999" t="str">
        <f t="shared" si="314"/>
        <v/>
      </c>
    </row>
    <row r="4000" spans="1:13" x14ac:dyDescent="0.3">
      <c r="A4000" t="str">
        <f>Segmenter!A4000</f>
        <v/>
      </c>
      <c r="B4000" t="str">
        <f>Segmenter!B4000</f>
        <v/>
      </c>
      <c r="C4000" t="str">
        <f t="shared" si="310"/>
        <v/>
      </c>
      <c r="D4000" t="str">
        <f t="shared" si="311"/>
        <v/>
      </c>
      <c r="E4000" t="str">
        <f t="shared" si="312"/>
        <v/>
      </c>
      <c r="F4000" t="str">
        <f>IF(D4000="","",INDEX(Knutepunkter!$B:$B,D4000+1))</f>
        <v/>
      </c>
      <c r="G4000" t="str">
        <f>IF(D4000="","",INDEX(Knutepunkter!$C:$C,D4000+1))</f>
        <v/>
      </c>
      <c r="H4000" t="str">
        <f>IF(D4000="","",INDEX(Knutepunkter!$D:$D,D4000+1))</f>
        <v/>
      </c>
      <c r="I4000" t="str">
        <f>IF(E4000="","",INDEX(Knutepunkter!$B:$B,E4000+1))</f>
        <v/>
      </c>
      <c r="J4000" t="str">
        <f>IF(E4000="","",INDEX(Knutepunkter!$C:$C,E4000+1))</f>
        <v/>
      </c>
      <c r="K4000" t="str">
        <f>IF(E4000="","",INDEX(Knutepunkter!$D:$D,E4000+1))</f>
        <v/>
      </c>
      <c r="L4000" t="str">
        <f t="shared" si="313"/>
        <v/>
      </c>
      <c r="M4000" t="str">
        <f t="shared" si="314"/>
        <v/>
      </c>
    </row>
    <row r="4001" spans="1:13" x14ac:dyDescent="0.3">
      <c r="A4001" t="str">
        <f>Segmenter!A4001</f>
        <v/>
      </c>
      <c r="B4001" t="str">
        <f>Segmenter!B4001</f>
        <v/>
      </c>
      <c r="C4001" t="str">
        <f t="shared" si="310"/>
        <v/>
      </c>
      <c r="D4001" t="str">
        <f t="shared" si="311"/>
        <v/>
      </c>
      <c r="E4001" t="str">
        <f t="shared" si="312"/>
        <v/>
      </c>
      <c r="F4001" t="str">
        <f>IF(D4001="","",INDEX(Knutepunkter!$B:$B,D4001+1))</f>
        <v/>
      </c>
      <c r="G4001" t="str">
        <f>IF(D4001="","",INDEX(Knutepunkter!$C:$C,D4001+1))</f>
        <v/>
      </c>
      <c r="H4001" t="str">
        <f>IF(D4001="","",INDEX(Knutepunkter!$D:$D,D4001+1))</f>
        <v/>
      </c>
      <c r="I4001" t="str">
        <f>IF(E4001="","",INDEX(Knutepunkter!$B:$B,E4001+1))</f>
        <v/>
      </c>
      <c r="J4001" t="str">
        <f>IF(E4001="","",INDEX(Knutepunkter!$C:$C,E4001+1))</f>
        <v/>
      </c>
      <c r="K4001" t="str">
        <f>IF(E4001="","",INDEX(Knutepunkter!$D:$D,E4001+1))</f>
        <v/>
      </c>
      <c r="L4001" t="str">
        <f t="shared" si="313"/>
        <v/>
      </c>
      <c r="M4001" t="str">
        <f t="shared" si="314"/>
        <v/>
      </c>
    </row>
    <row r="4002" spans="1:13" x14ac:dyDescent="0.3">
      <c r="A4002" t="str">
        <f>Segmenter!A4002</f>
        <v/>
      </c>
      <c r="B4002" t="str">
        <f>Segmenter!B4002</f>
        <v/>
      </c>
      <c r="C4002" t="str">
        <f t="shared" si="310"/>
        <v/>
      </c>
      <c r="D4002" t="str">
        <f t="shared" si="311"/>
        <v/>
      </c>
      <c r="E4002" t="str">
        <f t="shared" si="312"/>
        <v/>
      </c>
      <c r="F4002" t="str">
        <f>IF(D4002="","",INDEX(Knutepunkter!$B:$B,D4002+1))</f>
        <v/>
      </c>
      <c r="G4002" t="str">
        <f>IF(D4002="","",INDEX(Knutepunkter!$C:$C,D4002+1))</f>
        <v/>
      </c>
      <c r="H4002" t="str">
        <f>IF(D4002="","",INDEX(Knutepunkter!$D:$D,D4002+1))</f>
        <v/>
      </c>
      <c r="I4002" t="str">
        <f>IF(E4002="","",INDEX(Knutepunkter!$B:$B,E4002+1))</f>
        <v/>
      </c>
      <c r="J4002" t="str">
        <f>IF(E4002="","",INDEX(Knutepunkter!$C:$C,E4002+1))</f>
        <v/>
      </c>
      <c r="K4002" t="str">
        <f>IF(E4002="","",INDEX(Knutepunkter!$D:$D,E4002+1))</f>
        <v/>
      </c>
      <c r="L4002" t="str">
        <f t="shared" si="313"/>
        <v/>
      </c>
      <c r="M4002" t="str">
        <f t="shared" si="314"/>
        <v/>
      </c>
    </row>
    <row r="4003" spans="1:13" x14ac:dyDescent="0.3">
      <c r="A4003" t="str">
        <f>Segmenter!A4003</f>
        <v/>
      </c>
      <c r="B4003" t="str">
        <f>Segmenter!B4003</f>
        <v/>
      </c>
      <c r="C4003" t="str">
        <f t="shared" si="310"/>
        <v/>
      </c>
      <c r="D4003" t="str">
        <f t="shared" si="311"/>
        <v/>
      </c>
      <c r="E4003" t="str">
        <f t="shared" si="312"/>
        <v/>
      </c>
      <c r="F4003" t="str">
        <f>IF(D4003="","",INDEX(Knutepunkter!$B:$B,D4003+1))</f>
        <v/>
      </c>
      <c r="G4003" t="str">
        <f>IF(D4003="","",INDEX(Knutepunkter!$C:$C,D4003+1))</f>
        <v/>
      </c>
      <c r="H4003" t="str">
        <f>IF(D4003="","",INDEX(Knutepunkter!$D:$D,D4003+1))</f>
        <v/>
      </c>
      <c r="I4003" t="str">
        <f>IF(E4003="","",INDEX(Knutepunkter!$B:$B,E4003+1))</f>
        <v/>
      </c>
      <c r="J4003" t="str">
        <f>IF(E4003="","",INDEX(Knutepunkter!$C:$C,E4003+1))</f>
        <v/>
      </c>
      <c r="K4003" t="str">
        <f>IF(E4003="","",INDEX(Knutepunkter!$D:$D,E4003+1))</f>
        <v/>
      </c>
      <c r="L4003" t="str">
        <f t="shared" si="313"/>
        <v/>
      </c>
      <c r="M4003" t="str">
        <f t="shared" si="314"/>
        <v/>
      </c>
    </row>
    <row r="4004" spans="1:13" x14ac:dyDescent="0.3">
      <c r="A4004" t="str">
        <f>Segmenter!A4004</f>
        <v/>
      </c>
      <c r="B4004" t="str">
        <f>Segmenter!B4004</f>
        <v/>
      </c>
      <c r="C4004" t="str">
        <f t="shared" si="310"/>
        <v/>
      </c>
      <c r="D4004" t="str">
        <f t="shared" si="311"/>
        <v/>
      </c>
      <c r="E4004" t="str">
        <f t="shared" si="312"/>
        <v/>
      </c>
      <c r="F4004" t="str">
        <f>IF(D4004="","",INDEX(Knutepunkter!$B:$B,D4004+1))</f>
        <v/>
      </c>
      <c r="G4004" t="str">
        <f>IF(D4004="","",INDEX(Knutepunkter!$C:$C,D4004+1))</f>
        <v/>
      </c>
      <c r="H4004" t="str">
        <f>IF(D4004="","",INDEX(Knutepunkter!$D:$D,D4004+1))</f>
        <v/>
      </c>
      <c r="I4004" t="str">
        <f>IF(E4004="","",INDEX(Knutepunkter!$B:$B,E4004+1))</f>
        <v/>
      </c>
      <c r="J4004" t="str">
        <f>IF(E4004="","",INDEX(Knutepunkter!$C:$C,E4004+1))</f>
        <v/>
      </c>
      <c r="K4004" t="str">
        <f>IF(E4004="","",INDEX(Knutepunkter!$D:$D,E4004+1))</f>
        <v/>
      </c>
      <c r="L4004" t="str">
        <f t="shared" si="313"/>
        <v/>
      </c>
      <c r="M4004" t="str">
        <f t="shared" si="314"/>
        <v/>
      </c>
    </row>
    <row r="4005" spans="1:13" x14ac:dyDescent="0.3">
      <c r="A4005" t="str">
        <f>Segmenter!A4005</f>
        <v/>
      </c>
      <c r="B4005" t="str">
        <f>Segmenter!B4005</f>
        <v/>
      </c>
      <c r="C4005" t="str">
        <f t="shared" si="310"/>
        <v/>
      </c>
      <c r="D4005" t="str">
        <f t="shared" si="311"/>
        <v/>
      </c>
      <c r="E4005" t="str">
        <f t="shared" si="312"/>
        <v/>
      </c>
      <c r="F4005" t="str">
        <f>IF(D4005="","",INDEX(Knutepunkter!$B:$B,D4005+1))</f>
        <v/>
      </c>
      <c r="G4005" t="str">
        <f>IF(D4005="","",INDEX(Knutepunkter!$C:$C,D4005+1))</f>
        <v/>
      </c>
      <c r="H4005" t="str">
        <f>IF(D4005="","",INDEX(Knutepunkter!$D:$D,D4005+1))</f>
        <v/>
      </c>
      <c r="I4005" t="str">
        <f>IF(E4005="","",INDEX(Knutepunkter!$B:$B,E4005+1))</f>
        <v/>
      </c>
      <c r="J4005" t="str">
        <f>IF(E4005="","",INDEX(Knutepunkter!$C:$C,E4005+1))</f>
        <v/>
      </c>
      <c r="K4005" t="str">
        <f>IF(E4005="","",INDEX(Knutepunkter!$D:$D,E4005+1))</f>
        <v/>
      </c>
      <c r="L4005" t="str">
        <f t="shared" si="313"/>
        <v/>
      </c>
      <c r="M4005" t="str">
        <f t="shared" si="314"/>
        <v/>
      </c>
    </row>
    <row r="4006" spans="1:13" x14ac:dyDescent="0.3">
      <c r="A4006" t="str">
        <f>Segmenter!A4006</f>
        <v/>
      </c>
      <c r="B4006" t="str">
        <f>Segmenter!B4006</f>
        <v/>
      </c>
      <c r="C4006" t="str">
        <f t="shared" si="310"/>
        <v/>
      </c>
      <c r="D4006" t="str">
        <f t="shared" si="311"/>
        <v/>
      </c>
      <c r="E4006" t="str">
        <f t="shared" si="312"/>
        <v/>
      </c>
      <c r="F4006" t="str">
        <f>IF(D4006="","",INDEX(Knutepunkter!$B:$B,D4006+1))</f>
        <v/>
      </c>
      <c r="G4006" t="str">
        <f>IF(D4006="","",INDEX(Knutepunkter!$C:$C,D4006+1))</f>
        <v/>
      </c>
      <c r="H4006" t="str">
        <f>IF(D4006="","",INDEX(Knutepunkter!$D:$D,D4006+1))</f>
        <v/>
      </c>
      <c r="I4006" t="str">
        <f>IF(E4006="","",INDEX(Knutepunkter!$B:$B,E4006+1))</f>
        <v/>
      </c>
      <c r="J4006" t="str">
        <f>IF(E4006="","",INDEX(Knutepunkter!$C:$C,E4006+1))</f>
        <v/>
      </c>
      <c r="K4006" t="str">
        <f>IF(E4006="","",INDEX(Knutepunkter!$D:$D,E4006+1))</f>
        <v/>
      </c>
      <c r="L4006" t="str">
        <f t="shared" si="313"/>
        <v/>
      </c>
      <c r="M4006" t="str">
        <f t="shared" si="314"/>
        <v/>
      </c>
    </row>
    <row r="4007" spans="1:13" x14ac:dyDescent="0.3">
      <c r="A4007" t="str">
        <f>Segmenter!A4007</f>
        <v/>
      </c>
      <c r="B4007" t="str">
        <f>Segmenter!B4007</f>
        <v/>
      </c>
      <c r="C4007" t="str">
        <f t="shared" si="310"/>
        <v/>
      </c>
      <c r="D4007" t="str">
        <f t="shared" si="311"/>
        <v/>
      </c>
      <c r="E4007" t="str">
        <f t="shared" si="312"/>
        <v/>
      </c>
      <c r="F4007" t="str">
        <f>IF(D4007="","",INDEX(Knutepunkter!$B:$B,D4007+1))</f>
        <v/>
      </c>
      <c r="G4007" t="str">
        <f>IF(D4007="","",INDEX(Knutepunkter!$C:$C,D4007+1))</f>
        <v/>
      </c>
      <c r="H4007" t="str">
        <f>IF(D4007="","",INDEX(Knutepunkter!$D:$D,D4007+1))</f>
        <v/>
      </c>
      <c r="I4007" t="str">
        <f>IF(E4007="","",INDEX(Knutepunkter!$B:$B,E4007+1))</f>
        <v/>
      </c>
      <c r="J4007" t="str">
        <f>IF(E4007="","",INDEX(Knutepunkter!$C:$C,E4007+1))</f>
        <v/>
      </c>
      <c r="K4007" t="str">
        <f>IF(E4007="","",INDEX(Knutepunkter!$D:$D,E4007+1))</f>
        <v/>
      </c>
      <c r="L4007" t="str">
        <f t="shared" si="313"/>
        <v/>
      </c>
      <c r="M4007" t="str">
        <f t="shared" si="314"/>
        <v/>
      </c>
    </row>
    <row r="4008" spans="1:13" x14ac:dyDescent="0.3">
      <c r="A4008" t="str">
        <f>Segmenter!A4008</f>
        <v/>
      </c>
      <c r="B4008" t="str">
        <f>Segmenter!B4008</f>
        <v/>
      </c>
      <c r="C4008" t="str">
        <f t="shared" si="310"/>
        <v/>
      </c>
      <c r="D4008" t="str">
        <f t="shared" si="311"/>
        <v/>
      </c>
      <c r="E4008" t="str">
        <f t="shared" si="312"/>
        <v/>
      </c>
      <c r="F4008" t="str">
        <f>IF(D4008="","",INDEX(Knutepunkter!$B:$B,D4008+1))</f>
        <v/>
      </c>
      <c r="G4008" t="str">
        <f>IF(D4008="","",INDEX(Knutepunkter!$C:$C,D4008+1))</f>
        <v/>
      </c>
      <c r="H4008" t="str">
        <f>IF(D4008="","",INDEX(Knutepunkter!$D:$D,D4008+1))</f>
        <v/>
      </c>
      <c r="I4008" t="str">
        <f>IF(E4008="","",INDEX(Knutepunkter!$B:$B,E4008+1))</f>
        <v/>
      </c>
      <c r="J4008" t="str">
        <f>IF(E4008="","",INDEX(Knutepunkter!$C:$C,E4008+1))</f>
        <v/>
      </c>
      <c r="K4008" t="str">
        <f>IF(E4008="","",INDEX(Knutepunkter!$D:$D,E4008+1))</f>
        <v/>
      </c>
      <c r="L4008" t="str">
        <f t="shared" si="313"/>
        <v/>
      </c>
      <c r="M4008" t="str">
        <f t="shared" si="314"/>
        <v/>
      </c>
    </row>
    <row r="4009" spans="1:13" x14ac:dyDescent="0.3">
      <c r="A4009" t="str">
        <f>Segmenter!A4009</f>
        <v/>
      </c>
      <c r="B4009" t="str">
        <f>Segmenter!B4009</f>
        <v/>
      </c>
      <c r="C4009" t="str">
        <f t="shared" si="310"/>
        <v/>
      </c>
      <c r="D4009" t="str">
        <f t="shared" si="311"/>
        <v/>
      </c>
      <c r="E4009" t="str">
        <f t="shared" si="312"/>
        <v/>
      </c>
      <c r="F4009" t="str">
        <f>IF(D4009="","",INDEX(Knutepunkter!$B:$B,D4009+1))</f>
        <v/>
      </c>
      <c r="G4009" t="str">
        <f>IF(D4009="","",INDEX(Knutepunkter!$C:$C,D4009+1))</f>
        <v/>
      </c>
      <c r="H4009" t="str">
        <f>IF(D4009="","",INDEX(Knutepunkter!$D:$D,D4009+1))</f>
        <v/>
      </c>
      <c r="I4009" t="str">
        <f>IF(E4009="","",INDEX(Knutepunkter!$B:$B,E4009+1))</f>
        <v/>
      </c>
      <c r="J4009" t="str">
        <f>IF(E4009="","",INDEX(Knutepunkter!$C:$C,E4009+1))</f>
        <v/>
      </c>
      <c r="K4009" t="str">
        <f>IF(E4009="","",INDEX(Knutepunkter!$D:$D,E4009+1))</f>
        <v/>
      </c>
      <c r="L4009" t="str">
        <f t="shared" si="313"/>
        <v/>
      </c>
      <c r="M4009" t="str">
        <f t="shared" si="314"/>
        <v/>
      </c>
    </row>
    <row r="4010" spans="1:13" x14ac:dyDescent="0.3">
      <c r="A4010" t="str">
        <f>Segmenter!A4010</f>
        <v/>
      </c>
      <c r="B4010" t="str">
        <f>Segmenter!B4010</f>
        <v/>
      </c>
      <c r="C4010" t="str">
        <f t="shared" si="310"/>
        <v/>
      </c>
      <c r="D4010" t="str">
        <f t="shared" si="311"/>
        <v/>
      </c>
      <c r="E4010" t="str">
        <f t="shared" si="312"/>
        <v/>
      </c>
      <c r="F4010" t="str">
        <f>IF(D4010="","",INDEX(Knutepunkter!$B:$B,D4010+1))</f>
        <v/>
      </c>
      <c r="G4010" t="str">
        <f>IF(D4010="","",INDEX(Knutepunkter!$C:$C,D4010+1))</f>
        <v/>
      </c>
      <c r="H4010" t="str">
        <f>IF(D4010="","",INDEX(Knutepunkter!$D:$D,D4010+1))</f>
        <v/>
      </c>
      <c r="I4010" t="str">
        <f>IF(E4010="","",INDEX(Knutepunkter!$B:$B,E4010+1))</f>
        <v/>
      </c>
      <c r="J4010" t="str">
        <f>IF(E4010="","",INDEX(Knutepunkter!$C:$C,E4010+1))</f>
        <v/>
      </c>
      <c r="K4010" t="str">
        <f>IF(E4010="","",INDEX(Knutepunkter!$D:$D,E4010+1))</f>
        <v/>
      </c>
      <c r="L4010" t="str">
        <f t="shared" si="313"/>
        <v/>
      </c>
      <c r="M4010" t="str">
        <f t="shared" si="314"/>
        <v/>
      </c>
    </row>
    <row r="4011" spans="1:13" x14ac:dyDescent="0.3">
      <c r="A4011" t="str">
        <f>Segmenter!A4011</f>
        <v/>
      </c>
      <c r="B4011" t="str">
        <f>Segmenter!B4011</f>
        <v/>
      </c>
      <c r="C4011" t="str">
        <f t="shared" si="310"/>
        <v/>
      </c>
      <c r="D4011" t="str">
        <f t="shared" si="311"/>
        <v/>
      </c>
      <c r="E4011" t="str">
        <f t="shared" si="312"/>
        <v/>
      </c>
      <c r="F4011" t="str">
        <f>IF(D4011="","",INDEX(Knutepunkter!$B:$B,D4011+1))</f>
        <v/>
      </c>
      <c r="G4011" t="str">
        <f>IF(D4011="","",INDEX(Knutepunkter!$C:$C,D4011+1))</f>
        <v/>
      </c>
      <c r="H4011" t="str">
        <f>IF(D4011="","",INDEX(Knutepunkter!$D:$D,D4011+1))</f>
        <v/>
      </c>
      <c r="I4011" t="str">
        <f>IF(E4011="","",INDEX(Knutepunkter!$B:$B,E4011+1))</f>
        <v/>
      </c>
      <c r="J4011" t="str">
        <f>IF(E4011="","",INDEX(Knutepunkter!$C:$C,E4011+1))</f>
        <v/>
      </c>
      <c r="K4011" t="str">
        <f>IF(E4011="","",INDEX(Knutepunkter!$D:$D,E4011+1))</f>
        <v/>
      </c>
      <c r="L4011" t="str">
        <f t="shared" si="313"/>
        <v/>
      </c>
      <c r="M4011" t="str">
        <f t="shared" si="314"/>
        <v/>
      </c>
    </row>
    <row r="4012" spans="1:13" x14ac:dyDescent="0.3">
      <c r="A4012" t="str">
        <f>Segmenter!A4012</f>
        <v/>
      </c>
      <c r="B4012" t="str">
        <f>Segmenter!B4012</f>
        <v/>
      </c>
      <c r="C4012" t="str">
        <f t="shared" si="310"/>
        <v/>
      </c>
      <c r="D4012" t="str">
        <f t="shared" si="311"/>
        <v/>
      </c>
      <c r="E4012" t="str">
        <f t="shared" si="312"/>
        <v/>
      </c>
      <c r="F4012" t="str">
        <f>IF(D4012="","",INDEX(Knutepunkter!$B:$B,D4012+1))</f>
        <v/>
      </c>
      <c r="G4012" t="str">
        <f>IF(D4012="","",INDEX(Knutepunkter!$C:$C,D4012+1))</f>
        <v/>
      </c>
      <c r="H4012" t="str">
        <f>IF(D4012="","",INDEX(Knutepunkter!$D:$D,D4012+1))</f>
        <v/>
      </c>
      <c r="I4012" t="str">
        <f>IF(E4012="","",INDEX(Knutepunkter!$B:$B,E4012+1))</f>
        <v/>
      </c>
      <c r="J4012" t="str">
        <f>IF(E4012="","",INDEX(Knutepunkter!$C:$C,E4012+1))</f>
        <v/>
      </c>
      <c r="K4012" t="str">
        <f>IF(E4012="","",INDEX(Knutepunkter!$D:$D,E4012+1))</f>
        <v/>
      </c>
      <c r="L4012" t="str">
        <f t="shared" si="313"/>
        <v/>
      </c>
      <c r="M4012" t="str">
        <f t="shared" si="314"/>
        <v/>
      </c>
    </row>
    <row r="4013" spans="1:13" x14ac:dyDescent="0.3">
      <c r="A4013" t="str">
        <f>Segmenter!A4013</f>
        <v/>
      </c>
      <c r="B4013" t="str">
        <f>Segmenter!B4013</f>
        <v/>
      </c>
      <c r="C4013" t="str">
        <f t="shared" si="310"/>
        <v/>
      </c>
      <c r="D4013" t="str">
        <f t="shared" si="311"/>
        <v/>
      </c>
      <c r="E4013" t="str">
        <f t="shared" si="312"/>
        <v/>
      </c>
      <c r="F4013" t="str">
        <f>IF(D4013="","",INDEX(Knutepunkter!$B:$B,D4013+1))</f>
        <v/>
      </c>
      <c r="G4013" t="str">
        <f>IF(D4013="","",INDEX(Knutepunkter!$C:$C,D4013+1))</f>
        <v/>
      </c>
      <c r="H4013" t="str">
        <f>IF(D4013="","",INDEX(Knutepunkter!$D:$D,D4013+1))</f>
        <v/>
      </c>
      <c r="I4013" t="str">
        <f>IF(E4013="","",INDEX(Knutepunkter!$B:$B,E4013+1))</f>
        <v/>
      </c>
      <c r="J4013" t="str">
        <f>IF(E4013="","",INDEX(Knutepunkter!$C:$C,E4013+1))</f>
        <v/>
      </c>
      <c r="K4013" t="str">
        <f>IF(E4013="","",INDEX(Knutepunkter!$D:$D,E4013+1))</f>
        <v/>
      </c>
      <c r="L4013" t="str">
        <f t="shared" si="313"/>
        <v/>
      </c>
      <c r="M4013" t="str">
        <f t="shared" si="314"/>
        <v/>
      </c>
    </row>
    <row r="4014" spans="1:13" x14ac:dyDescent="0.3">
      <c r="A4014" t="str">
        <f>Segmenter!A4014</f>
        <v/>
      </c>
      <c r="B4014" t="str">
        <f>Segmenter!B4014</f>
        <v/>
      </c>
      <c r="C4014" t="str">
        <f t="shared" si="310"/>
        <v/>
      </c>
      <c r="D4014" t="str">
        <f t="shared" si="311"/>
        <v/>
      </c>
      <c r="E4014" t="str">
        <f t="shared" si="312"/>
        <v/>
      </c>
      <c r="F4014" t="str">
        <f>IF(D4014="","",INDEX(Knutepunkter!$B:$B,D4014+1))</f>
        <v/>
      </c>
      <c r="G4014" t="str">
        <f>IF(D4014="","",INDEX(Knutepunkter!$C:$C,D4014+1))</f>
        <v/>
      </c>
      <c r="H4014" t="str">
        <f>IF(D4014="","",INDEX(Knutepunkter!$D:$D,D4014+1))</f>
        <v/>
      </c>
      <c r="I4014" t="str">
        <f>IF(E4014="","",INDEX(Knutepunkter!$B:$B,E4014+1))</f>
        <v/>
      </c>
      <c r="J4014" t="str">
        <f>IF(E4014="","",INDEX(Knutepunkter!$C:$C,E4014+1))</f>
        <v/>
      </c>
      <c r="K4014" t="str">
        <f>IF(E4014="","",INDEX(Knutepunkter!$D:$D,E4014+1))</f>
        <v/>
      </c>
      <c r="L4014" t="str">
        <f t="shared" si="313"/>
        <v/>
      </c>
      <c r="M4014" t="str">
        <f t="shared" si="314"/>
        <v/>
      </c>
    </row>
    <row r="4015" spans="1:13" x14ac:dyDescent="0.3">
      <c r="A4015" t="str">
        <f>Segmenter!A4015</f>
        <v/>
      </c>
      <c r="B4015" t="str">
        <f>Segmenter!B4015</f>
        <v/>
      </c>
      <c r="C4015" t="str">
        <f t="shared" si="310"/>
        <v/>
      </c>
      <c r="D4015" t="str">
        <f t="shared" si="311"/>
        <v/>
      </c>
      <c r="E4015" t="str">
        <f t="shared" si="312"/>
        <v/>
      </c>
      <c r="F4015" t="str">
        <f>IF(D4015="","",INDEX(Knutepunkter!$B:$B,D4015+1))</f>
        <v/>
      </c>
      <c r="G4015" t="str">
        <f>IF(D4015="","",INDEX(Knutepunkter!$C:$C,D4015+1))</f>
        <v/>
      </c>
      <c r="H4015" t="str">
        <f>IF(D4015="","",INDEX(Knutepunkter!$D:$D,D4015+1))</f>
        <v/>
      </c>
      <c r="I4015" t="str">
        <f>IF(E4015="","",INDEX(Knutepunkter!$B:$B,E4015+1))</f>
        <v/>
      </c>
      <c r="J4015" t="str">
        <f>IF(E4015="","",INDEX(Knutepunkter!$C:$C,E4015+1))</f>
        <v/>
      </c>
      <c r="K4015" t="str">
        <f>IF(E4015="","",INDEX(Knutepunkter!$D:$D,E4015+1))</f>
        <v/>
      </c>
      <c r="L4015" t="str">
        <f t="shared" si="313"/>
        <v/>
      </c>
      <c r="M4015" t="str">
        <f t="shared" si="314"/>
        <v/>
      </c>
    </row>
    <row r="4016" spans="1:13" x14ac:dyDescent="0.3">
      <c r="A4016" t="str">
        <f>Segmenter!A4016</f>
        <v/>
      </c>
      <c r="B4016" t="str">
        <f>Segmenter!B4016</f>
        <v/>
      </c>
      <c r="C4016" t="str">
        <f t="shared" si="310"/>
        <v/>
      </c>
      <c r="D4016" t="str">
        <f t="shared" si="311"/>
        <v/>
      </c>
      <c r="E4016" t="str">
        <f t="shared" si="312"/>
        <v/>
      </c>
      <c r="F4016" t="str">
        <f>IF(D4016="","",INDEX(Knutepunkter!$B:$B,D4016+1))</f>
        <v/>
      </c>
      <c r="G4016" t="str">
        <f>IF(D4016="","",INDEX(Knutepunkter!$C:$C,D4016+1))</f>
        <v/>
      </c>
      <c r="H4016" t="str">
        <f>IF(D4016="","",INDEX(Knutepunkter!$D:$D,D4016+1))</f>
        <v/>
      </c>
      <c r="I4016" t="str">
        <f>IF(E4016="","",INDEX(Knutepunkter!$B:$B,E4016+1))</f>
        <v/>
      </c>
      <c r="J4016" t="str">
        <f>IF(E4016="","",INDEX(Knutepunkter!$C:$C,E4016+1))</f>
        <v/>
      </c>
      <c r="K4016" t="str">
        <f>IF(E4016="","",INDEX(Knutepunkter!$D:$D,E4016+1))</f>
        <v/>
      </c>
      <c r="L4016" t="str">
        <f t="shared" si="313"/>
        <v/>
      </c>
      <c r="M4016" t="str">
        <f t="shared" si="314"/>
        <v/>
      </c>
    </row>
    <row r="4017" spans="1:13" x14ac:dyDescent="0.3">
      <c r="A4017" t="str">
        <f>Segmenter!A4017</f>
        <v/>
      </c>
      <c r="B4017" t="str">
        <f>Segmenter!B4017</f>
        <v/>
      </c>
      <c r="C4017" t="str">
        <f t="shared" si="310"/>
        <v/>
      </c>
      <c r="D4017" t="str">
        <f t="shared" si="311"/>
        <v/>
      </c>
      <c r="E4017" t="str">
        <f t="shared" si="312"/>
        <v/>
      </c>
      <c r="F4017" t="str">
        <f>IF(D4017="","",INDEX(Knutepunkter!$B:$B,D4017+1))</f>
        <v/>
      </c>
      <c r="G4017" t="str">
        <f>IF(D4017="","",INDEX(Knutepunkter!$C:$C,D4017+1))</f>
        <v/>
      </c>
      <c r="H4017" t="str">
        <f>IF(D4017="","",INDEX(Knutepunkter!$D:$D,D4017+1))</f>
        <v/>
      </c>
      <c r="I4017" t="str">
        <f>IF(E4017="","",INDEX(Knutepunkter!$B:$B,E4017+1))</f>
        <v/>
      </c>
      <c r="J4017" t="str">
        <f>IF(E4017="","",INDEX(Knutepunkter!$C:$C,E4017+1))</f>
        <v/>
      </c>
      <c r="K4017" t="str">
        <f>IF(E4017="","",INDEX(Knutepunkter!$D:$D,E4017+1))</f>
        <v/>
      </c>
      <c r="L4017" t="str">
        <f t="shared" si="313"/>
        <v/>
      </c>
      <c r="M4017" t="str">
        <f t="shared" si="314"/>
        <v/>
      </c>
    </row>
    <row r="4018" spans="1:13" x14ac:dyDescent="0.3">
      <c r="A4018" t="str">
        <f>Segmenter!A4018</f>
        <v/>
      </c>
      <c r="B4018" t="str">
        <f>Segmenter!B4018</f>
        <v/>
      </c>
      <c r="C4018" t="str">
        <f t="shared" si="310"/>
        <v/>
      </c>
      <c r="D4018" t="str">
        <f t="shared" si="311"/>
        <v/>
      </c>
      <c r="E4018" t="str">
        <f t="shared" si="312"/>
        <v/>
      </c>
      <c r="F4018" t="str">
        <f>IF(D4018="","",INDEX(Knutepunkter!$B:$B,D4018+1))</f>
        <v/>
      </c>
      <c r="G4018" t="str">
        <f>IF(D4018="","",INDEX(Knutepunkter!$C:$C,D4018+1))</f>
        <v/>
      </c>
      <c r="H4018" t="str">
        <f>IF(D4018="","",INDEX(Knutepunkter!$D:$D,D4018+1))</f>
        <v/>
      </c>
      <c r="I4018" t="str">
        <f>IF(E4018="","",INDEX(Knutepunkter!$B:$B,E4018+1))</f>
        <v/>
      </c>
      <c r="J4018" t="str">
        <f>IF(E4018="","",INDEX(Knutepunkter!$C:$C,E4018+1))</f>
        <v/>
      </c>
      <c r="K4018" t="str">
        <f>IF(E4018="","",INDEX(Knutepunkter!$D:$D,E4018+1))</f>
        <v/>
      </c>
      <c r="L4018" t="str">
        <f t="shared" si="313"/>
        <v/>
      </c>
      <c r="M4018" t="str">
        <f t="shared" si="314"/>
        <v/>
      </c>
    </row>
    <row r="4019" spans="1:13" x14ac:dyDescent="0.3">
      <c r="A4019" t="str">
        <f>Segmenter!A4019</f>
        <v/>
      </c>
      <c r="B4019" t="str">
        <f>Segmenter!B4019</f>
        <v/>
      </c>
      <c r="C4019" t="str">
        <f t="shared" si="310"/>
        <v/>
      </c>
      <c r="D4019" t="str">
        <f t="shared" si="311"/>
        <v/>
      </c>
      <c r="E4019" t="str">
        <f t="shared" si="312"/>
        <v/>
      </c>
      <c r="F4019" t="str">
        <f>IF(D4019="","",INDEX(Knutepunkter!$B:$B,D4019+1))</f>
        <v/>
      </c>
      <c r="G4019" t="str">
        <f>IF(D4019="","",INDEX(Knutepunkter!$C:$C,D4019+1))</f>
        <v/>
      </c>
      <c r="H4019" t="str">
        <f>IF(D4019="","",INDEX(Knutepunkter!$D:$D,D4019+1))</f>
        <v/>
      </c>
      <c r="I4019" t="str">
        <f>IF(E4019="","",INDEX(Knutepunkter!$B:$B,E4019+1))</f>
        <v/>
      </c>
      <c r="J4019" t="str">
        <f>IF(E4019="","",INDEX(Knutepunkter!$C:$C,E4019+1))</f>
        <v/>
      </c>
      <c r="K4019" t="str">
        <f>IF(E4019="","",INDEX(Knutepunkter!$D:$D,E4019+1))</f>
        <v/>
      </c>
      <c r="L4019" t="str">
        <f t="shared" si="313"/>
        <v/>
      </c>
      <c r="M4019" t="str">
        <f t="shared" si="314"/>
        <v/>
      </c>
    </row>
    <row r="4020" spans="1:13" x14ac:dyDescent="0.3">
      <c r="A4020" t="str">
        <f>Segmenter!A4020</f>
        <v/>
      </c>
      <c r="B4020" t="str">
        <f>Segmenter!B4020</f>
        <v/>
      </c>
      <c r="C4020" t="str">
        <f t="shared" si="310"/>
        <v/>
      </c>
      <c r="D4020" t="str">
        <f t="shared" si="311"/>
        <v/>
      </c>
      <c r="E4020" t="str">
        <f t="shared" si="312"/>
        <v/>
      </c>
      <c r="F4020" t="str">
        <f>IF(D4020="","",INDEX(Knutepunkter!$B:$B,D4020+1))</f>
        <v/>
      </c>
      <c r="G4020" t="str">
        <f>IF(D4020="","",INDEX(Knutepunkter!$C:$C,D4020+1))</f>
        <v/>
      </c>
      <c r="H4020" t="str">
        <f>IF(D4020="","",INDEX(Knutepunkter!$D:$D,D4020+1))</f>
        <v/>
      </c>
      <c r="I4020" t="str">
        <f>IF(E4020="","",INDEX(Knutepunkter!$B:$B,E4020+1))</f>
        <v/>
      </c>
      <c r="J4020" t="str">
        <f>IF(E4020="","",INDEX(Knutepunkter!$C:$C,E4020+1))</f>
        <v/>
      </c>
      <c r="K4020" t="str">
        <f>IF(E4020="","",INDEX(Knutepunkter!$D:$D,E4020+1))</f>
        <v/>
      </c>
      <c r="L4020" t="str">
        <f t="shared" si="313"/>
        <v/>
      </c>
      <c r="M4020" t="str">
        <f t="shared" si="314"/>
        <v/>
      </c>
    </row>
    <row r="4021" spans="1:13" x14ac:dyDescent="0.3">
      <c r="A4021" t="str">
        <f>Segmenter!A4021</f>
        <v/>
      </c>
      <c r="B4021" t="str">
        <f>Segmenter!B4021</f>
        <v/>
      </c>
      <c r="C4021" t="str">
        <f t="shared" si="310"/>
        <v/>
      </c>
      <c r="D4021" t="str">
        <f t="shared" si="311"/>
        <v/>
      </c>
      <c r="E4021" t="str">
        <f t="shared" si="312"/>
        <v/>
      </c>
      <c r="F4021" t="str">
        <f>IF(D4021="","",INDEX(Knutepunkter!$B:$B,D4021+1))</f>
        <v/>
      </c>
      <c r="G4021" t="str">
        <f>IF(D4021="","",INDEX(Knutepunkter!$C:$C,D4021+1))</f>
        <v/>
      </c>
      <c r="H4021" t="str">
        <f>IF(D4021="","",INDEX(Knutepunkter!$D:$D,D4021+1))</f>
        <v/>
      </c>
      <c r="I4021" t="str">
        <f>IF(E4021="","",INDEX(Knutepunkter!$B:$B,E4021+1))</f>
        <v/>
      </c>
      <c r="J4021" t="str">
        <f>IF(E4021="","",INDEX(Knutepunkter!$C:$C,E4021+1))</f>
        <v/>
      </c>
      <c r="K4021" t="str">
        <f>IF(E4021="","",INDEX(Knutepunkter!$D:$D,E4021+1))</f>
        <v/>
      </c>
      <c r="L4021" t="str">
        <f t="shared" si="313"/>
        <v/>
      </c>
      <c r="M4021" t="str">
        <f t="shared" si="314"/>
        <v/>
      </c>
    </row>
    <row r="4022" spans="1:13" x14ac:dyDescent="0.3">
      <c r="A4022" t="str">
        <f>Segmenter!A4022</f>
        <v/>
      </c>
      <c r="B4022" t="str">
        <f>Segmenter!B4022</f>
        <v/>
      </c>
      <c r="C4022" t="str">
        <f t="shared" si="310"/>
        <v/>
      </c>
      <c r="D4022" t="str">
        <f t="shared" si="311"/>
        <v/>
      </c>
      <c r="E4022" t="str">
        <f t="shared" si="312"/>
        <v/>
      </c>
      <c r="F4022" t="str">
        <f>IF(D4022="","",INDEX(Knutepunkter!$B:$B,D4022+1))</f>
        <v/>
      </c>
      <c r="G4022" t="str">
        <f>IF(D4022="","",INDEX(Knutepunkter!$C:$C,D4022+1))</f>
        <v/>
      </c>
      <c r="H4022" t="str">
        <f>IF(D4022="","",INDEX(Knutepunkter!$D:$D,D4022+1))</f>
        <v/>
      </c>
      <c r="I4022" t="str">
        <f>IF(E4022="","",INDEX(Knutepunkter!$B:$B,E4022+1))</f>
        <v/>
      </c>
      <c r="J4022" t="str">
        <f>IF(E4022="","",INDEX(Knutepunkter!$C:$C,E4022+1))</f>
        <v/>
      </c>
      <c r="K4022" t="str">
        <f>IF(E4022="","",INDEX(Knutepunkter!$D:$D,E4022+1))</f>
        <v/>
      </c>
      <c r="L4022" t="str">
        <f t="shared" si="313"/>
        <v/>
      </c>
      <c r="M4022" t="str">
        <f t="shared" si="314"/>
        <v/>
      </c>
    </row>
    <row r="4023" spans="1:13" x14ac:dyDescent="0.3">
      <c r="A4023" t="str">
        <f>Segmenter!A4023</f>
        <v/>
      </c>
      <c r="B4023" t="str">
        <f>Segmenter!B4023</f>
        <v/>
      </c>
      <c r="C4023" t="str">
        <f t="shared" si="310"/>
        <v/>
      </c>
      <c r="D4023" t="str">
        <f t="shared" si="311"/>
        <v/>
      </c>
      <c r="E4023" t="str">
        <f t="shared" si="312"/>
        <v/>
      </c>
      <c r="F4023" t="str">
        <f>IF(D4023="","",INDEX(Knutepunkter!$B:$B,D4023+1))</f>
        <v/>
      </c>
      <c r="G4023" t="str">
        <f>IF(D4023="","",INDEX(Knutepunkter!$C:$C,D4023+1))</f>
        <v/>
      </c>
      <c r="H4023" t="str">
        <f>IF(D4023="","",INDEX(Knutepunkter!$D:$D,D4023+1))</f>
        <v/>
      </c>
      <c r="I4023" t="str">
        <f>IF(E4023="","",INDEX(Knutepunkter!$B:$B,E4023+1))</f>
        <v/>
      </c>
      <c r="J4023" t="str">
        <f>IF(E4023="","",INDEX(Knutepunkter!$C:$C,E4023+1))</f>
        <v/>
      </c>
      <c r="K4023" t="str">
        <f>IF(E4023="","",INDEX(Knutepunkter!$D:$D,E4023+1))</f>
        <v/>
      </c>
      <c r="L4023" t="str">
        <f t="shared" si="313"/>
        <v/>
      </c>
      <c r="M4023" t="str">
        <f t="shared" si="314"/>
        <v/>
      </c>
    </row>
    <row r="4024" spans="1:13" x14ac:dyDescent="0.3">
      <c r="A4024" t="str">
        <f>Segmenter!A4024</f>
        <v/>
      </c>
      <c r="B4024" t="str">
        <f>Segmenter!B4024</f>
        <v/>
      </c>
      <c r="C4024" t="str">
        <f t="shared" si="310"/>
        <v/>
      </c>
      <c r="D4024" t="str">
        <f t="shared" si="311"/>
        <v/>
      </c>
      <c r="E4024" t="str">
        <f t="shared" si="312"/>
        <v/>
      </c>
      <c r="F4024" t="str">
        <f>IF(D4024="","",INDEX(Knutepunkter!$B:$B,D4024+1))</f>
        <v/>
      </c>
      <c r="G4024" t="str">
        <f>IF(D4024="","",INDEX(Knutepunkter!$C:$C,D4024+1))</f>
        <v/>
      </c>
      <c r="H4024" t="str">
        <f>IF(D4024="","",INDEX(Knutepunkter!$D:$D,D4024+1))</f>
        <v/>
      </c>
      <c r="I4024" t="str">
        <f>IF(E4024="","",INDEX(Knutepunkter!$B:$B,E4024+1))</f>
        <v/>
      </c>
      <c r="J4024" t="str">
        <f>IF(E4024="","",INDEX(Knutepunkter!$C:$C,E4024+1))</f>
        <v/>
      </c>
      <c r="K4024" t="str">
        <f>IF(E4024="","",INDEX(Knutepunkter!$D:$D,E4024+1))</f>
        <v/>
      </c>
      <c r="L4024" t="str">
        <f t="shared" si="313"/>
        <v/>
      </c>
      <c r="M4024" t="str">
        <f t="shared" si="314"/>
        <v/>
      </c>
    </row>
    <row r="4025" spans="1:13" x14ac:dyDescent="0.3">
      <c r="A4025" t="str">
        <f>Segmenter!A4025</f>
        <v/>
      </c>
      <c r="B4025" t="str">
        <f>Segmenter!B4025</f>
        <v/>
      </c>
      <c r="C4025" t="str">
        <f t="shared" si="310"/>
        <v/>
      </c>
      <c r="D4025" t="str">
        <f t="shared" si="311"/>
        <v/>
      </c>
      <c r="E4025" t="str">
        <f t="shared" si="312"/>
        <v/>
      </c>
      <c r="F4025" t="str">
        <f>IF(D4025="","",INDEX(Knutepunkter!$B:$B,D4025+1))</f>
        <v/>
      </c>
      <c r="G4025" t="str">
        <f>IF(D4025="","",INDEX(Knutepunkter!$C:$C,D4025+1))</f>
        <v/>
      </c>
      <c r="H4025" t="str">
        <f>IF(D4025="","",INDEX(Knutepunkter!$D:$D,D4025+1))</f>
        <v/>
      </c>
      <c r="I4025" t="str">
        <f>IF(E4025="","",INDEX(Knutepunkter!$B:$B,E4025+1))</f>
        <v/>
      </c>
      <c r="J4025" t="str">
        <f>IF(E4025="","",INDEX(Knutepunkter!$C:$C,E4025+1))</f>
        <v/>
      </c>
      <c r="K4025" t="str">
        <f>IF(E4025="","",INDEX(Knutepunkter!$D:$D,E4025+1))</f>
        <v/>
      </c>
      <c r="L4025" t="str">
        <f t="shared" si="313"/>
        <v/>
      </c>
      <c r="M4025" t="str">
        <f t="shared" si="314"/>
        <v/>
      </c>
    </row>
    <row r="4026" spans="1:13" x14ac:dyDescent="0.3">
      <c r="A4026" t="str">
        <f>Segmenter!A4026</f>
        <v/>
      </c>
      <c r="B4026" t="str">
        <f>Segmenter!B4026</f>
        <v/>
      </c>
      <c r="C4026" t="str">
        <f t="shared" si="310"/>
        <v/>
      </c>
      <c r="D4026" t="str">
        <f t="shared" si="311"/>
        <v/>
      </c>
      <c r="E4026" t="str">
        <f t="shared" si="312"/>
        <v/>
      </c>
      <c r="F4026" t="str">
        <f>IF(D4026="","",INDEX(Knutepunkter!$B:$B,D4026+1))</f>
        <v/>
      </c>
      <c r="G4026" t="str">
        <f>IF(D4026="","",INDEX(Knutepunkter!$C:$C,D4026+1))</f>
        <v/>
      </c>
      <c r="H4026" t="str">
        <f>IF(D4026="","",INDEX(Knutepunkter!$D:$D,D4026+1))</f>
        <v/>
      </c>
      <c r="I4026" t="str">
        <f>IF(E4026="","",INDEX(Knutepunkter!$B:$B,E4026+1))</f>
        <v/>
      </c>
      <c r="J4026" t="str">
        <f>IF(E4026="","",INDEX(Knutepunkter!$C:$C,E4026+1))</f>
        <v/>
      </c>
      <c r="K4026" t="str">
        <f>IF(E4026="","",INDEX(Knutepunkter!$D:$D,E4026+1))</f>
        <v/>
      </c>
      <c r="L4026" t="str">
        <f t="shared" si="313"/>
        <v/>
      </c>
      <c r="M4026" t="str">
        <f t="shared" si="314"/>
        <v/>
      </c>
    </row>
    <row r="4027" spans="1:13" x14ac:dyDescent="0.3">
      <c r="A4027" t="str">
        <f>Segmenter!A4027</f>
        <v/>
      </c>
      <c r="B4027" t="str">
        <f>Segmenter!B4027</f>
        <v/>
      </c>
      <c r="C4027" t="str">
        <f t="shared" si="310"/>
        <v/>
      </c>
      <c r="D4027" t="str">
        <f t="shared" si="311"/>
        <v/>
      </c>
      <c r="E4027" t="str">
        <f t="shared" si="312"/>
        <v/>
      </c>
      <c r="F4027" t="str">
        <f>IF(D4027="","",INDEX(Knutepunkter!$B:$B,D4027+1))</f>
        <v/>
      </c>
      <c r="G4027" t="str">
        <f>IF(D4027="","",INDEX(Knutepunkter!$C:$C,D4027+1))</f>
        <v/>
      </c>
      <c r="H4027" t="str">
        <f>IF(D4027="","",INDEX(Knutepunkter!$D:$D,D4027+1))</f>
        <v/>
      </c>
      <c r="I4027" t="str">
        <f>IF(E4027="","",INDEX(Knutepunkter!$B:$B,E4027+1))</f>
        <v/>
      </c>
      <c r="J4027" t="str">
        <f>IF(E4027="","",INDEX(Knutepunkter!$C:$C,E4027+1))</f>
        <v/>
      </c>
      <c r="K4027" t="str">
        <f>IF(E4027="","",INDEX(Knutepunkter!$D:$D,E4027+1))</f>
        <v/>
      </c>
      <c r="L4027" t="str">
        <f t="shared" si="313"/>
        <v/>
      </c>
      <c r="M4027" t="str">
        <f t="shared" si="314"/>
        <v/>
      </c>
    </row>
    <row r="4028" spans="1:13" x14ac:dyDescent="0.3">
      <c r="A4028" t="str">
        <f>Segmenter!A4028</f>
        <v/>
      </c>
      <c r="B4028" t="str">
        <f>Segmenter!B4028</f>
        <v/>
      </c>
      <c r="C4028" t="str">
        <f t="shared" si="310"/>
        <v/>
      </c>
      <c r="D4028" t="str">
        <f t="shared" si="311"/>
        <v/>
      </c>
      <c r="E4028" t="str">
        <f t="shared" si="312"/>
        <v/>
      </c>
      <c r="F4028" t="str">
        <f>IF(D4028="","",INDEX(Knutepunkter!$B:$B,D4028+1))</f>
        <v/>
      </c>
      <c r="G4028" t="str">
        <f>IF(D4028="","",INDEX(Knutepunkter!$C:$C,D4028+1))</f>
        <v/>
      </c>
      <c r="H4028" t="str">
        <f>IF(D4028="","",INDEX(Knutepunkter!$D:$D,D4028+1))</f>
        <v/>
      </c>
      <c r="I4028" t="str">
        <f>IF(E4028="","",INDEX(Knutepunkter!$B:$B,E4028+1))</f>
        <v/>
      </c>
      <c r="J4028" t="str">
        <f>IF(E4028="","",INDEX(Knutepunkter!$C:$C,E4028+1))</f>
        <v/>
      </c>
      <c r="K4028" t="str">
        <f>IF(E4028="","",INDEX(Knutepunkter!$D:$D,E4028+1))</f>
        <v/>
      </c>
      <c r="L4028" t="str">
        <f t="shared" si="313"/>
        <v/>
      </c>
      <c r="M4028" t="str">
        <f t="shared" si="314"/>
        <v/>
      </c>
    </row>
    <row r="4029" spans="1:13" x14ac:dyDescent="0.3">
      <c r="A4029" t="str">
        <f>Segmenter!A4029</f>
        <v/>
      </c>
      <c r="B4029" t="str">
        <f>Segmenter!B4029</f>
        <v/>
      </c>
      <c r="C4029" t="str">
        <f t="shared" si="310"/>
        <v/>
      </c>
      <c r="D4029" t="str">
        <f t="shared" si="311"/>
        <v/>
      </c>
      <c r="E4029" t="str">
        <f t="shared" si="312"/>
        <v/>
      </c>
      <c r="F4029" t="str">
        <f>IF(D4029="","",INDEX(Knutepunkter!$B:$B,D4029+1))</f>
        <v/>
      </c>
      <c r="G4029" t="str">
        <f>IF(D4029="","",INDEX(Knutepunkter!$C:$C,D4029+1))</f>
        <v/>
      </c>
      <c r="H4029" t="str">
        <f>IF(D4029="","",INDEX(Knutepunkter!$D:$D,D4029+1))</f>
        <v/>
      </c>
      <c r="I4029" t="str">
        <f>IF(E4029="","",INDEX(Knutepunkter!$B:$B,E4029+1))</f>
        <v/>
      </c>
      <c r="J4029" t="str">
        <f>IF(E4029="","",INDEX(Knutepunkter!$C:$C,E4029+1))</f>
        <v/>
      </c>
      <c r="K4029" t="str">
        <f>IF(E4029="","",INDEX(Knutepunkter!$D:$D,E4029+1))</f>
        <v/>
      </c>
      <c r="L4029" t="str">
        <f t="shared" si="313"/>
        <v/>
      </c>
      <c r="M4029" t="str">
        <f t="shared" si="314"/>
        <v/>
      </c>
    </row>
    <row r="4030" spans="1:13" x14ac:dyDescent="0.3">
      <c r="A4030" t="str">
        <f>Segmenter!A4030</f>
        <v/>
      </c>
      <c r="B4030" t="str">
        <f>Segmenter!B4030</f>
        <v/>
      </c>
      <c r="C4030" t="str">
        <f t="shared" si="310"/>
        <v/>
      </c>
      <c r="D4030" t="str">
        <f t="shared" si="311"/>
        <v/>
      </c>
      <c r="E4030" t="str">
        <f t="shared" si="312"/>
        <v/>
      </c>
      <c r="F4030" t="str">
        <f>IF(D4030="","",INDEX(Knutepunkter!$B:$B,D4030+1))</f>
        <v/>
      </c>
      <c r="G4030" t="str">
        <f>IF(D4030="","",INDEX(Knutepunkter!$C:$C,D4030+1))</f>
        <v/>
      </c>
      <c r="H4030" t="str">
        <f>IF(D4030="","",INDEX(Knutepunkter!$D:$D,D4030+1))</f>
        <v/>
      </c>
      <c r="I4030" t="str">
        <f>IF(E4030="","",INDEX(Knutepunkter!$B:$B,E4030+1))</f>
        <v/>
      </c>
      <c r="J4030" t="str">
        <f>IF(E4030="","",INDEX(Knutepunkter!$C:$C,E4030+1))</f>
        <v/>
      </c>
      <c r="K4030" t="str">
        <f>IF(E4030="","",INDEX(Knutepunkter!$D:$D,E4030+1))</f>
        <v/>
      </c>
      <c r="L4030" t="str">
        <f t="shared" si="313"/>
        <v/>
      </c>
      <c r="M4030" t="str">
        <f t="shared" si="314"/>
        <v/>
      </c>
    </row>
    <row r="4031" spans="1:13" x14ac:dyDescent="0.3">
      <c r="A4031" t="str">
        <f>Segmenter!A4031</f>
        <v/>
      </c>
      <c r="B4031" t="str">
        <f>Segmenter!B4031</f>
        <v/>
      </c>
      <c r="C4031" t="str">
        <f t="shared" si="310"/>
        <v/>
      </c>
      <c r="D4031" t="str">
        <f t="shared" si="311"/>
        <v/>
      </c>
      <c r="E4031" t="str">
        <f t="shared" si="312"/>
        <v/>
      </c>
      <c r="F4031" t="str">
        <f>IF(D4031="","",INDEX(Knutepunkter!$B:$B,D4031+1))</f>
        <v/>
      </c>
      <c r="G4031" t="str">
        <f>IF(D4031="","",INDEX(Knutepunkter!$C:$C,D4031+1))</f>
        <v/>
      </c>
      <c r="H4031" t="str">
        <f>IF(D4031="","",INDEX(Knutepunkter!$D:$D,D4031+1))</f>
        <v/>
      </c>
      <c r="I4031" t="str">
        <f>IF(E4031="","",INDEX(Knutepunkter!$B:$B,E4031+1))</f>
        <v/>
      </c>
      <c r="J4031" t="str">
        <f>IF(E4031="","",INDEX(Knutepunkter!$C:$C,E4031+1))</f>
        <v/>
      </c>
      <c r="K4031" t="str">
        <f>IF(E4031="","",INDEX(Knutepunkter!$D:$D,E4031+1))</f>
        <v/>
      </c>
      <c r="L4031" t="str">
        <f t="shared" si="313"/>
        <v/>
      </c>
      <c r="M4031" t="str">
        <f t="shared" si="314"/>
        <v/>
      </c>
    </row>
    <row r="4032" spans="1:13" x14ac:dyDescent="0.3">
      <c r="A4032" t="str">
        <f>Segmenter!A4032</f>
        <v/>
      </c>
      <c r="B4032" t="str">
        <f>Segmenter!B4032</f>
        <v/>
      </c>
      <c r="C4032" t="str">
        <f t="shared" si="310"/>
        <v/>
      </c>
      <c r="D4032" t="str">
        <f t="shared" si="311"/>
        <v/>
      </c>
      <c r="E4032" t="str">
        <f t="shared" si="312"/>
        <v/>
      </c>
      <c r="F4032" t="str">
        <f>IF(D4032="","",INDEX(Knutepunkter!$B:$B,D4032+1))</f>
        <v/>
      </c>
      <c r="G4032" t="str">
        <f>IF(D4032="","",INDEX(Knutepunkter!$C:$C,D4032+1))</f>
        <v/>
      </c>
      <c r="H4032" t="str">
        <f>IF(D4032="","",INDEX(Knutepunkter!$D:$D,D4032+1))</f>
        <v/>
      </c>
      <c r="I4032" t="str">
        <f>IF(E4032="","",INDEX(Knutepunkter!$B:$B,E4032+1))</f>
        <v/>
      </c>
      <c r="J4032" t="str">
        <f>IF(E4032="","",INDEX(Knutepunkter!$C:$C,E4032+1))</f>
        <v/>
      </c>
      <c r="K4032" t="str">
        <f>IF(E4032="","",INDEX(Knutepunkter!$D:$D,E4032+1))</f>
        <v/>
      </c>
      <c r="L4032" t="str">
        <f t="shared" si="313"/>
        <v/>
      </c>
      <c r="M4032" t="str">
        <f t="shared" si="314"/>
        <v/>
      </c>
    </row>
    <row r="4033" spans="1:13" x14ac:dyDescent="0.3">
      <c r="A4033" t="str">
        <f>Segmenter!A4033</f>
        <v/>
      </c>
      <c r="B4033" t="str">
        <f>Segmenter!B4033</f>
        <v/>
      </c>
      <c r="C4033" t="str">
        <f t="shared" si="310"/>
        <v/>
      </c>
      <c r="D4033" t="str">
        <f t="shared" si="311"/>
        <v/>
      </c>
      <c r="E4033" t="str">
        <f t="shared" si="312"/>
        <v/>
      </c>
      <c r="F4033" t="str">
        <f>IF(D4033="","",INDEX(Knutepunkter!$B:$B,D4033+1))</f>
        <v/>
      </c>
      <c r="G4033" t="str">
        <f>IF(D4033="","",INDEX(Knutepunkter!$C:$C,D4033+1))</f>
        <v/>
      </c>
      <c r="H4033" t="str">
        <f>IF(D4033="","",INDEX(Knutepunkter!$D:$D,D4033+1))</f>
        <v/>
      </c>
      <c r="I4033" t="str">
        <f>IF(E4033="","",INDEX(Knutepunkter!$B:$B,E4033+1))</f>
        <v/>
      </c>
      <c r="J4033" t="str">
        <f>IF(E4033="","",INDEX(Knutepunkter!$C:$C,E4033+1))</f>
        <v/>
      </c>
      <c r="K4033" t="str">
        <f>IF(E4033="","",INDEX(Knutepunkter!$D:$D,E4033+1))</f>
        <v/>
      </c>
      <c r="L4033" t="str">
        <f t="shared" si="313"/>
        <v/>
      </c>
      <c r="M4033" t="str">
        <f t="shared" si="314"/>
        <v/>
      </c>
    </row>
    <row r="4034" spans="1:13" x14ac:dyDescent="0.3">
      <c r="A4034" t="str">
        <f>Segmenter!A4034</f>
        <v/>
      </c>
      <c r="B4034" t="str">
        <f>Segmenter!B4034</f>
        <v/>
      </c>
      <c r="C4034" t="str">
        <f t="shared" ref="C4034:C4097" si="315">IF(B4034="","",IF(AND(F4034=I4034,G4034=J4034,H4034&lt;&gt;K4034),"Søyle","Bjelke"))</f>
        <v/>
      </c>
      <c r="D4034" t="str">
        <f t="shared" ref="D4034:D4097" si="316">IF(B4034="","",VALUE(LEFT(B4034,FIND(" -&gt; ",B4034)-1)))</f>
        <v/>
      </c>
      <c r="E4034" t="str">
        <f t="shared" ref="E4034:E4097" si="317">IF(B4034="","",VALUE(MID(B4034,FIND(" -&gt; ",B4034)+4,99)))</f>
        <v/>
      </c>
      <c r="F4034" t="str">
        <f>IF(D4034="","",INDEX(Knutepunkter!$B:$B,D4034+1))</f>
        <v/>
      </c>
      <c r="G4034" t="str">
        <f>IF(D4034="","",INDEX(Knutepunkter!$C:$C,D4034+1))</f>
        <v/>
      </c>
      <c r="H4034" t="str">
        <f>IF(D4034="","",INDEX(Knutepunkter!$D:$D,D4034+1))</f>
        <v/>
      </c>
      <c r="I4034" t="str">
        <f>IF(E4034="","",INDEX(Knutepunkter!$B:$B,E4034+1))</f>
        <v/>
      </c>
      <c r="J4034" t="str">
        <f>IF(E4034="","",INDEX(Knutepunkter!$C:$C,E4034+1))</f>
        <v/>
      </c>
      <c r="K4034" t="str">
        <f>IF(E4034="","",INDEX(Knutepunkter!$D:$D,E4034+1))</f>
        <v/>
      </c>
      <c r="L4034" t="str">
        <f t="shared" ref="L4034:L4097" si="318">IF(B4034="","",SQRT((I4034-F4034)^2+(J4034-G4034)^2+(K4034-H4034)^2))</f>
        <v/>
      </c>
      <c r="M4034" t="str">
        <f t="shared" ref="M4034:M4097" si="319">IF(L4034="","",L4034/1000)</f>
        <v/>
      </c>
    </row>
    <row r="4035" spans="1:13" x14ac:dyDescent="0.3">
      <c r="A4035" t="str">
        <f>Segmenter!A4035</f>
        <v/>
      </c>
      <c r="B4035" t="str">
        <f>Segmenter!B4035</f>
        <v/>
      </c>
      <c r="C4035" t="str">
        <f t="shared" si="315"/>
        <v/>
      </c>
      <c r="D4035" t="str">
        <f t="shared" si="316"/>
        <v/>
      </c>
      <c r="E4035" t="str">
        <f t="shared" si="317"/>
        <v/>
      </c>
      <c r="F4035" t="str">
        <f>IF(D4035="","",INDEX(Knutepunkter!$B:$B,D4035+1))</f>
        <v/>
      </c>
      <c r="G4035" t="str">
        <f>IF(D4035="","",INDEX(Knutepunkter!$C:$C,D4035+1))</f>
        <v/>
      </c>
      <c r="H4035" t="str">
        <f>IF(D4035="","",INDEX(Knutepunkter!$D:$D,D4035+1))</f>
        <v/>
      </c>
      <c r="I4035" t="str">
        <f>IF(E4035="","",INDEX(Knutepunkter!$B:$B,E4035+1))</f>
        <v/>
      </c>
      <c r="J4035" t="str">
        <f>IF(E4035="","",INDEX(Knutepunkter!$C:$C,E4035+1))</f>
        <v/>
      </c>
      <c r="K4035" t="str">
        <f>IF(E4035="","",INDEX(Knutepunkter!$D:$D,E4035+1))</f>
        <v/>
      </c>
      <c r="L4035" t="str">
        <f t="shared" si="318"/>
        <v/>
      </c>
      <c r="M4035" t="str">
        <f t="shared" si="319"/>
        <v/>
      </c>
    </row>
    <row r="4036" spans="1:13" x14ac:dyDescent="0.3">
      <c r="A4036" t="str">
        <f>Segmenter!A4036</f>
        <v/>
      </c>
      <c r="B4036" t="str">
        <f>Segmenter!B4036</f>
        <v/>
      </c>
      <c r="C4036" t="str">
        <f t="shared" si="315"/>
        <v/>
      </c>
      <c r="D4036" t="str">
        <f t="shared" si="316"/>
        <v/>
      </c>
      <c r="E4036" t="str">
        <f t="shared" si="317"/>
        <v/>
      </c>
      <c r="F4036" t="str">
        <f>IF(D4036="","",INDEX(Knutepunkter!$B:$B,D4036+1))</f>
        <v/>
      </c>
      <c r="G4036" t="str">
        <f>IF(D4036="","",INDEX(Knutepunkter!$C:$C,D4036+1))</f>
        <v/>
      </c>
      <c r="H4036" t="str">
        <f>IF(D4036="","",INDEX(Knutepunkter!$D:$D,D4036+1))</f>
        <v/>
      </c>
      <c r="I4036" t="str">
        <f>IF(E4036="","",INDEX(Knutepunkter!$B:$B,E4036+1))</f>
        <v/>
      </c>
      <c r="J4036" t="str">
        <f>IF(E4036="","",INDEX(Knutepunkter!$C:$C,E4036+1))</f>
        <v/>
      </c>
      <c r="K4036" t="str">
        <f>IF(E4036="","",INDEX(Knutepunkter!$D:$D,E4036+1))</f>
        <v/>
      </c>
      <c r="L4036" t="str">
        <f t="shared" si="318"/>
        <v/>
      </c>
      <c r="M4036" t="str">
        <f t="shared" si="319"/>
        <v/>
      </c>
    </row>
    <row r="4037" spans="1:13" x14ac:dyDescent="0.3">
      <c r="A4037" t="str">
        <f>Segmenter!A4037</f>
        <v/>
      </c>
      <c r="B4037" t="str">
        <f>Segmenter!B4037</f>
        <v/>
      </c>
      <c r="C4037" t="str">
        <f t="shared" si="315"/>
        <v/>
      </c>
      <c r="D4037" t="str">
        <f t="shared" si="316"/>
        <v/>
      </c>
      <c r="E4037" t="str">
        <f t="shared" si="317"/>
        <v/>
      </c>
      <c r="F4037" t="str">
        <f>IF(D4037="","",INDEX(Knutepunkter!$B:$B,D4037+1))</f>
        <v/>
      </c>
      <c r="G4037" t="str">
        <f>IF(D4037="","",INDEX(Knutepunkter!$C:$C,D4037+1))</f>
        <v/>
      </c>
      <c r="H4037" t="str">
        <f>IF(D4037="","",INDEX(Knutepunkter!$D:$D,D4037+1))</f>
        <v/>
      </c>
      <c r="I4037" t="str">
        <f>IF(E4037="","",INDEX(Knutepunkter!$B:$B,E4037+1))</f>
        <v/>
      </c>
      <c r="J4037" t="str">
        <f>IF(E4037="","",INDEX(Knutepunkter!$C:$C,E4037+1))</f>
        <v/>
      </c>
      <c r="K4037" t="str">
        <f>IF(E4037="","",INDEX(Knutepunkter!$D:$D,E4037+1))</f>
        <v/>
      </c>
      <c r="L4037" t="str">
        <f t="shared" si="318"/>
        <v/>
      </c>
      <c r="M4037" t="str">
        <f t="shared" si="319"/>
        <v/>
      </c>
    </row>
    <row r="4038" spans="1:13" x14ac:dyDescent="0.3">
      <c r="A4038" t="str">
        <f>Segmenter!A4038</f>
        <v/>
      </c>
      <c r="B4038" t="str">
        <f>Segmenter!B4038</f>
        <v/>
      </c>
      <c r="C4038" t="str">
        <f t="shared" si="315"/>
        <v/>
      </c>
      <c r="D4038" t="str">
        <f t="shared" si="316"/>
        <v/>
      </c>
      <c r="E4038" t="str">
        <f t="shared" si="317"/>
        <v/>
      </c>
      <c r="F4038" t="str">
        <f>IF(D4038="","",INDEX(Knutepunkter!$B:$B,D4038+1))</f>
        <v/>
      </c>
      <c r="G4038" t="str">
        <f>IF(D4038="","",INDEX(Knutepunkter!$C:$C,D4038+1))</f>
        <v/>
      </c>
      <c r="H4038" t="str">
        <f>IF(D4038="","",INDEX(Knutepunkter!$D:$D,D4038+1))</f>
        <v/>
      </c>
      <c r="I4038" t="str">
        <f>IF(E4038="","",INDEX(Knutepunkter!$B:$B,E4038+1))</f>
        <v/>
      </c>
      <c r="J4038" t="str">
        <f>IF(E4038="","",INDEX(Knutepunkter!$C:$C,E4038+1))</f>
        <v/>
      </c>
      <c r="K4038" t="str">
        <f>IF(E4038="","",INDEX(Knutepunkter!$D:$D,E4038+1))</f>
        <v/>
      </c>
      <c r="L4038" t="str">
        <f t="shared" si="318"/>
        <v/>
      </c>
      <c r="M4038" t="str">
        <f t="shared" si="319"/>
        <v/>
      </c>
    </row>
    <row r="4039" spans="1:13" x14ac:dyDescent="0.3">
      <c r="A4039" t="str">
        <f>Segmenter!A4039</f>
        <v/>
      </c>
      <c r="B4039" t="str">
        <f>Segmenter!B4039</f>
        <v/>
      </c>
      <c r="C4039" t="str">
        <f t="shared" si="315"/>
        <v/>
      </c>
      <c r="D4039" t="str">
        <f t="shared" si="316"/>
        <v/>
      </c>
      <c r="E4039" t="str">
        <f t="shared" si="317"/>
        <v/>
      </c>
      <c r="F4039" t="str">
        <f>IF(D4039="","",INDEX(Knutepunkter!$B:$B,D4039+1))</f>
        <v/>
      </c>
      <c r="G4039" t="str">
        <f>IF(D4039="","",INDEX(Knutepunkter!$C:$C,D4039+1))</f>
        <v/>
      </c>
      <c r="H4039" t="str">
        <f>IF(D4039="","",INDEX(Knutepunkter!$D:$D,D4039+1))</f>
        <v/>
      </c>
      <c r="I4039" t="str">
        <f>IF(E4039="","",INDEX(Knutepunkter!$B:$B,E4039+1))</f>
        <v/>
      </c>
      <c r="J4039" t="str">
        <f>IF(E4039="","",INDEX(Knutepunkter!$C:$C,E4039+1))</f>
        <v/>
      </c>
      <c r="K4039" t="str">
        <f>IF(E4039="","",INDEX(Knutepunkter!$D:$D,E4039+1))</f>
        <v/>
      </c>
      <c r="L4039" t="str">
        <f t="shared" si="318"/>
        <v/>
      </c>
      <c r="M4039" t="str">
        <f t="shared" si="319"/>
        <v/>
      </c>
    </row>
    <row r="4040" spans="1:13" x14ac:dyDescent="0.3">
      <c r="A4040" t="str">
        <f>Segmenter!A4040</f>
        <v/>
      </c>
      <c r="B4040" t="str">
        <f>Segmenter!B4040</f>
        <v/>
      </c>
      <c r="C4040" t="str">
        <f t="shared" si="315"/>
        <v/>
      </c>
      <c r="D4040" t="str">
        <f t="shared" si="316"/>
        <v/>
      </c>
      <c r="E4040" t="str">
        <f t="shared" si="317"/>
        <v/>
      </c>
      <c r="F4040" t="str">
        <f>IF(D4040="","",INDEX(Knutepunkter!$B:$B,D4040+1))</f>
        <v/>
      </c>
      <c r="G4040" t="str">
        <f>IF(D4040="","",INDEX(Knutepunkter!$C:$C,D4040+1))</f>
        <v/>
      </c>
      <c r="H4040" t="str">
        <f>IF(D4040="","",INDEX(Knutepunkter!$D:$D,D4040+1))</f>
        <v/>
      </c>
      <c r="I4040" t="str">
        <f>IF(E4040="","",INDEX(Knutepunkter!$B:$B,E4040+1))</f>
        <v/>
      </c>
      <c r="J4040" t="str">
        <f>IF(E4040="","",INDEX(Knutepunkter!$C:$C,E4040+1))</f>
        <v/>
      </c>
      <c r="K4040" t="str">
        <f>IF(E4040="","",INDEX(Knutepunkter!$D:$D,E4040+1))</f>
        <v/>
      </c>
      <c r="L4040" t="str">
        <f t="shared" si="318"/>
        <v/>
      </c>
      <c r="M4040" t="str">
        <f t="shared" si="319"/>
        <v/>
      </c>
    </row>
    <row r="4041" spans="1:13" x14ac:dyDescent="0.3">
      <c r="A4041" t="str">
        <f>Segmenter!A4041</f>
        <v/>
      </c>
      <c r="B4041" t="str">
        <f>Segmenter!B4041</f>
        <v/>
      </c>
      <c r="C4041" t="str">
        <f t="shared" si="315"/>
        <v/>
      </c>
      <c r="D4041" t="str">
        <f t="shared" si="316"/>
        <v/>
      </c>
      <c r="E4041" t="str">
        <f t="shared" si="317"/>
        <v/>
      </c>
      <c r="F4041" t="str">
        <f>IF(D4041="","",INDEX(Knutepunkter!$B:$B,D4041+1))</f>
        <v/>
      </c>
      <c r="G4041" t="str">
        <f>IF(D4041="","",INDEX(Knutepunkter!$C:$C,D4041+1))</f>
        <v/>
      </c>
      <c r="H4041" t="str">
        <f>IF(D4041="","",INDEX(Knutepunkter!$D:$D,D4041+1))</f>
        <v/>
      </c>
      <c r="I4041" t="str">
        <f>IF(E4041="","",INDEX(Knutepunkter!$B:$B,E4041+1))</f>
        <v/>
      </c>
      <c r="J4041" t="str">
        <f>IF(E4041="","",INDEX(Knutepunkter!$C:$C,E4041+1))</f>
        <v/>
      </c>
      <c r="K4041" t="str">
        <f>IF(E4041="","",INDEX(Knutepunkter!$D:$D,E4041+1))</f>
        <v/>
      </c>
      <c r="L4041" t="str">
        <f t="shared" si="318"/>
        <v/>
      </c>
      <c r="M4041" t="str">
        <f t="shared" si="319"/>
        <v/>
      </c>
    </row>
    <row r="4042" spans="1:13" x14ac:dyDescent="0.3">
      <c r="A4042" t="str">
        <f>Segmenter!A4042</f>
        <v/>
      </c>
      <c r="B4042" t="str">
        <f>Segmenter!B4042</f>
        <v/>
      </c>
      <c r="C4042" t="str">
        <f t="shared" si="315"/>
        <v/>
      </c>
      <c r="D4042" t="str">
        <f t="shared" si="316"/>
        <v/>
      </c>
      <c r="E4042" t="str">
        <f t="shared" si="317"/>
        <v/>
      </c>
      <c r="F4042" t="str">
        <f>IF(D4042="","",INDEX(Knutepunkter!$B:$B,D4042+1))</f>
        <v/>
      </c>
      <c r="G4042" t="str">
        <f>IF(D4042="","",INDEX(Knutepunkter!$C:$C,D4042+1))</f>
        <v/>
      </c>
      <c r="H4042" t="str">
        <f>IF(D4042="","",INDEX(Knutepunkter!$D:$D,D4042+1))</f>
        <v/>
      </c>
      <c r="I4042" t="str">
        <f>IF(E4042="","",INDEX(Knutepunkter!$B:$B,E4042+1))</f>
        <v/>
      </c>
      <c r="J4042" t="str">
        <f>IF(E4042="","",INDEX(Knutepunkter!$C:$C,E4042+1))</f>
        <v/>
      </c>
      <c r="K4042" t="str">
        <f>IF(E4042="","",INDEX(Knutepunkter!$D:$D,E4042+1))</f>
        <v/>
      </c>
      <c r="L4042" t="str">
        <f t="shared" si="318"/>
        <v/>
      </c>
      <c r="M4042" t="str">
        <f t="shared" si="319"/>
        <v/>
      </c>
    </row>
    <row r="4043" spans="1:13" x14ac:dyDescent="0.3">
      <c r="A4043" t="str">
        <f>Segmenter!A4043</f>
        <v/>
      </c>
      <c r="B4043" t="str">
        <f>Segmenter!B4043</f>
        <v/>
      </c>
      <c r="C4043" t="str">
        <f t="shared" si="315"/>
        <v/>
      </c>
      <c r="D4043" t="str">
        <f t="shared" si="316"/>
        <v/>
      </c>
      <c r="E4043" t="str">
        <f t="shared" si="317"/>
        <v/>
      </c>
      <c r="F4043" t="str">
        <f>IF(D4043="","",INDEX(Knutepunkter!$B:$B,D4043+1))</f>
        <v/>
      </c>
      <c r="G4043" t="str">
        <f>IF(D4043="","",INDEX(Knutepunkter!$C:$C,D4043+1))</f>
        <v/>
      </c>
      <c r="H4043" t="str">
        <f>IF(D4043="","",INDEX(Knutepunkter!$D:$D,D4043+1))</f>
        <v/>
      </c>
      <c r="I4043" t="str">
        <f>IF(E4043="","",INDEX(Knutepunkter!$B:$B,E4043+1))</f>
        <v/>
      </c>
      <c r="J4043" t="str">
        <f>IF(E4043="","",INDEX(Knutepunkter!$C:$C,E4043+1))</f>
        <v/>
      </c>
      <c r="K4043" t="str">
        <f>IF(E4043="","",INDEX(Knutepunkter!$D:$D,E4043+1))</f>
        <v/>
      </c>
      <c r="L4043" t="str">
        <f t="shared" si="318"/>
        <v/>
      </c>
      <c r="M4043" t="str">
        <f t="shared" si="319"/>
        <v/>
      </c>
    </row>
    <row r="4044" spans="1:13" x14ac:dyDescent="0.3">
      <c r="A4044" t="str">
        <f>Segmenter!A4044</f>
        <v/>
      </c>
      <c r="B4044" t="str">
        <f>Segmenter!B4044</f>
        <v/>
      </c>
      <c r="C4044" t="str">
        <f t="shared" si="315"/>
        <v/>
      </c>
      <c r="D4044" t="str">
        <f t="shared" si="316"/>
        <v/>
      </c>
      <c r="E4044" t="str">
        <f t="shared" si="317"/>
        <v/>
      </c>
      <c r="F4044" t="str">
        <f>IF(D4044="","",INDEX(Knutepunkter!$B:$B,D4044+1))</f>
        <v/>
      </c>
      <c r="G4044" t="str">
        <f>IF(D4044="","",INDEX(Knutepunkter!$C:$C,D4044+1))</f>
        <v/>
      </c>
      <c r="H4044" t="str">
        <f>IF(D4044="","",INDEX(Knutepunkter!$D:$D,D4044+1))</f>
        <v/>
      </c>
      <c r="I4044" t="str">
        <f>IF(E4044="","",INDEX(Knutepunkter!$B:$B,E4044+1))</f>
        <v/>
      </c>
      <c r="J4044" t="str">
        <f>IF(E4044="","",INDEX(Knutepunkter!$C:$C,E4044+1))</f>
        <v/>
      </c>
      <c r="K4044" t="str">
        <f>IF(E4044="","",INDEX(Knutepunkter!$D:$D,E4044+1))</f>
        <v/>
      </c>
      <c r="L4044" t="str">
        <f t="shared" si="318"/>
        <v/>
      </c>
      <c r="M4044" t="str">
        <f t="shared" si="319"/>
        <v/>
      </c>
    </row>
    <row r="4045" spans="1:13" x14ac:dyDescent="0.3">
      <c r="A4045" t="str">
        <f>Segmenter!A4045</f>
        <v/>
      </c>
      <c r="B4045" t="str">
        <f>Segmenter!B4045</f>
        <v/>
      </c>
      <c r="C4045" t="str">
        <f t="shared" si="315"/>
        <v/>
      </c>
      <c r="D4045" t="str">
        <f t="shared" si="316"/>
        <v/>
      </c>
      <c r="E4045" t="str">
        <f t="shared" si="317"/>
        <v/>
      </c>
      <c r="F4045" t="str">
        <f>IF(D4045="","",INDEX(Knutepunkter!$B:$B,D4045+1))</f>
        <v/>
      </c>
      <c r="G4045" t="str">
        <f>IF(D4045="","",INDEX(Knutepunkter!$C:$C,D4045+1))</f>
        <v/>
      </c>
      <c r="H4045" t="str">
        <f>IF(D4045="","",INDEX(Knutepunkter!$D:$D,D4045+1))</f>
        <v/>
      </c>
      <c r="I4045" t="str">
        <f>IF(E4045="","",INDEX(Knutepunkter!$B:$B,E4045+1))</f>
        <v/>
      </c>
      <c r="J4045" t="str">
        <f>IF(E4045="","",INDEX(Knutepunkter!$C:$C,E4045+1))</f>
        <v/>
      </c>
      <c r="K4045" t="str">
        <f>IF(E4045="","",INDEX(Knutepunkter!$D:$D,E4045+1))</f>
        <v/>
      </c>
      <c r="L4045" t="str">
        <f t="shared" si="318"/>
        <v/>
      </c>
      <c r="M4045" t="str">
        <f t="shared" si="319"/>
        <v/>
      </c>
    </row>
    <row r="4046" spans="1:13" x14ac:dyDescent="0.3">
      <c r="A4046" t="str">
        <f>Segmenter!A4046</f>
        <v/>
      </c>
      <c r="B4046" t="str">
        <f>Segmenter!B4046</f>
        <v/>
      </c>
      <c r="C4046" t="str">
        <f t="shared" si="315"/>
        <v/>
      </c>
      <c r="D4046" t="str">
        <f t="shared" si="316"/>
        <v/>
      </c>
      <c r="E4046" t="str">
        <f t="shared" si="317"/>
        <v/>
      </c>
      <c r="F4046" t="str">
        <f>IF(D4046="","",INDEX(Knutepunkter!$B:$B,D4046+1))</f>
        <v/>
      </c>
      <c r="G4046" t="str">
        <f>IF(D4046="","",INDEX(Knutepunkter!$C:$C,D4046+1))</f>
        <v/>
      </c>
      <c r="H4046" t="str">
        <f>IF(D4046="","",INDEX(Knutepunkter!$D:$D,D4046+1))</f>
        <v/>
      </c>
      <c r="I4046" t="str">
        <f>IF(E4046="","",INDEX(Knutepunkter!$B:$B,E4046+1))</f>
        <v/>
      </c>
      <c r="J4046" t="str">
        <f>IF(E4046="","",INDEX(Knutepunkter!$C:$C,E4046+1))</f>
        <v/>
      </c>
      <c r="K4046" t="str">
        <f>IF(E4046="","",INDEX(Knutepunkter!$D:$D,E4046+1))</f>
        <v/>
      </c>
      <c r="L4046" t="str">
        <f t="shared" si="318"/>
        <v/>
      </c>
      <c r="M4046" t="str">
        <f t="shared" si="319"/>
        <v/>
      </c>
    </row>
    <row r="4047" spans="1:13" x14ac:dyDescent="0.3">
      <c r="A4047" t="str">
        <f>Segmenter!A4047</f>
        <v/>
      </c>
      <c r="B4047" t="str">
        <f>Segmenter!B4047</f>
        <v/>
      </c>
      <c r="C4047" t="str">
        <f t="shared" si="315"/>
        <v/>
      </c>
      <c r="D4047" t="str">
        <f t="shared" si="316"/>
        <v/>
      </c>
      <c r="E4047" t="str">
        <f t="shared" si="317"/>
        <v/>
      </c>
      <c r="F4047" t="str">
        <f>IF(D4047="","",INDEX(Knutepunkter!$B:$B,D4047+1))</f>
        <v/>
      </c>
      <c r="G4047" t="str">
        <f>IF(D4047="","",INDEX(Knutepunkter!$C:$C,D4047+1))</f>
        <v/>
      </c>
      <c r="H4047" t="str">
        <f>IF(D4047="","",INDEX(Knutepunkter!$D:$D,D4047+1))</f>
        <v/>
      </c>
      <c r="I4047" t="str">
        <f>IF(E4047="","",INDEX(Knutepunkter!$B:$B,E4047+1))</f>
        <v/>
      </c>
      <c r="J4047" t="str">
        <f>IF(E4047="","",INDEX(Knutepunkter!$C:$C,E4047+1))</f>
        <v/>
      </c>
      <c r="K4047" t="str">
        <f>IF(E4047="","",INDEX(Knutepunkter!$D:$D,E4047+1))</f>
        <v/>
      </c>
      <c r="L4047" t="str">
        <f t="shared" si="318"/>
        <v/>
      </c>
      <c r="M4047" t="str">
        <f t="shared" si="319"/>
        <v/>
      </c>
    </row>
    <row r="4048" spans="1:13" x14ac:dyDescent="0.3">
      <c r="A4048" t="str">
        <f>Segmenter!A4048</f>
        <v/>
      </c>
      <c r="B4048" t="str">
        <f>Segmenter!B4048</f>
        <v/>
      </c>
      <c r="C4048" t="str">
        <f t="shared" si="315"/>
        <v/>
      </c>
      <c r="D4048" t="str">
        <f t="shared" si="316"/>
        <v/>
      </c>
      <c r="E4048" t="str">
        <f t="shared" si="317"/>
        <v/>
      </c>
      <c r="F4048" t="str">
        <f>IF(D4048="","",INDEX(Knutepunkter!$B:$B,D4048+1))</f>
        <v/>
      </c>
      <c r="G4048" t="str">
        <f>IF(D4048="","",INDEX(Knutepunkter!$C:$C,D4048+1))</f>
        <v/>
      </c>
      <c r="H4048" t="str">
        <f>IF(D4048="","",INDEX(Knutepunkter!$D:$D,D4048+1))</f>
        <v/>
      </c>
      <c r="I4048" t="str">
        <f>IF(E4048="","",INDEX(Knutepunkter!$B:$B,E4048+1))</f>
        <v/>
      </c>
      <c r="J4048" t="str">
        <f>IF(E4048="","",INDEX(Knutepunkter!$C:$C,E4048+1))</f>
        <v/>
      </c>
      <c r="K4048" t="str">
        <f>IF(E4048="","",INDEX(Knutepunkter!$D:$D,E4048+1))</f>
        <v/>
      </c>
      <c r="L4048" t="str">
        <f t="shared" si="318"/>
        <v/>
      </c>
      <c r="M4048" t="str">
        <f t="shared" si="319"/>
        <v/>
      </c>
    </row>
    <row r="4049" spans="1:13" x14ac:dyDescent="0.3">
      <c r="A4049" t="str">
        <f>Segmenter!A4049</f>
        <v/>
      </c>
      <c r="B4049" t="str">
        <f>Segmenter!B4049</f>
        <v/>
      </c>
      <c r="C4049" t="str">
        <f t="shared" si="315"/>
        <v/>
      </c>
      <c r="D4049" t="str">
        <f t="shared" si="316"/>
        <v/>
      </c>
      <c r="E4049" t="str">
        <f t="shared" si="317"/>
        <v/>
      </c>
      <c r="F4049" t="str">
        <f>IF(D4049="","",INDEX(Knutepunkter!$B:$B,D4049+1))</f>
        <v/>
      </c>
      <c r="G4049" t="str">
        <f>IF(D4049="","",INDEX(Knutepunkter!$C:$C,D4049+1))</f>
        <v/>
      </c>
      <c r="H4049" t="str">
        <f>IF(D4049="","",INDEX(Knutepunkter!$D:$D,D4049+1))</f>
        <v/>
      </c>
      <c r="I4049" t="str">
        <f>IF(E4049="","",INDEX(Knutepunkter!$B:$B,E4049+1))</f>
        <v/>
      </c>
      <c r="J4049" t="str">
        <f>IF(E4049="","",INDEX(Knutepunkter!$C:$C,E4049+1))</f>
        <v/>
      </c>
      <c r="K4049" t="str">
        <f>IF(E4049="","",INDEX(Knutepunkter!$D:$D,E4049+1))</f>
        <v/>
      </c>
      <c r="L4049" t="str">
        <f t="shared" si="318"/>
        <v/>
      </c>
      <c r="M4049" t="str">
        <f t="shared" si="319"/>
        <v/>
      </c>
    </row>
    <row r="4050" spans="1:13" x14ac:dyDescent="0.3">
      <c r="A4050" t="str">
        <f>Segmenter!A4050</f>
        <v/>
      </c>
      <c r="B4050" t="str">
        <f>Segmenter!B4050</f>
        <v/>
      </c>
      <c r="C4050" t="str">
        <f t="shared" si="315"/>
        <v/>
      </c>
      <c r="D4050" t="str">
        <f t="shared" si="316"/>
        <v/>
      </c>
      <c r="E4050" t="str">
        <f t="shared" si="317"/>
        <v/>
      </c>
      <c r="F4050" t="str">
        <f>IF(D4050="","",INDEX(Knutepunkter!$B:$B,D4050+1))</f>
        <v/>
      </c>
      <c r="G4050" t="str">
        <f>IF(D4050="","",INDEX(Knutepunkter!$C:$C,D4050+1))</f>
        <v/>
      </c>
      <c r="H4050" t="str">
        <f>IF(D4050="","",INDEX(Knutepunkter!$D:$D,D4050+1))</f>
        <v/>
      </c>
      <c r="I4050" t="str">
        <f>IF(E4050="","",INDEX(Knutepunkter!$B:$B,E4050+1))</f>
        <v/>
      </c>
      <c r="J4050" t="str">
        <f>IF(E4050="","",INDEX(Knutepunkter!$C:$C,E4050+1))</f>
        <v/>
      </c>
      <c r="K4050" t="str">
        <f>IF(E4050="","",INDEX(Knutepunkter!$D:$D,E4050+1))</f>
        <v/>
      </c>
      <c r="L4050" t="str">
        <f t="shared" si="318"/>
        <v/>
      </c>
      <c r="M4050" t="str">
        <f t="shared" si="319"/>
        <v/>
      </c>
    </row>
    <row r="4051" spans="1:13" x14ac:dyDescent="0.3">
      <c r="A4051" t="str">
        <f>Segmenter!A4051</f>
        <v/>
      </c>
      <c r="B4051" t="str">
        <f>Segmenter!B4051</f>
        <v/>
      </c>
      <c r="C4051" t="str">
        <f t="shared" si="315"/>
        <v/>
      </c>
      <c r="D4051" t="str">
        <f t="shared" si="316"/>
        <v/>
      </c>
      <c r="E4051" t="str">
        <f t="shared" si="317"/>
        <v/>
      </c>
      <c r="F4051" t="str">
        <f>IF(D4051="","",INDEX(Knutepunkter!$B:$B,D4051+1))</f>
        <v/>
      </c>
      <c r="G4051" t="str">
        <f>IF(D4051="","",INDEX(Knutepunkter!$C:$C,D4051+1))</f>
        <v/>
      </c>
      <c r="H4051" t="str">
        <f>IF(D4051="","",INDEX(Knutepunkter!$D:$D,D4051+1))</f>
        <v/>
      </c>
      <c r="I4051" t="str">
        <f>IF(E4051="","",INDEX(Knutepunkter!$B:$B,E4051+1))</f>
        <v/>
      </c>
      <c r="J4051" t="str">
        <f>IF(E4051="","",INDEX(Knutepunkter!$C:$C,E4051+1))</f>
        <v/>
      </c>
      <c r="K4051" t="str">
        <f>IF(E4051="","",INDEX(Knutepunkter!$D:$D,E4051+1))</f>
        <v/>
      </c>
      <c r="L4051" t="str">
        <f t="shared" si="318"/>
        <v/>
      </c>
      <c r="M4051" t="str">
        <f t="shared" si="319"/>
        <v/>
      </c>
    </row>
    <row r="4052" spans="1:13" x14ac:dyDescent="0.3">
      <c r="A4052" t="str">
        <f>Segmenter!A4052</f>
        <v/>
      </c>
      <c r="B4052" t="str">
        <f>Segmenter!B4052</f>
        <v/>
      </c>
      <c r="C4052" t="str">
        <f t="shared" si="315"/>
        <v/>
      </c>
      <c r="D4052" t="str">
        <f t="shared" si="316"/>
        <v/>
      </c>
      <c r="E4052" t="str">
        <f t="shared" si="317"/>
        <v/>
      </c>
      <c r="F4052" t="str">
        <f>IF(D4052="","",INDEX(Knutepunkter!$B:$B,D4052+1))</f>
        <v/>
      </c>
      <c r="G4052" t="str">
        <f>IF(D4052="","",INDEX(Knutepunkter!$C:$C,D4052+1))</f>
        <v/>
      </c>
      <c r="H4052" t="str">
        <f>IF(D4052="","",INDEX(Knutepunkter!$D:$D,D4052+1))</f>
        <v/>
      </c>
      <c r="I4052" t="str">
        <f>IF(E4052="","",INDEX(Knutepunkter!$B:$B,E4052+1))</f>
        <v/>
      </c>
      <c r="J4052" t="str">
        <f>IF(E4052="","",INDEX(Knutepunkter!$C:$C,E4052+1))</f>
        <v/>
      </c>
      <c r="K4052" t="str">
        <f>IF(E4052="","",INDEX(Knutepunkter!$D:$D,E4052+1))</f>
        <v/>
      </c>
      <c r="L4052" t="str">
        <f t="shared" si="318"/>
        <v/>
      </c>
      <c r="M4052" t="str">
        <f t="shared" si="319"/>
        <v/>
      </c>
    </row>
    <row r="4053" spans="1:13" x14ac:dyDescent="0.3">
      <c r="A4053" t="str">
        <f>Segmenter!A4053</f>
        <v/>
      </c>
      <c r="B4053" t="str">
        <f>Segmenter!B4053</f>
        <v/>
      </c>
      <c r="C4053" t="str">
        <f t="shared" si="315"/>
        <v/>
      </c>
      <c r="D4053" t="str">
        <f t="shared" si="316"/>
        <v/>
      </c>
      <c r="E4053" t="str">
        <f t="shared" si="317"/>
        <v/>
      </c>
      <c r="F4053" t="str">
        <f>IF(D4053="","",INDEX(Knutepunkter!$B:$B,D4053+1))</f>
        <v/>
      </c>
      <c r="G4053" t="str">
        <f>IF(D4053="","",INDEX(Knutepunkter!$C:$C,D4053+1))</f>
        <v/>
      </c>
      <c r="H4053" t="str">
        <f>IF(D4053="","",INDEX(Knutepunkter!$D:$D,D4053+1))</f>
        <v/>
      </c>
      <c r="I4053" t="str">
        <f>IF(E4053="","",INDEX(Knutepunkter!$B:$B,E4053+1))</f>
        <v/>
      </c>
      <c r="J4053" t="str">
        <f>IF(E4053="","",INDEX(Knutepunkter!$C:$C,E4053+1))</f>
        <v/>
      </c>
      <c r="K4053" t="str">
        <f>IF(E4053="","",INDEX(Knutepunkter!$D:$D,E4053+1))</f>
        <v/>
      </c>
      <c r="L4053" t="str">
        <f t="shared" si="318"/>
        <v/>
      </c>
      <c r="M4053" t="str">
        <f t="shared" si="319"/>
        <v/>
      </c>
    </row>
    <row r="4054" spans="1:13" x14ac:dyDescent="0.3">
      <c r="A4054" t="str">
        <f>Segmenter!A4054</f>
        <v/>
      </c>
      <c r="B4054" t="str">
        <f>Segmenter!B4054</f>
        <v/>
      </c>
      <c r="C4054" t="str">
        <f t="shared" si="315"/>
        <v/>
      </c>
      <c r="D4054" t="str">
        <f t="shared" si="316"/>
        <v/>
      </c>
      <c r="E4054" t="str">
        <f t="shared" si="317"/>
        <v/>
      </c>
      <c r="F4054" t="str">
        <f>IF(D4054="","",INDEX(Knutepunkter!$B:$B,D4054+1))</f>
        <v/>
      </c>
      <c r="G4054" t="str">
        <f>IF(D4054="","",INDEX(Knutepunkter!$C:$C,D4054+1))</f>
        <v/>
      </c>
      <c r="H4054" t="str">
        <f>IF(D4054="","",INDEX(Knutepunkter!$D:$D,D4054+1))</f>
        <v/>
      </c>
      <c r="I4054" t="str">
        <f>IF(E4054="","",INDEX(Knutepunkter!$B:$B,E4054+1))</f>
        <v/>
      </c>
      <c r="J4054" t="str">
        <f>IF(E4054="","",INDEX(Knutepunkter!$C:$C,E4054+1))</f>
        <v/>
      </c>
      <c r="K4054" t="str">
        <f>IF(E4054="","",INDEX(Knutepunkter!$D:$D,E4054+1))</f>
        <v/>
      </c>
      <c r="L4054" t="str">
        <f t="shared" si="318"/>
        <v/>
      </c>
      <c r="M4054" t="str">
        <f t="shared" si="319"/>
        <v/>
      </c>
    </row>
    <row r="4055" spans="1:13" x14ac:dyDescent="0.3">
      <c r="A4055" t="str">
        <f>Segmenter!A4055</f>
        <v/>
      </c>
      <c r="B4055" t="str">
        <f>Segmenter!B4055</f>
        <v/>
      </c>
      <c r="C4055" t="str">
        <f t="shared" si="315"/>
        <v/>
      </c>
      <c r="D4055" t="str">
        <f t="shared" si="316"/>
        <v/>
      </c>
      <c r="E4055" t="str">
        <f t="shared" si="317"/>
        <v/>
      </c>
      <c r="F4055" t="str">
        <f>IF(D4055="","",INDEX(Knutepunkter!$B:$B,D4055+1))</f>
        <v/>
      </c>
      <c r="G4055" t="str">
        <f>IF(D4055="","",INDEX(Knutepunkter!$C:$C,D4055+1))</f>
        <v/>
      </c>
      <c r="H4055" t="str">
        <f>IF(D4055="","",INDEX(Knutepunkter!$D:$D,D4055+1))</f>
        <v/>
      </c>
      <c r="I4055" t="str">
        <f>IF(E4055="","",INDEX(Knutepunkter!$B:$B,E4055+1))</f>
        <v/>
      </c>
      <c r="J4055" t="str">
        <f>IF(E4055="","",INDEX(Knutepunkter!$C:$C,E4055+1))</f>
        <v/>
      </c>
      <c r="K4055" t="str">
        <f>IF(E4055="","",INDEX(Knutepunkter!$D:$D,E4055+1))</f>
        <v/>
      </c>
      <c r="L4055" t="str">
        <f t="shared" si="318"/>
        <v/>
      </c>
      <c r="M4055" t="str">
        <f t="shared" si="319"/>
        <v/>
      </c>
    </row>
    <row r="4056" spans="1:13" x14ac:dyDescent="0.3">
      <c r="A4056" t="str">
        <f>Segmenter!A4056</f>
        <v/>
      </c>
      <c r="B4056" t="str">
        <f>Segmenter!B4056</f>
        <v/>
      </c>
      <c r="C4056" t="str">
        <f t="shared" si="315"/>
        <v/>
      </c>
      <c r="D4056" t="str">
        <f t="shared" si="316"/>
        <v/>
      </c>
      <c r="E4056" t="str">
        <f t="shared" si="317"/>
        <v/>
      </c>
      <c r="F4056" t="str">
        <f>IF(D4056="","",INDEX(Knutepunkter!$B:$B,D4056+1))</f>
        <v/>
      </c>
      <c r="G4056" t="str">
        <f>IF(D4056="","",INDEX(Knutepunkter!$C:$C,D4056+1))</f>
        <v/>
      </c>
      <c r="H4056" t="str">
        <f>IF(D4056="","",INDEX(Knutepunkter!$D:$D,D4056+1))</f>
        <v/>
      </c>
      <c r="I4056" t="str">
        <f>IF(E4056="","",INDEX(Knutepunkter!$B:$B,E4056+1))</f>
        <v/>
      </c>
      <c r="J4056" t="str">
        <f>IF(E4056="","",INDEX(Knutepunkter!$C:$C,E4056+1))</f>
        <v/>
      </c>
      <c r="K4056" t="str">
        <f>IF(E4056="","",INDEX(Knutepunkter!$D:$D,E4056+1))</f>
        <v/>
      </c>
      <c r="L4056" t="str">
        <f t="shared" si="318"/>
        <v/>
      </c>
      <c r="M4056" t="str">
        <f t="shared" si="319"/>
        <v/>
      </c>
    </row>
    <row r="4057" spans="1:13" x14ac:dyDescent="0.3">
      <c r="A4057" t="str">
        <f>Segmenter!A4057</f>
        <v/>
      </c>
      <c r="B4057" t="str">
        <f>Segmenter!B4057</f>
        <v/>
      </c>
      <c r="C4057" t="str">
        <f t="shared" si="315"/>
        <v/>
      </c>
      <c r="D4057" t="str">
        <f t="shared" si="316"/>
        <v/>
      </c>
      <c r="E4057" t="str">
        <f t="shared" si="317"/>
        <v/>
      </c>
      <c r="F4057" t="str">
        <f>IF(D4057="","",INDEX(Knutepunkter!$B:$B,D4057+1))</f>
        <v/>
      </c>
      <c r="G4057" t="str">
        <f>IF(D4057="","",INDEX(Knutepunkter!$C:$C,D4057+1))</f>
        <v/>
      </c>
      <c r="H4057" t="str">
        <f>IF(D4057="","",INDEX(Knutepunkter!$D:$D,D4057+1))</f>
        <v/>
      </c>
      <c r="I4057" t="str">
        <f>IF(E4057="","",INDEX(Knutepunkter!$B:$B,E4057+1))</f>
        <v/>
      </c>
      <c r="J4057" t="str">
        <f>IF(E4057="","",INDEX(Knutepunkter!$C:$C,E4057+1))</f>
        <v/>
      </c>
      <c r="K4057" t="str">
        <f>IF(E4057="","",INDEX(Knutepunkter!$D:$D,E4057+1))</f>
        <v/>
      </c>
      <c r="L4057" t="str">
        <f t="shared" si="318"/>
        <v/>
      </c>
      <c r="M4057" t="str">
        <f t="shared" si="319"/>
        <v/>
      </c>
    </row>
    <row r="4058" spans="1:13" x14ac:dyDescent="0.3">
      <c r="A4058" t="str">
        <f>Segmenter!A4058</f>
        <v/>
      </c>
      <c r="B4058" t="str">
        <f>Segmenter!B4058</f>
        <v/>
      </c>
      <c r="C4058" t="str">
        <f t="shared" si="315"/>
        <v/>
      </c>
      <c r="D4058" t="str">
        <f t="shared" si="316"/>
        <v/>
      </c>
      <c r="E4058" t="str">
        <f t="shared" si="317"/>
        <v/>
      </c>
      <c r="F4058" t="str">
        <f>IF(D4058="","",INDEX(Knutepunkter!$B:$B,D4058+1))</f>
        <v/>
      </c>
      <c r="G4058" t="str">
        <f>IF(D4058="","",INDEX(Knutepunkter!$C:$C,D4058+1))</f>
        <v/>
      </c>
      <c r="H4058" t="str">
        <f>IF(D4058="","",INDEX(Knutepunkter!$D:$D,D4058+1))</f>
        <v/>
      </c>
      <c r="I4058" t="str">
        <f>IF(E4058="","",INDEX(Knutepunkter!$B:$B,E4058+1))</f>
        <v/>
      </c>
      <c r="J4058" t="str">
        <f>IF(E4058="","",INDEX(Knutepunkter!$C:$C,E4058+1))</f>
        <v/>
      </c>
      <c r="K4058" t="str">
        <f>IF(E4058="","",INDEX(Knutepunkter!$D:$D,E4058+1))</f>
        <v/>
      </c>
      <c r="L4058" t="str">
        <f t="shared" si="318"/>
        <v/>
      </c>
      <c r="M4058" t="str">
        <f t="shared" si="319"/>
        <v/>
      </c>
    </row>
    <row r="4059" spans="1:13" x14ac:dyDescent="0.3">
      <c r="A4059" t="str">
        <f>Segmenter!A4059</f>
        <v/>
      </c>
      <c r="B4059" t="str">
        <f>Segmenter!B4059</f>
        <v/>
      </c>
      <c r="C4059" t="str">
        <f t="shared" si="315"/>
        <v/>
      </c>
      <c r="D4059" t="str">
        <f t="shared" si="316"/>
        <v/>
      </c>
      <c r="E4059" t="str">
        <f t="shared" si="317"/>
        <v/>
      </c>
      <c r="F4059" t="str">
        <f>IF(D4059="","",INDEX(Knutepunkter!$B:$B,D4059+1))</f>
        <v/>
      </c>
      <c r="G4059" t="str">
        <f>IF(D4059="","",INDEX(Knutepunkter!$C:$C,D4059+1))</f>
        <v/>
      </c>
      <c r="H4059" t="str">
        <f>IF(D4059="","",INDEX(Knutepunkter!$D:$D,D4059+1))</f>
        <v/>
      </c>
      <c r="I4059" t="str">
        <f>IF(E4059="","",INDEX(Knutepunkter!$B:$B,E4059+1))</f>
        <v/>
      </c>
      <c r="J4059" t="str">
        <f>IF(E4059="","",INDEX(Knutepunkter!$C:$C,E4059+1))</f>
        <v/>
      </c>
      <c r="K4059" t="str">
        <f>IF(E4059="","",INDEX(Knutepunkter!$D:$D,E4059+1))</f>
        <v/>
      </c>
      <c r="L4059" t="str">
        <f t="shared" si="318"/>
        <v/>
      </c>
      <c r="M4059" t="str">
        <f t="shared" si="319"/>
        <v/>
      </c>
    </row>
    <row r="4060" spans="1:13" x14ac:dyDescent="0.3">
      <c r="A4060" t="str">
        <f>Segmenter!A4060</f>
        <v/>
      </c>
      <c r="B4060" t="str">
        <f>Segmenter!B4060</f>
        <v/>
      </c>
      <c r="C4060" t="str">
        <f t="shared" si="315"/>
        <v/>
      </c>
      <c r="D4060" t="str">
        <f t="shared" si="316"/>
        <v/>
      </c>
      <c r="E4060" t="str">
        <f t="shared" si="317"/>
        <v/>
      </c>
      <c r="F4060" t="str">
        <f>IF(D4060="","",INDEX(Knutepunkter!$B:$B,D4060+1))</f>
        <v/>
      </c>
      <c r="G4060" t="str">
        <f>IF(D4060="","",INDEX(Knutepunkter!$C:$C,D4060+1))</f>
        <v/>
      </c>
      <c r="H4060" t="str">
        <f>IF(D4060="","",INDEX(Knutepunkter!$D:$D,D4060+1))</f>
        <v/>
      </c>
      <c r="I4060" t="str">
        <f>IF(E4060="","",INDEX(Knutepunkter!$B:$B,E4060+1))</f>
        <v/>
      </c>
      <c r="J4060" t="str">
        <f>IF(E4060="","",INDEX(Knutepunkter!$C:$C,E4060+1))</f>
        <v/>
      </c>
      <c r="K4060" t="str">
        <f>IF(E4060="","",INDEX(Knutepunkter!$D:$D,E4060+1))</f>
        <v/>
      </c>
      <c r="L4060" t="str">
        <f t="shared" si="318"/>
        <v/>
      </c>
      <c r="M4060" t="str">
        <f t="shared" si="319"/>
        <v/>
      </c>
    </row>
    <row r="4061" spans="1:13" x14ac:dyDescent="0.3">
      <c r="A4061" t="str">
        <f>Segmenter!A4061</f>
        <v/>
      </c>
      <c r="B4061" t="str">
        <f>Segmenter!B4061</f>
        <v/>
      </c>
      <c r="C4061" t="str">
        <f t="shared" si="315"/>
        <v/>
      </c>
      <c r="D4061" t="str">
        <f t="shared" si="316"/>
        <v/>
      </c>
      <c r="E4061" t="str">
        <f t="shared" si="317"/>
        <v/>
      </c>
      <c r="F4061" t="str">
        <f>IF(D4061="","",INDEX(Knutepunkter!$B:$B,D4061+1))</f>
        <v/>
      </c>
      <c r="G4061" t="str">
        <f>IF(D4061="","",INDEX(Knutepunkter!$C:$C,D4061+1))</f>
        <v/>
      </c>
      <c r="H4061" t="str">
        <f>IF(D4061="","",INDEX(Knutepunkter!$D:$D,D4061+1))</f>
        <v/>
      </c>
      <c r="I4061" t="str">
        <f>IF(E4061="","",INDEX(Knutepunkter!$B:$B,E4061+1))</f>
        <v/>
      </c>
      <c r="J4061" t="str">
        <f>IF(E4061="","",INDEX(Knutepunkter!$C:$C,E4061+1))</f>
        <v/>
      </c>
      <c r="K4061" t="str">
        <f>IF(E4061="","",INDEX(Knutepunkter!$D:$D,E4061+1))</f>
        <v/>
      </c>
      <c r="L4061" t="str">
        <f t="shared" si="318"/>
        <v/>
      </c>
      <c r="M4061" t="str">
        <f t="shared" si="319"/>
        <v/>
      </c>
    </row>
    <row r="4062" spans="1:13" x14ac:dyDescent="0.3">
      <c r="A4062" t="str">
        <f>Segmenter!A4062</f>
        <v/>
      </c>
      <c r="B4062" t="str">
        <f>Segmenter!B4062</f>
        <v/>
      </c>
      <c r="C4062" t="str">
        <f t="shared" si="315"/>
        <v/>
      </c>
      <c r="D4062" t="str">
        <f t="shared" si="316"/>
        <v/>
      </c>
      <c r="E4062" t="str">
        <f t="shared" si="317"/>
        <v/>
      </c>
      <c r="F4062" t="str">
        <f>IF(D4062="","",INDEX(Knutepunkter!$B:$B,D4062+1))</f>
        <v/>
      </c>
      <c r="G4062" t="str">
        <f>IF(D4062="","",INDEX(Knutepunkter!$C:$C,D4062+1))</f>
        <v/>
      </c>
      <c r="H4062" t="str">
        <f>IF(D4062="","",INDEX(Knutepunkter!$D:$D,D4062+1))</f>
        <v/>
      </c>
      <c r="I4062" t="str">
        <f>IF(E4062="","",INDEX(Knutepunkter!$B:$B,E4062+1))</f>
        <v/>
      </c>
      <c r="J4062" t="str">
        <f>IF(E4062="","",INDEX(Knutepunkter!$C:$C,E4062+1))</f>
        <v/>
      </c>
      <c r="K4062" t="str">
        <f>IF(E4062="","",INDEX(Knutepunkter!$D:$D,E4062+1))</f>
        <v/>
      </c>
      <c r="L4062" t="str">
        <f t="shared" si="318"/>
        <v/>
      </c>
      <c r="M4062" t="str">
        <f t="shared" si="319"/>
        <v/>
      </c>
    </row>
    <row r="4063" spans="1:13" x14ac:dyDescent="0.3">
      <c r="A4063" t="str">
        <f>Segmenter!A4063</f>
        <v/>
      </c>
      <c r="B4063" t="str">
        <f>Segmenter!B4063</f>
        <v/>
      </c>
      <c r="C4063" t="str">
        <f t="shared" si="315"/>
        <v/>
      </c>
      <c r="D4063" t="str">
        <f t="shared" si="316"/>
        <v/>
      </c>
      <c r="E4063" t="str">
        <f t="shared" si="317"/>
        <v/>
      </c>
      <c r="F4063" t="str">
        <f>IF(D4063="","",INDEX(Knutepunkter!$B:$B,D4063+1))</f>
        <v/>
      </c>
      <c r="G4063" t="str">
        <f>IF(D4063="","",INDEX(Knutepunkter!$C:$C,D4063+1))</f>
        <v/>
      </c>
      <c r="H4063" t="str">
        <f>IF(D4063="","",INDEX(Knutepunkter!$D:$D,D4063+1))</f>
        <v/>
      </c>
      <c r="I4063" t="str">
        <f>IF(E4063="","",INDEX(Knutepunkter!$B:$B,E4063+1))</f>
        <v/>
      </c>
      <c r="J4063" t="str">
        <f>IF(E4063="","",INDEX(Knutepunkter!$C:$C,E4063+1))</f>
        <v/>
      </c>
      <c r="K4063" t="str">
        <f>IF(E4063="","",INDEX(Knutepunkter!$D:$D,E4063+1))</f>
        <v/>
      </c>
      <c r="L4063" t="str">
        <f t="shared" si="318"/>
        <v/>
      </c>
      <c r="M4063" t="str">
        <f t="shared" si="319"/>
        <v/>
      </c>
    </row>
    <row r="4064" spans="1:13" x14ac:dyDescent="0.3">
      <c r="A4064" t="str">
        <f>Segmenter!A4064</f>
        <v/>
      </c>
      <c r="B4064" t="str">
        <f>Segmenter!B4064</f>
        <v/>
      </c>
      <c r="C4064" t="str">
        <f t="shared" si="315"/>
        <v/>
      </c>
      <c r="D4064" t="str">
        <f t="shared" si="316"/>
        <v/>
      </c>
      <c r="E4064" t="str">
        <f t="shared" si="317"/>
        <v/>
      </c>
      <c r="F4064" t="str">
        <f>IF(D4064="","",INDEX(Knutepunkter!$B:$B,D4064+1))</f>
        <v/>
      </c>
      <c r="G4064" t="str">
        <f>IF(D4064="","",INDEX(Knutepunkter!$C:$C,D4064+1))</f>
        <v/>
      </c>
      <c r="H4064" t="str">
        <f>IF(D4064="","",INDEX(Knutepunkter!$D:$D,D4064+1))</f>
        <v/>
      </c>
      <c r="I4064" t="str">
        <f>IF(E4064="","",INDEX(Knutepunkter!$B:$B,E4064+1))</f>
        <v/>
      </c>
      <c r="J4064" t="str">
        <f>IF(E4064="","",INDEX(Knutepunkter!$C:$C,E4064+1))</f>
        <v/>
      </c>
      <c r="K4064" t="str">
        <f>IF(E4064="","",INDEX(Knutepunkter!$D:$D,E4064+1))</f>
        <v/>
      </c>
      <c r="L4064" t="str">
        <f t="shared" si="318"/>
        <v/>
      </c>
      <c r="M4064" t="str">
        <f t="shared" si="319"/>
        <v/>
      </c>
    </row>
    <row r="4065" spans="1:13" x14ac:dyDescent="0.3">
      <c r="A4065" t="str">
        <f>Segmenter!A4065</f>
        <v/>
      </c>
      <c r="B4065" t="str">
        <f>Segmenter!B4065</f>
        <v/>
      </c>
      <c r="C4065" t="str">
        <f t="shared" si="315"/>
        <v/>
      </c>
      <c r="D4065" t="str">
        <f t="shared" si="316"/>
        <v/>
      </c>
      <c r="E4065" t="str">
        <f t="shared" si="317"/>
        <v/>
      </c>
      <c r="F4065" t="str">
        <f>IF(D4065="","",INDEX(Knutepunkter!$B:$B,D4065+1))</f>
        <v/>
      </c>
      <c r="G4065" t="str">
        <f>IF(D4065="","",INDEX(Knutepunkter!$C:$C,D4065+1))</f>
        <v/>
      </c>
      <c r="H4065" t="str">
        <f>IF(D4065="","",INDEX(Knutepunkter!$D:$D,D4065+1))</f>
        <v/>
      </c>
      <c r="I4065" t="str">
        <f>IF(E4065="","",INDEX(Knutepunkter!$B:$B,E4065+1))</f>
        <v/>
      </c>
      <c r="J4065" t="str">
        <f>IF(E4065="","",INDEX(Knutepunkter!$C:$C,E4065+1))</f>
        <v/>
      </c>
      <c r="K4065" t="str">
        <f>IF(E4065="","",INDEX(Knutepunkter!$D:$D,E4065+1))</f>
        <v/>
      </c>
      <c r="L4065" t="str">
        <f t="shared" si="318"/>
        <v/>
      </c>
      <c r="M4065" t="str">
        <f t="shared" si="319"/>
        <v/>
      </c>
    </row>
    <row r="4066" spans="1:13" x14ac:dyDescent="0.3">
      <c r="A4066" t="str">
        <f>Segmenter!A4066</f>
        <v/>
      </c>
      <c r="B4066" t="str">
        <f>Segmenter!B4066</f>
        <v/>
      </c>
      <c r="C4066" t="str">
        <f t="shared" si="315"/>
        <v/>
      </c>
      <c r="D4066" t="str">
        <f t="shared" si="316"/>
        <v/>
      </c>
      <c r="E4066" t="str">
        <f t="shared" si="317"/>
        <v/>
      </c>
      <c r="F4066" t="str">
        <f>IF(D4066="","",INDEX(Knutepunkter!$B:$B,D4066+1))</f>
        <v/>
      </c>
      <c r="G4066" t="str">
        <f>IF(D4066="","",INDEX(Knutepunkter!$C:$C,D4066+1))</f>
        <v/>
      </c>
      <c r="H4066" t="str">
        <f>IF(D4066="","",INDEX(Knutepunkter!$D:$D,D4066+1))</f>
        <v/>
      </c>
      <c r="I4066" t="str">
        <f>IF(E4066="","",INDEX(Knutepunkter!$B:$B,E4066+1))</f>
        <v/>
      </c>
      <c r="J4066" t="str">
        <f>IF(E4066="","",INDEX(Knutepunkter!$C:$C,E4066+1))</f>
        <v/>
      </c>
      <c r="K4066" t="str">
        <f>IF(E4066="","",INDEX(Knutepunkter!$D:$D,E4066+1))</f>
        <v/>
      </c>
      <c r="L4066" t="str">
        <f t="shared" si="318"/>
        <v/>
      </c>
      <c r="M4066" t="str">
        <f t="shared" si="319"/>
        <v/>
      </c>
    </row>
    <row r="4067" spans="1:13" x14ac:dyDescent="0.3">
      <c r="A4067" t="str">
        <f>Segmenter!A4067</f>
        <v/>
      </c>
      <c r="B4067" t="str">
        <f>Segmenter!B4067</f>
        <v/>
      </c>
      <c r="C4067" t="str">
        <f t="shared" si="315"/>
        <v/>
      </c>
      <c r="D4067" t="str">
        <f t="shared" si="316"/>
        <v/>
      </c>
      <c r="E4067" t="str">
        <f t="shared" si="317"/>
        <v/>
      </c>
      <c r="F4067" t="str">
        <f>IF(D4067="","",INDEX(Knutepunkter!$B:$B,D4067+1))</f>
        <v/>
      </c>
      <c r="G4067" t="str">
        <f>IF(D4067="","",INDEX(Knutepunkter!$C:$C,D4067+1))</f>
        <v/>
      </c>
      <c r="H4067" t="str">
        <f>IF(D4067="","",INDEX(Knutepunkter!$D:$D,D4067+1))</f>
        <v/>
      </c>
      <c r="I4067" t="str">
        <f>IF(E4067="","",INDEX(Knutepunkter!$B:$B,E4067+1))</f>
        <v/>
      </c>
      <c r="J4067" t="str">
        <f>IF(E4067="","",INDEX(Knutepunkter!$C:$C,E4067+1))</f>
        <v/>
      </c>
      <c r="K4067" t="str">
        <f>IF(E4067="","",INDEX(Knutepunkter!$D:$D,E4067+1))</f>
        <v/>
      </c>
      <c r="L4067" t="str">
        <f t="shared" si="318"/>
        <v/>
      </c>
      <c r="M4067" t="str">
        <f t="shared" si="319"/>
        <v/>
      </c>
    </row>
    <row r="4068" spans="1:13" x14ac:dyDescent="0.3">
      <c r="A4068" t="str">
        <f>Segmenter!A4068</f>
        <v/>
      </c>
      <c r="B4068" t="str">
        <f>Segmenter!B4068</f>
        <v/>
      </c>
      <c r="C4068" t="str">
        <f t="shared" si="315"/>
        <v/>
      </c>
      <c r="D4068" t="str">
        <f t="shared" si="316"/>
        <v/>
      </c>
      <c r="E4068" t="str">
        <f t="shared" si="317"/>
        <v/>
      </c>
      <c r="F4068" t="str">
        <f>IF(D4068="","",INDEX(Knutepunkter!$B:$B,D4068+1))</f>
        <v/>
      </c>
      <c r="G4068" t="str">
        <f>IF(D4068="","",INDEX(Knutepunkter!$C:$C,D4068+1))</f>
        <v/>
      </c>
      <c r="H4068" t="str">
        <f>IF(D4068="","",INDEX(Knutepunkter!$D:$D,D4068+1))</f>
        <v/>
      </c>
      <c r="I4068" t="str">
        <f>IF(E4068="","",INDEX(Knutepunkter!$B:$B,E4068+1))</f>
        <v/>
      </c>
      <c r="J4068" t="str">
        <f>IF(E4068="","",INDEX(Knutepunkter!$C:$C,E4068+1))</f>
        <v/>
      </c>
      <c r="K4068" t="str">
        <f>IF(E4068="","",INDEX(Knutepunkter!$D:$D,E4068+1))</f>
        <v/>
      </c>
      <c r="L4068" t="str">
        <f t="shared" si="318"/>
        <v/>
      </c>
      <c r="M4068" t="str">
        <f t="shared" si="319"/>
        <v/>
      </c>
    </row>
    <row r="4069" spans="1:13" x14ac:dyDescent="0.3">
      <c r="A4069" t="str">
        <f>Segmenter!A4069</f>
        <v/>
      </c>
      <c r="B4069" t="str">
        <f>Segmenter!B4069</f>
        <v/>
      </c>
      <c r="C4069" t="str">
        <f t="shared" si="315"/>
        <v/>
      </c>
      <c r="D4069" t="str">
        <f t="shared" si="316"/>
        <v/>
      </c>
      <c r="E4069" t="str">
        <f t="shared" si="317"/>
        <v/>
      </c>
      <c r="F4069" t="str">
        <f>IF(D4069="","",INDEX(Knutepunkter!$B:$B,D4069+1))</f>
        <v/>
      </c>
      <c r="G4069" t="str">
        <f>IF(D4069="","",INDEX(Knutepunkter!$C:$C,D4069+1))</f>
        <v/>
      </c>
      <c r="H4069" t="str">
        <f>IF(D4069="","",INDEX(Knutepunkter!$D:$D,D4069+1))</f>
        <v/>
      </c>
      <c r="I4069" t="str">
        <f>IF(E4069="","",INDEX(Knutepunkter!$B:$B,E4069+1))</f>
        <v/>
      </c>
      <c r="J4069" t="str">
        <f>IF(E4069="","",INDEX(Knutepunkter!$C:$C,E4069+1))</f>
        <v/>
      </c>
      <c r="K4069" t="str">
        <f>IF(E4069="","",INDEX(Knutepunkter!$D:$D,E4069+1))</f>
        <v/>
      </c>
      <c r="L4069" t="str">
        <f t="shared" si="318"/>
        <v/>
      </c>
      <c r="M4069" t="str">
        <f t="shared" si="319"/>
        <v/>
      </c>
    </row>
    <row r="4070" spans="1:13" x14ac:dyDescent="0.3">
      <c r="A4070" t="str">
        <f>Segmenter!A4070</f>
        <v/>
      </c>
      <c r="B4070" t="str">
        <f>Segmenter!B4070</f>
        <v/>
      </c>
      <c r="C4070" t="str">
        <f t="shared" si="315"/>
        <v/>
      </c>
      <c r="D4070" t="str">
        <f t="shared" si="316"/>
        <v/>
      </c>
      <c r="E4070" t="str">
        <f t="shared" si="317"/>
        <v/>
      </c>
      <c r="F4070" t="str">
        <f>IF(D4070="","",INDEX(Knutepunkter!$B:$B,D4070+1))</f>
        <v/>
      </c>
      <c r="G4070" t="str">
        <f>IF(D4070="","",INDEX(Knutepunkter!$C:$C,D4070+1))</f>
        <v/>
      </c>
      <c r="H4070" t="str">
        <f>IF(D4070="","",INDEX(Knutepunkter!$D:$D,D4070+1))</f>
        <v/>
      </c>
      <c r="I4070" t="str">
        <f>IF(E4070="","",INDEX(Knutepunkter!$B:$B,E4070+1))</f>
        <v/>
      </c>
      <c r="J4070" t="str">
        <f>IF(E4070="","",INDEX(Knutepunkter!$C:$C,E4070+1))</f>
        <v/>
      </c>
      <c r="K4070" t="str">
        <f>IF(E4070="","",INDEX(Knutepunkter!$D:$D,E4070+1))</f>
        <v/>
      </c>
      <c r="L4070" t="str">
        <f t="shared" si="318"/>
        <v/>
      </c>
      <c r="M4070" t="str">
        <f t="shared" si="319"/>
        <v/>
      </c>
    </row>
    <row r="4071" spans="1:13" x14ac:dyDescent="0.3">
      <c r="A4071" t="str">
        <f>Segmenter!A4071</f>
        <v/>
      </c>
      <c r="B4071" t="str">
        <f>Segmenter!B4071</f>
        <v/>
      </c>
      <c r="C4071" t="str">
        <f t="shared" si="315"/>
        <v/>
      </c>
      <c r="D4071" t="str">
        <f t="shared" si="316"/>
        <v/>
      </c>
      <c r="E4071" t="str">
        <f t="shared" si="317"/>
        <v/>
      </c>
      <c r="F4071" t="str">
        <f>IF(D4071="","",INDEX(Knutepunkter!$B:$B,D4071+1))</f>
        <v/>
      </c>
      <c r="G4071" t="str">
        <f>IF(D4071="","",INDEX(Knutepunkter!$C:$C,D4071+1))</f>
        <v/>
      </c>
      <c r="H4071" t="str">
        <f>IF(D4071="","",INDEX(Knutepunkter!$D:$D,D4071+1))</f>
        <v/>
      </c>
      <c r="I4071" t="str">
        <f>IF(E4071="","",INDEX(Knutepunkter!$B:$B,E4071+1))</f>
        <v/>
      </c>
      <c r="J4071" t="str">
        <f>IF(E4071="","",INDEX(Knutepunkter!$C:$C,E4071+1))</f>
        <v/>
      </c>
      <c r="K4071" t="str">
        <f>IF(E4071="","",INDEX(Knutepunkter!$D:$D,E4071+1))</f>
        <v/>
      </c>
      <c r="L4071" t="str">
        <f t="shared" si="318"/>
        <v/>
      </c>
      <c r="M4071" t="str">
        <f t="shared" si="319"/>
        <v/>
      </c>
    </row>
    <row r="4072" spans="1:13" x14ac:dyDescent="0.3">
      <c r="A4072" t="str">
        <f>Segmenter!A4072</f>
        <v/>
      </c>
      <c r="B4072" t="str">
        <f>Segmenter!B4072</f>
        <v/>
      </c>
      <c r="C4072" t="str">
        <f t="shared" si="315"/>
        <v/>
      </c>
      <c r="D4072" t="str">
        <f t="shared" si="316"/>
        <v/>
      </c>
      <c r="E4072" t="str">
        <f t="shared" si="317"/>
        <v/>
      </c>
      <c r="F4072" t="str">
        <f>IF(D4072="","",INDEX(Knutepunkter!$B:$B,D4072+1))</f>
        <v/>
      </c>
      <c r="G4072" t="str">
        <f>IF(D4072="","",INDEX(Knutepunkter!$C:$C,D4072+1))</f>
        <v/>
      </c>
      <c r="H4072" t="str">
        <f>IF(D4072="","",INDEX(Knutepunkter!$D:$D,D4072+1))</f>
        <v/>
      </c>
      <c r="I4072" t="str">
        <f>IF(E4072="","",INDEX(Knutepunkter!$B:$B,E4072+1))</f>
        <v/>
      </c>
      <c r="J4072" t="str">
        <f>IF(E4072="","",INDEX(Knutepunkter!$C:$C,E4072+1))</f>
        <v/>
      </c>
      <c r="K4072" t="str">
        <f>IF(E4072="","",INDEX(Knutepunkter!$D:$D,E4072+1))</f>
        <v/>
      </c>
      <c r="L4072" t="str">
        <f t="shared" si="318"/>
        <v/>
      </c>
      <c r="M4072" t="str">
        <f t="shared" si="319"/>
        <v/>
      </c>
    </row>
    <row r="4073" spans="1:13" x14ac:dyDescent="0.3">
      <c r="A4073" t="str">
        <f>Segmenter!A4073</f>
        <v/>
      </c>
      <c r="B4073" t="str">
        <f>Segmenter!B4073</f>
        <v/>
      </c>
      <c r="C4073" t="str">
        <f t="shared" si="315"/>
        <v/>
      </c>
      <c r="D4073" t="str">
        <f t="shared" si="316"/>
        <v/>
      </c>
      <c r="E4073" t="str">
        <f t="shared" si="317"/>
        <v/>
      </c>
      <c r="F4073" t="str">
        <f>IF(D4073="","",INDEX(Knutepunkter!$B:$B,D4073+1))</f>
        <v/>
      </c>
      <c r="G4073" t="str">
        <f>IF(D4073="","",INDEX(Knutepunkter!$C:$C,D4073+1))</f>
        <v/>
      </c>
      <c r="H4073" t="str">
        <f>IF(D4073="","",INDEX(Knutepunkter!$D:$D,D4073+1))</f>
        <v/>
      </c>
      <c r="I4073" t="str">
        <f>IF(E4073="","",INDEX(Knutepunkter!$B:$B,E4073+1))</f>
        <v/>
      </c>
      <c r="J4073" t="str">
        <f>IF(E4073="","",INDEX(Knutepunkter!$C:$C,E4073+1))</f>
        <v/>
      </c>
      <c r="K4073" t="str">
        <f>IF(E4073="","",INDEX(Knutepunkter!$D:$D,E4073+1))</f>
        <v/>
      </c>
      <c r="L4073" t="str">
        <f t="shared" si="318"/>
        <v/>
      </c>
      <c r="M4073" t="str">
        <f t="shared" si="319"/>
        <v/>
      </c>
    </row>
    <row r="4074" spans="1:13" x14ac:dyDescent="0.3">
      <c r="A4074" t="str">
        <f>Segmenter!A4074</f>
        <v/>
      </c>
      <c r="B4074" t="str">
        <f>Segmenter!B4074</f>
        <v/>
      </c>
      <c r="C4074" t="str">
        <f t="shared" si="315"/>
        <v/>
      </c>
      <c r="D4074" t="str">
        <f t="shared" si="316"/>
        <v/>
      </c>
      <c r="E4074" t="str">
        <f t="shared" si="317"/>
        <v/>
      </c>
      <c r="F4074" t="str">
        <f>IF(D4074="","",INDEX(Knutepunkter!$B:$B,D4074+1))</f>
        <v/>
      </c>
      <c r="G4074" t="str">
        <f>IF(D4074="","",INDEX(Knutepunkter!$C:$C,D4074+1))</f>
        <v/>
      </c>
      <c r="H4074" t="str">
        <f>IF(D4074="","",INDEX(Knutepunkter!$D:$D,D4074+1))</f>
        <v/>
      </c>
      <c r="I4074" t="str">
        <f>IF(E4074="","",INDEX(Knutepunkter!$B:$B,E4074+1))</f>
        <v/>
      </c>
      <c r="J4074" t="str">
        <f>IF(E4074="","",INDEX(Knutepunkter!$C:$C,E4074+1))</f>
        <v/>
      </c>
      <c r="K4074" t="str">
        <f>IF(E4074="","",INDEX(Knutepunkter!$D:$D,E4074+1))</f>
        <v/>
      </c>
      <c r="L4074" t="str">
        <f t="shared" si="318"/>
        <v/>
      </c>
      <c r="M4074" t="str">
        <f t="shared" si="319"/>
        <v/>
      </c>
    </row>
    <row r="4075" spans="1:13" x14ac:dyDescent="0.3">
      <c r="A4075" t="str">
        <f>Segmenter!A4075</f>
        <v/>
      </c>
      <c r="B4075" t="str">
        <f>Segmenter!B4075</f>
        <v/>
      </c>
      <c r="C4075" t="str">
        <f t="shared" si="315"/>
        <v/>
      </c>
      <c r="D4075" t="str">
        <f t="shared" si="316"/>
        <v/>
      </c>
      <c r="E4075" t="str">
        <f t="shared" si="317"/>
        <v/>
      </c>
      <c r="F4075" t="str">
        <f>IF(D4075="","",INDEX(Knutepunkter!$B:$B,D4075+1))</f>
        <v/>
      </c>
      <c r="G4075" t="str">
        <f>IF(D4075="","",INDEX(Knutepunkter!$C:$C,D4075+1))</f>
        <v/>
      </c>
      <c r="H4075" t="str">
        <f>IF(D4075="","",INDEX(Knutepunkter!$D:$D,D4075+1))</f>
        <v/>
      </c>
      <c r="I4075" t="str">
        <f>IF(E4075="","",INDEX(Knutepunkter!$B:$B,E4075+1))</f>
        <v/>
      </c>
      <c r="J4075" t="str">
        <f>IF(E4075="","",INDEX(Knutepunkter!$C:$C,E4075+1))</f>
        <v/>
      </c>
      <c r="K4075" t="str">
        <f>IF(E4075="","",INDEX(Knutepunkter!$D:$D,E4075+1))</f>
        <v/>
      </c>
      <c r="L4075" t="str">
        <f t="shared" si="318"/>
        <v/>
      </c>
      <c r="M4075" t="str">
        <f t="shared" si="319"/>
        <v/>
      </c>
    </row>
    <row r="4076" spans="1:13" x14ac:dyDescent="0.3">
      <c r="A4076" t="str">
        <f>Segmenter!A4076</f>
        <v/>
      </c>
      <c r="B4076" t="str">
        <f>Segmenter!B4076</f>
        <v/>
      </c>
      <c r="C4076" t="str">
        <f t="shared" si="315"/>
        <v/>
      </c>
      <c r="D4076" t="str">
        <f t="shared" si="316"/>
        <v/>
      </c>
      <c r="E4076" t="str">
        <f t="shared" si="317"/>
        <v/>
      </c>
      <c r="F4076" t="str">
        <f>IF(D4076="","",INDEX(Knutepunkter!$B:$B,D4076+1))</f>
        <v/>
      </c>
      <c r="G4076" t="str">
        <f>IF(D4076="","",INDEX(Knutepunkter!$C:$C,D4076+1))</f>
        <v/>
      </c>
      <c r="H4076" t="str">
        <f>IF(D4076="","",INDEX(Knutepunkter!$D:$D,D4076+1))</f>
        <v/>
      </c>
      <c r="I4076" t="str">
        <f>IF(E4076="","",INDEX(Knutepunkter!$B:$B,E4076+1))</f>
        <v/>
      </c>
      <c r="J4076" t="str">
        <f>IF(E4076="","",INDEX(Knutepunkter!$C:$C,E4076+1))</f>
        <v/>
      </c>
      <c r="K4076" t="str">
        <f>IF(E4076="","",INDEX(Knutepunkter!$D:$D,E4076+1))</f>
        <v/>
      </c>
      <c r="L4076" t="str">
        <f t="shared" si="318"/>
        <v/>
      </c>
      <c r="M4076" t="str">
        <f t="shared" si="319"/>
        <v/>
      </c>
    </row>
    <row r="4077" spans="1:13" x14ac:dyDescent="0.3">
      <c r="A4077" t="str">
        <f>Segmenter!A4077</f>
        <v/>
      </c>
      <c r="B4077" t="str">
        <f>Segmenter!B4077</f>
        <v/>
      </c>
      <c r="C4077" t="str">
        <f t="shared" si="315"/>
        <v/>
      </c>
      <c r="D4077" t="str">
        <f t="shared" si="316"/>
        <v/>
      </c>
      <c r="E4077" t="str">
        <f t="shared" si="317"/>
        <v/>
      </c>
      <c r="F4077" t="str">
        <f>IF(D4077="","",INDEX(Knutepunkter!$B:$B,D4077+1))</f>
        <v/>
      </c>
      <c r="G4077" t="str">
        <f>IF(D4077="","",INDEX(Knutepunkter!$C:$C,D4077+1))</f>
        <v/>
      </c>
      <c r="H4077" t="str">
        <f>IF(D4077="","",INDEX(Knutepunkter!$D:$D,D4077+1))</f>
        <v/>
      </c>
      <c r="I4077" t="str">
        <f>IF(E4077="","",INDEX(Knutepunkter!$B:$B,E4077+1))</f>
        <v/>
      </c>
      <c r="J4077" t="str">
        <f>IF(E4077="","",INDEX(Knutepunkter!$C:$C,E4077+1))</f>
        <v/>
      </c>
      <c r="K4077" t="str">
        <f>IF(E4077="","",INDEX(Knutepunkter!$D:$D,E4077+1))</f>
        <v/>
      </c>
      <c r="L4077" t="str">
        <f t="shared" si="318"/>
        <v/>
      </c>
      <c r="M4077" t="str">
        <f t="shared" si="319"/>
        <v/>
      </c>
    </row>
    <row r="4078" spans="1:13" x14ac:dyDescent="0.3">
      <c r="A4078" t="str">
        <f>Segmenter!A4078</f>
        <v/>
      </c>
      <c r="B4078" t="str">
        <f>Segmenter!B4078</f>
        <v/>
      </c>
      <c r="C4078" t="str">
        <f t="shared" si="315"/>
        <v/>
      </c>
      <c r="D4078" t="str">
        <f t="shared" si="316"/>
        <v/>
      </c>
      <c r="E4078" t="str">
        <f t="shared" si="317"/>
        <v/>
      </c>
      <c r="F4078" t="str">
        <f>IF(D4078="","",INDEX(Knutepunkter!$B:$B,D4078+1))</f>
        <v/>
      </c>
      <c r="G4078" t="str">
        <f>IF(D4078="","",INDEX(Knutepunkter!$C:$C,D4078+1))</f>
        <v/>
      </c>
      <c r="H4078" t="str">
        <f>IF(D4078="","",INDEX(Knutepunkter!$D:$D,D4078+1))</f>
        <v/>
      </c>
      <c r="I4078" t="str">
        <f>IF(E4078="","",INDEX(Knutepunkter!$B:$B,E4078+1))</f>
        <v/>
      </c>
      <c r="J4078" t="str">
        <f>IF(E4078="","",INDEX(Knutepunkter!$C:$C,E4078+1))</f>
        <v/>
      </c>
      <c r="K4078" t="str">
        <f>IF(E4078="","",INDEX(Knutepunkter!$D:$D,E4078+1))</f>
        <v/>
      </c>
      <c r="L4078" t="str">
        <f t="shared" si="318"/>
        <v/>
      </c>
      <c r="M4078" t="str">
        <f t="shared" si="319"/>
        <v/>
      </c>
    </row>
    <row r="4079" spans="1:13" x14ac:dyDescent="0.3">
      <c r="A4079" t="str">
        <f>Segmenter!A4079</f>
        <v/>
      </c>
      <c r="B4079" t="str">
        <f>Segmenter!B4079</f>
        <v/>
      </c>
      <c r="C4079" t="str">
        <f t="shared" si="315"/>
        <v/>
      </c>
      <c r="D4079" t="str">
        <f t="shared" si="316"/>
        <v/>
      </c>
      <c r="E4079" t="str">
        <f t="shared" si="317"/>
        <v/>
      </c>
      <c r="F4079" t="str">
        <f>IF(D4079="","",INDEX(Knutepunkter!$B:$B,D4079+1))</f>
        <v/>
      </c>
      <c r="G4079" t="str">
        <f>IF(D4079="","",INDEX(Knutepunkter!$C:$C,D4079+1))</f>
        <v/>
      </c>
      <c r="H4079" t="str">
        <f>IF(D4079="","",INDEX(Knutepunkter!$D:$D,D4079+1))</f>
        <v/>
      </c>
      <c r="I4079" t="str">
        <f>IF(E4079="","",INDEX(Knutepunkter!$B:$B,E4079+1))</f>
        <v/>
      </c>
      <c r="J4079" t="str">
        <f>IF(E4079="","",INDEX(Knutepunkter!$C:$C,E4079+1))</f>
        <v/>
      </c>
      <c r="K4079" t="str">
        <f>IF(E4079="","",INDEX(Knutepunkter!$D:$D,E4079+1))</f>
        <v/>
      </c>
      <c r="L4079" t="str">
        <f t="shared" si="318"/>
        <v/>
      </c>
      <c r="M4079" t="str">
        <f t="shared" si="319"/>
        <v/>
      </c>
    </row>
    <row r="4080" spans="1:13" x14ac:dyDescent="0.3">
      <c r="A4080" t="str">
        <f>Segmenter!A4080</f>
        <v/>
      </c>
      <c r="B4080" t="str">
        <f>Segmenter!B4080</f>
        <v/>
      </c>
      <c r="C4080" t="str">
        <f t="shared" si="315"/>
        <v/>
      </c>
      <c r="D4080" t="str">
        <f t="shared" si="316"/>
        <v/>
      </c>
      <c r="E4080" t="str">
        <f t="shared" si="317"/>
        <v/>
      </c>
      <c r="F4080" t="str">
        <f>IF(D4080="","",INDEX(Knutepunkter!$B:$B,D4080+1))</f>
        <v/>
      </c>
      <c r="G4080" t="str">
        <f>IF(D4080="","",INDEX(Knutepunkter!$C:$C,D4080+1))</f>
        <v/>
      </c>
      <c r="H4080" t="str">
        <f>IF(D4080="","",INDEX(Knutepunkter!$D:$D,D4080+1))</f>
        <v/>
      </c>
      <c r="I4080" t="str">
        <f>IF(E4080="","",INDEX(Knutepunkter!$B:$B,E4080+1))</f>
        <v/>
      </c>
      <c r="J4080" t="str">
        <f>IF(E4080="","",INDEX(Knutepunkter!$C:$C,E4080+1))</f>
        <v/>
      </c>
      <c r="K4080" t="str">
        <f>IF(E4080="","",INDEX(Knutepunkter!$D:$D,E4080+1))</f>
        <v/>
      </c>
      <c r="L4080" t="str">
        <f t="shared" si="318"/>
        <v/>
      </c>
      <c r="M4080" t="str">
        <f t="shared" si="319"/>
        <v/>
      </c>
    </row>
    <row r="4081" spans="1:13" x14ac:dyDescent="0.3">
      <c r="A4081" t="str">
        <f>Segmenter!A4081</f>
        <v/>
      </c>
      <c r="B4081" t="str">
        <f>Segmenter!B4081</f>
        <v/>
      </c>
      <c r="C4081" t="str">
        <f t="shared" si="315"/>
        <v/>
      </c>
      <c r="D4081" t="str">
        <f t="shared" si="316"/>
        <v/>
      </c>
      <c r="E4081" t="str">
        <f t="shared" si="317"/>
        <v/>
      </c>
      <c r="F4081" t="str">
        <f>IF(D4081="","",INDEX(Knutepunkter!$B:$B,D4081+1))</f>
        <v/>
      </c>
      <c r="G4081" t="str">
        <f>IF(D4081="","",INDEX(Knutepunkter!$C:$C,D4081+1))</f>
        <v/>
      </c>
      <c r="H4081" t="str">
        <f>IF(D4081="","",INDEX(Knutepunkter!$D:$D,D4081+1))</f>
        <v/>
      </c>
      <c r="I4081" t="str">
        <f>IF(E4081="","",INDEX(Knutepunkter!$B:$B,E4081+1))</f>
        <v/>
      </c>
      <c r="J4081" t="str">
        <f>IF(E4081="","",INDEX(Knutepunkter!$C:$C,E4081+1))</f>
        <v/>
      </c>
      <c r="K4081" t="str">
        <f>IF(E4081="","",INDEX(Knutepunkter!$D:$D,E4081+1))</f>
        <v/>
      </c>
      <c r="L4081" t="str">
        <f t="shared" si="318"/>
        <v/>
      </c>
      <c r="M4081" t="str">
        <f t="shared" si="319"/>
        <v/>
      </c>
    </row>
    <row r="4082" spans="1:13" x14ac:dyDescent="0.3">
      <c r="A4082" t="str">
        <f>Segmenter!A4082</f>
        <v/>
      </c>
      <c r="B4082" t="str">
        <f>Segmenter!B4082</f>
        <v/>
      </c>
      <c r="C4082" t="str">
        <f t="shared" si="315"/>
        <v/>
      </c>
      <c r="D4082" t="str">
        <f t="shared" si="316"/>
        <v/>
      </c>
      <c r="E4082" t="str">
        <f t="shared" si="317"/>
        <v/>
      </c>
      <c r="F4082" t="str">
        <f>IF(D4082="","",INDEX(Knutepunkter!$B:$B,D4082+1))</f>
        <v/>
      </c>
      <c r="G4082" t="str">
        <f>IF(D4082="","",INDEX(Knutepunkter!$C:$C,D4082+1))</f>
        <v/>
      </c>
      <c r="H4082" t="str">
        <f>IF(D4082="","",INDEX(Knutepunkter!$D:$D,D4082+1))</f>
        <v/>
      </c>
      <c r="I4082" t="str">
        <f>IF(E4082="","",INDEX(Knutepunkter!$B:$B,E4082+1))</f>
        <v/>
      </c>
      <c r="J4082" t="str">
        <f>IF(E4082="","",INDEX(Knutepunkter!$C:$C,E4082+1))</f>
        <v/>
      </c>
      <c r="K4082" t="str">
        <f>IF(E4082="","",INDEX(Knutepunkter!$D:$D,E4082+1))</f>
        <v/>
      </c>
      <c r="L4082" t="str">
        <f t="shared" si="318"/>
        <v/>
      </c>
      <c r="M4082" t="str">
        <f t="shared" si="319"/>
        <v/>
      </c>
    </row>
    <row r="4083" spans="1:13" x14ac:dyDescent="0.3">
      <c r="A4083" t="str">
        <f>Segmenter!A4083</f>
        <v/>
      </c>
      <c r="B4083" t="str">
        <f>Segmenter!B4083</f>
        <v/>
      </c>
      <c r="C4083" t="str">
        <f t="shared" si="315"/>
        <v/>
      </c>
      <c r="D4083" t="str">
        <f t="shared" si="316"/>
        <v/>
      </c>
      <c r="E4083" t="str">
        <f t="shared" si="317"/>
        <v/>
      </c>
      <c r="F4083" t="str">
        <f>IF(D4083="","",INDEX(Knutepunkter!$B:$B,D4083+1))</f>
        <v/>
      </c>
      <c r="G4083" t="str">
        <f>IF(D4083="","",INDEX(Knutepunkter!$C:$C,D4083+1))</f>
        <v/>
      </c>
      <c r="H4083" t="str">
        <f>IF(D4083="","",INDEX(Knutepunkter!$D:$D,D4083+1))</f>
        <v/>
      </c>
      <c r="I4083" t="str">
        <f>IF(E4083="","",INDEX(Knutepunkter!$B:$B,E4083+1))</f>
        <v/>
      </c>
      <c r="J4083" t="str">
        <f>IF(E4083="","",INDEX(Knutepunkter!$C:$C,E4083+1))</f>
        <v/>
      </c>
      <c r="K4083" t="str">
        <f>IF(E4083="","",INDEX(Knutepunkter!$D:$D,E4083+1))</f>
        <v/>
      </c>
      <c r="L4083" t="str">
        <f t="shared" si="318"/>
        <v/>
      </c>
      <c r="M4083" t="str">
        <f t="shared" si="319"/>
        <v/>
      </c>
    </row>
    <row r="4084" spans="1:13" x14ac:dyDescent="0.3">
      <c r="A4084" t="str">
        <f>Segmenter!A4084</f>
        <v/>
      </c>
      <c r="B4084" t="str">
        <f>Segmenter!B4084</f>
        <v/>
      </c>
      <c r="C4084" t="str">
        <f t="shared" si="315"/>
        <v/>
      </c>
      <c r="D4084" t="str">
        <f t="shared" si="316"/>
        <v/>
      </c>
      <c r="E4084" t="str">
        <f t="shared" si="317"/>
        <v/>
      </c>
      <c r="F4084" t="str">
        <f>IF(D4084="","",INDEX(Knutepunkter!$B:$B,D4084+1))</f>
        <v/>
      </c>
      <c r="G4084" t="str">
        <f>IF(D4084="","",INDEX(Knutepunkter!$C:$C,D4084+1))</f>
        <v/>
      </c>
      <c r="H4084" t="str">
        <f>IF(D4084="","",INDEX(Knutepunkter!$D:$D,D4084+1))</f>
        <v/>
      </c>
      <c r="I4084" t="str">
        <f>IF(E4084="","",INDEX(Knutepunkter!$B:$B,E4084+1))</f>
        <v/>
      </c>
      <c r="J4084" t="str">
        <f>IF(E4084="","",INDEX(Knutepunkter!$C:$C,E4084+1))</f>
        <v/>
      </c>
      <c r="K4084" t="str">
        <f>IF(E4084="","",INDEX(Knutepunkter!$D:$D,E4084+1))</f>
        <v/>
      </c>
      <c r="L4084" t="str">
        <f t="shared" si="318"/>
        <v/>
      </c>
      <c r="M4084" t="str">
        <f t="shared" si="319"/>
        <v/>
      </c>
    </row>
    <row r="4085" spans="1:13" x14ac:dyDescent="0.3">
      <c r="A4085" t="str">
        <f>Segmenter!A4085</f>
        <v/>
      </c>
      <c r="B4085" t="str">
        <f>Segmenter!B4085</f>
        <v/>
      </c>
      <c r="C4085" t="str">
        <f t="shared" si="315"/>
        <v/>
      </c>
      <c r="D4085" t="str">
        <f t="shared" si="316"/>
        <v/>
      </c>
      <c r="E4085" t="str">
        <f t="shared" si="317"/>
        <v/>
      </c>
      <c r="F4085" t="str">
        <f>IF(D4085="","",INDEX(Knutepunkter!$B:$B,D4085+1))</f>
        <v/>
      </c>
      <c r="G4085" t="str">
        <f>IF(D4085="","",INDEX(Knutepunkter!$C:$C,D4085+1))</f>
        <v/>
      </c>
      <c r="H4085" t="str">
        <f>IF(D4085="","",INDEX(Knutepunkter!$D:$D,D4085+1))</f>
        <v/>
      </c>
      <c r="I4085" t="str">
        <f>IF(E4085="","",INDEX(Knutepunkter!$B:$B,E4085+1))</f>
        <v/>
      </c>
      <c r="J4085" t="str">
        <f>IF(E4085="","",INDEX(Knutepunkter!$C:$C,E4085+1))</f>
        <v/>
      </c>
      <c r="K4085" t="str">
        <f>IF(E4085="","",INDEX(Knutepunkter!$D:$D,E4085+1))</f>
        <v/>
      </c>
      <c r="L4085" t="str">
        <f t="shared" si="318"/>
        <v/>
      </c>
      <c r="M4085" t="str">
        <f t="shared" si="319"/>
        <v/>
      </c>
    </row>
    <row r="4086" spans="1:13" x14ac:dyDescent="0.3">
      <c r="A4086" t="str">
        <f>Segmenter!A4086</f>
        <v/>
      </c>
      <c r="B4086" t="str">
        <f>Segmenter!B4086</f>
        <v/>
      </c>
      <c r="C4086" t="str">
        <f t="shared" si="315"/>
        <v/>
      </c>
      <c r="D4086" t="str">
        <f t="shared" si="316"/>
        <v/>
      </c>
      <c r="E4086" t="str">
        <f t="shared" si="317"/>
        <v/>
      </c>
      <c r="F4086" t="str">
        <f>IF(D4086="","",INDEX(Knutepunkter!$B:$B,D4086+1))</f>
        <v/>
      </c>
      <c r="G4086" t="str">
        <f>IF(D4086="","",INDEX(Knutepunkter!$C:$C,D4086+1))</f>
        <v/>
      </c>
      <c r="H4086" t="str">
        <f>IF(D4086="","",INDEX(Knutepunkter!$D:$D,D4086+1))</f>
        <v/>
      </c>
      <c r="I4086" t="str">
        <f>IF(E4086="","",INDEX(Knutepunkter!$B:$B,E4086+1))</f>
        <v/>
      </c>
      <c r="J4086" t="str">
        <f>IF(E4086="","",INDEX(Knutepunkter!$C:$C,E4086+1))</f>
        <v/>
      </c>
      <c r="K4086" t="str">
        <f>IF(E4086="","",INDEX(Knutepunkter!$D:$D,E4086+1))</f>
        <v/>
      </c>
      <c r="L4086" t="str">
        <f t="shared" si="318"/>
        <v/>
      </c>
      <c r="M4086" t="str">
        <f t="shared" si="319"/>
        <v/>
      </c>
    </row>
    <row r="4087" spans="1:13" x14ac:dyDescent="0.3">
      <c r="A4087" t="str">
        <f>Segmenter!A4087</f>
        <v/>
      </c>
      <c r="B4087" t="str">
        <f>Segmenter!B4087</f>
        <v/>
      </c>
      <c r="C4087" t="str">
        <f t="shared" si="315"/>
        <v/>
      </c>
      <c r="D4087" t="str">
        <f t="shared" si="316"/>
        <v/>
      </c>
      <c r="E4087" t="str">
        <f t="shared" si="317"/>
        <v/>
      </c>
      <c r="F4087" t="str">
        <f>IF(D4087="","",INDEX(Knutepunkter!$B:$B,D4087+1))</f>
        <v/>
      </c>
      <c r="G4087" t="str">
        <f>IF(D4087="","",INDEX(Knutepunkter!$C:$C,D4087+1))</f>
        <v/>
      </c>
      <c r="H4087" t="str">
        <f>IF(D4087="","",INDEX(Knutepunkter!$D:$D,D4087+1))</f>
        <v/>
      </c>
      <c r="I4087" t="str">
        <f>IF(E4087="","",INDEX(Knutepunkter!$B:$B,E4087+1))</f>
        <v/>
      </c>
      <c r="J4087" t="str">
        <f>IF(E4087="","",INDEX(Knutepunkter!$C:$C,E4087+1))</f>
        <v/>
      </c>
      <c r="K4087" t="str">
        <f>IF(E4087="","",INDEX(Knutepunkter!$D:$D,E4087+1))</f>
        <v/>
      </c>
      <c r="L4087" t="str">
        <f t="shared" si="318"/>
        <v/>
      </c>
      <c r="M4087" t="str">
        <f t="shared" si="319"/>
        <v/>
      </c>
    </row>
    <row r="4088" spans="1:13" x14ac:dyDescent="0.3">
      <c r="A4088" t="str">
        <f>Segmenter!A4088</f>
        <v/>
      </c>
      <c r="B4088" t="str">
        <f>Segmenter!B4088</f>
        <v/>
      </c>
      <c r="C4088" t="str">
        <f t="shared" si="315"/>
        <v/>
      </c>
      <c r="D4088" t="str">
        <f t="shared" si="316"/>
        <v/>
      </c>
      <c r="E4088" t="str">
        <f t="shared" si="317"/>
        <v/>
      </c>
      <c r="F4088" t="str">
        <f>IF(D4088="","",INDEX(Knutepunkter!$B:$B,D4088+1))</f>
        <v/>
      </c>
      <c r="G4088" t="str">
        <f>IF(D4088="","",INDEX(Knutepunkter!$C:$C,D4088+1))</f>
        <v/>
      </c>
      <c r="H4088" t="str">
        <f>IF(D4088="","",INDEX(Knutepunkter!$D:$D,D4088+1))</f>
        <v/>
      </c>
      <c r="I4088" t="str">
        <f>IF(E4088="","",INDEX(Knutepunkter!$B:$B,E4088+1))</f>
        <v/>
      </c>
      <c r="J4088" t="str">
        <f>IF(E4088="","",INDEX(Knutepunkter!$C:$C,E4088+1))</f>
        <v/>
      </c>
      <c r="K4088" t="str">
        <f>IF(E4088="","",INDEX(Knutepunkter!$D:$D,E4088+1))</f>
        <v/>
      </c>
      <c r="L4088" t="str">
        <f t="shared" si="318"/>
        <v/>
      </c>
      <c r="M4088" t="str">
        <f t="shared" si="319"/>
        <v/>
      </c>
    </row>
    <row r="4089" spans="1:13" x14ac:dyDescent="0.3">
      <c r="A4089" t="str">
        <f>Segmenter!A4089</f>
        <v/>
      </c>
      <c r="B4089" t="str">
        <f>Segmenter!B4089</f>
        <v/>
      </c>
      <c r="C4089" t="str">
        <f t="shared" si="315"/>
        <v/>
      </c>
      <c r="D4089" t="str">
        <f t="shared" si="316"/>
        <v/>
      </c>
      <c r="E4089" t="str">
        <f t="shared" si="317"/>
        <v/>
      </c>
      <c r="F4089" t="str">
        <f>IF(D4089="","",INDEX(Knutepunkter!$B:$B,D4089+1))</f>
        <v/>
      </c>
      <c r="G4089" t="str">
        <f>IF(D4089="","",INDEX(Knutepunkter!$C:$C,D4089+1))</f>
        <v/>
      </c>
      <c r="H4089" t="str">
        <f>IF(D4089="","",INDEX(Knutepunkter!$D:$D,D4089+1))</f>
        <v/>
      </c>
      <c r="I4089" t="str">
        <f>IF(E4089="","",INDEX(Knutepunkter!$B:$B,E4089+1))</f>
        <v/>
      </c>
      <c r="J4089" t="str">
        <f>IF(E4089="","",INDEX(Knutepunkter!$C:$C,E4089+1))</f>
        <v/>
      </c>
      <c r="K4089" t="str">
        <f>IF(E4089="","",INDEX(Knutepunkter!$D:$D,E4089+1))</f>
        <v/>
      </c>
      <c r="L4089" t="str">
        <f t="shared" si="318"/>
        <v/>
      </c>
      <c r="M4089" t="str">
        <f t="shared" si="319"/>
        <v/>
      </c>
    </row>
    <row r="4090" spans="1:13" x14ac:dyDescent="0.3">
      <c r="A4090" t="str">
        <f>Segmenter!A4090</f>
        <v/>
      </c>
      <c r="B4090" t="str">
        <f>Segmenter!B4090</f>
        <v/>
      </c>
      <c r="C4090" t="str">
        <f t="shared" si="315"/>
        <v/>
      </c>
      <c r="D4090" t="str">
        <f t="shared" si="316"/>
        <v/>
      </c>
      <c r="E4090" t="str">
        <f t="shared" si="317"/>
        <v/>
      </c>
      <c r="F4090" t="str">
        <f>IF(D4090="","",INDEX(Knutepunkter!$B:$B,D4090+1))</f>
        <v/>
      </c>
      <c r="G4090" t="str">
        <f>IF(D4090="","",INDEX(Knutepunkter!$C:$C,D4090+1))</f>
        <v/>
      </c>
      <c r="H4090" t="str">
        <f>IF(D4090="","",INDEX(Knutepunkter!$D:$D,D4090+1))</f>
        <v/>
      </c>
      <c r="I4090" t="str">
        <f>IF(E4090="","",INDEX(Knutepunkter!$B:$B,E4090+1))</f>
        <v/>
      </c>
      <c r="J4090" t="str">
        <f>IF(E4090="","",INDEX(Knutepunkter!$C:$C,E4090+1))</f>
        <v/>
      </c>
      <c r="K4090" t="str">
        <f>IF(E4090="","",INDEX(Knutepunkter!$D:$D,E4090+1))</f>
        <v/>
      </c>
      <c r="L4090" t="str">
        <f t="shared" si="318"/>
        <v/>
      </c>
      <c r="M4090" t="str">
        <f t="shared" si="319"/>
        <v/>
      </c>
    </row>
    <row r="4091" spans="1:13" x14ac:dyDescent="0.3">
      <c r="A4091" t="str">
        <f>Segmenter!A4091</f>
        <v/>
      </c>
      <c r="B4091" t="str">
        <f>Segmenter!B4091</f>
        <v/>
      </c>
      <c r="C4091" t="str">
        <f t="shared" si="315"/>
        <v/>
      </c>
      <c r="D4091" t="str">
        <f t="shared" si="316"/>
        <v/>
      </c>
      <c r="E4091" t="str">
        <f t="shared" si="317"/>
        <v/>
      </c>
      <c r="F4091" t="str">
        <f>IF(D4091="","",INDEX(Knutepunkter!$B:$B,D4091+1))</f>
        <v/>
      </c>
      <c r="G4091" t="str">
        <f>IF(D4091="","",INDEX(Knutepunkter!$C:$C,D4091+1))</f>
        <v/>
      </c>
      <c r="H4091" t="str">
        <f>IF(D4091="","",INDEX(Knutepunkter!$D:$D,D4091+1))</f>
        <v/>
      </c>
      <c r="I4091" t="str">
        <f>IF(E4091="","",INDEX(Knutepunkter!$B:$B,E4091+1))</f>
        <v/>
      </c>
      <c r="J4091" t="str">
        <f>IF(E4091="","",INDEX(Knutepunkter!$C:$C,E4091+1))</f>
        <v/>
      </c>
      <c r="K4091" t="str">
        <f>IF(E4091="","",INDEX(Knutepunkter!$D:$D,E4091+1))</f>
        <v/>
      </c>
      <c r="L4091" t="str">
        <f t="shared" si="318"/>
        <v/>
      </c>
      <c r="M4091" t="str">
        <f t="shared" si="319"/>
        <v/>
      </c>
    </row>
    <row r="4092" spans="1:13" x14ac:dyDescent="0.3">
      <c r="A4092" t="str">
        <f>Segmenter!A4092</f>
        <v/>
      </c>
      <c r="B4092" t="str">
        <f>Segmenter!B4092</f>
        <v/>
      </c>
      <c r="C4092" t="str">
        <f t="shared" si="315"/>
        <v/>
      </c>
      <c r="D4092" t="str">
        <f t="shared" si="316"/>
        <v/>
      </c>
      <c r="E4092" t="str">
        <f t="shared" si="317"/>
        <v/>
      </c>
      <c r="F4092" t="str">
        <f>IF(D4092="","",INDEX(Knutepunkter!$B:$B,D4092+1))</f>
        <v/>
      </c>
      <c r="G4092" t="str">
        <f>IF(D4092="","",INDEX(Knutepunkter!$C:$C,D4092+1))</f>
        <v/>
      </c>
      <c r="H4092" t="str">
        <f>IF(D4092="","",INDEX(Knutepunkter!$D:$D,D4092+1))</f>
        <v/>
      </c>
      <c r="I4092" t="str">
        <f>IF(E4092="","",INDEX(Knutepunkter!$B:$B,E4092+1))</f>
        <v/>
      </c>
      <c r="J4092" t="str">
        <f>IF(E4092="","",INDEX(Knutepunkter!$C:$C,E4092+1))</f>
        <v/>
      </c>
      <c r="K4092" t="str">
        <f>IF(E4092="","",INDEX(Knutepunkter!$D:$D,E4092+1))</f>
        <v/>
      </c>
      <c r="L4092" t="str">
        <f t="shared" si="318"/>
        <v/>
      </c>
      <c r="M4092" t="str">
        <f t="shared" si="319"/>
        <v/>
      </c>
    </row>
    <row r="4093" spans="1:13" x14ac:dyDescent="0.3">
      <c r="A4093" t="str">
        <f>Segmenter!A4093</f>
        <v/>
      </c>
      <c r="B4093" t="str">
        <f>Segmenter!B4093</f>
        <v/>
      </c>
      <c r="C4093" t="str">
        <f t="shared" si="315"/>
        <v/>
      </c>
      <c r="D4093" t="str">
        <f t="shared" si="316"/>
        <v/>
      </c>
      <c r="E4093" t="str">
        <f t="shared" si="317"/>
        <v/>
      </c>
      <c r="F4093" t="str">
        <f>IF(D4093="","",INDEX(Knutepunkter!$B:$B,D4093+1))</f>
        <v/>
      </c>
      <c r="G4093" t="str">
        <f>IF(D4093="","",INDEX(Knutepunkter!$C:$C,D4093+1))</f>
        <v/>
      </c>
      <c r="H4093" t="str">
        <f>IF(D4093="","",INDEX(Knutepunkter!$D:$D,D4093+1))</f>
        <v/>
      </c>
      <c r="I4093" t="str">
        <f>IF(E4093="","",INDEX(Knutepunkter!$B:$B,E4093+1))</f>
        <v/>
      </c>
      <c r="J4093" t="str">
        <f>IF(E4093="","",INDEX(Knutepunkter!$C:$C,E4093+1))</f>
        <v/>
      </c>
      <c r="K4093" t="str">
        <f>IF(E4093="","",INDEX(Knutepunkter!$D:$D,E4093+1))</f>
        <v/>
      </c>
      <c r="L4093" t="str">
        <f t="shared" si="318"/>
        <v/>
      </c>
      <c r="M4093" t="str">
        <f t="shared" si="319"/>
        <v/>
      </c>
    </row>
    <row r="4094" spans="1:13" x14ac:dyDescent="0.3">
      <c r="A4094" t="str">
        <f>Segmenter!A4094</f>
        <v/>
      </c>
      <c r="B4094" t="str">
        <f>Segmenter!B4094</f>
        <v/>
      </c>
      <c r="C4094" t="str">
        <f t="shared" si="315"/>
        <v/>
      </c>
      <c r="D4094" t="str">
        <f t="shared" si="316"/>
        <v/>
      </c>
      <c r="E4094" t="str">
        <f t="shared" si="317"/>
        <v/>
      </c>
      <c r="F4094" t="str">
        <f>IF(D4094="","",INDEX(Knutepunkter!$B:$B,D4094+1))</f>
        <v/>
      </c>
      <c r="G4094" t="str">
        <f>IF(D4094="","",INDEX(Knutepunkter!$C:$C,D4094+1))</f>
        <v/>
      </c>
      <c r="H4094" t="str">
        <f>IF(D4094="","",INDEX(Knutepunkter!$D:$D,D4094+1))</f>
        <v/>
      </c>
      <c r="I4094" t="str">
        <f>IF(E4094="","",INDEX(Knutepunkter!$B:$B,E4094+1))</f>
        <v/>
      </c>
      <c r="J4094" t="str">
        <f>IF(E4094="","",INDEX(Knutepunkter!$C:$C,E4094+1))</f>
        <v/>
      </c>
      <c r="K4094" t="str">
        <f>IF(E4094="","",INDEX(Knutepunkter!$D:$D,E4094+1))</f>
        <v/>
      </c>
      <c r="L4094" t="str">
        <f t="shared" si="318"/>
        <v/>
      </c>
      <c r="M4094" t="str">
        <f t="shared" si="319"/>
        <v/>
      </c>
    </row>
    <row r="4095" spans="1:13" x14ac:dyDescent="0.3">
      <c r="A4095" t="str">
        <f>Segmenter!A4095</f>
        <v/>
      </c>
      <c r="B4095" t="str">
        <f>Segmenter!B4095</f>
        <v/>
      </c>
      <c r="C4095" t="str">
        <f t="shared" si="315"/>
        <v/>
      </c>
      <c r="D4095" t="str">
        <f t="shared" si="316"/>
        <v/>
      </c>
      <c r="E4095" t="str">
        <f t="shared" si="317"/>
        <v/>
      </c>
      <c r="F4095" t="str">
        <f>IF(D4095="","",INDEX(Knutepunkter!$B:$B,D4095+1))</f>
        <v/>
      </c>
      <c r="G4095" t="str">
        <f>IF(D4095="","",INDEX(Knutepunkter!$C:$C,D4095+1))</f>
        <v/>
      </c>
      <c r="H4095" t="str">
        <f>IF(D4095="","",INDEX(Knutepunkter!$D:$D,D4095+1))</f>
        <v/>
      </c>
      <c r="I4095" t="str">
        <f>IF(E4095="","",INDEX(Knutepunkter!$B:$B,E4095+1))</f>
        <v/>
      </c>
      <c r="J4095" t="str">
        <f>IF(E4095="","",INDEX(Knutepunkter!$C:$C,E4095+1))</f>
        <v/>
      </c>
      <c r="K4095" t="str">
        <f>IF(E4095="","",INDEX(Knutepunkter!$D:$D,E4095+1))</f>
        <v/>
      </c>
      <c r="L4095" t="str">
        <f t="shared" si="318"/>
        <v/>
      </c>
      <c r="M4095" t="str">
        <f t="shared" si="319"/>
        <v/>
      </c>
    </row>
    <row r="4096" spans="1:13" x14ac:dyDescent="0.3">
      <c r="A4096" t="str">
        <f>Segmenter!A4096</f>
        <v/>
      </c>
      <c r="B4096" t="str">
        <f>Segmenter!B4096</f>
        <v/>
      </c>
      <c r="C4096" t="str">
        <f t="shared" si="315"/>
        <v/>
      </c>
      <c r="D4096" t="str">
        <f t="shared" si="316"/>
        <v/>
      </c>
      <c r="E4096" t="str">
        <f t="shared" si="317"/>
        <v/>
      </c>
      <c r="F4096" t="str">
        <f>IF(D4096="","",INDEX(Knutepunkter!$B:$B,D4096+1))</f>
        <v/>
      </c>
      <c r="G4096" t="str">
        <f>IF(D4096="","",INDEX(Knutepunkter!$C:$C,D4096+1))</f>
        <v/>
      </c>
      <c r="H4096" t="str">
        <f>IF(D4096="","",INDEX(Knutepunkter!$D:$D,D4096+1))</f>
        <v/>
      </c>
      <c r="I4096" t="str">
        <f>IF(E4096="","",INDEX(Knutepunkter!$B:$B,E4096+1))</f>
        <v/>
      </c>
      <c r="J4096" t="str">
        <f>IF(E4096="","",INDEX(Knutepunkter!$C:$C,E4096+1))</f>
        <v/>
      </c>
      <c r="K4096" t="str">
        <f>IF(E4096="","",INDEX(Knutepunkter!$D:$D,E4096+1))</f>
        <v/>
      </c>
      <c r="L4096" t="str">
        <f t="shared" si="318"/>
        <v/>
      </c>
      <c r="M4096" t="str">
        <f t="shared" si="319"/>
        <v/>
      </c>
    </row>
    <row r="4097" spans="1:13" x14ac:dyDescent="0.3">
      <c r="A4097" t="str">
        <f>Segmenter!A4097</f>
        <v/>
      </c>
      <c r="B4097" t="str">
        <f>Segmenter!B4097</f>
        <v/>
      </c>
      <c r="C4097" t="str">
        <f t="shared" si="315"/>
        <v/>
      </c>
      <c r="D4097" t="str">
        <f t="shared" si="316"/>
        <v/>
      </c>
      <c r="E4097" t="str">
        <f t="shared" si="317"/>
        <v/>
      </c>
      <c r="F4097" t="str">
        <f>IF(D4097="","",INDEX(Knutepunkter!$B:$B,D4097+1))</f>
        <v/>
      </c>
      <c r="G4097" t="str">
        <f>IF(D4097="","",INDEX(Knutepunkter!$C:$C,D4097+1))</f>
        <v/>
      </c>
      <c r="H4097" t="str">
        <f>IF(D4097="","",INDEX(Knutepunkter!$D:$D,D4097+1))</f>
        <v/>
      </c>
      <c r="I4097" t="str">
        <f>IF(E4097="","",INDEX(Knutepunkter!$B:$B,E4097+1))</f>
        <v/>
      </c>
      <c r="J4097" t="str">
        <f>IF(E4097="","",INDEX(Knutepunkter!$C:$C,E4097+1))</f>
        <v/>
      </c>
      <c r="K4097" t="str">
        <f>IF(E4097="","",INDEX(Knutepunkter!$D:$D,E4097+1))</f>
        <v/>
      </c>
      <c r="L4097" t="str">
        <f t="shared" si="318"/>
        <v/>
      </c>
      <c r="M4097" t="str">
        <f t="shared" si="319"/>
        <v/>
      </c>
    </row>
    <row r="4098" spans="1:13" x14ac:dyDescent="0.3">
      <c r="A4098" t="str">
        <f>Segmenter!A4098</f>
        <v/>
      </c>
      <c r="B4098" t="str">
        <f>Segmenter!B4098</f>
        <v/>
      </c>
      <c r="C4098" t="str">
        <f t="shared" ref="C4098:C4161" si="320">IF(B4098="","",IF(AND(F4098=I4098,G4098=J4098,H4098&lt;&gt;K4098),"Søyle","Bjelke"))</f>
        <v/>
      </c>
      <c r="D4098" t="str">
        <f t="shared" ref="D4098:D4161" si="321">IF(B4098="","",VALUE(LEFT(B4098,FIND(" -&gt; ",B4098)-1)))</f>
        <v/>
      </c>
      <c r="E4098" t="str">
        <f t="shared" ref="E4098:E4161" si="322">IF(B4098="","",VALUE(MID(B4098,FIND(" -&gt; ",B4098)+4,99)))</f>
        <v/>
      </c>
      <c r="F4098" t="str">
        <f>IF(D4098="","",INDEX(Knutepunkter!$B:$B,D4098+1))</f>
        <v/>
      </c>
      <c r="G4098" t="str">
        <f>IF(D4098="","",INDEX(Knutepunkter!$C:$C,D4098+1))</f>
        <v/>
      </c>
      <c r="H4098" t="str">
        <f>IF(D4098="","",INDEX(Knutepunkter!$D:$D,D4098+1))</f>
        <v/>
      </c>
      <c r="I4098" t="str">
        <f>IF(E4098="","",INDEX(Knutepunkter!$B:$B,E4098+1))</f>
        <v/>
      </c>
      <c r="J4098" t="str">
        <f>IF(E4098="","",INDEX(Knutepunkter!$C:$C,E4098+1))</f>
        <v/>
      </c>
      <c r="K4098" t="str">
        <f>IF(E4098="","",INDEX(Knutepunkter!$D:$D,E4098+1))</f>
        <v/>
      </c>
      <c r="L4098" t="str">
        <f t="shared" ref="L4098:L4161" si="323">IF(B4098="","",SQRT((I4098-F4098)^2+(J4098-G4098)^2+(K4098-H4098)^2))</f>
        <v/>
      </c>
      <c r="M4098" t="str">
        <f t="shared" ref="M4098:M4161" si="324">IF(L4098="","",L4098/1000)</f>
        <v/>
      </c>
    </row>
    <row r="4099" spans="1:13" x14ac:dyDescent="0.3">
      <c r="A4099" t="str">
        <f>Segmenter!A4099</f>
        <v/>
      </c>
      <c r="B4099" t="str">
        <f>Segmenter!B4099</f>
        <v/>
      </c>
      <c r="C4099" t="str">
        <f t="shared" si="320"/>
        <v/>
      </c>
      <c r="D4099" t="str">
        <f t="shared" si="321"/>
        <v/>
      </c>
      <c r="E4099" t="str">
        <f t="shared" si="322"/>
        <v/>
      </c>
      <c r="F4099" t="str">
        <f>IF(D4099="","",INDEX(Knutepunkter!$B:$B,D4099+1))</f>
        <v/>
      </c>
      <c r="G4099" t="str">
        <f>IF(D4099="","",INDEX(Knutepunkter!$C:$C,D4099+1))</f>
        <v/>
      </c>
      <c r="H4099" t="str">
        <f>IF(D4099="","",INDEX(Knutepunkter!$D:$D,D4099+1))</f>
        <v/>
      </c>
      <c r="I4099" t="str">
        <f>IF(E4099="","",INDEX(Knutepunkter!$B:$B,E4099+1))</f>
        <v/>
      </c>
      <c r="J4099" t="str">
        <f>IF(E4099="","",INDEX(Knutepunkter!$C:$C,E4099+1))</f>
        <v/>
      </c>
      <c r="K4099" t="str">
        <f>IF(E4099="","",INDEX(Knutepunkter!$D:$D,E4099+1))</f>
        <v/>
      </c>
      <c r="L4099" t="str">
        <f t="shared" si="323"/>
        <v/>
      </c>
      <c r="M4099" t="str">
        <f t="shared" si="324"/>
        <v/>
      </c>
    </row>
    <row r="4100" spans="1:13" x14ac:dyDescent="0.3">
      <c r="A4100" t="str">
        <f>Segmenter!A4100</f>
        <v/>
      </c>
      <c r="B4100" t="str">
        <f>Segmenter!B4100</f>
        <v/>
      </c>
      <c r="C4100" t="str">
        <f t="shared" si="320"/>
        <v/>
      </c>
      <c r="D4100" t="str">
        <f t="shared" si="321"/>
        <v/>
      </c>
      <c r="E4100" t="str">
        <f t="shared" si="322"/>
        <v/>
      </c>
      <c r="F4100" t="str">
        <f>IF(D4100="","",INDEX(Knutepunkter!$B:$B,D4100+1))</f>
        <v/>
      </c>
      <c r="G4100" t="str">
        <f>IF(D4100="","",INDEX(Knutepunkter!$C:$C,D4100+1))</f>
        <v/>
      </c>
      <c r="H4100" t="str">
        <f>IF(D4100="","",INDEX(Knutepunkter!$D:$D,D4100+1))</f>
        <v/>
      </c>
      <c r="I4100" t="str">
        <f>IF(E4100="","",INDEX(Knutepunkter!$B:$B,E4100+1))</f>
        <v/>
      </c>
      <c r="J4100" t="str">
        <f>IF(E4100="","",INDEX(Knutepunkter!$C:$C,E4100+1))</f>
        <v/>
      </c>
      <c r="K4100" t="str">
        <f>IF(E4100="","",INDEX(Knutepunkter!$D:$D,E4100+1))</f>
        <v/>
      </c>
      <c r="L4100" t="str">
        <f t="shared" si="323"/>
        <v/>
      </c>
      <c r="M4100" t="str">
        <f t="shared" si="324"/>
        <v/>
      </c>
    </row>
    <row r="4101" spans="1:13" x14ac:dyDescent="0.3">
      <c r="A4101" t="str">
        <f>Segmenter!A4101</f>
        <v/>
      </c>
      <c r="B4101" t="str">
        <f>Segmenter!B4101</f>
        <v/>
      </c>
      <c r="C4101" t="str">
        <f t="shared" si="320"/>
        <v/>
      </c>
      <c r="D4101" t="str">
        <f t="shared" si="321"/>
        <v/>
      </c>
      <c r="E4101" t="str">
        <f t="shared" si="322"/>
        <v/>
      </c>
      <c r="F4101" t="str">
        <f>IF(D4101="","",INDEX(Knutepunkter!$B:$B,D4101+1))</f>
        <v/>
      </c>
      <c r="G4101" t="str">
        <f>IF(D4101="","",INDEX(Knutepunkter!$C:$C,D4101+1))</f>
        <v/>
      </c>
      <c r="H4101" t="str">
        <f>IF(D4101="","",INDEX(Knutepunkter!$D:$D,D4101+1))</f>
        <v/>
      </c>
      <c r="I4101" t="str">
        <f>IF(E4101="","",INDEX(Knutepunkter!$B:$B,E4101+1))</f>
        <v/>
      </c>
      <c r="J4101" t="str">
        <f>IF(E4101="","",INDEX(Knutepunkter!$C:$C,E4101+1))</f>
        <v/>
      </c>
      <c r="K4101" t="str">
        <f>IF(E4101="","",INDEX(Knutepunkter!$D:$D,E4101+1))</f>
        <v/>
      </c>
      <c r="L4101" t="str">
        <f t="shared" si="323"/>
        <v/>
      </c>
      <c r="M4101" t="str">
        <f t="shared" si="324"/>
        <v/>
      </c>
    </row>
    <row r="4102" spans="1:13" x14ac:dyDescent="0.3">
      <c r="A4102" t="str">
        <f>Segmenter!A4102</f>
        <v/>
      </c>
      <c r="B4102" t="str">
        <f>Segmenter!B4102</f>
        <v/>
      </c>
      <c r="C4102" t="str">
        <f t="shared" si="320"/>
        <v/>
      </c>
      <c r="D4102" t="str">
        <f t="shared" si="321"/>
        <v/>
      </c>
      <c r="E4102" t="str">
        <f t="shared" si="322"/>
        <v/>
      </c>
      <c r="F4102" t="str">
        <f>IF(D4102="","",INDEX(Knutepunkter!$B:$B,D4102+1))</f>
        <v/>
      </c>
      <c r="G4102" t="str">
        <f>IF(D4102="","",INDEX(Knutepunkter!$C:$C,D4102+1))</f>
        <v/>
      </c>
      <c r="H4102" t="str">
        <f>IF(D4102="","",INDEX(Knutepunkter!$D:$D,D4102+1))</f>
        <v/>
      </c>
      <c r="I4102" t="str">
        <f>IF(E4102="","",INDEX(Knutepunkter!$B:$B,E4102+1))</f>
        <v/>
      </c>
      <c r="J4102" t="str">
        <f>IF(E4102="","",INDEX(Knutepunkter!$C:$C,E4102+1))</f>
        <v/>
      </c>
      <c r="K4102" t="str">
        <f>IF(E4102="","",INDEX(Knutepunkter!$D:$D,E4102+1))</f>
        <v/>
      </c>
      <c r="L4102" t="str">
        <f t="shared" si="323"/>
        <v/>
      </c>
      <c r="M4102" t="str">
        <f t="shared" si="324"/>
        <v/>
      </c>
    </row>
    <row r="4103" spans="1:13" x14ac:dyDescent="0.3">
      <c r="A4103" t="str">
        <f>Segmenter!A4103</f>
        <v/>
      </c>
      <c r="B4103" t="str">
        <f>Segmenter!B4103</f>
        <v/>
      </c>
      <c r="C4103" t="str">
        <f t="shared" si="320"/>
        <v/>
      </c>
      <c r="D4103" t="str">
        <f t="shared" si="321"/>
        <v/>
      </c>
      <c r="E4103" t="str">
        <f t="shared" si="322"/>
        <v/>
      </c>
      <c r="F4103" t="str">
        <f>IF(D4103="","",INDEX(Knutepunkter!$B:$B,D4103+1))</f>
        <v/>
      </c>
      <c r="G4103" t="str">
        <f>IF(D4103="","",INDEX(Knutepunkter!$C:$C,D4103+1))</f>
        <v/>
      </c>
      <c r="H4103" t="str">
        <f>IF(D4103="","",INDEX(Knutepunkter!$D:$D,D4103+1))</f>
        <v/>
      </c>
      <c r="I4103" t="str">
        <f>IF(E4103="","",INDEX(Knutepunkter!$B:$B,E4103+1))</f>
        <v/>
      </c>
      <c r="J4103" t="str">
        <f>IF(E4103="","",INDEX(Knutepunkter!$C:$C,E4103+1))</f>
        <v/>
      </c>
      <c r="K4103" t="str">
        <f>IF(E4103="","",INDEX(Knutepunkter!$D:$D,E4103+1))</f>
        <v/>
      </c>
      <c r="L4103" t="str">
        <f t="shared" si="323"/>
        <v/>
      </c>
      <c r="M4103" t="str">
        <f t="shared" si="324"/>
        <v/>
      </c>
    </row>
    <row r="4104" spans="1:13" x14ac:dyDescent="0.3">
      <c r="A4104" t="str">
        <f>Segmenter!A4104</f>
        <v/>
      </c>
      <c r="B4104" t="str">
        <f>Segmenter!B4104</f>
        <v/>
      </c>
      <c r="C4104" t="str">
        <f t="shared" si="320"/>
        <v/>
      </c>
      <c r="D4104" t="str">
        <f t="shared" si="321"/>
        <v/>
      </c>
      <c r="E4104" t="str">
        <f t="shared" si="322"/>
        <v/>
      </c>
      <c r="F4104" t="str">
        <f>IF(D4104="","",INDEX(Knutepunkter!$B:$B,D4104+1))</f>
        <v/>
      </c>
      <c r="G4104" t="str">
        <f>IF(D4104="","",INDEX(Knutepunkter!$C:$C,D4104+1))</f>
        <v/>
      </c>
      <c r="H4104" t="str">
        <f>IF(D4104="","",INDEX(Knutepunkter!$D:$D,D4104+1))</f>
        <v/>
      </c>
      <c r="I4104" t="str">
        <f>IF(E4104="","",INDEX(Knutepunkter!$B:$B,E4104+1))</f>
        <v/>
      </c>
      <c r="J4104" t="str">
        <f>IF(E4104="","",INDEX(Knutepunkter!$C:$C,E4104+1))</f>
        <v/>
      </c>
      <c r="K4104" t="str">
        <f>IF(E4104="","",INDEX(Knutepunkter!$D:$D,E4104+1))</f>
        <v/>
      </c>
      <c r="L4104" t="str">
        <f t="shared" si="323"/>
        <v/>
      </c>
      <c r="M4104" t="str">
        <f t="shared" si="324"/>
        <v/>
      </c>
    </row>
    <row r="4105" spans="1:13" x14ac:dyDescent="0.3">
      <c r="A4105" t="str">
        <f>Segmenter!A4105</f>
        <v/>
      </c>
      <c r="B4105" t="str">
        <f>Segmenter!B4105</f>
        <v/>
      </c>
      <c r="C4105" t="str">
        <f t="shared" si="320"/>
        <v/>
      </c>
      <c r="D4105" t="str">
        <f t="shared" si="321"/>
        <v/>
      </c>
      <c r="E4105" t="str">
        <f t="shared" si="322"/>
        <v/>
      </c>
      <c r="F4105" t="str">
        <f>IF(D4105="","",INDEX(Knutepunkter!$B:$B,D4105+1))</f>
        <v/>
      </c>
      <c r="G4105" t="str">
        <f>IF(D4105="","",INDEX(Knutepunkter!$C:$C,D4105+1))</f>
        <v/>
      </c>
      <c r="H4105" t="str">
        <f>IF(D4105="","",INDEX(Knutepunkter!$D:$D,D4105+1))</f>
        <v/>
      </c>
      <c r="I4105" t="str">
        <f>IF(E4105="","",INDEX(Knutepunkter!$B:$B,E4105+1))</f>
        <v/>
      </c>
      <c r="J4105" t="str">
        <f>IF(E4105="","",INDEX(Knutepunkter!$C:$C,E4105+1))</f>
        <v/>
      </c>
      <c r="K4105" t="str">
        <f>IF(E4105="","",INDEX(Knutepunkter!$D:$D,E4105+1))</f>
        <v/>
      </c>
      <c r="L4105" t="str">
        <f t="shared" si="323"/>
        <v/>
      </c>
      <c r="M4105" t="str">
        <f t="shared" si="324"/>
        <v/>
      </c>
    </row>
    <row r="4106" spans="1:13" x14ac:dyDescent="0.3">
      <c r="A4106" t="str">
        <f>Segmenter!A4106</f>
        <v/>
      </c>
      <c r="B4106" t="str">
        <f>Segmenter!B4106</f>
        <v/>
      </c>
      <c r="C4106" t="str">
        <f t="shared" si="320"/>
        <v/>
      </c>
      <c r="D4106" t="str">
        <f t="shared" si="321"/>
        <v/>
      </c>
      <c r="E4106" t="str">
        <f t="shared" si="322"/>
        <v/>
      </c>
      <c r="F4106" t="str">
        <f>IF(D4106="","",INDEX(Knutepunkter!$B:$B,D4106+1))</f>
        <v/>
      </c>
      <c r="G4106" t="str">
        <f>IF(D4106="","",INDEX(Knutepunkter!$C:$C,D4106+1))</f>
        <v/>
      </c>
      <c r="H4106" t="str">
        <f>IF(D4106="","",INDEX(Knutepunkter!$D:$D,D4106+1))</f>
        <v/>
      </c>
      <c r="I4106" t="str">
        <f>IF(E4106="","",INDEX(Knutepunkter!$B:$B,E4106+1))</f>
        <v/>
      </c>
      <c r="J4106" t="str">
        <f>IF(E4106="","",INDEX(Knutepunkter!$C:$C,E4106+1))</f>
        <v/>
      </c>
      <c r="K4106" t="str">
        <f>IF(E4106="","",INDEX(Knutepunkter!$D:$D,E4106+1))</f>
        <v/>
      </c>
      <c r="L4106" t="str">
        <f t="shared" si="323"/>
        <v/>
      </c>
      <c r="M4106" t="str">
        <f t="shared" si="324"/>
        <v/>
      </c>
    </row>
    <row r="4107" spans="1:13" x14ac:dyDescent="0.3">
      <c r="A4107" t="str">
        <f>Segmenter!A4107</f>
        <v/>
      </c>
      <c r="B4107" t="str">
        <f>Segmenter!B4107</f>
        <v/>
      </c>
      <c r="C4107" t="str">
        <f t="shared" si="320"/>
        <v/>
      </c>
      <c r="D4107" t="str">
        <f t="shared" si="321"/>
        <v/>
      </c>
      <c r="E4107" t="str">
        <f t="shared" si="322"/>
        <v/>
      </c>
      <c r="F4107" t="str">
        <f>IF(D4107="","",INDEX(Knutepunkter!$B:$B,D4107+1))</f>
        <v/>
      </c>
      <c r="G4107" t="str">
        <f>IF(D4107="","",INDEX(Knutepunkter!$C:$C,D4107+1))</f>
        <v/>
      </c>
      <c r="H4107" t="str">
        <f>IF(D4107="","",INDEX(Knutepunkter!$D:$D,D4107+1))</f>
        <v/>
      </c>
      <c r="I4107" t="str">
        <f>IF(E4107="","",INDEX(Knutepunkter!$B:$B,E4107+1))</f>
        <v/>
      </c>
      <c r="J4107" t="str">
        <f>IF(E4107="","",INDEX(Knutepunkter!$C:$C,E4107+1))</f>
        <v/>
      </c>
      <c r="K4107" t="str">
        <f>IF(E4107="","",INDEX(Knutepunkter!$D:$D,E4107+1))</f>
        <v/>
      </c>
      <c r="L4107" t="str">
        <f t="shared" si="323"/>
        <v/>
      </c>
      <c r="M4107" t="str">
        <f t="shared" si="324"/>
        <v/>
      </c>
    </row>
    <row r="4108" spans="1:13" x14ac:dyDescent="0.3">
      <c r="A4108" t="str">
        <f>Segmenter!A4108</f>
        <v/>
      </c>
      <c r="B4108" t="str">
        <f>Segmenter!B4108</f>
        <v/>
      </c>
      <c r="C4108" t="str">
        <f t="shared" si="320"/>
        <v/>
      </c>
      <c r="D4108" t="str">
        <f t="shared" si="321"/>
        <v/>
      </c>
      <c r="E4108" t="str">
        <f t="shared" si="322"/>
        <v/>
      </c>
      <c r="F4108" t="str">
        <f>IF(D4108="","",INDEX(Knutepunkter!$B:$B,D4108+1))</f>
        <v/>
      </c>
      <c r="G4108" t="str">
        <f>IF(D4108="","",INDEX(Knutepunkter!$C:$C,D4108+1))</f>
        <v/>
      </c>
      <c r="H4108" t="str">
        <f>IF(D4108="","",INDEX(Knutepunkter!$D:$D,D4108+1))</f>
        <v/>
      </c>
      <c r="I4108" t="str">
        <f>IF(E4108="","",INDEX(Knutepunkter!$B:$B,E4108+1))</f>
        <v/>
      </c>
      <c r="J4108" t="str">
        <f>IF(E4108="","",INDEX(Knutepunkter!$C:$C,E4108+1))</f>
        <v/>
      </c>
      <c r="K4108" t="str">
        <f>IF(E4108="","",INDEX(Knutepunkter!$D:$D,E4108+1))</f>
        <v/>
      </c>
      <c r="L4108" t="str">
        <f t="shared" si="323"/>
        <v/>
      </c>
      <c r="M4108" t="str">
        <f t="shared" si="324"/>
        <v/>
      </c>
    </row>
    <row r="4109" spans="1:13" x14ac:dyDescent="0.3">
      <c r="A4109" t="str">
        <f>Segmenter!A4109</f>
        <v/>
      </c>
      <c r="B4109" t="str">
        <f>Segmenter!B4109</f>
        <v/>
      </c>
      <c r="C4109" t="str">
        <f t="shared" si="320"/>
        <v/>
      </c>
      <c r="D4109" t="str">
        <f t="shared" si="321"/>
        <v/>
      </c>
      <c r="E4109" t="str">
        <f t="shared" si="322"/>
        <v/>
      </c>
      <c r="F4109" t="str">
        <f>IF(D4109="","",INDEX(Knutepunkter!$B:$B,D4109+1))</f>
        <v/>
      </c>
      <c r="G4109" t="str">
        <f>IF(D4109="","",INDEX(Knutepunkter!$C:$C,D4109+1))</f>
        <v/>
      </c>
      <c r="H4109" t="str">
        <f>IF(D4109="","",INDEX(Knutepunkter!$D:$D,D4109+1))</f>
        <v/>
      </c>
      <c r="I4109" t="str">
        <f>IF(E4109="","",INDEX(Knutepunkter!$B:$B,E4109+1))</f>
        <v/>
      </c>
      <c r="J4109" t="str">
        <f>IF(E4109="","",INDEX(Knutepunkter!$C:$C,E4109+1))</f>
        <v/>
      </c>
      <c r="K4109" t="str">
        <f>IF(E4109="","",INDEX(Knutepunkter!$D:$D,E4109+1))</f>
        <v/>
      </c>
      <c r="L4109" t="str">
        <f t="shared" si="323"/>
        <v/>
      </c>
      <c r="M4109" t="str">
        <f t="shared" si="324"/>
        <v/>
      </c>
    </row>
    <row r="4110" spans="1:13" x14ac:dyDescent="0.3">
      <c r="A4110" t="str">
        <f>Segmenter!A4110</f>
        <v/>
      </c>
      <c r="B4110" t="str">
        <f>Segmenter!B4110</f>
        <v/>
      </c>
      <c r="C4110" t="str">
        <f t="shared" si="320"/>
        <v/>
      </c>
      <c r="D4110" t="str">
        <f t="shared" si="321"/>
        <v/>
      </c>
      <c r="E4110" t="str">
        <f t="shared" si="322"/>
        <v/>
      </c>
      <c r="F4110" t="str">
        <f>IF(D4110="","",INDEX(Knutepunkter!$B:$B,D4110+1))</f>
        <v/>
      </c>
      <c r="G4110" t="str">
        <f>IF(D4110="","",INDEX(Knutepunkter!$C:$C,D4110+1))</f>
        <v/>
      </c>
      <c r="H4110" t="str">
        <f>IF(D4110="","",INDEX(Knutepunkter!$D:$D,D4110+1))</f>
        <v/>
      </c>
      <c r="I4110" t="str">
        <f>IF(E4110="","",INDEX(Knutepunkter!$B:$B,E4110+1))</f>
        <v/>
      </c>
      <c r="J4110" t="str">
        <f>IF(E4110="","",INDEX(Knutepunkter!$C:$C,E4110+1))</f>
        <v/>
      </c>
      <c r="K4110" t="str">
        <f>IF(E4110="","",INDEX(Knutepunkter!$D:$D,E4110+1))</f>
        <v/>
      </c>
      <c r="L4110" t="str">
        <f t="shared" si="323"/>
        <v/>
      </c>
      <c r="M4110" t="str">
        <f t="shared" si="324"/>
        <v/>
      </c>
    </row>
    <row r="4111" spans="1:13" x14ac:dyDescent="0.3">
      <c r="A4111" t="str">
        <f>Segmenter!A4111</f>
        <v/>
      </c>
      <c r="B4111" t="str">
        <f>Segmenter!B4111</f>
        <v/>
      </c>
      <c r="C4111" t="str">
        <f t="shared" si="320"/>
        <v/>
      </c>
      <c r="D4111" t="str">
        <f t="shared" si="321"/>
        <v/>
      </c>
      <c r="E4111" t="str">
        <f t="shared" si="322"/>
        <v/>
      </c>
      <c r="F4111" t="str">
        <f>IF(D4111="","",INDEX(Knutepunkter!$B:$B,D4111+1))</f>
        <v/>
      </c>
      <c r="G4111" t="str">
        <f>IF(D4111="","",INDEX(Knutepunkter!$C:$C,D4111+1))</f>
        <v/>
      </c>
      <c r="H4111" t="str">
        <f>IF(D4111="","",INDEX(Knutepunkter!$D:$D,D4111+1))</f>
        <v/>
      </c>
      <c r="I4111" t="str">
        <f>IF(E4111="","",INDEX(Knutepunkter!$B:$B,E4111+1))</f>
        <v/>
      </c>
      <c r="J4111" t="str">
        <f>IF(E4111="","",INDEX(Knutepunkter!$C:$C,E4111+1))</f>
        <v/>
      </c>
      <c r="K4111" t="str">
        <f>IF(E4111="","",INDEX(Knutepunkter!$D:$D,E4111+1))</f>
        <v/>
      </c>
      <c r="L4111" t="str">
        <f t="shared" si="323"/>
        <v/>
      </c>
      <c r="M4111" t="str">
        <f t="shared" si="324"/>
        <v/>
      </c>
    </row>
    <row r="4112" spans="1:13" x14ac:dyDescent="0.3">
      <c r="A4112" t="str">
        <f>Segmenter!A4112</f>
        <v/>
      </c>
      <c r="B4112" t="str">
        <f>Segmenter!B4112</f>
        <v/>
      </c>
      <c r="C4112" t="str">
        <f t="shared" si="320"/>
        <v/>
      </c>
      <c r="D4112" t="str">
        <f t="shared" si="321"/>
        <v/>
      </c>
      <c r="E4112" t="str">
        <f t="shared" si="322"/>
        <v/>
      </c>
      <c r="F4112" t="str">
        <f>IF(D4112="","",INDEX(Knutepunkter!$B:$B,D4112+1))</f>
        <v/>
      </c>
      <c r="G4112" t="str">
        <f>IF(D4112="","",INDEX(Knutepunkter!$C:$C,D4112+1))</f>
        <v/>
      </c>
      <c r="H4112" t="str">
        <f>IF(D4112="","",INDEX(Knutepunkter!$D:$D,D4112+1))</f>
        <v/>
      </c>
      <c r="I4112" t="str">
        <f>IF(E4112="","",INDEX(Knutepunkter!$B:$B,E4112+1))</f>
        <v/>
      </c>
      <c r="J4112" t="str">
        <f>IF(E4112="","",INDEX(Knutepunkter!$C:$C,E4112+1))</f>
        <v/>
      </c>
      <c r="K4112" t="str">
        <f>IF(E4112="","",INDEX(Knutepunkter!$D:$D,E4112+1))</f>
        <v/>
      </c>
      <c r="L4112" t="str">
        <f t="shared" si="323"/>
        <v/>
      </c>
      <c r="M4112" t="str">
        <f t="shared" si="324"/>
        <v/>
      </c>
    </row>
    <row r="4113" spans="1:13" x14ac:dyDescent="0.3">
      <c r="A4113" t="str">
        <f>Segmenter!A4113</f>
        <v/>
      </c>
      <c r="B4113" t="str">
        <f>Segmenter!B4113</f>
        <v/>
      </c>
      <c r="C4113" t="str">
        <f t="shared" si="320"/>
        <v/>
      </c>
      <c r="D4113" t="str">
        <f t="shared" si="321"/>
        <v/>
      </c>
      <c r="E4113" t="str">
        <f t="shared" si="322"/>
        <v/>
      </c>
      <c r="F4113" t="str">
        <f>IF(D4113="","",INDEX(Knutepunkter!$B:$B,D4113+1))</f>
        <v/>
      </c>
      <c r="G4113" t="str">
        <f>IF(D4113="","",INDEX(Knutepunkter!$C:$C,D4113+1))</f>
        <v/>
      </c>
      <c r="H4113" t="str">
        <f>IF(D4113="","",INDEX(Knutepunkter!$D:$D,D4113+1))</f>
        <v/>
      </c>
      <c r="I4113" t="str">
        <f>IF(E4113="","",INDEX(Knutepunkter!$B:$B,E4113+1))</f>
        <v/>
      </c>
      <c r="J4113" t="str">
        <f>IF(E4113="","",INDEX(Knutepunkter!$C:$C,E4113+1))</f>
        <v/>
      </c>
      <c r="K4113" t="str">
        <f>IF(E4113="","",INDEX(Knutepunkter!$D:$D,E4113+1))</f>
        <v/>
      </c>
      <c r="L4113" t="str">
        <f t="shared" si="323"/>
        <v/>
      </c>
      <c r="M4113" t="str">
        <f t="shared" si="324"/>
        <v/>
      </c>
    </row>
    <row r="4114" spans="1:13" x14ac:dyDescent="0.3">
      <c r="A4114" t="str">
        <f>Segmenter!A4114</f>
        <v/>
      </c>
      <c r="B4114" t="str">
        <f>Segmenter!B4114</f>
        <v/>
      </c>
      <c r="C4114" t="str">
        <f t="shared" si="320"/>
        <v/>
      </c>
      <c r="D4114" t="str">
        <f t="shared" si="321"/>
        <v/>
      </c>
      <c r="E4114" t="str">
        <f t="shared" si="322"/>
        <v/>
      </c>
      <c r="F4114" t="str">
        <f>IF(D4114="","",INDEX(Knutepunkter!$B:$B,D4114+1))</f>
        <v/>
      </c>
      <c r="G4114" t="str">
        <f>IF(D4114="","",INDEX(Knutepunkter!$C:$C,D4114+1))</f>
        <v/>
      </c>
      <c r="H4114" t="str">
        <f>IF(D4114="","",INDEX(Knutepunkter!$D:$D,D4114+1))</f>
        <v/>
      </c>
      <c r="I4114" t="str">
        <f>IF(E4114="","",INDEX(Knutepunkter!$B:$B,E4114+1))</f>
        <v/>
      </c>
      <c r="J4114" t="str">
        <f>IF(E4114="","",INDEX(Knutepunkter!$C:$C,E4114+1))</f>
        <v/>
      </c>
      <c r="K4114" t="str">
        <f>IF(E4114="","",INDEX(Knutepunkter!$D:$D,E4114+1))</f>
        <v/>
      </c>
      <c r="L4114" t="str">
        <f t="shared" si="323"/>
        <v/>
      </c>
      <c r="M4114" t="str">
        <f t="shared" si="324"/>
        <v/>
      </c>
    </row>
    <row r="4115" spans="1:13" x14ac:dyDescent="0.3">
      <c r="A4115" t="str">
        <f>Segmenter!A4115</f>
        <v/>
      </c>
      <c r="B4115" t="str">
        <f>Segmenter!B4115</f>
        <v/>
      </c>
      <c r="C4115" t="str">
        <f t="shared" si="320"/>
        <v/>
      </c>
      <c r="D4115" t="str">
        <f t="shared" si="321"/>
        <v/>
      </c>
      <c r="E4115" t="str">
        <f t="shared" si="322"/>
        <v/>
      </c>
      <c r="F4115" t="str">
        <f>IF(D4115="","",INDEX(Knutepunkter!$B:$B,D4115+1))</f>
        <v/>
      </c>
      <c r="G4115" t="str">
        <f>IF(D4115="","",INDEX(Knutepunkter!$C:$C,D4115+1))</f>
        <v/>
      </c>
      <c r="H4115" t="str">
        <f>IF(D4115="","",INDEX(Knutepunkter!$D:$D,D4115+1))</f>
        <v/>
      </c>
      <c r="I4115" t="str">
        <f>IF(E4115="","",INDEX(Knutepunkter!$B:$B,E4115+1))</f>
        <v/>
      </c>
      <c r="J4115" t="str">
        <f>IF(E4115="","",INDEX(Knutepunkter!$C:$C,E4115+1))</f>
        <v/>
      </c>
      <c r="K4115" t="str">
        <f>IF(E4115="","",INDEX(Knutepunkter!$D:$D,E4115+1))</f>
        <v/>
      </c>
      <c r="L4115" t="str">
        <f t="shared" si="323"/>
        <v/>
      </c>
      <c r="M4115" t="str">
        <f t="shared" si="324"/>
        <v/>
      </c>
    </row>
    <row r="4116" spans="1:13" x14ac:dyDescent="0.3">
      <c r="A4116" t="str">
        <f>Segmenter!A4116</f>
        <v/>
      </c>
      <c r="B4116" t="str">
        <f>Segmenter!B4116</f>
        <v/>
      </c>
      <c r="C4116" t="str">
        <f t="shared" si="320"/>
        <v/>
      </c>
      <c r="D4116" t="str">
        <f t="shared" si="321"/>
        <v/>
      </c>
      <c r="E4116" t="str">
        <f t="shared" si="322"/>
        <v/>
      </c>
      <c r="F4116" t="str">
        <f>IF(D4116="","",INDEX(Knutepunkter!$B:$B,D4116+1))</f>
        <v/>
      </c>
      <c r="G4116" t="str">
        <f>IF(D4116="","",INDEX(Knutepunkter!$C:$C,D4116+1))</f>
        <v/>
      </c>
      <c r="H4116" t="str">
        <f>IF(D4116="","",INDEX(Knutepunkter!$D:$D,D4116+1))</f>
        <v/>
      </c>
      <c r="I4116" t="str">
        <f>IF(E4116="","",INDEX(Knutepunkter!$B:$B,E4116+1))</f>
        <v/>
      </c>
      <c r="J4116" t="str">
        <f>IF(E4116="","",INDEX(Knutepunkter!$C:$C,E4116+1))</f>
        <v/>
      </c>
      <c r="K4116" t="str">
        <f>IF(E4116="","",INDEX(Knutepunkter!$D:$D,E4116+1))</f>
        <v/>
      </c>
      <c r="L4116" t="str">
        <f t="shared" si="323"/>
        <v/>
      </c>
      <c r="M4116" t="str">
        <f t="shared" si="324"/>
        <v/>
      </c>
    </row>
    <row r="4117" spans="1:13" x14ac:dyDescent="0.3">
      <c r="A4117" t="str">
        <f>Segmenter!A4117</f>
        <v/>
      </c>
      <c r="B4117" t="str">
        <f>Segmenter!B4117</f>
        <v/>
      </c>
      <c r="C4117" t="str">
        <f t="shared" si="320"/>
        <v/>
      </c>
      <c r="D4117" t="str">
        <f t="shared" si="321"/>
        <v/>
      </c>
      <c r="E4117" t="str">
        <f t="shared" si="322"/>
        <v/>
      </c>
      <c r="F4117" t="str">
        <f>IF(D4117="","",INDEX(Knutepunkter!$B:$B,D4117+1))</f>
        <v/>
      </c>
      <c r="G4117" t="str">
        <f>IF(D4117="","",INDEX(Knutepunkter!$C:$C,D4117+1))</f>
        <v/>
      </c>
      <c r="H4117" t="str">
        <f>IF(D4117="","",INDEX(Knutepunkter!$D:$D,D4117+1))</f>
        <v/>
      </c>
      <c r="I4117" t="str">
        <f>IF(E4117="","",INDEX(Knutepunkter!$B:$B,E4117+1))</f>
        <v/>
      </c>
      <c r="J4117" t="str">
        <f>IF(E4117="","",INDEX(Knutepunkter!$C:$C,E4117+1))</f>
        <v/>
      </c>
      <c r="K4117" t="str">
        <f>IF(E4117="","",INDEX(Knutepunkter!$D:$D,E4117+1))</f>
        <v/>
      </c>
      <c r="L4117" t="str">
        <f t="shared" si="323"/>
        <v/>
      </c>
      <c r="M4117" t="str">
        <f t="shared" si="324"/>
        <v/>
      </c>
    </row>
    <row r="4118" spans="1:13" x14ac:dyDescent="0.3">
      <c r="A4118" t="str">
        <f>Segmenter!A4118</f>
        <v/>
      </c>
      <c r="B4118" t="str">
        <f>Segmenter!B4118</f>
        <v/>
      </c>
      <c r="C4118" t="str">
        <f t="shared" si="320"/>
        <v/>
      </c>
      <c r="D4118" t="str">
        <f t="shared" si="321"/>
        <v/>
      </c>
      <c r="E4118" t="str">
        <f t="shared" si="322"/>
        <v/>
      </c>
      <c r="F4118" t="str">
        <f>IF(D4118="","",INDEX(Knutepunkter!$B:$B,D4118+1))</f>
        <v/>
      </c>
      <c r="G4118" t="str">
        <f>IF(D4118="","",INDEX(Knutepunkter!$C:$C,D4118+1))</f>
        <v/>
      </c>
      <c r="H4118" t="str">
        <f>IF(D4118="","",INDEX(Knutepunkter!$D:$D,D4118+1))</f>
        <v/>
      </c>
      <c r="I4118" t="str">
        <f>IF(E4118="","",INDEX(Knutepunkter!$B:$B,E4118+1))</f>
        <v/>
      </c>
      <c r="J4118" t="str">
        <f>IF(E4118="","",INDEX(Knutepunkter!$C:$C,E4118+1))</f>
        <v/>
      </c>
      <c r="K4118" t="str">
        <f>IF(E4118="","",INDEX(Knutepunkter!$D:$D,E4118+1))</f>
        <v/>
      </c>
      <c r="L4118" t="str">
        <f t="shared" si="323"/>
        <v/>
      </c>
      <c r="M4118" t="str">
        <f t="shared" si="324"/>
        <v/>
      </c>
    </row>
    <row r="4119" spans="1:13" x14ac:dyDescent="0.3">
      <c r="A4119" t="str">
        <f>Segmenter!A4119</f>
        <v/>
      </c>
      <c r="B4119" t="str">
        <f>Segmenter!B4119</f>
        <v/>
      </c>
      <c r="C4119" t="str">
        <f t="shared" si="320"/>
        <v/>
      </c>
      <c r="D4119" t="str">
        <f t="shared" si="321"/>
        <v/>
      </c>
      <c r="E4119" t="str">
        <f t="shared" si="322"/>
        <v/>
      </c>
      <c r="F4119" t="str">
        <f>IF(D4119="","",INDEX(Knutepunkter!$B:$B,D4119+1))</f>
        <v/>
      </c>
      <c r="G4119" t="str">
        <f>IF(D4119="","",INDEX(Knutepunkter!$C:$C,D4119+1))</f>
        <v/>
      </c>
      <c r="H4119" t="str">
        <f>IF(D4119="","",INDEX(Knutepunkter!$D:$D,D4119+1))</f>
        <v/>
      </c>
      <c r="I4119" t="str">
        <f>IF(E4119="","",INDEX(Knutepunkter!$B:$B,E4119+1))</f>
        <v/>
      </c>
      <c r="J4119" t="str">
        <f>IF(E4119="","",INDEX(Knutepunkter!$C:$C,E4119+1))</f>
        <v/>
      </c>
      <c r="K4119" t="str">
        <f>IF(E4119="","",INDEX(Knutepunkter!$D:$D,E4119+1))</f>
        <v/>
      </c>
      <c r="L4119" t="str">
        <f t="shared" si="323"/>
        <v/>
      </c>
      <c r="M4119" t="str">
        <f t="shared" si="324"/>
        <v/>
      </c>
    </row>
    <row r="4120" spans="1:13" x14ac:dyDescent="0.3">
      <c r="A4120" t="str">
        <f>Segmenter!A4120</f>
        <v/>
      </c>
      <c r="B4120" t="str">
        <f>Segmenter!B4120</f>
        <v/>
      </c>
      <c r="C4120" t="str">
        <f t="shared" si="320"/>
        <v/>
      </c>
      <c r="D4120" t="str">
        <f t="shared" si="321"/>
        <v/>
      </c>
      <c r="E4120" t="str">
        <f t="shared" si="322"/>
        <v/>
      </c>
      <c r="F4120" t="str">
        <f>IF(D4120="","",INDEX(Knutepunkter!$B:$B,D4120+1))</f>
        <v/>
      </c>
      <c r="G4120" t="str">
        <f>IF(D4120="","",INDEX(Knutepunkter!$C:$C,D4120+1))</f>
        <v/>
      </c>
      <c r="H4120" t="str">
        <f>IF(D4120="","",INDEX(Knutepunkter!$D:$D,D4120+1))</f>
        <v/>
      </c>
      <c r="I4120" t="str">
        <f>IF(E4120="","",INDEX(Knutepunkter!$B:$B,E4120+1))</f>
        <v/>
      </c>
      <c r="J4120" t="str">
        <f>IF(E4120="","",INDEX(Knutepunkter!$C:$C,E4120+1))</f>
        <v/>
      </c>
      <c r="K4120" t="str">
        <f>IF(E4120="","",INDEX(Knutepunkter!$D:$D,E4120+1))</f>
        <v/>
      </c>
      <c r="L4120" t="str">
        <f t="shared" si="323"/>
        <v/>
      </c>
      <c r="M4120" t="str">
        <f t="shared" si="324"/>
        <v/>
      </c>
    </row>
    <row r="4121" spans="1:13" x14ac:dyDescent="0.3">
      <c r="A4121" t="str">
        <f>Segmenter!A4121</f>
        <v/>
      </c>
      <c r="B4121" t="str">
        <f>Segmenter!B4121</f>
        <v/>
      </c>
      <c r="C4121" t="str">
        <f t="shared" si="320"/>
        <v/>
      </c>
      <c r="D4121" t="str">
        <f t="shared" si="321"/>
        <v/>
      </c>
      <c r="E4121" t="str">
        <f t="shared" si="322"/>
        <v/>
      </c>
      <c r="F4121" t="str">
        <f>IF(D4121="","",INDEX(Knutepunkter!$B:$B,D4121+1))</f>
        <v/>
      </c>
      <c r="G4121" t="str">
        <f>IF(D4121="","",INDEX(Knutepunkter!$C:$C,D4121+1))</f>
        <v/>
      </c>
      <c r="H4121" t="str">
        <f>IF(D4121="","",INDEX(Knutepunkter!$D:$D,D4121+1))</f>
        <v/>
      </c>
      <c r="I4121" t="str">
        <f>IF(E4121="","",INDEX(Knutepunkter!$B:$B,E4121+1))</f>
        <v/>
      </c>
      <c r="J4121" t="str">
        <f>IF(E4121="","",INDEX(Knutepunkter!$C:$C,E4121+1))</f>
        <v/>
      </c>
      <c r="K4121" t="str">
        <f>IF(E4121="","",INDEX(Knutepunkter!$D:$D,E4121+1))</f>
        <v/>
      </c>
      <c r="L4121" t="str">
        <f t="shared" si="323"/>
        <v/>
      </c>
      <c r="M4121" t="str">
        <f t="shared" si="324"/>
        <v/>
      </c>
    </row>
    <row r="4122" spans="1:13" x14ac:dyDescent="0.3">
      <c r="A4122" t="str">
        <f>Segmenter!A4122</f>
        <v/>
      </c>
      <c r="B4122" t="str">
        <f>Segmenter!B4122</f>
        <v/>
      </c>
      <c r="C4122" t="str">
        <f t="shared" si="320"/>
        <v/>
      </c>
      <c r="D4122" t="str">
        <f t="shared" si="321"/>
        <v/>
      </c>
      <c r="E4122" t="str">
        <f t="shared" si="322"/>
        <v/>
      </c>
      <c r="F4122" t="str">
        <f>IF(D4122="","",INDEX(Knutepunkter!$B:$B,D4122+1))</f>
        <v/>
      </c>
      <c r="G4122" t="str">
        <f>IF(D4122="","",INDEX(Knutepunkter!$C:$C,D4122+1))</f>
        <v/>
      </c>
      <c r="H4122" t="str">
        <f>IF(D4122="","",INDEX(Knutepunkter!$D:$D,D4122+1))</f>
        <v/>
      </c>
      <c r="I4122" t="str">
        <f>IF(E4122="","",INDEX(Knutepunkter!$B:$B,E4122+1))</f>
        <v/>
      </c>
      <c r="J4122" t="str">
        <f>IF(E4122="","",INDEX(Knutepunkter!$C:$C,E4122+1))</f>
        <v/>
      </c>
      <c r="K4122" t="str">
        <f>IF(E4122="","",INDEX(Knutepunkter!$D:$D,E4122+1))</f>
        <v/>
      </c>
      <c r="L4122" t="str">
        <f t="shared" si="323"/>
        <v/>
      </c>
      <c r="M4122" t="str">
        <f t="shared" si="324"/>
        <v/>
      </c>
    </row>
    <row r="4123" spans="1:13" x14ac:dyDescent="0.3">
      <c r="A4123" t="str">
        <f>Segmenter!A4123</f>
        <v/>
      </c>
      <c r="B4123" t="str">
        <f>Segmenter!B4123</f>
        <v/>
      </c>
      <c r="C4123" t="str">
        <f t="shared" si="320"/>
        <v/>
      </c>
      <c r="D4123" t="str">
        <f t="shared" si="321"/>
        <v/>
      </c>
      <c r="E4123" t="str">
        <f t="shared" si="322"/>
        <v/>
      </c>
      <c r="F4123" t="str">
        <f>IF(D4123="","",INDEX(Knutepunkter!$B:$B,D4123+1))</f>
        <v/>
      </c>
      <c r="G4123" t="str">
        <f>IF(D4123="","",INDEX(Knutepunkter!$C:$C,D4123+1))</f>
        <v/>
      </c>
      <c r="H4123" t="str">
        <f>IF(D4123="","",INDEX(Knutepunkter!$D:$D,D4123+1))</f>
        <v/>
      </c>
      <c r="I4123" t="str">
        <f>IF(E4123="","",INDEX(Knutepunkter!$B:$B,E4123+1))</f>
        <v/>
      </c>
      <c r="J4123" t="str">
        <f>IF(E4123="","",INDEX(Knutepunkter!$C:$C,E4123+1))</f>
        <v/>
      </c>
      <c r="K4123" t="str">
        <f>IF(E4123="","",INDEX(Knutepunkter!$D:$D,E4123+1))</f>
        <v/>
      </c>
      <c r="L4123" t="str">
        <f t="shared" si="323"/>
        <v/>
      </c>
      <c r="M4123" t="str">
        <f t="shared" si="324"/>
        <v/>
      </c>
    </row>
    <row r="4124" spans="1:13" x14ac:dyDescent="0.3">
      <c r="A4124" t="str">
        <f>Segmenter!A4124</f>
        <v/>
      </c>
      <c r="B4124" t="str">
        <f>Segmenter!B4124</f>
        <v/>
      </c>
      <c r="C4124" t="str">
        <f t="shared" si="320"/>
        <v/>
      </c>
      <c r="D4124" t="str">
        <f t="shared" si="321"/>
        <v/>
      </c>
      <c r="E4124" t="str">
        <f t="shared" si="322"/>
        <v/>
      </c>
      <c r="F4124" t="str">
        <f>IF(D4124="","",INDEX(Knutepunkter!$B:$B,D4124+1))</f>
        <v/>
      </c>
      <c r="G4124" t="str">
        <f>IF(D4124="","",INDEX(Knutepunkter!$C:$C,D4124+1))</f>
        <v/>
      </c>
      <c r="H4124" t="str">
        <f>IF(D4124="","",INDEX(Knutepunkter!$D:$D,D4124+1))</f>
        <v/>
      </c>
      <c r="I4124" t="str">
        <f>IF(E4124="","",INDEX(Knutepunkter!$B:$B,E4124+1))</f>
        <v/>
      </c>
      <c r="J4124" t="str">
        <f>IF(E4124="","",INDEX(Knutepunkter!$C:$C,E4124+1))</f>
        <v/>
      </c>
      <c r="K4124" t="str">
        <f>IF(E4124="","",INDEX(Knutepunkter!$D:$D,E4124+1))</f>
        <v/>
      </c>
      <c r="L4124" t="str">
        <f t="shared" si="323"/>
        <v/>
      </c>
      <c r="M4124" t="str">
        <f t="shared" si="324"/>
        <v/>
      </c>
    </row>
    <row r="4125" spans="1:13" x14ac:dyDescent="0.3">
      <c r="A4125" t="str">
        <f>Segmenter!A4125</f>
        <v/>
      </c>
      <c r="B4125" t="str">
        <f>Segmenter!B4125</f>
        <v/>
      </c>
      <c r="C4125" t="str">
        <f t="shared" si="320"/>
        <v/>
      </c>
      <c r="D4125" t="str">
        <f t="shared" si="321"/>
        <v/>
      </c>
      <c r="E4125" t="str">
        <f t="shared" si="322"/>
        <v/>
      </c>
      <c r="F4125" t="str">
        <f>IF(D4125="","",INDEX(Knutepunkter!$B:$B,D4125+1))</f>
        <v/>
      </c>
      <c r="G4125" t="str">
        <f>IF(D4125="","",INDEX(Knutepunkter!$C:$C,D4125+1))</f>
        <v/>
      </c>
      <c r="H4125" t="str">
        <f>IF(D4125="","",INDEX(Knutepunkter!$D:$D,D4125+1))</f>
        <v/>
      </c>
      <c r="I4125" t="str">
        <f>IF(E4125="","",INDEX(Knutepunkter!$B:$B,E4125+1))</f>
        <v/>
      </c>
      <c r="J4125" t="str">
        <f>IF(E4125="","",INDEX(Knutepunkter!$C:$C,E4125+1))</f>
        <v/>
      </c>
      <c r="K4125" t="str">
        <f>IF(E4125="","",INDEX(Knutepunkter!$D:$D,E4125+1))</f>
        <v/>
      </c>
      <c r="L4125" t="str">
        <f t="shared" si="323"/>
        <v/>
      </c>
      <c r="M4125" t="str">
        <f t="shared" si="324"/>
        <v/>
      </c>
    </row>
    <row r="4126" spans="1:13" x14ac:dyDescent="0.3">
      <c r="A4126" t="str">
        <f>Segmenter!A4126</f>
        <v/>
      </c>
      <c r="B4126" t="str">
        <f>Segmenter!B4126</f>
        <v/>
      </c>
      <c r="C4126" t="str">
        <f t="shared" si="320"/>
        <v/>
      </c>
      <c r="D4126" t="str">
        <f t="shared" si="321"/>
        <v/>
      </c>
      <c r="E4126" t="str">
        <f t="shared" si="322"/>
        <v/>
      </c>
      <c r="F4126" t="str">
        <f>IF(D4126="","",INDEX(Knutepunkter!$B:$B,D4126+1))</f>
        <v/>
      </c>
      <c r="G4126" t="str">
        <f>IF(D4126="","",INDEX(Knutepunkter!$C:$C,D4126+1))</f>
        <v/>
      </c>
      <c r="H4126" t="str">
        <f>IF(D4126="","",INDEX(Knutepunkter!$D:$D,D4126+1))</f>
        <v/>
      </c>
      <c r="I4126" t="str">
        <f>IF(E4126="","",INDEX(Knutepunkter!$B:$B,E4126+1))</f>
        <v/>
      </c>
      <c r="J4126" t="str">
        <f>IF(E4126="","",INDEX(Knutepunkter!$C:$C,E4126+1))</f>
        <v/>
      </c>
      <c r="K4126" t="str">
        <f>IF(E4126="","",INDEX(Knutepunkter!$D:$D,E4126+1))</f>
        <v/>
      </c>
      <c r="L4126" t="str">
        <f t="shared" si="323"/>
        <v/>
      </c>
      <c r="M4126" t="str">
        <f t="shared" si="324"/>
        <v/>
      </c>
    </row>
    <row r="4127" spans="1:13" x14ac:dyDescent="0.3">
      <c r="A4127" t="str">
        <f>Segmenter!A4127</f>
        <v/>
      </c>
      <c r="B4127" t="str">
        <f>Segmenter!B4127</f>
        <v/>
      </c>
      <c r="C4127" t="str">
        <f t="shared" si="320"/>
        <v/>
      </c>
      <c r="D4127" t="str">
        <f t="shared" si="321"/>
        <v/>
      </c>
      <c r="E4127" t="str">
        <f t="shared" si="322"/>
        <v/>
      </c>
      <c r="F4127" t="str">
        <f>IF(D4127="","",INDEX(Knutepunkter!$B:$B,D4127+1))</f>
        <v/>
      </c>
      <c r="G4127" t="str">
        <f>IF(D4127="","",INDEX(Knutepunkter!$C:$C,D4127+1))</f>
        <v/>
      </c>
      <c r="H4127" t="str">
        <f>IF(D4127="","",INDEX(Knutepunkter!$D:$D,D4127+1))</f>
        <v/>
      </c>
      <c r="I4127" t="str">
        <f>IF(E4127="","",INDEX(Knutepunkter!$B:$B,E4127+1))</f>
        <v/>
      </c>
      <c r="J4127" t="str">
        <f>IF(E4127="","",INDEX(Knutepunkter!$C:$C,E4127+1))</f>
        <v/>
      </c>
      <c r="K4127" t="str">
        <f>IF(E4127="","",INDEX(Knutepunkter!$D:$D,E4127+1))</f>
        <v/>
      </c>
      <c r="L4127" t="str">
        <f t="shared" si="323"/>
        <v/>
      </c>
      <c r="M4127" t="str">
        <f t="shared" si="324"/>
        <v/>
      </c>
    </row>
    <row r="4128" spans="1:13" x14ac:dyDescent="0.3">
      <c r="A4128" t="str">
        <f>Segmenter!A4128</f>
        <v/>
      </c>
      <c r="B4128" t="str">
        <f>Segmenter!B4128</f>
        <v/>
      </c>
      <c r="C4128" t="str">
        <f t="shared" si="320"/>
        <v/>
      </c>
      <c r="D4128" t="str">
        <f t="shared" si="321"/>
        <v/>
      </c>
      <c r="E4128" t="str">
        <f t="shared" si="322"/>
        <v/>
      </c>
      <c r="F4128" t="str">
        <f>IF(D4128="","",INDEX(Knutepunkter!$B:$B,D4128+1))</f>
        <v/>
      </c>
      <c r="G4128" t="str">
        <f>IF(D4128="","",INDEX(Knutepunkter!$C:$C,D4128+1))</f>
        <v/>
      </c>
      <c r="H4128" t="str">
        <f>IF(D4128="","",INDEX(Knutepunkter!$D:$D,D4128+1))</f>
        <v/>
      </c>
      <c r="I4128" t="str">
        <f>IF(E4128="","",INDEX(Knutepunkter!$B:$B,E4128+1))</f>
        <v/>
      </c>
      <c r="J4128" t="str">
        <f>IF(E4128="","",INDEX(Knutepunkter!$C:$C,E4128+1))</f>
        <v/>
      </c>
      <c r="K4128" t="str">
        <f>IF(E4128="","",INDEX(Knutepunkter!$D:$D,E4128+1))</f>
        <v/>
      </c>
      <c r="L4128" t="str">
        <f t="shared" si="323"/>
        <v/>
      </c>
      <c r="M4128" t="str">
        <f t="shared" si="324"/>
        <v/>
      </c>
    </row>
    <row r="4129" spans="1:13" x14ac:dyDescent="0.3">
      <c r="A4129" t="str">
        <f>Segmenter!A4129</f>
        <v/>
      </c>
      <c r="B4129" t="str">
        <f>Segmenter!B4129</f>
        <v/>
      </c>
      <c r="C4129" t="str">
        <f t="shared" si="320"/>
        <v/>
      </c>
      <c r="D4129" t="str">
        <f t="shared" si="321"/>
        <v/>
      </c>
      <c r="E4129" t="str">
        <f t="shared" si="322"/>
        <v/>
      </c>
      <c r="F4129" t="str">
        <f>IF(D4129="","",INDEX(Knutepunkter!$B:$B,D4129+1))</f>
        <v/>
      </c>
      <c r="G4129" t="str">
        <f>IF(D4129="","",INDEX(Knutepunkter!$C:$C,D4129+1))</f>
        <v/>
      </c>
      <c r="H4129" t="str">
        <f>IF(D4129="","",INDEX(Knutepunkter!$D:$D,D4129+1))</f>
        <v/>
      </c>
      <c r="I4129" t="str">
        <f>IF(E4129="","",INDEX(Knutepunkter!$B:$B,E4129+1))</f>
        <v/>
      </c>
      <c r="J4129" t="str">
        <f>IF(E4129="","",INDEX(Knutepunkter!$C:$C,E4129+1))</f>
        <v/>
      </c>
      <c r="K4129" t="str">
        <f>IF(E4129="","",INDEX(Knutepunkter!$D:$D,E4129+1))</f>
        <v/>
      </c>
      <c r="L4129" t="str">
        <f t="shared" si="323"/>
        <v/>
      </c>
      <c r="M4129" t="str">
        <f t="shared" si="324"/>
        <v/>
      </c>
    </row>
    <row r="4130" spans="1:13" x14ac:dyDescent="0.3">
      <c r="A4130" t="str">
        <f>Segmenter!A4130</f>
        <v/>
      </c>
      <c r="B4130" t="str">
        <f>Segmenter!B4130</f>
        <v/>
      </c>
      <c r="C4130" t="str">
        <f t="shared" si="320"/>
        <v/>
      </c>
      <c r="D4130" t="str">
        <f t="shared" si="321"/>
        <v/>
      </c>
      <c r="E4130" t="str">
        <f t="shared" si="322"/>
        <v/>
      </c>
      <c r="F4130" t="str">
        <f>IF(D4130="","",INDEX(Knutepunkter!$B:$B,D4130+1))</f>
        <v/>
      </c>
      <c r="G4130" t="str">
        <f>IF(D4130="","",INDEX(Knutepunkter!$C:$C,D4130+1))</f>
        <v/>
      </c>
      <c r="H4130" t="str">
        <f>IF(D4130="","",INDEX(Knutepunkter!$D:$D,D4130+1))</f>
        <v/>
      </c>
      <c r="I4130" t="str">
        <f>IF(E4130="","",INDEX(Knutepunkter!$B:$B,E4130+1))</f>
        <v/>
      </c>
      <c r="J4130" t="str">
        <f>IF(E4130="","",INDEX(Knutepunkter!$C:$C,E4130+1))</f>
        <v/>
      </c>
      <c r="K4130" t="str">
        <f>IF(E4130="","",INDEX(Knutepunkter!$D:$D,E4130+1))</f>
        <v/>
      </c>
      <c r="L4130" t="str">
        <f t="shared" si="323"/>
        <v/>
      </c>
      <c r="M4130" t="str">
        <f t="shared" si="324"/>
        <v/>
      </c>
    </row>
    <row r="4131" spans="1:13" x14ac:dyDescent="0.3">
      <c r="A4131" t="str">
        <f>Segmenter!A4131</f>
        <v/>
      </c>
      <c r="B4131" t="str">
        <f>Segmenter!B4131</f>
        <v/>
      </c>
      <c r="C4131" t="str">
        <f t="shared" si="320"/>
        <v/>
      </c>
      <c r="D4131" t="str">
        <f t="shared" si="321"/>
        <v/>
      </c>
      <c r="E4131" t="str">
        <f t="shared" si="322"/>
        <v/>
      </c>
      <c r="F4131" t="str">
        <f>IF(D4131="","",INDEX(Knutepunkter!$B:$B,D4131+1))</f>
        <v/>
      </c>
      <c r="G4131" t="str">
        <f>IF(D4131="","",INDEX(Knutepunkter!$C:$C,D4131+1))</f>
        <v/>
      </c>
      <c r="H4131" t="str">
        <f>IF(D4131="","",INDEX(Knutepunkter!$D:$D,D4131+1))</f>
        <v/>
      </c>
      <c r="I4131" t="str">
        <f>IF(E4131="","",INDEX(Knutepunkter!$B:$B,E4131+1))</f>
        <v/>
      </c>
      <c r="J4131" t="str">
        <f>IF(E4131="","",INDEX(Knutepunkter!$C:$C,E4131+1))</f>
        <v/>
      </c>
      <c r="K4131" t="str">
        <f>IF(E4131="","",INDEX(Knutepunkter!$D:$D,E4131+1))</f>
        <v/>
      </c>
      <c r="L4131" t="str">
        <f t="shared" si="323"/>
        <v/>
      </c>
      <c r="M4131" t="str">
        <f t="shared" si="324"/>
        <v/>
      </c>
    </row>
    <row r="4132" spans="1:13" x14ac:dyDescent="0.3">
      <c r="A4132" t="str">
        <f>Segmenter!A4132</f>
        <v/>
      </c>
      <c r="B4132" t="str">
        <f>Segmenter!B4132</f>
        <v/>
      </c>
      <c r="C4132" t="str">
        <f t="shared" si="320"/>
        <v/>
      </c>
      <c r="D4132" t="str">
        <f t="shared" si="321"/>
        <v/>
      </c>
      <c r="E4132" t="str">
        <f t="shared" si="322"/>
        <v/>
      </c>
      <c r="F4132" t="str">
        <f>IF(D4132="","",INDEX(Knutepunkter!$B:$B,D4132+1))</f>
        <v/>
      </c>
      <c r="G4132" t="str">
        <f>IF(D4132="","",INDEX(Knutepunkter!$C:$C,D4132+1))</f>
        <v/>
      </c>
      <c r="H4132" t="str">
        <f>IF(D4132="","",INDEX(Knutepunkter!$D:$D,D4132+1))</f>
        <v/>
      </c>
      <c r="I4132" t="str">
        <f>IF(E4132="","",INDEX(Knutepunkter!$B:$B,E4132+1))</f>
        <v/>
      </c>
      <c r="J4132" t="str">
        <f>IF(E4132="","",INDEX(Knutepunkter!$C:$C,E4132+1))</f>
        <v/>
      </c>
      <c r="K4132" t="str">
        <f>IF(E4132="","",INDEX(Knutepunkter!$D:$D,E4132+1))</f>
        <v/>
      </c>
      <c r="L4132" t="str">
        <f t="shared" si="323"/>
        <v/>
      </c>
      <c r="M4132" t="str">
        <f t="shared" si="324"/>
        <v/>
      </c>
    </row>
    <row r="4133" spans="1:13" x14ac:dyDescent="0.3">
      <c r="A4133" t="str">
        <f>Segmenter!A4133</f>
        <v/>
      </c>
      <c r="B4133" t="str">
        <f>Segmenter!B4133</f>
        <v/>
      </c>
      <c r="C4133" t="str">
        <f t="shared" si="320"/>
        <v/>
      </c>
      <c r="D4133" t="str">
        <f t="shared" si="321"/>
        <v/>
      </c>
      <c r="E4133" t="str">
        <f t="shared" si="322"/>
        <v/>
      </c>
      <c r="F4133" t="str">
        <f>IF(D4133="","",INDEX(Knutepunkter!$B:$B,D4133+1))</f>
        <v/>
      </c>
      <c r="G4133" t="str">
        <f>IF(D4133="","",INDEX(Knutepunkter!$C:$C,D4133+1))</f>
        <v/>
      </c>
      <c r="H4133" t="str">
        <f>IF(D4133="","",INDEX(Knutepunkter!$D:$D,D4133+1))</f>
        <v/>
      </c>
      <c r="I4133" t="str">
        <f>IF(E4133="","",INDEX(Knutepunkter!$B:$B,E4133+1))</f>
        <v/>
      </c>
      <c r="J4133" t="str">
        <f>IF(E4133="","",INDEX(Knutepunkter!$C:$C,E4133+1))</f>
        <v/>
      </c>
      <c r="K4133" t="str">
        <f>IF(E4133="","",INDEX(Knutepunkter!$D:$D,E4133+1))</f>
        <v/>
      </c>
      <c r="L4133" t="str">
        <f t="shared" si="323"/>
        <v/>
      </c>
      <c r="M4133" t="str">
        <f t="shared" si="324"/>
        <v/>
      </c>
    </row>
    <row r="4134" spans="1:13" x14ac:dyDescent="0.3">
      <c r="A4134" t="str">
        <f>Segmenter!A4134</f>
        <v/>
      </c>
      <c r="B4134" t="str">
        <f>Segmenter!B4134</f>
        <v/>
      </c>
      <c r="C4134" t="str">
        <f t="shared" si="320"/>
        <v/>
      </c>
      <c r="D4134" t="str">
        <f t="shared" si="321"/>
        <v/>
      </c>
      <c r="E4134" t="str">
        <f t="shared" si="322"/>
        <v/>
      </c>
      <c r="F4134" t="str">
        <f>IF(D4134="","",INDEX(Knutepunkter!$B:$B,D4134+1))</f>
        <v/>
      </c>
      <c r="G4134" t="str">
        <f>IF(D4134="","",INDEX(Knutepunkter!$C:$C,D4134+1))</f>
        <v/>
      </c>
      <c r="H4134" t="str">
        <f>IF(D4134="","",INDEX(Knutepunkter!$D:$D,D4134+1))</f>
        <v/>
      </c>
      <c r="I4134" t="str">
        <f>IF(E4134="","",INDEX(Knutepunkter!$B:$B,E4134+1))</f>
        <v/>
      </c>
      <c r="J4134" t="str">
        <f>IF(E4134="","",INDEX(Knutepunkter!$C:$C,E4134+1))</f>
        <v/>
      </c>
      <c r="K4134" t="str">
        <f>IF(E4134="","",INDEX(Knutepunkter!$D:$D,E4134+1))</f>
        <v/>
      </c>
      <c r="L4134" t="str">
        <f t="shared" si="323"/>
        <v/>
      </c>
      <c r="M4134" t="str">
        <f t="shared" si="324"/>
        <v/>
      </c>
    </row>
    <row r="4135" spans="1:13" x14ac:dyDescent="0.3">
      <c r="A4135" t="str">
        <f>Segmenter!A4135</f>
        <v/>
      </c>
      <c r="B4135" t="str">
        <f>Segmenter!B4135</f>
        <v/>
      </c>
      <c r="C4135" t="str">
        <f t="shared" si="320"/>
        <v/>
      </c>
      <c r="D4135" t="str">
        <f t="shared" si="321"/>
        <v/>
      </c>
      <c r="E4135" t="str">
        <f t="shared" si="322"/>
        <v/>
      </c>
      <c r="F4135" t="str">
        <f>IF(D4135="","",INDEX(Knutepunkter!$B:$B,D4135+1))</f>
        <v/>
      </c>
      <c r="G4135" t="str">
        <f>IF(D4135="","",INDEX(Knutepunkter!$C:$C,D4135+1))</f>
        <v/>
      </c>
      <c r="H4135" t="str">
        <f>IF(D4135="","",INDEX(Knutepunkter!$D:$D,D4135+1))</f>
        <v/>
      </c>
      <c r="I4135" t="str">
        <f>IF(E4135="","",INDEX(Knutepunkter!$B:$B,E4135+1))</f>
        <v/>
      </c>
      <c r="J4135" t="str">
        <f>IF(E4135="","",INDEX(Knutepunkter!$C:$C,E4135+1))</f>
        <v/>
      </c>
      <c r="K4135" t="str">
        <f>IF(E4135="","",INDEX(Knutepunkter!$D:$D,E4135+1))</f>
        <v/>
      </c>
      <c r="L4135" t="str">
        <f t="shared" si="323"/>
        <v/>
      </c>
      <c r="M4135" t="str">
        <f t="shared" si="324"/>
        <v/>
      </c>
    </row>
    <row r="4136" spans="1:13" x14ac:dyDescent="0.3">
      <c r="A4136" t="str">
        <f>Segmenter!A4136</f>
        <v/>
      </c>
      <c r="B4136" t="str">
        <f>Segmenter!B4136</f>
        <v/>
      </c>
      <c r="C4136" t="str">
        <f t="shared" si="320"/>
        <v/>
      </c>
      <c r="D4136" t="str">
        <f t="shared" si="321"/>
        <v/>
      </c>
      <c r="E4136" t="str">
        <f t="shared" si="322"/>
        <v/>
      </c>
      <c r="F4136" t="str">
        <f>IF(D4136="","",INDEX(Knutepunkter!$B:$B,D4136+1))</f>
        <v/>
      </c>
      <c r="G4136" t="str">
        <f>IF(D4136="","",INDEX(Knutepunkter!$C:$C,D4136+1))</f>
        <v/>
      </c>
      <c r="H4136" t="str">
        <f>IF(D4136="","",INDEX(Knutepunkter!$D:$D,D4136+1))</f>
        <v/>
      </c>
      <c r="I4136" t="str">
        <f>IF(E4136="","",INDEX(Knutepunkter!$B:$B,E4136+1))</f>
        <v/>
      </c>
      <c r="J4136" t="str">
        <f>IF(E4136="","",INDEX(Knutepunkter!$C:$C,E4136+1))</f>
        <v/>
      </c>
      <c r="K4136" t="str">
        <f>IF(E4136="","",INDEX(Knutepunkter!$D:$D,E4136+1))</f>
        <v/>
      </c>
      <c r="L4136" t="str">
        <f t="shared" si="323"/>
        <v/>
      </c>
      <c r="M4136" t="str">
        <f t="shared" si="324"/>
        <v/>
      </c>
    </row>
    <row r="4137" spans="1:13" x14ac:dyDescent="0.3">
      <c r="A4137" t="str">
        <f>Segmenter!A4137</f>
        <v/>
      </c>
      <c r="B4137" t="str">
        <f>Segmenter!B4137</f>
        <v/>
      </c>
      <c r="C4137" t="str">
        <f t="shared" si="320"/>
        <v/>
      </c>
      <c r="D4137" t="str">
        <f t="shared" si="321"/>
        <v/>
      </c>
      <c r="E4137" t="str">
        <f t="shared" si="322"/>
        <v/>
      </c>
      <c r="F4137" t="str">
        <f>IF(D4137="","",INDEX(Knutepunkter!$B:$B,D4137+1))</f>
        <v/>
      </c>
      <c r="G4137" t="str">
        <f>IF(D4137="","",INDEX(Knutepunkter!$C:$C,D4137+1))</f>
        <v/>
      </c>
      <c r="H4137" t="str">
        <f>IF(D4137="","",INDEX(Knutepunkter!$D:$D,D4137+1))</f>
        <v/>
      </c>
      <c r="I4137" t="str">
        <f>IF(E4137="","",INDEX(Knutepunkter!$B:$B,E4137+1))</f>
        <v/>
      </c>
      <c r="J4137" t="str">
        <f>IF(E4137="","",INDEX(Knutepunkter!$C:$C,E4137+1))</f>
        <v/>
      </c>
      <c r="K4137" t="str">
        <f>IF(E4137="","",INDEX(Knutepunkter!$D:$D,E4137+1))</f>
        <v/>
      </c>
      <c r="L4137" t="str">
        <f t="shared" si="323"/>
        <v/>
      </c>
      <c r="M4137" t="str">
        <f t="shared" si="324"/>
        <v/>
      </c>
    </row>
    <row r="4138" spans="1:13" x14ac:dyDescent="0.3">
      <c r="A4138" t="str">
        <f>Segmenter!A4138</f>
        <v/>
      </c>
      <c r="B4138" t="str">
        <f>Segmenter!B4138</f>
        <v/>
      </c>
      <c r="C4138" t="str">
        <f t="shared" si="320"/>
        <v/>
      </c>
      <c r="D4138" t="str">
        <f t="shared" si="321"/>
        <v/>
      </c>
      <c r="E4138" t="str">
        <f t="shared" si="322"/>
        <v/>
      </c>
      <c r="F4138" t="str">
        <f>IF(D4138="","",INDEX(Knutepunkter!$B:$B,D4138+1))</f>
        <v/>
      </c>
      <c r="G4138" t="str">
        <f>IF(D4138="","",INDEX(Knutepunkter!$C:$C,D4138+1))</f>
        <v/>
      </c>
      <c r="H4138" t="str">
        <f>IF(D4138="","",INDEX(Knutepunkter!$D:$D,D4138+1))</f>
        <v/>
      </c>
      <c r="I4138" t="str">
        <f>IF(E4138="","",INDEX(Knutepunkter!$B:$B,E4138+1))</f>
        <v/>
      </c>
      <c r="J4138" t="str">
        <f>IF(E4138="","",INDEX(Knutepunkter!$C:$C,E4138+1))</f>
        <v/>
      </c>
      <c r="K4138" t="str">
        <f>IF(E4138="","",INDEX(Knutepunkter!$D:$D,E4138+1))</f>
        <v/>
      </c>
      <c r="L4138" t="str">
        <f t="shared" si="323"/>
        <v/>
      </c>
      <c r="M4138" t="str">
        <f t="shared" si="324"/>
        <v/>
      </c>
    </row>
    <row r="4139" spans="1:13" x14ac:dyDescent="0.3">
      <c r="A4139" t="str">
        <f>Segmenter!A4139</f>
        <v/>
      </c>
      <c r="B4139" t="str">
        <f>Segmenter!B4139</f>
        <v/>
      </c>
      <c r="C4139" t="str">
        <f t="shared" si="320"/>
        <v/>
      </c>
      <c r="D4139" t="str">
        <f t="shared" si="321"/>
        <v/>
      </c>
      <c r="E4139" t="str">
        <f t="shared" si="322"/>
        <v/>
      </c>
      <c r="F4139" t="str">
        <f>IF(D4139="","",INDEX(Knutepunkter!$B:$B,D4139+1))</f>
        <v/>
      </c>
      <c r="G4139" t="str">
        <f>IF(D4139="","",INDEX(Knutepunkter!$C:$C,D4139+1))</f>
        <v/>
      </c>
      <c r="H4139" t="str">
        <f>IF(D4139="","",INDEX(Knutepunkter!$D:$D,D4139+1))</f>
        <v/>
      </c>
      <c r="I4139" t="str">
        <f>IF(E4139="","",INDEX(Knutepunkter!$B:$B,E4139+1))</f>
        <v/>
      </c>
      <c r="J4139" t="str">
        <f>IF(E4139="","",INDEX(Knutepunkter!$C:$C,E4139+1))</f>
        <v/>
      </c>
      <c r="K4139" t="str">
        <f>IF(E4139="","",INDEX(Knutepunkter!$D:$D,E4139+1))</f>
        <v/>
      </c>
      <c r="L4139" t="str">
        <f t="shared" si="323"/>
        <v/>
      </c>
      <c r="M4139" t="str">
        <f t="shared" si="324"/>
        <v/>
      </c>
    </row>
    <row r="4140" spans="1:13" x14ac:dyDescent="0.3">
      <c r="A4140" t="str">
        <f>Segmenter!A4140</f>
        <v/>
      </c>
      <c r="B4140" t="str">
        <f>Segmenter!B4140</f>
        <v/>
      </c>
      <c r="C4140" t="str">
        <f t="shared" si="320"/>
        <v/>
      </c>
      <c r="D4140" t="str">
        <f t="shared" si="321"/>
        <v/>
      </c>
      <c r="E4140" t="str">
        <f t="shared" si="322"/>
        <v/>
      </c>
      <c r="F4140" t="str">
        <f>IF(D4140="","",INDEX(Knutepunkter!$B:$B,D4140+1))</f>
        <v/>
      </c>
      <c r="G4140" t="str">
        <f>IF(D4140="","",INDEX(Knutepunkter!$C:$C,D4140+1))</f>
        <v/>
      </c>
      <c r="H4140" t="str">
        <f>IF(D4140="","",INDEX(Knutepunkter!$D:$D,D4140+1))</f>
        <v/>
      </c>
      <c r="I4140" t="str">
        <f>IF(E4140="","",INDEX(Knutepunkter!$B:$B,E4140+1))</f>
        <v/>
      </c>
      <c r="J4140" t="str">
        <f>IF(E4140="","",INDEX(Knutepunkter!$C:$C,E4140+1))</f>
        <v/>
      </c>
      <c r="K4140" t="str">
        <f>IF(E4140="","",INDEX(Knutepunkter!$D:$D,E4140+1))</f>
        <v/>
      </c>
      <c r="L4140" t="str">
        <f t="shared" si="323"/>
        <v/>
      </c>
      <c r="M4140" t="str">
        <f t="shared" si="324"/>
        <v/>
      </c>
    </row>
    <row r="4141" spans="1:13" x14ac:dyDescent="0.3">
      <c r="A4141" t="str">
        <f>Segmenter!A4141</f>
        <v/>
      </c>
      <c r="B4141" t="str">
        <f>Segmenter!B4141</f>
        <v/>
      </c>
      <c r="C4141" t="str">
        <f t="shared" si="320"/>
        <v/>
      </c>
      <c r="D4141" t="str">
        <f t="shared" si="321"/>
        <v/>
      </c>
      <c r="E4141" t="str">
        <f t="shared" si="322"/>
        <v/>
      </c>
      <c r="F4141" t="str">
        <f>IF(D4141="","",INDEX(Knutepunkter!$B:$B,D4141+1))</f>
        <v/>
      </c>
      <c r="G4141" t="str">
        <f>IF(D4141="","",INDEX(Knutepunkter!$C:$C,D4141+1))</f>
        <v/>
      </c>
      <c r="H4141" t="str">
        <f>IF(D4141="","",INDEX(Knutepunkter!$D:$D,D4141+1))</f>
        <v/>
      </c>
      <c r="I4141" t="str">
        <f>IF(E4141="","",INDEX(Knutepunkter!$B:$B,E4141+1))</f>
        <v/>
      </c>
      <c r="J4141" t="str">
        <f>IF(E4141="","",INDEX(Knutepunkter!$C:$C,E4141+1))</f>
        <v/>
      </c>
      <c r="K4141" t="str">
        <f>IF(E4141="","",INDEX(Knutepunkter!$D:$D,E4141+1))</f>
        <v/>
      </c>
      <c r="L4141" t="str">
        <f t="shared" si="323"/>
        <v/>
      </c>
      <c r="M4141" t="str">
        <f t="shared" si="324"/>
        <v/>
      </c>
    </row>
    <row r="4142" spans="1:13" x14ac:dyDescent="0.3">
      <c r="A4142" t="str">
        <f>Segmenter!A4142</f>
        <v/>
      </c>
      <c r="B4142" t="str">
        <f>Segmenter!B4142</f>
        <v/>
      </c>
      <c r="C4142" t="str">
        <f t="shared" si="320"/>
        <v/>
      </c>
      <c r="D4142" t="str">
        <f t="shared" si="321"/>
        <v/>
      </c>
      <c r="E4142" t="str">
        <f t="shared" si="322"/>
        <v/>
      </c>
      <c r="F4142" t="str">
        <f>IF(D4142="","",INDEX(Knutepunkter!$B:$B,D4142+1))</f>
        <v/>
      </c>
      <c r="G4142" t="str">
        <f>IF(D4142="","",INDEX(Knutepunkter!$C:$C,D4142+1))</f>
        <v/>
      </c>
      <c r="H4142" t="str">
        <f>IF(D4142="","",INDEX(Knutepunkter!$D:$D,D4142+1))</f>
        <v/>
      </c>
      <c r="I4142" t="str">
        <f>IF(E4142="","",INDEX(Knutepunkter!$B:$B,E4142+1))</f>
        <v/>
      </c>
      <c r="J4142" t="str">
        <f>IF(E4142="","",INDEX(Knutepunkter!$C:$C,E4142+1))</f>
        <v/>
      </c>
      <c r="K4142" t="str">
        <f>IF(E4142="","",INDEX(Knutepunkter!$D:$D,E4142+1))</f>
        <v/>
      </c>
      <c r="L4142" t="str">
        <f t="shared" si="323"/>
        <v/>
      </c>
      <c r="M4142" t="str">
        <f t="shared" si="324"/>
        <v/>
      </c>
    </row>
    <row r="4143" spans="1:13" x14ac:dyDescent="0.3">
      <c r="A4143" t="str">
        <f>Segmenter!A4143</f>
        <v/>
      </c>
      <c r="B4143" t="str">
        <f>Segmenter!B4143</f>
        <v/>
      </c>
      <c r="C4143" t="str">
        <f t="shared" si="320"/>
        <v/>
      </c>
      <c r="D4143" t="str">
        <f t="shared" si="321"/>
        <v/>
      </c>
      <c r="E4143" t="str">
        <f t="shared" si="322"/>
        <v/>
      </c>
      <c r="F4143" t="str">
        <f>IF(D4143="","",INDEX(Knutepunkter!$B:$B,D4143+1))</f>
        <v/>
      </c>
      <c r="G4143" t="str">
        <f>IF(D4143="","",INDEX(Knutepunkter!$C:$C,D4143+1))</f>
        <v/>
      </c>
      <c r="H4143" t="str">
        <f>IF(D4143="","",INDEX(Knutepunkter!$D:$D,D4143+1))</f>
        <v/>
      </c>
      <c r="I4143" t="str">
        <f>IF(E4143="","",INDEX(Knutepunkter!$B:$B,E4143+1))</f>
        <v/>
      </c>
      <c r="J4143" t="str">
        <f>IF(E4143="","",INDEX(Knutepunkter!$C:$C,E4143+1))</f>
        <v/>
      </c>
      <c r="K4143" t="str">
        <f>IF(E4143="","",INDEX(Knutepunkter!$D:$D,E4143+1))</f>
        <v/>
      </c>
      <c r="L4143" t="str">
        <f t="shared" si="323"/>
        <v/>
      </c>
      <c r="M4143" t="str">
        <f t="shared" si="324"/>
        <v/>
      </c>
    </row>
    <row r="4144" spans="1:13" x14ac:dyDescent="0.3">
      <c r="A4144" t="str">
        <f>Segmenter!A4144</f>
        <v/>
      </c>
      <c r="B4144" t="str">
        <f>Segmenter!B4144</f>
        <v/>
      </c>
      <c r="C4144" t="str">
        <f t="shared" si="320"/>
        <v/>
      </c>
      <c r="D4144" t="str">
        <f t="shared" si="321"/>
        <v/>
      </c>
      <c r="E4144" t="str">
        <f t="shared" si="322"/>
        <v/>
      </c>
      <c r="F4144" t="str">
        <f>IF(D4144="","",INDEX(Knutepunkter!$B:$B,D4144+1))</f>
        <v/>
      </c>
      <c r="G4144" t="str">
        <f>IF(D4144="","",INDEX(Knutepunkter!$C:$C,D4144+1))</f>
        <v/>
      </c>
      <c r="H4144" t="str">
        <f>IF(D4144="","",INDEX(Knutepunkter!$D:$D,D4144+1))</f>
        <v/>
      </c>
      <c r="I4144" t="str">
        <f>IF(E4144="","",INDEX(Knutepunkter!$B:$B,E4144+1))</f>
        <v/>
      </c>
      <c r="J4144" t="str">
        <f>IF(E4144="","",INDEX(Knutepunkter!$C:$C,E4144+1))</f>
        <v/>
      </c>
      <c r="K4144" t="str">
        <f>IF(E4144="","",INDEX(Knutepunkter!$D:$D,E4144+1))</f>
        <v/>
      </c>
      <c r="L4144" t="str">
        <f t="shared" si="323"/>
        <v/>
      </c>
      <c r="M4144" t="str">
        <f t="shared" si="324"/>
        <v/>
      </c>
    </row>
    <row r="4145" spans="1:13" x14ac:dyDescent="0.3">
      <c r="A4145" t="str">
        <f>Segmenter!A4145</f>
        <v/>
      </c>
      <c r="B4145" t="str">
        <f>Segmenter!B4145</f>
        <v/>
      </c>
      <c r="C4145" t="str">
        <f t="shared" si="320"/>
        <v/>
      </c>
      <c r="D4145" t="str">
        <f t="shared" si="321"/>
        <v/>
      </c>
      <c r="E4145" t="str">
        <f t="shared" si="322"/>
        <v/>
      </c>
      <c r="F4145" t="str">
        <f>IF(D4145="","",INDEX(Knutepunkter!$B:$B,D4145+1))</f>
        <v/>
      </c>
      <c r="G4145" t="str">
        <f>IF(D4145="","",INDEX(Knutepunkter!$C:$C,D4145+1))</f>
        <v/>
      </c>
      <c r="H4145" t="str">
        <f>IF(D4145="","",INDEX(Knutepunkter!$D:$D,D4145+1))</f>
        <v/>
      </c>
      <c r="I4145" t="str">
        <f>IF(E4145="","",INDEX(Knutepunkter!$B:$B,E4145+1))</f>
        <v/>
      </c>
      <c r="J4145" t="str">
        <f>IF(E4145="","",INDEX(Knutepunkter!$C:$C,E4145+1))</f>
        <v/>
      </c>
      <c r="K4145" t="str">
        <f>IF(E4145="","",INDEX(Knutepunkter!$D:$D,E4145+1))</f>
        <v/>
      </c>
      <c r="L4145" t="str">
        <f t="shared" si="323"/>
        <v/>
      </c>
      <c r="M4145" t="str">
        <f t="shared" si="324"/>
        <v/>
      </c>
    </row>
    <row r="4146" spans="1:13" x14ac:dyDescent="0.3">
      <c r="A4146" t="str">
        <f>Segmenter!A4146</f>
        <v/>
      </c>
      <c r="B4146" t="str">
        <f>Segmenter!B4146</f>
        <v/>
      </c>
      <c r="C4146" t="str">
        <f t="shared" si="320"/>
        <v/>
      </c>
      <c r="D4146" t="str">
        <f t="shared" si="321"/>
        <v/>
      </c>
      <c r="E4146" t="str">
        <f t="shared" si="322"/>
        <v/>
      </c>
      <c r="F4146" t="str">
        <f>IF(D4146="","",INDEX(Knutepunkter!$B:$B,D4146+1))</f>
        <v/>
      </c>
      <c r="G4146" t="str">
        <f>IF(D4146="","",INDEX(Knutepunkter!$C:$C,D4146+1))</f>
        <v/>
      </c>
      <c r="H4146" t="str">
        <f>IF(D4146="","",INDEX(Knutepunkter!$D:$D,D4146+1))</f>
        <v/>
      </c>
      <c r="I4146" t="str">
        <f>IF(E4146="","",INDEX(Knutepunkter!$B:$B,E4146+1))</f>
        <v/>
      </c>
      <c r="J4146" t="str">
        <f>IF(E4146="","",INDEX(Knutepunkter!$C:$C,E4146+1))</f>
        <v/>
      </c>
      <c r="K4146" t="str">
        <f>IF(E4146="","",INDEX(Knutepunkter!$D:$D,E4146+1))</f>
        <v/>
      </c>
      <c r="L4146" t="str">
        <f t="shared" si="323"/>
        <v/>
      </c>
      <c r="M4146" t="str">
        <f t="shared" si="324"/>
        <v/>
      </c>
    </row>
    <row r="4147" spans="1:13" x14ac:dyDescent="0.3">
      <c r="A4147" t="str">
        <f>Segmenter!A4147</f>
        <v/>
      </c>
      <c r="B4147" t="str">
        <f>Segmenter!B4147</f>
        <v/>
      </c>
      <c r="C4147" t="str">
        <f t="shared" si="320"/>
        <v/>
      </c>
      <c r="D4147" t="str">
        <f t="shared" si="321"/>
        <v/>
      </c>
      <c r="E4147" t="str">
        <f t="shared" si="322"/>
        <v/>
      </c>
      <c r="F4147" t="str">
        <f>IF(D4147="","",INDEX(Knutepunkter!$B:$B,D4147+1))</f>
        <v/>
      </c>
      <c r="G4147" t="str">
        <f>IF(D4147="","",INDEX(Knutepunkter!$C:$C,D4147+1))</f>
        <v/>
      </c>
      <c r="H4147" t="str">
        <f>IF(D4147="","",INDEX(Knutepunkter!$D:$D,D4147+1))</f>
        <v/>
      </c>
      <c r="I4147" t="str">
        <f>IF(E4147="","",INDEX(Knutepunkter!$B:$B,E4147+1))</f>
        <v/>
      </c>
      <c r="J4147" t="str">
        <f>IF(E4147="","",INDEX(Knutepunkter!$C:$C,E4147+1))</f>
        <v/>
      </c>
      <c r="K4147" t="str">
        <f>IF(E4147="","",INDEX(Knutepunkter!$D:$D,E4147+1))</f>
        <v/>
      </c>
      <c r="L4147" t="str">
        <f t="shared" si="323"/>
        <v/>
      </c>
      <c r="M4147" t="str">
        <f t="shared" si="324"/>
        <v/>
      </c>
    </row>
    <row r="4148" spans="1:13" x14ac:dyDescent="0.3">
      <c r="A4148" t="str">
        <f>Segmenter!A4148</f>
        <v/>
      </c>
      <c r="B4148" t="str">
        <f>Segmenter!B4148</f>
        <v/>
      </c>
      <c r="C4148" t="str">
        <f t="shared" si="320"/>
        <v/>
      </c>
      <c r="D4148" t="str">
        <f t="shared" si="321"/>
        <v/>
      </c>
      <c r="E4148" t="str">
        <f t="shared" si="322"/>
        <v/>
      </c>
      <c r="F4148" t="str">
        <f>IF(D4148="","",INDEX(Knutepunkter!$B:$B,D4148+1))</f>
        <v/>
      </c>
      <c r="G4148" t="str">
        <f>IF(D4148="","",INDEX(Knutepunkter!$C:$C,D4148+1))</f>
        <v/>
      </c>
      <c r="H4148" t="str">
        <f>IF(D4148="","",INDEX(Knutepunkter!$D:$D,D4148+1))</f>
        <v/>
      </c>
      <c r="I4148" t="str">
        <f>IF(E4148="","",INDEX(Knutepunkter!$B:$B,E4148+1))</f>
        <v/>
      </c>
      <c r="J4148" t="str">
        <f>IF(E4148="","",INDEX(Knutepunkter!$C:$C,E4148+1))</f>
        <v/>
      </c>
      <c r="K4148" t="str">
        <f>IF(E4148="","",INDEX(Knutepunkter!$D:$D,E4148+1))</f>
        <v/>
      </c>
      <c r="L4148" t="str">
        <f t="shared" si="323"/>
        <v/>
      </c>
      <c r="M4148" t="str">
        <f t="shared" si="324"/>
        <v/>
      </c>
    </row>
    <row r="4149" spans="1:13" x14ac:dyDescent="0.3">
      <c r="A4149" t="str">
        <f>Segmenter!A4149</f>
        <v/>
      </c>
      <c r="B4149" t="str">
        <f>Segmenter!B4149</f>
        <v/>
      </c>
      <c r="C4149" t="str">
        <f t="shared" si="320"/>
        <v/>
      </c>
      <c r="D4149" t="str">
        <f t="shared" si="321"/>
        <v/>
      </c>
      <c r="E4149" t="str">
        <f t="shared" si="322"/>
        <v/>
      </c>
      <c r="F4149" t="str">
        <f>IF(D4149="","",INDEX(Knutepunkter!$B:$B,D4149+1))</f>
        <v/>
      </c>
      <c r="G4149" t="str">
        <f>IF(D4149="","",INDEX(Knutepunkter!$C:$C,D4149+1))</f>
        <v/>
      </c>
      <c r="H4149" t="str">
        <f>IF(D4149="","",INDEX(Knutepunkter!$D:$D,D4149+1))</f>
        <v/>
      </c>
      <c r="I4149" t="str">
        <f>IF(E4149="","",INDEX(Knutepunkter!$B:$B,E4149+1))</f>
        <v/>
      </c>
      <c r="J4149" t="str">
        <f>IF(E4149="","",INDEX(Knutepunkter!$C:$C,E4149+1))</f>
        <v/>
      </c>
      <c r="K4149" t="str">
        <f>IF(E4149="","",INDEX(Knutepunkter!$D:$D,E4149+1))</f>
        <v/>
      </c>
      <c r="L4149" t="str">
        <f t="shared" si="323"/>
        <v/>
      </c>
      <c r="M4149" t="str">
        <f t="shared" si="324"/>
        <v/>
      </c>
    </row>
    <row r="4150" spans="1:13" x14ac:dyDescent="0.3">
      <c r="A4150" t="str">
        <f>Segmenter!A4150</f>
        <v/>
      </c>
      <c r="B4150" t="str">
        <f>Segmenter!B4150</f>
        <v/>
      </c>
      <c r="C4150" t="str">
        <f t="shared" si="320"/>
        <v/>
      </c>
      <c r="D4150" t="str">
        <f t="shared" si="321"/>
        <v/>
      </c>
      <c r="E4150" t="str">
        <f t="shared" si="322"/>
        <v/>
      </c>
      <c r="F4150" t="str">
        <f>IF(D4150="","",INDEX(Knutepunkter!$B:$B,D4150+1))</f>
        <v/>
      </c>
      <c r="G4150" t="str">
        <f>IF(D4150="","",INDEX(Knutepunkter!$C:$C,D4150+1))</f>
        <v/>
      </c>
      <c r="H4150" t="str">
        <f>IF(D4150="","",INDEX(Knutepunkter!$D:$D,D4150+1))</f>
        <v/>
      </c>
      <c r="I4150" t="str">
        <f>IF(E4150="","",INDEX(Knutepunkter!$B:$B,E4150+1))</f>
        <v/>
      </c>
      <c r="J4150" t="str">
        <f>IF(E4150="","",INDEX(Knutepunkter!$C:$C,E4150+1))</f>
        <v/>
      </c>
      <c r="K4150" t="str">
        <f>IF(E4150="","",INDEX(Knutepunkter!$D:$D,E4150+1))</f>
        <v/>
      </c>
      <c r="L4150" t="str">
        <f t="shared" si="323"/>
        <v/>
      </c>
      <c r="M4150" t="str">
        <f t="shared" si="324"/>
        <v/>
      </c>
    </row>
    <row r="4151" spans="1:13" x14ac:dyDescent="0.3">
      <c r="A4151" t="str">
        <f>Segmenter!A4151</f>
        <v/>
      </c>
      <c r="B4151" t="str">
        <f>Segmenter!B4151</f>
        <v/>
      </c>
      <c r="C4151" t="str">
        <f t="shared" si="320"/>
        <v/>
      </c>
      <c r="D4151" t="str">
        <f t="shared" si="321"/>
        <v/>
      </c>
      <c r="E4151" t="str">
        <f t="shared" si="322"/>
        <v/>
      </c>
      <c r="F4151" t="str">
        <f>IF(D4151="","",INDEX(Knutepunkter!$B:$B,D4151+1))</f>
        <v/>
      </c>
      <c r="G4151" t="str">
        <f>IF(D4151="","",INDEX(Knutepunkter!$C:$C,D4151+1))</f>
        <v/>
      </c>
      <c r="H4151" t="str">
        <f>IF(D4151="","",INDEX(Knutepunkter!$D:$D,D4151+1))</f>
        <v/>
      </c>
      <c r="I4151" t="str">
        <f>IF(E4151="","",INDEX(Knutepunkter!$B:$B,E4151+1))</f>
        <v/>
      </c>
      <c r="J4151" t="str">
        <f>IF(E4151="","",INDEX(Knutepunkter!$C:$C,E4151+1))</f>
        <v/>
      </c>
      <c r="K4151" t="str">
        <f>IF(E4151="","",INDEX(Knutepunkter!$D:$D,E4151+1))</f>
        <v/>
      </c>
      <c r="L4151" t="str">
        <f t="shared" si="323"/>
        <v/>
      </c>
      <c r="M4151" t="str">
        <f t="shared" si="324"/>
        <v/>
      </c>
    </row>
    <row r="4152" spans="1:13" x14ac:dyDescent="0.3">
      <c r="A4152" t="str">
        <f>Segmenter!A4152</f>
        <v/>
      </c>
      <c r="B4152" t="str">
        <f>Segmenter!B4152</f>
        <v/>
      </c>
      <c r="C4152" t="str">
        <f t="shared" si="320"/>
        <v/>
      </c>
      <c r="D4152" t="str">
        <f t="shared" si="321"/>
        <v/>
      </c>
      <c r="E4152" t="str">
        <f t="shared" si="322"/>
        <v/>
      </c>
      <c r="F4152" t="str">
        <f>IF(D4152="","",INDEX(Knutepunkter!$B:$B,D4152+1))</f>
        <v/>
      </c>
      <c r="G4152" t="str">
        <f>IF(D4152="","",INDEX(Knutepunkter!$C:$C,D4152+1))</f>
        <v/>
      </c>
      <c r="H4152" t="str">
        <f>IF(D4152="","",INDEX(Knutepunkter!$D:$D,D4152+1))</f>
        <v/>
      </c>
      <c r="I4152" t="str">
        <f>IF(E4152="","",INDEX(Knutepunkter!$B:$B,E4152+1))</f>
        <v/>
      </c>
      <c r="J4152" t="str">
        <f>IF(E4152="","",INDEX(Knutepunkter!$C:$C,E4152+1))</f>
        <v/>
      </c>
      <c r="K4152" t="str">
        <f>IF(E4152="","",INDEX(Knutepunkter!$D:$D,E4152+1))</f>
        <v/>
      </c>
      <c r="L4152" t="str">
        <f t="shared" si="323"/>
        <v/>
      </c>
      <c r="M4152" t="str">
        <f t="shared" si="324"/>
        <v/>
      </c>
    </row>
    <row r="4153" spans="1:13" x14ac:dyDescent="0.3">
      <c r="A4153" t="str">
        <f>Segmenter!A4153</f>
        <v/>
      </c>
      <c r="B4153" t="str">
        <f>Segmenter!B4153</f>
        <v/>
      </c>
      <c r="C4153" t="str">
        <f t="shared" si="320"/>
        <v/>
      </c>
      <c r="D4153" t="str">
        <f t="shared" si="321"/>
        <v/>
      </c>
      <c r="E4153" t="str">
        <f t="shared" si="322"/>
        <v/>
      </c>
      <c r="F4153" t="str">
        <f>IF(D4153="","",INDEX(Knutepunkter!$B:$B,D4153+1))</f>
        <v/>
      </c>
      <c r="G4153" t="str">
        <f>IF(D4153="","",INDEX(Knutepunkter!$C:$C,D4153+1))</f>
        <v/>
      </c>
      <c r="H4153" t="str">
        <f>IF(D4153="","",INDEX(Knutepunkter!$D:$D,D4153+1))</f>
        <v/>
      </c>
      <c r="I4153" t="str">
        <f>IF(E4153="","",INDEX(Knutepunkter!$B:$B,E4153+1))</f>
        <v/>
      </c>
      <c r="J4153" t="str">
        <f>IF(E4153="","",INDEX(Knutepunkter!$C:$C,E4153+1))</f>
        <v/>
      </c>
      <c r="K4153" t="str">
        <f>IF(E4153="","",INDEX(Knutepunkter!$D:$D,E4153+1))</f>
        <v/>
      </c>
      <c r="L4153" t="str">
        <f t="shared" si="323"/>
        <v/>
      </c>
      <c r="M4153" t="str">
        <f t="shared" si="324"/>
        <v/>
      </c>
    </row>
    <row r="4154" spans="1:13" x14ac:dyDescent="0.3">
      <c r="A4154" t="str">
        <f>Segmenter!A4154</f>
        <v/>
      </c>
      <c r="B4154" t="str">
        <f>Segmenter!B4154</f>
        <v/>
      </c>
      <c r="C4154" t="str">
        <f t="shared" si="320"/>
        <v/>
      </c>
      <c r="D4154" t="str">
        <f t="shared" si="321"/>
        <v/>
      </c>
      <c r="E4154" t="str">
        <f t="shared" si="322"/>
        <v/>
      </c>
      <c r="F4154" t="str">
        <f>IF(D4154="","",INDEX(Knutepunkter!$B:$B,D4154+1))</f>
        <v/>
      </c>
      <c r="G4154" t="str">
        <f>IF(D4154="","",INDEX(Knutepunkter!$C:$C,D4154+1))</f>
        <v/>
      </c>
      <c r="H4154" t="str">
        <f>IF(D4154="","",INDEX(Knutepunkter!$D:$D,D4154+1))</f>
        <v/>
      </c>
      <c r="I4154" t="str">
        <f>IF(E4154="","",INDEX(Knutepunkter!$B:$B,E4154+1))</f>
        <v/>
      </c>
      <c r="J4154" t="str">
        <f>IF(E4154="","",INDEX(Knutepunkter!$C:$C,E4154+1))</f>
        <v/>
      </c>
      <c r="K4154" t="str">
        <f>IF(E4154="","",INDEX(Knutepunkter!$D:$D,E4154+1))</f>
        <v/>
      </c>
      <c r="L4154" t="str">
        <f t="shared" si="323"/>
        <v/>
      </c>
      <c r="M4154" t="str">
        <f t="shared" si="324"/>
        <v/>
      </c>
    </row>
    <row r="4155" spans="1:13" x14ac:dyDescent="0.3">
      <c r="A4155" t="str">
        <f>Segmenter!A4155</f>
        <v/>
      </c>
      <c r="B4155" t="str">
        <f>Segmenter!B4155</f>
        <v/>
      </c>
      <c r="C4155" t="str">
        <f t="shared" si="320"/>
        <v/>
      </c>
      <c r="D4155" t="str">
        <f t="shared" si="321"/>
        <v/>
      </c>
      <c r="E4155" t="str">
        <f t="shared" si="322"/>
        <v/>
      </c>
      <c r="F4155" t="str">
        <f>IF(D4155="","",INDEX(Knutepunkter!$B:$B,D4155+1))</f>
        <v/>
      </c>
      <c r="G4155" t="str">
        <f>IF(D4155="","",INDEX(Knutepunkter!$C:$C,D4155+1))</f>
        <v/>
      </c>
      <c r="H4155" t="str">
        <f>IF(D4155="","",INDEX(Knutepunkter!$D:$D,D4155+1))</f>
        <v/>
      </c>
      <c r="I4155" t="str">
        <f>IF(E4155="","",INDEX(Knutepunkter!$B:$B,E4155+1))</f>
        <v/>
      </c>
      <c r="J4155" t="str">
        <f>IF(E4155="","",INDEX(Knutepunkter!$C:$C,E4155+1))</f>
        <v/>
      </c>
      <c r="K4155" t="str">
        <f>IF(E4155="","",INDEX(Knutepunkter!$D:$D,E4155+1))</f>
        <v/>
      </c>
      <c r="L4155" t="str">
        <f t="shared" si="323"/>
        <v/>
      </c>
      <c r="M4155" t="str">
        <f t="shared" si="324"/>
        <v/>
      </c>
    </row>
    <row r="4156" spans="1:13" x14ac:dyDescent="0.3">
      <c r="A4156" t="str">
        <f>Segmenter!A4156</f>
        <v/>
      </c>
      <c r="B4156" t="str">
        <f>Segmenter!B4156</f>
        <v/>
      </c>
      <c r="C4156" t="str">
        <f t="shared" si="320"/>
        <v/>
      </c>
      <c r="D4156" t="str">
        <f t="shared" si="321"/>
        <v/>
      </c>
      <c r="E4156" t="str">
        <f t="shared" si="322"/>
        <v/>
      </c>
      <c r="F4156" t="str">
        <f>IF(D4156="","",INDEX(Knutepunkter!$B:$B,D4156+1))</f>
        <v/>
      </c>
      <c r="G4156" t="str">
        <f>IF(D4156="","",INDEX(Knutepunkter!$C:$C,D4156+1))</f>
        <v/>
      </c>
      <c r="H4156" t="str">
        <f>IF(D4156="","",INDEX(Knutepunkter!$D:$D,D4156+1))</f>
        <v/>
      </c>
      <c r="I4156" t="str">
        <f>IF(E4156="","",INDEX(Knutepunkter!$B:$B,E4156+1))</f>
        <v/>
      </c>
      <c r="J4156" t="str">
        <f>IF(E4156="","",INDEX(Knutepunkter!$C:$C,E4156+1))</f>
        <v/>
      </c>
      <c r="K4156" t="str">
        <f>IF(E4156="","",INDEX(Knutepunkter!$D:$D,E4156+1))</f>
        <v/>
      </c>
      <c r="L4156" t="str">
        <f t="shared" si="323"/>
        <v/>
      </c>
      <c r="M4156" t="str">
        <f t="shared" si="324"/>
        <v/>
      </c>
    </row>
    <row r="4157" spans="1:13" x14ac:dyDescent="0.3">
      <c r="A4157" t="str">
        <f>Segmenter!A4157</f>
        <v/>
      </c>
      <c r="B4157" t="str">
        <f>Segmenter!B4157</f>
        <v/>
      </c>
      <c r="C4157" t="str">
        <f t="shared" si="320"/>
        <v/>
      </c>
      <c r="D4157" t="str">
        <f t="shared" si="321"/>
        <v/>
      </c>
      <c r="E4157" t="str">
        <f t="shared" si="322"/>
        <v/>
      </c>
      <c r="F4157" t="str">
        <f>IF(D4157="","",INDEX(Knutepunkter!$B:$B,D4157+1))</f>
        <v/>
      </c>
      <c r="G4157" t="str">
        <f>IF(D4157="","",INDEX(Knutepunkter!$C:$C,D4157+1))</f>
        <v/>
      </c>
      <c r="H4157" t="str">
        <f>IF(D4157="","",INDEX(Knutepunkter!$D:$D,D4157+1))</f>
        <v/>
      </c>
      <c r="I4157" t="str">
        <f>IF(E4157="","",INDEX(Knutepunkter!$B:$B,E4157+1))</f>
        <v/>
      </c>
      <c r="J4157" t="str">
        <f>IF(E4157="","",INDEX(Knutepunkter!$C:$C,E4157+1))</f>
        <v/>
      </c>
      <c r="K4157" t="str">
        <f>IF(E4157="","",INDEX(Knutepunkter!$D:$D,E4157+1))</f>
        <v/>
      </c>
      <c r="L4157" t="str">
        <f t="shared" si="323"/>
        <v/>
      </c>
      <c r="M4157" t="str">
        <f t="shared" si="324"/>
        <v/>
      </c>
    </row>
    <row r="4158" spans="1:13" x14ac:dyDescent="0.3">
      <c r="A4158" t="str">
        <f>Segmenter!A4158</f>
        <v/>
      </c>
      <c r="B4158" t="str">
        <f>Segmenter!B4158</f>
        <v/>
      </c>
      <c r="C4158" t="str">
        <f t="shared" si="320"/>
        <v/>
      </c>
      <c r="D4158" t="str">
        <f t="shared" si="321"/>
        <v/>
      </c>
      <c r="E4158" t="str">
        <f t="shared" si="322"/>
        <v/>
      </c>
      <c r="F4158" t="str">
        <f>IF(D4158="","",INDEX(Knutepunkter!$B:$B,D4158+1))</f>
        <v/>
      </c>
      <c r="G4158" t="str">
        <f>IF(D4158="","",INDEX(Knutepunkter!$C:$C,D4158+1))</f>
        <v/>
      </c>
      <c r="H4158" t="str">
        <f>IF(D4158="","",INDEX(Knutepunkter!$D:$D,D4158+1))</f>
        <v/>
      </c>
      <c r="I4158" t="str">
        <f>IF(E4158="","",INDEX(Knutepunkter!$B:$B,E4158+1))</f>
        <v/>
      </c>
      <c r="J4158" t="str">
        <f>IF(E4158="","",INDEX(Knutepunkter!$C:$C,E4158+1))</f>
        <v/>
      </c>
      <c r="K4158" t="str">
        <f>IF(E4158="","",INDEX(Knutepunkter!$D:$D,E4158+1))</f>
        <v/>
      </c>
      <c r="L4158" t="str">
        <f t="shared" si="323"/>
        <v/>
      </c>
      <c r="M4158" t="str">
        <f t="shared" si="324"/>
        <v/>
      </c>
    </row>
    <row r="4159" spans="1:13" x14ac:dyDescent="0.3">
      <c r="A4159" t="str">
        <f>Segmenter!A4159</f>
        <v/>
      </c>
      <c r="B4159" t="str">
        <f>Segmenter!B4159</f>
        <v/>
      </c>
      <c r="C4159" t="str">
        <f t="shared" si="320"/>
        <v/>
      </c>
      <c r="D4159" t="str">
        <f t="shared" si="321"/>
        <v/>
      </c>
      <c r="E4159" t="str">
        <f t="shared" si="322"/>
        <v/>
      </c>
      <c r="F4159" t="str">
        <f>IF(D4159="","",INDEX(Knutepunkter!$B:$B,D4159+1))</f>
        <v/>
      </c>
      <c r="G4159" t="str">
        <f>IF(D4159="","",INDEX(Knutepunkter!$C:$C,D4159+1))</f>
        <v/>
      </c>
      <c r="H4159" t="str">
        <f>IF(D4159="","",INDEX(Knutepunkter!$D:$D,D4159+1))</f>
        <v/>
      </c>
      <c r="I4159" t="str">
        <f>IF(E4159="","",INDEX(Knutepunkter!$B:$B,E4159+1))</f>
        <v/>
      </c>
      <c r="J4159" t="str">
        <f>IF(E4159="","",INDEX(Knutepunkter!$C:$C,E4159+1))</f>
        <v/>
      </c>
      <c r="K4159" t="str">
        <f>IF(E4159="","",INDEX(Knutepunkter!$D:$D,E4159+1))</f>
        <v/>
      </c>
      <c r="L4159" t="str">
        <f t="shared" si="323"/>
        <v/>
      </c>
      <c r="M4159" t="str">
        <f t="shared" si="324"/>
        <v/>
      </c>
    </row>
    <row r="4160" spans="1:13" x14ac:dyDescent="0.3">
      <c r="A4160" t="str">
        <f>Segmenter!A4160</f>
        <v/>
      </c>
      <c r="B4160" t="str">
        <f>Segmenter!B4160</f>
        <v/>
      </c>
      <c r="C4160" t="str">
        <f t="shared" si="320"/>
        <v/>
      </c>
      <c r="D4160" t="str">
        <f t="shared" si="321"/>
        <v/>
      </c>
      <c r="E4160" t="str">
        <f t="shared" si="322"/>
        <v/>
      </c>
      <c r="F4160" t="str">
        <f>IF(D4160="","",INDEX(Knutepunkter!$B:$B,D4160+1))</f>
        <v/>
      </c>
      <c r="G4160" t="str">
        <f>IF(D4160="","",INDEX(Knutepunkter!$C:$C,D4160+1))</f>
        <v/>
      </c>
      <c r="H4160" t="str">
        <f>IF(D4160="","",INDEX(Knutepunkter!$D:$D,D4160+1))</f>
        <v/>
      </c>
      <c r="I4160" t="str">
        <f>IF(E4160="","",INDEX(Knutepunkter!$B:$B,E4160+1))</f>
        <v/>
      </c>
      <c r="J4160" t="str">
        <f>IF(E4160="","",INDEX(Knutepunkter!$C:$C,E4160+1))</f>
        <v/>
      </c>
      <c r="K4160" t="str">
        <f>IF(E4160="","",INDEX(Knutepunkter!$D:$D,E4160+1))</f>
        <v/>
      </c>
      <c r="L4160" t="str">
        <f t="shared" si="323"/>
        <v/>
      </c>
      <c r="M4160" t="str">
        <f t="shared" si="324"/>
        <v/>
      </c>
    </row>
    <row r="4161" spans="1:13" x14ac:dyDescent="0.3">
      <c r="A4161" t="str">
        <f>Segmenter!A4161</f>
        <v/>
      </c>
      <c r="B4161" t="str">
        <f>Segmenter!B4161</f>
        <v/>
      </c>
      <c r="C4161" t="str">
        <f t="shared" si="320"/>
        <v/>
      </c>
      <c r="D4161" t="str">
        <f t="shared" si="321"/>
        <v/>
      </c>
      <c r="E4161" t="str">
        <f t="shared" si="322"/>
        <v/>
      </c>
      <c r="F4161" t="str">
        <f>IF(D4161="","",INDEX(Knutepunkter!$B:$B,D4161+1))</f>
        <v/>
      </c>
      <c r="G4161" t="str">
        <f>IF(D4161="","",INDEX(Knutepunkter!$C:$C,D4161+1))</f>
        <v/>
      </c>
      <c r="H4161" t="str">
        <f>IF(D4161="","",INDEX(Knutepunkter!$D:$D,D4161+1))</f>
        <v/>
      </c>
      <c r="I4161" t="str">
        <f>IF(E4161="","",INDEX(Knutepunkter!$B:$B,E4161+1))</f>
        <v/>
      </c>
      <c r="J4161" t="str">
        <f>IF(E4161="","",INDEX(Knutepunkter!$C:$C,E4161+1))</f>
        <v/>
      </c>
      <c r="K4161" t="str">
        <f>IF(E4161="","",INDEX(Knutepunkter!$D:$D,E4161+1))</f>
        <v/>
      </c>
      <c r="L4161" t="str">
        <f t="shared" si="323"/>
        <v/>
      </c>
      <c r="M4161" t="str">
        <f t="shared" si="324"/>
        <v/>
      </c>
    </row>
    <row r="4162" spans="1:13" x14ac:dyDescent="0.3">
      <c r="A4162" t="str">
        <f>Segmenter!A4162</f>
        <v/>
      </c>
      <c r="B4162" t="str">
        <f>Segmenter!B4162</f>
        <v/>
      </c>
      <c r="C4162" t="str">
        <f t="shared" ref="C4162:C4225" si="325">IF(B4162="","",IF(AND(F4162=I4162,G4162=J4162,H4162&lt;&gt;K4162),"Søyle","Bjelke"))</f>
        <v/>
      </c>
      <c r="D4162" t="str">
        <f t="shared" ref="D4162:D4225" si="326">IF(B4162="","",VALUE(LEFT(B4162,FIND(" -&gt; ",B4162)-1)))</f>
        <v/>
      </c>
      <c r="E4162" t="str">
        <f t="shared" ref="E4162:E4225" si="327">IF(B4162="","",VALUE(MID(B4162,FIND(" -&gt; ",B4162)+4,99)))</f>
        <v/>
      </c>
      <c r="F4162" t="str">
        <f>IF(D4162="","",INDEX(Knutepunkter!$B:$B,D4162+1))</f>
        <v/>
      </c>
      <c r="G4162" t="str">
        <f>IF(D4162="","",INDEX(Knutepunkter!$C:$C,D4162+1))</f>
        <v/>
      </c>
      <c r="H4162" t="str">
        <f>IF(D4162="","",INDEX(Knutepunkter!$D:$D,D4162+1))</f>
        <v/>
      </c>
      <c r="I4162" t="str">
        <f>IF(E4162="","",INDEX(Knutepunkter!$B:$B,E4162+1))</f>
        <v/>
      </c>
      <c r="J4162" t="str">
        <f>IF(E4162="","",INDEX(Knutepunkter!$C:$C,E4162+1))</f>
        <v/>
      </c>
      <c r="K4162" t="str">
        <f>IF(E4162="","",INDEX(Knutepunkter!$D:$D,E4162+1))</f>
        <v/>
      </c>
      <c r="L4162" t="str">
        <f t="shared" ref="L4162:L4225" si="328">IF(B4162="","",SQRT((I4162-F4162)^2+(J4162-G4162)^2+(K4162-H4162)^2))</f>
        <v/>
      </c>
      <c r="M4162" t="str">
        <f t="shared" ref="M4162:M4225" si="329">IF(L4162="","",L4162/1000)</f>
        <v/>
      </c>
    </row>
    <row r="4163" spans="1:13" x14ac:dyDescent="0.3">
      <c r="A4163" t="str">
        <f>Segmenter!A4163</f>
        <v/>
      </c>
      <c r="B4163" t="str">
        <f>Segmenter!B4163</f>
        <v/>
      </c>
      <c r="C4163" t="str">
        <f t="shared" si="325"/>
        <v/>
      </c>
      <c r="D4163" t="str">
        <f t="shared" si="326"/>
        <v/>
      </c>
      <c r="E4163" t="str">
        <f t="shared" si="327"/>
        <v/>
      </c>
      <c r="F4163" t="str">
        <f>IF(D4163="","",INDEX(Knutepunkter!$B:$B,D4163+1))</f>
        <v/>
      </c>
      <c r="G4163" t="str">
        <f>IF(D4163="","",INDEX(Knutepunkter!$C:$C,D4163+1))</f>
        <v/>
      </c>
      <c r="H4163" t="str">
        <f>IF(D4163="","",INDEX(Knutepunkter!$D:$D,D4163+1))</f>
        <v/>
      </c>
      <c r="I4163" t="str">
        <f>IF(E4163="","",INDEX(Knutepunkter!$B:$B,E4163+1))</f>
        <v/>
      </c>
      <c r="J4163" t="str">
        <f>IF(E4163="","",INDEX(Knutepunkter!$C:$C,E4163+1))</f>
        <v/>
      </c>
      <c r="K4163" t="str">
        <f>IF(E4163="","",INDEX(Knutepunkter!$D:$D,E4163+1))</f>
        <v/>
      </c>
      <c r="L4163" t="str">
        <f t="shared" si="328"/>
        <v/>
      </c>
      <c r="M4163" t="str">
        <f t="shared" si="329"/>
        <v/>
      </c>
    </row>
    <row r="4164" spans="1:13" x14ac:dyDescent="0.3">
      <c r="A4164" t="str">
        <f>Segmenter!A4164</f>
        <v/>
      </c>
      <c r="B4164" t="str">
        <f>Segmenter!B4164</f>
        <v/>
      </c>
      <c r="C4164" t="str">
        <f t="shared" si="325"/>
        <v/>
      </c>
      <c r="D4164" t="str">
        <f t="shared" si="326"/>
        <v/>
      </c>
      <c r="E4164" t="str">
        <f t="shared" si="327"/>
        <v/>
      </c>
      <c r="F4164" t="str">
        <f>IF(D4164="","",INDEX(Knutepunkter!$B:$B,D4164+1))</f>
        <v/>
      </c>
      <c r="G4164" t="str">
        <f>IF(D4164="","",INDEX(Knutepunkter!$C:$C,D4164+1))</f>
        <v/>
      </c>
      <c r="H4164" t="str">
        <f>IF(D4164="","",INDEX(Knutepunkter!$D:$D,D4164+1))</f>
        <v/>
      </c>
      <c r="I4164" t="str">
        <f>IF(E4164="","",INDEX(Knutepunkter!$B:$B,E4164+1))</f>
        <v/>
      </c>
      <c r="J4164" t="str">
        <f>IF(E4164="","",INDEX(Knutepunkter!$C:$C,E4164+1))</f>
        <v/>
      </c>
      <c r="K4164" t="str">
        <f>IF(E4164="","",INDEX(Knutepunkter!$D:$D,E4164+1))</f>
        <v/>
      </c>
      <c r="L4164" t="str">
        <f t="shared" si="328"/>
        <v/>
      </c>
      <c r="M4164" t="str">
        <f t="shared" si="329"/>
        <v/>
      </c>
    </row>
    <row r="4165" spans="1:13" x14ac:dyDescent="0.3">
      <c r="A4165" t="str">
        <f>Segmenter!A4165</f>
        <v/>
      </c>
      <c r="B4165" t="str">
        <f>Segmenter!B4165</f>
        <v/>
      </c>
      <c r="C4165" t="str">
        <f t="shared" si="325"/>
        <v/>
      </c>
      <c r="D4165" t="str">
        <f t="shared" si="326"/>
        <v/>
      </c>
      <c r="E4165" t="str">
        <f t="shared" si="327"/>
        <v/>
      </c>
      <c r="F4165" t="str">
        <f>IF(D4165="","",INDEX(Knutepunkter!$B:$B,D4165+1))</f>
        <v/>
      </c>
      <c r="G4165" t="str">
        <f>IF(D4165="","",INDEX(Knutepunkter!$C:$C,D4165+1))</f>
        <v/>
      </c>
      <c r="H4165" t="str">
        <f>IF(D4165="","",INDEX(Knutepunkter!$D:$D,D4165+1))</f>
        <v/>
      </c>
      <c r="I4165" t="str">
        <f>IF(E4165="","",INDEX(Knutepunkter!$B:$B,E4165+1))</f>
        <v/>
      </c>
      <c r="J4165" t="str">
        <f>IF(E4165="","",INDEX(Knutepunkter!$C:$C,E4165+1))</f>
        <v/>
      </c>
      <c r="K4165" t="str">
        <f>IF(E4165="","",INDEX(Knutepunkter!$D:$D,E4165+1))</f>
        <v/>
      </c>
      <c r="L4165" t="str">
        <f t="shared" si="328"/>
        <v/>
      </c>
      <c r="M4165" t="str">
        <f t="shared" si="329"/>
        <v/>
      </c>
    </row>
    <row r="4166" spans="1:13" x14ac:dyDescent="0.3">
      <c r="A4166" t="str">
        <f>Segmenter!A4166</f>
        <v/>
      </c>
      <c r="B4166" t="str">
        <f>Segmenter!B4166</f>
        <v/>
      </c>
      <c r="C4166" t="str">
        <f t="shared" si="325"/>
        <v/>
      </c>
      <c r="D4166" t="str">
        <f t="shared" si="326"/>
        <v/>
      </c>
      <c r="E4166" t="str">
        <f t="shared" si="327"/>
        <v/>
      </c>
      <c r="F4166" t="str">
        <f>IF(D4166="","",INDEX(Knutepunkter!$B:$B,D4166+1))</f>
        <v/>
      </c>
      <c r="G4166" t="str">
        <f>IF(D4166="","",INDEX(Knutepunkter!$C:$C,D4166+1))</f>
        <v/>
      </c>
      <c r="H4166" t="str">
        <f>IF(D4166="","",INDEX(Knutepunkter!$D:$D,D4166+1))</f>
        <v/>
      </c>
      <c r="I4166" t="str">
        <f>IF(E4166="","",INDEX(Knutepunkter!$B:$B,E4166+1))</f>
        <v/>
      </c>
      <c r="J4166" t="str">
        <f>IF(E4166="","",INDEX(Knutepunkter!$C:$C,E4166+1))</f>
        <v/>
      </c>
      <c r="K4166" t="str">
        <f>IF(E4166="","",INDEX(Knutepunkter!$D:$D,E4166+1))</f>
        <v/>
      </c>
      <c r="L4166" t="str">
        <f t="shared" si="328"/>
        <v/>
      </c>
      <c r="M4166" t="str">
        <f t="shared" si="329"/>
        <v/>
      </c>
    </row>
    <row r="4167" spans="1:13" x14ac:dyDescent="0.3">
      <c r="A4167" t="str">
        <f>Segmenter!A4167</f>
        <v/>
      </c>
      <c r="B4167" t="str">
        <f>Segmenter!B4167</f>
        <v/>
      </c>
      <c r="C4167" t="str">
        <f t="shared" si="325"/>
        <v/>
      </c>
      <c r="D4167" t="str">
        <f t="shared" si="326"/>
        <v/>
      </c>
      <c r="E4167" t="str">
        <f t="shared" si="327"/>
        <v/>
      </c>
      <c r="F4167" t="str">
        <f>IF(D4167="","",INDEX(Knutepunkter!$B:$B,D4167+1))</f>
        <v/>
      </c>
      <c r="G4167" t="str">
        <f>IF(D4167="","",INDEX(Knutepunkter!$C:$C,D4167+1))</f>
        <v/>
      </c>
      <c r="H4167" t="str">
        <f>IF(D4167="","",INDEX(Knutepunkter!$D:$D,D4167+1))</f>
        <v/>
      </c>
      <c r="I4167" t="str">
        <f>IF(E4167="","",INDEX(Knutepunkter!$B:$B,E4167+1))</f>
        <v/>
      </c>
      <c r="J4167" t="str">
        <f>IF(E4167="","",INDEX(Knutepunkter!$C:$C,E4167+1))</f>
        <v/>
      </c>
      <c r="K4167" t="str">
        <f>IF(E4167="","",INDEX(Knutepunkter!$D:$D,E4167+1))</f>
        <v/>
      </c>
      <c r="L4167" t="str">
        <f t="shared" si="328"/>
        <v/>
      </c>
      <c r="M4167" t="str">
        <f t="shared" si="329"/>
        <v/>
      </c>
    </row>
    <row r="4168" spans="1:13" x14ac:dyDescent="0.3">
      <c r="A4168" t="str">
        <f>Segmenter!A4168</f>
        <v/>
      </c>
      <c r="B4168" t="str">
        <f>Segmenter!B4168</f>
        <v/>
      </c>
      <c r="C4168" t="str">
        <f t="shared" si="325"/>
        <v/>
      </c>
      <c r="D4168" t="str">
        <f t="shared" si="326"/>
        <v/>
      </c>
      <c r="E4168" t="str">
        <f t="shared" si="327"/>
        <v/>
      </c>
      <c r="F4168" t="str">
        <f>IF(D4168="","",INDEX(Knutepunkter!$B:$B,D4168+1))</f>
        <v/>
      </c>
      <c r="G4168" t="str">
        <f>IF(D4168="","",INDEX(Knutepunkter!$C:$C,D4168+1))</f>
        <v/>
      </c>
      <c r="H4168" t="str">
        <f>IF(D4168="","",INDEX(Knutepunkter!$D:$D,D4168+1))</f>
        <v/>
      </c>
      <c r="I4168" t="str">
        <f>IF(E4168="","",INDEX(Knutepunkter!$B:$B,E4168+1))</f>
        <v/>
      </c>
      <c r="J4168" t="str">
        <f>IF(E4168="","",INDEX(Knutepunkter!$C:$C,E4168+1))</f>
        <v/>
      </c>
      <c r="K4168" t="str">
        <f>IF(E4168="","",INDEX(Knutepunkter!$D:$D,E4168+1))</f>
        <v/>
      </c>
      <c r="L4168" t="str">
        <f t="shared" si="328"/>
        <v/>
      </c>
      <c r="M4168" t="str">
        <f t="shared" si="329"/>
        <v/>
      </c>
    </row>
    <row r="4169" spans="1:13" x14ac:dyDescent="0.3">
      <c r="A4169" t="str">
        <f>Segmenter!A4169</f>
        <v/>
      </c>
      <c r="B4169" t="str">
        <f>Segmenter!B4169</f>
        <v/>
      </c>
      <c r="C4169" t="str">
        <f t="shared" si="325"/>
        <v/>
      </c>
      <c r="D4169" t="str">
        <f t="shared" si="326"/>
        <v/>
      </c>
      <c r="E4169" t="str">
        <f t="shared" si="327"/>
        <v/>
      </c>
      <c r="F4169" t="str">
        <f>IF(D4169="","",INDEX(Knutepunkter!$B:$B,D4169+1))</f>
        <v/>
      </c>
      <c r="G4169" t="str">
        <f>IF(D4169="","",INDEX(Knutepunkter!$C:$C,D4169+1))</f>
        <v/>
      </c>
      <c r="H4169" t="str">
        <f>IF(D4169="","",INDEX(Knutepunkter!$D:$D,D4169+1))</f>
        <v/>
      </c>
      <c r="I4169" t="str">
        <f>IF(E4169="","",INDEX(Knutepunkter!$B:$B,E4169+1))</f>
        <v/>
      </c>
      <c r="J4169" t="str">
        <f>IF(E4169="","",INDEX(Knutepunkter!$C:$C,E4169+1))</f>
        <v/>
      </c>
      <c r="K4169" t="str">
        <f>IF(E4169="","",INDEX(Knutepunkter!$D:$D,E4169+1))</f>
        <v/>
      </c>
      <c r="L4169" t="str">
        <f t="shared" si="328"/>
        <v/>
      </c>
      <c r="M4169" t="str">
        <f t="shared" si="329"/>
        <v/>
      </c>
    </row>
    <row r="4170" spans="1:13" x14ac:dyDescent="0.3">
      <c r="A4170" t="str">
        <f>Segmenter!A4170</f>
        <v/>
      </c>
      <c r="B4170" t="str">
        <f>Segmenter!B4170</f>
        <v/>
      </c>
      <c r="C4170" t="str">
        <f t="shared" si="325"/>
        <v/>
      </c>
      <c r="D4170" t="str">
        <f t="shared" si="326"/>
        <v/>
      </c>
      <c r="E4170" t="str">
        <f t="shared" si="327"/>
        <v/>
      </c>
      <c r="F4170" t="str">
        <f>IF(D4170="","",INDEX(Knutepunkter!$B:$B,D4170+1))</f>
        <v/>
      </c>
      <c r="G4170" t="str">
        <f>IF(D4170="","",INDEX(Knutepunkter!$C:$C,D4170+1))</f>
        <v/>
      </c>
      <c r="H4170" t="str">
        <f>IF(D4170="","",INDEX(Knutepunkter!$D:$D,D4170+1))</f>
        <v/>
      </c>
      <c r="I4170" t="str">
        <f>IF(E4170="","",INDEX(Knutepunkter!$B:$B,E4170+1))</f>
        <v/>
      </c>
      <c r="J4170" t="str">
        <f>IF(E4170="","",INDEX(Knutepunkter!$C:$C,E4170+1))</f>
        <v/>
      </c>
      <c r="K4170" t="str">
        <f>IF(E4170="","",INDEX(Knutepunkter!$D:$D,E4170+1))</f>
        <v/>
      </c>
      <c r="L4170" t="str">
        <f t="shared" si="328"/>
        <v/>
      </c>
      <c r="M4170" t="str">
        <f t="shared" si="329"/>
        <v/>
      </c>
    </row>
    <row r="4171" spans="1:13" x14ac:dyDescent="0.3">
      <c r="A4171" t="str">
        <f>Segmenter!A4171</f>
        <v/>
      </c>
      <c r="B4171" t="str">
        <f>Segmenter!B4171</f>
        <v/>
      </c>
      <c r="C4171" t="str">
        <f t="shared" si="325"/>
        <v/>
      </c>
      <c r="D4171" t="str">
        <f t="shared" si="326"/>
        <v/>
      </c>
      <c r="E4171" t="str">
        <f t="shared" si="327"/>
        <v/>
      </c>
      <c r="F4171" t="str">
        <f>IF(D4171="","",INDEX(Knutepunkter!$B:$B,D4171+1))</f>
        <v/>
      </c>
      <c r="G4171" t="str">
        <f>IF(D4171="","",INDEX(Knutepunkter!$C:$C,D4171+1))</f>
        <v/>
      </c>
      <c r="H4171" t="str">
        <f>IF(D4171="","",INDEX(Knutepunkter!$D:$D,D4171+1))</f>
        <v/>
      </c>
      <c r="I4171" t="str">
        <f>IF(E4171="","",INDEX(Knutepunkter!$B:$B,E4171+1))</f>
        <v/>
      </c>
      <c r="J4171" t="str">
        <f>IF(E4171="","",INDEX(Knutepunkter!$C:$C,E4171+1))</f>
        <v/>
      </c>
      <c r="K4171" t="str">
        <f>IF(E4171="","",INDEX(Knutepunkter!$D:$D,E4171+1))</f>
        <v/>
      </c>
      <c r="L4171" t="str">
        <f t="shared" si="328"/>
        <v/>
      </c>
      <c r="M4171" t="str">
        <f t="shared" si="329"/>
        <v/>
      </c>
    </row>
    <row r="4172" spans="1:13" x14ac:dyDescent="0.3">
      <c r="A4172" t="str">
        <f>Segmenter!A4172</f>
        <v/>
      </c>
      <c r="B4172" t="str">
        <f>Segmenter!B4172</f>
        <v/>
      </c>
      <c r="C4172" t="str">
        <f t="shared" si="325"/>
        <v/>
      </c>
      <c r="D4172" t="str">
        <f t="shared" si="326"/>
        <v/>
      </c>
      <c r="E4172" t="str">
        <f t="shared" si="327"/>
        <v/>
      </c>
      <c r="F4172" t="str">
        <f>IF(D4172="","",INDEX(Knutepunkter!$B:$B,D4172+1))</f>
        <v/>
      </c>
      <c r="G4172" t="str">
        <f>IF(D4172="","",INDEX(Knutepunkter!$C:$C,D4172+1))</f>
        <v/>
      </c>
      <c r="H4172" t="str">
        <f>IF(D4172="","",INDEX(Knutepunkter!$D:$D,D4172+1))</f>
        <v/>
      </c>
      <c r="I4172" t="str">
        <f>IF(E4172="","",INDEX(Knutepunkter!$B:$B,E4172+1))</f>
        <v/>
      </c>
      <c r="J4172" t="str">
        <f>IF(E4172="","",INDEX(Knutepunkter!$C:$C,E4172+1))</f>
        <v/>
      </c>
      <c r="K4172" t="str">
        <f>IF(E4172="","",INDEX(Knutepunkter!$D:$D,E4172+1))</f>
        <v/>
      </c>
      <c r="L4172" t="str">
        <f t="shared" si="328"/>
        <v/>
      </c>
      <c r="M4172" t="str">
        <f t="shared" si="329"/>
        <v/>
      </c>
    </row>
    <row r="4173" spans="1:13" x14ac:dyDescent="0.3">
      <c r="A4173" t="str">
        <f>Segmenter!A4173</f>
        <v/>
      </c>
      <c r="B4173" t="str">
        <f>Segmenter!B4173</f>
        <v/>
      </c>
      <c r="C4173" t="str">
        <f t="shared" si="325"/>
        <v/>
      </c>
      <c r="D4173" t="str">
        <f t="shared" si="326"/>
        <v/>
      </c>
      <c r="E4173" t="str">
        <f t="shared" si="327"/>
        <v/>
      </c>
      <c r="F4173" t="str">
        <f>IF(D4173="","",INDEX(Knutepunkter!$B:$B,D4173+1))</f>
        <v/>
      </c>
      <c r="G4173" t="str">
        <f>IF(D4173="","",INDEX(Knutepunkter!$C:$C,D4173+1))</f>
        <v/>
      </c>
      <c r="H4173" t="str">
        <f>IF(D4173="","",INDEX(Knutepunkter!$D:$D,D4173+1))</f>
        <v/>
      </c>
      <c r="I4173" t="str">
        <f>IF(E4173="","",INDEX(Knutepunkter!$B:$B,E4173+1))</f>
        <v/>
      </c>
      <c r="J4173" t="str">
        <f>IF(E4173="","",INDEX(Knutepunkter!$C:$C,E4173+1))</f>
        <v/>
      </c>
      <c r="K4173" t="str">
        <f>IF(E4173="","",INDEX(Knutepunkter!$D:$D,E4173+1))</f>
        <v/>
      </c>
      <c r="L4173" t="str">
        <f t="shared" si="328"/>
        <v/>
      </c>
      <c r="M4173" t="str">
        <f t="shared" si="329"/>
        <v/>
      </c>
    </row>
    <row r="4174" spans="1:13" x14ac:dyDescent="0.3">
      <c r="A4174" t="str">
        <f>Segmenter!A4174</f>
        <v/>
      </c>
      <c r="B4174" t="str">
        <f>Segmenter!B4174</f>
        <v/>
      </c>
      <c r="C4174" t="str">
        <f t="shared" si="325"/>
        <v/>
      </c>
      <c r="D4174" t="str">
        <f t="shared" si="326"/>
        <v/>
      </c>
      <c r="E4174" t="str">
        <f t="shared" si="327"/>
        <v/>
      </c>
      <c r="F4174" t="str">
        <f>IF(D4174="","",INDEX(Knutepunkter!$B:$B,D4174+1))</f>
        <v/>
      </c>
      <c r="G4174" t="str">
        <f>IF(D4174="","",INDEX(Knutepunkter!$C:$C,D4174+1))</f>
        <v/>
      </c>
      <c r="H4174" t="str">
        <f>IF(D4174="","",INDEX(Knutepunkter!$D:$D,D4174+1))</f>
        <v/>
      </c>
      <c r="I4174" t="str">
        <f>IF(E4174="","",INDEX(Knutepunkter!$B:$B,E4174+1))</f>
        <v/>
      </c>
      <c r="J4174" t="str">
        <f>IF(E4174="","",INDEX(Knutepunkter!$C:$C,E4174+1))</f>
        <v/>
      </c>
      <c r="K4174" t="str">
        <f>IF(E4174="","",INDEX(Knutepunkter!$D:$D,E4174+1))</f>
        <v/>
      </c>
      <c r="L4174" t="str">
        <f t="shared" si="328"/>
        <v/>
      </c>
      <c r="M4174" t="str">
        <f t="shared" si="329"/>
        <v/>
      </c>
    </row>
    <row r="4175" spans="1:13" x14ac:dyDescent="0.3">
      <c r="A4175" t="str">
        <f>Segmenter!A4175</f>
        <v/>
      </c>
      <c r="B4175" t="str">
        <f>Segmenter!B4175</f>
        <v/>
      </c>
      <c r="C4175" t="str">
        <f t="shared" si="325"/>
        <v/>
      </c>
      <c r="D4175" t="str">
        <f t="shared" si="326"/>
        <v/>
      </c>
      <c r="E4175" t="str">
        <f t="shared" si="327"/>
        <v/>
      </c>
      <c r="F4175" t="str">
        <f>IF(D4175="","",INDEX(Knutepunkter!$B:$B,D4175+1))</f>
        <v/>
      </c>
      <c r="G4175" t="str">
        <f>IF(D4175="","",INDEX(Knutepunkter!$C:$C,D4175+1))</f>
        <v/>
      </c>
      <c r="H4175" t="str">
        <f>IF(D4175="","",INDEX(Knutepunkter!$D:$D,D4175+1))</f>
        <v/>
      </c>
      <c r="I4175" t="str">
        <f>IF(E4175="","",INDEX(Knutepunkter!$B:$B,E4175+1))</f>
        <v/>
      </c>
      <c r="J4175" t="str">
        <f>IF(E4175="","",INDEX(Knutepunkter!$C:$C,E4175+1))</f>
        <v/>
      </c>
      <c r="K4175" t="str">
        <f>IF(E4175="","",INDEX(Knutepunkter!$D:$D,E4175+1))</f>
        <v/>
      </c>
      <c r="L4175" t="str">
        <f t="shared" si="328"/>
        <v/>
      </c>
      <c r="M4175" t="str">
        <f t="shared" si="329"/>
        <v/>
      </c>
    </row>
    <row r="4176" spans="1:13" x14ac:dyDescent="0.3">
      <c r="A4176" t="str">
        <f>Segmenter!A4176</f>
        <v/>
      </c>
      <c r="B4176" t="str">
        <f>Segmenter!B4176</f>
        <v/>
      </c>
      <c r="C4176" t="str">
        <f t="shared" si="325"/>
        <v/>
      </c>
      <c r="D4176" t="str">
        <f t="shared" si="326"/>
        <v/>
      </c>
      <c r="E4176" t="str">
        <f t="shared" si="327"/>
        <v/>
      </c>
      <c r="F4176" t="str">
        <f>IF(D4176="","",INDEX(Knutepunkter!$B:$B,D4176+1))</f>
        <v/>
      </c>
      <c r="G4176" t="str">
        <f>IF(D4176="","",INDEX(Knutepunkter!$C:$C,D4176+1))</f>
        <v/>
      </c>
      <c r="H4176" t="str">
        <f>IF(D4176="","",INDEX(Knutepunkter!$D:$D,D4176+1))</f>
        <v/>
      </c>
      <c r="I4176" t="str">
        <f>IF(E4176="","",INDEX(Knutepunkter!$B:$B,E4176+1))</f>
        <v/>
      </c>
      <c r="J4176" t="str">
        <f>IF(E4176="","",INDEX(Knutepunkter!$C:$C,E4176+1))</f>
        <v/>
      </c>
      <c r="K4176" t="str">
        <f>IF(E4176="","",INDEX(Knutepunkter!$D:$D,E4176+1))</f>
        <v/>
      </c>
      <c r="L4176" t="str">
        <f t="shared" si="328"/>
        <v/>
      </c>
      <c r="M4176" t="str">
        <f t="shared" si="329"/>
        <v/>
      </c>
    </row>
    <row r="4177" spans="1:13" x14ac:dyDescent="0.3">
      <c r="A4177" t="str">
        <f>Segmenter!A4177</f>
        <v/>
      </c>
      <c r="B4177" t="str">
        <f>Segmenter!B4177</f>
        <v/>
      </c>
      <c r="C4177" t="str">
        <f t="shared" si="325"/>
        <v/>
      </c>
      <c r="D4177" t="str">
        <f t="shared" si="326"/>
        <v/>
      </c>
      <c r="E4177" t="str">
        <f t="shared" si="327"/>
        <v/>
      </c>
      <c r="F4177" t="str">
        <f>IF(D4177="","",INDEX(Knutepunkter!$B:$B,D4177+1))</f>
        <v/>
      </c>
      <c r="G4177" t="str">
        <f>IF(D4177="","",INDEX(Knutepunkter!$C:$C,D4177+1))</f>
        <v/>
      </c>
      <c r="H4177" t="str">
        <f>IF(D4177="","",INDEX(Knutepunkter!$D:$D,D4177+1))</f>
        <v/>
      </c>
      <c r="I4177" t="str">
        <f>IF(E4177="","",INDEX(Knutepunkter!$B:$B,E4177+1))</f>
        <v/>
      </c>
      <c r="J4177" t="str">
        <f>IF(E4177="","",INDEX(Knutepunkter!$C:$C,E4177+1))</f>
        <v/>
      </c>
      <c r="K4177" t="str">
        <f>IF(E4177="","",INDEX(Knutepunkter!$D:$D,E4177+1))</f>
        <v/>
      </c>
      <c r="L4177" t="str">
        <f t="shared" si="328"/>
        <v/>
      </c>
      <c r="M4177" t="str">
        <f t="shared" si="329"/>
        <v/>
      </c>
    </row>
    <row r="4178" spans="1:13" x14ac:dyDescent="0.3">
      <c r="A4178" t="str">
        <f>Segmenter!A4178</f>
        <v/>
      </c>
      <c r="B4178" t="str">
        <f>Segmenter!B4178</f>
        <v/>
      </c>
      <c r="C4178" t="str">
        <f t="shared" si="325"/>
        <v/>
      </c>
      <c r="D4178" t="str">
        <f t="shared" si="326"/>
        <v/>
      </c>
      <c r="E4178" t="str">
        <f t="shared" si="327"/>
        <v/>
      </c>
      <c r="F4178" t="str">
        <f>IF(D4178="","",INDEX(Knutepunkter!$B:$B,D4178+1))</f>
        <v/>
      </c>
      <c r="G4178" t="str">
        <f>IF(D4178="","",INDEX(Knutepunkter!$C:$C,D4178+1))</f>
        <v/>
      </c>
      <c r="H4178" t="str">
        <f>IF(D4178="","",INDEX(Knutepunkter!$D:$D,D4178+1))</f>
        <v/>
      </c>
      <c r="I4178" t="str">
        <f>IF(E4178="","",INDEX(Knutepunkter!$B:$B,E4178+1))</f>
        <v/>
      </c>
      <c r="J4178" t="str">
        <f>IF(E4178="","",INDEX(Knutepunkter!$C:$C,E4178+1))</f>
        <v/>
      </c>
      <c r="K4178" t="str">
        <f>IF(E4178="","",INDEX(Knutepunkter!$D:$D,E4178+1))</f>
        <v/>
      </c>
      <c r="L4178" t="str">
        <f t="shared" si="328"/>
        <v/>
      </c>
      <c r="M4178" t="str">
        <f t="shared" si="329"/>
        <v/>
      </c>
    </row>
    <row r="4179" spans="1:13" x14ac:dyDescent="0.3">
      <c r="A4179" t="str">
        <f>Segmenter!A4179</f>
        <v/>
      </c>
      <c r="B4179" t="str">
        <f>Segmenter!B4179</f>
        <v/>
      </c>
      <c r="C4179" t="str">
        <f t="shared" si="325"/>
        <v/>
      </c>
      <c r="D4179" t="str">
        <f t="shared" si="326"/>
        <v/>
      </c>
      <c r="E4179" t="str">
        <f t="shared" si="327"/>
        <v/>
      </c>
      <c r="F4179" t="str">
        <f>IF(D4179="","",INDEX(Knutepunkter!$B:$B,D4179+1))</f>
        <v/>
      </c>
      <c r="G4179" t="str">
        <f>IF(D4179="","",INDEX(Knutepunkter!$C:$C,D4179+1))</f>
        <v/>
      </c>
      <c r="H4179" t="str">
        <f>IF(D4179="","",INDEX(Knutepunkter!$D:$D,D4179+1))</f>
        <v/>
      </c>
      <c r="I4179" t="str">
        <f>IF(E4179="","",INDEX(Knutepunkter!$B:$B,E4179+1))</f>
        <v/>
      </c>
      <c r="J4179" t="str">
        <f>IF(E4179="","",INDEX(Knutepunkter!$C:$C,E4179+1))</f>
        <v/>
      </c>
      <c r="K4179" t="str">
        <f>IF(E4179="","",INDEX(Knutepunkter!$D:$D,E4179+1))</f>
        <v/>
      </c>
      <c r="L4179" t="str">
        <f t="shared" si="328"/>
        <v/>
      </c>
      <c r="M4179" t="str">
        <f t="shared" si="329"/>
        <v/>
      </c>
    </row>
    <row r="4180" spans="1:13" x14ac:dyDescent="0.3">
      <c r="A4180" t="str">
        <f>Segmenter!A4180</f>
        <v/>
      </c>
      <c r="B4180" t="str">
        <f>Segmenter!B4180</f>
        <v/>
      </c>
      <c r="C4180" t="str">
        <f t="shared" si="325"/>
        <v/>
      </c>
      <c r="D4180" t="str">
        <f t="shared" si="326"/>
        <v/>
      </c>
      <c r="E4180" t="str">
        <f t="shared" si="327"/>
        <v/>
      </c>
      <c r="F4180" t="str">
        <f>IF(D4180="","",INDEX(Knutepunkter!$B:$B,D4180+1))</f>
        <v/>
      </c>
      <c r="G4180" t="str">
        <f>IF(D4180="","",INDEX(Knutepunkter!$C:$C,D4180+1))</f>
        <v/>
      </c>
      <c r="H4180" t="str">
        <f>IF(D4180="","",INDEX(Knutepunkter!$D:$D,D4180+1))</f>
        <v/>
      </c>
      <c r="I4180" t="str">
        <f>IF(E4180="","",INDEX(Knutepunkter!$B:$B,E4180+1))</f>
        <v/>
      </c>
      <c r="J4180" t="str">
        <f>IF(E4180="","",INDEX(Knutepunkter!$C:$C,E4180+1))</f>
        <v/>
      </c>
      <c r="K4180" t="str">
        <f>IF(E4180="","",INDEX(Knutepunkter!$D:$D,E4180+1))</f>
        <v/>
      </c>
      <c r="L4180" t="str">
        <f t="shared" si="328"/>
        <v/>
      </c>
      <c r="M4180" t="str">
        <f t="shared" si="329"/>
        <v/>
      </c>
    </row>
    <row r="4181" spans="1:13" x14ac:dyDescent="0.3">
      <c r="A4181" t="str">
        <f>Segmenter!A4181</f>
        <v/>
      </c>
      <c r="B4181" t="str">
        <f>Segmenter!B4181</f>
        <v/>
      </c>
      <c r="C4181" t="str">
        <f t="shared" si="325"/>
        <v/>
      </c>
      <c r="D4181" t="str">
        <f t="shared" si="326"/>
        <v/>
      </c>
      <c r="E4181" t="str">
        <f t="shared" si="327"/>
        <v/>
      </c>
      <c r="F4181" t="str">
        <f>IF(D4181="","",INDEX(Knutepunkter!$B:$B,D4181+1))</f>
        <v/>
      </c>
      <c r="G4181" t="str">
        <f>IF(D4181="","",INDEX(Knutepunkter!$C:$C,D4181+1))</f>
        <v/>
      </c>
      <c r="H4181" t="str">
        <f>IF(D4181="","",INDEX(Knutepunkter!$D:$D,D4181+1))</f>
        <v/>
      </c>
      <c r="I4181" t="str">
        <f>IF(E4181="","",INDEX(Knutepunkter!$B:$B,E4181+1))</f>
        <v/>
      </c>
      <c r="J4181" t="str">
        <f>IF(E4181="","",INDEX(Knutepunkter!$C:$C,E4181+1))</f>
        <v/>
      </c>
      <c r="K4181" t="str">
        <f>IF(E4181="","",INDEX(Knutepunkter!$D:$D,E4181+1))</f>
        <v/>
      </c>
      <c r="L4181" t="str">
        <f t="shared" si="328"/>
        <v/>
      </c>
      <c r="M4181" t="str">
        <f t="shared" si="329"/>
        <v/>
      </c>
    </row>
    <row r="4182" spans="1:13" x14ac:dyDescent="0.3">
      <c r="A4182" t="str">
        <f>Segmenter!A4182</f>
        <v/>
      </c>
      <c r="B4182" t="str">
        <f>Segmenter!B4182</f>
        <v/>
      </c>
      <c r="C4182" t="str">
        <f t="shared" si="325"/>
        <v/>
      </c>
      <c r="D4182" t="str">
        <f t="shared" si="326"/>
        <v/>
      </c>
      <c r="E4182" t="str">
        <f t="shared" si="327"/>
        <v/>
      </c>
      <c r="F4182" t="str">
        <f>IF(D4182="","",INDEX(Knutepunkter!$B:$B,D4182+1))</f>
        <v/>
      </c>
      <c r="G4182" t="str">
        <f>IF(D4182="","",INDEX(Knutepunkter!$C:$C,D4182+1))</f>
        <v/>
      </c>
      <c r="H4182" t="str">
        <f>IF(D4182="","",INDEX(Knutepunkter!$D:$D,D4182+1))</f>
        <v/>
      </c>
      <c r="I4182" t="str">
        <f>IF(E4182="","",INDEX(Knutepunkter!$B:$B,E4182+1))</f>
        <v/>
      </c>
      <c r="J4182" t="str">
        <f>IF(E4182="","",INDEX(Knutepunkter!$C:$C,E4182+1))</f>
        <v/>
      </c>
      <c r="K4182" t="str">
        <f>IF(E4182="","",INDEX(Knutepunkter!$D:$D,E4182+1))</f>
        <v/>
      </c>
      <c r="L4182" t="str">
        <f t="shared" si="328"/>
        <v/>
      </c>
      <c r="M4182" t="str">
        <f t="shared" si="329"/>
        <v/>
      </c>
    </row>
    <row r="4183" spans="1:13" x14ac:dyDescent="0.3">
      <c r="A4183" t="str">
        <f>Segmenter!A4183</f>
        <v/>
      </c>
      <c r="B4183" t="str">
        <f>Segmenter!B4183</f>
        <v/>
      </c>
      <c r="C4183" t="str">
        <f t="shared" si="325"/>
        <v/>
      </c>
      <c r="D4183" t="str">
        <f t="shared" si="326"/>
        <v/>
      </c>
      <c r="E4183" t="str">
        <f t="shared" si="327"/>
        <v/>
      </c>
      <c r="F4183" t="str">
        <f>IF(D4183="","",INDEX(Knutepunkter!$B:$B,D4183+1))</f>
        <v/>
      </c>
      <c r="G4183" t="str">
        <f>IF(D4183="","",INDEX(Knutepunkter!$C:$C,D4183+1))</f>
        <v/>
      </c>
      <c r="H4183" t="str">
        <f>IF(D4183="","",INDEX(Knutepunkter!$D:$D,D4183+1))</f>
        <v/>
      </c>
      <c r="I4183" t="str">
        <f>IF(E4183="","",INDEX(Knutepunkter!$B:$B,E4183+1))</f>
        <v/>
      </c>
      <c r="J4183" t="str">
        <f>IF(E4183="","",INDEX(Knutepunkter!$C:$C,E4183+1))</f>
        <v/>
      </c>
      <c r="K4183" t="str">
        <f>IF(E4183="","",INDEX(Knutepunkter!$D:$D,E4183+1))</f>
        <v/>
      </c>
      <c r="L4183" t="str">
        <f t="shared" si="328"/>
        <v/>
      </c>
      <c r="M4183" t="str">
        <f t="shared" si="329"/>
        <v/>
      </c>
    </row>
    <row r="4184" spans="1:13" x14ac:dyDescent="0.3">
      <c r="A4184" t="str">
        <f>Segmenter!A4184</f>
        <v/>
      </c>
      <c r="B4184" t="str">
        <f>Segmenter!B4184</f>
        <v/>
      </c>
      <c r="C4184" t="str">
        <f t="shared" si="325"/>
        <v/>
      </c>
      <c r="D4184" t="str">
        <f t="shared" si="326"/>
        <v/>
      </c>
      <c r="E4184" t="str">
        <f t="shared" si="327"/>
        <v/>
      </c>
      <c r="F4184" t="str">
        <f>IF(D4184="","",INDEX(Knutepunkter!$B:$B,D4184+1))</f>
        <v/>
      </c>
      <c r="G4184" t="str">
        <f>IF(D4184="","",INDEX(Knutepunkter!$C:$C,D4184+1))</f>
        <v/>
      </c>
      <c r="H4184" t="str">
        <f>IF(D4184="","",INDEX(Knutepunkter!$D:$D,D4184+1))</f>
        <v/>
      </c>
      <c r="I4184" t="str">
        <f>IF(E4184="","",INDEX(Knutepunkter!$B:$B,E4184+1))</f>
        <v/>
      </c>
      <c r="J4184" t="str">
        <f>IF(E4184="","",INDEX(Knutepunkter!$C:$C,E4184+1))</f>
        <v/>
      </c>
      <c r="K4184" t="str">
        <f>IF(E4184="","",INDEX(Knutepunkter!$D:$D,E4184+1))</f>
        <v/>
      </c>
      <c r="L4184" t="str">
        <f t="shared" si="328"/>
        <v/>
      </c>
      <c r="M4184" t="str">
        <f t="shared" si="329"/>
        <v/>
      </c>
    </row>
    <row r="4185" spans="1:13" x14ac:dyDescent="0.3">
      <c r="A4185" t="str">
        <f>Segmenter!A4185</f>
        <v/>
      </c>
      <c r="B4185" t="str">
        <f>Segmenter!B4185</f>
        <v/>
      </c>
      <c r="C4185" t="str">
        <f t="shared" si="325"/>
        <v/>
      </c>
      <c r="D4185" t="str">
        <f t="shared" si="326"/>
        <v/>
      </c>
      <c r="E4185" t="str">
        <f t="shared" si="327"/>
        <v/>
      </c>
      <c r="F4185" t="str">
        <f>IF(D4185="","",INDEX(Knutepunkter!$B:$B,D4185+1))</f>
        <v/>
      </c>
      <c r="G4185" t="str">
        <f>IF(D4185="","",INDEX(Knutepunkter!$C:$C,D4185+1))</f>
        <v/>
      </c>
      <c r="H4185" t="str">
        <f>IF(D4185="","",INDEX(Knutepunkter!$D:$D,D4185+1))</f>
        <v/>
      </c>
      <c r="I4185" t="str">
        <f>IF(E4185="","",INDEX(Knutepunkter!$B:$B,E4185+1))</f>
        <v/>
      </c>
      <c r="J4185" t="str">
        <f>IF(E4185="","",INDEX(Knutepunkter!$C:$C,E4185+1))</f>
        <v/>
      </c>
      <c r="K4185" t="str">
        <f>IF(E4185="","",INDEX(Knutepunkter!$D:$D,E4185+1))</f>
        <v/>
      </c>
      <c r="L4185" t="str">
        <f t="shared" si="328"/>
        <v/>
      </c>
      <c r="M4185" t="str">
        <f t="shared" si="329"/>
        <v/>
      </c>
    </row>
    <row r="4186" spans="1:13" x14ac:dyDescent="0.3">
      <c r="A4186" t="str">
        <f>Segmenter!A4186</f>
        <v/>
      </c>
      <c r="B4186" t="str">
        <f>Segmenter!B4186</f>
        <v/>
      </c>
      <c r="C4186" t="str">
        <f t="shared" si="325"/>
        <v/>
      </c>
      <c r="D4186" t="str">
        <f t="shared" si="326"/>
        <v/>
      </c>
      <c r="E4186" t="str">
        <f t="shared" si="327"/>
        <v/>
      </c>
      <c r="F4186" t="str">
        <f>IF(D4186="","",INDEX(Knutepunkter!$B:$B,D4186+1))</f>
        <v/>
      </c>
      <c r="G4186" t="str">
        <f>IF(D4186="","",INDEX(Knutepunkter!$C:$C,D4186+1))</f>
        <v/>
      </c>
      <c r="H4186" t="str">
        <f>IF(D4186="","",INDEX(Knutepunkter!$D:$D,D4186+1))</f>
        <v/>
      </c>
      <c r="I4186" t="str">
        <f>IF(E4186="","",INDEX(Knutepunkter!$B:$B,E4186+1))</f>
        <v/>
      </c>
      <c r="J4186" t="str">
        <f>IF(E4186="","",INDEX(Knutepunkter!$C:$C,E4186+1))</f>
        <v/>
      </c>
      <c r="K4186" t="str">
        <f>IF(E4186="","",INDEX(Knutepunkter!$D:$D,E4186+1))</f>
        <v/>
      </c>
      <c r="L4186" t="str">
        <f t="shared" si="328"/>
        <v/>
      </c>
      <c r="M4186" t="str">
        <f t="shared" si="329"/>
        <v/>
      </c>
    </row>
    <row r="4187" spans="1:13" x14ac:dyDescent="0.3">
      <c r="A4187" t="str">
        <f>Segmenter!A4187</f>
        <v/>
      </c>
      <c r="B4187" t="str">
        <f>Segmenter!B4187</f>
        <v/>
      </c>
      <c r="C4187" t="str">
        <f t="shared" si="325"/>
        <v/>
      </c>
      <c r="D4187" t="str">
        <f t="shared" si="326"/>
        <v/>
      </c>
      <c r="E4187" t="str">
        <f t="shared" si="327"/>
        <v/>
      </c>
      <c r="F4187" t="str">
        <f>IF(D4187="","",INDEX(Knutepunkter!$B:$B,D4187+1))</f>
        <v/>
      </c>
      <c r="G4187" t="str">
        <f>IF(D4187="","",INDEX(Knutepunkter!$C:$C,D4187+1))</f>
        <v/>
      </c>
      <c r="H4187" t="str">
        <f>IF(D4187="","",INDEX(Knutepunkter!$D:$D,D4187+1))</f>
        <v/>
      </c>
      <c r="I4187" t="str">
        <f>IF(E4187="","",INDEX(Knutepunkter!$B:$B,E4187+1))</f>
        <v/>
      </c>
      <c r="J4187" t="str">
        <f>IF(E4187="","",INDEX(Knutepunkter!$C:$C,E4187+1))</f>
        <v/>
      </c>
      <c r="K4187" t="str">
        <f>IF(E4187="","",INDEX(Knutepunkter!$D:$D,E4187+1))</f>
        <v/>
      </c>
      <c r="L4187" t="str">
        <f t="shared" si="328"/>
        <v/>
      </c>
      <c r="M4187" t="str">
        <f t="shared" si="329"/>
        <v/>
      </c>
    </row>
    <row r="4188" spans="1:13" x14ac:dyDescent="0.3">
      <c r="A4188" t="str">
        <f>Segmenter!A4188</f>
        <v/>
      </c>
      <c r="B4188" t="str">
        <f>Segmenter!B4188</f>
        <v/>
      </c>
      <c r="C4188" t="str">
        <f t="shared" si="325"/>
        <v/>
      </c>
      <c r="D4188" t="str">
        <f t="shared" si="326"/>
        <v/>
      </c>
      <c r="E4188" t="str">
        <f t="shared" si="327"/>
        <v/>
      </c>
      <c r="F4188" t="str">
        <f>IF(D4188="","",INDEX(Knutepunkter!$B:$B,D4188+1))</f>
        <v/>
      </c>
      <c r="G4188" t="str">
        <f>IF(D4188="","",INDEX(Knutepunkter!$C:$C,D4188+1))</f>
        <v/>
      </c>
      <c r="H4188" t="str">
        <f>IF(D4188="","",INDEX(Knutepunkter!$D:$D,D4188+1))</f>
        <v/>
      </c>
      <c r="I4188" t="str">
        <f>IF(E4188="","",INDEX(Knutepunkter!$B:$B,E4188+1))</f>
        <v/>
      </c>
      <c r="J4188" t="str">
        <f>IF(E4188="","",INDEX(Knutepunkter!$C:$C,E4188+1))</f>
        <v/>
      </c>
      <c r="K4188" t="str">
        <f>IF(E4188="","",INDEX(Knutepunkter!$D:$D,E4188+1))</f>
        <v/>
      </c>
      <c r="L4188" t="str">
        <f t="shared" si="328"/>
        <v/>
      </c>
      <c r="M4188" t="str">
        <f t="shared" si="329"/>
        <v/>
      </c>
    </row>
    <row r="4189" spans="1:13" x14ac:dyDescent="0.3">
      <c r="A4189" t="str">
        <f>Segmenter!A4189</f>
        <v/>
      </c>
      <c r="B4189" t="str">
        <f>Segmenter!B4189</f>
        <v/>
      </c>
      <c r="C4189" t="str">
        <f t="shared" si="325"/>
        <v/>
      </c>
      <c r="D4189" t="str">
        <f t="shared" si="326"/>
        <v/>
      </c>
      <c r="E4189" t="str">
        <f t="shared" si="327"/>
        <v/>
      </c>
      <c r="F4189" t="str">
        <f>IF(D4189="","",INDEX(Knutepunkter!$B:$B,D4189+1))</f>
        <v/>
      </c>
      <c r="G4189" t="str">
        <f>IF(D4189="","",INDEX(Knutepunkter!$C:$C,D4189+1))</f>
        <v/>
      </c>
      <c r="H4189" t="str">
        <f>IF(D4189="","",INDEX(Knutepunkter!$D:$D,D4189+1))</f>
        <v/>
      </c>
      <c r="I4189" t="str">
        <f>IF(E4189="","",INDEX(Knutepunkter!$B:$B,E4189+1))</f>
        <v/>
      </c>
      <c r="J4189" t="str">
        <f>IF(E4189="","",INDEX(Knutepunkter!$C:$C,E4189+1))</f>
        <v/>
      </c>
      <c r="K4189" t="str">
        <f>IF(E4189="","",INDEX(Knutepunkter!$D:$D,E4189+1))</f>
        <v/>
      </c>
      <c r="L4189" t="str">
        <f t="shared" si="328"/>
        <v/>
      </c>
      <c r="M4189" t="str">
        <f t="shared" si="329"/>
        <v/>
      </c>
    </row>
    <row r="4190" spans="1:13" x14ac:dyDescent="0.3">
      <c r="A4190" t="str">
        <f>Segmenter!A4190</f>
        <v/>
      </c>
      <c r="B4190" t="str">
        <f>Segmenter!B4190</f>
        <v/>
      </c>
      <c r="C4190" t="str">
        <f t="shared" si="325"/>
        <v/>
      </c>
      <c r="D4190" t="str">
        <f t="shared" si="326"/>
        <v/>
      </c>
      <c r="E4190" t="str">
        <f t="shared" si="327"/>
        <v/>
      </c>
      <c r="F4190" t="str">
        <f>IF(D4190="","",INDEX(Knutepunkter!$B:$B,D4190+1))</f>
        <v/>
      </c>
      <c r="G4190" t="str">
        <f>IF(D4190="","",INDEX(Knutepunkter!$C:$C,D4190+1))</f>
        <v/>
      </c>
      <c r="H4190" t="str">
        <f>IF(D4190="","",INDEX(Knutepunkter!$D:$D,D4190+1))</f>
        <v/>
      </c>
      <c r="I4190" t="str">
        <f>IF(E4190="","",INDEX(Knutepunkter!$B:$B,E4190+1))</f>
        <v/>
      </c>
      <c r="J4190" t="str">
        <f>IF(E4190="","",INDEX(Knutepunkter!$C:$C,E4190+1))</f>
        <v/>
      </c>
      <c r="K4190" t="str">
        <f>IF(E4190="","",INDEX(Knutepunkter!$D:$D,E4190+1))</f>
        <v/>
      </c>
      <c r="L4190" t="str">
        <f t="shared" si="328"/>
        <v/>
      </c>
      <c r="M4190" t="str">
        <f t="shared" si="329"/>
        <v/>
      </c>
    </row>
    <row r="4191" spans="1:13" x14ac:dyDescent="0.3">
      <c r="A4191" t="str">
        <f>Segmenter!A4191</f>
        <v/>
      </c>
      <c r="B4191" t="str">
        <f>Segmenter!B4191</f>
        <v/>
      </c>
      <c r="C4191" t="str">
        <f t="shared" si="325"/>
        <v/>
      </c>
      <c r="D4191" t="str">
        <f t="shared" si="326"/>
        <v/>
      </c>
      <c r="E4191" t="str">
        <f t="shared" si="327"/>
        <v/>
      </c>
      <c r="F4191" t="str">
        <f>IF(D4191="","",INDEX(Knutepunkter!$B:$B,D4191+1))</f>
        <v/>
      </c>
      <c r="G4191" t="str">
        <f>IF(D4191="","",INDEX(Knutepunkter!$C:$C,D4191+1))</f>
        <v/>
      </c>
      <c r="H4191" t="str">
        <f>IF(D4191="","",INDEX(Knutepunkter!$D:$D,D4191+1))</f>
        <v/>
      </c>
      <c r="I4191" t="str">
        <f>IF(E4191="","",INDEX(Knutepunkter!$B:$B,E4191+1))</f>
        <v/>
      </c>
      <c r="J4191" t="str">
        <f>IF(E4191="","",INDEX(Knutepunkter!$C:$C,E4191+1))</f>
        <v/>
      </c>
      <c r="K4191" t="str">
        <f>IF(E4191="","",INDEX(Knutepunkter!$D:$D,E4191+1))</f>
        <v/>
      </c>
      <c r="L4191" t="str">
        <f t="shared" si="328"/>
        <v/>
      </c>
      <c r="M4191" t="str">
        <f t="shared" si="329"/>
        <v/>
      </c>
    </row>
    <row r="4192" spans="1:13" x14ac:dyDescent="0.3">
      <c r="A4192" t="str">
        <f>Segmenter!A4192</f>
        <v/>
      </c>
      <c r="B4192" t="str">
        <f>Segmenter!B4192</f>
        <v/>
      </c>
      <c r="C4192" t="str">
        <f t="shared" si="325"/>
        <v/>
      </c>
      <c r="D4192" t="str">
        <f t="shared" si="326"/>
        <v/>
      </c>
      <c r="E4192" t="str">
        <f t="shared" si="327"/>
        <v/>
      </c>
      <c r="F4192" t="str">
        <f>IF(D4192="","",INDEX(Knutepunkter!$B:$B,D4192+1))</f>
        <v/>
      </c>
      <c r="G4192" t="str">
        <f>IF(D4192="","",INDEX(Knutepunkter!$C:$C,D4192+1))</f>
        <v/>
      </c>
      <c r="H4192" t="str">
        <f>IF(D4192="","",INDEX(Knutepunkter!$D:$D,D4192+1))</f>
        <v/>
      </c>
      <c r="I4192" t="str">
        <f>IF(E4192="","",INDEX(Knutepunkter!$B:$B,E4192+1))</f>
        <v/>
      </c>
      <c r="J4192" t="str">
        <f>IF(E4192="","",INDEX(Knutepunkter!$C:$C,E4192+1))</f>
        <v/>
      </c>
      <c r="K4192" t="str">
        <f>IF(E4192="","",INDEX(Knutepunkter!$D:$D,E4192+1))</f>
        <v/>
      </c>
      <c r="L4192" t="str">
        <f t="shared" si="328"/>
        <v/>
      </c>
      <c r="M4192" t="str">
        <f t="shared" si="329"/>
        <v/>
      </c>
    </row>
    <row r="4193" spans="1:13" x14ac:dyDescent="0.3">
      <c r="A4193" t="str">
        <f>Segmenter!A4193</f>
        <v/>
      </c>
      <c r="B4193" t="str">
        <f>Segmenter!B4193</f>
        <v/>
      </c>
      <c r="C4193" t="str">
        <f t="shared" si="325"/>
        <v/>
      </c>
      <c r="D4193" t="str">
        <f t="shared" si="326"/>
        <v/>
      </c>
      <c r="E4193" t="str">
        <f t="shared" si="327"/>
        <v/>
      </c>
      <c r="F4193" t="str">
        <f>IF(D4193="","",INDEX(Knutepunkter!$B:$B,D4193+1))</f>
        <v/>
      </c>
      <c r="G4193" t="str">
        <f>IF(D4193="","",INDEX(Knutepunkter!$C:$C,D4193+1))</f>
        <v/>
      </c>
      <c r="H4193" t="str">
        <f>IF(D4193="","",INDEX(Knutepunkter!$D:$D,D4193+1))</f>
        <v/>
      </c>
      <c r="I4193" t="str">
        <f>IF(E4193="","",INDEX(Knutepunkter!$B:$B,E4193+1))</f>
        <v/>
      </c>
      <c r="J4193" t="str">
        <f>IF(E4193="","",INDEX(Knutepunkter!$C:$C,E4193+1))</f>
        <v/>
      </c>
      <c r="K4193" t="str">
        <f>IF(E4193="","",INDEX(Knutepunkter!$D:$D,E4193+1))</f>
        <v/>
      </c>
      <c r="L4193" t="str">
        <f t="shared" si="328"/>
        <v/>
      </c>
      <c r="M4193" t="str">
        <f t="shared" si="329"/>
        <v/>
      </c>
    </row>
    <row r="4194" spans="1:13" x14ac:dyDescent="0.3">
      <c r="A4194" t="str">
        <f>Segmenter!A4194</f>
        <v/>
      </c>
      <c r="B4194" t="str">
        <f>Segmenter!B4194</f>
        <v/>
      </c>
      <c r="C4194" t="str">
        <f t="shared" si="325"/>
        <v/>
      </c>
      <c r="D4194" t="str">
        <f t="shared" si="326"/>
        <v/>
      </c>
      <c r="E4194" t="str">
        <f t="shared" si="327"/>
        <v/>
      </c>
      <c r="F4194" t="str">
        <f>IF(D4194="","",INDEX(Knutepunkter!$B:$B,D4194+1))</f>
        <v/>
      </c>
      <c r="G4194" t="str">
        <f>IF(D4194="","",INDEX(Knutepunkter!$C:$C,D4194+1))</f>
        <v/>
      </c>
      <c r="H4194" t="str">
        <f>IF(D4194="","",INDEX(Knutepunkter!$D:$D,D4194+1))</f>
        <v/>
      </c>
      <c r="I4194" t="str">
        <f>IF(E4194="","",INDEX(Knutepunkter!$B:$B,E4194+1))</f>
        <v/>
      </c>
      <c r="J4194" t="str">
        <f>IF(E4194="","",INDEX(Knutepunkter!$C:$C,E4194+1))</f>
        <v/>
      </c>
      <c r="K4194" t="str">
        <f>IF(E4194="","",INDEX(Knutepunkter!$D:$D,E4194+1))</f>
        <v/>
      </c>
      <c r="L4194" t="str">
        <f t="shared" si="328"/>
        <v/>
      </c>
      <c r="M4194" t="str">
        <f t="shared" si="329"/>
        <v/>
      </c>
    </row>
    <row r="4195" spans="1:13" x14ac:dyDescent="0.3">
      <c r="A4195" t="str">
        <f>Segmenter!A4195</f>
        <v/>
      </c>
      <c r="B4195" t="str">
        <f>Segmenter!B4195</f>
        <v/>
      </c>
      <c r="C4195" t="str">
        <f t="shared" si="325"/>
        <v/>
      </c>
      <c r="D4195" t="str">
        <f t="shared" si="326"/>
        <v/>
      </c>
      <c r="E4195" t="str">
        <f t="shared" si="327"/>
        <v/>
      </c>
      <c r="F4195" t="str">
        <f>IF(D4195="","",INDEX(Knutepunkter!$B:$B,D4195+1))</f>
        <v/>
      </c>
      <c r="G4195" t="str">
        <f>IF(D4195="","",INDEX(Knutepunkter!$C:$C,D4195+1))</f>
        <v/>
      </c>
      <c r="H4195" t="str">
        <f>IF(D4195="","",INDEX(Knutepunkter!$D:$D,D4195+1))</f>
        <v/>
      </c>
      <c r="I4195" t="str">
        <f>IF(E4195="","",INDEX(Knutepunkter!$B:$B,E4195+1))</f>
        <v/>
      </c>
      <c r="J4195" t="str">
        <f>IF(E4195="","",INDEX(Knutepunkter!$C:$C,E4195+1))</f>
        <v/>
      </c>
      <c r="K4195" t="str">
        <f>IF(E4195="","",INDEX(Knutepunkter!$D:$D,E4195+1))</f>
        <v/>
      </c>
      <c r="L4195" t="str">
        <f t="shared" si="328"/>
        <v/>
      </c>
      <c r="M4195" t="str">
        <f t="shared" si="329"/>
        <v/>
      </c>
    </row>
    <row r="4196" spans="1:13" x14ac:dyDescent="0.3">
      <c r="A4196" t="str">
        <f>Segmenter!A4196</f>
        <v/>
      </c>
      <c r="B4196" t="str">
        <f>Segmenter!B4196</f>
        <v/>
      </c>
      <c r="C4196" t="str">
        <f t="shared" si="325"/>
        <v/>
      </c>
      <c r="D4196" t="str">
        <f t="shared" si="326"/>
        <v/>
      </c>
      <c r="E4196" t="str">
        <f t="shared" si="327"/>
        <v/>
      </c>
      <c r="F4196" t="str">
        <f>IF(D4196="","",INDEX(Knutepunkter!$B:$B,D4196+1))</f>
        <v/>
      </c>
      <c r="G4196" t="str">
        <f>IF(D4196="","",INDEX(Knutepunkter!$C:$C,D4196+1))</f>
        <v/>
      </c>
      <c r="H4196" t="str">
        <f>IF(D4196="","",INDEX(Knutepunkter!$D:$D,D4196+1))</f>
        <v/>
      </c>
      <c r="I4196" t="str">
        <f>IF(E4196="","",INDEX(Knutepunkter!$B:$B,E4196+1))</f>
        <v/>
      </c>
      <c r="J4196" t="str">
        <f>IF(E4196="","",INDEX(Knutepunkter!$C:$C,E4196+1))</f>
        <v/>
      </c>
      <c r="K4196" t="str">
        <f>IF(E4196="","",INDEX(Knutepunkter!$D:$D,E4196+1))</f>
        <v/>
      </c>
      <c r="L4196" t="str">
        <f t="shared" si="328"/>
        <v/>
      </c>
      <c r="M4196" t="str">
        <f t="shared" si="329"/>
        <v/>
      </c>
    </row>
    <row r="4197" spans="1:13" x14ac:dyDescent="0.3">
      <c r="A4197" t="str">
        <f>Segmenter!A4197</f>
        <v/>
      </c>
      <c r="B4197" t="str">
        <f>Segmenter!B4197</f>
        <v/>
      </c>
      <c r="C4197" t="str">
        <f t="shared" si="325"/>
        <v/>
      </c>
      <c r="D4197" t="str">
        <f t="shared" si="326"/>
        <v/>
      </c>
      <c r="E4197" t="str">
        <f t="shared" si="327"/>
        <v/>
      </c>
      <c r="F4197" t="str">
        <f>IF(D4197="","",INDEX(Knutepunkter!$B:$B,D4197+1))</f>
        <v/>
      </c>
      <c r="G4197" t="str">
        <f>IF(D4197="","",INDEX(Knutepunkter!$C:$C,D4197+1))</f>
        <v/>
      </c>
      <c r="H4197" t="str">
        <f>IF(D4197="","",INDEX(Knutepunkter!$D:$D,D4197+1))</f>
        <v/>
      </c>
      <c r="I4197" t="str">
        <f>IF(E4197="","",INDEX(Knutepunkter!$B:$B,E4197+1))</f>
        <v/>
      </c>
      <c r="J4197" t="str">
        <f>IF(E4197="","",INDEX(Knutepunkter!$C:$C,E4197+1))</f>
        <v/>
      </c>
      <c r="K4197" t="str">
        <f>IF(E4197="","",INDEX(Knutepunkter!$D:$D,E4197+1))</f>
        <v/>
      </c>
      <c r="L4197" t="str">
        <f t="shared" si="328"/>
        <v/>
      </c>
      <c r="M4197" t="str">
        <f t="shared" si="329"/>
        <v/>
      </c>
    </row>
    <row r="4198" spans="1:13" x14ac:dyDescent="0.3">
      <c r="A4198" t="str">
        <f>Segmenter!A4198</f>
        <v/>
      </c>
      <c r="B4198" t="str">
        <f>Segmenter!B4198</f>
        <v/>
      </c>
      <c r="C4198" t="str">
        <f t="shared" si="325"/>
        <v/>
      </c>
      <c r="D4198" t="str">
        <f t="shared" si="326"/>
        <v/>
      </c>
      <c r="E4198" t="str">
        <f t="shared" si="327"/>
        <v/>
      </c>
      <c r="F4198" t="str">
        <f>IF(D4198="","",INDEX(Knutepunkter!$B:$B,D4198+1))</f>
        <v/>
      </c>
      <c r="G4198" t="str">
        <f>IF(D4198="","",INDEX(Knutepunkter!$C:$C,D4198+1))</f>
        <v/>
      </c>
      <c r="H4198" t="str">
        <f>IF(D4198="","",INDEX(Knutepunkter!$D:$D,D4198+1))</f>
        <v/>
      </c>
      <c r="I4198" t="str">
        <f>IF(E4198="","",INDEX(Knutepunkter!$B:$B,E4198+1))</f>
        <v/>
      </c>
      <c r="J4198" t="str">
        <f>IF(E4198="","",INDEX(Knutepunkter!$C:$C,E4198+1))</f>
        <v/>
      </c>
      <c r="K4198" t="str">
        <f>IF(E4198="","",INDEX(Knutepunkter!$D:$D,E4198+1))</f>
        <v/>
      </c>
      <c r="L4198" t="str">
        <f t="shared" si="328"/>
        <v/>
      </c>
      <c r="M4198" t="str">
        <f t="shared" si="329"/>
        <v/>
      </c>
    </row>
    <row r="4199" spans="1:13" x14ac:dyDescent="0.3">
      <c r="A4199" t="str">
        <f>Segmenter!A4199</f>
        <v/>
      </c>
      <c r="B4199" t="str">
        <f>Segmenter!B4199</f>
        <v/>
      </c>
      <c r="C4199" t="str">
        <f t="shared" si="325"/>
        <v/>
      </c>
      <c r="D4199" t="str">
        <f t="shared" si="326"/>
        <v/>
      </c>
      <c r="E4199" t="str">
        <f t="shared" si="327"/>
        <v/>
      </c>
      <c r="F4199" t="str">
        <f>IF(D4199="","",INDEX(Knutepunkter!$B:$B,D4199+1))</f>
        <v/>
      </c>
      <c r="G4199" t="str">
        <f>IF(D4199="","",INDEX(Knutepunkter!$C:$C,D4199+1))</f>
        <v/>
      </c>
      <c r="H4199" t="str">
        <f>IF(D4199="","",INDEX(Knutepunkter!$D:$D,D4199+1))</f>
        <v/>
      </c>
      <c r="I4199" t="str">
        <f>IF(E4199="","",INDEX(Knutepunkter!$B:$B,E4199+1))</f>
        <v/>
      </c>
      <c r="J4199" t="str">
        <f>IF(E4199="","",INDEX(Knutepunkter!$C:$C,E4199+1))</f>
        <v/>
      </c>
      <c r="K4199" t="str">
        <f>IF(E4199="","",INDEX(Knutepunkter!$D:$D,E4199+1))</f>
        <v/>
      </c>
      <c r="L4199" t="str">
        <f t="shared" si="328"/>
        <v/>
      </c>
      <c r="M4199" t="str">
        <f t="shared" si="329"/>
        <v/>
      </c>
    </row>
    <row r="4200" spans="1:13" x14ac:dyDescent="0.3">
      <c r="A4200" t="str">
        <f>Segmenter!A4200</f>
        <v/>
      </c>
      <c r="B4200" t="str">
        <f>Segmenter!B4200</f>
        <v/>
      </c>
      <c r="C4200" t="str">
        <f t="shared" si="325"/>
        <v/>
      </c>
      <c r="D4200" t="str">
        <f t="shared" si="326"/>
        <v/>
      </c>
      <c r="E4200" t="str">
        <f t="shared" si="327"/>
        <v/>
      </c>
      <c r="F4200" t="str">
        <f>IF(D4200="","",INDEX(Knutepunkter!$B:$B,D4200+1))</f>
        <v/>
      </c>
      <c r="G4200" t="str">
        <f>IF(D4200="","",INDEX(Knutepunkter!$C:$C,D4200+1))</f>
        <v/>
      </c>
      <c r="H4200" t="str">
        <f>IF(D4200="","",INDEX(Knutepunkter!$D:$D,D4200+1))</f>
        <v/>
      </c>
      <c r="I4200" t="str">
        <f>IF(E4200="","",INDEX(Knutepunkter!$B:$B,E4200+1))</f>
        <v/>
      </c>
      <c r="J4200" t="str">
        <f>IF(E4200="","",INDEX(Knutepunkter!$C:$C,E4200+1))</f>
        <v/>
      </c>
      <c r="K4200" t="str">
        <f>IF(E4200="","",INDEX(Knutepunkter!$D:$D,E4200+1))</f>
        <v/>
      </c>
      <c r="L4200" t="str">
        <f t="shared" si="328"/>
        <v/>
      </c>
      <c r="M4200" t="str">
        <f t="shared" si="329"/>
        <v/>
      </c>
    </row>
    <row r="4201" spans="1:13" x14ac:dyDescent="0.3">
      <c r="A4201" t="str">
        <f>Segmenter!A4201</f>
        <v/>
      </c>
      <c r="B4201" t="str">
        <f>Segmenter!B4201</f>
        <v/>
      </c>
      <c r="C4201" t="str">
        <f t="shared" si="325"/>
        <v/>
      </c>
      <c r="D4201" t="str">
        <f t="shared" si="326"/>
        <v/>
      </c>
      <c r="E4201" t="str">
        <f t="shared" si="327"/>
        <v/>
      </c>
      <c r="F4201" t="str">
        <f>IF(D4201="","",INDEX(Knutepunkter!$B:$B,D4201+1))</f>
        <v/>
      </c>
      <c r="G4201" t="str">
        <f>IF(D4201="","",INDEX(Knutepunkter!$C:$C,D4201+1))</f>
        <v/>
      </c>
      <c r="H4201" t="str">
        <f>IF(D4201="","",INDEX(Knutepunkter!$D:$D,D4201+1))</f>
        <v/>
      </c>
      <c r="I4201" t="str">
        <f>IF(E4201="","",INDEX(Knutepunkter!$B:$B,E4201+1))</f>
        <v/>
      </c>
      <c r="J4201" t="str">
        <f>IF(E4201="","",INDEX(Knutepunkter!$C:$C,E4201+1))</f>
        <v/>
      </c>
      <c r="K4201" t="str">
        <f>IF(E4201="","",INDEX(Knutepunkter!$D:$D,E4201+1))</f>
        <v/>
      </c>
      <c r="L4201" t="str">
        <f t="shared" si="328"/>
        <v/>
      </c>
      <c r="M4201" t="str">
        <f t="shared" si="329"/>
        <v/>
      </c>
    </row>
    <row r="4202" spans="1:13" x14ac:dyDescent="0.3">
      <c r="A4202" t="str">
        <f>Segmenter!A4202</f>
        <v/>
      </c>
      <c r="B4202" t="str">
        <f>Segmenter!B4202</f>
        <v/>
      </c>
      <c r="C4202" t="str">
        <f t="shared" si="325"/>
        <v/>
      </c>
      <c r="D4202" t="str">
        <f t="shared" si="326"/>
        <v/>
      </c>
      <c r="E4202" t="str">
        <f t="shared" si="327"/>
        <v/>
      </c>
      <c r="F4202" t="str">
        <f>IF(D4202="","",INDEX(Knutepunkter!$B:$B,D4202+1))</f>
        <v/>
      </c>
      <c r="G4202" t="str">
        <f>IF(D4202="","",INDEX(Knutepunkter!$C:$C,D4202+1))</f>
        <v/>
      </c>
      <c r="H4202" t="str">
        <f>IF(D4202="","",INDEX(Knutepunkter!$D:$D,D4202+1))</f>
        <v/>
      </c>
      <c r="I4202" t="str">
        <f>IF(E4202="","",INDEX(Knutepunkter!$B:$B,E4202+1))</f>
        <v/>
      </c>
      <c r="J4202" t="str">
        <f>IF(E4202="","",INDEX(Knutepunkter!$C:$C,E4202+1))</f>
        <v/>
      </c>
      <c r="K4202" t="str">
        <f>IF(E4202="","",INDEX(Knutepunkter!$D:$D,E4202+1))</f>
        <v/>
      </c>
      <c r="L4202" t="str">
        <f t="shared" si="328"/>
        <v/>
      </c>
      <c r="M4202" t="str">
        <f t="shared" si="329"/>
        <v/>
      </c>
    </row>
    <row r="4203" spans="1:13" x14ac:dyDescent="0.3">
      <c r="A4203" t="str">
        <f>Segmenter!A4203</f>
        <v/>
      </c>
      <c r="B4203" t="str">
        <f>Segmenter!B4203</f>
        <v/>
      </c>
      <c r="C4203" t="str">
        <f t="shared" si="325"/>
        <v/>
      </c>
      <c r="D4203" t="str">
        <f t="shared" si="326"/>
        <v/>
      </c>
      <c r="E4203" t="str">
        <f t="shared" si="327"/>
        <v/>
      </c>
      <c r="F4203" t="str">
        <f>IF(D4203="","",INDEX(Knutepunkter!$B:$B,D4203+1))</f>
        <v/>
      </c>
      <c r="G4203" t="str">
        <f>IF(D4203="","",INDEX(Knutepunkter!$C:$C,D4203+1))</f>
        <v/>
      </c>
      <c r="H4203" t="str">
        <f>IF(D4203="","",INDEX(Knutepunkter!$D:$D,D4203+1))</f>
        <v/>
      </c>
      <c r="I4203" t="str">
        <f>IF(E4203="","",INDEX(Knutepunkter!$B:$B,E4203+1))</f>
        <v/>
      </c>
      <c r="J4203" t="str">
        <f>IF(E4203="","",INDEX(Knutepunkter!$C:$C,E4203+1))</f>
        <v/>
      </c>
      <c r="K4203" t="str">
        <f>IF(E4203="","",INDEX(Knutepunkter!$D:$D,E4203+1))</f>
        <v/>
      </c>
      <c r="L4203" t="str">
        <f t="shared" si="328"/>
        <v/>
      </c>
      <c r="M4203" t="str">
        <f t="shared" si="329"/>
        <v/>
      </c>
    </row>
    <row r="4204" spans="1:13" x14ac:dyDescent="0.3">
      <c r="A4204" t="str">
        <f>Segmenter!A4204</f>
        <v/>
      </c>
      <c r="B4204" t="str">
        <f>Segmenter!B4204</f>
        <v/>
      </c>
      <c r="C4204" t="str">
        <f t="shared" si="325"/>
        <v/>
      </c>
      <c r="D4204" t="str">
        <f t="shared" si="326"/>
        <v/>
      </c>
      <c r="E4204" t="str">
        <f t="shared" si="327"/>
        <v/>
      </c>
      <c r="F4204" t="str">
        <f>IF(D4204="","",INDEX(Knutepunkter!$B:$B,D4204+1))</f>
        <v/>
      </c>
      <c r="G4204" t="str">
        <f>IF(D4204="","",INDEX(Knutepunkter!$C:$C,D4204+1))</f>
        <v/>
      </c>
      <c r="H4204" t="str">
        <f>IF(D4204="","",INDEX(Knutepunkter!$D:$D,D4204+1))</f>
        <v/>
      </c>
      <c r="I4204" t="str">
        <f>IF(E4204="","",INDEX(Knutepunkter!$B:$B,E4204+1))</f>
        <v/>
      </c>
      <c r="J4204" t="str">
        <f>IF(E4204="","",INDEX(Knutepunkter!$C:$C,E4204+1))</f>
        <v/>
      </c>
      <c r="K4204" t="str">
        <f>IF(E4204="","",INDEX(Knutepunkter!$D:$D,E4204+1))</f>
        <v/>
      </c>
      <c r="L4204" t="str">
        <f t="shared" si="328"/>
        <v/>
      </c>
      <c r="M4204" t="str">
        <f t="shared" si="329"/>
        <v/>
      </c>
    </row>
    <row r="4205" spans="1:13" x14ac:dyDescent="0.3">
      <c r="A4205" t="str">
        <f>Segmenter!A4205</f>
        <v/>
      </c>
      <c r="B4205" t="str">
        <f>Segmenter!B4205</f>
        <v/>
      </c>
      <c r="C4205" t="str">
        <f t="shared" si="325"/>
        <v/>
      </c>
      <c r="D4205" t="str">
        <f t="shared" si="326"/>
        <v/>
      </c>
      <c r="E4205" t="str">
        <f t="shared" si="327"/>
        <v/>
      </c>
      <c r="F4205" t="str">
        <f>IF(D4205="","",INDEX(Knutepunkter!$B:$B,D4205+1))</f>
        <v/>
      </c>
      <c r="G4205" t="str">
        <f>IF(D4205="","",INDEX(Knutepunkter!$C:$C,D4205+1))</f>
        <v/>
      </c>
      <c r="H4205" t="str">
        <f>IF(D4205="","",INDEX(Knutepunkter!$D:$D,D4205+1))</f>
        <v/>
      </c>
      <c r="I4205" t="str">
        <f>IF(E4205="","",INDEX(Knutepunkter!$B:$B,E4205+1))</f>
        <v/>
      </c>
      <c r="J4205" t="str">
        <f>IF(E4205="","",INDEX(Knutepunkter!$C:$C,E4205+1))</f>
        <v/>
      </c>
      <c r="K4205" t="str">
        <f>IF(E4205="","",INDEX(Knutepunkter!$D:$D,E4205+1))</f>
        <v/>
      </c>
      <c r="L4205" t="str">
        <f t="shared" si="328"/>
        <v/>
      </c>
      <c r="M4205" t="str">
        <f t="shared" si="329"/>
        <v/>
      </c>
    </row>
    <row r="4206" spans="1:13" x14ac:dyDescent="0.3">
      <c r="A4206" t="str">
        <f>Segmenter!A4206</f>
        <v/>
      </c>
      <c r="B4206" t="str">
        <f>Segmenter!B4206</f>
        <v/>
      </c>
      <c r="C4206" t="str">
        <f t="shared" si="325"/>
        <v/>
      </c>
      <c r="D4206" t="str">
        <f t="shared" si="326"/>
        <v/>
      </c>
      <c r="E4206" t="str">
        <f t="shared" si="327"/>
        <v/>
      </c>
      <c r="F4206" t="str">
        <f>IF(D4206="","",INDEX(Knutepunkter!$B:$B,D4206+1))</f>
        <v/>
      </c>
      <c r="G4206" t="str">
        <f>IF(D4206="","",INDEX(Knutepunkter!$C:$C,D4206+1))</f>
        <v/>
      </c>
      <c r="H4206" t="str">
        <f>IF(D4206="","",INDEX(Knutepunkter!$D:$D,D4206+1))</f>
        <v/>
      </c>
      <c r="I4206" t="str">
        <f>IF(E4206="","",INDEX(Knutepunkter!$B:$B,E4206+1))</f>
        <v/>
      </c>
      <c r="J4206" t="str">
        <f>IF(E4206="","",INDEX(Knutepunkter!$C:$C,E4206+1))</f>
        <v/>
      </c>
      <c r="K4206" t="str">
        <f>IF(E4206="","",INDEX(Knutepunkter!$D:$D,E4206+1))</f>
        <v/>
      </c>
      <c r="L4206" t="str">
        <f t="shared" si="328"/>
        <v/>
      </c>
      <c r="M4206" t="str">
        <f t="shared" si="329"/>
        <v/>
      </c>
    </row>
    <row r="4207" spans="1:13" x14ac:dyDescent="0.3">
      <c r="A4207" t="str">
        <f>Segmenter!A4207</f>
        <v/>
      </c>
      <c r="B4207" t="str">
        <f>Segmenter!B4207</f>
        <v/>
      </c>
      <c r="C4207" t="str">
        <f t="shared" si="325"/>
        <v/>
      </c>
      <c r="D4207" t="str">
        <f t="shared" si="326"/>
        <v/>
      </c>
      <c r="E4207" t="str">
        <f t="shared" si="327"/>
        <v/>
      </c>
      <c r="F4207" t="str">
        <f>IF(D4207="","",INDEX(Knutepunkter!$B:$B,D4207+1))</f>
        <v/>
      </c>
      <c r="G4207" t="str">
        <f>IF(D4207="","",INDEX(Knutepunkter!$C:$C,D4207+1))</f>
        <v/>
      </c>
      <c r="H4207" t="str">
        <f>IF(D4207="","",INDEX(Knutepunkter!$D:$D,D4207+1))</f>
        <v/>
      </c>
      <c r="I4207" t="str">
        <f>IF(E4207="","",INDEX(Knutepunkter!$B:$B,E4207+1))</f>
        <v/>
      </c>
      <c r="J4207" t="str">
        <f>IF(E4207="","",INDEX(Knutepunkter!$C:$C,E4207+1))</f>
        <v/>
      </c>
      <c r="K4207" t="str">
        <f>IF(E4207="","",INDEX(Knutepunkter!$D:$D,E4207+1))</f>
        <v/>
      </c>
      <c r="L4207" t="str">
        <f t="shared" si="328"/>
        <v/>
      </c>
      <c r="M4207" t="str">
        <f t="shared" si="329"/>
        <v/>
      </c>
    </row>
    <row r="4208" spans="1:13" x14ac:dyDescent="0.3">
      <c r="A4208" t="str">
        <f>Segmenter!A4208</f>
        <v/>
      </c>
      <c r="B4208" t="str">
        <f>Segmenter!B4208</f>
        <v/>
      </c>
      <c r="C4208" t="str">
        <f t="shared" si="325"/>
        <v/>
      </c>
      <c r="D4208" t="str">
        <f t="shared" si="326"/>
        <v/>
      </c>
      <c r="E4208" t="str">
        <f t="shared" si="327"/>
        <v/>
      </c>
      <c r="F4208" t="str">
        <f>IF(D4208="","",INDEX(Knutepunkter!$B:$B,D4208+1))</f>
        <v/>
      </c>
      <c r="G4208" t="str">
        <f>IF(D4208="","",INDEX(Knutepunkter!$C:$C,D4208+1))</f>
        <v/>
      </c>
      <c r="H4208" t="str">
        <f>IF(D4208="","",INDEX(Knutepunkter!$D:$D,D4208+1))</f>
        <v/>
      </c>
      <c r="I4208" t="str">
        <f>IF(E4208="","",INDEX(Knutepunkter!$B:$B,E4208+1))</f>
        <v/>
      </c>
      <c r="J4208" t="str">
        <f>IF(E4208="","",INDEX(Knutepunkter!$C:$C,E4208+1))</f>
        <v/>
      </c>
      <c r="K4208" t="str">
        <f>IF(E4208="","",INDEX(Knutepunkter!$D:$D,E4208+1))</f>
        <v/>
      </c>
      <c r="L4208" t="str">
        <f t="shared" si="328"/>
        <v/>
      </c>
      <c r="M4208" t="str">
        <f t="shared" si="329"/>
        <v/>
      </c>
    </row>
    <row r="4209" spans="1:13" x14ac:dyDescent="0.3">
      <c r="A4209" t="str">
        <f>Segmenter!A4209</f>
        <v/>
      </c>
      <c r="B4209" t="str">
        <f>Segmenter!B4209</f>
        <v/>
      </c>
      <c r="C4209" t="str">
        <f t="shared" si="325"/>
        <v/>
      </c>
      <c r="D4209" t="str">
        <f t="shared" si="326"/>
        <v/>
      </c>
      <c r="E4209" t="str">
        <f t="shared" si="327"/>
        <v/>
      </c>
      <c r="F4209" t="str">
        <f>IF(D4209="","",INDEX(Knutepunkter!$B:$B,D4209+1))</f>
        <v/>
      </c>
      <c r="G4209" t="str">
        <f>IF(D4209="","",INDEX(Knutepunkter!$C:$C,D4209+1))</f>
        <v/>
      </c>
      <c r="H4209" t="str">
        <f>IF(D4209="","",INDEX(Knutepunkter!$D:$D,D4209+1))</f>
        <v/>
      </c>
      <c r="I4209" t="str">
        <f>IF(E4209="","",INDEX(Knutepunkter!$B:$B,E4209+1))</f>
        <v/>
      </c>
      <c r="J4209" t="str">
        <f>IF(E4209="","",INDEX(Knutepunkter!$C:$C,E4209+1))</f>
        <v/>
      </c>
      <c r="K4209" t="str">
        <f>IF(E4209="","",INDEX(Knutepunkter!$D:$D,E4209+1))</f>
        <v/>
      </c>
      <c r="L4209" t="str">
        <f t="shared" si="328"/>
        <v/>
      </c>
      <c r="M4209" t="str">
        <f t="shared" si="329"/>
        <v/>
      </c>
    </row>
    <row r="4210" spans="1:13" x14ac:dyDescent="0.3">
      <c r="A4210" t="str">
        <f>Segmenter!A4210</f>
        <v/>
      </c>
      <c r="B4210" t="str">
        <f>Segmenter!B4210</f>
        <v/>
      </c>
      <c r="C4210" t="str">
        <f t="shared" si="325"/>
        <v/>
      </c>
      <c r="D4210" t="str">
        <f t="shared" si="326"/>
        <v/>
      </c>
      <c r="E4210" t="str">
        <f t="shared" si="327"/>
        <v/>
      </c>
      <c r="F4210" t="str">
        <f>IF(D4210="","",INDEX(Knutepunkter!$B:$B,D4210+1))</f>
        <v/>
      </c>
      <c r="G4210" t="str">
        <f>IF(D4210="","",INDEX(Knutepunkter!$C:$C,D4210+1))</f>
        <v/>
      </c>
      <c r="H4210" t="str">
        <f>IF(D4210="","",INDEX(Knutepunkter!$D:$D,D4210+1))</f>
        <v/>
      </c>
      <c r="I4210" t="str">
        <f>IF(E4210="","",INDEX(Knutepunkter!$B:$B,E4210+1))</f>
        <v/>
      </c>
      <c r="J4210" t="str">
        <f>IF(E4210="","",INDEX(Knutepunkter!$C:$C,E4210+1))</f>
        <v/>
      </c>
      <c r="K4210" t="str">
        <f>IF(E4210="","",INDEX(Knutepunkter!$D:$D,E4210+1))</f>
        <v/>
      </c>
      <c r="L4210" t="str">
        <f t="shared" si="328"/>
        <v/>
      </c>
      <c r="M4210" t="str">
        <f t="shared" si="329"/>
        <v/>
      </c>
    </row>
    <row r="4211" spans="1:13" x14ac:dyDescent="0.3">
      <c r="A4211" t="str">
        <f>Segmenter!A4211</f>
        <v/>
      </c>
      <c r="B4211" t="str">
        <f>Segmenter!B4211</f>
        <v/>
      </c>
      <c r="C4211" t="str">
        <f t="shared" si="325"/>
        <v/>
      </c>
      <c r="D4211" t="str">
        <f t="shared" si="326"/>
        <v/>
      </c>
      <c r="E4211" t="str">
        <f t="shared" si="327"/>
        <v/>
      </c>
      <c r="F4211" t="str">
        <f>IF(D4211="","",INDEX(Knutepunkter!$B:$B,D4211+1))</f>
        <v/>
      </c>
      <c r="G4211" t="str">
        <f>IF(D4211="","",INDEX(Knutepunkter!$C:$C,D4211+1))</f>
        <v/>
      </c>
      <c r="H4211" t="str">
        <f>IF(D4211="","",INDEX(Knutepunkter!$D:$D,D4211+1))</f>
        <v/>
      </c>
      <c r="I4211" t="str">
        <f>IF(E4211="","",INDEX(Knutepunkter!$B:$B,E4211+1))</f>
        <v/>
      </c>
      <c r="J4211" t="str">
        <f>IF(E4211="","",INDEX(Knutepunkter!$C:$C,E4211+1))</f>
        <v/>
      </c>
      <c r="K4211" t="str">
        <f>IF(E4211="","",INDEX(Knutepunkter!$D:$D,E4211+1))</f>
        <v/>
      </c>
      <c r="L4211" t="str">
        <f t="shared" si="328"/>
        <v/>
      </c>
      <c r="M4211" t="str">
        <f t="shared" si="329"/>
        <v/>
      </c>
    </row>
    <row r="4212" spans="1:13" x14ac:dyDescent="0.3">
      <c r="A4212" t="str">
        <f>Segmenter!A4212</f>
        <v/>
      </c>
      <c r="B4212" t="str">
        <f>Segmenter!B4212</f>
        <v/>
      </c>
      <c r="C4212" t="str">
        <f t="shared" si="325"/>
        <v/>
      </c>
      <c r="D4212" t="str">
        <f t="shared" si="326"/>
        <v/>
      </c>
      <c r="E4212" t="str">
        <f t="shared" si="327"/>
        <v/>
      </c>
      <c r="F4212" t="str">
        <f>IF(D4212="","",INDEX(Knutepunkter!$B:$B,D4212+1))</f>
        <v/>
      </c>
      <c r="G4212" t="str">
        <f>IF(D4212="","",INDEX(Knutepunkter!$C:$C,D4212+1))</f>
        <v/>
      </c>
      <c r="H4212" t="str">
        <f>IF(D4212="","",INDEX(Knutepunkter!$D:$D,D4212+1))</f>
        <v/>
      </c>
      <c r="I4212" t="str">
        <f>IF(E4212="","",INDEX(Knutepunkter!$B:$B,E4212+1))</f>
        <v/>
      </c>
      <c r="J4212" t="str">
        <f>IF(E4212="","",INDEX(Knutepunkter!$C:$C,E4212+1))</f>
        <v/>
      </c>
      <c r="K4212" t="str">
        <f>IF(E4212="","",INDEX(Knutepunkter!$D:$D,E4212+1))</f>
        <v/>
      </c>
      <c r="L4212" t="str">
        <f t="shared" si="328"/>
        <v/>
      </c>
      <c r="M4212" t="str">
        <f t="shared" si="329"/>
        <v/>
      </c>
    </row>
    <row r="4213" spans="1:13" x14ac:dyDescent="0.3">
      <c r="A4213" t="str">
        <f>Segmenter!A4213</f>
        <v/>
      </c>
      <c r="B4213" t="str">
        <f>Segmenter!B4213</f>
        <v/>
      </c>
      <c r="C4213" t="str">
        <f t="shared" si="325"/>
        <v/>
      </c>
      <c r="D4213" t="str">
        <f t="shared" si="326"/>
        <v/>
      </c>
      <c r="E4213" t="str">
        <f t="shared" si="327"/>
        <v/>
      </c>
      <c r="F4213" t="str">
        <f>IF(D4213="","",INDEX(Knutepunkter!$B:$B,D4213+1))</f>
        <v/>
      </c>
      <c r="G4213" t="str">
        <f>IF(D4213="","",INDEX(Knutepunkter!$C:$C,D4213+1))</f>
        <v/>
      </c>
      <c r="H4213" t="str">
        <f>IF(D4213="","",INDEX(Knutepunkter!$D:$D,D4213+1))</f>
        <v/>
      </c>
      <c r="I4213" t="str">
        <f>IF(E4213="","",INDEX(Knutepunkter!$B:$B,E4213+1))</f>
        <v/>
      </c>
      <c r="J4213" t="str">
        <f>IF(E4213="","",INDEX(Knutepunkter!$C:$C,E4213+1))</f>
        <v/>
      </c>
      <c r="K4213" t="str">
        <f>IF(E4213="","",INDEX(Knutepunkter!$D:$D,E4213+1))</f>
        <v/>
      </c>
      <c r="L4213" t="str">
        <f t="shared" si="328"/>
        <v/>
      </c>
      <c r="M4213" t="str">
        <f t="shared" si="329"/>
        <v/>
      </c>
    </row>
    <row r="4214" spans="1:13" x14ac:dyDescent="0.3">
      <c r="A4214" t="str">
        <f>Segmenter!A4214</f>
        <v/>
      </c>
      <c r="B4214" t="str">
        <f>Segmenter!B4214</f>
        <v/>
      </c>
      <c r="C4214" t="str">
        <f t="shared" si="325"/>
        <v/>
      </c>
      <c r="D4214" t="str">
        <f t="shared" si="326"/>
        <v/>
      </c>
      <c r="E4214" t="str">
        <f t="shared" si="327"/>
        <v/>
      </c>
      <c r="F4214" t="str">
        <f>IF(D4214="","",INDEX(Knutepunkter!$B:$B,D4214+1))</f>
        <v/>
      </c>
      <c r="G4214" t="str">
        <f>IF(D4214="","",INDEX(Knutepunkter!$C:$C,D4214+1))</f>
        <v/>
      </c>
      <c r="H4214" t="str">
        <f>IF(D4214="","",INDEX(Knutepunkter!$D:$D,D4214+1))</f>
        <v/>
      </c>
      <c r="I4214" t="str">
        <f>IF(E4214="","",INDEX(Knutepunkter!$B:$B,E4214+1))</f>
        <v/>
      </c>
      <c r="J4214" t="str">
        <f>IF(E4214="","",INDEX(Knutepunkter!$C:$C,E4214+1))</f>
        <v/>
      </c>
      <c r="K4214" t="str">
        <f>IF(E4214="","",INDEX(Knutepunkter!$D:$D,E4214+1))</f>
        <v/>
      </c>
      <c r="L4214" t="str">
        <f t="shared" si="328"/>
        <v/>
      </c>
      <c r="M4214" t="str">
        <f t="shared" si="329"/>
        <v/>
      </c>
    </row>
    <row r="4215" spans="1:13" x14ac:dyDescent="0.3">
      <c r="A4215" t="str">
        <f>Segmenter!A4215</f>
        <v/>
      </c>
      <c r="B4215" t="str">
        <f>Segmenter!B4215</f>
        <v/>
      </c>
      <c r="C4215" t="str">
        <f t="shared" si="325"/>
        <v/>
      </c>
      <c r="D4215" t="str">
        <f t="shared" si="326"/>
        <v/>
      </c>
      <c r="E4215" t="str">
        <f t="shared" si="327"/>
        <v/>
      </c>
      <c r="F4215" t="str">
        <f>IF(D4215="","",INDEX(Knutepunkter!$B:$B,D4215+1))</f>
        <v/>
      </c>
      <c r="G4215" t="str">
        <f>IF(D4215="","",INDEX(Knutepunkter!$C:$C,D4215+1))</f>
        <v/>
      </c>
      <c r="H4215" t="str">
        <f>IF(D4215="","",INDEX(Knutepunkter!$D:$D,D4215+1))</f>
        <v/>
      </c>
      <c r="I4215" t="str">
        <f>IF(E4215="","",INDEX(Knutepunkter!$B:$B,E4215+1))</f>
        <v/>
      </c>
      <c r="J4215" t="str">
        <f>IF(E4215="","",INDEX(Knutepunkter!$C:$C,E4215+1))</f>
        <v/>
      </c>
      <c r="K4215" t="str">
        <f>IF(E4215="","",INDEX(Knutepunkter!$D:$D,E4215+1))</f>
        <v/>
      </c>
      <c r="L4215" t="str">
        <f t="shared" si="328"/>
        <v/>
      </c>
      <c r="M4215" t="str">
        <f t="shared" si="329"/>
        <v/>
      </c>
    </row>
    <row r="4216" spans="1:13" x14ac:dyDescent="0.3">
      <c r="A4216" t="str">
        <f>Segmenter!A4216</f>
        <v/>
      </c>
      <c r="B4216" t="str">
        <f>Segmenter!B4216</f>
        <v/>
      </c>
      <c r="C4216" t="str">
        <f t="shared" si="325"/>
        <v/>
      </c>
      <c r="D4216" t="str">
        <f t="shared" si="326"/>
        <v/>
      </c>
      <c r="E4216" t="str">
        <f t="shared" si="327"/>
        <v/>
      </c>
      <c r="F4216" t="str">
        <f>IF(D4216="","",INDEX(Knutepunkter!$B:$B,D4216+1))</f>
        <v/>
      </c>
      <c r="G4216" t="str">
        <f>IF(D4216="","",INDEX(Knutepunkter!$C:$C,D4216+1))</f>
        <v/>
      </c>
      <c r="H4216" t="str">
        <f>IF(D4216="","",INDEX(Knutepunkter!$D:$D,D4216+1))</f>
        <v/>
      </c>
      <c r="I4216" t="str">
        <f>IF(E4216="","",INDEX(Knutepunkter!$B:$B,E4216+1))</f>
        <v/>
      </c>
      <c r="J4216" t="str">
        <f>IF(E4216="","",INDEX(Knutepunkter!$C:$C,E4216+1))</f>
        <v/>
      </c>
      <c r="K4216" t="str">
        <f>IF(E4216="","",INDEX(Knutepunkter!$D:$D,E4216+1))</f>
        <v/>
      </c>
      <c r="L4216" t="str">
        <f t="shared" si="328"/>
        <v/>
      </c>
      <c r="M4216" t="str">
        <f t="shared" si="329"/>
        <v/>
      </c>
    </row>
    <row r="4217" spans="1:13" x14ac:dyDescent="0.3">
      <c r="A4217" t="str">
        <f>Segmenter!A4217</f>
        <v/>
      </c>
      <c r="B4217" t="str">
        <f>Segmenter!B4217</f>
        <v/>
      </c>
      <c r="C4217" t="str">
        <f t="shared" si="325"/>
        <v/>
      </c>
      <c r="D4217" t="str">
        <f t="shared" si="326"/>
        <v/>
      </c>
      <c r="E4217" t="str">
        <f t="shared" si="327"/>
        <v/>
      </c>
      <c r="F4217" t="str">
        <f>IF(D4217="","",INDEX(Knutepunkter!$B:$B,D4217+1))</f>
        <v/>
      </c>
      <c r="G4217" t="str">
        <f>IF(D4217="","",INDEX(Knutepunkter!$C:$C,D4217+1))</f>
        <v/>
      </c>
      <c r="H4217" t="str">
        <f>IF(D4217="","",INDEX(Knutepunkter!$D:$D,D4217+1))</f>
        <v/>
      </c>
      <c r="I4217" t="str">
        <f>IF(E4217="","",INDEX(Knutepunkter!$B:$B,E4217+1))</f>
        <v/>
      </c>
      <c r="J4217" t="str">
        <f>IF(E4217="","",INDEX(Knutepunkter!$C:$C,E4217+1))</f>
        <v/>
      </c>
      <c r="K4217" t="str">
        <f>IF(E4217="","",INDEX(Knutepunkter!$D:$D,E4217+1))</f>
        <v/>
      </c>
      <c r="L4217" t="str">
        <f t="shared" si="328"/>
        <v/>
      </c>
      <c r="M4217" t="str">
        <f t="shared" si="329"/>
        <v/>
      </c>
    </row>
    <row r="4218" spans="1:13" x14ac:dyDescent="0.3">
      <c r="A4218" t="str">
        <f>Segmenter!A4218</f>
        <v/>
      </c>
      <c r="B4218" t="str">
        <f>Segmenter!B4218</f>
        <v/>
      </c>
      <c r="C4218" t="str">
        <f t="shared" si="325"/>
        <v/>
      </c>
      <c r="D4218" t="str">
        <f t="shared" si="326"/>
        <v/>
      </c>
      <c r="E4218" t="str">
        <f t="shared" si="327"/>
        <v/>
      </c>
      <c r="F4218" t="str">
        <f>IF(D4218="","",INDEX(Knutepunkter!$B:$B,D4218+1))</f>
        <v/>
      </c>
      <c r="G4218" t="str">
        <f>IF(D4218="","",INDEX(Knutepunkter!$C:$C,D4218+1))</f>
        <v/>
      </c>
      <c r="H4218" t="str">
        <f>IF(D4218="","",INDEX(Knutepunkter!$D:$D,D4218+1))</f>
        <v/>
      </c>
      <c r="I4218" t="str">
        <f>IF(E4218="","",INDEX(Knutepunkter!$B:$B,E4218+1))</f>
        <v/>
      </c>
      <c r="J4218" t="str">
        <f>IF(E4218="","",INDEX(Knutepunkter!$C:$C,E4218+1))</f>
        <v/>
      </c>
      <c r="K4218" t="str">
        <f>IF(E4218="","",INDEX(Knutepunkter!$D:$D,E4218+1))</f>
        <v/>
      </c>
      <c r="L4218" t="str">
        <f t="shared" si="328"/>
        <v/>
      </c>
      <c r="M4218" t="str">
        <f t="shared" si="329"/>
        <v/>
      </c>
    </row>
    <row r="4219" spans="1:13" x14ac:dyDescent="0.3">
      <c r="A4219" t="str">
        <f>Segmenter!A4219</f>
        <v/>
      </c>
      <c r="B4219" t="str">
        <f>Segmenter!B4219</f>
        <v/>
      </c>
      <c r="C4219" t="str">
        <f t="shared" si="325"/>
        <v/>
      </c>
      <c r="D4219" t="str">
        <f t="shared" si="326"/>
        <v/>
      </c>
      <c r="E4219" t="str">
        <f t="shared" si="327"/>
        <v/>
      </c>
      <c r="F4219" t="str">
        <f>IF(D4219="","",INDEX(Knutepunkter!$B:$B,D4219+1))</f>
        <v/>
      </c>
      <c r="G4219" t="str">
        <f>IF(D4219="","",INDEX(Knutepunkter!$C:$C,D4219+1))</f>
        <v/>
      </c>
      <c r="H4219" t="str">
        <f>IF(D4219="","",INDEX(Knutepunkter!$D:$D,D4219+1))</f>
        <v/>
      </c>
      <c r="I4219" t="str">
        <f>IF(E4219="","",INDEX(Knutepunkter!$B:$B,E4219+1))</f>
        <v/>
      </c>
      <c r="J4219" t="str">
        <f>IF(E4219="","",INDEX(Knutepunkter!$C:$C,E4219+1))</f>
        <v/>
      </c>
      <c r="K4219" t="str">
        <f>IF(E4219="","",INDEX(Knutepunkter!$D:$D,E4219+1))</f>
        <v/>
      </c>
      <c r="L4219" t="str">
        <f t="shared" si="328"/>
        <v/>
      </c>
      <c r="M4219" t="str">
        <f t="shared" si="329"/>
        <v/>
      </c>
    </row>
    <row r="4220" spans="1:13" x14ac:dyDescent="0.3">
      <c r="A4220" t="str">
        <f>Segmenter!A4220</f>
        <v/>
      </c>
      <c r="B4220" t="str">
        <f>Segmenter!B4220</f>
        <v/>
      </c>
      <c r="C4220" t="str">
        <f t="shared" si="325"/>
        <v/>
      </c>
      <c r="D4220" t="str">
        <f t="shared" si="326"/>
        <v/>
      </c>
      <c r="E4220" t="str">
        <f t="shared" si="327"/>
        <v/>
      </c>
      <c r="F4220" t="str">
        <f>IF(D4220="","",INDEX(Knutepunkter!$B:$B,D4220+1))</f>
        <v/>
      </c>
      <c r="G4220" t="str">
        <f>IF(D4220="","",INDEX(Knutepunkter!$C:$C,D4220+1))</f>
        <v/>
      </c>
      <c r="H4220" t="str">
        <f>IF(D4220="","",INDEX(Knutepunkter!$D:$D,D4220+1))</f>
        <v/>
      </c>
      <c r="I4220" t="str">
        <f>IF(E4220="","",INDEX(Knutepunkter!$B:$B,E4220+1))</f>
        <v/>
      </c>
      <c r="J4220" t="str">
        <f>IF(E4220="","",INDEX(Knutepunkter!$C:$C,E4220+1))</f>
        <v/>
      </c>
      <c r="K4220" t="str">
        <f>IF(E4220="","",INDEX(Knutepunkter!$D:$D,E4220+1))</f>
        <v/>
      </c>
      <c r="L4220" t="str">
        <f t="shared" si="328"/>
        <v/>
      </c>
      <c r="M4220" t="str">
        <f t="shared" si="329"/>
        <v/>
      </c>
    </row>
    <row r="4221" spans="1:13" x14ac:dyDescent="0.3">
      <c r="A4221" t="str">
        <f>Segmenter!A4221</f>
        <v/>
      </c>
      <c r="B4221" t="str">
        <f>Segmenter!B4221</f>
        <v/>
      </c>
      <c r="C4221" t="str">
        <f t="shared" si="325"/>
        <v/>
      </c>
      <c r="D4221" t="str">
        <f t="shared" si="326"/>
        <v/>
      </c>
      <c r="E4221" t="str">
        <f t="shared" si="327"/>
        <v/>
      </c>
      <c r="F4221" t="str">
        <f>IF(D4221="","",INDEX(Knutepunkter!$B:$B,D4221+1))</f>
        <v/>
      </c>
      <c r="G4221" t="str">
        <f>IF(D4221="","",INDEX(Knutepunkter!$C:$C,D4221+1))</f>
        <v/>
      </c>
      <c r="H4221" t="str">
        <f>IF(D4221="","",INDEX(Knutepunkter!$D:$D,D4221+1))</f>
        <v/>
      </c>
      <c r="I4221" t="str">
        <f>IF(E4221="","",INDEX(Knutepunkter!$B:$B,E4221+1))</f>
        <v/>
      </c>
      <c r="J4221" t="str">
        <f>IF(E4221="","",INDEX(Knutepunkter!$C:$C,E4221+1))</f>
        <v/>
      </c>
      <c r="K4221" t="str">
        <f>IF(E4221="","",INDEX(Knutepunkter!$D:$D,E4221+1))</f>
        <v/>
      </c>
      <c r="L4221" t="str">
        <f t="shared" si="328"/>
        <v/>
      </c>
      <c r="M4221" t="str">
        <f t="shared" si="329"/>
        <v/>
      </c>
    </row>
    <row r="4222" spans="1:13" x14ac:dyDescent="0.3">
      <c r="A4222" t="str">
        <f>Segmenter!A4222</f>
        <v/>
      </c>
      <c r="B4222" t="str">
        <f>Segmenter!B4222</f>
        <v/>
      </c>
      <c r="C4222" t="str">
        <f t="shared" si="325"/>
        <v/>
      </c>
      <c r="D4222" t="str">
        <f t="shared" si="326"/>
        <v/>
      </c>
      <c r="E4222" t="str">
        <f t="shared" si="327"/>
        <v/>
      </c>
      <c r="F4222" t="str">
        <f>IF(D4222="","",INDEX(Knutepunkter!$B:$B,D4222+1))</f>
        <v/>
      </c>
      <c r="G4222" t="str">
        <f>IF(D4222="","",INDEX(Knutepunkter!$C:$C,D4222+1))</f>
        <v/>
      </c>
      <c r="H4222" t="str">
        <f>IF(D4222="","",INDEX(Knutepunkter!$D:$D,D4222+1))</f>
        <v/>
      </c>
      <c r="I4222" t="str">
        <f>IF(E4222="","",INDEX(Knutepunkter!$B:$B,E4222+1))</f>
        <v/>
      </c>
      <c r="J4222" t="str">
        <f>IF(E4222="","",INDEX(Knutepunkter!$C:$C,E4222+1))</f>
        <v/>
      </c>
      <c r="K4222" t="str">
        <f>IF(E4222="","",INDEX(Knutepunkter!$D:$D,E4222+1))</f>
        <v/>
      </c>
      <c r="L4222" t="str">
        <f t="shared" si="328"/>
        <v/>
      </c>
      <c r="M4222" t="str">
        <f t="shared" si="329"/>
        <v/>
      </c>
    </row>
    <row r="4223" spans="1:13" x14ac:dyDescent="0.3">
      <c r="A4223" t="str">
        <f>Segmenter!A4223</f>
        <v/>
      </c>
      <c r="B4223" t="str">
        <f>Segmenter!B4223</f>
        <v/>
      </c>
      <c r="C4223" t="str">
        <f t="shared" si="325"/>
        <v/>
      </c>
      <c r="D4223" t="str">
        <f t="shared" si="326"/>
        <v/>
      </c>
      <c r="E4223" t="str">
        <f t="shared" si="327"/>
        <v/>
      </c>
      <c r="F4223" t="str">
        <f>IF(D4223="","",INDEX(Knutepunkter!$B:$B,D4223+1))</f>
        <v/>
      </c>
      <c r="G4223" t="str">
        <f>IF(D4223="","",INDEX(Knutepunkter!$C:$C,D4223+1))</f>
        <v/>
      </c>
      <c r="H4223" t="str">
        <f>IF(D4223="","",INDEX(Knutepunkter!$D:$D,D4223+1))</f>
        <v/>
      </c>
      <c r="I4223" t="str">
        <f>IF(E4223="","",INDEX(Knutepunkter!$B:$B,E4223+1))</f>
        <v/>
      </c>
      <c r="J4223" t="str">
        <f>IF(E4223="","",INDEX(Knutepunkter!$C:$C,E4223+1))</f>
        <v/>
      </c>
      <c r="K4223" t="str">
        <f>IF(E4223="","",INDEX(Knutepunkter!$D:$D,E4223+1))</f>
        <v/>
      </c>
      <c r="L4223" t="str">
        <f t="shared" si="328"/>
        <v/>
      </c>
      <c r="M4223" t="str">
        <f t="shared" si="329"/>
        <v/>
      </c>
    </row>
    <row r="4224" spans="1:13" x14ac:dyDescent="0.3">
      <c r="A4224" t="str">
        <f>Segmenter!A4224</f>
        <v/>
      </c>
      <c r="B4224" t="str">
        <f>Segmenter!B4224</f>
        <v/>
      </c>
      <c r="C4224" t="str">
        <f t="shared" si="325"/>
        <v/>
      </c>
      <c r="D4224" t="str">
        <f t="shared" si="326"/>
        <v/>
      </c>
      <c r="E4224" t="str">
        <f t="shared" si="327"/>
        <v/>
      </c>
      <c r="F4224" t="str">
        <f>IF(D4224="","",INDEX(Knutepunkter!$B:$B,D4224+1))</f>
        <v/>
      </c>
      <c r="G4224" t="str">
        <f>IF(D4224="","",INDEX(Knutepunkter!$C:$C,D4224+1))</f>
        <v/>
      </c>
      <c r="H4224" t="str">
        <f>IF(D4224="","",INDEX(Knutepunkter!$D:$D,D4224+1))</f>
        <v/>
      </c>
      <c r="I4224" t="str">
        <f>IF(E4224="","",INDEX(Knutepunkter!$B:$B,E4224+1))</f>
        <v/>
      </c>
      <c r="J4224" t="str">
        <f>IF(E4224="","",INDEX(Knutepunkter!$C:$C,E4224+1))</f>
        <v/>
      </c>
      <c r="K4224" t="str">
        <f>IF(E4224="","",INDEX(Knutepunkter!$D:$D,E4224+1))</f>
        <v/>
      </c>
      <c r="L4224" t="str">
        <f t="shared" si="328"/>
        <v/>
      </c>
      <c r="M4224" t="str">
        <f t="shared" si="329"/>
        <v/>
      </c>
    </row>
    <row r="4225" spans="1:13" x14ac:dyDescent="0.3">
      <c r="A4225" t="str">
        <f>Segmenter!A4225</f>
        <v/>
      </c>
      <c r="B4225" t="str">
        <f>Segmenter!B4225</f>
        <v/>
      </c>
      <c r="C4225" t="str">
        <f t="shared" si="325"/>
        <v/>
      </c>
      <c r="D4225" t="str">
        <f t="shared" si="326"/>
        <v/>
      </c>
      <c r="E4225" t="str">
        <f t="shared" si="327"/>
        <v/>
      </c>
      <c r="F4225" t="str">
        <f>IF(D4225="","",INDEX(Knutepunkter!$B:$B,D4225+1))</f>
        <v/>
      </c>
      <c r="G4225" t="str">
        <f>IF(D4225="","",INDEX(Knutepunkter!$C:$C,D4225+1))</f>
        <v/>
      </c>
      <c r="H4225" t="str">
        <f>IF(D4225="","",INDEX(Knutepunkter!$D:$D,D4225+1))</f>
        <v/>
      </c>
      <c r="I4225" t="str">
        <f>IF(E4225="","",INDEX(Knutepunkter!$B:$B,E4225+1))</f>
        <v/>
      </c>
      <c r="J4225" t="str">
        <f>IF(E4225="","",INDEX(Knutepunkter!$C:$C,E4225+1))</f>
        <v/>
      </c>
      <c r="K4225" t="str">
        <f>IF(E4225="","",INDEX(Knutepunkter!$D:$D,E4225+1))</f>
        <v/>
      </c>
      <c r="L4225" t="str">
        <f t="shared" si="328"/>
        <v/>
      </c>
      <c r="M4225" t="str">
        <f t="shared" si="329"/>
        <v/>
      </c>
    </row>
    <row r="4226" spans="1:13" x14ac:dyDescent="0.3">
      <c r="A4226" t="str">
        <f>Segmenter!A4226</f>
        <v/>
      </c>
      <c r="B4226" t="str">
        <f>Segmenter!B4226</f>
        <v/>
      </c>
      <c r="C4226" t="str">
        <f t="shared" ref="C4226:C4289" si="330">IF(B4226="","",IF(AND(F4226=I4226,G4226=J4226,H4226&lt;&gt;K4226),"Søyle","Bjelke"))</f>
        <v/>
      </c>
      <c r="D4226" t="str">
        <f t="shared" ref="D4226:D4289" si="331">IF(B4226="","",VALUE(LEFT(B4226,FIND(" -&gt; ",B4226)-1)))</f>
        <v/>
      </c>
      <c r="E4226" t="str">
        <f t="shared" ref="E4226:E4289" si="332">IF(B4226="","",VALUE(MID(B4226,FIND(" -&gt; ",B4226)+4,99)))</f>
        <v/>
      </c>
      <c r="F4226" t="str">
        <f>IF(D4226="","",INDEX(Knutepunkter!$B:$B,D4226+1))</f>
        <v/>
      </c>
      <c r="G4226" t="str">
        <f>IF(D4226="","",INDEX(Knutepunkter!$C:$C,D4226+1))</f>
        <v/>
      </c>
      <c r="H4226" t="str">
        <f>IF(D4226="","",INDEX(Knutepunkter!$D:$D,D4226+1))</f>
        <v/>
      </c>
      <c r="I4226" t="str">
        <f>IF(E4226="","",INDEX(Knutepunkter!$B:$B,E4226+1))</f>
        <v/>
      </c>
      <c r="J4226" t="str">
        <f>IF(E4226="","",INDEX(Knutepunkter!$C:$C,E4226+1))</f>
        <v/>
      </c>
      <c r="K4226" t="str">
        <f>IF(E4226="","",INDEX(Knutepunkter!$D:$D,E4226+1))</f>
        <v/>
      </c>
      <c r="L4226" t="str">
        <f t="shared" ref="L4226:L4289" si="333">IF(B4226="","",SQRT((I4226-F4226)^2+(J4226-G4226)^2+(K4226-H4226)^2))</f>
        <v/>
      </c>
      <c r="M4226" t="str">
        <f t="shared" ref="M4226:M4289" si="334">IF(L4226="","",L4226/1000)</f>
        <v/>
      </c>
    </row>
    <row r="4227" spans="1:13" x14ac:dyDescent="0.3">
      <c r="A4227" t="str">
        <f>Segmenter!A4227</f>
        <v/>
      </c>
      <c r="B4227" t="str">
        <f>Segmenter!B4227</f>
        <v/>
      </c>
      <c r="C4227" t="str">
        <f t="shared" si="330"/>
        <v/>
      </c>
      <c r="D4227" t="str">
        <f t="shared" si="331"/>
        <v/>
      </c>
      <c r="E4227" t="str">
        <f t="shared" si="332"/>
        <v/>
      </c>
      <c r="F4227" t="str">
        <f>IF(D4227="","",INDEX(Knutepunkter!$B:$B,D4227+1))</f>
        <v/>
      </c>
      <c r="G4227" t="str">
        <f>IF(D4227="","",INDEX(Knutepunkter!$C:$C,D4227+1))</f>
        <v/>
      </c>
      <c r="H4227" t="str">
        <f>IF(D4227="","",INDEX(Knutepunkter!$D:$D,D4227+1))</f>
        <v/>
      </c>
      <c r="I4227" t="str">
        <f>IF(E4227="","",INDEX(Knutepunkter!$B:$B,E4227+1))</f>
        <v/>
      </c>
      <c r="J4227" t="str">
        <f>IF(E4227="","",INDEX(Knutepunkter!$C:$C,E4227+1))</f>
        <v/>
      </c>
      <c r="K4227" t="str">
        <f>IF(E4227="","",INDEX(Knutepunkter!$D:$D,E4227+1))</f>
        <v/>
      </c>
      <c r="L4227" t="str">
        <f t="shared" si="333"/>
        <v/>
      </c>
      <c r="M4227" t="str">
        <f t="shared" si="334"/>
        <v/>
      </c>
    </row>
    <row r="4228" spans="1:13" x14ac:dyDescent="0.3">
      <c r="A4228" t="str">
        <f>Segmenter!A4228</f>
        <v/>
      </c>
      <c r="B4228" t="str">
        <f>Segmenter!B4228</f>
        <v/>
      </c>
      <c r="C4228" t="str">
        <f t="shared" si="330"/>
        <v/>
      </c>
      <c r="D4228" t="str">
        <f t="shared" si="331"/>
        <v/>
      </c>
      <c r="E4228" t="str">
        <f t="shared" si="332"/>
        <v/>
      </c>
      <c r="F4228" t="str">
        <f>IF(D4228="","",INDEX(Knutepunkter!$B:$B,D4228+1))</f>
        <v/>
      </c>
      <c r="G4228" t="str">
        <f>IF(D4228="","",INDEX(Knutepunkter!$C:$C,D4228+1))</f>
        <v/>
      </c>
      <c r="H4228" t="str">
        <f>IF(D4228="","",INDEX(Knutepunkter!$D:$D,D4228+1))</f>
        <v/>
      </c>
      <c r="I4228" t="str">
        <f>IF(E4228="","",INDEX(Knutepunkter!$B:$B,E4228+1))</f>
        <v/>
      </c>
      <c r="J4228" t="str">
        <f>IF(E4228="","",INDEX(Knutepunkter!$C:$C,E4228+1))</f>
        <v/>
      </c>
      <c r="K4228" t="str">
        <f>IF(E4228="","",INDEX(Knutepunkter!$D:$D,E4228+1))</f>
        <v/>
      </c>
      <c r="L4228" t="str">
        <f t="shared" si="333"/>
        <v/>
      </c>
      <c r="M4228" t="str">
        <f t="shared" si="334"/>
        <v/>
      </c>
    </row>
    <row r="4229" spans="1:13" x14ac:dyDescent="0.3">
      <c r="A4229" t="str">
        <f>Segmenter!A4229</f>
        <v/>
      </c>
      <c r="B4229" t="str">
        <f>Segmenter!B4229</f>
        <v/>
      </c>
      <c r="C4229" t="str">
        <f t="shared" si="330"/>
        <v/>
      </c>
      <c r="D4229" t="str">
        <f t="shared" si="331"/>
        <v/>
      </c>
      <c r="E4229" t="str">
        <f t="shared" si="332"/>
        <v/>
      </c>
      <c r="F4229" t="str">
        <f>IF(D4229="","",INDEX(Knutepunkter!$B:$B,D4229+1))</f>
        <v/>
      </c>
      <c r="G4229" t="str">
        <f>IF(D4229="","",INDEX(Knutepunkter!$C:$C,D4229+1))</f>
        <v/>
      </c>
      <c r="H4229" t="str">
        <f>IF(D4229="","",INDEX(Knutepunkter!$D:$D,D4229+1))</f>
        <v/>
      </c>
      <c r="I4229" t="str">
        <f>IF(E4229="","",INDEX(Knutepunkter!$B:$B,E4229+1))</f>
        <v/>
      </c>
      <c r="J4229" t="str">
        <f>IF(E4229="","",INDEX(Knutepunkter!$C:$C,E4229+1))</f>
        <v/>
      </c>
      <c r="K4229" t="str">
        <f>IF(E4229="","",INDEX(Knutepunkter!$D:$D,E4229+1))</f>
        <v/>
      </c>
      <c r="L4229" t="str">
        <f t="shared" si="333"/>
        <v/>
      </c>
      <c r="M4229" t="str">
        <f t="shared" si="334"/>
        <v/>
      </c>
    </row>
    <row r="4230" spans="1:13" x14ac:dyDescent="0.3">
      <c r="A4230" t="str">
        <f>Segmenter!A4230</f>
        <v/>
      </c>
      <c r="B4230" t="str">
        <f>Segmenter!B4230</f>
        <v/>
      </c>
      <c r="C4230" t="str">
        <f t="shared" si="330"/>
        <v/>
      </c>
      <c r="D4230" t="str">
        <f t="shared" si="331"/>
        <v/>
      </c>
      <c r="E4230" t="str">
        <f t="shared" si="332"/>
        <v/>
      </c>
      <c r="F4230" t="str">
        <f>IF(D4230="","",INDEX(Knutepunkter!$B:$B,D4230+1))</f>
        <v/>
      </c>
      <c r="G4230" t="str">
        <f>IF(D4230="","",INDEX(Knutepunkter!$C:$C,D4230+1))</f>
        <v/>
      </c>
      <c r="H4230" t="str">
        <f>IF(D4230="","",INDEX(Knutepunkter!$D:$D,D4230+1))</f>
        <v/>
      </c>
      <c r="I4230" t="str">
        <f>IF(E4230="","",INDEX(Knutepunkter!$B:$B,E4230+1))</f>
        <v/>
      </c>
      <c r="J4230" t="str">
        <f>IF(E4230="","",INDEX(Knutepunkter!$C:$C,E4230+1))</f>
        <v/>
      </c>
      <c r="K4230" t="str">
        <f>IF(E4230="","",INDEX(Knutepunkter!$D:$D,E4230+1))</f>
        <v/>
      </c>
      <c r="L4230" t="str">
        <f t="shared" si="333"/>
        <v/>
      </c>
      <c r="M4230" t="str">
        <f t="shared" si="334"/>
        <v/>
      </c>
    </row>
    <row r="4231" spans="1:13" x14ac:dyDescent="0.3">
      <c r="A4231" t="str">
        <f>Segmenter!A4231</f>
        <v/>
      </c>
      <c r="B4231" t="str">
        <f>Segmenter!B4231</f>
        <v/>
      </c>
      <c r="C4231" t="str">
        <f t="shared" si="330"/>
        <v/>
      </c>
      <c r="D4231" t="str">
        <f t="shared" si="331"/>
        <v/>
      </c>
      <c r="E4231" t="str">
        <f t="shared" si="332"/>
        <v/>
      </c>
      <c r="F4231" t="str">
        <f>IF(D4231="","",INDEX(Knutepunkter!$B:$B,D4231+1))</f>
        <v/>
      </c>
      <c r="G4231" t="str">
        <f>IF(D4231="","",INDEX(Knutepunkter!$C:$C,D4231+1))</f>
        <v/>
      </c>
      <c r="H4231" t="str">
        <f>IF(D4231="","",INDEX(Knutepunkter!$D:$D,D4231+1))</f>
        <v/>
      </c>
      <c r="I4231" t="str">
        <f>IF(E4231="","",INDEX(Knutepunkter!$B:$B,E4231+1))</f>
        <v/>
      </c>
      <c r="J4231" t="str">
        <f>IF(E4231="","",INDEX(Knutepunkter!$C:$C,E4231+1))</f>
        <v/>
      </c>
      <c r="K4231" t="str">
        <f>IF(E4231="","",INDEX(Knutepunkter!$D:$D,E4231+1))</f>
        <v/>
      </c>
      <c r="L4231" t="str">
        <f t="shared" si="333"/>
        <v/>
      </c>
      <c r="M4231" t="str">
        <f t="shared" si="334"/>
        <v/>
      </c>
    </row>
    <row r="4232" spans="1:13" x14ac:dyDescent="0.3">
      <c r="A4232" t="str">
        <f>Segmenter!A4232</f>
        <v/>
      </c>
      <c r="B4232" t="str">
        <f>Segmenter!B4232</f>
        <v/>
      </c>
      <c r="C4232" t="str">
        <f t="shared" si="330"/>
        <v/>
      </c>
      <c r="D4232" t="str">
        <f t="shared" si="331"/>
        <v/>
      </c>
      <c r="E4232" t="str">
        <f t="shared" si="332"/>
        <v/>
      </c>
      <c r="F4232" t="str">
        <f>IF(D4232="","",INDEX(Knutepunkter!$B:$B,D4232+1))</f>
        <v/>
      </c>
      <c r="G4232" t="str">
        <f>IF(D4232="","",INDEX(Knutepunkter!$C:$C,D4232+1))</f>
        <v/>
      </c>
      <c r="H4232" t="str">
        <f>IF(D4232="","",INDEX(Knutepunkter!$D:$D,D4232+1))</f>
        <v/>
      </c>
      <c r="I4232" t="str">
        <f>IF(E4232="","",INDEX(Knutepunkter!$B:$B,E4232+1))</f>
        <v/>
      </c>
      <c r="J4232" t="str">
        <f>IF(E4232="","",INDEX(Knutepunkter!$C:$C,E4232+1))</f>
        <v/>
      </c>
      <c r="K4232" t="str">
        <f>IF(E4232="","",INDEX(Knutepunkter!$D:$D,E4232+1))</f>
        <v/>
      </c>
      <c r="L4232" t="str">
        <f t="shared" si="333"/>
        <v/>
      </c>
      <c r="M4232" t="str">
        <f t="shared" si="334"/>
        <v/>
      </c>
    </row>
    <row r="4233" spans="1:13" x14ac:dyDescent="0.3">
      <c r="A4233" t="str">
        <f>Segmenter!A4233</f>
        <v/>
      </c>
      <c r="B4233" t="str">
        <f>Segmenter!B4233</f>
        <v/>
      </c>
      <c r="C4233" t="str">
        <f t="shared" si="330"/>
        <v/>
      </c>
      <c r="D4233" t="str">
        <f t="shared" si="331"/>
        <v/>
      </c>
      <c r="E4233" t="str">
        <f t="shared" si="332"/>
        <v/>
      </c>
      <c r="F4233" t="str">
        <f>IF(D4233="","",INDEX(Knutepunkter!$B:$B,D4233+1))</f>
        <v/>
      </c>
      <c r="G4233" t="str">
        <f>IF(D4233="","",INDEX(Knutepunkter!$C:$C,D4233+1))</f>
        <v/>
      </c>
      <c r="H4233" t="str">
        <f>IF(D4233="","",INDEX(Knutepunkter!$D:$D,D4233+1))</f>
        <v/>
      </c>
      <c r="I4233" t="str">
        <f>IF(E4233="","",INDEX(Knutepunkter!$B:$B,E4233+1))</f>
        <v/>
      </c>
      <c r="J4233" t="str">
        <f>IF(E4233="","",INDEX(Knutepunkter!$C:$C,E4233+1))</f>
        <v/>
      </c>
      <c r="K4233" t="str">
        <f>IF(E4233="","",INDEX(Knutepunkter!$D:$D,E4233+1))</f>
        <v/>
      </c>
      <c r="L4233" t="str">
        <f t="shared" si="333"/>
        <v/>
      </c>
      <c r="M4233" t="str">
        <f t="shared" si="334"/>
        <v/>
      </c>
    </row>
    <row r="4234" spans="1:13" x14ac:dyDescent="0.3">
      <c r="A4234" t="str">
        <f>Segmenter!A4234</f>
        <v/>
      </c>
      <c r="B4234" t="str">
        <f>Segmenter!B4234</f>
        <v/>
      </c>
      <c r="C4234" t="str">
        <f t="shared" si="330"/>
        <v/>
      </c>
      <c r="D4234" t="str">
        <f t="shared" si="331"/>
        <v/>
      </c>
      <c r="E4234" t="str">
        <f t="shared" si="332"/>
        <v/>
      </c>
      <c r="F4234" t="str">
        <f>IF(D4234="","",INDEX(Knutepunkter!$B:$B,D4234+1))</f>
        <v/>
      </c>
      <c r="G4234" t="str">
        <f>IF(D4234="","",INDEX(Knutepunkter!$C:$C,D4234+1))</f>
        <v/>
      </c>
      <c r="H4234" t="str">
        <f>IF(D4234="","",INDEX(Knutepunkter!$D:$D,D4234+1))</f>
        <v/>
      </c>
      <c r="I4234" t="str">
        <f>IF(E4234="","",INDEX(Knutepunkter!$B:$B,E4234+1))</f>
        <v/>
      </c>
      <c r="J4234" t="str">
        <f>IF(E4234="","",INDEX(Knutepunkter!$C:$C,E4234+1))</f>
        <v/>
      </c>
      <c r="K4234" t="str">
        <f>IF(E4234="","",INDEX(Knutepunkter!$D:$D,E4234+1))</f>
        <v/>
      </c>
      <c r="L4234" t="str">
        <f t="shared" si="333"/>
        <v/>
      </c>
      <c r="M4234" t="str">
        <f t="shared" si="334"/>
        <v/>
      </c>
    </row>
    <row r="4235" spans="1:13" x14ac:dyDescent="0.3">
      <c r="A4235" t="str">
        <f>Segmenter!A4235</f>
        <v/>
      </c>
      <c r="B4235" t="str">
        <f>Segmenter!B4235</f>
        <v/>
      </c>
      <c r="C4235" t="str">
        <f t="shared" si="330"/>
        <v/>
      </c>
      <c r="D4235" t="str">
        <f t="shared" si="331"/>
        <v/>
      </c>
      <c r="E4235" t="str">
        <f t="shared" si="332"/>
        <v/>
      </c>
      <c r="F4235" t="str">
        <f>IF(D4235="","",INDEX(Knutepunkter!$B:$B,D4235+1))</f>
        <v/>
      </c>
      <c r="G4235" t="str">
        <f>IF(D4235="","",INDEX(Knutepunkter!$C:$C,D4235+1))</f>
        <v/>
      </c>
      <c r="H4235" t="str">
        <f>IF(D4235="","",INDEX(Knutepunkter!$D:$D,D4235+1))</f>
        <v/>
      </c>
      <c r="I4235" t="str">
        <f>IF(E4235="","",INDEX(Knutepunkter!$B:$B,E4235+1))</f>
        <v/>
      </c>
      <c r="J4235" t="str">
        <f>IF(E4235="","",INDEX(Knutepunkter!$C:$C,E4235+1))</f>
        <v/>
      </c>
      <c r="K4235" t="str">
        <f>IF(E4235="","",INDEX(Knutepunkter!$D:$D,E4235+1))</f>
        <v/>
      </c>
      <c r="L4235" t="str">
        <f t="shared" si="333"/>
        <v/>
      </c>
      <c r="M4235" t="str">
        <f t="shared" si="334"/>
        <v/>
      </c>
    </row>
    <row r="4236" spans="1:13" x14ac:dyDescent="0.3">
      <c r="A4236" t="str">
        <f>Segmenter!A4236</f>
        <v/>
      </c>
      <c r="B4236" t="str">
        <f>Segmenter!B4236</f>
        <v/>
      </c>
      <c r="C4236" t="str">
        <f t="shared" si="330"/>
        <v/>
      </c>
      <c r="D4236" t="str">
        <f t="shared" si="331"/>
        <v/>
      </c>
      <c r="E4236" t="str">
        <f t="shared" si="332"/>
        <v/>
      </c>
      <c r="F4236" t="str">
        <f>IF(D4236="","",INDEX(Knutepunkter!$B:$B,D4236+1))</f>
        <v/>
      </c>
      <c r="G4236" t="str">
        <f>IF(D4236="","",INDEX(Knutepunkter!$C:$C,D4236+1))</f>
        <v/>
      </c>
      <c r="H4236" t="str">
        <f>IF(D4236="","",INDEX(Knutepunkter!$D:$D,D4236+1))</f>
        <v/>
      </c>
      <c r="I4236" t="str">
        <f>IF(E4236="","",INDEX(Knutepunkter!$B:$B,E4236+1))</f>
        <v/>
      </c>
      <c r="J4236" t="str">
        <f>IF(E4236="","",INDEX(Knutepunkter!$C:$C,E4236+1))</f>
        <v/>
      </c>
      <c r="K4236" t="str">
        <f>IF(E4236="","",INDEX(Knutepunkter!$D:$D,E4236+1))</f>
        <v/>
      </c>
      <c r="L4236" t="str">
        <f t="shared" si="333"/>
        <v/>
      </c>
      <c r="M4236" t="str">
        <f t="shared" si="334"/>
        <v/>
      </c>
    </row>
    <row r="4237" spans="1:13" x14ac:dyDescent="0.3">
      <c r="A4237" t="str">
        <f>Segmenter!A4237</f>
        <v/>
      </c>
      <c r="B4237" t="str">
        <f>Segmenter!B4237</f>
        <v/>
      </c>
      <c r="C4237" t="str">
        <f t="shared" si="330"/>
        <v/>
      </c>
      <c r="D4237" t="str">
        <f t="shared" si="331"/>
        <v/>
      </c>
      <c r="E4237" t="str">
        <f t="shared" si="332"/>
        <v/>
      </c>
      <c r="F4237" t="str">
        <f>IF(D4237="","",INDEX(Knutepunkter!$B:$B,D4237+1))</f>
        <v/>
      </c>
      <c r="G4237" t="str">
        <f>IF(D4237="","",INDEX(Knutepunkter!$C:$C,D4237+1))</f>
        <v/>
      </c>
      <c r="H4237" t="str">
        <f>IF(D4237="","",INDEX(Knutepunkter!$D:$D,D4237+1))</f>
        <v/>
      </c>
      <c r="I4237" t="str">
        <f>IF(E4237="","",INDEX(Knutepunkter!$B:$B,E4237+1))</f>
        <v/>
      </c>
      <c r="J4237" t="str">
        <f>IF(E4237="","",INDEX(Knutepunkter!$C:$C,E4237+1))</f>
        <v/>
      </c>
      <c r="K4237" t="str">
        <f>IF(E4237="","",INDEX(Knutepunkter!$D:$D,E4237+1))</f>
        <v/>
      </c>
      <c r="L4237" t="str">
        <f t="shared" si="333"/>
        <v/>
      </c>
      <c r="M4237" t="str">
        <f t="shared" si="334"/>
        <v/>
      </c>
    </row>
    <row r="4238" spans="1:13" x14ac:dyDescent="0.3">
      <c r="A4238" t="str">
        <f>Segmenter!A4238</f>
        <v/>
      </c>
      <c r="B4238" t="str">
        <f>Segmenter!B4238</f>
        <v/>
      </c>
      <c r="C4238" t="str">
        <f t="shared" si="330"/>
        <v/>
      </c>
      <c r="D4238" t="str">
        <f t="shared" si="331"/>
        <v/>
      </c>
      <c r="E4238" t="str">
        <f t="shared" si="332"/>
        <v/>
      </c>
      <c r="F4238" t="str">
        <f>IF(D4238="","",INDEX(Knutepunkter!$B:$B,D4238+1))</f>
        <v/>
      </c>
      <c r="G4238" t="str">
        <f>IF(D4238="","",INDEX(Knutepunkter!$C:$C,D4238+1))</f>
        <v/>
      </c>
      <c r="H4238" t="str">
        <f>IF(D4238="","",INDEX(Knutepunkter!$D:$D,D4238+1))</f>
        <v/>
      </c>
      <c r="I4238" t="str">
        <f>IF(E4238="","",INDEX(Knutepunkter!$B:$B,E4238+1))</f>
        <v/>
      </c>
      <c r="J4238" t="str">
        <f>IF(E4238="","",INDEX(Knutepunkter!$C:$C,E4238+1))</f>
        <v/>
      </c>
      <c r="K4238" t="str">
        <f>IF(E4238="","",INDEX(Knutepunkter!$D:$D,E4238+1))</f>
        <v/>
      </c>
      <c r="L4238" t="str">
        <f t="shared" si="333"/>
        <v/>
      </c>
      <c r="M4238" t="str">
        <f t="shared" si="334"/>
        <v/>
      </c>
    </row>
    <row r="4239" spans="1:13" x14ac:dyDescent="0.3">
      <c r="A4239" t="str">
        <f>Segmenter!A4239</f>
        <v/>
      </c>
      <c r="B4239" t="str">
        <f>Segmenter!B4239</f>
        <v/>
      </c>
      <c r="C4239" t="str">
        <f t="shared" si="330"/>
        <v/>
      </c>
      <c r="D4239" t="str">
        <f t="shared" si="331"/>
        <v/>
      </c>
      <c r="E4239" t="str">
        <f t="shared" si="332"/>
        <v/>
      </c>
      <c r="F4239" t="str">
        <f>IF(D4239="","",INDEX(Knutepunkter!$B:$B,D4239+1))</f>
        <v/>
      </c>
      <c r="G4239" t="str">
        <f>IF(D4239="","",INDEX(Knutepunkter!$C:$C,D4239+1))</f>
        <v/>
      </c>
      <c r="H4239" t="str">
        <f>IF(D4239="","",INDEX(Knutepunkter!$D:$D,D4239+1))</f>
        <v/>
      </c>
      <c r="I4239" t="str">
        <f>IF(E4239="","",INDEX(Knutepunkter!$B:$B,E4239+1))</f>
        <v/>
      </c>
      <c r="J4239" t="str">
        <f>IF(E4239="","",INDEX(Knutepunkter!$C:$C,E4239+1))</f>
        <v/>
      </c>
      <c r="K4239" t="str">
        <f>IF(E4239="","",INDEX(Knutepunkter!$D:$D,E4239+1))</f>
        <v/>
      </c>
      <c r="L4239" t="str">
        <f t="shared" si="333"/>
        <v/>
      </c>
      <c r="M4239" t="str">
        <f t="shared" si="334"/>
        <v/>
      </c>
    </row>
    <row r="4240" spans="1:13" x14ac:dyDescent="0.3">
      <c r="A4240" t="str">
        <f>Segmenter!A4240</f>
        <v/>
      </c>
      <c r="B4240" t="str">
        <f>Segmenter!B4240</f>
        <v/>
      </c>
      <c r="C4240" t="str">
        <f t="shared" si="330"/>
        <v/>
      </c>
      <c r="D4240" t="str">
        <f t="shared" si="331"/>
        <v/>
      </c>
      <c r="E4240" t="str">
        <f t="shared" si="332"/>
        <v/>
      </c>
      <c r="F4240" t="str">
        <f>IF(D4240="","",INDEX(Knutepunkter!$B:$B,D4240+1))</f>
        <v/>
      </c>
      <c r="G4240" t="str">
        <f>IF(D4240="","",INDEX(Knutepunkter!$C:$C,D4240+1))</f>
        <v/>
      </c>
      <c r="H4240" t="str">
        <f>IF(D4240="","",INDEX(Knutepunkter!$D:$D,D4240+1))</f>
        <v/>
      </c>
      <c r="I4240" t="str">
        <f>IF(E4240="","",INDEX(Knutepunkter!$B:$B,E4240+1))</f>
        <v/>
      </c>
      <c r="J4240" t="str">
        <f>IF(E4240="","",INDEX(Knutepunkter!$C:$C,E4240+1))</f>
        <v/>
      </c>
      <c r="K4240" t="str">
        <f>IF(E4240="","",INDEX(Knutepunkter!$D:$D,E4240+1))</f>
        <v/>
      </c>
      <c r="L4240" t="str">
        <f t="shared" si="333"/>
        <v/>
      </c>
      <c r="M4240" t="str">
        <f t="shared" si="334"/>
        <v/>
      </c>
    </row>
    <row r="4241" spans="1:13" x14ac:dyDescent="0.3">
      <c r="A4241" t="str">
        <f>Segmenter!A4241</f>
        <v/>
      </c>
      <c r="B4241" t="str">
        <f>Segmenter!B4241</f>
        <v/>
      </c>
      <c r="C4241" t="str">
        <f t="shared" si="330"/>
        <v/>
      </c>
      <c r="D4241" t="str">
        <f t="shared" si="331"/>
        <v/>
      </c>
      <c r="E4241" t="str">
        <f t="shared" si="332"/>
        <v/>
      </c>
      <c r="F4241" t="str">
        <f>IF(D4241="","",INDEX(Knutepunkter!$B:$B,D4241+1))</f>
        <v/>
      </c>
      <c r="G4241" t="str">
        <f>IF(D4241="","",INDEX(Knutepunkter!$C:$C,D4241+1))</f>
        <v/>
      </c>
      <c r="H4241" t="str">
        <f>IF(D4241="","",INDEX(Knutepunkter!$D:$D,D4241+1))</f>
        <v/>
      </c>
      <c r="I4241" t="str">
        <f>IF(E4241="","",INDEX(Knutepunkter!$B:$B,E4241+1))</f>
        <v/>
      </c>
      <c r="J4241" t="str">
        <f>IF(E4241="","",INDEX(Knutepunkter!$C:$C,E4241+1))</f>
        <v/>
      </c>
      <c r="K4241" t="str">
        <f>IF(E4241="","",INDEX(Knutepunkter!$D:$D,E4241+1))</f>
        <v/>
      </c>
      <c r="L4241" t="str">
        <f t="shared" si="333"/>
        <v/>
      </c>
      <c r="M4241" t="str">
        <f t="shared" si="334"/>
        <v/>
      </c>
    </row>
    <row r="4242" spans="1:13" x14ac:dyDescent="0.3">
      <c r="A4242" t="str">
        <f>Segmenter!A4242</f>
        <v/>
      </c>
      <c r="B4242" t="str">
        <f>Segmenter!B4242</f>
        <v/>
      </c>
      <c r="C4242" t="str">
        <f t="shared" si="330"/>
        <v/>
      </c>
      <c r="D4242" t="str">
        <f t="shared" si="331"/>
        <v/>
      </c>
      <c r="E4242" t="str">
        <f t="shared" si="332"/>
        <v/>
      </c>
      <c r="F4242" t="str">
        <f>IF(D4242="","",INDEX(Knutepunkter!$B:$B,D4242+1))</f>
        <v/>
      </c>
      <c r="G4242" t="str">
        <f>IF(D4242="","",INDEX(Knutepunkter!$C:$C,D4242+1))</f>
        <v/>
      </c>
      <c r="H4242" t="str">
        <f>IF(D4242="","",INDEX(Knutepunkter!$D:$D,D4242+1))</f>
        <v/>
      </c>
      <c r="I4242" t="str">
        <f>IF(E4242="","",INDEX(Knutepunkter!$B:$B,E4242+1))</f>
        <v/>
      </c>
      <c r="J4242" t="str">
        <f>IF(E4242="","",INDEX(Knutepunkter!$C:$C,E4242+1))</f>
        <v/>
      </c>
      <c r="K4242" t="str">
        <f>IF(E4242="","",INDEX(Knutepunkter!$D:$D,E4242+1))</f>
        <v/>
      </c>
      <c r="L4242" t="str">
        <f t="shared" si="333"/>
        <v/>
      </c>
      <c r="M4242" t="str">
        <f t="shared" si="334"/>
        <v/>
      </c>
    </row>
    <row r="4243" spans="1:13" x14ac:dyDescent="0.3">
      <c r="A4243" t="str">
        <f>Segmenter!A4243</f>
        <v/>
      </c>
      <c r="B4243" t="str">
        <f>Segmenter!B4243</f>
        <v/>
      </c>
      <c r="C4243" t="str">
        <f t="shared" si="330"/>
        <v/>
      </c>
      <c r="D4243" t="str">
        <f t="shared" si="331"/>
        <v/>
      </c>
      <c r="E4243" t="str">
        <f t="shared" si="332"/>
        <v/>
      </c>
      <c r="F4243" t="str">
        <f>IF(D4243="","",INDEX(Knutepunkter!$B:$B,D4243+1))</f>
        <v/>
      </c>
      <c r="G4243" t="str">
        <f>IF(D4243="","",INDEX(Knutepunkter!$C:$C,D4243+1))</f>
        <v/>
      </c>
      <c r="H4243" t="str">
        <f>IF(D4243="","",INDEX(Knutepunkter!$D:$D,D4243+1))</f>
        <v/>
      </c>
      <c r="I4243" t="str">
        <f>IF(E4243="","",INDEX(Knutepunkter!$B:$B,E4243+1))</f>
        <v/>
      </c>
      <c r="J4243" t="str">
        <f>IF(E4243="","",INDEX(Knutepunkter!$C:$C,E4243+1))</f>
        <v/>
      </c>
      <c r="K4243" t="str">
        <f>IF(E4243="","",INDEX(Knutepunkter!$D:$D,E4243+1))</f>
        <v/>
      </c>
      <c r="L4243" t="str">
        <f t="shared" si="333"/>
        <v/>
      </c>
      <c r="M4243" t="str">
        <f t="shared" si="334"/>
        <v/>
      </c>
    </row>
    <row r="4244" spans="1:13" x14ac:dyDescent="0.3">
      <c r="A4244" t="str">
        <f>Segmenter!A4244</f>
        <v/>
      </c>
      <c r="B4244" t="str">
        <f>Segmenter!B4244</f>
        <v/>
      </c>
      <c r="C4244" t="str">
        <f t="shared" si="330"/>
        <v/>
      </c>
      <c r="D4244" t="str">
        <f t="shared" si="331"/>
        <v/>
      </c>
      <c r="E4244" t="str">
        <f t="shared" si="332"/>
        <v/>
      </c>
      <c r="F4244" t="str">
        <f>IF(D4244="","",INDEX(Knutepunkter!$B:$B,D4244+1))</f>
        <v/>
      </c>
      <c r="G4244" t="str">
        <f>IF(D4244="","",INDEX(Knutepunkter!$C:$C,D4244+1))</f>
        <v/>
      </c>
      <c r="H4244" t="str">
        <f>IF(D4244="","",INDEX(Knutepunkter!$D:$D,D4244+1))</f>
        <v/>
      </c>
      <c r="I4244" t="str">
        <f>IF(E4244="","",INDEX(Knutepunkter!$B:$B,E4244+1))</f>
        <v/>
      </c>
      <c r="J4244" t="str">
        <f>IF(E4244="","",INDEX(Knutepunkter!$C:$C,E4244+1))</f>
        <v/>
      </c>
      <c r="K4244" t="str">
        <f>IF(E4244="","",INDEX(Knutepunkter!$D:$D,E4244+1))</f>
        <v/>
      </c>
      <c r="L4244" t="str">
        <f t="shared" si="333"/>
        <v/>
      </c>
      <c r="M4244" t="str">
        <f t="shared" si="334"/>
        <v/>
      </c>
    </row>
    <row r="4245" spans="1:13" x14ac:dyDescent="0.3">
      <c r="A4245" t="str">
        <f>Segmenter!A4245</f>
        <v/>
      </c>
      <c r="B4245" t="str">
        <f>Segmenter!B4245</f>
        <v/>
      </c>
      <c r="C4245" t="str">
        <f t="shared" si="330"/>
        <v/>
      </c>
      <c r="D4245" t="str">
        <f t="shared" si="331"/>
        <v/>
      </c>
      <c r="E4245" t="str">
        <f t="shared" si="332"/>
        <v/>
      </c>
      <c r="F4245" t="str">
        <f>IF(D4245="","",INDEX(Knutepunkter!$B:$B,D4245+1))</f>
        <v/>
      </c>
      <c r="G4245" t="str">
        <f>IF(D4245="","",INDEX(Knutepunkter!$C:$C,D4245+1))</f>
        <v/>
      </c>
      <c r="H4245" t="str">
        <f>IF(D4245="","",INDEX(Knutepunkter!$D:$D,D4245+1))</f>
        <v/>
      </c>
      <c r="I4245" t="str">
        <f>IF(E4245="","",INDEX(Knutepunkter!$B:$B,E4245+1))</f>
        <v/>
      </c>
      <c r="J4245" t="str">
        <f>IF(E4245="","",INDEX(Knutepunkter!$C:$C,E4245+1))</f>
        <v/>
      </c>
      <c r="K4245" t="str">
        <f>IF(E4245="","",INDEX(Knutepunkter!$D:$D,E4245+1))</f>
        <v/>
      </c>
      <c r="L4245" t="str">
        <f t="shared" si="333"/>
        <v/>
      </c>
      <c r="M4245" t="str">
        <f t="shared" si="334"/>
        <v/>
      </c>
    </row>
    <row r="4246" spans="1:13" x14ac:dyDescent="0.3">
      <c r="A4246" t="str">
        <f>Segmenter!A4246</f>
        <v/>
      </c>
      <c r="B4246" t="str">
        <f>Segmenter!B4246</f>
        <v/>
      </c>
      <c r="C4246" t="str">
        <f t="shared" si="330"/>
        <v/>
      </c>
      <c r="D4246" t="str">
        <f t="shared" si="331"/>
        <v/>
      </c>
      <c r="E4246" t="str">
        <f t="shared" si="332"/>
        <v/>
      </c>
      <c r="F4246" t="str">
        <f>IF(D4246="","",INDEX(Knutepunkter!$B:$B,D4246+1))</f>
        <v/>
      </c>
      <c r="G4246" t="str">
        <f>IF(D4246="","",INDEX(Knutepunkter!$C:$C,D4246+1))</f>
        <v/>
      </c>
      <c r="H4246" t="str">
        <f>IF(D4246="","",INDEX(Knutepunkter!$D:$D,D4246+1))</f>
        <v/>
      </c>
      <c r="I4246" t="str">
        <f>IF(E4246="","",INDEX(Knutepunkter!$B:$B,E4246+1))</f>
        <v/>
      </c>
      <c r="J4246" t="str">
        <f>IF(E4246="","",INDEX(Knutepunkter!$C:$C,E4246+1))</f>
        <v/>
      </c>
      <c r="K4246" t="str">
        <f>IF(E4246="","",INDEX(Knutepunkter!$D:$D,E4246+1))</f>
        <v/>
      </c>
      <c r="L4246" t="str">
        <f t="shared" si="333"/>
        <v/>
      </c>
      <c r="M4246" t="str">
        <f t="shared" si="334"/>
        <v/>
      </c>
    </row>
    <row r="4247" spans="1:13" x14ac:dyDescent="0.3">
      <c r="A4247" t="str">
        <f>Segmenter!A4247</f>
        <v/>
      </c>
      <c r="B4247" t="str">
        <f>Segmenter!B4247</f>
        <v/>
      </c>
      <c r="C4247" t="str">
        <f t="shared" si="330"/>
        <v/>
      </c>
      <c r="D4247" t="str">
        <f t="shared" si="331"/>
        <v/>
      </c>
      <c r="E4247" t="str">
        <f t="shared" si="332"/>
        <v/>
      </c>
      <c r="F4247" t="str">
        <f>IF(D4247="","",INDEX(Knutepunkter!$B:$B,D4247+1))</f>
        <v/>
      </c>
      <c r="G4247" t="str">
        <f>IF(D4247="","",INDEX(Knutepunkter!$C:$C,D4247+1))</f>
        <v/>
      </c>
      <c r="H4247" t="str">
        <f>IF(D4247="","",INDEX(Knutepunkter!$D:$D,D4247+1))</f>
        <v/>
      </c>
      <c r="I4247" t="str">
        <f>IF(E4247="","",INDEX(Knutepunkter!$B:$B,E4247+1))</f>
        <v/>
      </c>
      <c r="J4247" t="str">
        <f>IF(E4247="","",INDEX(Knutepunkter!$C:$C,E4247+1))</f>
        <v/>
      </c>
      <c r="K4247" t="str">
        <f>IF(E4247="","",INDEX(Knutepunkter!$D:$D,E4247+1))</f>
        <v/>
      </c>
      <c r="L4247" t="str">
        <f t="shared" si="333"/>
        <v/>
      </c>
      <c r="M4247" t="str">
        <f t="shared" si="334"/>
        <v/>
      </c>
    </row>
    <row r="4248" spans="1:13" x14ac:dyDescent="0.3">
      <c r="A4248" t="str">
        <f>Segmenter!A4248</f>
        <v/>
      </c>
      <c r="B4248" t="str">
        <f>Segmenter!B4248</f>
        <v/>
      </c>
      <c r="C4248" t="str">
        <f t="shared" si="330"/>
        <v/>
      </c>
      <c r="D4248" t="str">
        <f t="shared" si="331"/>
        <v/>
      </c>
      <c r="E4248" t="str">
        <f t="shared" si="332"/>
        <v/>
      </c>
      <c r="F4248" t="str">
        <f>IF(D4248="","",INDEX(Knutepunkter!$B:$B,D4248+1))</f>
        <v/>
      </c>
      <c r="G4248" t="str">
        <f>IF(D4248="","",INDEX(Knutepunkter!$C:$C,D4248+1))</f>
        <v/>
      </c>
      <c r="H4248" t="str">
        <f>IF(D4248="","",INDEX(Knutepunkter!$D:$D,D4248+1))</f>
        <v/>
      </c>
      <c r="I4248" t="str">
        <f>IF(E4248="","",INDEX(Knutepunkter!$B:$B,E4248+1))</f>
        <v/>
      </c>
      <c r="J4248" t="str">
        <f>IF(E4248="","",INDEX(Knutepunkter!$C:$C,E4248+1))</f>
        <v/>
      </c>
      <c r="K4248" t="str">
        <f>IF(E4248="","",INDEX(Knutepunkter!$D:$D,E4248+1))</f>
        <v/>
      </c>
      <c r="L4248" t="str">
        <f t="shared" si="333"/>
        <v/>
      </c>
      <c r="M4248" t="str">
        <f t="shared" si="334"/>
        <v/>
      </c>
    </row>
    <row r="4249" spans="1:13" x14ac:dyDescent="0.3">
      <c r="A4249" t="str">
        <f>Segmenter!A4249</f>
        <v/>
      </c>
      <c r="B4249" t="str">
        <f>Segmenter!B4249</f>
        <v/>
      </c>
      <c r="C4249" t="str">
        <f t="shared" si="330"/>
        <v/>
      </c>
      <c r="D4249" t="str">
        <f t="shared" si="331"/>
        <v/>
      </c>
      <c r="E4249" t="str">
        <f t="shared" si="332"/>
        <v/>
      </c>
      <c r="F4249" t="str">
        <f>IF(D4249="","",INDEX(Knutepunkter!$B:$B,D4249+1))</f>
        <v/>
      </c>
      <c r="G4249" t="str">
        <f>IF(D4249="","",INDEX(Knutepunkter!$C:$C,D4249+1))</f>
        <v/>
      </c>
      <c r="H4249" t="str">
        <f>IF(D4249="","",INDEX(Knutepunkter!$D:$D,D4249+1))</f>
        <v/>
      </c>
      <c r="I4249" t="str">
        <f>IF(E4249="","",INDEX(Knutepunkter!$B:$B,E4249+1))</f>
        <v/>
      </c>
      <c r="J4249" t="str">
        <f>IF(E4249="","",INDEX(Knutepunkter!$C:$C,E4249+1))</f>
        <v/>
      </c>
      <c r="K4249" t="str">
        <f>IF(E4249="","",INDEX(Knutepunkter!$D:$D,E4249+1))</f>
        <v/>
      </c>
      <c r="L4249" t="str">
        <f t="shared" si="333"/>
        <v/>
      </c>
      <c r="M4249" t="str">
        <f t="shared" si="334"/>
        <v/>
      </c>
    </row>
    <row r="4250" spans="1:13" x14ac:dyDescent="0.3">
      <c r="A4250" t="str">
        <f>Segmenter!A4250</f>
        <v/>
      </c>
      <c r="B4250" t="str">
        <f>Segmenter!B4250</f>
        <v/>
      </c>
      <c r="C4250" t="str">
        <f t="shared" si="330"/>
        <v/>
      </c>
      <c r="D4250" t="str">
        <f t="shared" si="331"/>
        <v/>
      </c>
      <c r="E4250" t="str">
        <f t="shared" si="332"/>
        <v/>
      </c>
      <c r="F4250" t="str">
        <f>IF(D4250="","",INDEX(Knutepunkter!$B:$B,D4250+1))</f>
        <v/>
      </c>
      <c r="G4250" t="str">
        <f>IF(D4250="","",INDEX(Knutepunkter!$C:$C,D4250+1))</f>
        <v/>
      </c>
      <c r="H4250" t="str">
        <f>IF(D4250="","",INDEX(Knutepunkter!$D:$D,D4250+1))</f>
        <v/>
      </c>
      <c r="I4250" t="str">
        <f>IF(E4250="","",INDEX(Knutepunkter!$B:$B,E4250+1))</f>
        <v/>
      </c>
      <c r="J4250" t="str">
        <f>IF(E4250="","",INDEX(Knutepunkter!$C:$C,E4250+1))</f>
        <v/>
      </c>
      <c r="K4250" t="str">
        <f>IF(E4250="","",INDEX(Knutepunkter!$D:$D,E4250+1))</f>
        <v/>
      </c>
      <c r="L4250" t="str">
        <f t="shared" si="333"/>
        <v/>
      </c>
      <c r="M4250" t="str">
        <f t="shared" si="334"/>
        <v/>
      </c>
    </row>
    <row r="4251" spans="1:13" x14ac:dyDescent="0.3">
      <c r="A4251" t="str">
        <f>Segmenter!A4251</f>
        <v/>
      </c>
      <c r="B4251" t="str">
        <f>Segmenter!B4251</f>
        <v/>
      </c>
      <c r="C4251" t="str">
        <f t="shared" si="330"/>
        <v/>
      </c>
      <c r="D4251" t="str">
        <f t="shared" si="331"/>
        <v/>
      </c>
      <c r="E4251" t="str">
        <f t="shared" si="332"/>
        <v/>
      </c>
      <c r="F4251" t="str">
        <f>IF(D4251="","",INDEX(Knutepunkter!$B:$B,D4251+1))</f>
        <v/>
      </c>
      <c r="G4251" t="str">
        <f>IF(D4251="","",INDEX(Knutepunkter!$C:$C,D4251+1))</f>
        <v/>
      </c>
      <c r="H4251" t="str">
        <f>IF(D4251="","",INDEX(Knutepunkter!$D:$D,D4251+1))</f>
        <v/>
      </c>
      <c r="I4251" t="str">
        <f>IF(E4251="","",INDEX(Knutepunkter!$B:$B,E4251+1))</f>
        <v/>
      </c>
      <c r="J4251" t="str">
        <f>IF(E4251="","",INDEX(Knutepunkter!$C:$C,E4251+1))</f>
        <v/>
      </c>
      <c r="K4251" t="str">
        <f>IF(E4251="","",INDEX(Knutepunkter!$D:$D,E4251+1))</f>
        <v/>
      </c>
      <c r="L4251" t="str">
        <f t="shared" si="333"/>
        <v/>
      </c>
      <c r="M4251" t="str">
        <f t="shared" si="334"/>
        <v/>
      </c>
    </row>
    <row r="4252" spans="1:13" x14ac:dyDescent="0.3">
      <c r="A4252" t="str">
        <f>Segmenter!A4252</f>
        <v/>
      </c>
      <c r="B4252" t="str">
        <f>Segmenter!B4252</f>
        <v/>
      </c>
      <c r="C4252" t="str">
        <f t="shared" si="330"/>
        <v/>
      </c>
      <c r="D4252" t="str">
        <f t="shared" si="331"/>
        <v/>
      </c>
      <c r="E4252" t="str">
        <f t="shared" si="332"/>
        <v/>
      </c>
      <c r="F4252" t="str">
        <f>IF(D4252="","",INDEX(Knutepunkter!$B:$B,D4252+1))</f>
        <v/>
      </c>
      <c r="G4252" t="str">
        <f>IF(D4252="","",INDEX(Knutepunkter!$C:$C,D4252+1))</f>
        <v/>
      </c>
      <c r="H4252" t="str">
        <f>IF(D4252="","",INDEX(Knutepunkter!$D:$D,D4252+1))</f>
        <v/>
      </c>
      <c r="I4252" t="str">
        <f>IF(E4252="","",INDEX(Knutepunkter!$B:$B,E4252+1))</f>
        <v/>
      </c>
      <c r="J4252" t="str">
        <f>IF(E4252="","",INDEX(Knutepunkter!$C:$C,E4252+1))</f>
        <v/>
      </c>
      <c r="K4252" t="str">
        <f>IF(E4252="","",INDEX(Knutepunkter!$D:$D,E4252+1))</f>
        <v/>
      </c>
      <c r="L4252" t="str">
        <f t="shared" si="333"/>
        <v/>
      </c>
      <c r="M4252" t="str">
        <f t="shared" si="334"/>
        <v/>
      </c>
    </row>
    <row r="4253" spans="1:13" x14ac:dyDescent="0.3">
      <c r="A4253" t="str">
        <f>Segmenter!A4253</f>
        <v/>
      </c>
      <c r="B4253" t="str">
        <f>Segmenter!B4253</f>
        <v/>
      </c>
      <c r="C4253" t="str">
        <f t="shared" si="330"/>
        <v/>
      </c>
      <c r="D4253" t="str">
        <f t="shared" si="331"/>
        <v/>
      </c>
      <c r="E4253" t="str">
        <f t="shared" si="332"/>
        <v/>
      </c>
      <c r="F4253" t="str">
        <f>IF(D4253="","",INDEX(Knutepunkter!$B:$B,D4253+1))</f>
        <v/>
      </c>
      <c r="G4253" t="str">
        <f>IF(D4253="","",INDEX(Knutepunkter!$C:$C,D4253+1))</f>
        <v/>
      </c>
      <c r="H4253" t="str">
        <f>IF(D4253="","",INDEX(Knutepunkter!$D:$D,D4253+1))</f>
        <v/>
      </c>
      <c r="I4253" t="str">
        <f>IF(E4253="","",INDEX(Knutepunkter!$B:$B,E4253+1))</f>
        <v/>
      </c>
      <c r="J4253" t="str">
        <f>IF(E4253="","",INDEX(Knutepunkter!$C:$C,E4253+1))</f>
        <v/>
      </c>
      <c r="K4253" t="str">
        <f>IF(E4253="","",INDEX(Knutepunkter!$D:$D,E4253+1))</f>
        <v/>
      </c>
      <c r="L4253" t="str">
        <f t="shared" si="333"/>
        <v/>
      </c>
      <c r="M4253" t="str">
        <f t="shared" si="334"/>
        <v/>
      </c>
    </row>
    <row r="4254" spans="1:13" x14ac:dyDescent="0.3">
      <c r="A4254" t="str">
        <f>Segmenter!A4254</f>
        <v/>
      </c>
      <c r="B4254" t="str">
        <f>Segmenter!B4254</f>
        <v/>
      </c>
      <c r="C4254" t="str">
        <f t="shared" si="330"/>
        <v/>
      </c>
      <c r="D4254" t="str">
        <f t="shared" si="331"/>
        <v/>
      </c>
      <c r="E4254" t="str">
        <f t="shared" si="332"/>
        <v/>
      </c>
      <c r="F4254" t="str">
        <f>IF(D4254="","",INDEX(Knutepunkter!$B:$B,D4254+1))</f>
        <v/>
      </c>
      <c r="G4254" t="str">
        <f>IF(D4254="","",INDEX(Knutepunkter!$C:$C,D4254+1))</f>
        <v/>
      </c>
      <c r="H4254" t="str">
        <f>IF(D4254="","",INDEX(Knutepunkter!$D:$D,D4254+1))</f>
        <v/>
      </c>
      <c r="I4254" t="str">
        <f>IF(E4254="","",INDEX(Knutepunkter!$B:$B,E4254+1))</f>
        <v/>
      </c>
      <c r="J4254" t="str">
        <f>IF(E4254="","",INDEX(Knutepunkter!$C:$C,E4254+1))</f>
        <v/>
      </c>
      <c r="K4254" t="str">
        <f>IF(E4254="","",INDEX(Knutepunkter!$D:$D,E4254+1))</f>
        <v/>
      </c>
      <c r="L4254" t="str">
        <f t="shared" si="333"/>
        <v/>
      </c>
      <c r="M4254" t="str">
        <f t="shared" si="334"/>
        <v/>
      </c>
    </row>
    <row r="4255" spans="1:13" x14ac:dyDescent="0.3">
      <c r="A4255" t="str">
        <f>Segmenter!A4255</f>
        <v/>
      </c>
      <c r="B4255" t="str">
        <f>Segmenter!B4255</f>
        <v/>
      </c>
      <c r="C4255" t="str">
        <f t="shared" si="330"/>
        <v/>
      </c>
      <c r="D4255" t="str">
        <f t="shared" si="331"/>
        <v/>
      </c>
      <c r="E4255" t="str">
        <f t="shared" si="332"/>
        <v/>
      </c>
      <c r="F4255" t="str">
        <f>IF(D4255="","",INDEX(Knutepunkter!$B:$B,D4255+1))</f>
        <v/>
      </c>
      <c r="G4255" t="str">
        <f>IF(D4255="","",INDEX(Knutepunkter!$C:$C,D4255+1))</f>
        <v/>
      </c>
      <c r="H4255" t="str">
        <f>IF(D4255="","",INDEX(Knutepunkter!$D:$D,D4255+1))</f>
        <v/>
      </c>
      <c r="I4255" t="str">
        <f>IF(E4255="","",INDEX(Knutepunkter!$B:$B,E4255+1))</f>
        <v/>
      </c>
      <c r="J4255" t="str">
        <f>IF(E4255="","",INDEX(Knutepunkter!$C:$C,E4255+1))</f>
        <v/>
      </c>
      <c r="K4255" t="str">
        <f>IF(E4255="","",INDEX(Knutepunkter!$D:$D,E4255+1))</f>
        <v/>
      </c>
      <c r="L4255" t="str">
        <f t="shared" si="333"/>
        <v/>
      </c>
      <c r="M4255" t="str">
        <f t="shared" si="334"/>
        <v/>
      </c>
    </row>
    <row r="4256" spans="1:13" x14ac:dyDescent="0.3">
      <c r="A4256" t="str">
        <f>Segmenter!A4256</f>
        <v/>
      </c>
      <c r="B4256" t="str">
        <f>Segmenter!B4256</f>
        <v/>
      </c>
      <c r="C4256" t="str">
        <f t="shared" si="330"/>
        <v/>
      </c>
      <c r="D4256" t="str">
        <f t="shared" si="331"/>
        <v/>
      </c>
      <c r="E4256" t="str">
        <f t="shared" si="332"/>
        <v/>
      </c>
      <c r="F4256" t="str">
        <f>IF(D4256="","",INDEX(Knutepunkter!$B:$B,D4256+1))</f>
        <v/>
      </c>
      <c r="G4256" t="str">
        <f>IF(D4256="","",INDEX(Knutepunkter!$C:$C,D4256+1))</f>
        <v/>
      </c>
      <c r="H4256" t="str">
        <f>IF(D4256="","",INDEX(Knutepunkter!$D:$D,D4256+1))</f>
        <v/>
      </c>
      <c r="I4256" t="str">
        <f>IF(E4256="","",INDEX(Knutepunkter!$B:$B,E4256+1))</f>
        <v/>
      </c>
      <c r="J4256" t="str">
        <f>IF(E4256="","",INDEX(Knutepunkter!$C:$C,E4256+1))</f>
        <v/>
      </c>
      <c r="K4256" t="str">
        <f>IF(E4256="","",INDEX(Knutepunkter!$D:$D,E4256+1))</f>
        <v/>
      </c>
      <c r="L4256" t="str">
        <f t="shared" si="333"/>
        <v/>
      </c>
      <c r="M4256" t="str">
        <f t="shared" si="334"/>
        <v/>
      </c>
    </row>
    <row r="4257" spans="1:13" x14ac:dyDescent="0.3">
      <c r="A4257" t="str">
        <f>Segmenter!A4257</f>
        <v/>
      </c>
      <c r="B4257" t="str">
        <f>Segmenter!B4257</f>
        <v/>
      </c>
      <c r="C4257" t="str">
        <f t="shared" si="330"/>
        <v/>
      </c>
      <c r="D4257" t="str">
        <f t="shared" si="331"/>
        <v/>
      </c>
      <c r="E4257" t="str">
        <f t="shared" si="332"/>
        <v/>
      </c>
      <c r="F4257" t="str">
        <f>IF(D4257="","",INDEX(Knutepunkter!$B:$B,D4257+1))</f>
        <v/>
      </c>
      <c r="G4257" t="str">
        <f>IF(D4257="","",INDEX(Knutepunkter!$C:$C,D4257+1))</f>
        <v/>
      </c>
      <c r="H4257" t="str">
        <f>IF(D4257="","",INDEX(Knutepunkter!$D:$D,D4257+1))</f>
        <v/>
      </c>
      <c r="I4257" t="str">
        <f>IF(E4257="","",INDEX(Knutepunkter!$B:$B,E4257+1))</f>
        <v/>
      </c>
      <c r="J4257" t="str">
        <f>IF(E4257="","",INDEX(Knutepunkter!$C:$C,E4257+1))</f>
        <v/>
      </c>
      <c r="K4257" t="str">
        <f>IF(E4257="","",INDEX(Knutepunkter!$D:$D,E4257+1))</f>
        <v/>
      </c>
      <c r="L4257" t="str">
        <f t="shared" si="333"/>
        <v/>
      </c>
      <c r="M4257" t="str">
        <f t="shared" si="334"/>
        <v/>
      </c>
    </row>
    <row r="4258" spans="1:13" x14ac:dyDescent="0.3">
      <c r="A4258" t="str">
        <f>Segmenter!A4258</f>
        <v/>
      </c>
      <c r="B4258" t="str">
        <f>Segmenter!B4258</f>
        <v/>
      </c>
      <c r="C4258" t="str">
        <f t="shared" si="330"/>
        <v/>
      </c>
      <c r="D4258" t="str">
        <f t="shared" si="331"/>
        <v/>
      </c>
      <c r="E4258" t="str">
        <f t="shared" si="332"/>
        <v/>
      </c>
      <c r="F4258" t="str">
        <f>IF(D4258="","",INDEX(Knutepunkter!$B:$B,D4258+1))</f>
        <v/>
      </c>
      <c r="G4258" t="str">
        <f>IF(D4258="","",INDEX(Knutepunkter!$C:$C,D4258+1))</f>
        <v/>
      </c>
      <c r="H4258" t="str">
        <f>IF(D4258="","",INDEX(Knutepunkter!$D:$D,D4258+1))</f>
        <v/>
      </c>
      <c r="I4258" t="str">
        <f>IF(E4258="","",INDEX(Knutepunkter!$B:$B,E4258+1))</f>
        <v/>
      </c>
      <c r="J4258" t="str">
        <f>IF(E4258="","",INDEX(Knutepunkter!$C:$C,E4258+1))</f>
        <v/>
      </c>
      <c r="K4258" t="str">
        <f>IF(E4258="","",INDEX(Knutepunkter!$D:$D,E4258+1))</f>
        <v/>
      </c>
      <c r="L4258" t="str">
        <f t="shared" si="333"/>
        <v/>
      </c>
      <c r="M4258" t="str">
        <f t="shared" si="334"/>
        <v/>
      </c>
    </row>
    <row r="4259" spans="1:13" x14ac:dyDescent="0.3">
      <c r="A4259" t="str">
        <f>Segmenter!A4259</f>
        <v/>
      </c>
      <c r="B4259" t="str">
        <f>Segmenter!B4259</f>
        <v/>
      </c>
      <c r="C4259" t="str">
        <f t="shared" si="330"/>
        <v/>
      </c>
      <c r="D4259" t="str">
        <f t="shared" si="331"/>
        <v/>
      </c>
      <c r="E4259" t="str">
        <f t="shared" si="332"/>
        <v/>
      </c>
      <c r="F4259" t="str">
        <f>IF(D4259="","",INDEX(Knutepunkter!$B:$B,D4259+1))</f>
        <v/>
      </c>
      <c r="G4259" t="str">
        <f>IF(D4259="","",INDEX(Knutepunkter!$C:$C,D4259+1))</f>
        <v/>
      </c>
      <c r="H4259" t="str">
        <f>IF(D4259="","",INDEX(Knutepunkter!$D:$D,D4259+1))</f>
        <v/>
      </c>
      <c r="I4259" t="str">
        <f>IF(E4259="","",INDEX(Knutepunkter!$B:$B,E4259+1))</f>
        <v/>
      </c>
      <c r="J4259" t="str">
        <f>IF(E4259="","",INDEX(Knutepunkter!$C:$C,E4259+1))</f>
        <v/>
      </c>
      <c r="K4259" t="str">
        <f>IF(E4259="","",INDEX(Knutepunkter!$D:$D,E4259+1))</f>
        <v/>
      </c>
      <c r="L4259" t="str">
        <f t="shared" si="333"/>
        <v/>
      </c>
      <c r="M4259" t="str">
        <f t="shared" si="334"/>
        <v/>
      </c>
    </row>
    <row r="4260" spans="1:13" x14ac:dyDescent="0.3">
      <c r="A4260" t="str">
        <f>Segmenter!A4260</f>
        <v/>
      </c>
      <c r="B4260" t="str">
        <f>Segmenter!B4260</f>
        <v/>
      </c>
      <c r="C4260" t="str">
        <f t="shared" si="330"/>
        <v/>
      </c>
      <c r="D4260" t="str">
        <f t="shared" si="331"/>
        <v/>
      </c>
      <c r="E4260" t="str">
        <f t="shared" si="332"/>
        <v/>
      </c>
      <c r="F4260" t="str">
        <f>IF(D4260="","",INDEX(Knutepunkter!$B:$B,D4260+1))</f>
        <v/>
      </c>
      <c r="G4260" t="str">
        <f>IF(D4260="","",INDEX(Knutepunkter!$C:$C,D4260+1))</f>
        <v/>
      </c>
      <c r="H4260" t="str">
        <f>IF(D4260="","",INDEX(Knutepunkter!$D:$D,D4260+1))</f>
        <v/>
      </c>
      <c r="I4260" t="str">
        <f>IF(E4260="","",INDEX(Knutepunkter!$B:$B,E4260+1))</f>
        <v/>
      </c>
      <c r="J4260" t="str">
        <f>IF(E4260="","",INDEX(Knutepunkter!$C:$C,E4260+1))</f>
        <v/>
      </c>
      <c r="K4260" t="str">
        <f>IF(E4260="","",INDEX(Knutepunkter!$D:$D,E4260+1))</f>
        <v/>
      </c>
      <c r="L4260" t="str">
        <f t="shared" si="333"/>
        <v/>
      </c>
      <c r="M4260" t="str">
        <f t="shared" si="334"/>
        <v/>
      </c>
    </row>
    <row r="4261" spans="1:13" x14ac:dyDescent="0.3">
      <c r="A4261" t="str">
        <f>Segmenter!A4261</f>
        <v/>
      </c>
      <c r="B4261" t="str">
        <f>Segmenter!B4261</f>
        <v/>
      </c>
      <c r="C4261" t="str">
        <f t="shared" si="330"/>
        <v/>
      </c>
      <c r="D4261" t="str">
        <f t="shared" si="331"/>
        <v/>
      </c>
      <c r="E4261" t="str">
        <f t="shared" si="332"/>
        <v/>
      </c>
      <c r="F4261" t="str">
        <f>IF(D4261="","",INDEX(Knutepunkter!$B:$B,D4261+1))</f>
        <v/>
      </c>
      <c r="G4261" t="str">
        <f>IF(D4261="","",INDEX(Knutepunkter!$C:$C,D4261+1))</f>
        <v/>
      </c>
      <c r="H4261" t="str">
        <f>IF(D4261="","",INDEX(Knutepunkter!$D:$D,D4261+1))</f>
        <v/>
      </c>
      <c r="I4261" t="str">
        <f>IF(E4261="","",INDEX(Knutepunkter!$B:$B,E4261+1))</f>
        <v/>
      </c>
      <c r="J4261" t="str">
        <f>IF(E4261="","",INDEX(Knutepunkter!$C:$C,E4261+1))</f>
        <v/>
      </c>
      <c r="K4261" t="str">
        <f>IF(E4261="","",INDEX(Knutepunkter!$D:$D,E4261+1))</f>
        <v/>
      </c>
      <c r="L4261" t="str">
        <f t="shared" si="333"/>
        <v/>
      </c>
      <c r="M4261" t="str">
        <f t="shared" si="334"/>
        <v/>
      </c>
    </row>
    <row r="4262" spans="1:13" x14ac:dyDescent="0.3">
      <c r="A4262" t="str">
        <f>Segmenter!A4262</f>
        <v/>
      </c>
      <c r="B4262" t="str">
        <f>Segmenter!B4262</f>
        <v/>
      </c>
      <c r="C4262" t="str">
        <f t="shared" si="330"/>
        <v/>
      </c>
      <c r="D4262" t="str">
        <f t="shared" si="331"/>
        <v/>
      </c>
      <c r="E4262" t="str">
        <f t="shared" si="332"/>
        <v/>
      </c>
      <c r="F4262" t="str">
        <f>IF(D4262="","",INDEX(Knutepunkter!$B:$B,D4262+1))</f>
        <v/>
      </c>
      <c r="G4262" t="str">
        <f>IF(D4262="","",INDEX(Knutepunkter!$C:$C,D4262+1))</f>
        <v/>
      </c>
      <c r="H4262" t="str">
        <f>IF(D4262="","",INDEX(Knutepunkter!$D:$D,D4262+1))</f>
        <v/>
      </c>
      <c r="I4262" t="str">
        <f>IF(E4262="","",INDEX(Knutepunkter!$B:$B,E4262+1))</f>
        <v/>
      </c>
      <c r="J4262" t="str">
        <f>IF(E4262="","",INDEX(Knutepunkter!$C:$C,E4262+1))</f>
        <v/>
      </c>
      <c r="K4262" t="str">
        <f>IF(E4262="","",INDEX(Knutepunkter!$D:$D,E4262+1))</f>
        <v/>
      </c>
      <c r="L4262" t="str">
        <f t="shared" si="333"/>
        <v/>
      </c>
      <c r="M4262" t="str">
        <f t="shared" si="334"/>
        <v/>
      </c>
    </row>
    <row r="4263" spans="1:13" x14ac:dyDescent="0.3">
      <c r="A4263" t="str">
        <f>Segmenter!A4263</f>
        <v/>
      </c>
      <c r="B4263" t="str">
        <f>Segmenter!B4263</f>
        <v/>
      </c>
      <c r="C4263" t="str">
        <f t="shared" si="330"/>
        <v/>
      </c>
      <c r="D4263" t="str">
        <f t="shared" si="331"/>
        <v/>
      </c>
      <c r="E4263" t="str">
        <f t="shared" si="332"/>
        <v/>
      </c>
      <c r="F4263" t="str">
        <f>IF(D4263="","",INDEX(Knutepunkter!$B:$B,D4263+1))</f>
        <v/>
      </c>
      <c r="G4263" t="str">
        <f>IF(D4263="","",INDEX(Knutepunkter!$C:$C,D4263+1))</f>
        <v/>
      </c>
      <c r="H4263" t="str">
        <f>IF(D4263="","",INDEX(Knutepunkter!$D:$D,D4263+1))</f>
        <v/>
      </c>
      <c r="I4263" t="str">
        <f>IF(E4263="","",INDEX(Knutepunkter!$B:$B,E4263+1))</f>
        <v/>
      </c>
      <c r="J4263" t="str">
        <f>IF(E4263="","",INDEX(Knutepunkter!$C:$C,E4263+1))</f>
        <v/>
      </c>
      <c r="K4263" t="str">
        <f>IF(E4263="","",INDEX(Knutepunkter!$D:$D,E4263+1))</f>
        <v/>
      </c>
      <c r="L4263" t="str">
        <f t="shared" si="333"/>
        <v/>
      </c>
      <c r="M4263" t="str">
        <f t="shared" si="334"/>
        <v/>
      </c>
    </row>
    <row r="4264" spans="1:13" x14ac:dyDescent="0.3">
      <c r="A4264" t="str">
        <f>Segmenter!A4264</f>
        <v/>
      </c>
      <c r="B4264" t="str">
        <f>Segmenter!B4264</f>
        <v/>
      </c>
      <c r="C4264" t="str">
        <f t="shared" si="330"/>
        <v/>
      </c>
      <c r="D4264" t="str">
        <f t="shared" si="331"/>
        <v/>
      </c>
      <c r="E4264" t="str">
        <f t="shared" si="332"/>
        <v/>
      </c>
      <c r="F4264" t="str">
        <f>IF(D4264="","",INDEX(Knutepunkter!$B:$B,D4264+1))</f>
        <v/>
      </c>
      <c r="G4264" t="str">
        <f>IF(D4264="","",INDEX(Knutepunkter!$C:$C,D4264+1))</f>
        <v/>
      </c>
      <c r="H4264" t="str">
        <f>IF(D4264="","",INDEX(Knutepunkter!$D:$D,D4264+1))</f>
        <v/>
      </c>
      <c r="I4264" t="str">
        <f>IF(E4264="","",INDEX(Knutepunkter!$B:$B,E4264+1))</f>
        <v/>
      </c>
      <c r="J4264" t="str">
        <f>IF(E4264="","",INDEX(Knutepunkter!$C:$C,E4264+1))</f>
        <v/>
      </c>
      <c r="K4264" t="str">
        <f>IF(E4264="","",INDEX(Knutepunkter!$D:$D,E4264+1))</f>
        <v/>
      </c>
      <c r="L4264" t="str">
        <f t="shared" si="333"/>
        <v/>
      </c>
      <c r="M4264" t="str">
        <f t="shared" si="334"/>
        <v/>
      </c>
    </row>
    <row r="4265" spans="1:13" x14ac:dyDescent="0.3">
      <c r="A4265" t="str">
        <f>Segmenter!A4265</f>
        <v/>
      </c>
      <c r="B4265" t="str">
        <f>Segmenter!B4265</f>
        <v/>
      </c>
      <c r="C4265" t="str">
        <f t="shared" si="330"/>
        <v/>
      </c>
      <c r="D4265" t="str">
        <f t="shared" si="331"/>
        <v/>
      </c>
      <c r="E4265" t="str">
        <f t="shared" si="332"/>
        <v/>
      </c>
      <c r="F4265" t="str">
        <f>IF(D4265="","",INDEX(Knutepunkter!$B:$B,D4265+1))</f>
        <v/>
      </c>
      <c r="G4265" t="str">
        <f>IF(D4265="","",INDEX(Knutepunkter!$C:$C,D4265+1))</f>
        <v/>
      </c>
      <c r="H4265" t="str">
        <f>IF(D4265="","",INDEX(Knutepunkter!$D:$D,D4265+1))</f>
        <v/>
      </c>
      <c r="I4265" t="str">
        <f>IF(E4265="","",INDEX(Knutepunkter!$B:$B,E4265+1))</f>
        <v/>
      </c>
      <c r="J4265" t="str">
        <f>IF(E4265="","",INDEX(Knutepunkter!$C:$C,E4265+1))</f>
        <v/>
      </c>
      <c r="K4265" t="str">
        <f>IF(E4265="","",INDEX(Knutepunkter!$D:$D,E4265+1))</f>
        <v/>
      </c>
      <c r="L4265" t="str">
        <f t="shared" si="333"/>
        <v/>
      </c>
      <c r="M4265" t="str">
        <f t="shared" si="334"/>
        <v/>
      </c>
    </row>
    <row r="4266" spans="1:13" x14ac:dyDescent="0.3">
      <c r="A4266" t="str">
        <f>Segmenter!A4266</f>
        <v/>
      </c>
      <c r="B4266" t="str">
        <f>Segmenter!B4266</f>
        <v/>
      </c>
      <c r="C4266" t="str">
        <f t="shared" si="330"/>
        <v/>
      </c>
      <c r="D4266" t="str">
        <f t="shared" si="331"/>
        <v/>
      </c>
      <c r="E4266" t="str">
        <f t="shared" si="332"/>
        <v/>
      </c>
      <c r="F4266" t="str">
        <f>IF(D4266="","",INDEX(Knutepunkter!$B:$B,D4266+1))</f>
        <v/>
      </c>
      <c r="G4266" t="str">
        <f>IF(D4266="","",INDEX(Knutepunkter!$C:$C,D4266+1))</f>
        <v/>
      </c>
      <c r="H4266" t="str">
        <f>IF(D4266="","",INDEX(Knutepunkter!$D:$D,D4266+1))</f>
        <v/>
      </c>
      <c r="I4266" t="str">
        <f>IF(E4266="","",INDEX(Knutepunkter!$B:$B,E4266+1))</f>
        <v/>
      </c>
      <c r="J4266" t="str">
        <f>IF(E4266="","",INDEX(Knutepunkter!$C:$C,E4266+1))</f>
        <v/>
      </c>
      <c r="K4266" t="str">
        <f>IF(E4266="","",INDEX(Knutepunkter!$D:$D,E4266+1))</f>
        <v/>
      </c>
      <c r="L4266" t="str">
        <f t="shared" si="333"/>
        <v/>
      </c>
      <c r="M4266" t="str">
        <f t="shared" si="334"/>
        <v/>
      </c>
    </row>
    <row r="4267" spans="1:13" x14ac:dyDescent="0.3">
      <c r="A4267" t="str">
        <f>Segmenter!A4267</f>
        <v/>
      </c>
      <c r="B4267" t="str">
        <f>Segmenter!B4267</f>
        <v/>
      </c>
      <c r="C4267" t="str">
        <f t="shared" si="330"/>
        <v/>
      </c>
      <c r="D4267" t="str">
        <f t="shared" si="331"/>
        <v/>
      </c>
      <c r="E4267" t="str">
        <f t="shared" si="332"/>
        <v/>
      </c>
      <c r="F4267" t="str">
        <f>IF(D4267="","",INDEX(Knutepunkter!$B:$B,D4267+1))</f>
        <v/>
      </c>
      <c r="G4267" t="str">
        <f>IF(D4267="","",INDEX(Knutepunkter!$C:$C,D4267+1))</f>
        <v/>
      </c>
      <c r="H4267" t="str">
        <f>IF(D4267="","",INDEX(Knutepunkter!$D:$D,D4267+1))</f>
        <v/>
      </c>
      <c r="I4267" t="str">
        <f>IF(E4267="","",INDEX(Knutepunkter!$B:$B,E4267+1))</f>
        <v/>
      </c>
      <c r="J4267" t="str">
        <f>IF(E4267="","",INDEX(Knutepunkter!$C:$C,E4267+1))</f>
        <v/>
      </c>
      <c r="K4267" t="str">
        <f>IF(E4267="","",INDEX(Knutepunkter!$D:$D,E4267+1))</f>
        <v/>
      </c>
      <c r="L4267" t="str">
        <f t="shared" si="333"/>
        <v/>
      </c>
      <c r="M4267" t="str">
        <f t="shared" si="334"/>
        <v/>
      </c>
    </row>
    <row r="4268" spans="1:13" x14ac:dyDescent="0.3">
      <c r="A4268" t="str">
        <f>Segmenter!A4268</f>
        <v/>
      </c>
      <c r="B4268" t="str">
        <f>Segmenter!B4268</f>
        <v/>
      </c>
      <c r="C4268" t="str">
        <f t="shared" si="330"/>
        <v/>
      </c>
      <c r="D4268" t="str">
        <f t="shared" si="331"/>
        <v/>
      </c>
      <c r="E4268" t="str">
        <f t="shared" si="332"/>
        <v/>
      </c>
      <c r="F4268" t="str">
        <f>IF(D4268="","",INDEX(Knutepunkter!$B:$B,D4268+1))</f>
        <v/>
      </c>
      <c r="G4268" t="str">
        <f>IF(D4268="","",INDEX(Knutepunkter!$C:$C,D4268+1))</f>
        <v/>
      </c>
      <c r="H4268" t="str">
        <f>IF(D4268="","",INDEX(Knutepunkter!$D:$D,D4268+1))</f>
        <v/>
      </c>
      <c r="I4268" t="str">
        <f>IF(E4268="","",INDEX(Knutepunkter!$B:$B,E4268+1))</f>
        <v/>
      </c>
      <c r="J4268" t="str">
        <f>IF(E4268="","",INDEX(Knutepunkter!$C:$C,E4268+1))</f>
        <v/>
      </c>
      <c r="K4268" t="str">
        <f>IF(E4268="","",INDEX(Knutepunkter!$D:$D,E4268+1))</f>
        <v/>
      </c>
      <c r="L4268" t="str">
        <f t="shared" si="333"/>
        <v/>
      </c>
      <c r="M4268" t="str">
        <f t="shared" si="334"/>
        <v/>
      </c>
    </row>
    <row r="4269" spans="1:13" x14ac:dyDescent="0.3">
      <c r="A4269" t="str">
        <f>Segmenter!A4269</f>
        <v/>
      </c>
      <c r="B4269" t="str">
        <f>Segmenter!B4269</f>
        <v/>
      </c>
      <c r="C4269" t="str">
        <f t="shared" si="330"/>
        <v/>
      </c>
      <c r="D4269" t="str">
        <f t="shared" si="331"/>
        <v/>
      </c>
      <c r="E4269" t="str">
        <f t="shared" si="332"/>
        <v/>
      </c>
      <c r="F4269" t="str">
        <f>IF(D4269="","",INDEX(Knutepunkter!$B:$B,D4269+1))</f>
        <v/>
      </c>
      <c r="G4269" t="str">
        <f>IF(D4269="","",INDEX(Knutepunkter!$C:$C,D4269+1))</f>
        <v/>
      </c>
      <c r="H4269" t="str">
        <f>IF(D4269="","",INDEX(Knutepunkter!$D:$D,D4269+1))</f>
        <v/>
      </c>
      <c r="I4269" t="str">
        <f>IF(E4269="","",INDEX(Knutepunkter!$B:$B,E4269+1))</f>
        <v/>
      </c>
      <c r="J4269" t="str">
        <f>IF(E4269="","",INDEX(Knutepunkter!$C:$C,E4269+1))</f>
        <v/>
      </c>
      <c r="K4269" t="str">
        <f>IF(E4269="","",INDEX(Knutepunkter!$D:$D,E4269+1))</f>
        <v/>
      </c>
      <c r="L4269" t="str">
        <f t="shared" si="333"/>
        <v/>
      </c>
      <c r="M4269" t="str">
        <f t="shared" si="334"/>
        <v/>
      </c>
    </row>
    <row r="4270" spans="1:13" x14ac:dyDescent="0.3">
      <c r="A4270" t="str">
        <f>Segmenter!A4270</f>
        <v/>
      </c>
      <c r="B4270" t="str">
        <f>Segmenter!B4270</f>
        <v/>
      </c>
      <c r="C4270" t="str">
        <f t="shared" si="330"/>
        <v/>
      </c>
      <c r="D4270" t="str">
        <f t="shared" si="331"/>
        <v/>
      </c>
      <c r="E4270" t="str">
        <f t="shared" si="332"/>
        <v/>
      </c>
      <c r="F4270" t="str">
        <f>IF(D4270="","",INDEX(Knutepunkter!$B:$B,D4270+1))</f>
        <v/>
      </c>
      <c r="G4270" t="str">
        <f>IF(D4270="","",INDEX(Knutepunkter!$C:$C,D4270+1))</f>
        <v/>
      </c>
      <c r="H4270" t="str">
        <f>IF(D4270="","",INDEX(Knutepunkter!$D:$D,D4270+1))</f>
        <v/>
      </c>
      <c r="I4270" t="str">
        <f>IF(E4270="","",INDEX(Knutepunkter!$B:$B,E4270+1))</f>
        <v/>
      </c>
      <c r="J4270" t="str">
        <f>IF(E4270="","",INDEX(Knutepunkter!$C:$C,E4270+1))</f>
        <v/>
      </c>
      <c r="K4270" t="str">
        <f>IF(E4270="","",INDEX(Knutepunkter!$D:$D,E4270+1))</f>
        <v/>
      </c>
      <c r="L4270" t="str">
        <f t="shared" si="333"/>
        <v/>
      </c>
      <c r="M4270" t="str">
        <f t="shared" si="334"/>
        <v/>
      </c>
    </row>
    <row r="4271" spans="1:13" x14ac:dyDescent="0.3">
      <c r="A4271" t="str">
        <f>Segmenter!A4271</f>
        <v/>
      </c>
      <c r="B4271" t="str">
        <f>Segmenter!B4271</f>
        <v/>
      </c>
      <c r="C4271" t="str">
        <f t="shared" si="330"/>
        <v/>
      </c>
      <c r="D4271" t="str">
        <f t="shared" si="331"/>
        <v/>
      </c>
      <c r="E4271" t="str">
        <f t="shared" si="332"/>
        <v/>
      </c>
      <c r="F4271" t="str">
        <f>IF(D4271="","",INDEX(Knutepunkter!$B:$B,D4271+1))</f>
        <v/>
      </c>
      <c r="G4271" t="str">
        <f>IF(D4271="","",INDEX(Knutepunkter!$C:$C,D4271+1))</f>
        <v/>
      </c>
      <c r="H4271" t="str">
        <f>IF(D4271="","",INDEX(Knutepunkter!$D:$D,D4271+1))</f>
        <v/>
      </c>
      <c r="I4271" t="str">
        <f>IF(E4271="","",INDEX(Knutepunkter!$B:$B,E4271+1))</f>
        <v/>
      </c>
      <c r="J4271" t="str">
        <f>IF(E4271="","",INDEX(Knutepunkter!$C:$C,E4271+1))</f>
        <v/>
      </c>
      <c r="K4271" t="str">
        <f>IF(E4271="","",INDEX(Knutepunkter!$D:$D,E4271+1))</f>
        <v/>
      </c>
      <c r="L4271" t="str">
        <f t="shared" si="333"/>
        <v/>
      </c>
      <c r="M4271" t="str">
        <f t="shared" si="334"/>
        <v/>
      </c>
    </row>
    <row r="4272" spans="1:13" x14ac:dyDescent="0.3">
      <c r="A4272" t="str">
        <f>Segmenter!A4272</f>
        <v/>
      </c>
      <c r="B4272" t="str">
        <f>Segmenter!B4272</f>
        <v/>
      </c>
      <c r="C4272" t="str">
        <f t="shared" si="330"/>
        <v/>
      </c>
      <c r="D4272" t="str">
        <f t="shared" si="331"/>
        <v/>
      </c>
      <c r="E4272" t="str">
        <f t="shared" si="332"/>
        <v/>
      </c>
      <c r="F4272" t="str">
        <f>IF(D4272="","",INDEX(Knutepunkter!$B:$B,D4272+1))</f>
        <v/>
      </c>
      <c r="G4272" t="str">
        <f>IF(D4272="","",INDEX(Knutepunkter!$C:$C,D4272+1))</f>
        <v/>
      </c>
      <c r="H4272" t="str">
        <f>IF(D4272="","",INDEX(Knutepunkter!$D:$D,D4272+1))</f>
        <v/>
      </c>
      <c r="I4272" t="str">
        <f>IF(E4272="","",INDEX(Knutepunkter!$B:$B,E4272+1))</f>
        <v/>
      </c>
      <c r="J4272" t="str">
        <f>IF(E4272="","",INDEX(Knutepunkter!$C:$C,E4272+1))</f>
        <v/>
      </c>
      <c r="K4272" t="str">
        <f>IF(E4272="","",INDEX(Knutepunkter!$D:$D,E4272+1))</f>
        <v/>
      </c>
      <c r="L4272" t="str">
        <f t="shared" si="333"/>
        <v/>
      </c>
      <c r="M4272" t="str">
        <f t="shared" si="334"/>
        <v/>
      </c>
    </row>
    <row r="4273" spans="1:13" x14ac:dyDescent="0.3">
      <c r="A4273" t="str">
        <f>Segmenter!A4273</f>
        <v/>
      </c>
      <c r="B4273" t="str">
        <f>Segmenter!B4273</f>
        <v/>
      </c>
      <c r="C4273" t="str">
        <f t="shared" si="330"/>
        <v/>
      </c>
      <c r="D4273" t="str">
        <f t="shared" si="331"/>
        <v/>
      </c>
      <c r="E4273" t="str">
        <f t="shared" si="332"/>
        <v/>
      </c>
      <c r="F4273" t="str">
        <f>IF(D4273="","",INDEX(Knutepunkter!$B:$B,D4273+1))</f>
        <v/>
      </c>
      <c r="G4273" t="str">
        <f>IF(D4273="","",INDEX(Knutepunkter!$C:$C,D4273+1))</f>
        <v/>
      </c>
      <c r="H4273" t="str">
        <f>IF(D4273="","",INDEX(Knutepunkter!$D:$D,D4273+1))</f>
        <v/>
      </c>
      <c r="I4273" t="str">
        <f>IF(E4273="","",INDEX(Knutepunkter!$B:$B,E4273+1))</f>
        <v/>
      </c>
      <c r="J4273" t="str">
        <f>IF(E4273="","",INDEX(Knutepunkter!$C:$C,E4273+1))</f>
        <v/>
      </c>
      <c r="K4273" t="str">
        <f>IF(E4273="","",INDEX(Knutepunkter!$D:$D,E4273+1))</f>
        <v/>
      </c>
      <c r="L4273" t="str">
        <f t="shared" si="333"/>
        <v/>
      </c>
      <c r="M4273" t="str">
        <f t="shared" si="334"/>
        <v/>
      </c>
    </row>
    <row r="4274" spans="1:13" x14ac:dyDescent="0.3">
      <c r="A4274" t="str">
        <f>Segmenter!A4274</f>
        <v/>
      </c>
      <c r="B4274" t="str">
        <f>Segmenter!B4274</f>
        <v/>
      </c>
      <c r="C4274" t="str">
        <f t="shared" si="330"/>
        <v/>
      </c>
      <c r="D4274" t="str">
        <f t="shared" si="331"/>
        <v/>
      </c>
      <c r="E4274" t="str">
        <f t="shared" si="332"/>
        <v/>
      </c>
      <c r="F4274" t="str">
        <f>IF(D4274="","",INDEX(Knutepunkter!$B:$B,D4274+1))</f>
        <v/>
      </c>
      <c r="G4274" t="str">
        <f>IF(D4274="","",INDEX(Knutepunkter!$C:$C,D4274+1))</f>
        <v/>
      </c>
      <c r="H4274" t="str">
        <f>IF(D4274="","",INDEX(Knutepunkter!$D:$D,D4274+1))</f>
        <v/>
      </c>
      <c r="I4274" t="str">
        <f>IF(E4274="","",INDEX(Knutepunkter!$B:$B,E4274+1))</f>
        <v/>
      </c>
      <c r="J4274" t="str">
        <f>IF(E4274="","",INDEX(Knutepunkter!$C:$C,E4274+1))</f>
        <v/>
      </c>
      <c r="K4274" t="str">
        <f>IF(E4274="","",INDEX(Knutepunkter!$D:$D,E4274+1))</f>
        <v/>
      </c>
      <c r="L4274" t="str">
        <f t="shared" si="333"/>
        <v/>
      </c>
      <c r="M4274" t="str">
        <f t="shared" si="334"/>
        <v/>
      </c>
    </row>
    <row r="4275" spans="1:13" x14ac:dyDescent="0.3">
      <c r="A4275" t="str">
        <f>Segmenter!A4275</f>
        <v/>
      </c>
      <c r="B4275" t="str">
        <f>Segmenter!B4275</f>
        <v/>
      </c>
      <c r="C4275" t="str">
        <f t="shared" si="330"/>
        <v/>
      </c>
      <c r="D4275" t="str">
        <f t="shared" si="331"/>
        <v/>
      </c>
      <c r="E4275" t="str">
        <f t="shared" si="332"/>
        <v/>
      </c>
      <c r="F4275" t="str">
        <f>IF(D4275="","",INDEX(Knutepunkter!$B:$B,D4275+1))</f>
        <v/>
      </c>
      <c r="G4275" t="str">
        <f>IF(D4275="","",INDEX(Knutepunkter!$C:$C,D4275+1))</f>
        <v/>
      </c>
      <c r="H4275" t="str">
        <f>IF(D4275="","",INDEX(Knutepunkter!$D:$D,D4275+1))</f>
        <v/>
      </c>
      <c r="I4275" t="str">
        <f>IF(E4275="","",INDEX(Knutepunkter!$B:$B,E4275+1))</f>
        <v/>
      </c>
      <c r="J4275" t="str">
        <f>IF(E4275="","",INDEX(Knutepunkter!$C:$C,E4275+1))</f>
        <v/>
      </c>
      <c r="K4275" t="str">
        <f>IF(E4275="","",INDEX(Knutepunkter!$D:$D,E4275+1))</f>
        <v/>
      </c>
      <c r="L4275" t="str">
        <f t="shared" si="333"/>
        <v/>
      </c>
      <c r="M4275" t="str">
        <f t="shared" si="334"/>
        <v/>
      </c>
    </row>
    <row r="4276" spans="1:13" x14ac:dyDescent="0.3">
      <c r="A4276" t="str">
        <f>Segmenter!A4276</f>
        <v/>
      </c>
      <c r="B4276" t="str">
        <f>Segmenter!B4276</f>
        <v/>
      </c>
      <c r="C4276" t="str">
        <f t="shared" si="330"/>
        <v/>
      </c>
      <c r="D4276" t="str">
        <f t="shared" si="331"/>
        <v/>
      </c>
      <c r="E4276" t="str">
        <f t="shared" si="332"/>
        <v/>
      </c>
      <c r="F4276" t="str">
        <f>IF(D4276="","",INDEX(Knutepunkter!$B:$B,D4276+1))</f>
        <v/>
      </c>
      <c r="G4276" t="str">
        <f>IF(D4276="","",INDEX(Knutepunkter!$C:$C,D4276+1))</f>
        <v/>
      </c>
      <c r="H4276" t="str">
        <f>IF(D4276="","",INDEX(Knutepunkter!$D:$D,D4276+1))</f>
        <v/>
      </c>
      <c r="I4276" t="str">
        <f>IF(E4276="","",INDEX(Knutepunkter!$B:$B,E4276+1))</f>
        <v/>
      </c>
      <c r="J4276" t="str">
        <f>IF(E4276="","",INDEX(Knutepunkter!$C:$C,E4276+1))</f>
        <v/>
      </c>
      <c r="K4276" t="str">
        <f>IF(E4276="","",INDEX(Knutepunkter!$D:$D,E4276+1))</f>
        <v/>
      </c>
      <c r="L4276" t="str">
        <f t="shared" si="333"/>
        <v/>
      </c>
      <c r="M4276" t="str">
        <f t="shared" si="334"/>
        <v/>
      </c>
    </row>
    <row r="4277" spans="1:13" x14ac:dyDescent="0.3">
      <c r="A4277" t="str">
        <f>Segmenter!A4277</f>
        <v/>
      </c>
      <c r="B4277" t="str">
        <f>Segmenter!B4277</f>
        <v/>
      </c>
      <c r="C4277" t="str">
        <f t="shared" si="330"/>
        <v/>
      </c>
      <c r="D4277" t="str">
        <f t="shared" si="331"/>
        <v/>
      </c>
      <c r="E4277" t="str">
        <f t="shared" si="332"/>
        <v/>
      </c>
      <c r="F4277" t="str">
        <f>IF(D4277="","",INDEX(Knutepunkter!$B:$B,D4277+1))</f>
        <v/>
      </c>
      <c r="G4277" t="str">
        <f>IF(D4277="","",INDEX(Knutepunkter!$C:$C,D4277+1))</f>
        <v/>
      </c>
      <c r="H4277" t="str">
        <f>IF(D4277="","",INDEX(Knutepunkter!$D:$D,D4277+1))</f>
        <v/>
      </c>
      <c r="I4277" t="str">
        <f>IF(E4277="","",INDEX(Knutepunkter!$B:$B,E4277+1))</f>
        <v/>
      </c>
      <c r="J4277" t="str">
        <f>IF(E4277="","",INDEX(Knutepunkter!$C:$C,E4277+1))</f>
        <v/>
      </c>
      <c r="K4277" t="str">
        <f>IF(E4277="","",INDEX(Knutepunkter!$D:$D,E4277+1))</f>
        <v/>
      </c>
      <c r="L4277" t="str">
        <f t="shared" si="333"/>
        <v/>
      </c>
      <c r="M4277" t="str">
        <f t="shared" si="334"/>
        <v/>
      </c>
    </row>
    <row r="4278" spans="1:13" x14ac:dyDescent="0.3">
      <c r="A4278" t="str">
        <f>Segmenter!A4278</f>
        <v/>
      </c>
      <c r="B4278" t="str">
        <f>Segmenter!B4278</f>
        <v/>
      </c>
      <c r="C4278" t="str">
        <f t="shared" si="330"/>
        <v/>
      </c>
      <c r="D4278" t="str">
        <f t="shared" si="331"/>
        <v/>
      </c>
      <c r="E4278" t="str">
        <f t="shared" si="332"/>
        <v/>
      </c>
      <c r="F4278" t="str">
        <f>IF(D4278="","",INDEX(Knutepunkter!$B:$B,D4278+1))</f>
        <v/>
      </c>
      <c r="G4278" t="str">
        <f>IF(D4278="","",INDEX(Knutepunkter!$C:$C,D4278+1))</f>
        <v/>
      </c>
      <c r="H4278" t="str">
        <f>IF(D4278="","",INDEX(Knutepunkter!$D:$D,D4278+1))</f>
        <v/>
      </c>
      <c r="I4278" t="str">
        <f>IF(E4278="","",INDEX(Knutepunkter!$B:$B,E4278+1))</f>
        <v/>
      </c>
      <c r="J4278" t="str">
        <f>IF(E4278="","",INDEX(Knutepunkter!$C:$C,E4278+1))</f>
        <v/>
      </c>
      <c r="K4278" t="str">
        <f>IF(E4278="","",INDEX(Knutepunkter!$D:$D,E4278+1))</f>
        <v/>
      </c>
      <c r="L4278" t="str">
        <f t="shared" si="333"/>
        <v/>
      </c>
      <c r="M4278" t="str">
        <f t="shared" si="334"/>
        <v/>
      </c>
    </row>
    <row r="4279" spans="1:13" x14ac:dyDescent="0.3">
      <c r="A4279" t="str">
        <f>Segmenter!A4279</f>
        <v/>
      </c>
      <c r="B4279" t="str">
        <f>Segmenter!B4279</f>
        <v/>
      </c>
      <c r="C4279" t="str">
        <f t="shared" si="330"/>
        <v/>
      </c>
      <c r="D4279" t="str">
        <f t="shared" si="331"/>
        <v/>
      </c>
      <c r="E4279" t="str">
        <f t="shared" si="332"/>
        <v/>
      </c>
      <c r="F4279" t="str">
        <f>IF(D4279="","",INDEX(Knutepunkter!$B:$B,D4279+1))</f>
        <v/>
      </c>
      <c r="G4279" t="str">
        <f>IF(D4279="","",INDEX(Knutepunkter!$C:$C,D4279+1))</f>
        <v/>
      </c>
      <c r="H4279" t="str">
        <f>IF(D4279="","",INDEX(Knutepunkter!$D:$D,D4279+1))</f>
        <v/>
      </c>
      <c r="I4279" t="str">
        <f>IF(E4279="","",INDEX(Knutepunkter!$B:$B,E4279+1))</f>
        <v/>
      </c>
      <c r="J4279" t="str">
        <f>IF(E4279="","",INDEX(Knutepunkter!$C:$C,E4279+1))</f>
        <v/>
      </c>
      <c r="K4279" t="str">
        <f>IF(E4279="","",INDEX(Knutepunkter!$D:$D,E4279+1))</f>
        <v/>
      </c>
      <c r="L4279" t="str">
        <f t="shared" si="333"/>
        <v/>
      </c>
      <c r="M4279" t="str">
        <f t="shared" si="334"/>
        <v/>
      </c>
    </row>
    <row r="4280" spans="1:13" x14ac:dyDescent="0.3">
      <c r="A4280" t="str">
        <f>Segmenter!A4280</f>
        <v/>
      </c>
      <c r="B4280" t="str">
        <f>Segmenter!B4280</f>
        <v/>
      </c>
      <c r="C4280" t="str">
        <f t="shared" si="330"/>
        <v/>
      </c>
      <c r="D4280" t="str">
        <f t="shared" si="331"/>
        <v/>
      </c>
      <c r="E4280" t="str">
        <f t="shared" si="332"/>
        <v/>
      </c>
      <c r="F4280" t="str">
        <f>IF(D4280="","",INDEX(Knutepunkter!$B:$B,D4280+1))</f>
        <v/>
      </c>
      <c r="G4280" t="str">
        <f>IF(D4280="","",INDEX(Knutepunkter!$C:$C,D4280+1))</f>
        <v/>
      </c>
      <c r="H4280" t="str">
        <f>IF(D4280="","",INDEX(Knutepunkter!$D:$D,D4280+1))</f>
        <v/>
      </c>
      <c r="I4280" t="str">
        <f>IF(E4280="","",INDEX(Knutepunkter!$B:$B,E4280+1))</f>
        <v/>
      </c>
      <c r="J4280" t="str">
        <f>IF(E4280="","",INDEX(Knutepunkter!$C:$C,E4280+1))</f>
        <v/>
      </c>
      <c r="K4280" t="str">
        <f>IF(E4280="","",INDEX(Knutepunkter!$D:$D,E4280+1))</f>
        <v/>
      </c>
      <c r="L4280" t="str">
        <f t="shared" si="333"/>
        <v/>
      </c>
      <c r="M4280" t="str">
        <f t="shared" si="334"/>
        <v/>
      </c>
    </row>
    <row r="4281" spans="1:13" x14ac:dyDescent="0.3">
      <c r="A4281" t="str">
        <f>Segmenter!A4281</f>
        <v/>
      </c>
      <c r="B4281" t="str">
        <f>Segmenter!B4281</f>
        <v/>
      </c>
      <c r="C4281" t="str">
        <f t="shared" si="330"/>
        <v/>
      </c>
      <c r="D4281" t="str">
        <f t="shared" si="331"/>
        <v/>
      </c>
      <c r="E4281" t="str">
        <f t="shared" si="332"/>
        <v/>
      </c>
      <c r="F4281" t="str">
        <f>IF(D4281="","",INDEX(Knutepunkter!$B:$B,D4281+1))</f>
        <v/>
      </c>
      <c r="G4281" t="str">
        <f>IF(D4281="","",INDEX(Knutepunkter!$C:$C,D4281+1))</f>
        <v/>
      </c>
      <c r="H4281" t="str">
        <f>IF(D4281="","",INDEX(Knutepunkter!$D:$D,D4281+1))</f>
        <v/>
      </c>
      <c r="I4281" t="str">
        <f>IF(E4281="","",INDEX(Knutepunkter!$B:$B,E4281+1))</f>
        <v/>
      </c>
      <c r="J4281" t="str">
        <f>IF(E4281="","",INDEX(Knutepunkter!$C:$C,E4281+1))</f>
        <v/>
      </c>
      <c r="K4281" t="str">
        <f>IF(E4281="","",INDEX(Knutepunkter!$D:$D,E4281+1))</f>
        <v/>
      </c>
      <c r="L4281" t="str">
        <f t="shared" si="333"/>
        <v/>
      </c>
      <c r="M4281" t="str">
        <f t="shared" si="334"/>
        <v/>
      </c>
    </row>
    <row r="4282" spans="1:13" x14ac:dyDescent="0.3">
      <c r="A4282" t="str">
        <f>Segmenter!A4282</f>
        <v/>
      </c>
      <c r="B4282" t="str">
        <f>Segmenter!B4282</f>
        <v/>
      </c>
      <c r="C4282" t="str">
        <f t="shared" si="330"/>
        <v/>
      </c>
      <c r="D4282" t="str">
        <f t="shared" si="331"/>
        <v/>
      </c>
      <c r="E4282" t="str">
        <f t="shared" si="332"/>
        <v/>
      </c>
      <c r="F4282" t="str">
        <f>IF(D4282="","",INDEX(Knutepunkter!$B:$B,D4282+1))</f>
        <v/>
      </c>
      <c r="G4282" t="str">
        <f>IF(D4282="","",INDEX(Knutepunkter!$C:$C,D4282+1))</f>
        <v/>
      </c>
      <c r="H4282" t="str">
        <f>IF(D4282="","",INDEX(Knutepunkter!$D:$D,D4282+1))</f>
        <v/>
      </c>
      <c r="I4282" t="str">
        <f>IF(E4282="","",INDEX(Knutepunkter!$B:$B,E4282+1))</f>
        <v/>
      </c>
      <c r="J4282" t="str">
        <f>IF(E4282="","",INDEX(Knutepunkter!$C:$C,E4282+1))</f>
        <v/>
      </c>
      <c r="K4282" t="str">
        <f>IF(E4282="","",INDEX(Knutepunkter!$D:$D,E4282+1))</f>
        <v/>
      </c>
      <c r="L4282" t="str">
        <f t="shared" si="333"/>
        <v/>
      </c>
      <c r="M4282" t="str">
        <f t="shared" si="334"/>
        <v/>
      </c>
    </row>
    <row r="4283" spans="1:13" x14ac:dyDescent="0.3">
      <c r="A4283" t="str">
        <f>Segmenter!A4283</f>
        <v/>
      </c>
      <c r="B4283" t="str">
        <f>Segmenter!B4283</f>
        <v/>
      </c>
      <c r="C4283" t="str">
        <f t="shared" si="330"/>
        <v/>
      </c>
      <c r="D4283" t="str">
        <f t="shared" si="331"/>
        <v/>
      </c>
      <c r="E4283" t="str">
        <f t="shared" si="332"/>
        <v/>
      </c>
      <c r="F4283" t="str">
        <f>IF(D4283="","",INDEX(Knutepunkter!$B:$B,D4283+1))</f>
        <v/>
      </c>
      <c r="G4283" t="str">
        <f>IF(D4283="","",INDEX(Knutepunkter!$C:$C,D4283+1))</f>
        <v/>
      </c>
      <c r="H4283" t="str">
        <f>IF(D4283="","",INDEX(Knutepunkter!$D:$D,D4283+1))</f>
        <v/>
      </c>
      <c r="I4283" t="str">
        <f>IF(E4283="","",INDEX(Knutepunkter!$B:$B,E4283+1))</f>
        <v/>
      </c>
      <c r="J4283" t="str">
        <f>IF(E4283="","",INDEX(Knutepunkter!$C:$C,E4283+1))</f>
        <v/>
      </c>
      <c r="K4283" t="str">
        <f>IF(E4283="","",INDEX(Knutepunkter!$D:$D,E4283+1))</f>
        <v/>
      </c>
      <c r="L4283" t="str">
        <f t="shared" si="333"/>
        <v/>
      </c>
      <c r="M4283" t="str">
        <f t="shared" si="334"/>
        <v/>
      </c>
    </row>
    <row r="4284" spans="1:13" x14ac:dyDescent="0.3">
      <c r="A4284" t="str">
        <f>Segmenter!A4284</f>
        <v/>
      </c>
      <c r="B4284" t="str">
        <f>Segmenter!B4284</f>
        <v/>
      </c>
      <c r="C4284" t="str">
        <f t="shared" si="330"/>
        <v/>
      </c>
      <c r="D4284" t="str">
        <f t="shared" si="331"/>
        <v/>
      </c>
      <c r="E4284" t="str">
        <f t="shared" si="332"/>
        <v/>
      </c>
      <c r="F4284" t="str">
        <f>IF(D4284="","",INDEX(Knutepunkter!$B:$B,D4284+1))</f>
        <v/>
      </c>
      <c r="G4284" t="str">
        <f>IF(D4284="","",INDEX(Knutepunkter!$C:$C,D4284+1))</f>
        <v/>
      </c>
      <c r="H4284" t="str">
        <f>IF(D4284="","",INDEX(Knutepunkter!$D:$D,D4284+1))</f>
        <v/>
      </c>
      <c r="I4284" t="str">
        <f>IF(E4284="","",INDEX(Knutepunkter!$B:$B,E4284+1))</f>
        <v/>
      </c>
      <c r="J4284" t="str">
        <f>IF(E4284="","",INDEX(Knutepunkter!$C:$C,E4284+1))</f>
        <v/>
      </c>
      <c r="K4284" t="str">
        <f>IF(E4284="","",INDEX(Knutepunkter!$D:$D,E4284+1))</f>
        <v/>
      </c>
      <c r="L4284" t="str">
        <f t="shared" si="333"/>
        <v/>
      </c>
      <c r="M4284" t="str">
        <f t="shared" si="334"/>
        <v/>
      </c>
    </row>
    <row r="4285" spans="1:13" x14ac:dyDescent="0.3">
      <c r="A4285" t="str">
        <f>Segmenter!A4285</f>
        <v/>
      </c>
      <c r="B4285" t="str">
        <f>Segmenter!B4285</f>
        <v/>
      </c>
      <c r="C4285" t="str">
        <f t="shared" si="330"/>
        <v/>
      </c>
      <c r="D4285" t="str">
        <f t="shared" si="331"/>
        <v/>
      </c>
      <c r="E4285" t="str">
        <f t="shared" si="332"/>
        <v/>
      </c>
      <c r="F4285" t="str">
        <f>IF(D4285="","",INDEX(Knutepunkter!$B:$B,D4285+1))</f>
        <v/>
      </c>
      <c r="G4285" t="str">
        <f>IF(D4285="","",INDEX(Knutepunkter!$C:$C,D4285+1))</f>
        <v/>
      </c>
      <c r="H4285" t="str">
        <f>IF(D4285="","",INDEX(Knutepunkter!$D:$D,D4285+1))</f>
        <v/>
      </c>
      <c r="I4285" t="str">
        <f>IF(E4285="","",INDEX(Knutepunkter!$B:$B,E4285+1))</f>
        <v/>
      </c>
      <c r="J4285" t="str">
        <f>IF(E4285="","",INDEX(Knutepunkter!$C:$C,E4285+1))</f>
        <v/>
      </c>
      <c r="K4285" t="str">
        <f>IF(E4285="","",INDEX(Knutepunkter!$D:$D,E4285+1))</f>
        <v/>
      </c>
      <c r="L4285" t="str">
        <f t="shared" si="333"/>
        <v/>
      </c>
      <c r="M4285" t="str">
        <f t="shared" si="334"/>
        <v/>
      </c>
    </row>
    <row r="4286" spans="1:13" x14ac:dyDescent="0.3">
      <c r="A4286" t="str">
        <f>Segmenter!A4286</f>
        <v/>
      </c>
      <c r="B4286" t="str">
        <f>Segmenter!B4286</f>
        <v/>
      </c>
      <c r="C4286" t="str">
        <f t="shared" si="330"/>
        <v/>
      </c>
      <c r="D4286" t="str">
        <f t="shared" si="331"/>
        <v/>
      </c>
      <c r="E4286" t="str">
        <f t="shared" si="332"/>
        <v/>
      </c>
      <c r="F4286" t="str">
        <f>IF(D4286="","",INDEX(Knutepunkter!$B:$B,D4286+1))</f>
        <v/>
      </c>
      <c r="G4286" t="str">
        <f>IF(D4286="","",INDEX(Knutepunkter!$C:$C,D4286+1))</f>
        <v/>
      </c>
      <c r="H4286" t="str">
        <f>IF(D4286="","",INDEX(Knutepunkter!$D:$D,D4286+1))</f>
        <v/>
      </c>
      <c r="I4286" t="str">
        <f>IF(E4286="","",INDEX(Knutepunkter!$B:$B,E4286+1))</f>
        <v/>
      </c>
      <c r="J4286" t="str">
        <f>IF(E4286="","",INDEX(Knutepunkter!$C:$C,E4286+1))</f>
        <v/>
      </c>
      <c r="K4286" t="str">
        <f>IF(E4286="","",INDEX(Knutepunkter!$D:$D,E4286+1))</f>
        <v/>
      </c>
      <c r="L4286" t="str">
        <f t="shared" si="333"/>
        <v/>
      </c>
      <c r="M4286" t="str">
        <f t="shared" si="334"/>
        <v/>
      </c>
    </row>
    <row r="4287" spans="1:13" x14ac:dyDescent="0.3">
      <c r="A4287" t="str">
        <f>Segmenter!A4287</f>
        <v/>
      </c>
      <c r="B4287" t="str">
        <f>Segmenter!B4287</f>
        <v/>
      </c>
      <c r="C4287" t="str">
        <f t="shared" si="330"/>
        <v/>
      </c>
      <c r="D4287" t="str">
        <f t="shared" si="331"/>
        <v/>
      </c>
      <c r="E4287" t="str">
        <f t="shared" si="332"/>
        <v/>
      </c>
      <c r="F4287" t="str">
        <f>IF(D4287="","",INDEX(Knutepunkter!$B:$B,D4287+1))</f>
        <v/>
      </c>
      <c r="G4287" t="str">
        <f>IF(D4287="","",INDEX(Knutepunkter!$C:$C,D4287+1))</f>
        <v/>
      </c>
      <c r="H4287" t="str">
        <f>IF(D4287="","",INDEX(Knutepunkter!$D:$D,D4287+1))</f>
        <v/>
      </c>
      <c r="I4287" t="str">
        <f>IF(E4287="","",INDEX(Knutepunkter!$B:$B,E4287+1))</f>
        <v/>
      </c>
      <c r="J4287" t="str">
        <f>IF(E4287="","",INDEX(Knutepunkter!$C:$C,E4287+1))</f>
        <v/>
      </c>
      <c r="K4287" t="str">
        <f>IF(E4287="","",INDEX(Knutepunkter!$D:$D,E4287+1))</f>
        <v/>
      </c>
      <c r="L4287" t="str">
        <f t="shared" si="333"/>
        <v/>
      </c>
      <c r="M4287" t="str">
        <f t="shared" si="334"/>
        <v/>
      </c>
    </row>
    <row r="4288" spans="1:13" x14ac:dyDescent="0.3">
      <c r="A4288" t="str">
        <f>Segmenter!A4288</f>
        <v/>
      </c>
      <c r="B4288" t="str">
        <f>Segmenter!B4288</f>
        <v/>
      </c>
      <c r="C4288" t="str">
        <f t="shared" si="330"/>
        <v/>
      </c>
      <c r="D4288" t="str">
        <f t="shared" si="331"/>
        <v/>
      </c>
      <c r="E4288" t="str">
        <f t="shared" si="332"/>
        <v/>
      </c>
      <c r="F4288" t="str">
        <f>IF(D4288="","",INDEX(Knutepunkter!$B:$B,D4288+1))</f>
        <v/>
      </c>
      <c r="G4288" t="str">
        <f>IF(D4288="","",INDEX(Knutepunkter!$C:$C,D4288+1))</f>
        <v/>
      </c>
      <c r="H4288" t="str">
        <f>IF(D4288="","",INDEX(Knutepunkter!$D:$D,D4288+1))</f>
        <v/>
      </c>
      <c r="I4288" t="str">
        <f>IF(E4288="","",INDEX(Knutepunkter!$B:$B,E4288+1))</f>
        <v/>
      </c>
      <c r="J4288" t="str">
        <f>IF(E4288="","",INDEX(Knutepunkter!$C:$C,E4288+1))</f>
        <v/>
      </c>
      <c r="K4288" t="str">
        <f>IF(E4288="","",INDEX(Knutepunkter!$D:$D,E4288+1))</f>
        <v/>
      </c>
      <c r="L4288" t="str">
        <f t="shared" si="333"/>
        <v/>
      </c>
      <c r="M4288" t="str">
        <f t="shared" si="334"/>
        <v/>
      </c>
    </row>
    <row r="4289" spans="1:13" x14ac:dyDescent="0.3">
      <c r="A4289" t="str">
        <f>Segmenter!A4289</f>
        <v/>
      </c>
      <c r="B4289" t="str">
        <f>Segmenter!B4289</f>
        <v/>
      </c>
      <c r="C4289" t="str">
        <f t="shared" si="330"/>
        <v/>
      </c>
      <c r="D4289" t="str">
        <f t="shared" si="331"/>
        <v/>
      </c>
      <c r="E4289" t="str">
        <f t="shared" si="332"/>
        <v/>
      </c>
      <c r="F4289" t="str">
        <f>IF(D4289="","",INDEX(Knutepunkter!$B:$B,D4289+1))</f>
        <v/>
      </c>
      <c r="G4289" t="str">
        <f>IF(D4289="","",INDEX(Knutepunkter!$C:$C,D4289+1))</f>
        <v/>
      </c>
      <c r="H4289" t="str">
        <f>IF(D4289="","",INDEX(Knutepunkter!$D:$D,D4289+1))</f>
        <v/>
      </c>
      <c r="I4289" t="str">
        <f>IF(E4289="","",INDEX(Knutepunkter!$B:$B,E4289+1))</f>
        <v/>
      </c>
      <c r="J4289" t="str">
        <f>IF(E4289="","",INDEX(Knutepunkter!$C:$C,E4289+1))</f>
        <v/>
      </c>
      <c r="K4289" t="str">
        <f>IF(E4289="","",INDEX(Knutepunkter!$D:$D,E4289+1))</f>
        <v/>
      </c>
      <c r="L4289" t="str">
        <f t="shared" si="333"/>
        <v/>
      </c>
      <c r="M4289" t="str">
        <f t="shared" si="334"/>
        <v/>
      </c>
    </row>
    <row r="4290" spans="1:13" x14ac:dyDescent="0.3">
      <c r="A4290" t="str">
        <f>Segmenter!A4290</f>
        <v/>
      </c>
      <c r="B4290" t="str">
        <f>Segmenter!B4290</f>
        <v/>
      </c>
      <c r="C4290" t="str">
        <f t="shared" ref="C4290:C4353" si="335">IF(B4290="","",IF(AND(F4290=I4290,G4290=J4290,H4290&lt;&gt;K4290),"Søyle","Bjelke"))</f>
        <v/>
      </c>
      <c r="D4290" t="str">
        <f t="shared" ref="D4290:D4353" si="336">IF(B4290="","",VALUE(LEFT(B4290,FIND(" -&gt; ",B4290)-1)))</f>
        <v/>
      </c>
      <c r="E4290" t="str">
        <f t="shared" ref="E4290:E4353" si="337">IF(B4290="","",VALUE(MID(B4290,FIND(" -&gt; ",B4290)+4,99)))</f>
        <v/>
      </c>
      <c r="F4290" t="str">
        <f>IF(D4290="","",INDEX(Knutepunkter!$B:$B,D4290+1))</f>
        <v/>
      </c>
      <c r="G4290" t="str">
        <f>IF(D4290="","",INDEX(Knutepunkter!$C:$C,D4290+1))</f>
        <v/>
      </c>
      <c r="H4290" t="str">
        <f>IF(D4290="","",INDEX(Knutepunkter!$D:$D,D4290+1))</f>
        <v/>
      </c>
      <c r="I4290" t="str">
        <f>IF(E4290="","",INDEX(Knutepunkter!$B:$B,E4290+1))</f>
        <v/>
      </c>
      <c r="J4290" t="str">
        <f>IF(E4290="","",INDEX(Knutepunkter!$C:$C,E4290+1))</f>
        <v/>
      </c>
      <c r="K4290" t="str">
        <f>IF(E4290="","",INDEX(Knutepunkter!$D:$D,E4290+1))</f>
        <v/>
      </c>
      <c r="L4290" t="str">
        <f t="shared" ref="L4290:L4353" si="338">IF(B4290="","",SQRT((I4290-F4290)^2+(J4290-G4290)^2+(K4290-H4290)^2))</f>
        <v/>
      </c>
      <c r="M4290" t="str">
        <f t="shared" ref="M4290:M4353" si="339">IF(L4290="","",L4290/1000)</f>
        <v/>
      </c>
    </row>
    <row r="4291" spans="1:13" x14ac:dyDescent="0.3">
      <c r="A4291" t="str">
        <f>Segmenter!A4291</f>
        <v/>
      </c>
      <c r="B4291" t="str">
        <f>Segmenter!B4291</f>
        <v/>
      </c>
      <c r="C4291" t="str">
        <f t="shared" si="335"/>
        <v/>
      </c>
      <c r="D4291" t="str">
        <f t="shared" si="336"/>
        <v/>
      </c>
      <c r="E4291" t="str">
        <f t="shared" si="337"/>
        <v/>
      </c>
      <c r="F4291" t="str">
        <f>IF(D4291="","",INDEX(Knutepunkter!$B:$B,D4291+1))</f>
        <v/>
      </c>
      <c r="G4291" t="str">
        <f>IF(D4291="","",INDEX(Knutepunkter!$C:$C,D4291+1))</f>
        <v/>
      </c>
      <c r="H4291" t="str">
        <f>IF(D4291="","",INDEX(Knutepunkter!$D:$D,D4291+1))</f>
        <v/>
      </c>
      <c r="I4291" t="str">
        <f>IF(E4291="","",INDEX(Knutepunkter!$B:$B,E4291+1))</f>
        <v/>
      </c>
      <c r="J4291" t="str">
        <f>IF(E4291="","",INDEX(Knutepunkter!$C:$C,E4291+1))</f>
        <v/>
      </c>
      <c r="K4291" t="str">
        <f>IF(E4291="","",INDEX(Knutepunkter!$D:$D,E4291+1))</f>
        <v/>
      </c>
      <c r="L4291" t="str">
        <f t="shared" si="338"/>
        <v/>
      </c>
      <c r="M4291" t="str">
        <f t="shared" si="339"/>
        <v/>
      </c>
    </row>
    <row r="4292" spans="1:13" x14ac:dyDescent="0.3">
      <c r="A4292" t="str">
        <f>Segmenter!A4292</f>
        <v/>
      </c>
      <c r="B4292" t="str">
        <f>Segmenter!B4292</f>
        <v/>
      </c>
      <c r="C4292" t="str">
        <f t="shared" si="335"/>
        <v/>
      </c>
      <c r="D4292" t="str">
        <f t="shared" si="336"/>
        <v/>
      </c>
      <c r="E4292" t="str">
        <f t="shared" si="337"/>
        <v/>
      </c>
      <c r="F4292" t="str">
        <f>IF(D4292="","",INDEX(Knutepunkter!$B:$B,D4292+1))</f>
        <v/>
      </c>
      <c r="G4292" t="str">
        <f>IF(D4292="","",INDEX(Knutepunkter!$C:$C,D4292+1))</f>
        <v/>
      </c>
      <c r="H4292" t="str">
        <f>IF(D4292="","",INDEX(Knutepunkter!$D:$D,D4292+1))</f>
        <v/>
      </c>
      <c r="I4292" t="str">
        <f>IF(E4292="","",INDEX(Knutepunkter!$B:$B,E4292+1))</f>
        <v/>
      </c>
      <c r="J4292" t="str">
        <f>IF(E4292="","",INDEX(Knutepunkter!$C:$C,E4292+1))</f>
        <v/>
      </c>
      <c r="K4292" t="str">
        <f>IF(E4292="","",INDEX(Knutepunkter!$D:$D,E4292+1))</f>
        <v/>
      </c>
      <c r="L4292" t="str">
        <f t="shared" si="338"/>
        <v/>
      </c>
      <c r="M4292" t="str">
        <f t="shared" si="339"/>
        <v/>
      </c>
    </row>
    <row r="4293" spans="1:13" x14ac:dyDescent="0.3">
      <c r="A4293" t="str">
        <f>Segmenter!A4293</f>
        <v/>
      </c>
      <c r="B4293" t="str">
        <f>Segmenter!B4293</f>
        <v/>
      </c>
      <c r="C4293" t="str">
        <f t="shared" si="335"/>
        <v/>
      </c>
      <c r="D4293" t="str">
        <f t="shared" si="336"/>
        <v/>
      </c>
      <c r="E4293" t="str">
        <f t="shared" si="337"/>
        <v/>
      </c>
      <c r="F4293" t="str">
        <f>IF(D4293="","",INDEX(Knutepunkter!$B:$B,D4293+1))</f>
        <v/>
      </c>
      <c r="G4293" t="str">
        <f>IF(D4293="","",INDEX(Knutepunkter!$C:$C,D4293+1))</f>
        <v/>
      </c>
      <c r="H4293" t="str">
        <f>IF(D4293="","",INDEX(Knutepunkter!$D:$D,D4293+1))</f>
        <v/>
      </c>
      <c r="I4293" t="str">
        <f>IF(E4293="","",INDEX(Knutepunkter!$B:$B,E4293+1))</f>
        <v/>
      </c>
      <c r="J4293" t="str">
        <f>IF(E4293="","",INDEX(Knutepunkter!$C:$C,E4293+1))</f>
        <v/>
      </c>
      <c r="K4293" t="str">
        <f>IF(E4293="","",INDEX(Knutepunkter!$D:$D,E4293+1))</f>
        <v/>
      </c>
      <c r="L4293" t="str">
        <f t="shared" si="338"/>
        <v/>
      </c>
      <c r="M4293" t="str">
        <f t="shared" si="339"/>
        <v/>
      </c>
    </row>
    <row r="4294" spans="1:13" x14ac:dyDescent="0.3">
      <c r="A4294" t="str">
        <f>Segmenter!A4294</f>
        <v/>
      </c>
      <c r="B4294" t="str">
        <f>Segmenter!B4294</f>
        <v/>
      </c>
      <c r="C4294" t="str">
        <f t="shared" si="335"/>
        <v/>
      </c>
      <c r="D4294" t="str">
        <f t="shared" si="336"/>
        <v/>
      </c>
      <c r="E4294" t="str">
        <f t="shared" si="337"/>
        <v/>
      </c>
      <c r="F4294" t="str">
        <f>IF(D4294="","",INDEX(Knutepunkter!$B:$B,D4294+1))</f>
        <v/>
      </c>
      <c r="G4294" t="str">
        <f>IF(D4294="","",INDEX(Knutepunkter!$C:$C,D4294+1))</f>
        <v/>
      </c>
      <c r="H4294" t="str">
        <f>IF(D4294="","",INDEX(Knutepunkter!$D:$D,D4294+1))</f>
        <v/>
      </c>
      <c r="I4294" t="str">
        <f>IF(E4294="","",INDEX(Knutepunkter!$B:$B,E4294+1))</f>
        <v/>
      </c>
      <c r="J4294" t="str">
        <f>IF(E4294="","",INDEX(Knutepunkter!$C:$C,E4294+1))</f>
        <v/>
      </c>
      <c r="K4294" t="str">
        <f>IF(E4294="","",INDEX(Knutepunkter!$D:$D,E4294+1))</f>
        <v/>
      </c>
      <c r="L4294" t="str">
        <f t="shared" si="338"/>
        <v/>
      </c>
      <c r="M4294" t="str">
        <f t="shared" si="339"/>
        <v/>
      </c>
    </row>
    <row r="4295" spans="1:13" x14ac:dyDescent="0.3">
      <c r="A4295" t="str">
        <f>Segmenter!A4295</f>
        <v/>
      </c>
      <c r="B4295" t="str">
        <f>Segmenter!B4295</f>
        <v/>
      </c>
      <c r="C4295" t="str">
        <f t="shared" si="335"/>
        <v/>
      </c>
      <c r="D4295" t="str">
        <f t="shared" si="336"/>
        <v/>
      </c>
      <c r="E4295" t="str">
        <f t="shared" si="337"/>
        <v/>
      </c>
      <c r="F4295" t="str">
        <f>IF(D4295="","",INDEX(Knutepunkter!$B:$B,D4295+1))</f>
        <v/>
      </c>
      <c r="G4295" t="str">
        <f>IF(D4295="","",INDEX(Knutepunkter!$C:$C,D4295+1))</f>
        <v/>
      </c>
      <c r="H4295" t="str">
        <f>IF(D4295="","",INDEX(Knutepunkter!$D:$D,D4295+1))</f>
        <v/>
      </c>
      <c r="I4295" t="str">
        <f>IF(E4295="","",INDEX(Knutepunkter!$B:$B,E4295+1))</f>
        <v/>
      </c>
      <c r="J4295" t="str">
        <f>IF(E4295="","",INDEX(Knutepunkter!$C:$C,E4295+1))</f>
        <v/>
      </c>
      <c r="K4295" t="str">
        <f>IF(E4295="","",INDEX(Knutepunkter!$D:$D,E4295+1))</f>
        <v/>
      </c>
      <c r="L4295" t="str">
        <f t="shared" si="338"/>
        <v/>
      </c>
      <c r="M4295" t="str">
        <f t="shared" si="339"/>
        <v/>
      </c>
    </row>
    <row r="4296" spans="1:13" x14ac:dyDescent="0.3">
      <c r="A4296" t="str">
        <f>Segmenter!A4296</f>
        <v/>
      </c>
      <c r="B4296" t="str">
        <f>Segmenter!B4296</f>
        <v/>
      </c>
      <c r="C4296" t="str">
        <f t="shared" si="335"/>
        <v/>
      </c>
      <c r="D4296" t="str">
        <f t="shared" si="336"/>
        <v/>
      </c>
      <c r="E4296" t="str">
        <f t="shared" si="337"/>
        <v/>
      </c>
      <c r="F4296" t="str">
        <f>IF(D4296="","",INDEX(Knutepunkter!$B:$B,D4296+1))</f>
        <v/>
      </c>
      <c r="G4296" t="str">
        <f>IF(D4296="","",INDEX(Knutepunkter!$C:$C,D4296+1))</f>
        <v/>
      </c>
      <c r="H4296" t="str">
        <f>IF(D4296="","",INDEX(Knutepunkter!$D:$D,D4296+1))</f>
        <v/>
      </c>
      <c r="I4296" t="str">
        <f>IF(E4296="","",INDEX(Knutepunkter!$B:$B,E4296+1))</f>
        <v/>
      </c>
      <c r="J4296" t="str">
        <f>IF(E4296="","",INDEX(Knutepunkter!$C:$C,E4296+1))</f>
        <v/>
      </c>
      <c r="K4296" t="str">
        <f>IF(E4296="","",INDEX(Knutepunkter!$D:$D,E4296+1))</f>
        <v/>
      </c>
      <c r="L4296" t="str">
        <f t="shared" si="338"/>
        <v/>
      </c>
      <c r="M4296" t="str">
        <f t="shared" si="339"/>
        <v/>
      </c>
    </row>
    <row r="4297" spans="1:13" x14ac:dyDescent="0.3">
      <c r="A4297" t="str">
        <f>Segmenter!A4297</f>
        <v/>
      </c>
      <c r="B4297" t="str">
        <f>Segmenter!B4297</f>
        <v/>
      </c>
      <c r="C4297" t="str">
        <f t="shared" si="335"/>
        <v/>
      </c>
      <c r="D4297" t="str">
        <f t="shared" si="336"/>
        <v/>
      </c>
      <c r="E4297" t="str">
        <f t="shared" si="337"/>
        <v/>
      </c>
      <c r="F4297" t="str">
        <f>IF(D4297="","",INDEX(Knutepunkter!$B:$B,D4297+1))</f>
        <v/>
      </c>
      <c r="G4297" t="str">
        <f>IF(D4297="","",INDEX(Knutepunkter!$C:$C,D4297+1))</f>
        <v/>
      </c>
      <c r="H4297" t="str">
        <f>IF(D4297="","",INDEX(Knutepunkter!$D:$D,D4297+1))</f>
        <v/>
      </c>
      <c r="I4297" t="str">
        <f>IF(E4297="","",INDEX(Knutepunkter!$B:$B,E4297+1))</f>
        <v/>
      </c>
      <c r="J4297" t="str">
        <f>IF(E4297="","",INDEX(Knutepunkter!$C:$C,E4297+1))</f>
        <v/>
      </c>
      <c r="K4297" t="str">
        <f>IF(E4297="","",INDEX(Knutepunkter!$D:$D,E4297+1))</f>
        <v/>
      </c>
      <c r="L4297" t="str">
        <f t="shared" si="338"/>
        <v/>
      </c>
      <c r="M4297" t="str">
        <f t="shared" si="339"/>
        <v/>
      </c>
    </row>
    <row r="4298" spans="1:13" x14ac:dyDescent="0.3">
      <c r="A4298" t="str">
        <f>Segmenter!A4298</f>
        <v/>
      </c>
      <c r="B4298" t="str">
        <f>Segmenter!B4298</f>
        <v/>
      </c>
      <c r="C4298" t="str">
        <f t="shared" si="335"/>
        <v/>
      </c>
      <c r="D4298" t="str">
        <f t="shared" si="336"/>
        <v/>
      </c>
      <c r="E4298" t="str">
        <f t="shared" si="337"/>
        <v/>
      </c>
      <c r="F4298" t="str">
        <f>IF(D4298="","",INDEX(Knutepunkter!$B:$B,D4298+1))</f>
        <v/>
      </c>
      <c r="G4298" t="str">
        <f>IF(D4298="","",INDEX(Knutepunkter!$C:$C,D4298+1))</f>
        <v/>
      </c>
      <c r="H4298" t="str">
        <f>IF(D4298="","",INDEX(Knutepunkter!$D:$D,D4298+1))</f>
        <v/>
      </c>
      <c r="I4298" t="str">
        <f>IF(E4298="","",INDEX(Knutepunkter!$B:$B,E4298+1))</f>
        <v/>
      </c>
      <c r="J4298" t="str">
        <f>IF(E4298="","",INDEX(Knutepunkter!$C:$C,E4298+1))</f>
        <v/>
      </c>
      <c r="K4298" t="str">
        <f>IF(E4298="","",INDEX(Knutepunkter!$D:$D,E4298+1))</f>
        <v/>
      </c>
      <c r="L4298" t="str">
        <f t="shared" si="338"/>
        <v/>
      </c>
      <c r="M4298" t="str">
        <f t="shared" si="339"/>
        <v/>
      </c>
    </row>
    <row r="4299" spans="1:13" x14ac:dyDescent="0.3">
      <c r="A4299" t="str">
        <f>Segmenter!A4299</f>
        <v/>
      </c>
      <c r="B4299" t="str">
        <f>Segmenter!B4299</f>
        <v/>
      </c>
      <c r="C4299" t="str">
        <f t="shared" si="335"/>
        <v/>
      </c>
      <c r="D4299" t="str">
        <f t="shared" si="336"/>
        <v/>
      </c>
      <c r="E4299" t="str">
        <f t="shared" si="337"/>
        <v/>
      </c>
      <c r="F4299" t="str">
        <f>IF(D4299="","",INDEX(Knutepunkter!$B:$B,D4299+1))</f>
        <v/>
      </c>
      <c r="G4299" t="str">
        <f>IF(D4299="","",INDEX(Knutepunkter!$C:$C,D4299+1))</f>
        <v/>
      </c>
      <c r="H4299" t="str">
        <f>IF(D4299="","",INDEX(Knutepunkter!$D:$D,D4299+1))</f>
        <v/>
      </c>
      <c r="I4299" t="str">
        <f>IF(E4299="","",INDEX(Knutepunkter!$B:$B,E4299+1))</f>
        <v/>
      </c>
      <c r="J4299" t="str">
        <f>IF(E4299="","",INDEX(Knutepunkter!$C:$C,E4299+1))</f>
        <v/>
      </c>
      <c r="K4299" t="str">
        <f>IF(E4299="","",INDEX(Knutepunkter!$D:$D,E4299+1))</f>
        <v/>
      </c>
      <c r="L4299" t="str">
        <f t="shared" si="338"/>
        <v/>
      </c>
      <c r="M4299" t="str">
        <f t="shared" si="339"/>
        <v/>
      </c>
    </row>
    <row r="4300" spans="1:13" x14ac:dyDescent="0.3">
      <c r="A4300" t="str">
        <f>Segmenter!A4300</f>
        <v/>
      </c>
      <c r="B4300" t="str">
        <f>Segmenter!B4300</f>
        <v/>
      </c>
      <c r="C4300" t="str">
        <f t="shared" si="335"/>
        <v/>
      </c>
      <c r="D4300" t="str">
        <f t="shared" si="336"/>
        <v/>
      </c>
      <c r="E4300" t="str">
        <f t="shared" si="337"/>
        <v/>
      </c>
      <c r="F4300" t="str">
        <f>IF(D4300="","",INDEX(Knutepunkter!$B:$B,D4300+1))</f>
        <v/>
      </c>
      <c r="G4300" t="str">
        <f>IF(D4300="","",INDEX(Knutepunkter!$C:$C,D4300+1))</f>
        <v/>
      </c>
      <c r="H4300" t="str">
        <f>IF(D4300="","",INDEX(Knutepunkter!$D:$D,D4300+1))</f>
        <v/>
      </c>
      <c r="I4300" t="str">
        <f>IF(E4300="","",INDEX(Knutepunkter!$B:$B,E4300+1))</f>
        <v/>
      </c>
      <c r="J4300" t="str">
        <f>IF(E4300="","",INDEX(Knutepunkter!$C:$C,E4300+1))</f>
        <v/>
      </c>
      <c r="K4300" t="str">
        <f>IF(E4300="","",INDEX(Knutepunkter!$D:$D,E4300+1))</f>
        <v/>
      </c>
      <c r="L4300" t="str">
        <f t="shared" si="338"/>
        <v/>
      </c>
      <c r="M4300" t="str">
        <f t="shared" si="339"/>
        <v/>
      </c>
    </row>
    <row r="4301" spans="1:13" x14ac:dyDescent="0.3">
      <c r="A4301" t="str">
        <f>Segmenter!A4301</f>
        <v/>
      </c>
      <c r="B4301" t="str">
        <f>Segmenter!B4301</f>
        <v/>
      </c>
      <c r="C4301" t="str">
        <f t="shared" si="335"/>
        <v/>
      </c>
      <c r="D4301" t="str">
        <f t="shared" si="336"/>
        <v/>
      </c>
      <c r="E4301" t="str">
        <f t="shared" si="337"/>
        <v/>
      </c>
      <c r="F4301" t="str">
        <f>IF(D4301="","",INDEX(Knutepunkter!$B:$B,D4301+1))</f>
        <v/>
      </c>
      <c r="G4301" t="str">
        <f>IF(D4301="","",INDEX(Knutepunkter!$C:$C,D4301+1))</f>
        <v/>
      </c>
      <c r="H4301" t="str">
        <f>IF(D4301="","",INDEX(Knutepunkter!$D:$D,D4301+1))</f>
        <v/>
      </c>
      <c r="I4301" t="str">
        <f>IF(E4301="","",INDEX(Knutepunkter!$B:$B,E4301+1))</f>
        <v/>
      </c>
      <c r="J4301" t="str">
        <f>IF(E4301="","",INDEX(Knutepunkter!$C:$C,E4301+1))</f>
        <v/>
      </c>
      <c r="K4301" t="str">
        <f>IF(E4301="","",INDEX(Knutepunkter!$D:$D,E4301+1))</f>
        <v/>
      </c>
      <c r="L4301" t="str">
        <f t="shared" si="338"/>
        <v/>
      </c>
      <c r="M4301" t="str">
        <f t="shared" si="339"/>
        <v/>
      </c>
    </row>
    <row r="4302" spans="1:13" x14ac:dyDescent="0.3">
      <c r="A4302" t="str">
        <f>Segmenter!A4302</f>
        <v/>
      </c>
      <c r="B4302" t="str">
        <f>Segmenter!B4302</f>
        <v/>
      </c>
      <c r="C4302" t="str">
        <f t="shared" si="335"/>
        <v/>
      </c>
      <c r="D4302" t="str">
        <f t="shared" si="336"/>
        <v/>
      </c>
      <c r="E4302" t="str">
        <f t="shared" si="337"/>
        <v/>
      </c>
      <c r="F4302" t="str">
        <f>IF(D4302="","",INDEX(Knutepunkter!$B:$B,D4302+1))</f>
        <v/>
      </c>
      <c r="G4302" t="str">
        <f>IF(D4302="","",INDEX(Knutepunkter!$C:$C,D4302+1))</f>
        <v/>
      </c>
      <c r="H4302" t="str">
        <f>IF(D4302="","",INDEX(Knutepunkter!$D:$D,D4302+1))</f>
        <v/>
      </c>
      <c r="I4302" t="str">
        <f>IF(E4302="","",INDEX(Knutepunkter!$B:$B,E4302+1))</f>
        <v/>
      </c>
      <c r="J4302" t="str">
        <f>IF(E4302="","",INDEX(Knutepunkter!$C:$C,E4302+1))</f>
        <v/>
      </c>
      <c r="K4302" t="str">
        <f>IF(E4302="","",INDEX(Knutepunkter!$D:$D,E4302+1))</f>
        <v/>
      </c>
      <c r="L4302" t="str">
        <f t="shared" si="338"/>
        <v/>
      </c>
      <c r="M4302" t="str">
        <f t="shared" si="339"/>
        <v/>
      </c>
    </row>
    <row r="4303" spans="1:13" x14ac:dyDescent="0.3">
      <c r="A4303" t="str">
        <f>Segmenter!A4303</f>
        <v/>
      </c>
      <c r="B4303" t="str">
        <f>Segmenter!B4303</f>
        <v/>
      </c>
      <c r="C4303" t="str">
        <f t="shared" si="335"/>
        <v/>
      </c>
      <c r="D4303" t="str">
        <f t="shared" si="336"/>
        <v/>
      </c>
      <c r="E4303" t="str">
        <f t="shared" si="337"/>
        <v/>
      </c>
      <c r="F4303" t="str">
        <f>IF(D4303="","",INDEX(Knutepunkter!$B:$B,D4303+1))</f>
        <v/>
      </c>
      <c r="G4303" t="str">
        <f>IF(D4303="","",INDEX(Knutepunkter!$C:$C,D4303+1))</f>
        <v/>
      </c>
      <c r="H4303" t="str">
        <f>IF(D4303="","",INDEX(Knutepunkter!$D:$D,D4303+1))</f>
        <v/>
      </c>
      <c r="I4303" t="str">
        <f>IF(E4303="","",INDEX(Knutepunkter!$B:$B,E4303+1))</f>
        <v/>
      </c>
      <c r="J4303" t="str">
        <f>IF(E4303="","",INDEX(Knutepunkter!$C:$C,E4303+1))</f>
        <v/>
      </c>
      <c r="K4303" t="str">
        <f>IF(E4303="","",INDEX(Knutepunkter!$D:$D,E4303+1))</f>
        <v/>
      </c>
      <c r="L4303" t="str">
        <f t="shared" si="338"/>
        <v/>
      </c>
      <c r="M4303" t="str">
        <f t="shared" si="339"/>
        <v/>
      </c>
    </row>
    <row r="4304" spans="1:13" x14ac:dyDescent="0.3">
      <c r="A4304" t="str">
        <f>Segmenter!A4304</f>
        <v/>
      </c>
      <c r="B4304" t="str">
        <f>Segmenter!B4304</f>
        <v/>
      </c>
      <c r="C4304" t="str">
        <f t="shared" si="335"/>
        <v/>
      </c>
      <c r="D4304" t="str">
        <f t="shared" si="336"/>
        <v/>
      </c>
      <c r="E4304" t="str">
        <f t="shared" si="337"/>
        <v/>
      </c>
      <c r="F4304" t="str">
        <f>IF(D4304="","",INDEX(Knutepunkter!$B:$B,D4304+1))</f>
        <v/>
      </c>
      <c r="G4304" t="str">
        <f>IF(D4304="","",INDEX(Knutepunkter!$C:$C,D4304+1))</f>
        <v/>
      </c>
      <c r="H4304" t="str">
        <f>IF(D4304="","",INDEX(Knutepunkter!$D:$D,D4304+1))</f>
        <v/>
      </c>
      <c r="I4304" t="str">
        <f>IF(E4304="","",INDEX(Knutepunkter!$B:$B,E4304+1))</f>
        <v/>
      </c>
      <c r="J4304" t="str">
        <f>IF(E4304="","",INDEX(Knutepunkter!$C:$C,E4304+1))</f>
        <v/>
      </c>
      <c r="K4304" t="str">
        <f>IF(E4304="","",INDEX(Knutepunkter!$D:$D,E4304+1))</f>
        <v/>
      </c>
      <c r="L4304" t="str">
        <f t="shared" si="338"/>
        <v/>
      </c>
      <c r="M4304" t="str">
        <f t="shared" si="339"/>
        <v/>
      </c>
    </row>
    <row r="4305" spans="1:13" x14ac:dyDescent="0.3">
      <c r="A4305" t="str">
        <f>Segmenter!A4305</f>
        <v/>
      </c>
      <c r="B4305" t="str">
        <f>Segmenter!B4305</f>
        <v/>
      </c>
      <c r="C4305" t="str">
        <f t="shared" si="335"/>
        <v/>
      </c>
      <c r="D4305" t="str">
        <f t="shared" si="336"/>
        <v/>
      </c>
      <c r="E4305" t="str">
        <f t="shared" si="337"/>
        <v/>
      </c>
      <c r="F4305" t="str">
        <f>IF(D4305="","",INDEX(Knutepunkter!$B:$B,D4305+1))</f>
        <v/>
      </c>
      <c r="G4305" t="str">
        <f>IF(D4305="","",INDEX(Knutepunkter!$C:$C,D4305+1))</f>
        <v/>
      </c>
      <c r="H4305" t="str">
        <f>IF(D4305="","",INDEX(Knutepunkter!$D:$D,D4305+1))</f>
        <v/>
      </c>
      <c r="I4305" t="str">
        <f>IF(E4305="","",INDEX(Knutepunkter!$B:$B,E4305+1))</f>
        <v/>
      </c>
      <c r="J4305" t="str">
        <f>IF(E4305="","",INDEX(Knutepunkter!$C:$C,E4305+1))</f>
        <v/>
      </c>
      <c r="K4305" t="str">
        <f>IF(E4305="","",INDEX(Knutepunkter!$D:$D,E4305+1))</f>
        <v/>
      </c>
      <c r="L4305" t="str">
        <f t="shared" si="338"/>
        <v/>
      </c>
      <c r="M4305" t="str">
        <f t="shared" si="339"/>
        <v/>
      </c>
    </row>
    <row r="4306" spans="1:13" x14ac:dyDescent="0.3">
      <c r="A4306" t="str">
        <f>Segmenter!A4306</f>
        <v/>
      </c>
      <c r="B4306" t="str">
        <f>Segmenter!B4306</f>
        <v/>
      </c>
      <c r="C4306" t="str">
        <f t="shared" si="335"/>
        <v/>
      </c>
      <c r="D4306" t="str">
        <f t="shared" si="336"/>
        <v/>
      </c>
      <c r="E4306" t="str">
        <f t="shared" si="337"/>
        <v/>
      </c>
      <c r="F4306" t="str">
        <f>IF(D4306="","",INDEX(Knutepunkter!$B:$B,D4306+1))</f>
        <v/>
      </c>
      <c r="G4306" t="str">
        <f>IF(D4306="","",INDEX(Knutepunkter!$C:$C,D4306+1))</f>
        <v/>
      </c>
      <c r="H4306" t="str">
        <f>IF(D4306="","",INDEX(Knutepunkter!$D:$D,D4306+1))</f>
        <v/>
      </c>
      <c r="I4306" t="str">
        <f>IF(E4306="","",INDEX(Knutepunkter!$B:$B,E4306+1))</f>
        <v/>
      </c>
      <c r="J4306" t="str">
        <f>IF(E4306="","",INDEX(Knutepunkter!$C:$C,E4306+1))</f>
        <v/>
      </c>
      <c r="K4306" t="str">
        <f>IF(E4306="","",INDEX(Knutepunkter!$D:$D,E4306+1))</f>
        <v/>
      </c>
      <c r="L4306" t="str">
        <f t="shared" si="338"/>
        <v/>
      </c>
      <c r="M4306" t="str">
        <f t="shared" si="339"/>
        <v/>
      </c>
    </row>
    <row r="4307" spans="1:13" x14ac:dyDescent="0.3">
      <c r="A4307" t="str">
        <f>Segmenter!A4307</f>
        <v/>
      </c>
      <c r="B4307" t="str">
        <f>Segmenter!B4307</f>
        <v/>
      </c>
      <c r="C4307" t="str">
        <f t="shared" si="335"/>
        <v/>
      </c>
      <c r="D4307" t="str">
        <f t="shared" si="336"/>
        <v/>
      </c>
      <c r="E4307" t="str">
        <f t="shared" si="337"/>
        <v/>
      </c>
      <c r="F4307" t="str">
        <f>IF(D4307="","",INDEX(Knutepunkter!$B:$B,D4307+1))</f>
        <v/>
      </c>
      <c r="G4307" t="str">
        <f>IF(D4307="","",INDEX(Knutepunkter!$C:$C,D4307+1))</f>
        <v/>
      </c>
      <c r="H4307" t="str">
        <f>IF(D4307="","",INDEX(Knutepunkter!$D:$D,D4307+1))</f>
        <v/>
      </c>
      <c r="I4307" t="str">
        <f>IF(E4307="","",INDEX(Knutepunkter!$B:$B,E4307+1))</f>
        <v/>
      </c>
      <c r="J4307" t="str">
        <f>IF(E4307="","",INDEX(Knutepunkter!$C:$C,E4307+1))</f>
        <v/>
      </c>
      <c r="K4307" t="str">
        <f>IF(E4307="","",INDEX(Knutepunkter!$D:$D,E4307+1))</f>
        <v/>
      </c>
      <c r="L4307" t="str">
        <f t="shared" si="338"/>
        <v/>
      </c>
      <c r="M4307" t="str">
        <f t="shared" si="339"/>
        <v/>
      </c>
    </row>
    <row r="4308" spans="1:13" x14ac:dyDescent="0.3">
      <c r="A4308" t="str">
        <f>Segmenter!A4308</f>
        <v/>
      </c>
      <c r="B4308" t="str">
        <f>Segmenter!B4308</f>
        <v/>
      </c>
      <c r="C4308" t="str">
        <f t="shared" si="335"/>
        <v/>
      </c>
      <c r="D4308" t="str">
        <f t="shared" si="336"/>
        <v/>
      </c>
      <c r="E4308" t="str">
        <f t="shared" si="337"/>
        <v/>
      </c>
      <c r="F4308" t="str">
        <f>IF(D4308="","",INDEX(Knutepunkter!$B:$B,D4308+1))</f>
        <v/>
      </c>
      <c r="G4308" t="str">
        <f>IF(D4308="","",INDEX(Knutepunkter!$C:$C,D4308+1))</f>
        <v/>
      </c>
      <c r="H4308" t="str">
        <f>IF(D4308="","",INDEX(Knutepunkter!$D:$D,D4308+1))</f>
        <v/>
      </c>
      <c r="I4308" t="str">
        <f>IF(E4308="","",INDEX(Knutepunkter!$B:$B,E4308+1))</f>
        <v/>
      </c>
      <c r="J4308" t="str">
        <f>IF(E4308="","",INDEX(Knutepunkter!$C:$C,E4308+1))</f>
        <v/>
      </c>
      <c r="K4308" t="str">
        <f>IF(E4308="","",INDEX(Knutepunkter!$D:$D,E4308+1))</f>
        <v/>
      </c>
      <c r="L4308" t="str">
        <f t="shared" si="338"/>
        <v/>
      </c>
      <c r="M4308" t="str">
        <f t="shared" si="339"/>
        <v/>
      </c>
    </row>
    <row r="4309" spans="1:13" x14ac:dyDescent="0.3">
      <c r="A4309" t="str">
        <f>Segmenter!A4309</f>
        <v/>
      </c>
      <c r="B4309" t="str">
        <f>Segmenter!B4309</f>
        <v/>
      </c>
      <c r="C4309" t="str">
        <f t="shared" si="335"/>
        <v/>
      </c>
      <c r="D4309" t="str">
        <f t="shared" si="336"/>
        <v/>
      </c>
      <c r="E4309" t="str">
        <f t="shared" si="337"/>
        <v/>
      </c>
      <c r="F4309" t="str">
        <f>IF(D4309="","",INDEX(Knutepunkter!$B:$B,D4309+1))</f>
        <v/>
      </c>
      <c r="G4309" t="str">
        <f>IF(D4309="","",INDEX(Knutepunkter!$C:$C,D4309+1))</f>
        <v/>
      </c>
      <c r="H4309" t="str">
        <f>IF(D4309="","",INDEX(Knutepunkter!$D:$D,D4309+1))</f>
        <v/>
      </c>
      <c r="I4309" t="str">
        <f>IF(E4309="","",INDEX(Knutepunkter!$B:$B,E4309+1))</f>
        <v/>
      </c>
      <c r="J4309" t="str">
        <f>IF(E4309="","",INDEX(Knutepunkter!$C:$C,E4309+1))</f>
        <v/>
      </c>
      <c r="K4309" t="str">
        <f>IF(E4309="","",INDEX(Knutepunkter!$D:$D,E4309+1))</f>
        <v/>
      </c>
      <c r="L4309" t="str">
        <f t="shared" si="338"/>
        <v/>
      </c>
      <c r="M4309" t="str">
        <f t="shared" si="339"/>
        <v/>
      </c>
    </row>
    <row r="4310" spans="1:13" x14ac:dyDescent="0.3">
      <c r="A4310" t="str">
        <f>Segmenter!A4310</f>
        <v/>
      </c>
      <c r="B4310" t="str">
        <f>Segmenter!B4310</f>
        <v/>
      </c>
      <c r="C4310" t="str">
        <f t="shared" si="335"/>
        <v/>
      </c>
      <c r="D4310" t="str">
        <f t="shared" si="336"/>
        <v/>
      </c>
      <c r="E4310" t="str">
        <f t="shared" si="337"/>
        <v/>
      </c>
      <c r="F4310" t="str">
        <f>IF(D4310="","",INDEX(Knutepunkter!$B:$B,D4310+1))</f>
        <v/>
      </c>
      <c r="G4310" t="str">
        <f>IF(D4310="","",INDEX(Knutepunkter!$C:$C,D4310+1))</f>
        <v/>
      </c>
      <c r="H4310" t="str">
        <f>IF(D4310="","",INDEX(Knutepunkter!$D:$D,D4310+1))</f>
        <v/>
      </c>
      <c r="I4310" t="str">
        <f>IF(E4310="","",INDEX(Knutepunkter!$B:$B,E4310+1))</f>
        <v/>
      </c>
      <c r="J4310" t="str">
        <f>IF(E4310="","",INDEX(Knutepunkter!$C:$C,E4310+1))</f>
        <v/>
      </c>
      <c r="K4310" t="str">
        <f>IF(E4310="","",INDEX(Knutepunkter!$D:$D,E4310+1))</f>
        <v/>
      </c>
      <c r="L4310" t="str">
        <f t="shared" si="338"/>
        <v/>
      </c>
      <c r="M4310" t="str">
        <f t="shared" si="339"/>
        <v/>
      </c>
    </row>
    <row r="4311" spans="1:13" x14ac:dyDescent="0.3">
      <c r="A4311" t="str">
        <f>Segmenter!A4311</f>
        <v/>
      </c>
      <c r="B4311" t="str">
        <f>Segmenter!B4311</f>
        <v/>
      </c>
      <c r="C4311" t="str">
        <f t="shared" si="335"/>
        <v/>
      </c>
      <c r="D4311" t="str">
        <f t="shared" si="336"/>
        <v/>
      </c>
      <c r="E4311" t="str">
        <f t="shared" si="337"/>
        <v/>
      </c>
      <c r="F4311" t="str">
        <f>IF(D4311="","",INDEX(Knutepunkter!$B:$B,D4311+1))</f>
        <v/>
      </c>
      <c r="G4311" t="str">
        <f>IF(D4311="","",INDEX(Knutepunkter!$C:$C,D4311+1))</f>
        <v/>
      </c>
      <c r="H4311" t="str">
        <f>IF(D4311="","",INDEX(Knutepunkter!$D:$D,D4311+1))</f>
        <v/>
      </c>
      <c r="I4311" t="str">
        <f>IF(E4311="","",INDEX(Knutepunkter!$B:$B,E4311+1))</f>
        <v/>
      </c>
      <c r="J4311" t="str">
        <f>IF(E4311="","",INDEX(Knutepunkter!$C:$C,E4311+1))</f>
        <v/>
      </c>
      <c r="K4311" t="str">
        <f>IF(E4311="","",INDEX(Knutepunkter!$D:$D,E4311+1))</f>
        <v/>
      </c>
      <c r="L4311" t="str">
        <f t="shared" si="338"/>
        <v/>
      </c>
      <c r="M4311" t="str">
        <f t="shared" si="339"/>
        <v/>
      </c>
    </row>
    <row r="4312" spans="1:13" x14ac:dyDescent="0.3">
      <c r="A4312" t="str">
        <f>Segmenter!A4312</f>
        <v/>
      </c>
      <c r="B4312" t="str">
        <f>Segmenter!B4312</f>
        <v/>
      </c>
      <c r="C4312" t="str">
        <f t="shared" si="335"/>
        <v/>
      </c>
      <c r="D4312" t="str">
        <f t="shared" si="336"/>
        <v/>
      </c>
      <c r="E4312" t="str">
        <f t="shared" si="337"/>
        <v/>
      </c>
      <c r="F4312" t="str">
        <f>IF(D4312="","",INDEX(Knutepunkter!$B:$B,D4312+1))</f>
        <v/>
      </c>
      <c r="G4312" t="str">
        <f>IF(D4312="","",INDEX(Knutepunkter!$C:$C,D4312+1))</f>
        <v/>
      </c>
      <c r="H4312" t="str">
        <f>IF(D4312="","",INDEX(Knutepunkter!$D:$D,D4312+1))</f>
        <v/>
      </c>
      <c r="I4312" t="str">
        <f>IF(E4312="","",INDEX(Knutepunkter!$B:$B,E4312+1))</f>
        <v/>
      </c>
      <c r="J4312" t="str">
        <f>IF(E4312="","",INDEX(Knutepunkter!$C:$C,E4312+1))</f>
        <v/>
      </c>
      <c r="K4312" t="str">
        <f>IF(E4312="","",INDEX(Knutepunkter!$D:$D,E4312+1))</f>
        <v/>
      </c>
      <c r="L4312" t="str">
        <f t="shared" si="338"/>
        <v/>
      </c>
      <c r="M4312" t="str">
        <f t="shared" si="339"/>
        <v/>
      </c>
    </row>
    <row r="4313" spans="1:13" x14ac:dyDescent="0.3">
      <c r="A4313" t="str">
        <f>Segmenter!A4313</f>
        <v/>
      </c>
      <c r="B4313" t="str">
        <f>Segmenter!B4313</f>
        <v/>
      </c>
      <c r="C4313" t="str">
        <f t="shared" si="335"/>
        <v/>
      </c>
      <c r="D4313" t="str">
        <f t="shared" si="336"/>
        <v/>
      </c>
      <c r="E4313" t="str">
        <f t="shared" si="337"/>
        <v/>
      </c>
      <c r="F4313" t="str">
        <f>IF(D4313="","",INDEX(Knutepunkter!$B:$B,D4313+1))</f>
        <v/>
      </c>
      <c r="G4313" t="str">
        <f>IF(D4313="","",INDEX(Knutepunkter!$C:$C,D4313+1))</f>
        <v/>
      </c>
      <c r="H4313" t="str">
        <f>IF(D4313="","",INDEX(Knutepunkter!$D:$D,D4313+1))</f>
        <v/>
      </c>
      <c r="I4313" t="str">
        <f>IF(E4313="","",INDEX(Knutepunkter!$B:$B,E4313+1))</f>
        <v/>
      </c>
      <c r="J4313" t="str">
        <f>IF(E4313="","",INDEX(Knutepunkter!$C:$C,E4313+1))</f>
        <v/>
      </c>
      <c r="K4313" t="str">
        <f>IF(E4313="","",INDEX(Knutepunkter!$D:$D,E4313+1))</f>
        <v/>
      </c>
      <c r="L4313" t="str">
        <f t="shared" si="338"/>
        <v/>
      </c>
      <c r="M4313" t="str">
        <f t="shared" si="339"/>
        <v/>
      </c>
    </row>
    <row r="4314" spans="1:13" x14ac:dyDescent="0.3">
      <c r="A4314" t="str">
        <f>Segmenter!A4314</f>
        <v/>
      </c>
      <c r="B4314" t="str">
        <f>Segmenter!B4314</f>
        <v/>
      </c>
      <c r="C4314" t="str">
        <f t="shared" si="335"/>
        <v/>
      </c>
      <c r="D4314" t="str">
        <f t="shared" si="336"/>
        <v/>
      </c>
      <c r="E4314" t="str">
        <f t="shared" si="337"/>
        <v/>
      </c>
      <c r="F4314" t="str">
        <f>IF(D4314="","",INDEX(Knutepunkter!$B:$B,D4314+1))</f>
        <v/>
      </c>
      <c r="G4314" t="str">
        <f>IF(D4314="","",INDEX(Knutepunkter!$C:$C,D4314+1))</f>
        <v/>
      </c>
      <c r="H4314" t="str">
        <f>IF(D4314="","",INDEX(Knutepunkter!$D:$D,D4314+1))</f>
        <v/>
      </c>
      <c r="I4314" t="str">
        <f>IF(E4314="","",INDEX(Knutepunkter!$B:$B,E4314+1))</f>
        <v/>
      </c>
      <c r="J4314" t="str">
        <f>IF(E4314="","",INDEX(Knutepunkter!$C:$C,E4314+1))</f>
        <v/>
      </c>
      <c r="K4314" t="str">
        <f>IF(E4314="","",INDEX(Knutepunkter!$D:$D,E4314+1))</f>
        <v/>
      </c>
      <c r="L4314" t="str">
        <f t="shared" si="338"/>
        <v/>
      </c>
      <c r="M4314" t="str">
        <f t="shared" si="339"/>
        <v/>
      </c>
    </row>
    <row r="4315" spans="1:13" x14ac:dyDescent="0.3">
      <c r="A4315" t="str">
        <f>Segmenter!A4315</f>
        <v/>
      </c>
      <c r="B4315" t="str">
        <f>Segmenter!B4315</f>
        <v/>
      </c>
      <c r="C4315" t="str">
        <f t="shared" si="335"/>
        <v/>
      </c>
      <c r="D4315" t="str">
        <f t="shared" si="336"/>
        <v/>
      </c>
      <c r="E4315" t="str">
        <f t="shared" si="337"/>
        <v/>
      </c>
      <c r="F4315" t="str">
        <f>IF(D4315="","",INDEX(Knutepunkter!$B:$B,D4315+1))</f>
        <v/>
      </c>
      <c r="G4315" t="str">
        <f>IF(D4315="","",INDEX(Knutepunkter!$C:$C,D4315+1))</f>
        <v/>
      </c>
      <c r="H4315" t="str">
        <f>IF(D4315="","",INDEX(Knutepunkter!$D:$D,D4315+1))</f>
        <v/>
      </c>
      <c r="I4315" t="str">
        <f>IF(E4315="","",INDEX(Knutepunkter!$B:$B,E4315+1))</f>
        <v/>
      </c>
      <c r="J4315" t="str">
        <f>IF(E4315="","",INDEX(Knutepunkter!$C:$C,E4315+1))</f>
        <v/>
      </c>
      <c r="K4315" t="str">
        <f>IF(E4315="","",INDEX(Knutepunkter!$D:$D,E4315+1))</f>
        <v/>
      </c>
      <c r="L4315" t="str">
        <f t="shared" si="338"/>
        <v/>
      </c>
      <c r="M4315" t="str">
        <f t="shared" si="339"/>
        <v/>
      </c>
    </row>
    <row r="4316" spans="1:13" x14ac:dyDescent="0.3">
      <c r="A4316" t="str">
        <f>Segmenter!A4316</f>
        <v/>
      </c>
      <c r="B4316" t="str">
        <f>Segmenter!B4316</f>
        <v/>
      </c>
      <c r="C4316" t="str">
        <f t="shared" si="335"/>
        <v/>
      </c>
      <c r="D4316" t="str">
        <f t="shared" si="336"/>
        <v/>
      </c>
      <c r="E4316" t="str">
        <f t="shared" si="337"/>
        <v/>
      </c>
      <c r="F4316" t="str">
        <f>IF(D4316="","",INDEX(Knutepunkter!$B:$B,D4316+1))</f>
        <v/>
      </c>
      <c r="G4316" t="str">
        <f>IF(D4316="","",INDEX(Knutepunkter!$C:$C,D4316+1))</f>
        <v/>
      </c>
      <c r="H4316" t="str">
        <f>IF(D4316="","",INDEX(Knutepunkter!$D:$D,D4316+1))</f>
        <v/>
      </c>
      <c r="I4316" t="str">
        <f>IF(E4316="","",INDEX(Knutepunkter!$B:$B,E4316+1))</f>
        <v/>
      </c>
      <c r="J4316" t="str">
        <f>IF(E4316="","",INDEX(Knutepunkter!$C:$C,E4316+1))</f>
        <v/>
      </c>
      <c r="K4316" t="str">
        <f>IF(E4316="","",INDEX(Knutepunkter!$D:$D,E4316+1))</f>
        <v/>
      </c>
      <c r="L4316" t="str">
        <f t="shared" si="338"/>
        <v/>
      </c>
      <c r="M4316" t="str">
        <f t="shared" si="339"/>
        <v/>
      </c>
    </row>
    <row r="4317" spans="1:13" x14ac:dyDescent="0.3">
      <c r="A4317" t="str">
        <f>Segmenter!A4317</f>
        <v/>
      </c>
      <c r="B4317" t="str">
        <f>Segmenter!B4317</f>
        <v/>
      </c>
      <c r="C4317" t="str">
        <f t="shared" si="335"/>
        <v/>
      </c>
      <c r="D4317" t="str">
        <f t="shared" si="336"/>
        <v/>
      </c>
      <c r="E4317" t="str">
        <f t="shared" si="337"/>
        <v/>
      </c>
      <c r="F4317" t="str">
        <f>IF(D4317="","",INDEX(Knutepunkter!$B:$B,D4317+1))</f>
        <v/>
      </c>
      <c r="G4317" t="str">
        <f>IF(D4317="","",INDEX(Knutepunkter!$C:$C,D4317+1))</f>
        <v/>
      </c>
      <c r="H4317" t="str">
        <f>IF(D4317="","",INDEX(Knutepunkter!$D:$D,D4317+1))</f>
        <v/>
      </c>
      <c r="I4317" t="str">
        <f>IF(E4317="","",INDEX(Knutepunkter!$B:$B,E4317+1))</f>
        <v/>
      </c>
      <c r="J4317" t="str">
        <f>IF(E4317="","",INDEX(Knutepunkter!$C:$C,E4317+1))</f>
        <v/>
      </c>
      <c r="K4317" t="str">
        <f>IF(E4317="","",INDEX(Knutepunkter!$D:$D,E4317+1))</f>
        <v/>
      </c>
      <c r="L4317" t="str">
        <f t="shared" si="338"/>
        <v/>
      </c>
      <c r="M4317" t="str">
        <f t="shared" si="339"/>
        <v/>
      </c>
    </row>
    <row r="4318" spans="1:13" x14ac:dyDescent="0.3">
      <c r="A4318" t="str">
        <f>Segmenter!A4318</f>
        <v/>
      </c>
      <c r="B4318" t="str">
        <f>Segmenter!B4318</f>
        <v/>
      </c>
      <c r="C4318" t="str">
        <f t="shared" si="335"/>
        <v/>
      </c>
      <c r="D4318" t="str">
        <f t="shared" si="336"/>
        <v/>
      </c>
      <c r="E4318" t="str">
        <f t="shared" si="337"/>
        <v/>
      </c>
      <c r="F4318" t="str">
        <f>IF(D4318="","",INDEX(Knutepunkter!$B:$B,D4318+1))</f>
        <v/>
      </c>
      <c r="G4318" t="str">
        <f>IF(D4318="","",INDEX(Knutepunkter!$C:$C,D4318+1))</f>
        <v/>
      </c>
      <c r="H4318" t="str">
        <f>IF(D4318="","",INDEX(Knutepunkter!$D:$D,D4318+1))</f>
        <v/>
      </c>
      <c r="I4318" t="str">
        <f>IF(E4318="","",INDEX(Knutepunkter!$B:$B,E4318+1))</f>
        <v/>
      </c>
      <c r="J4318" t="str">
        <f>IF(E4318="","",INDEX(Knutepunkter!$C:$C,E4318+1))</f>
        <v/>
      </c>
      <c r="K4318" t="str">
        <f>IF(E4318="","",INDEX(Knutepunkter!$D:$D,E4318+1))</f>
        <v/>
      </c>
      <c r="L4318" t="str">
        <f t="shared" si="338"/>
        <v/>
      </c>
      <c r="M4318" t="str">
        <f t="shared" si="339"/>
        <v/>
      </c>
    </row>
    <row r="4319" spans="1:13" x14ac:dyDescent="0.3">
      <c r="A4319" t="str">
        <f>Segmenter!A4319</f>
        <v/>
      </c>
      <c r="B4319" t="str">
        <f>Segmenter!B4319</f>
        <v/>
      </c>
      <c r="C4319" t="str">
        <f t="shared" si="335"/>
        <v/>
      </c>
      <c r="D4319" t="str">
        <f t="shared" si="336"/>
        <v/>
      </c>
      <c r="E4319" t="str">
        <f t="shared" si="337"/>
        <v/>
      </c>
      <c r="F4319" t="str">
        <f>IF(D4319="","",INDEX(Knutepunkter!$B:$B,D4319+1))</f>
        <v/>
      </c>
      <c r="G4319" t="str">
        <f>IF(D4319="","",INDEX(Knutepunkter!$C:$C,D4319+1))</f>
        <v/>
      </c>
      <c r="H4319" t="str">
        <f>IF(D4319="","",INDEX(Knutepunkter!$D:$D,D4319+1))</f>
        <v/>
      </c>
      <c r="I4319" t="str">
        <f>IF(E4319="","",INDEX(Knutepunkter!$B:$B,E4319+1))</f>
        <v/>
      </c>
      <c r="J4319" t="str">
        <f>IF(E4319="","",INDEX(Knutepunkter!$C:$C,E4319+1))</f>
        <v/>
      </c>
      <c r="K4319" t="str">
        <f>IF(E4319="","",INDEX(Knutepunkter!$D:$D,E4319+1))</f>
        <v/>
      </c>
      <c r="L4319" t="str">
        <f t="shared" si="338"/>
        <v/>
      </c>
      <c r="M4319" t="str">
        <f t="shared" si="339"/>
        <v/>
      </c>
    </row>
    <row r="4320" spans="1:13" x14ac:dyDescent="0.3">
      <c r="A4320" t="str">
        <f>Segmenter!A4320</f>
        <v/>
      </c>
      <c r="B4320" t="str">
        <f>Segmenter!B4320</f>
        <v/>
      </c>
      <c r="C4320" t="str">
        <f t="shared" si="335"/>
        <v/>
      </c>
      <c r="D4320" t="str">
        <f t="shared" si="336"/>
        <v/>
      </c>
      <c r="E4320" t="str">
        <f t="shared" si="337"/>
        <v/>
      </c>
      <c r="F4320" t="str">
        <f>IF(D4320="","",INDEX(Knutepunkter!$B:$B,D4320+1))</f>
        <v/>
      </c>
      <c r="G4320" t="str">
        <f>IF(D4320="","",INDEX(Knutepunkter!$C:$C,D4320+1))</f>
        <v/>
      </c>
      <c r="H4320" t="str">
        <f>IF(D4320="","",INDEX(Knutepunkter!$D:$D,D4320+1))</f>
        <v/>
      </c>
      <c r="I4320" t="str">
        <f>IF(E4320="","",INDEX(Knutepunkter!$B:$B,E4320+1))</f>
        <v/>
      </c>
      <c r="J4320" t="str">
        <f>IF(E4320="","",INDEX(Knutepunkter!$C:$C,E4320+1))</f>
        <v/>
      </c>
      <c r="K4320" t="str">
        <f>IF(E4320="","",INDEX(Knutepunkter!$D:$D,E4320+1))</f>
        <v/>
      </c>
      <c r="L4320" t="str">
        <f t="shared" si="338"/>
        <v/>
      </c>
      <c r="M4320" t="str">
        <f t="shared" si="339"/>
        <v/>
      </c>
    </row>
    <row r="4321" spans="1:13" x14ac:dyDescent="0.3">
      <c r="A4321" t="str">
        <f>Segmenter!A4321</f>
        <v/>
      </c>
      <c r="B4321" t="str">
        <f>Segmenter!B4321</f>
        <v/>
      </c>
      <c r="C4321" t="str">
        <f t="shared" si="335"/>
        <v/>
      </c>
      <c r="D4321" t="str">
        <f t="shared" si="336"/>
        <v/>
      </c>
      <c r="E4321" t="str">
        <f t="shared" si="337"/>
        <v/>
      </c>
      <c r="F4321" t="str">
        <f>IF(D4321="","",INDEX(Knutepunkter!$B:$B,D4321+1))</f>
        <v/>
      </c>
      <c r="G4321" t="str">
        <f>IF(D4321="","",INDEX(Knutepunkter!$C:$C,D4321+1))</f>
        <v/>
      </c>
      <c r="H4321" t="str">
        <f>IF(D4321="","",INDEX(Knutepunkter!$D:$D,D4321+1))</f>
        <v/>
      </c>
      <c r="I4321" t="str">
        <f>IF(E4321="","",INDEX(Knutepunkter!$B:$B,E4321+1))</f>
        <v/>
      </c>
      <c r="J4321" t="str">
        <f>IF(E4321="","",INDEX(Knutepunkter!$C:$C,E4321+1))</f>
        <v/>
      </c>
      <c r="K4321" t="str">
        <f>IF(E4321="","",INDEX(Knutepunkter!$D:$D,E4321+1))</f>
        <v/>
      </c>
      <c r="L4321" t="str">
        <f t="shared" si="338"/>
        <v/>
      </c>
      <c r="M4321" t="str">
        <f t="shared" si="339"/>
        <v/>
      </c>
    </row>
    <row r="4322" spans="1:13" x14ac:dyDescent="0.3">
      <c r="A4322" t="str">
        <f>Segmenter!A4322</f>
        <v/>
      </c>
      <c r="B4322" t="str">
        <f>Segmenter!B4322</f>
        <v/>
      </c>
      <c r="C4322" t="str">
        <f t="shared" si="335"/>
        <v/>
      </c>
      <c r="D4322" t="str">
        <f t="shared" si="336"/>
        <v/>
      </c>
      <c r="E4322" t="str">
        <f t="shared" si="337"/>
        <v/>
      </c>
      <c r="F4322" t="str">
        <f>IF(D4322="","",INDEX(Knutepunkter!$B:$B,D4322+1))</f>
        <v/>
      </c>
      <c r="G4322" t="str">
        <f>IF(D4322="","",INDEX(Knutepunkter!$C:$C,D4322+1))</f>
        <v/>
      </c>
      <c r="H4322" t="str">
        <f>IF(D4322="","",INDEX(Knutepunkter!$D:$D,D4322+1))</f>
        <v/>
      </c>
      <c r="I4322" t="str">
        <f>IF(E4322="","",INDEX(Knutepunkter!$B:$B,E4322+1))</f>
        <v/>
      </c>
      <c r="J4322" t="str">
        <f>IF(E4322="","",INDEX(Knutepunkter!$C:$C,E4322+1))</f>
        <v/>
      </c>
      <c r="K4322" t="str">
        <f>IF(E4322="","",INDEX(Knutepunkter!$D:$D,E4322+1))</f>
        <v/>
      </c>
      <c r="L4322" t="str">
        <f t="shared" si="338"/>
        <v/>
      </c>
      <c r="M4322" t="str">
        <f t="shared" si="339"/>
        <v/>
      </c>
    </row>
    <row r="4323" spans="1:13" x14ac:dyDescent="0.3">
      <c r="A4323" t="str">
        <f>Segmenter!A4323</f>
        <v/>
      </c>
      <c r="B4323" t="str">
        <f>Segmenter!B4323</f>
        <v/>
      </c>
      <c r="C4323" t="str">
        <f t="shared" si="335"/>
        <v/>
      </c>
      <c r="D4323" t="str">
        <f t="shared" si="336"/>
        <v/>
      </c>
      <c r="E4323" t="str">
        <f t="shared" si="337"/>
        <v/>
      </c>
      <c r="F4323" t="str">
        <f>IF(D4323="","",INDEX(Knutepunkter!$B:$B,D4323+1))</f>
        <v/>
      </c>
      <c r="G4323" t="str">
        <f>IF(D4323="","",INDEX(Knutepunkter!$C:$C,D4323+1))</f>
        <v/>
      </c>
      <c r="H4323" t="str">
        <f>IF(D4323="","",INDEX(Knutepunkter!$D:$D,D4323+1))</f>
        <v/>
      </c>
      <c r="I4323" t="str">
        <f>IF(E4323="","",INDEX(Knutepunkter!$B:$B,E4323+1))</f>
        <v/>
      </c>
      <c r="J4323" t="str">
        <f>IF(E4323="","",INDEX(Knutepunkter!$C:$C,E4323+1))</f>
        <v/>
      </c>
      <c r="K4323" t="str">
        <f>IF(E4323="","",INDEX(Knutepunkter!$D:$D,E4323+1))</f>
        <v/>
      </c>
      <c r="L4323" t="str">
        <f t="shared" si="338"/>
        <v/>
      </c>
      <c r="M4323" t="str">
        <f t="shared" si="339"/>
        <v/>
      </c>
    </row>
    <row r="4324" spans="1:13" x14ac:dyDescent="0.3">
      <c r="A4324" t="str">
        <f>Segmenter!A4324</f>
        <v/>
      </c>
      <c r="B4324" t="str">
        <f>Segmenter!B4324</f>
        <v/>
      </c>
      <c r="C4324" t="str">
        <f t="shared" si="335"/>
        <v/>
      </c>
      <c r="D4324" t="str">
        <f t="shared" si="336"/>
        <v/>
      </c>
      <c r="E4324" t="str">
        <f t="shared" si="337"/>
        <v/>
      </c>
      <c r="F4324" t="str">
        <f>IF(D4324="","",INDEX(Knutepunkter!$B:$B,D4324+1))</f>
        <v/>
      </c>
      <c r="G4324" t="str">
        <f>IF(D4324="","",INDEX(Knutepunkter!$C:$C,D4324+1))</f>
        <v/>
      </c>
      <c r="H4324" t="str">
        <f>IF(D4324="","",INDEX(Knutepunkter!$D:$D,D4324+1))</f>
        <v/>
      </c>
      <c r="I4324" t="str">
        <f>IF(E4324="","",INDEX(Knutepunkter!$B:$B,E4324+1))</f>
        <v/>
      </c>
      <c r="J4324" t="str">
        <f>IF(E4324="","",INDEX(Knutepunkter!$C:$C,E4324+1))</f>
        <v/>
      </c>
      <c r="K4324" t="str">
        <f>IF(E4324="","",INDEX(Knutepunkter!$D:$D,E4324+1))</f>
        <v/>
      </c>
      <c r="L4324" t="str">
        <f t="shared" si="338"/>
        <v/>
      </c>
      <c r="M4324" t="str">
        <f t="shared" si="339"/>
        <v/>
      </c>
    </row>
    <row r="4325" spans="1:13" x14ac:dyDescent="0.3">
      <c r="A4325" t="str">
        <f>Segmenter!A4325</f>
        <v/>
      </c>
      <c r="B4325" t="str">
        <f>Segmenter!B4325</f>
        <v/>
      </c>
      <c r="C4325" t="str">
        <f t="shared" si="335"/>
        <v/>
      </c>
      <c r="D4325" t="str">
        <f t="shared" si="336"/>
        <v/>
      </c>
      <c r="E4325" t="str">
        <f t="shared" si="337"/>
        <v/>
      </c>
      <c r="F4325" t="str">
        <f>IF(D4325="","",INDEX(Knutepunkter!$B:$B,D4325+1))</f>
        <v/>
      </c>
      <c r="G4325" t="str">
        <f>IF(D4325="","",INDEX(Knutepunkter!$C:$C,D4325+1))</f>
        <v/>
      </c>
      <c r="H4325" t="str">
        <f>IF(D4325="","",INDEX(Knutepunkter!$D:$D,D4325+1))</f>
        <v/>
      </c>
      <c r="I4325" t="str">
        <f>IF(E4325="","",INDEX(Knutepunkter!$B:$B,E4325+1))</f>
        <v/>
      </c>
      <c r="J4325" t="str">
        <f>IF(E4325="","",INDEX(Knutepunkter!$C:$C,E4325+1))</f>
        <v/>
      </c>
      <c r="K4325" t="str">
        <f>IF(E4325="","",INDEX(Knutepunkter!$D:$D,E4325+1))</f>
        <v/>
      </c>
      <c r="L4325" t="str">
        <f t="shared" si="338"/>
        <v/>
      </c>
      <c r="M4325" t="str">
        <f t="shared" si="339"/>
        <v/>
      </c>
    </row>
    <row r="4326" spans="1:13" x14ac:dyDescent="0.3">
      <c r="A4326" t="str">
        <f>Segmenter!A4326</f>
        <v/>
      </c>
      <c r="B4326" t="str">
        <f>Segmenter!B4326</f>
        <v/>
      </c>
      <c r="C4326" t="str">
        <f t="shared" si="335"/>
        <v/>
      </c>
      <c r="D4326" t="str">
        <f t="shared" si="336"/>
        <v/>
      </c>
      <c r="E4326" t="str">
        <f t="shared" si="337"/>
        <v/>
      </c>
      <c r="F4326" t="str">
        <f>IF(D4326="","",INDEX(Knutepunkter!$B:$B,D4326+1))</f>
        <v/>
      </c>
      <c r="G4326" t="str">
        <f>IF(D4326="","",INDEX(Knutepunkter!$C:$C,D4326+1))</f>
        <v/>
      </c>
      <c r="H4326" t="str">
        <f>IF(D4326="","",INDEX(Knutepunkter!$D:$D,D4326+1))</f>
        <v/>
      </c>
      <c r="I4326" t="str">
        <f>IF(E4326="","",INDEX(Knutepunkter!$B:$B,E4326+1))</f>
        <v/>
      </c>
      <c r="J4326" t="str">
        <f>IF(E4326="","",INDEX(Knutepunkter!$C:$C,E4326+1))</f>
        <v/>
      </c>
      <c r="K4326" t="str">
        <f>IF(E4326="","",INDEX(Knutepunkter!$D:$D,E4326+1))</f>
        <v/>
      </c>
      <c r="L4326" t="str">
        <f t="shared" si="338"/>
        <v/>
      </c>
      <c r="M4326" t="str">
        <f t="shared" si="339"/>
        <v/>
      </c>
    </row>
    <row r="4327" spans="1:13" x14ac:dyDescent="0.3">
      <c r="A4327" t="str">
        <f>Segmenter!A4327</f>
        <v/>
      </c>
      <c r="B4327" t="str">
        <f>Segmenter!B4327</f>
        <v/>
      </c>
      <c r="C4327" t="str">
        <f t="shared" si="335"/>
        <v/>
      </c>
      <c r="D4327" t="str">
        <f t="shared" si="336"/>
        <v/>
      </c>
      <c r="E4327" t="str">
        <f t="shared" si="337"/>
        <v/>
      </c>
      <c r="F4327" t="str">
        <f>IF(D4327="","",INDEX(Knutepunkter!$B:$B,D4327+1))</f>
        <v/>
      </c>
      <c r="G4327" t="str">
        <f>IF(D4327="","",INDEX(Knutepunkter!$C:$C,D4327+1))</f>
        <v/>
      </c>
      <c r="H4327" t="str">
        <f>IF(D4327="","",INDEX(Knutepunkter!$D:$D,D4327+1))</f>
        <v/>
      </c>
      <c r="I4327" t="str">
        <f>IF(E4327="","",INDEX(Knutepunkter!$B:$B,E4327+1))</f>
        <v/>
      </c>
      <c r="J4327" t="str">
        <f>IF(E4327="","",INDEX(Knutepunkter!$C:$C,E4327+1))</f>
        <v/>
      </c>
      <c r="K4327" t="str">
        <f>IF(E4327="","",INDEX(Knutepunkter!$D:$D,E4327+1))</f>
        <v/>
      </c>
      <c r="L4327" t="str">
        <f t="shared" si="338"/>
        <v/>
      </c>
      <c r="M4327" t="str">
        <f t="shared" si="339"/>
        <v/>
      </c>
    </row>
    <row r="4328" spans="1:13" x14ac:dyDescent="0.3">
      <c r="A4328" t="str">
        <f>Segmenter!A4328</f>
        <v/>
      </c>
      <c r="B4328" t="str">
        <f>Segmenter!B4328</f>
        <v/>
      </c>
      <c r="C4328" t="str">
        <f t="shared" si="335"/>
        <v/>
      </c>
      <c r="D4328" t="str">
        <f t="shared" si="336"/>
        <v/>
      </c>
      <c r="E4328" t="str">
        <f t="shared" si="337"/>
        <v/>
      </c>
      <c r="F4328" t="str">
        <f>IF(D4328="","",INDEX(Knutepunkter!$B:$B,D4328+1))</f>
        <v/>
      </c>
      <c r="G4328" t="str">
        <f>IF(D4328="","",INDEX(Knutepunkter!$C:$C,D4328+1))</f>
        <v/>
      </c>
      <c r="H4328" t="str">
        <f>IF(D4328="","",INDEX(Knutepunkter!$D:$D,D4328+1))</f>
        <v/>
      </c>
      <c r="I4328" t="str">
        <f>IF(E4328="","",INDEX(Knutepunkter!$B:$B,E4328+1))</f>
        <v/>
      </c>
      <c r="J4328" t="str">
        <f>IF(E4328="","",INDEX(Knutepunkter!$C:$C,E4328+1))</f>
        <v/>
      </c>
      <c r="K4328" t="str">
        <f>IF(E4328="","",INDEX(Knutepunkter!$D:$D,E4328+1))</f>
        <v/>
      </c>
      <c r="L4328" t="str">
        <f t="shared" si="338"/>
        <v/>
      </c>
      <c r="M4328" t="str">
        <f t="shared" si="339"/>
        <v/>
      </c>
    </row>
    <row r="4329" spans="1:13" x14ac:dyDescent="0.3">
      <c r="A4329" t="str">
        <f>Segmenter!A4329</f>
        <v/>
      </c>
      <c r="B4329" t="str">
        <f>Segmenter!B4329</f>
        <v/>
      </c>
      <c r="C4329" t="str">
        <f t="shared" si="335"/>
        <v/>
      </c>
      <c r="D4329" t="str">
        <f t="shared" si="336"/>
        <v/>
      </c>
      <c r="E4329" t="str">
        <f t="shared" si="337"/>
        <v/>
      </c>
      <c r="F4329" t="str">
        <f>IF(D4329="","",INDEX(Knutepunkter!$B:$B,D4329+1))</f>
        <v/>
      </c>
      <c r="G4329" t="str">
        <f>IF(D4329="","",INDEX(Knutepunkter!$C:$C,D4329+1))</f>
        <v/>
      </c>
      <c r="H4329" t="str">
        <f>IF(D4329="","",INDEX(Knutepunkter!$D:$D,D4329+1))</f>
        <v/>
      </c>
      <c r="I4329" t="str">
        <f>IF(E4329="","",INDEX(Knutepunkter!$B:$B,E4329+1))</f>
        <v/>
      </c>
      <c r="J4329" t="str">
        <f>IF(E4329="","",INDEX(Knutepunkter!$C:$C,E4329+1))</f>
        <v/>
      </c>
      <c r="K4329" t="str">
        <f>IF(E4329="","",INDEX(Knutepunkter!$D:$D,E4329+1))</f>
        <v/>
      </c>
      <c r="L4329" t="str">
        <f t="shared" si="338"/>
        <v/>
      </c>
      <c r="M4329" t="str">
        <f t="shared" si="339"/>
        <v/>
      </c>
    </row>
    <row r="4330" spans="1:13" x14ac:dyDescent="0.3">
      <c r="A4330" t="str">
        <f>Segmenter!A4330</f>
        <v/>
      </c>
      <c r="B4330" t="str">
        <f>Segmenter!B4330</f>
        <v/>
      </c>
      <c r="C4330" t="str">
        <f t="shared" si="335"/>
        <v/>
      </c>
      <c r="D4330" t="str">
        <f t="shared" si="336"/>
        <v/>
      </c>
      <c r="E4330" t="str">
        <f t="shared" si="337"/>
        <v/>
      </c>
      <c r="F4330" t="str">
        <f>IF(D4330="","",INDEX(Knutepunkter!$B:$B,D4330+1))</f>
        <v/>
      </c>
      <c r="G4330" t="str">
        <f>IF(D4330="","",INDEX(Knutepunkter!$C:$C,D4330+1))</f>
        <v/>
      </c>
      <c r="H4330" t="str">
        <f>IF(D4330="","",INDEX(Knutepunkter!$D:$D,D4330+1))</f>
        <v/>
      </c>
      <c r="I4330" t="str">
        <f>IF(E4330="","",INDEX(Knutepunkter!$B:$B,E4330+1))</f>
        <v/>
      </c>
      <c r="J4330" t="str">
        <f>IF(E4330="","",INDEX(Knutepunkter!$C:$C,E4330+1))</f>
        <v/>
      </c>
      <c r="K4330" t="str">
        <f>IF(E4330="","",INDEX(Knutepunkter!$D:$D,E4330+1))</f>
        <v/>
      </c>
      <c r="L4330" t="str">
        <f t="shared" si="338"/>
        <v/>
      </c>
      <c r="M4330" t="str">
        <f t="shared" si="339"/>
        <v/>
      </c>
    </row>
    <row r="4331" spans="1:13" x14ac:dyDescent="0.3">
      <c r="A4331" t="str">
        <f>Segmenter!A4331</f>
        <v/>
      </c>
      <c r="B4331" t="str">
        <f>Segmenter!B4331</f>
        <v/>
      </c>
      <c r="C4331" t="str">
        <f t="shared" si="335"/>
        <v/>
      </c>
      <c r="D4331" t="str">
        <f t="shared" si="336"/>
        <v/>
      </c>
      <c r="E4331" t="str">
        <f t="shared" si="337"/>
        <v/>
      </c>
      <c r="F4331" t="str">
        <f>IF(D4331="","",INDEX(Knutepunkter!$B:$B,D4331+1))</f>
        <v/>
      </c>
      <c r="G4331" t="str">
        <f>IF(D4331="","",INDEX(Knutepunkter!$C:$C,D4331+1))</f>
        <v/>
      </c>
      <c r="H4331" t="str">
        <f>IF(D4331="","",INDEX(Knutepunkter!$D:$D,D4331+1))</f>
        <v/>
      </c>
      <c r="I4331" t="str">
        <f>IF(E4331="","",INDEX(Knutepunkter!$B:$B,E4331+1))</f>
        <v/>
      </c>
      <c r="J4331" t="str">
        <f>IF(E4331="","",INDEX(Knutepunkter!$C:$C,E4331+1))</f>
        <v/>
      </c>
      <c r="K4331" t="str">
        <f>IF(E4331="","",INDEX(Knutepunkter!$D:$D,E4331+1))</f>
        <v/>
      </c>
      <c r="L4331" t="str">
        <f t="shared" si="338"/>
        <v/>
      </c>
      <c r="M4331" t="str">
        <f t="shared" si="339"/>
        <v/>
      </c>
    </row>
    <row r="4332" spans="1:13" x14ac:dyDescent="0.3">
      <c r="A4332" t="str">
        <f>Segmenter!A4332</f>
        <v/>
      </c>
      <c r="B4332" t="str">
        <f>Segmenter!B4332</f>
        <v/>
      </c>
      <c r="C4332" t="str">
        <f t="shared" si="335"/>
        <v/>
      </c>
      <c r="D4332" t="str">
        <f t="shared" si="336"/>
        <v/>
      </c>
      <c r="E4332" t="str">
        <f t="shared" si="337"/>
        <v/>
      </c>
      <c r="F4332" t="str">
        <f>IF(D4332="","",INDEX(Knutepunkter!$B:$B,D4332+1))</f>
        <v/>
      </c>
      <c r="G4332" t="str">
        <f>IF(D4332="","",INDEX(Knutepunkter!$C:$C,D4332+1))</f>
        <v/>
      </c>
      <c r="H4332" t="str">
        <f>IF(D4332="","",INDEX(Knutepunkter!$D:$D,D4332+1))</f>
        <v/>
      </c>
      <c r="I4332" t="str">
        <f>IF(E4332="","",INDEX(Knutepunkter!$B:$B,E4332+1))</f>
        <v/>
      </c>
      <c r="J4332" t="str">
        <f>IF(E4332="","",INDEX(Knutepunkter!$C:$C,E4332+1))</f>
        <v/>
      </c>
      <c r="K4332" t="str">
        <f>IF(E4332="","",INDEX(Knutepunkter!$D:$D,E4332+1))</f>
        <v/>
      </c>
      <c r="L4332" t="str">
        <f t="shared" si="338"/>
        <v/>
      </c>
      <c r="M4332" t="str">
        <f t="shared" si="339"/>
        <v/>
      </c>
    </row>
    <row r="4333" spans="1:13" x14ac:dyDescent="0.3">
      <c r="A4333" t="str">
        <f>Segmenter!A4333</f>
        <v/>
      </c>
      <c r="B4333" t="str">
        <f>Segmenter!B4333</f>
        <v/>
      </c>
      <c r="C4333" t="str">
        <f t="shared" si="335"/>
        <v/>
      </c>
      <c r="D4333" t="str">
        <f t="shared" si="336"/>
        <v/>
      </c>
      <c r="E4333" t="str">
        <f t="shared" si="337"/>
        <v/>
      </c>
      <c r="F4333" t="str">
        <f>IF(D4333="","",INDEX(Knutepunkter!$B:$B,D4333+1))</f>
        <v/>
      </c>
      <c r="G4333" t="str">
        <f>IF(D4333="","",INDEX(Knutepunkter!$C:$C,D4333+1))</f>
        <v/>
      </c>
      <c r="H4333" t="str">
        <f>IF(D4333="","",INDEX(Knutepunkter!$D:$D,D4333+1))</f>
        <v/>
      </c>
      <c r="I4333" t="str">
        <f>IF(E4333="","",INDEX(Knutepunkter!$B:$B,E4333+1))</f>
        <v/>
      </c>
      <c r="J4333" t="str">
        <f>IF(E4333="","",INDEX(Knutepunkter!$C:$C,E4333+1))</f>
        <v/>
      </c>
      <c r="K4333" t="str">
        <f>IF(E4333="","",INDEX(Knutepunkter!$D:$D,E4333+1))</f>
        <v/>
      </c>
      <c r="L4333" t="str">
        <f t="shared" si="338"/>
        <v/>
      </c>
      <c r="M4333" t="str">
        <f t="shared" si="339"/>
        <v/>
      </c>
    </row>
    <row r="4334" spans="1:13" x14ac:dyDescent="0.3">
      <c r="A4334" t="str">
        <f>Segmenter!A4334</f>
        <v/>
      </c>
      <c r="B4334" t="str">
        <f>Segmenter!B4334</f>
        <v/>
      </c>
      <c r="C4334" t="str">
        <f t="shared" si="335"/>
        <v/>
      </c>
      <c r="D4334" t="str">
        <f t="shared" si="336"/>
        <v/>
      </c>
      <c r="E4334" t="str">
        <f t="shared" si="337"/>
        <v/>
      </c>
      <c r="F4334" t="str">
        <f>IF(D4334="","",INDEX(Knutepunkter!$B:$B,D4334+1))</f>
        <v/>
      </c>
      <c r="G4334" t="str">
        <f>IF(D4334="","",INDEX(Knutepunkter!$C:$C,D4334+1))</f>
        <v/>
      </c>
      <c r="H4334" t="str">
        <f>IF(D4334="","",INDEX(Knutepunkter!$D:$D,D4334+1))</f>
        <v/>
      </c>
      <c r="I4334" t="str">
        <f>IF(E4334="","",INDEX(Knutepunkter!$B:$B,E4334+1))</f>
        <v/>
      </c>
      <c r="J4334" t="str">
        <f>IF(E4334="","",INDEX(Knutepunkter!$C:$C,E4334+1))</f>
        <v/>
      </c>
      <c r="K4334" t="str">
        <f>IF(E4334="","",INDEX(Knutepunkter!$D:$D,E4334+1))</f>
        <v/>
      </c>
      <c r="L4334" t="str">
        <f t="shared" si="338"/>
        <v/>
      </c>
      <c r="M4334" t="str">
        <f t="shared" si="339"/>
        <v/>
      </c>
    </row>
    <row r="4335" spans="1:13" x14ac:dyDescent="0.3">
      <c r="A4335" t="str">
        <f>Segmenter!A4335</f>
        <v/>
      </c>
      <c r="B4335" t="str">
        <f>Segmenter!B4335</f>
        <v/>
      </c>
      <c r="C4335" t="str">
        <f t="shared" si="335"/>
        <v/>
      </c>
      <c r="D4335" t="str">
        <f t="shared" si="336"/>
        <v/>
      </c>
      <c r="E4335" t="str">
        <f t="shared" si="337"/>
        <v/>
      </c>
      <c r="F4335" t="str">
        <f>IF(D4335="","",INDEX(Knutepunkter!$B:$B,D4335+1))</f>
        <v/>
      </c>
      <c r="G4335" t="str">
        <f>IF(D4335="","",INDEX(Knutepunkter!$C:$C,D4335+1))</f>
        <v/>
      </c>
      <c r="H4335" t="str">
        <f>IF(D4335="","",INDEX(Knutepunkter!$D:$D,D4335+1))</f>
        <v/>
      </c>
      <c r="I4335" t="str">
        <f>IF(E4335="","",INDEX(Knutepunkter!$B:$B,E4335+1))</f>
        <v/>
      </c>
      <c r="J4335" t="str">
        <f>IF(E4335="","",INDEX(Knutepunkter!$C:$C,E4335+1))</f>
        <v/>
      </c>
      <c r="K4335" t="str">
        <f>IF(E4335="","",INDEX(Knutepunkter!$D:$D,E4335+1))</f>
        <v/>
      </c>
      <c r="L4335" t="str">
        <f t="shared" si="338"/>
        <v/>
      </c>
      <c r="M4335" t="str">
        <f t="shared" si="339"/>
        <v/>
      </c>
    </row>
    <row r="4336" spans="1:13" x14ac:dyDescent="0.3">
      <c r="A4336" t="str">
        <f>Segmenter!A4336</f>
        <v/>
      </c>
      <c r="B4336" t="str">
        <f>Segmenter!B4336</f>
        <v/>
      </c>
      <c r="C4336" t="str">
        <f t="shared" si="335"/>
        <v/>
      </c>
      <c r="D4336" t="str">
        <f t="shared" si="336"/>
        <v/>
      </c>
      <c r="E4336" t="str">
        <f t="shared" si="337"/>
        <v/>
      </c>
      <c r="F4336" t="str">
        <f>IF(D4336="","",INDEX(Knutepunkter!$B:$B,D4336+1))</f>
        <v/>
      </c>
      <c r="G4336" t="str">
        <f>IF(D4336="","",INDEX(Knutepunkter!$C:$C,D4336+1))</f>
        <v/>
      </c>
      <c r="H4336" t="str">
        <f>IF(D4336="","",INDEX(Knutepunkter!$D:$D,D4336+1))</f>
        <v/>
      </c>
      <c r="I4336" t="str">
        <f>IF(E4336="","",INDEX(Knutepunkter!$B:$B,E4336+1))</f>
        <v/>
      </c>
      <c r="J4336" t="str">
        <f>IF(E4336="","",INDEX(Knutepunkter!$C:$C,E4336+1))</f>
        <v/>
      </c>
      <c r="K4336" t="str">
        <f>IF(E4336="","",INDEX(Knutepunkter!$D:$D,E4336+1))</f>
        <v/>
      </c>
      <c r="L4336" t="str">
        <f t="shared" si="338"/>
        <v/>
      </c>
      <c r="M4336" t="str">
        <f t="shared" si="339"/>
        <v/>
      </c>
    </row>
    <row r="4337" spans="1:13" x14ac:dyDescent="0.3">
      <c r="A4337" t="str">
        <f>Segmenter!A4337</f>
        <v/>
      </c>
      <c r="B4337" t="str">
        <f>Segmenter!B4337</f>
        <v/>
      </c>
      <c r="C4337" t="str">
        <f t="shared" si="335"/>
        <v/>
      </c>
      <c r="D4337" t="str">
        <f t="shared" si="336"/>
        <v/>
      </c>
      <c r="E4337" t="str">
        <f t="shared" si="337"/>
        <v/>
      </c>
      <c r="F4337" t="str">
        <f>IF(D4337="","",INDEX(Knutepunkter!$B:$B,D4337+1))</f>
        <v/>
      </c>
      <c r="G4337" t="str">
        <f>IF(D4337="","",INDEX(Knutepunkter!$C:$C,D4337+1))</f>
        <v/>
      </c>
      <c r="H4337" t="str">
        <f>IF(D4337="","",INDEX(Knutepunkter!$D:$D,D4337+1))</f>
        <v/>
      </c>
      <c r="I4337" t="str">
        <f>IF(E4337="","",INDEX(Knutepunkter!$B:$B,E4337+1))</f>
        <v/>
      </c>
      <c r="J4337" t="str">
        <f>IF(E4337="","",INDEX(Knutepunkter!$C:$C,E4337+1))</f>
        <v/>
      </c>
      <c r="K4337" t="str">
        <f>IF(E4337="","",INDEX(Knutepunkter!$D:$D,E4337+1))</f>
        <v/>
      </c>
      <c r="L4337" t="str">
        <f t="shared" si="338"/>
        <v/>
      </c>
      <c r="M4337" t="str">
        <f t="shared" si="339"/>
        <v/>
      </c>
    </row>
    <row r="4338" spans="1:13" x14ac:dyDescent="0.3">
      <c r="A4338" t="str">
        <f>Segmenter!A4338</f>
        <v/>
      </c>
      <c r="B4338" t="str">
        <f>Segmenter!B4338</f>
        <v/>
      </c>
      <c r="C4338" t="str">
        <f t="shared" si="335"/>
        <v/>
      </c>
      <c r="D4338" t="str">
        <f t="shared" si="336"/>
        <v/>
      </c>
      <c r="E4338" t="str">
        <f t="shared" si="337"/>
        <v/>
      </c>
      <c r="F4338" t="str">
        <f>IF(D4338="","",INDEX(Knutepunkter!$B:$B,D4338+1))</f>
        <v/>
      </c>
      <c r="G4338" t="str">
        <f>IF(D4338="","",INDEX(Knutepunkter!$C:$C,D4338+1))</f>
        <v/>
      </c>
      <c r="H4338" t="str">
        <f>IF(D4338="","",INDEX(Knutepunkter!$D:$D,D4338+1))</f>
        <v/>
      </c>
      <c r="I4338" t="str">
        <f>IF(E4338="","",INDEX(Knutepunkter!$B:$B,E4338+1))</f>
        <v/>
      </c>
      <c r="J4338" t="str">
        <f>IF(E4338="","",INDEX(Knutepunkter!$C:$C,E4338+1))</f>
        <v/>
      </c>
      <c r="K4338" t="str">
        <f>IF(E4338="","",INDEX(Knutepunkter!$D:$D,E4338+1))</f>
        <v/>
      </c>
      <c r="L4338" t="str">
        <f t="shared" si="338"/>
        <v/>
      </c>
      <c r="M4338" t="str">
        <f t="shared" si="339"/>
        <v/>
      </c>
    </row>
    <row r="4339" spans="1:13" x14ac:dyDescent="0.3">
      <c r="A4339" t="str">
        <f>Segmenter!A4339</f>
        <v/>
      </c>
      <c r="B4339" t="str">
        <f>Segmenter!B4339</f>
        <v/>
      </c>
      <c r="C4339" t="str">
        <f t="shared" si="335"/>
        <v/>
      </c>
      <c r="D4339" t="str">
        <f t="shared" si="336"/>
        <v/>
      </c>
      <c r="E4339" t="str">
        <f t="shared" si="337"/>
        <v/>
      </c>
      <c r="F4339" t="str">
        <f>IF(D4339="","",INDEX(Knutepunkter!$B:$B,D4339+1))</f>
        <v/>
      </c>
      <c r="G4339" t="str">
        <f>IF(D4339="","",INDEX(Knutepunkter!$C:$C,D4339+1))</f>
        <v/>
      </c>
      <c r="H4339" t="str">
        <f>IF(D4339="","",INDEX(Knutepunkter!$D:$D,D4339+1))</f>
        <v/>
      </c>
      <c r="I4339" t="str">
        <f>IF(E4339="","",INDEX(Knutepunkter!$B:$B,E4339+1))</f>
        <v/>
      </c>
      <c r="J4339" t="str">
        <f>IF(E4339="","",INDEX(Knutepunkter!$C:$C,E4339+1))</f>
        <v/>
      </c>
      <c r="K4339" t="str">
        <f>IF(E4339="","",INDEX(Knutepunkter!$D:$D,E4339+1))</f>
        <v/>
      </c>
      <c r="L4339" t="str">
        <f t="shared" si="338"/>
        <v/>
      </c>
      <c r="M4339" t="str">
        <f t="shared" si="339"/>
        <v/>
      </c>
    </row>
    <row r="4340" spans="1:13" x14ac:dyDescent="0.3">
      <c r="A4340" t="str">
        <f>Segmenter!A4340</f>
        <v/>
      </c>
      <c r="B4340" t="str">
        <f>Segmenter!B4340</f>
        <v/>
      </c>
      <c r="C4340" t="str">
        <f t="shared" si="335"/>
        <v/>
      </c>
      <c r="D4340" t="str">
        <f t="shared" si="336"/>
        <v/>
      </c>
      <c r="E4340" t="str">
        <f t="shared" si="337"/>
        <v/>
      </c>
      <c r="F4340" t="str">
        <f>IF(D4340="","",INDEX(Knutepunkter!$B:$B,D4340+1))</f>
        <v/>
      </c>
      <c r="G4340" t="str">
        <f>IF(D4340="","",INDEX(Knutepunkter!$C:$C,D4340+1))</f>
        <v/>
      </c>
      <c r="H4340" t="str">
        <f>IF(D4340="","",INDEX(Knutepunkter!$D:$D,D4340+1))</f>
        <v/>
      </c>
      <c r="I4340" t="str">
        <f>IF(E4340="","",INDEX(Knutepunkter!$B:$B,E4340+1))</f>
        <v/>
      </c>
      <c r="J4340" t="str">
        <f>IF(E4340="","",INDEX(Knutepunkter!$C:$C,E4340+1))</f>
        <v/>
      </c>
      <c r="K4340" t="str">
        <f>IF(E4340="","",INDEX(Knutepunkter!$D:$D,E4340+1))</f>
        <v/>
      </c>
      <c r="L4340" t="str">
        <f t="shared" si="338"/>
        <v/>
      </c>
      <c r="M4340" t="str">
        <f t="shared" si="339"/>
        <v/>
      </c>
    </row>
    <row r="4341" spans="1:13" x14ac:dyDescent="0.3">
      <c r="A4341" t="str">
        <f>Segmenter!A4341</f>
        <v/>
      </c>
      <c r="B4341" t="str">
        <f>Segmenter!B4341</f>
        <v/>
      </c>
      <c r="C4341" t="str">
        <f t="shared" si="335"/>
        <v/>
      </c>
      <c r="D4341" t="str">
        <f t="shared" si="336"/>
        <v/>
      </c>
      <c r="E4341" t="str">
        <f t="shared" si="337"/>
        <v/>
      </c>
      <c r="F4341" t="str">
        <f>IF(D4341="","",INDEX(Knutepunkter!$B:$B,D4341+1))</f>
        <v/>
      </c>
      <c r="G4341" t="str">
        <f>IF(D4341="","",INDEX(Knutepunkter!$C:$C,D4341+1))</f>
        <v/>
      </c>
      <c r="H4341" t="str">
        <f>IF(D4341="","",INDEX(Knutepunkter!$D:$D,D4341+1))</f>
        <v/>
      </c>
      <c r="I4341" t="str">
        <f>IF(E4341="","",INDEX(Knutepunkter!$B:$B,E4341+1))</f>
        <v/>
      </c>
      <c r="J4341" t="str">
        <f>IF(E4341="","",INDEX(Knutepunkter!$C:$C,E4341+1))</f>
        <v/>
      </c>
      <c r="K4341" t="str">
        <f>IF(E4341="","",INDEX(Knutepunkter!$D:$D,E4341+1))</f>
        <v/>
      </c>
      <c r="L4341" t="str">
        <f t="shared" si="338"/>
        <v/>
      </c>
      <c r="M4341" t="str">
        <f t="shared" si="339"/>
        <v/>
      </c>
    </row>
    <row r="4342" spans="1:13" x14ac:dyDescent="0.3">
      <c r="A4342" t="str">
        <f>Segmenter!A4342</f>
        <v/>
      </c>
      <c r="B4342" t="str">
        <f>Segmenter!B4342</f>
        <v/>
      </c>
      <c r="C4342" t="str">
        <f t="shared" si="335"/>
        <v/>
      </c>
      <c r="D4342" t="str">
        <f t="shared" si="336"/>
        <v/>
      </c>
      <c r="E4342" t="str">
        <f t="shared" si="337"/>
        <v/>
      </c>
      <c r="F4342" t="str">
        <f>IF(D4342="","",INDEX(Knutepunkter!$B:$B,D4342+1))</f>
        <v/>
      </c>
      <c r="G4342" t="str">
        <f>IF(D4342="","",INDEX(Knutepunkter!$C:$C,D4342+1))</f>
        <v/>
      </c>
      <c r="H4342" t="str">
        <f>IF(D4342="","",INDEX(Knutepunkter!$D:$D,D4342+1))</f>
        <v/>
      </c>
      <c r="I4342" t="str">
        <f>IF(E4342="","",INDEX(Knutepunkter!$B:$B,E4342+1))</f>
        <v/>
      </c>
      <c r="J4342" t="str">
        <f>IF(E4342="","",INDEX(Knutepunkter!$C:$C,E4342+1))</f>
        <v/>
      </c>
      <c r="K4342" t="str">
        <f>IF(E4342="","",INDEX(Knutepunkter!$D:$D,E4342+1))</f>
        <v/>
      </c>
      <c r="L4342" t="str">
        <f t="shared" si="338"/>
        <v/>
      </c>
      <c r="M4342" t="str">
        <f t="shared" si="339"/>
        <v/>
      </c>
    </row>
    <row r="4343" spans="1:13" x14ac:dyDescent="0.3">
      <c r="A4343" t="str">
        <f>Segmenter!A4343</f>
        <v/>
      </c>
      <c r="B4343" t="str">
        <f>Segmenter!B4343</f>
        <v/>
      </c>
      <c r="C4343" t="str">
        <f t="shared" si="335"/>
        <v/>
      </c>
      <c r="D4343" t="str">
        <f t="shared" si="336"/>
        <v/>
      </c>
      <c r="E4343" t="str">
        <f t="shared" si="337"/>
        <v/>
      </c>
      <c r="F4343" t="str">
        <f>IF(D4343="","",INDEX(Knutepunkter!$B:$B,D4343+1))</f>
        <v/>
      </c>
      <c r="G4343" t="str">
        <f>IF(D4343="","",INDEX(Knutepunkter!$C:$C,D4343+1))</f>
        <v/>
      </c>
      <c r="H4343" t="str">
        <f>IF(D4343="","",INDEX(Knutepunkter!$D:$D,D4343+1))</f>
        <v/>
      </c>
      <c r="I4343" t="str">
        <f>IF(E4343="","",INDEX(Knutepunkter!$B:$B,E4343+1))</f>
        <v/>
      </c>
      <c r="J4343" t="str">
        <f>IF(E4343="","",INDEX(Knutepunkter!$C:$C,E4343+1))</f>
        <v/>
      </c>
      <c r="K4343" t="str">
        <f>IF(E4343="","",INDEX(Knutepunkter!$D:$D,E4343+1))</f>
        <v/>
      </c>
      <c r="L4343" t="str">
        <f t="shared" si="338"/>
        <v/>
      </c>
      <c r="M4343" t="str">
        <f t="shared" si="339"/>
        <v/>
      </c>
    </row>
    <row r="4344" spans="1:13" x14ac:dyDescent="0.3">
      <c r="A4344" t="str">
        <f>Segmenter!A4344</f>
        <v/>
      </c>
      <c r="B4344" t="str">
        <f>Segmenter!B4344</f>
        <v/>
      </c>
      <c r="C4344" t="str">
        <f t="shared" si="335"/>
        <v/>
      </c>
      <c r="D4344" t="str">
        <f t="shared" si="336"/>
        <v/>
      </c>
      <c r="E4344" t="str">
        <f t="shared" si="337"/>
        <v/>
      </c>
      <c r="F4344" t="str">
        <f>IF(D4344="","",INDEX(Knutepunkter!$B:$B,D4344+1))</f>
        <v/>
      </c>
      <c r="G4344" t="str">
        <f>IF(D4344="","",INDEX(Knutepunkter!$C:$C,D4344+1))</f>
        <v/>
      </c>
      <c r="H4344" t="str">
        <f>IF(D4344="","",INDEX(Knutepunkter!$D:$D,D4344+1))</f>
        <v/>
      </c>
      <c r="I4344" t="str">
        <f>IF(E4344="","",INDEX(Knutepunkter!$B:$B,E4344+1))</f>
        <v/>
      </c>
      <c r="J4344" t="str">
        <f>IF(E4344="","",INDEX(Knutepunkter!$C:$C,E4344+1))</f>
        <v/>
      </c>
      <c r="K4344" t="str">
        <f>IF(E4344="","",INDEX(Knutepunkter!$D:$D,E4344+1))</f>
        <v/>
      </c>
      <c r="L4344" t="str">
        <f t="shared" si="338"/>
        <v/>
      </c>
      <c r="M4344" t="str">
        <f t="shared" si="339"/>
        <v/>
      </c>
    </row>
    <row r="4345" spans="1:13" x14ac:dyDescent="0.3">
      <c r="A4345" t="str">
        <f>Segmenter!A4345</f>
        <v/>
      </c>
      <c r="B4345" t="str">
        <f>Segmenter!B4345</f>
        <v/>
      </c>
      <c r="C4345" t="str">
        <f t="shared" si="335"/>
        <v/>
      </c>
      <c r="D4345" t="str">
        <f t="shared" si="336"/>
        <v/>
      </c>
      <c r="E4345" t="str">
        <f t="shared" si="337"/>
        <v/>
      </c>
      <c r="F4345" t="str">
        <f>IF(D4345="","",INDEX(Knutepunkter!$B:$B,D4345+1))</f>
        <v/>
      </c>
      <c r="G4345" t="str">
        <f>IF(D4345="","",INDEX(Knutepunkter!$C:$C,D4345+1))</f>
        <v/>
      </c>
      <c r="H4345" t="str">
        <f>IF(D4345="","",INDEX(Knutepunkter!$D:$D,D4345+1))</f>
        <v/>
      </c>
      <c r="I4345" t="str">
        <f>IF(E4345="","",INDEX(Knutepunkter!$B:$B,E4345+1))</f>
        <v/>
      </c>
      <c r="J4345" t="str">
        <f>IF(E4345="","",INDEX(Knutepunkter!$C:$C,E4345+1))</f>
        <v/>
      </c>
      <c r="K4345" t="str">
        <f>IF(E4345="","",INDEX(Knutepunkter!$D:$D,E4345+1))</f>
        <v/>
      </c>
      <c r="L4345" t="str">
        <f t="shared" si="338"/>
        <v/>
      </c>
      <c r="M4345" t="str">
        <f t="shared" si="339"/>
        <v/>
      </c>
    </row>
    <row r="4346" spans="1:13" x14ac:dyDescent="0.3">
      <c r="A4346" t="str">
        <f>Segmenter!A4346</f>
        <v/>
      </c>
      <c r="B4346" t="str">
        <f>Segmenter!B4346</f>
        <v/>
      </c>
      <c r="C4346" t="str">
        <f t="shared" si="335"/>
        <v/>
      </c>
      <c r="D4346" t="str">
        <f t="shared" si="336"/>
        <v/>
      </c>
      <c r="E4346" t="str">
        <f t="shared" si="337"/>
        <v/>
      </c>
      <c r="F4346" t="str">
        <f>IF(D4346="","",INDEX(Knutepunkter!$B:$B,D4346+1))</f>
        <v/>
      </c>
      <c r="G4346" t="str">
        <f>IF(D4346="","",INDEX(Knutepunkter!$C:$C,D4346+1))</f>
        <v/>
      </c>
      <c r="H4346" t="str">
        <f>IF(D4346="","",INDEX(Knutepunkter!$D:$D,D4346+1))</f>
        <v/>
      </c>
      <c r="I4346" t="str">
        <f>IF(E4346="","",INDEX(Knutepunkter!$B:$B,E4346+1))</f>
        <v/>
      </c>
      <c r="J4346" t="str">
        <f>IF(E4346="","",INDEX(Knutepunkter!$C:$C,E4346+1))</f>
        <v/>
      </c>
      <c r="K4346" t="str">
        <f>IF(E4346="","",INDEX(Knutepunkter!$D:$D,E4346+1))</f>
        <v/>
      </c>
      <c r="L4346" t="str">
        <f t="shared" si="338"/>
        <v/>
      </c>
      <c r="M4346" t="str">
        <f t="shared" si="339"/>
        <v/>
      </c>
    </row>
    <row r="4347" spans="1:13" x14ac:dyDescent="0.3">
      <c r="A4347" t="str">
        <f>Segmenter!A4347</f>
        <v/>
      </c>
      <c r="B4347" t="str">
        <f>Segmenter!B4347</f>
        <v/>
      </c>
      <c r="C4347" t="str">
        <f t="shared" si="335"/>
        <v/>
      </c>
      <c r="D4347" t="str">
        <f t="shared" si="336"/>
        <v/>
      </c>
      <c r="E4347" t="str">
        <f t="shared" si="337"/>
        <v/>
      </c>
      <c r="F4347" t="str">
        <f>IF(D4347="","",INDEX(Knutepunkter!$B:$B,D4347+1))</f>
        <v/>
      </c>
      <c r="G4347" t="str">
        <f>IF(D4347="","",INDEX(Knutepunkter!$C:$C,D4347+1))</f>
        <v/>
      </c>
      <c r="H4347" t="str">
        <f>IF(D4347="","",INDEX(Knutepunkter!$D:$D,D4347+1))</f>
        <v/>
      </c>
      <c r="I4347" t="str">
        <f>IF(E4347="","",INDEX(Knutepunkter!$B:$B,E4347+1))</f>
        <v/>
      </c>
      <c r="J4347" t="str">
        <f>IF(E4347="","",INDEX(Knutepunkter!$C:$C,E4347+1))</f>
        <v/>
      </c>
      <c r="K4347" t="str">
        <f>IF(E4347="","",INDEX(Knutepunkter!$D:$D,E4347+1))</f>
        <v/>
      </c>
      <c r="L4347" t="str">
        <f t="shared" si="338"/>
        <v/>
      </c>
      <c r="M4347" t="str">
        <f t="shared" si="339"/>
        <v/>
      </c>
    </row>
    <row r="4348" spans="1:13" x14ac:dyDescent="0.3">
      <c r="A4348" t="str">
        <f>Segmenter!A4348</f>
        <v/>
      </c>
      <c r="B4348" t="str">
        <f>Segmenter!B4348</f>
        <v/>
      </c>
      <c r="C4348" t="str">
        <f t="shared" si="335"/>
        <v/>
      </c>
      <c r="D4348" t="str">
        <f t="shared" si="336"/>
        <v/>
      </c>
      <c r="E4348" t="str">
        <f t="shared" si="337"/>
        <v/>
      </c>
      <c r="F4348" t="str">
        <f>IF(D4348="","",INDEX(Knutepunkter!$B:$B,D4348+1))</f>
        <v/>
      </c>
      <c r="G4348" t="str">
        <f>IF(D4348="","",INDEX(Knutepunkter!$C:$C,D4348+1))</f>
        <v/>
      </c>
      <c r="H4348" t="str">
        <f>IF(D4348="","",INDEX(Knutepunkter!$D:$D,D4348+1))</f>
        <v/>
      </c>
      <c r="I4348" t="str">
        <f>IF(E4348="","",INDEX(Knutepunkter!$B:$B,E4348+1))</f>
        <v/>
      </c>
      <c r="J4348" t="str">
        <f>IF(E4348="","",INDEX(Knutepunkter!$C:$C,E4348+1))</f>
        <v/>
      </c>
      <c r="K4348" t="str">
        <f>IF(E4348="","",INDEX(Knutepunkter!$D:$D,E4348+1))</f>
        <v/>
      </c>
      <c r="L4348" t="str">
        <f t="shared" si="338"/>
        <v/>
      </c>
      <c r="M4348" t="str">
        <f t="shared" si="339"/>
        <v/>
      </c>
    </row>
    <row r="4349" spans="1:13" x14ac:dyDescent="0.3">
      <c r="A4349" t="str">
        <f>Segmenter!A4349</f>
        <v/>
      </c>
      <c r="B4349" t="str">
        <f>Segmenter!B4349</f>
        <v/>
      </c>
      <c r="C4349" t="str">
        <f t="shared" si="335"/>
        <v/>
      </c>
      <c r="D4349" t="str">
        <f t="shared" si="336"/>
        <v/>
      </c>
      <c r="E4349" t="str">
        <f t="shared" si="337"/>
        <v/>
      </c>
      <c r="F4349" t="str">
        <f>IF(D4349="","",INDEX(Knutepunkter!$B:$B,D4349+1))</f>
        <v/>
      </c>
      <c r="G4349" t="str">
        <f>IF(D4349="","",INDEX(Knutepunkter!$C:$C,D4349+1))</f>
        <v/>
      </c>
      <c r="H4349" t="str">
        <f>IF(D4349="","",INDEX(Knutepunkter!$D:$D,D4349+1))</f>
        <v/>
      </c>
      <c r="I4349" t="str">
        <f>IF(E4349="","",INDEX(Knutepunkter!$B:$B,E4349+1))</f>
        <v/>
      </c>
      <c r="J4349" t="str">
        <f>IF(E4349="","",INDEX(Knutepunkter!$C:$C,E4349+1))</f>
        <v/>
      </c>
      <c r="K4349" t="str">
        <f>IF(E4349="","",INDEX(Knutepunkter!$D:$D,E4349+1))</f>
        <v/>
      </c>
      <c r="L4349" t="str">
        <f t="shared" si="338"/>
        <v/>
      </c>
      <c r="M4349" t="str">
        <f t="shared" si="339"/>
        <v/>
      </c>
    </row>
    <row r="4350" spans="1:13" x14ac:dyDescent="0.3">
      <c r="A4350" t="str">
        <f>Segmenter!A4350</f>
        <v/>
      </c>
      <c r="B4350" t="str">
        <f>Segmenter!B4350</f>
        <v/>
      </c>
      <c r="C4350" t="str">
        <f t="shared" si="335"/>
        <v/>
      </c>
      <c r="D4350" t="str">
        <f t="shared" si="336"/>
        <v/>
      </c>
      <c r="E4350" t="str">
        <f t="shared" si="337"/>
        <v/>
      </c>
      <c r="F4350" t="str">
        <f>IF(D4350="","",INDEX(Knutepunkter!$B:$B,D4350+1))</f>
        <v/>
      </c>
      <c r="G4350" t="str">
        <f>IF(D4350="","",INDEX(Knutepunkter!$C:$C,D4350+1))</f>
        <v/>
      </c>
      <c r="H4350" t="str">
        <f>IF(D4350="","",INDEX(Knutepunkter!$D:$D,D4350+1))</f>
        <v/>
      </c>
      <c r="I4350" t="str">
        <f>IF(E4350="","",INDEX(Knutepunkter!$B:$B,E4350+1))</f>
        <v/>
      </c>
      <c r="J4350" t="str">
        <f>IF(E4350="","",INDEX(Knutepunkter!$C:$C,E4350+1))</f>
        <v/>
      </c>
      <c r="K4350" t="str">
        <f>IF(E4350="","",INDEX(Knutepunkter!$D:$D,E4350+1))</f>
        <v/>
      </c>
      <c r="L4350" t="str">
        <f t="shared" si="338"/>
        <v/>
      </c>
      <c r="M4350" t="str">
        <f t="shared" si="339"/>
        <v/>
      </c>
    </row>
    <row r="4351" spans="1:13" x14ac:dyDescent="0.3">
      <c r="A4351" t="str">
        <f>Segmenter!A4351</f>
        <v/>
      </c>
      <c r="B4351" t="str">
        <f>Segmenter!B4351</f>
        <v/>
      </c>
      <c r="C4351" t="str">
        <f t="shared" si="335"/>
        <v/>
      </c>
      <c r="D4351" t="str">
        <f t="shared" si="336"/>
        <v/>
      </c>
      <c r="E4351" t="str">
        <f t="shared" si="337"/>
        <v/>
      </c>
      <c r="F4351" t="str">
        <f>IF(D4351="","",INDEX(Knutepunkter!$B:$B,D4351+1))</f>
        <v/>
      </c>
      <c r="G4351" t="str">
        <f>IF(D4351="","",INDEX(Knutepunkter!$C:$C,D4351+1))</f>
        <v/>
      </c>
      <c r="H4351" t="str">
        <f>IF(D4351="","",INDEX(Knutepunkter!$D:$D,D4351+1))</f>
        <v/>
      </c>
      <c r="I4351" t="str">
        <f>IF(E4351="","",INDEX(Knutepunkter!$B:$B,E4351+1))</f>
        <v/>
      </c>
      <c r="J4351" t="str">
        <f>IF(E4351="","",INDEX(Knutepunkter!$C:$C,E4351+1))</f>
        <v/>
      </c>
      <c r="K4351" t="str">
        <f>IF(E4351="","",INDEX(Knutepunkter!$D:$D,E4351+1))</f>
        <v/>
      </c>
      <c r="L4351" t="str">
        <f t="shared" si="338"/>
        <v/>
      </c>
      <c r="M4351" t="str">
        <f t="shared" si="339"/>
        <v/>
      </c>
    </row>
    <row r="4352" spans="1:13" x14ac:dyDescent="0.3">
      <c r="A4352" t="str">
        <f>Segmenter!A4352</f>
        <v/>
      </c>
      <c r="B4352" t="str">
        <f>Segmenter!B4352</f>
        <v/>
      </c>
      <c r="C4352" t="str">
        <f t="shared" si="335"/>
        <v/>
      </c>
      <c r="D4352" t="str">
        <f t="shared" si="336"/>
        <v/>
      </c>
      <c r="E4352" t="str">
        <f t="shared" si="337"/>
        <v/>
      </c>
      <c r="F4352" t="str">
        <f>IF(D4352="","",INDEX(Knutepunkter!$B:$B,D4352+1))</f>
        <v/>
      </c>
      <c r="G4352" t="str">
        <f>IF(D4352="","",INDEX(Knutepunkter!$C:$C,D4352+1))</f>
        <v/>
      </c>
      <c r="H4352" t="str">
        <f>IF(D4352="","",INDEX(Knutepunkter!$D:$D,D4352+1))</f>
        <v/>
      </c>
      <c r="I4352" t="str">
        <f>IF(E4352="","",INDEX(Knutepunkter!$B:$B,E4352+1))</f>
        <v/>
      </c>
      <c r="J4352" t="str">
        <f>IF(E4352="","",INDEX(Knutepunkter!$C:$C,E4352+1))</f>
        <v/>
      </c>
      <c r="K4352" t="str">
        <f>IF(E4352="","",INDEX(Knutepunkter!$D:$D,E4352+1))</f>
        <v/>
      </c>
      <c r="L4352" t="str">
        <f t="shared" si="338"/>
        <v/>
      </c>
      <c r="M4352" t="str">
        <f t="shared" si="339"/>
        <v/>
      </c>
    </row>
    <row r="4353" spans="1:13" x14ac:dyDescent="0.3">
      <c r="A4353" t="str">
        <f>Segmenter!A4353</f>
        <v/>
      </c>
      <c r="B4353" t="str">
        <f>Segmenter!B4353</f>
        <v/>
      </c>
      <c r="C4353" t="str">
        <f t="shared" si="335"/>
        <v/>
      </c>
      <c r="D4353" t="str">
        <f t="shared" si="336"/>
        <v/>
      </c>
      <c r="E4353" t="str">
        <f t="shared" si="337"/>
        <v/>
      </c>
      <c r="F4353" t="str">
        <f>IF(D4353="","",INDEX(Knutepunkter!$B:$B,D4353+1))</f>
        <v/>
      </c>
      <c r="G4353" t="str">
        <f>IF(D4353="","",INDEX(Knutepunkter!$C:$C,D4353+1))</f>
        <v/>
      </c>
      <c r="H4353" t="str">
        <f>IF(D4353="","",INDEX(Knutepunkter!$D:$D,D4353+1))</f>
        <v/>
      </c>
      <c r="I4353" t="str">
        <f>IF(E4353="","",INDEX(Knutepunkter!$B:$B,E4353+1))</f>
        <v/>
      </c>
      <c r="J4353" t="str">
        <f>IF(E4353="","",INDEX(Knutepunkter!$C:$C,E4353+1))</f>
        <v/>
      </c>
      <c r="K4353" t="str">
        <f>IF(E4353="","",INDEX(Knutepunkter!$D:$D,E4353+1))</f>
        <v/>
      </c>
      <c r="L4353" t="str">
        <f t="shared" si="338"/>
        <v/>
      </c>
      <c r="M4353" t="str">
        <f t="shared" si="339"/>
        <v/>
      </c>
    </row>
    <row r="4354" spans="1:13" x14ac:dyDescent="0.3">
      <c r="A4354" t="str">
        <f>Segmenter!A4354</f>
        <v/>
      </c>
      <c r="B4354" t="str">
        <f>Segmenter!B4354</f>
        <v/>
      </c>
      <c r="C4354" t="str">
        <f t="shared" ref="C4354:C4417" si="340">IF(B4354="","",IF(AND(F4354=I4354,G4354=J4354,H4354&lt;&gt;K4354),"Søyle","Bjelke"))</f>
        <v/>
      </c>
      <c r="D4354" t="str">
        <f t="shared" ref="D4354:D4417" si="341">IF(B4354="","",VALUE(LEFT(B4354,FIND(" -&gt; ",B4354)-1)))</f>
        <v/>
      </c>
      <c r="E4354" t="str">
        <f t="shared" ref="E4354:E4417" si="342">IF(B4354="","",VALUE(MID(B4354,FIND(" -&gt; ",B4354)+4,99)))</f>
        <v/>
      </c>
      <c r="F4354" t="str">
        <f>IF(D4354="","",INDEX(Knutepunkter!$B:$B,D4354+1))</f>
        <v/>
      </c>
      <c r="G4354" t="str">
        <f>IF(D4354="","",INDEX(Knutepunkter!$C:$C,D4354+1))</f>
        <v/>
      </c>
      <c r="H4354" t="str">
        <f>IF(D4354="","",INDEX(Knutepunkter!$D:$D,D4354+1))</f>
        <v/>
      </c>
      <c r="I4354" t="str">
        <f>IF(E4354="","",INDEX(Knutepunkter!$B:$B,E4354+1))</f>
        <v/>
      </c>
      <c r="J4354" t="str">
        <f>IF(E4354="","",INDEX(Knutepunkter!$C:$C,E4354+1))</f>
        <v/>
      </c>
      <c r="K4354" t="str">
        <f>IF(E4354="","",INDEX(Knutepunkter!$D:$D,E4354+1))</f>
        <v/>
      </c>
      <c r="L4354" t="str">
        <f t="shared" ref="L4354:L4417" si="343">IF(B4354="","",SQRT((I4354-F4354)^2+(J4354-G4354)^2+(K4354-H4354)^2))</f>
        <v/>
      </c>
      <c r="M4354" t="str">
        <f t="shared" ref="M4354:M4417" si="344">IF(L4354="","",L4354/1000)</f>
        <v/>
      </c>
    </row>
    <row r="4355" spans="1:13" x14ac:dyDescent="0.3">
      <c r="A4355" t="str">
        <f>Segmenter!A4355</f>
        <v/>
      </c>
      <c r="B4355" t="str">
        <f>Segmenter!B4355</f>
        <v/>
      </c>
      <c r="C4355" t="str">
        <f t="shared" si="340"/>
        <v/>
      </c>
      <c r="D4355" t="str">
        <f t="shared" si="341"/>
        <v/>
      </c>
      <c r="E4355" t="str">
        <f t="shared" si="342"/>
        <v/>
      </c>
      <c r="F4355" t="str">
        <f>IF(D4355="","",INDEX(Knutepunkter!$B:$B,D4355+1))</f>
        <v/>
      </c>
      <c r="G4355" t="str">
        <f>IF(D4355="","",INDEX(Knutepunkter!$C:$C,D4355+1))</f>
        <v/>
      </c>
      <c r="H4355" t="str">
        <f>IF(D4355="","",INDEX(Knutepunkter!$D:$D,D4355+1))</f>
        <v/>
      </c>
      <c r="I4355" t="str">
        <f>IF(E4355="","",INDEX(Knutepunkter!$B:$B,E4355+1))</f>
        <v/>
      </c>
      <c r="J4355" t="str">
        <f>IF(E4355="","",INDEX(Knutepunkter!$C:$C,E4355+1))</f>
        <v/>
      </c>
      <c r="K4355" t="str">
        <f>IF(E4355="","",INDEX(Knutepunkter!$D:$D,E4355+1))</f>
        <v/>
      </c>
      <c r="L4355" t="str">
        <f t="shared" si="343"/>
        <v/>
      </c>
      <c r="M4355" t="str">
        <f t="shared" si="344"/>
        <v/>
      </c>
    </row>
    <row r="4356" spans="1:13" x14ac:dyDescent="0.3">
      <c r="A4356" t="str">
        <f>Segmenter!A4356</f>
        <v/>
      </c>
      <c r="B4356" t="str">
        <f>Segmenter!B4356</f>
        <v/>
      </c>
      <c r="C4356" t="str">
        <f t="shared" si="340"/>
        <v/>
      </c>
      <c r="D4356" t="str">
        <f t="shared" si="341"/>
        <v/>
      </c>
      <c r="E4356" t="str">
        <f t="shared" si="342"/>
        <v/>
      </c>
      <c r="F4356" t="str">
        <f>IF(D4356="","",INDEX(Knutepunkter!$B:$B,D4356+1))</f>
        <v/>
      </c>
      <c r="G4356" t="str">
        <f>IF(D4356="","",INDEX(Knutepunkter!$C:$C,D4356+1))</f>
        <v/>
      </c>
      <c r="H4356" t="str">
        <f>IF(D4356="","",INDEX(Knutepunkter!$D:$D,D4356+1))</f>
        <v/>
      </c>
      <c r="I4356" t="str">
        <f>IF(E4356="","",INDEX(Knutepunkter!$B:$B,E4356+1))</f>
        <v/>
      </c>
      <c r="J4356" t="str">
        <f>IF(E4356="","",INDEX(Knutepunkter!$C:$C,E4356+1))</f>
        <v/>
      </c>
      <c r="K4356" t="str">
        <f>IF(E4356="","",INDEX(Knutepunkter!$D:$D,E4356+1))</f>
        <v/>
      </c>
      <c r="L4356" t="str">
        <f t="shared" si="343"/>
        <v/>
      </c>
      <c r="M4356" t="str">
        <f t="shared" si="344"/>
        <v/>
      </c>
    </row>
    <row r="4357" spans="1:13" x14ac:dyDescent="0.3">
      <c r="A4357" t="str">
        <f>Segmenter!A4357</f>
        <v/>
      </c>
      <c r="B4357" t="str">
        <f>Segmenter!B4357</f>
        <v/>
      </c>
      <c r="C4357" t="str">
        <f t="shared" si="340"/>
        <v/>
      </c>
      <c r="D4357" t="str">
        <f t="shared" si="341"/>
        <v/>
      </c>
      <c r="E4357" t="str">
        <f t="shared" si="342"/>
        <v/>
      </c>
      <c r="F4357" t="str">
        <f>IF(D4357="","",INDEX(Knutepunkter!$B:$B,D4357+1))</f>
        <v/>
      </c>
      <c r="G4357" t="str">
        <f>IF(D4357="","",INDEX(Knutepunkter!$C:$C,D4357+1))</f>
        <v/>
      </c>
      <c r="H4357" t="str">
        <f>IF(D4357="","",INDEX(Knutepunkter!$D:$D,D4357+1))</f>
        <v/>
      </c>
      <c r="I4357" t="str">
        <f>IF(E4357="","",INDEX(Knutepunkter!$B:$B,E4357+1))</f>
        <v/>
      </c>
      <c r="J4357" t="str">
        <f>IF(E4357="","",INDEX(Knutepunkter!$C:$C,E4357+1))</f>
        <v/>
      </c>
      <c r="K4357" t="str">
        <f>IF(E4357="","",INDEX(Knutepunkter!$D:$D,E4357+1))</f>
        <v/>
      </c>
      <c r="L4357" t="str">
        <f t="shared" si="343"/>
        <v/>
      </c>
      <c r="M4357" t="str">
        <f t="shared" si="344"/>
        <v/>
      </c>
    </row>
    <row r="4358" spans="1:13" x14ac:dyDescent="0.3">
      <c r="A4358" t="str">
        <f>Segmenter!A4358</f>
        <v/>
      </c>
      <c r="B4358" t="str">
        <f>Segmenter!B4358</f>
        <v/>
      </c>
      <c r="C4358" t="str">
        <f t="shared" si="340"/>
        <v/>
      </c>
      <c r="D4358" t="str">
        <f t="shared" si="341"/>
        <v/>
      </c>
      <c r="E4358" t="str">
        <f t="shared" si="342"/>
        <v/>
      </c>
      <c r="F4358" t="str">
        <f>IF(D4358="","",INDEX(Knutepunkter!$B:$B,D4358+1))</f>
        <v/>
      </c>
      <c r="G4358" t="str">
        <f>IF(D4358="","",INDEX(Knutepunkter!$C:$C,D4358+1))</f>
        <v/>
      </c>
      <c r="H4358" t="str">
        <f>IF(D4358="","",INDEX(Knutepunkter!$D:$D,D4358+1))</f>
        <v/>
      </c>
      <c r="I4358" t="str">
        <f>IF(E4358="","",INDEX(Knutepunkter!$B:$B,E4358+1))</f>
        <v/>
      </c>
      <c r="J4358" t="str">
        <f>IF(E4358="","",INDEX(Knutepunkter!$C:$C,E4358+1))</f>
        <v/>
      </c>
      <c r="K4358" t="str">
        <f>IF(E4358="","",INDEX(Knutepunkter!$D:$D,E4358+1))</f>
        <v/>
      </c>
      <c r="L4358" t="str">
        <f t="shared" si="343"/>
        <v/>
      </c>
      <c r="M4358" t="str">
        <f t="shared" si="344"/>
        <v/>
      </c>
    </row>
    <row r="4359" spans="1:13" x14ac:dyDescent="0.3">
      <c r="A4359" t="str">
        <f>Segmenter!A4359</f>
        <v/>
      </c>
      <c r="B4359" t="str">
        <f>Segmenter!B4359</f>
        <v/>
      </c>
      <c r="C4359" t="str">
        <f t="shared" si="340"/>
        <v/>
      </c>
      <c r="D4359" t="str">
        <f t="shared" si="341"/>
        <v/>
      </c>
      <c r="E4359" t="str">
        <f t="shared" si="342"/>
        <v/>
      </c>
      <c r="F4359" t="str">
        <f>IF(D4359="","",INDEX(Knutepunkter!$B:$B,D4359+1))</f>
        <v/>
      </c>
      <c r="G4359" t="str">
        <f>IF(D4359="","",INDEX(Knutepunkter!$C:$C,D4359+1))</f>
        <v/>
      </c>
      <c r="H4359" t="str">
        <f>IF(D4359="","",INDEX(Knutepunkter!$D:$D,D4359+1))</f>
        <v/>
      </c>
      <c r="I4359" t="str">
        <f>IF(E4359="","",INDEX(Knutepunkter!$B:$B,E4359+1))</f>
        <v/>
      </c>
      <c r="J4359" t="str">
        <f>IF(E4359="","",INDEX(Knutepunkter!$C:$C,E4359+1))</f>
        <v/>
      </c>
      <c r="K4359" t="str">
        <f>IF(E4359="","",INDEX(Knutepunkter!$D:$D,E4359+1))</f>
        <v/>
      </c>
      <c r="L4359" t="str">
        <f t="shared" si="343"/>
        <v/>
      </c>
      <c r="M4359" t="str">
        <f t="shared" si="344"/>
        <v/>
      </c>
    </row>
    <row r="4360" spans="1:13" x14ac:dyDescent="0.3">
      <c r="A4360" t="str">
        <f>Segmenter!A4360</f>
        <v/>
      </c>
      <c r="B4360" t="str">
        <f>Segmenter!B4360</f>
        <v/>
      </c>
      <c r="C4360" t="str">
        <f t="shared" si="340"/>
        <v/>
      </c>
      <c r="D4360" t="str">
        <f t="shared" si="341"/>
        <v/>
      </c>
      <c r="E4360" t="str">
        <f t="shared" si="342"/>
        <v/>
      </c>
      <c r="F4360" t="str">
        <f>IF(D4360="","",INDEX(Knutepunkter!$B:$B,D4360+1))</f>
        <v/>
      </c>
      <c r="G4360" t="str">
        <f>IF(D4360="","",INDEX(Knutepunkter!$C:$C,D4360+1))</f>
        <v/>
      </c>
      <c r="H4360" t="str">
        <f>IF(D4360="","",INDEX(Knutepunkter!$D:$D,D4360+1))</f>
        <v/>
      </c>
      <c r="I4360" t="str">
        <f>IF(E4360="","",INDEX(Knutepunkter!$B:$B,E4360+1))</f>
        <v/>
      </c>
      <c r="J4360" t="str">
        <f>IF(E4360="","",INDEX(Knutepunkter!$C:$C,E4360+1))</f>
        <v/>
      </c>
      <c r="K4360" t="str">
        <f>IF(E4360="","",INDEX(Knutepunkter!$D:$D,E4360+1))</f>
        <v/>
      </c>
      <c r="L4360" t="str">
        <f t="shared" si="343"/>
        <v/>
      </c>
      <c r="M4360" t="str">
        <f t="shared" si="344"/>
        <v/>
      </c>
    </row>
    <row r="4361" spans="1:13" x14ac:dyDescent="0.3">
      <c r="A4361" t="str">
        <f>Segmenter!A4361</f>
        <v/>
      </c>
      <c r="B4361" t="str">
        <f>Segmenter!B4361</f>
        <v/>
      </c>
      <c r="C4361" t="str">
        <f t="shared" si="340"/>
        <v/>
      </c>
      <c r="D4361" t="str">
        <f t="shared" si="341"/>
        <v/>
      </c>
      <c r="E4361" t="str">
        <f t="shared" si="342"/>
        <v/>
      </c>
      <c r="F4361" t="str">
        <f>IF(D4361="","",INDEX(Knutepunkter!$B:$B,D4361+1))</f>
        <v/>
      </c>
      <c r="G4361" t="str">
        <f>IF(D4361="","",INDEX(Knutepunkter!$C:$C,D4361+1))</f>
        <v/>
      </c>
      <c r="H4361" t="str">
        <f>IF(D4361="","",INDEX(Knutepunkter!$D:$D,D4361+1))</f>
        <v/>
      </c>
      <c r="I4361" t="str">
        <f>IF(E4361="","",INDEX(Knutepunkter!$B:$B,E4361+1))</f>
        <v/>
      </c>
      <c r="J4361" t="str">
        <f>IF(E4361="","",INDEX(Knutepunkter!$C:$C,E4361+1))</f>
        <v/>
      </c>
      <c r="K4361" t="str">
        <f>IF(E4361="","",INDEX(Knutepunkter!$D:$D,E4361+1))</f>
        <v/>
      </c>
      <c r="L4361" t="str">
        <f t="shared" si="343"/>
        <v/>
      </c>
      <c r="M4361" t="str">
        <f t="shared" si="344"/>
        <v/>
      </c>
    </row>
    <row r="4362" spans="1:13" x14ac:dyDescent="0.3">
      <c r="A4362" t="str">
        <f>Segmenter!A4362</f>
        <v/>
      </c>
      <c r="B4362" t="str">
        <f>Segmenter!B4362</f>
        <v/>
      </c>
      <c r="C4362" t="str">
        <f t="shared" si="340"/>
        <v/>
      </c>
      <c r="D4362" t="str">
        <f t="shared" si="341"/>
        <v/>
      </c>
      <c r="E4362" t="str">
        <f t="shared" si="342"/>
        <v/>
      </c>
      <c r="F4362" t="str">
        <f>IF(D4362="","",INDEX(Knutepunkter!$B:$B,D4362+1))</f>
        <v/>
      </c>
      <c r="G4362" t="str">
        <f>IF(D4362="","",INDEX(Knutepunkter!$C:$C,D4362+1))</f>
        <v/>
      </c>
      <c r="H4362" t="str">
        <f>IF(D4362="","",INDEX(Knutepunkter!$D:$D,D4362+1))</f>
        <v/>
      </c>
      <c r="I4362" t="str">
        <f>IF(E4362="","",INDEX(Knutepunkter!$B:$B,E4362+1))</f>
        <v/>
      </c>
      <c r="J4362" t="str">
        <f>IF(E4362="","",INDEX(Knutepunkter!$C:$C,E4362+1))</f>
        <v/>
      </c>
      <c r="K4362" t="str">
        <f>IF(E4362="","",INDEX(Knutepunkter!$D:$D,E4362+1))</f>
        <v/>
      </c>
      <c r="L4362" t="str">
        <f t="shared" si="343"/>
        <v/>
      </c>
      <c r="M4362" t="str">
        <f t="shared" si="344"/>
        <v/>
      </c>
    </row>
    <row r="4363" spans="1:13" x14ac:dyDescent="0.3">
      <c r="A4363" t="str">
        <f>Segmenter!A4363</f>
        <v/>
      </c>
      <c r="B4363" t="str">
        <f>Segmenter!B4363</f>
        <v/>
      </c>
      <c r="C4363" t="str">
        <f t="shared" si="340"/>
        <v/>
      </c>
      <c r="D4363" t="str">
        <f t="shared" si="341"/>
        <v/>
      </c>
      <c r="E4363" t="str">
        <f t="shared" si="342"/>
        <v/>
      </c>
      <c r="F4363" t="str">
        <f>IF(D4363="","",INDEX(Knutepunkter!$B:$B,D4363+1))</f>
        <v/>
      </c>
      <c r="G4363" t="str">
        <f>IF(D4363="","",INDEX(Knutepunkter!$C:$C,D4363+1))</f>
        <v/>
      </c>
      <c r="H4363" t="str">
        <f>IF(D4363="","",INDEX(Knutepunkter!$D:$D,D4363+1))</f>
        <v/>
      </c>
      <c r="I4363" t="str">
        <f>IF(E4363="","",INDEX(Knutepunkter!$B:$B,E4363+1))</f>
        <v/>
      </c>
      <c r="J4363" t="str">
        <f>IF(E4363="","",INDEX(Knutepunkter!$C:$C,E4363+1))</f>
        <v/>
      </c>
      <c r="K4363" t="str">
        <f>IF(E4363="","",INDEX(Knutepunkter!$D:$D,E4363+1))</f>
        <v/>
      </c>
      <c r="L4363" t="str">
        <f t="shared" si="343"/>
        <v/>
      </c>
      <c r="M4363" t="str">
        <f t="shared" si="344"/>
        <v/>
      </c>
    </row>
    <row r="4364" spans="1:13" x14ac:dyDescent="0.3">
      <c r="A4364" t="str">
        <f>Segmenter!A4364</f>
        <v/>
      </c>
      <c r="B4364" t="str">
        <f>Segmenter!B4364</f>
        <v/>
      </c>
      <c r="C4364" t="str">
        <f t="shared" si="340"/>
        <v/>
      </c>
      <c r="D4364" t="str">
        <f t="shared" si="341"/>
        <v/>
      </c>
      <c r="E4364" t="str">
        <f t="shared" si="342"/>
        <v/>
      </c>
      <c r="F4364" t="str">
        <f>IF(D4364="","",INDEX(Knutepunkter!$B:$B,D4364+1))</f>
        <v/>
      </c>
      <c r="G4364" t="str">
        <f>IF(D4364="","",INDEX(Knutepunkter!$C:$C,D4364+1))</f>
        <v/>
      </c>
      <c r="H4364" t="str">
        <f>IF(D4364="","",INDEX(Knutepunkter!$D:$D,D4364+1))</f>
        <v/>
      </c>
      <c r="I4364" t="str">
        <f>IF(E4364="","",INDEX(Knutepunkter!$B:$B,E4364+1))</f>
        <v/>
      </c>
      <c r="J4364" t="str">
        <f>IF(E4364="","",INDEX(Knutepunkter!$C:$C,E4364+1))</f>
        <v/>
      </c>
      <c r="K4364" t="str">
        <f>IF(E4364="","",INDEX(Knutepunkter!$D:$D,E4364+1))</f>
        <v/>
      </c>
      <c r="L4364" t="str">
        <f t="shared" si="343"/>
        <v/>
      </c>
      <c r="M4364" t="str">
        <f t="shared" si="344"/>
        <v/>
      </c>
    </row>
    <row r="4365" spans="1:13" x14ac:dyDescent="0.3">
      <c r="A4365" t="str">
        <f>Segmenter!A4365</f>
        <v/>
      </c>
      <c r="B4365" t="str">
        <f>Segmenter!B4365</f>
        <v/>
      </c>
      <c r="C4365" t="str">
        <f t="shared" si="340"/>
        <v/>
      </c>
      <c r="D4365" t="str">
        <f t="shared" si="341"/>
        <v/>
      </c>
      <c r="E4365" t="str">
        <f t="shared" si="342"/>
        <v/>
      </c>
      <c r="F4365" t="str">
        <f>IF(D4365="","",INDEX(Knutepunkter!$B:$B,D4365+1))</f>
        <v/>
      </c>
      <c r="G4365" t="str">
        <f>IF(D4365="","",INDEX(Knutepunkter!$C:$C,D4365+1))</f>
        <v/>
      </c>
      <c r="H4365" t="str">
        <f>IF(D4365="","",INDEX(Knutepunkter!$D:$D,D4365+1))</f>
        <v/>
      </c>
      <c r="I4365" t="str">
        <f>IF(E4365="","",INDEX(Knutepunkter!$B:$B,E4365+1))</f>
        <v/>
      </c>
      <c r="J4365" t="str">
        <f>IF(E4365="","",INDEX(Knutepunkter!$C:$C,E4365+1))</f>
        <v/>
      </c>
      <c r="K4365" t="str">
        <f>IF(E4365="","",INDEX(Knutepunkter!$D:$D,E4365+1))</f>
        <v/>
      </c>
      <c r="L4365" t="str">
        <f t="shared" si="343"/>
        <v/>
      </c>
      <c r="M4365" t="str">
        <f t="shared" si="344"/>
        <v/>
      </c>
    </row>
    <row r="4366" spans="1:13" x14ac:dyDescent="0.3">
      <c r="A4366" t="str">
        <f>Segmenter!A4366</f>
        <v/>
      </c>
      <c r="B4366" t="str">
        <f>Segmenter!B4366</f>
        <v/>
      </c>
      <c r="C4366" t="str">
        <f t="shared" si="340"/>
        <v/>
      </c>
      <c r="D4366" t="str">
        <f t="shared" si="341"/>
        <v/>
      </c>
      <c r="E4366" t="str">
        <f t="shared" si="342"/>
        <v/>
      </c>
      <c r="F4366" t="str">
        <f>IF(D4366="","",INDEX(Knutepunkter!$B:$B,D4366+1))</f>
        <v/>
      </c>
      <c r="G4366" t="str">
        <f>IF(D4366="","",INDEX(Knutepunkter!$C:$C,D4366+1))</f>
        <v/>
      </c>
      <c r="H4366" t="str">
        <f>IF(D4366="","",INDEX(Knutepunkter!$D:$D,D4366+1))</f>
        <v/>
      </c>
      <c r="I4366" t="str">
        <f>IF(E4366="","",INDEX(Knutepunkter!$B:$B,E4366+1))</f>
        <v/>
      </c>
      <c r="J4366" t="str">
        <f>IF(E4366="","",INDEX(Knutepunkter!$C:$C,E4366+1))</f>
        <v/>
      </c>
      <c r="K4366" t="str">
        <f>IF(E4366="","",INDEX(Knutepunkter!$D:$D,E4366+1))</f>
        <v/>
      </c>
      <c r="L4366" t="str">
        <f t="shared" si="343"/>
        <v/>
      </c>
      <c r="M4366" t="str">
        <f t="shared" si="344"/>
        <v/>
      </c>
    </row>
    <row r="4367" spans="1:13" x14ac:dyDescent="0.3">
      <c r="A4367" t="str">
        <f>Segmenter!A4367</f>
        <v/>
      </c>
      <c r="B4367" t="str">
        <f>Segmenter!B4367</f>
        <v/>
      </c>
      <c r="C4367" t="str">
        <f t="shared" si="340"/>
        <v/>
      </c>
      <c r="D4367" t="str">
        <f t="shared" si="341"/>
        <v/>
      </c>
      <c r="E4367" t="str">
        <f t="shared" si="342"/>
        <v/>
      </c>
      <c r="F4367" t="str">
        <f>IF(D4367="","",INDEX(Knutepunkter!$B:$B,D4367+1))</f>
        <v/>
      </c>
      <c r="G4367" t="str">
        <f>IF(D4367="","",INDEX(Knutepunkter!$C:$C,D4367+1))</f>
        <v/>
      </c>
      <c r="H4367" t="str">
        <f>IF(D4367="","",INDEX(Knutepunkter!$D:$D,D4367+1))</f>
        <v/>
      </c>
      <c r="I4367" t="str">
        <f>IF(E4367="","",INDEX(Knutepunkter!$B:$B,E4367+1))</f>
        <v/>
      </c>
      <c r="J4367" t="str">
        <f>IF(E4367="","",INDEX(Knutepunkter!$C:$C,E4367+1))</f>
        <v/>
      </c>
      <c r="K4367" t="str">
        <f>IF(E4367="","",INDEX(Knutepunkter!$D:$D,E4367+1))</f>
        <v/>
      </c>
      <c r="L4367" t="str">
        <f t="shared" si="343"/>
        <v/>
      </c>
      <c r="M4367" t="str">
        <f t="shared" si="344"/>
        <v/>
      </c>
    </row>
    <row r="4368" spans="1:13" x14ac:dyDescent="0.3">
      <c r="A4368" t="str">
        <f>Segmenter!A4368</f>
        <v/>
      </c>
      <c r="B4368" t="str">
        <f>Segmenter!B4368</f>
        <v/>
      </c>
      <c r="C4368" t="str">
        <f t="shared" si="340"/>
        <v/>
      </c>
      <c r="D4368" t="str">
        <f t="shared" si="341"/>
        <v/>
      </c>
      <c r="E4368" t="str">
        <f t="shared" si="342"/>
        <v/>
      </c>
      <c r="F4368" t="str">
        <f>IF(D4368="","",INDEX(Knutepunkter!$B:$B,D4368+1))</f>
        <v/>
      </c>
      <c r="G4368" t="str">
        <f>IF(D4368="","",INDEX(Knutepunkter!$C:$C,D4368+1))</f>
        <v/>
      </c>
      <c r="H4368" t="str">
        <f>IF(D4368="","",INDEX(Knutepunkter!$D:$D,D4368+1))</f>
        <v/>
      </c>
      <c r="I4368" t="str">
        <f>IF(E4368="","",INDEX(Knutepunkter!$B:$B,E4368+1))</f>
        <v/>
      </c>
      <c r="J4368" t="str">
        <f>IF(E4368="","",INDEX(Knutepunkter!$C:$C,E4368+1))</f>
        <v/>
      </c>
      <c r="K4368" t="str">
        <f>IF(E4368="","",INDEX(Knutepunkter!$D:$D,E4368+1))</f>
        <v/>
      </c>
      <c r="L4368" t="str">
        <f t="shared" si="343"/>
        <v/>
      </c>
      <c r="M4368" t="str">
        <f t="shared" si="344"/>
        <v/>
      </c>
    </row>
    <row r="4369" spans="1:13" x14ac:dyDescent="0.3">
      <c r="A4369" t="str">
        <f>Segmenter!A4369</f>
        <v/>
      </c>
      <c r="B4369" t="str">
        <f>Segmenter!B4369</f>
        <v/>
      </c>
      <c r="C4369" t="str">
        <f t="shared" si="340"/>
        <v/>
      </c>
      <c r="D4369" t="str">
        <f t="shared" si="341"/>
        <v/>
      </c>
      <c r="E4369" t="str">
        <f t="shared" si="342"/>
        <v/>
      </c>
      <c r="F4369" t="str">
        <f>IF(D4369="","",INDEX(Knutepunkter!$B:$B,D4369+1))</f>
        <v/>
      </c>
      <c r="G4369" t="str">
        <f>IF(D4369="","",INDEX(Knutepunkter!$C:$C,D4369+1))</f>
        <v/>
      </c>
      <c r="H4369" t="str">
        <f>IF(D4369="","",INDEX(Knutepunkter!$D:$D,D4369+1))</f>
        <v/>
      </c>
      <c r="I4369" t="str">
        <f>IF(E4369="","",INDEX(Knutepunkter!$B:$B,E4369+1))</f>
        <v/>
      </c>
      <c r="J4369" t="str">
        <f>IF(E4369="","",INDEX(Knutepunkter!$C:$C,E4369+1))</f>
        <v/>
      </c>
      <c r="K4369" t="str">
        <f>IF(E4369="","",INDEX(Knutepunkter!$D:$D,E4369+1))</f>
        <v/>
      </c>
      <c r="L4369" t="str">
        <f t="shared" si="343"/>
        <v/>
      </c>
      <c r="M4369" t="str">
        <f t="shared" si="344"/>
        <v/>
      </c>
    </row>
    <row r="4370" spans="1:13" x14ac:dyDescent="0.3">
      <c r="A4370" t="str">
        <f>Segmenter!A4370</f>
        <v/>
      </c>
      <c r="B4370" t="str">
        <f>Segmenter!B4370</f>
        <v/>
      </c>
      <c r="C4370" t="str">
        <f t="shared" si="340"/>
        <v/>
      </c>
      <c r="D4370" t="str">
        <f t="shared" si="341"/>
        <v/>
      </c>
      <c r="E4370" t="str">
        <f t="shared" si="342"/>
        <v/>
      </c>
      <c r="F4370" t="str">
        <f>IF(D4370="","",INDEX(Knutepunkter!$B:$B,D4370+1))</f>
        <v/>
      </c>
      <c r="G4370" t="str">
        <f>IF(D4370="","",INDEX(Knutepunkter!$C:$C,D4370+1))</f>
        <v/>
      </c>
      <c r="H4370" t="str">
        <f>IF(D4370="","",INDEX(Knutepunkter!$D:$D,D4370+1))</f>
        <v/>
      </c>
      <c r="I4370" t="str">
        <f>IF(E4370="","",INDEX(Knutepunkter!$B:$B,E4370+1))</f>
        <v/>
      </c>
      <c r="J4370" t="str">
        <f>IF(E4370="","",INDEX(Knutepunkter!$C:$C,E4370+1))</f>
        <v/>
      </c>
      <c r="K4370" t="str">
        <f>IF(E4370="","",INDEX(Knutepunkter!$D:$D,E4370+1))</f>
        <v/>
      </c>
      <c r="L4370" t="str">
        <f t="shared" si="343"/>
        <v/>
      </c>
      <c r="M4370" t="str">
        <f t="shared" si="344"/>
        <v/>
      </c>
    </row>
    <row r="4371" spans="1:13" x14ac:dyDescent="0.3">
      <c r="A4371" t="str">
        <f>Segmenter!A4371</f>
        <v/>
      </c>
      <c r="B4371" t="str">
        <f>Segmenter!B4371</f>
        <v/>
      </c>
      <c r="C4371" t="str">
        <f t="shared" si="340"/>
        <v/>
      </c>
      <c r="D4371" t="str">
        <f t="shared" si="341"/>
        <v/>
      </c>
      <c r="E4371" t="str">
        <f t="shared" si="342"/>
        <v/>
      </c>
      <c r="F4371" t="str">
        <f>IF(D4371="","",INDEX(Knutepunkter!$B:$B,D4371+1))</f>
        <v/>
      </c>
      <c r="G4371" t="str">
        <f>IF(D4371="","",INDEX(Knutepunkter!$C:$C,D4371+1))</f>
        <v/>
      </c>
      <c r="H4371" t="str">
        <f>IF(D4371="","",INDEX(Knutepunkter!$D:$D,D4371+1))</f>
        <v/>
      </c>
      <c r="I4371" t="str">
        <f>IF(E4371="","",INDEX(Knutepunkter!$B:$B,E4371+1))</f>
        <v/>
      </c>
      <c r="J4371" t="str">
        <f>IF(E4371="","",INDEX(Knutepunkter!$C:$C,E4371+1))</f>
        <v/>
      </c>
      <c r="K4371" t="str">
        <f>IF(E4371="","",INDEX(Knutepunkter!$D:$D,E4371+1))</f>
        <v/>
      </c>
      <c r="L4371" t="str">
        <f t="shared" si="343"/>
        <v/>
      </c>
      <c r="M4371" t="str">
        <f t="shared" si="344"/>
        <v/>
      </c>
    </row>
    <row r="4372" spans="1:13" x14ac:dyDescent="0.3">
      <c r="A4372" t="str">
        <f>Segmenter!A4372</f>
        <v/>
      </c>
      <c r="B4372" t="str">
        <f>Segmenter!B4372</f>
        <v/>
      </c>
      <c r="C4372" t="str">
        <f t="shared" si="340"/>
        <v/>
      </c>
      <c r="D4372" t="str">
        <f t="shared" si="341"/>
        <v/>
      </c>
      <c r="E4372" t="str">
        <f t="shared" si="342"/>
        <v/>
      </c>
      <c r="F4372" t="str">
        <f>IF(D4372="","",INDEX(Knutepunkter!$B:$B,D4372+1))</f>
        <v/>
      </c>
      <c r="G4372" t="str">
        <f>IF(D4372="","",INDEX(Knutepunkter!$C:$C,D4372+1))</f>
        <v/>
      </c>
      <c r="H4372" t="str">
        <f>IF(D4372="","",INDEX(Knutepunkter!$D:$D,D4372+1))</f>
        <v/>
      </c>
      <c r="I4372" t="str">
        <f>IF(E4372="","",INDEX(Knutepunkter!$B:$B,E4372+1))</f>
        <v/>
      </c>
      <c r="J4372" t="str">
        <f>IF(E4372="","",INDEX(Knutepunkter!$C:$C,E4372+1))</f>
        <v/>
      </c>
      <c r="K4372" t="str">
        <f>IF(E4372="","",INDEX(Knutepunkter!$D:$D,E4372+1))</f>
        <v/>
      </c>
      <c r="L4372" t="str">
        <f t="shared" si="343"/>
        <v/>
      </c>
      <c r="M4372" t="str">
        <f t="shared" si="344"/>
        <v/>
      </c>
    </row>
    <row r="4373" spans="1:13" x14ac:dyDescent="0.3">
      <c r="A4373" t="str">
        <f>Segmenter!A4373</f>
        <v/>
      </c>
      <c r="B4373" t="str">
        <f>Segmenter!B4373</f>
        <v/>
      </c>
      <c r="C4373" t="str">
        <f t="shared" si="340"/>
        <v/>
      </c>
      <c r="D4373" t="str">
        <f t="shared" si="341"/>
        <v/>
      </c>
      <c r="E4373" t="str">
        <f t="shared" si="342"/>
        <v/>
      </c>
      <c r="F4373" t="str">
        <f>IF(D4373="","",INDEX(Knutepunkter!$B:$B,D4373+1))</f>
        <v/>
      </c>
      <c r="G4373" t="str">
        <f>IF(D4373="","",INDEX(Knutepunkter!$C:$C,D4373+1))</f>
        <v/>
      </c>
      <c r="H4373" t="str">
        <f>IF(D4373="","",INDEX(Knutepunkter!$D:$D,D4373+1))</f>
        <v/>
      </c>
      <c r="I4373" t="str">
        <f>IF(E4373="","",INDEX(Knutepunkter!$B:$B,E4373+1))</f>
        <v/>
      </c>
      <c r="J4373" t="str">
        <f>IF(E4373="","",INDEX(Knutepunkter!$C:$C,E4373+1))</f>
        <v/>
      </c>
      <c r="K4373" t="str">
        <f>IF(E4373="","",INDEX(Knutepunkter!$D:$D,E4373+1))</f>
        <v/>
      </c>
      <c r="L4373" t="str">
        <f t="shared" si="343"/>
        <v/>
      </c>
      <c r="M4373" t="str">
        <f t="shared" si="344"/>
        <v/>
      </c>
    </row>
    <row r="4374" spans="1:13" x14ac:dyDescent="0.3">
      <c r="A4374" t="str">
        <f>Segmenter!A4374</f>
        <v/>
      </c>
      <c r="B4374" t="str">
        <f>Segmenter!B4374</f>
        <v/>
      </c>
      <c r="C4374" t="str">
        <f t="shared" si="340"/>
        <v/>
      </c>
      <c r="D4374" t="str">
        <f t="shared" si="341"/>
        <v/>
      </c>
      <c r="E4374" t="str">
        <f t="shared" si="342"/>
        <v/>
      </c>
      <c r="F4374" t="str">
        <f>IF(D4374="","",INDEX(Knutepunkter!$B:$B,D4374+1))</f>
        <v/>
      </c>
      <c r="G4374" t="str">
        <f>IF(D4374="","",INDEX(Knutepunkter!$C:$C,D4374+1))</f>
        <v/>
      </c>
      <c r="H4374" t="str">
        <f>IF(D4374="","",INDEX(Knutepunkter!$D:$D,D4374+1))</f>
        <v/>
      </c>
      <c r="I4374" t="str">
        <f>IF(E4374="","",INDEX(Knutepunkter!$B:$B,E4374+1))</f>
        <v/>
      </c>
      <c r="J4374" t="str">
        <f>IF(E4374="","",INDEX(Knutepunkter!$C:$C,E4374+1))</f>
        <v/>
      </c>
      <c r="K4374" t="str">
        <f>IF(E4374="","",INDEX(Knutepunkter!$D:$D,E4374+1))</f>
        <v/>
      </c>
      <c r="L4374" t="str">
        <f t="shared" si="343"/>
        <v/>
      </c>
      <c r="M4374" t="str">
        <f t="shared" si="344"/>
        <v/>
      </c>
    </row>
    <row r="4375" spans="1:13" x14ac:dyDescent="0.3">
      <c r="A4375" t="str">
        <f>Segmenter!A4375</f>
        <v/>
      </c>
      <c r="B4375" t="str">
        <f>Segmenter!B4375</f>
        <v/>
      </c>
      <c r="C4375" t="str">
        <f t="shared" si="340"/>
        <v/>
      </c>
      <c r="D4375" t="str">
        <f t="shared" si="341"/>
        <v/>
      </c>
      <c r="E4375" t="str">
        <f t="shared" si="342"/>
        <v/>
      </c>
      <c r="F4375" t="str">
        <f>IF(D4375="","",INDEX(Knutepunkter!$B:$B,D4375+1))</f>
        <v/>
      </c>
      <c r="G4375" t="str">
        <f>IF(D4375="","",INDEX(Knutepunkter!$C:$C,D4375+1))</f>
        <v/>
      </c>
      <c r="H4375" t="str">
        <f>IF(D4375="","",INDEX(Knutepunkter!$D:$D,D4375+1))</f>
        <v/>
      </c>
      <c r="I4375" t="str">
        <f>IF(E4375="","",INDEX(Knutepunkter!$B:$B,E4375+1))</f>
        <v/>
      </c>
      <c r="J4375" t="str">
        <f>IF(E4375="","",INDEX(Knutepunkter!$C:$C,E4375+1))</f>
        <v/>
      </c>
      <c r="K4375" t="str">
        <f>IF(E4375="","",INDEX(Knutepunkter!$D:$D,E4375+1))</f>
        <v/>
      </c>
      <c r="L4375" t="str">
        <f t="shared" si="343"/>
        <v/>
      </c>
      <c r="M4375" t="str">
        <f t="shared" si="344"/>
        <v/>
      </c>
    </row>
    <row r="4376" spans="1:13" x14ac:dyDescent="0.3">
      <c r="A4376" t="str">
        <f>Segmenter!A4376</f>
        <v/>
      </c>
      <c r="B4376" t="str">
        <f>Segmenter!B4376</f>
        <v/>
      </c>
      <c r="C4376" t="str">
        <f t="shared" si="340"/>
        <v/>
      </c>
      <c r="D4376" t="str">
        <f t="shared" si="341"/>
        <v/>
      </c>
      <c r="E4376" t="str">
        <f t="shared" si="342"/>
        <v/>
      </c>
      <c r="F4376" t="str">
        <f>IF(D4376="","",INDEX(Knutepunkter!$B:$B,D4376+1))</f>
        <v/>
      </c>
      <c r="G4376" t="str">
        <f>IF(D4376="","",INDEX(Knutepunkter!$C:$C,D4376+1))</f>
        <v/>
      </c>
      <c r="H4376" t="str">
        <f>IF(D4376="","",INDEX(Knutepunkter!$D:$D,D4376+1))</f>
        <v/>
      </c>
      <c r="I4376" t="str">
        <f>IF(E4376="","",INDEX(Knutepunkter!$B:$B,E4376+1))</f>
        <v/>
      </c>
      <c r="J4376" t="str">
        <f>IF(E4376="","",INDEX(Knutepunkter!$C:$C,E4376+1))</f>
        <v/>
      </c>
      <c r="K4376" t="str">
        <f>IF(E4376="","",INDEX(Knutepunkter!$D:$D,E4376+1))</f>
        <v/>
      </c>
      <c r="L4376" t="str">
        <f t="shared" si="343"/>
        <v/>
      </c>
      <c r="M4376" t="str">
        <f t="shared" si="344"/>
        <v/>
      </c>
    </row>
    <row r="4377" spans="1:13" x14ac:dyDescent="0.3">
      <c r="A4377" t="str">
        <f>Segmenter!A4377</f>
        <v/>
      </c>
      <c r="B4377" t="str">
        <f>Segmenter!B4377</f>
        <v/>
      </c>
      <c r="C4377" t="str">
        <f t="shared" si="340"/>
        <v/>
      </c>
      <c r="D4377" t="str">
        <f t="shared" si="341"/>
        <v/>
      </c>
      <c r="E4377" t="str">
        <f t="shared" si="342"/>
        <v/>
      </c>
      <c r="F4377" t="str">
        <f>IF(D4377="","",INDEX(Knutepunkter!$B:$B,D4377+1))</f>
        <v/>
      </c>
      <c r="G4377" t="str">
        <f>IF(D4377="","",INDEX(Knutepunkter!$C:$C,D4377+1))</f>
        <v/>
      </c>
      <c r="H4377" t="str">
        <f>IF(D4377="","",INDEX(Knutepunkter!$D:$D,D4377+1))</f>
        <v/>
      </c>
      <c r="I4377" t="str">
        <f>IF(E4377="","",INDEX(Knutepunkter!$B:$B,E4377+1))</f>
        <v/>
      </c>
      <c r="J4377" t="str">
        <f>IF(E4377="","",INDEX(Knutepunkter!$C:$C,E4377+1))</f>
        <v/>
      </c>
      <c r="K4377" t="str">
        <f>IF(E4377="","",INDEX(Knutepunkter!$D:$D,E4377+1))</f>
        <v/>
      </c>
      <c r="L4377" t="str">
        <f t="shared" si="343"/>
        <v/>
      </c>
      <c r="M4377" t="str">
        <f t="shared" si="344"/>
        <v/>
      </c>
    </row>
    <row r="4378" spans="1:13" x14ac:dyDescent="0.3">
      <c r="A4378" t="str">
        <f>Segmenter!A4378</f>
        <v/>
      </c>
      <c r="B4378" t="str">
        <f>Segmenter!B4378</f>
        <v/>
      </c>
      <c r="C4378" t="str">
        <f t="shared" si="340"/>
        <v/>
      </c>
      <c r="D4378" t="str">
        <f t="shared" si="341"/>
        <v/>
      </c>
      <c r="E4378" t="str">
        <f t="shared" si="342"/>
        <v/>
      </c>
      <c r="F4378" t="str">
        <f>IF(D4378="","",INDEX(Knutepunkter!$B:$B,D4378+1))</f>
        <v/>
      </c>
      <c r="G4378" t="str">
        <f>IF(D4378="","",INDEX(Knutepunkter!$C:$C,D4378+1))</f>
        <v/>
      </c>
      <c r="H4378" t="str">
        <f>IF(D4378="","",INDEX(Knutepunkter!$D:$D,D4378+1))</f>
        <v/>
      </c>
      <c r="I4378" t="str">
        <f>IF(E4378="","",INDEX(Knutepunkter!$B:$B,E4378+1))</f>
        <v/>
      </c>
      <c r="J4378" t="str">
        <f>IF(E4378="","",INDEX(Knutepunkter!$C:$C,E4378+1))</f>
        <v/>
      </c>
      <c r="K4378" t="str">
        <f>IF(E4378="","",INDEX(Knutepunkter!$D:$D,E4378+1))</f>
        <v/>
      </c>
      <c r="L4378" t="str">
        <f t="shared" si="343"/>
        <v/>
      </c>
      <c r="M4378" t="str">
        <f t="shared" si="344"/>
        <v/>
      </c>
    </row>
    <row r="4379" spans="1:13" x14ac:dyDescent="0.3">
      <c r="A4379" t="str">
        <f>Segmenter!A4379</f>
        <v/>
      </c>
      <c r="B4379" t="str">
        <f>Segmenter!B4379</f>
        <v/>
      </c>
      <c r="C4379" t="str">
        <f t="shared" si="340"/>
        <v/>
      </c>
      <c r="D4379" t="str">
        <f t="shared" si="341"/>
        <v/>
      </c>
      <c r="E4379" t="str">
        <f t="shared" si="342"/>
        <v/>
      </c>
      <c r="F4379" t="str">
        <f>IF(D4379="","",INDEX(Knutepunkter!$B:$B,D4379+1))</f>
        <v/>
      </c>
      <c r="G4379" t="str">
        <f>IF(D4379="","",INDEX(Knutepunkter!$C:$C,D4379+1))</f>
        <v/>
      </c>
      <c r="H4379" t="str">
        <f>IF(D4379="","",INDEX(Knutepunkter!$D:$D,D4379+1))</f>
        <v/>
      </c>
      <c r="I4379" t="str">
        <f>IF(E4379="","",INDEX(Knutepunkter!$B:$B,E4379+1))</f>
        <v/>
      </c>
      <c r="J4379" t="str">
        <f>IF(E4379="","",INDEX(Knutepunkter!$C:$C,E4379+1))</f>
        <v/>
      </c>
      <c r="K4379" t="str">
        <f>IF(E4379="","",INDEX(Knutepunkter!$D:$D,E4379+1))</f>
        <v/>
      </c>
      <c r="L4379" t="str">
        <f t="shared" si="343"/>
        <v/>
      </c>
      <c r="M4379" t="str">
        <f t="shared" si="344"/>
        <v/>
      </c>
    </row>
    <row r="4380" spans="1:13" x14ac:dyDescent="0.3">
      <c r="A4380" t="str">
        <f>Segmenter!A4380</f>
        <v/>
      </c>
      <c r="B4380" t="str">
        <f>Segmenter!B4380</f>
        <v/>
      </c>
      <c r="C4380" t="str">
        <f t="shared" si="340"/>
        <v/>
      </c>
      <c r="D4380" t="str">
        <f t="shared" si="341"/>
        <v/>
      </c>
      <c r="E4380" t="str">
        <f t="shared" si="342"/>
        <v/>
      </c>
      <c r="F4380" t="str">
        <f>IF(D4380="","",INDEX(Knutepunkter!$B:$B,D4380+1))</f>
        <v/>
      </c>
      <c r="G4380" t="str">
        <f>IF(D4380="","",INDEX(Knutepunkter!$C:$C,D4380+1))</f>
        <v/>
      </c>
      <c r="H4380" t="str">
        <f>IF(D4380="","",INDEX(Knutepunkter!$D:$D,D4380+1))</f>
        <v/>
      </c>
      <c r="I4380" t="str">
        <f>IF(E4380="","",INDEX(Knutepunkter!$B:$B,E4380+1))</f>
        <v/>
      </c>
      <c r="J4380" t="str">
        <f>IF(E4380="","",INDEX(Knutepunkter!$C:$C,E4380+1))</f>
        <v/>
      </c>
      <c r="K4380" t="str">
        <f>IF(E4380="","",INDEX(Knutepunkter!$D:$D,E4380+1))</f>
        <v/>
      </c>
      <c r="L4380" t="str">
        <f t="shared" si="343"/>
        <v/>
      </c>
      <c r="M4380" t="str">
        <f t="shared" si="344"/>
        <v/>
      </c>
    </row>
    <row r="4381" spans="1:13" x14ac:dyDescent="0.3">
      <c r="A4381" t="str">
        <f>Segmenter!A4381</f>
        <v/>
      </c>
      <c r="B4381" t="str">
        <f>Segmenter!B4381</f>
        <v/>
      </c>
      <c r="C4381" t="str">
        <f t="shared" si="340"/>
        <v/>
      </c>
      <c r="D4381" t="str">
        <f t="shared" si="341"/>
        <v/>
      </c>
      <c r="E4381" t="str">
        <f t="shared" si="342"/>
        <v/>
      </c>
      <c r="F4381" t="str">
        <f>IF(D4381="","",INDEX(Knutepunkter!$B:$B,D4381+1))</f>
        <v/>
      </c>
      <c r="G4381" t="str">
        <f>IF(D4381="","",INDEX(Knutepunkter!$C:$C,D4381+1))</f>
        <v/>
      </c>
      <c r="H4381" t="str">
        <f>IF(D4381="","",INDEX(Knutepunkter!$D:$D,D4381+1))</f>
        <v/>
      </c>
      <c r="I4381" t="str">
        <f>IF(E4381="","",INDEX(Knutepunkter!$B:$B,E4381+1))</f>
        <v/>
      </c>
      <c r="J4381" t="str">
        <f>IF(E4381="","",INDEX(Knutepunkter!$C:$C,E4381+1))</f>
        <v/>
      </c>
      <c r="K4381" t="str">
        <f>IF(E4381="","",INDEX(Knutepunkter!$D:$D,E4381+1))</f>
        <v/>
      </c>
      <c r="L4381" t="str">
        <f t="shared" si="343"/>
        <v/>
      </c>
      <c r="M4381" t="str">
        <f t="shared" si="344"/>
        <v/>
      </c>
    </row>
    <row r="4382" spans="1:13" x14ac:dyDescent="0.3">
      <c r="A4382" t="str">
        <f>Segmenter!A4382</f>
        <v/>
      </c>
      <c r="B4382" t="str">
        <f>Segmenter!B4382</f>
        <v/>
      </c>
      <c r="C4382" t="str">
        <f t="shared" si="340"/>
        <v/>
      </c>
      <c r="D4382" t="str">
        <f t="shared" si="341"/>
        <v/>
      </c>
      <c r="E4382" t="str">
        <f t="shared" si="342"/>
        <v/>
      </c>
      <c r="F4382" t="str">
        <f>IF(D4382="","",INDEX(Knutepunkter!$B:$B,D4382+1))</f>
        <v/>
      </c>
      <c r="G4382" t="str">
        <f>IF(D4382="","",INDEX(Knutepunkter!$C:$C,D4382+1))</f>
        <v/>
      </c>
      <c r="H4382" t="str">
        <f>IF(D4382="","",INDEX(Knutepunkter!$D:$D,D4382+1))</f>
        <v/>
      </c>
      <c r="I4382" t="str">
        <f>IF(E4382="","",INDEX(Knutepunkter!$B:$B,E4382+1))</f>
        <v/>
      </c>
      <c r="J4382" t="str">
        <f>IF(E4382="","",INDEX(Knutepunkter!$C:$C,E4382+1))</f>
        <v/>
      </c>
      <c r="K4382" t="str">
        <f>IF(E4382="","",INDEX(Knutepunkter!$D:$D,E4382+1))</f>
        <v/>
      </c>
      <c r="L4382" t="str">
        <f t="shared" si="343"/>
        <v/>
      </c>
      <c r="M4382" t="str">
        <f t="shared" si="344"/>
        <v/>
      </c>
    </row>
    <row r="4383" spans="1:13" x14ac:dyDescent="0.3">
      <c r="A4383" t="str">
        <f>Segmenter!A4383</f>
        <v/>
      </c>
      <c r="B4383" t="str">
        <f>Segmenter!B4383</f>
        <v/>
      </c>
      <c r="C4383" t="str">
        <f t="shared" si="340"/>
        <v/>
      </c>
      <c r="D4383" t="str">
        <f t="shared" si="341"/>
        <v/>
      </c>
      <c r="E4383" t="str">
        <f t="shared" si="342"/>
        <v/>
      </c>
      <c r="F4383" t="str">
        <f>IF(D4383="","",INDEX(Knutepunkter!$B:$B,D4383+1))</f>
        <v/>
      </c>
      <c r="G4383" t="str">
        <f>IF(D4383="","",INDEX(Knutepunkter!$C:$C,D4383+1))</f>
        <v/>
      </c>
      <c r="H4383" t="str">
        <f>IF(D4383="","",INDEX(Knutepunkter!$D:$D,D4383+1))</f>
        <v/>
      </c>
      <c r="I4383" t="str">
        <f>IF(E4383="","",INDEX(Knutepunkter!$B:$B,E4383+1))</f>
        <v/>
      </c>
      <c r="J4383" t="str">
        <f>IF(E4383="","",INDEX(Knutepunkter!$C:$C,E4383+1))</f>
        <v/>
      </c>
      <c r="K4383" t="str">
        <f>IF(E4383="","",INDEX(Knutepunkter!$D:$D,E4383+1))</f>
        <v/>
      </c>
      <c r="L4383" t="str">
        <f t="shared" si="343"/>
        <v/>
      </c>
      <c r="M4383" t="str">
        <f t="shared" si="344"/>
        <v/>
      </c>
    </row>
    <row r="4384" spans="1:13" x14ac:dyDescent="0.3">
      <c r="A4384" t="str">
        <f>Segmenter!A4384</f>
        <v/>
      </c>
      <c r="B4384" t="str">
        <f>Segmenter!B4384</f>
        <v/>
      </c>
      <c r="C4384" t="str">
        <f t="shared" si="340"/>
        <v/>
      </c>
      <c r="D4384" t="str">
        <f t="shared" si="341"/>
        <v/>
      </c>
      <c r="E4384" t="str">
        <f t="shared" si="342"/>
        <v/>
      </c>
      <c r="F4384" t="str">
        <f>IF(D4384="","",INDEX(Knutepunkter!$B:$B,D4384+1))</f>
        <v/>
      </c>
      <c r="G4384" t="str">
        <f>IF(D4384="","",INDEX(Knutepunkter!$C:$C,D4384+1))</f>
        <v/>
      </c>
      <c r="H4384" t="str">
        <f>IF(D4384="","",INDEX(Knutepunkter!$D:$D,D4384+1))</f>
        <v/>
      </c>
      <c r="I4384" t="str">
        <f>IF(E4384="","",INDEX(Knutepunkter!$B:$B,E4384+1))</f>
        <v/>
      </c>
      <c r="J4384" t="str">
        <f>IF(E4384="","",INDEX(Knutepunkter!$C:$C,E4384+1))</f>
        <v/>
      </c>
      <c r="K4384" t="str">
        <f>IF(E4384="","",INDEX(Knutepunkter!$D:$D,E4384+1))</f>
        <v/>
      </c>
      <c r="L4384" t="str">
        <f t="shared" si="343"/>
        <v/>
      </c>
      <c r="M4384" t="str">
        <f t="shared" si="344"/>
        <v/>
      </c>
    </row>
    <row r="4385" spans="1:13" x14ac:dyDescent="0.3">
      <c r="A4385" t="str">
        <f>Segmenter!A4385</f>
        <v/>
      </c>
      <c r="B4385" t="str">
        <f>Segmenter!B4385</f>
        <v/>
      </c>
      <c r="C4385" t="str">
        <f t="shared" si="340"/>
        <v/>
      </c>
      <c r="D4385" t="str">
        <f t="shared" si="341"/>
        <v/>
      </c>
      <c r="E4385" t="str">
        <f t="shared" si="342"/>
        <v/>
      </c>
      <c r="F4385" t="str">
        <f>IF(D4385="","",INDEX(Knutepunkter!$B:$B,D4385+1))</f>
        <v/>
      </c>
      <c r="G4385" t="str">
        <f>IF(D4385="","",INDEX(Knutepunkter!$C:$C,D4385+1))</f>
        <v/>
      </c>
      <c r="H4385" t="str">
        <f>IF(D4385="","",INDEX(Knutepunkter!$D:$D,D4385+1))</f>
        <v/>
      </c>
      <c r="I4385" t="str">
        <f>IF(E4385="","",INDEX(Knutepunkter!$B:$B,E4385+1))</f>
        <v/>
      </c>
      <c r="J4385" t="str">
        <f>IF(E4385="","",INDEX(Knutepunkter!$C:$C,E4385+1))</f>
        <v/>
      </c>
      <c r="K4385" t="str">
        <f>IF(E4385="","",INDEX(Knutepunkter!$D:$D,E4385+1))</f>
        <v/>
      </c>
      <c r="L4385" t="str">
        <f t="shared" si="343"/>
        <v/>
      </c>
      <c r="M4385" t="str">
        <f t="shared" si="344"/>
        <v/>
      </c>
    </row>
    <row r="4386" spans="1:13" x14ac:dyDescent="0.3">
      <c r="A4386" t="str">
        <f>Segmenter!A4386</f>
        <v/>
      </c>
      <c r="B4386" t="str">
        <f>Segmenter!B4386</f>
        <v/>
      </c>
      <c r="C4386" t="str">
        <f t="shared" si="340"/>
        <v/>
      </c>
      <c r="D4386" t="str">
        <f t="shared" si="341"/>
        <v/>
      </c>
      <c r="E4386" t="str">
        <f t="shared" si="342"/>
        <v/>
      </c>
      <c r="F4386" t="str">
        <f>IF(D4386="","",INDEX(Knutepunkter!$B:$B,D4386+1))</f>
        <v/>
      </c>
      <c r="G4386" t="str">
        <f>IF(D4386="","",INDEX(Knutepunkter!$C:$C,D4386+1))</f>
        <v/>
      </c>
      <c r="H4386" t="str">
        <f>IF(D4386="","",INDEX(Knutepunkter!$D:$D,D4386+1))</f>
        <v/>
      </c>
      <c r="I4386" t="str">
        <f>IF(E4386="","",INDEX(Knutepunkter!$B:$B,E4386+1))</f>
        <v/>
      </c>
      <c r="J4386" t="str">
        <f>IF(E4386="","",INDEX(Knutepunkter!$C:$C,E4386+1))</f>
        <v/>
      </c>
      <c r="K4386" t="str">
        <f>IF(E4386="","",INDEX(Knutepunkter!$D:$D,E4386+1))</f>
        <v/>
      </c>
      <c r="L4386" t="str">
        <f t="shared" si="343"/>
        <v/>
      </c>
      <c r="M4386" t="str">
        <f t="shared" si="344"/>
        <v/>
      </c>
    </row>
    <row r="4387" spans="1:13" x14ac:dyDescent="0.3">
      <c r="A4387" t="str">
        <f>Segmenter!A4387</f>
        <v/>
      </c>
      <c r="B4387" t="str">
        <f>Segmenter!B4387</f>
        <v/>
      </c>
      <c r="C4387" t="str">
        <f t="shared" si="340"/>
        <v/>
      </c>
      <c r="D4387" t="str">
        <f t="shared" si="341"/>
        <v/>
      </c>
      <c r="E4387" t="str">
        <f t="shared" si="342"/>
        <v/>
      </c>
      <c r="F4387" t="str">
        <f>IF(D4387="","",INDEX(Knutepunkter!$B:$B,D4387+1))</f>
        <v/>
      </c>
      <c r="G4387" t="str">
        <f>IF(D4387="","",INDEX(Knutepunkter!$C:$C,D4387+1))</f>
        <v/>
      </c>
      <c r="H4387" t="str">
        <f>IF(D4387="","",INDEX(Knutepunkter!$D:$D,D4387+1))</f>
        <v/>
      </c>
      <c r="I4387" t="str">
        <f>IF(E4387="","",INDEX(Knutepunkter!$B:$B,E4387+1))</f>
        <v/>
      </c>
      <c r="J4387" t="str">
        <f>IF(E4387="","",INDEX(Knutepunkter!$C:$C,E4387+1))</f>
        <v/>
      </c>
      <c r="K4387" t="str">
        <f>IF(E4387="","",INDEX(Knutepunkter!$D:$D,E4387+1))</f>
        <v/>
      </c>
      <c r="L4387" t="str">
        <f t="shared" si="343"/>
        <v/>
      </c>
      <c r="M4387" t="str">
        <f t="shared" si="344"/>
        <v/>
      </c>
    </row>
    <row r="4388" spans="1:13" x14ac:dyDescent="0.3">
      <c r="A4388" t="str">
        <f>Segmenter!A4388</f>
        <v/>
      </c>
      <c r="B4388" t="str">
        <f>Segmenter!B4388</f>
        <v/>
      </c>
      <c r="C4388" t="str">
        <f t="shared" si="340"/>
        <v/>
      </c>
      <c r="D4388" t="str">
        <f t="shared" si="341"/>
        <v/>
      </c>
      <c r="E4388" t="str">
        <f t="shared" si="342"/>
        <v/>
      </c>
      <c r="F4388" t="str">
        <f>IF(D4388="","",INDEX(Knutepunkter!$B:$B,D4388+1))</f>
        <v/>
      </c>
      <c r="G4388" t="str">
        <f>IF(D4388="","",INDEX(Knutepunkter!$C:$C,D4388+1))</f>
        <v/>
      </c>
      <c r="H4388" t="str">
        <f>IF(D4388="","",INDEX(Knutepunkter!$D:$D,D4388+1))</f>
        <v/>
      </c>
      <c r="I4388" t="str">
        <f>IF(E4388="","",INDEX(Knutepunkter!$B:$B,E4388+1))</f>
        <v/>
      </c>
      <c r="J4388" t="str">
        <f>IF(E4388="","",INDEX(Knutepunkter!$C:$C,E4388+1))</f>
        <v/>
      </c>
      <c r="K4388" t="str">
        <f>IF(E4388="","",INDEX(Knutepunkter!$D:$D,E4388+1))</f>
        <v/>
      </c>
      <c r="L4388" t="str">
        <f t="shared" si="343"/>
        <v/>
      </c>
      <c r="M4388" t="str">
        <f t="shared" si="344"/>
        <v/>
      </c>
    </row>
    <row r="4389" spans="1:13" x14ac:dyDescent="0.3">
      <c r="A4389" t="str">
        <f>Segmenter!A4389</f>
        <v/>
      </c>
      <c r="B4389" t="str">
        <f>Segmenter!B4389</f>
        <v/>
      </c>
      <c r="C4389" t="str">
        <f t="shared" si="340"/>
        <v/>
      </c>
      <c r="D4389" t="str">
        <f t="shared" si="341"/>
        <v/>
      </c>
      <c r="E4389" t="str">
        <f t="shared" si="342"/>
        <v/>
      </c>
      <c r="F4389" t="str">
        <f>IF(D4389="","",INDEX(Knutepunkter!$B:$B,D4389+1))</f>
        <v/>
      </c>
      <c r="G4389" t="str">
        <f>IF(D4389="","",INDEX(Knutepunkter!$C:$C,D4389+1))</f>
        <v/>
      </c>
      <c r="H4389" t="str">
        <f>IF(D4389="","",INDEX(Knutepunkter!$D:$D,D4389+1))</f>
        <v/>
      </c>
      <c r="I4389" t="str">
        <f>IF(E4389="","",INDEX(Knutepunkter!$B:$B,E4389+1))</f>
        <v/>
      </c>
      <c r="J4389" t="str">
        <f>IF(E4389="","",INDEX(Knutepunkter!$C:$C,E4389+1))</f>
        <v/>
      </c>
      <c r="K4389" t="str">
        <f>IF(E4389="","",INDEX(Knutepunkter!$D:$D,E4389+1))</f>
        <v/>
      </c>
      <c r="L4389" t="str">
        <f t="shared" si="343"/>
        <v/>
      </c>
      <c r="M4389" t="str">
        <f t="shared" si="344"/>
        <v/>
      </c>
    </row>
    <row r="4390" spans="1:13" x14ac:dyDescent="0.3">
      <c r="A4390" t="str">
        <f>Segmenter!A4390</f>
        <v/>
      </c>
      <c r="B4390" t="str">
        <f>Segmenter!B4390</f>
        <v/>
      </c>
      <c r="C4390" t="str">
        <f t="shared" si="340"/>
        <v/>
      </c>
      <c r="D4390" t="str">
        <f t="shared" si="341"/>
        <v/>
      </c>
      <c r="E4390" t="str">
        <f t="shared" si="342"/>
        <v/>
      </c>
      <c r="F4390" t="str">
        <f>IF(D4390="","",INDEX(Knutepunkter!$B:$B,D4390+1))</f>
        <v/>
      </c>
      <c r="G4390" t="str">
        <f>IF(D4390="","",INDEX(Knutepunkter!$C:$C,D4390+1))</f>
        <v/>
      </c>
      <c r="H4390" t="str">
        <f>IF(D4390="","",INDEX(Knutepunkter!$D:$D,D4390+1))</f>
        <v/>
      </c>
      <c r="I4390" t="str">
        <f>IF(E4390="","",INDEX(Knutepunkter!$B:$B,E4390+1))</f>
        <v/>
      </c>
      <c r="J4390" t="str">
        <f>IF(E4390="","",INDEX(Knutepunkter!$C:$C,E4390+1))</f>
        <v/>
      </c>
      <c r="K4390" t="str">
        <f>IF(E4390="","",INDEX(Knutepunkter!$D:$D,E4390+1))</f>
        <v/>
      </c>
      <c r="L4390" t="str">
        <f t="shared" si="343"/>
        <v/>
      </c>
      <c r="M4390" t="str">
        <f t="shared" si="344"/>
        <v/>
      </c>
    </row>
    <row r="4391" spans="1:13" x14ac:dyDescent="0.3">
      <c r="A4391" t="str">
        <f>Segmenter!A4391</f>
        <v/>
      </c>
      <c r="B4391" t="str">
        <f>Segmenter!B4391</f>
        <v/>
      </c>
      <c r="C4391" t="str">
        <f t="shared" si="340"/>
        <v/>
      </c>
      <c r="D4391" t="str">
        <f t="shared" si="341"/>
        <v/>
      </c>
      <c r="E4391" t="str">
        <f t="shared" si="342"/>
        <v/>
      </c>
      <c r="F4391" t="str">
        <f>IF(D4391="","",INDEX(Knutepunkter!$B:$B,D4391+1))</f>
        <v/>
      </c>
      <c r="G4391" t="str">
        <f>IF(D4391="","",INDEX(Knutepunkter!$C:$C,D4391+1))</f>
        <v/>
      </c>
      <c r="H4391" t="str">
        <f>IF(D4391="","",INDEX(Knutepunkter!$D:$D,D4391+1))</f>
        <v/>
      </c>
      <c r="I4391" t="str">
        <f>IF(E4391="","",INDEX(Knutepunkter!$B:$B,E4391+1))</f>
        <v/>
      </c>
      <c r="J4391" t="str">
        <f>IF(E4391="","",INDEX(Knutepunkter!$C:$C,E4391+1))</f>
        <v/>
      </c>
      <c r="K4391" t="str">
        <f>IF(E4391="","",INDEX(Knutepunkter!$D:$D,E4391+1))</f>
        <v/>
      </c>
      <c r="L4391" t="str">
        <f t="shared" si="343"/>
        <v/>
      </c>
      <c r="M4391" t="str">
        <f t="shared" si="344"/>
        <v/>
      </c>
    </row>
    <row r="4392" spans="1:13" x14ac:dyDescent="0.3">
      <c r="A4392" t="str">
        <f>Segmenter!A4392</f>
        <v/>
      </c>
      <c r="B4392" t="str">
        <f>Segmenter!B4392</f>
        <v/>
      </c>
      <c r="C4392" t="str">
        <f t="shared" si="340"/>
        <v/>
      </c>
      <c r="D4392" t="str">
        <f t="shared" si="341"/>
        <v/>
      </c>
      <c r="E4392" t="str">
        <f t="shared" si="342"/>
        <v/>
      </c>
      <c r="F4392" t="str">
        <f>IF(D4392="","",INDEX(Knutepunkter!$B:$B,D4392+1))</f>
        <v/>
      </c>
      <c r="G4392" t="str">
        <f>IF(D4392="","",INDEX(Knutepunkter!$C:$C,D4392+1))</f>
        <v/>
      </c>
      <c r="H4392" t="str">
        <f>IF(D4392="","",INDEX(Knutepunkter!$D:$D,D4392+1))</f>
        <v/>
      </c>
      <c r="I4392" t="str">
        <f>IF(E4392="","",INDEX(Knutepunkter!$B:$B,E4392+1))</f>
        <v/>
      </c>
      <c r="J4392" t="str">
        <f>IF(E4392="","",INDEX(Knutepunkter!$C:$C,E4392+1))</f>
        <v/>
      </c>
      <c r="K4392" t="str">
        <f>IF(E4392="","",INDEX(Knutepunkter!$D:$D,E4392+1))</f>
        <v/>
      </c>
      <c r="L4392" t="str">
        <f t="shared" si="343"/>
        <v/>
      </c>
      <c r="M4392" t="str">
        <f t="shared" si="344"/>
        <v/>
      </c>
    </row>
    <row r="4393" spans="1:13" x14ac:dyDescent="0.3">
      <c r="A4393" t="str">
        <f>Segmenter!A4393</f>
        <v/>
      </c>
      <c r="B4393" t="str">
        <f>Segmenter!B4393</f>
        <v/>
      </c>
      <c r="C4393" t="str">
        <f t="shared" si="340"/>
        <v/>
      </c>
      <c r="D4393" t="str">
        <f t="shared" si="341"/>
        <v/>
      </c>
      <c r="E4393" t="str">
        <f t="shared" si="342"/>
        <v/>
      </c>
      <c r="F4393" t="str">
        <f>IF(D4393="","",INDEX(Knutepunkter!$B:$B,D4393+1))</f>
        <v/>
      </c>
      <c r="G4393" t="str">
        <f>IF(D4393="","",INDEX(Knutepunkter!$C:$C,D4393+1))</f>
        <v/>
      </c>
      <c r="H4393" t="str">
        <f>IF(D4393="","",INDEX(Knutepunkter!$D:$D,D4393+1))</f>
        <v/>
      </c>
      <c r="I4393" t="str">
        <f>IF(E4393="","",INDEX(Knutepunkter!$B:$B,E4393+1))</f>
        <v/>
      </c>
      <c r="J4393" t="str">
        <f>IF(E4393="","",INDEX(Knutepunkter!$C:$C,E4393+1))</f>
        <v/>
      </c>
      <c r="K4393" t="str">
        <f>IF(E4393="","",INDEX(Knutepunkter!$D:$D,E4393+1))</f>
        <v/>
      </c>
      <c r="L4393" t="str">
        <f t="shared" si="343"/>
        <v/>
      </c>
      <c r="M4393" t="str">
        <f t="shared" si="344"/>
        <v/>
      </c>
    </row>
    <row r="4394" spans="1:13" x14ac:dyDescent="0.3">
      <c r="A4394" t="str">
        <f>Segmenter!A4394</f>
        <v/>
      </c>
      <c r="B4394" t="str">
        <f>Segmenter!B4394</f>
        <v/>
      </c>
      <c r="C4394" t="str">
        <f t="shared" si="340"/>
        <v/>
      </c>
      <c r="D4394" t="str">
        <f t="shared" si="341"/>
        <v/>
      </c>
      <c r="E4394" t="str">
        <f t="shared" si="342"/>
        <v/>
      </c>
      <c r="F4394" t="str">
        <f>IF(D4394="","",INDEX(Knutepunkter!$B:$B,D4394+1))</f>
        <v/>
      </c>
      <c r="G4394" t="str">
        <f>IF(D4394="","",INDEX(Knutepunkter!$C:$C,D4394+1))</f>
        <v/>
      </c>
      <c r="H4394" t="str">
        <f>IF(D4394="","",INDEX(Knutepunkter!$D:$D,D4394+1))</f>
        <v/>
      </c>
      <c r="I4394" t="str">
        <f>IF(E4394="","",INDEX(Knutepunkter!$B:$B,E4394+1))</f>
        <v/>
      </c>
      <c r="J4394" t="str">
        <f>IF(E4394="","",INDEX(Knutepunkter!$C:$C,E4394+1))</f>
        <v/>
      </c>
      <c r="K4394" t="str">
        <f>IF(E4394="","",INDEX(Knutepunkter!$D:$D,E4394+1))</f>
        <v/>
      </c>
      <c r="L4394" t="str">
        <f t="shared" si="343"/>
        <v/>
      </c>
      <c r="M4394" t="str">
        <f t="shared" si="344"/>
        <v/>
      </c>
    </row>
    <row r="4395" spans="1:13" x14ac:dyDescent="0.3">
      <c r="A4395" t="str">
        <f>Segmenter!A4395</f>
        <v/>
      </c>
      <c r="B4395" t="str">
        <f>Segmenter!B4395</f>
        <v/>
      </c>
      <c r="C4395" t="str">
        <f t="shared" si="340"/>
        <v/>
      </c>
      <c r="D4395" t="str">
        <f t="shared" si="341"/>
        <v/>
      </c>
      <c r="E4395" t="str">
        <f t="shared" si="342"/>
        <v/>
      </c>
      <c r="F4395" t="str">
        <f>IF(D4395="","",INDEX(Knutepunkter!$B:$B,D4395+1))</f>
        <v/>
      </c>
      <c r="G4395" t="str">
        <f>IF(D4395="","",INDEX(Knutepunkter!$C:$C,D4395+1))</f>
        <v/>
      </c>
      <c r="H4395" t="str">
        <f>IF(D4395="","",INDEX(Knutepunkter!$D:$D,D4395+1))</f>
        <v/>
      </c>
      <c r="I4395" t="str">
        <f>IF(E4395="","",INDEX(Knutepunkter!$B:$B,E4395+1))</f>
        <v/>
      </c>
      <c r="J4395" t="str">
        <f>IF(E4395="","",INDEX(Knutepunkter!$C:$C,E4395+1))</f>
        <v/>
      </c>
      <c r="K4395" t="str">
        <f>IF(E4395="","",INDEX(Knutepunkter!$D:$D,E4395+1))</f>
        <v/>
      </c>
      <c r="L4395" t="str">
        <f t="shared" si="343"/>
        <v/>
      </c>
      <c r="M4395" t="str">
        <f t="shared" si="344"/>
        <v/>
      </c>
    </row>
    <row r="4396" spans="1:13" x14ac:dyDescent="0.3">
      <c r="A4396" t="str">
        <f>Segmenter!A4396</f>
        <v/>
      </c>
      <c r="B4396" t="str">
        <f>Segmenter!B4396</f>
        <v/>
      </c>
      <c r="C4396" t="str">
        <f t="shared" si="340"/>
        <v/>
      </c>
      <c r="D4396" t="str">
        <f t="shared" si="341"/>
        <v/>
      </c>
      <c r="E4396" t="str">
        <f t="shared" si="342"/>
        <v/>
      </c>
      <c r="F4396" t="str">
        <f>IF(D4396="","",INDEX(Knutepunkter!$B:$B,D4396+1))</f>
        <v/>
      </c>
      <c r="G4396" t="str">
        <f>IF(D4396="","",INDEX(Knutepunkter!$C:$C,D4396+1))</f>
        <v/>
      </c>
      <c r="H4396" t="str">
        <f>IF(D4396="","",INDEX(Knutepunkter!$D:$D,D4396+1))</f>
        <v/>
      </c>
      <c r="I4396" t="str">
        <f>IF(E4396="","",INDEX(Knutepunkter!$B:$B,E4396+1))</f>
        <v/>
      </c>
      <c r="J4396" t="str">
        <f>IF(E4396="","",INDEX(Knutepunkter!$C:$C,E4396+1))</f>
        <v/>
      </c>
      <c r="K4396" t="str">
        <f>IF(E4396="","",INDEX(Knutepunkter!$D:$D,E4396+1))</f>
        <v/>
      </c>
      <c r="L4396" t="str">
        <f t="shared" si="343"/>
        <v/>
      </c>
      <c r="M4396" t="str">
        <f t="shared" si="344"/>
        <v/>
      </c>
    </row>
    <row r="4397" spans="1:13" x14ac:dyDescent="0.3">
      <c r="A4397" t="str">
        <f>Segmenter!A4397</f>
        <v/>
      </c>
      <c r="B4397" t="str">
        <f>Segmenter!B4397</f>
        <v/>
      </c>
      <c r="C4397" t="str">
        <f t="shared" si="340"/>
        <v/>
      </c>
      <c r="D4397" t="str">
        <f t="shared" si="341"/>
        <v/>
      </c>
      <c r="E4397" t="str">
        <f t="shared" si="342"/>
        <v/>
      </c>
      <c r="F4397" t="str">
        <f>IF(D4397="","",INDEX(Knutepunkter!$B:$B,D4397+1))</f>
        <v/>
      </c>
      <c r="G4397" t="str">
        <f>IF(D4397="","",INDEX(Knutepunkter!$C:$C,D4397+1))</f>
        <v/>
      </c>
      <c r="H4397" t="str">
        <f>IF(D4397="","",INDEX(Knutepunkter!$D:$D,D4397+1))</f>
        <v/>
      </c>
      <c r="I4397" t="str">
        <f>IF(E4397="","",INDEX(Knutepunkter!$B:$B,E4397+1))</f>
        <v/>
      </c>
      <c r="J4397" t="str">
        <f>IF(E4397="","",INDEX(Knutepunkter!$C:$C,E4397+1))</f>
        <v/>
      </c>
      <c r="K4397" t="str">
        <f>IF(E4397="","",INDEX(Knutepunkter!$D:$D,E4397+1))</f>
        <v/>
      </c>
      <c r="L4397" t="str">
        <f t="shared" si="343"/>
        <v/>
      </c>
      <c r="M4397" t="str">
        <f t="shared" si="344"/>
        <v/>
      </c>
    </row>
    <row r="4398" spans="1:13" x14ac:dyDescent="0.3">
      <c r="A4398" t="str">
        <f>Segmenter!A4398</f>
        <v/>
      </c>
      <c r="B4398" t="str">
        <f>Segmenter!B4398</f>
        <v/>
      </c>
      <c r="C4398" t="str">
        <f t="shared" si="340"/>
        <v/>
      </c>
      <c r="D4398" t="str">
        <f t="shared" si="341"/>
        <v/>
      </c>
      <c r="E4398" t="str">
        <f t="shared" si="342"/>
        <v/>
      </c>
      <c r="F4398" t="str">
        <f>IF(D4398="","",INDEX(Knutepunkter!$B:$B,D4398+1))</f>
        <v/>
      </c>
      <c r="G4398" t="str">
        <f>IF(D4398="","",INDEX(Knutepunkter!$C:$C,D4398+1))</f>
        <v/>
      </c>
      <c r="H4398" t="str">
        <f>IF(D4398="","",INDEX(Knutepunkter!$D:$D,D4398+1))</f>
        <v/>
      </c>
      <c r="I4398" t="str">
        <f>IF(E4398="","",INDEX(Knutepunkter!$B:$B,E4398+1))</f>
        <v/>
      </c>
      <c r="J4398" t="str">
        <f>IF(E4398="","",INDEX(Knutepunkter!$C:$C,E4398+1))</f>
        <v/>
      </c>
      <c r="K4398" t="str">
        <f>IF(E4398="","",INDEX(Knutepunkter!$D:$D,E4398+1))</f>
        <v/>
      </c>
      <c r="L4398" t="str">
        <f t="shared" si="343"/>
        <v/>
      </c>
      <c r="M4398" t="str">
        <f t="shared" si="344"/>
        <v/>
      </c>
    </row>
    <row r="4399" spans="1:13" x14ac:dyDescent="0.3">
      <c r="A4399" t="str">
        <f>Segmenter!A4399</f>
        <v/>
      </c>
      <c r="B4399" t="str">
        <f>Segmenter!B4399</f>
        <v/>
      </c>
      <c r="C4399" t="str">
        <f t="shared" si="340"/>
        <v/>
      </c>
      <c r="D4399" t="str">
        <f t="shared" si="341"/>
        <v/>
      </c>
      <c r="E4399" t="str">
        <f t="shared" si="342"/>
        <v/>
      </c>
      <c r="F4399" t="str">
        <f>IF(D4399="","",INDEX(Knutepunkter!$B:$B,D4399+1))</f>
        <v/>
      </c>
      <c r="G4399" t="str">
        <f>IF(D4399="","",INDEX(Knutepunkter!$C:$C,D4399+1))</f>
        <v/>
      </c>
      <c r="H4399" t="str">
        <f>IF(D4399="","",INDEX(Knutepunkter!$D:$D,D4399+1))</f>
        <v/>
      </c>
      <c r="I4399" t="str">
        <f>IF(E4399="","",INDEX(Knutepunkter!$B:$B,E4399+1))</f>
        <v/>
      </c>
      <c r="J4399" t="str">
        <f>IF(E4399="","",INDEX(Knutepunkter!$C:$C,E4399+1))</f>
        <v/>
      </c>
      <c r="K4399" t="str">
        <f>IF(E4399="","",INDEX(Knutepunkter!$D:$D,E4399+1))</f>
        <v/>
      </c>
      <c r="L4399" t="str">
        <f t="shared" si="343"/>
        <v/>
      </c>
      <c r="M4399" t="str">
        <f t="shared" si="344"/>
        <v/>
      </c>
    </row>
    <row r="4400" spans="1:13" x14ac:dyDescent="0.3">
      <c r="A4400" t="str">
        <f>Segmenter!A4400</f>
        <v/>
      </c>
      <c r="B4400" t="str">
        <f>Segmenter!B4400</f>
        <v/>
      </c>
      <c r="C4400" t="str">
        <f t="shared" si="340"/>
        <v/>
      </c>
      <c r="D4400" t="str">
        <f t="shared" si="341"/>
        <v/>
      </c>
      <c r="E4400" t="str">
        <f t="shared" si="342"/>
        <v/>
      </c>
      <c r="F4400" t="str">
        <f>IF(D4400="","",INDEX(Knutepunkter!$B:$B,D4400+1))</f>
        <v/>
      </c>
      <c r="G4400" t="str">
        <f>IF(D4400="","",INDEX(Knutepunkter!$C:$C,D4400+1))</f>
        <v/>
      </c>
      <c r="H4400" t="str">
        <f>IF(D4400="","",INDEX(Knutepunkter!$D:$D,D4400+1))</f>
        <v/>
      </c>
      <c r="I4400" t="str">
        <f>IF(E4400="","",INDEX(Knutepunkter!$B:$B,E4400+1))</f>
        <v/>
      </c>
      <c r="J4400" t="str">
        <f>IF(E4400="","",INDEX(Knutepunkter!$C:$C,E4400+1))</f>
        <v/>
      </c>
      <c r="K4400" t="str">
        <f>IF(E4400="","",INDEX(Knutepunkter!$D:$D,E4400+1))</f>
        <v/>
      </c>
      <c r="L4400" t="str">
        <f t="shared" si="343"/>
        <v/>
      </c>
      <c r="M4400" t="str">
        <f t="shared" si="344"/>
        <v/>
      </c>
    </row>
    <row r="4401" spans="1:13" x14ac:dyDescent="0.3">
      <c r="A4401" t="str">
        <f>Segmenter!A4401</f>
        <v/>
      </c>
      <c r="B4401" t="str">
        <f>Segmenter!B4401</f>
        <v/>
      </c>
      <c r="C4401" t="str">
        <f t="shared" si="340"/>
        <v/>
      </c>
      <c r="D4401" t="str">
        <f t="shared" si="341"/>
        <v/>
      </c>
      <c r="E4401" t="str">
        <f t="shared" si="342"/>
        <v/>
      </c>
      <c r="F4401" t="str">
        <f>IF(D4401="","",INDEX(Knutepunkter!$B:$B,D4401+1))</f>
        <v/>
      </c>
      <c r="G4401" t="str">
        <f>IF(D4401="","",INDEX(Knutepunkter!$C:$C,D4401+1))</f>
        <v/>
      </c>
      <c r="H4401" t="str">
        <f>IF(D4401="","",INDEX(Knutepunkter!$D:$D,D4401+1))</f>
        <v/>
      </c>
      <c r="I4401" t="str">
        <f>IF(E4401="","",INDEX(Knutepunkter!$B:$B,E4401+1))</f>
        <v/>
      </c>
      <c r="J4401" t="str">
        <f>IF(E4401="","",INDEX(Knutepunkter!$C:$C,E4401+1))</f>
        <v/>
      </c>
      <c r="K4401" t="str">
        <f>IF(E4401="","",INDEX(Knutepunkter!$D:$D,E4401+1))</f>
        <v/>
      </c>
      <c r="L4401" t="str">
        <f t="shared" si="343"/>
        <v/>
      </c>
      <c r="M4401" t="str">
        <f t="shared" si="344"/>
        <v/>
      </c>
    </row>
    <row r="4402" spans="1:13" x14ac:dyDescent="0.3">
      <c r="A4402" t="str">
        <f>Segmenter!A4402</f>
        <v/>
      </c>
      <c r="B4402" t="str">
        <f>Segmenter!B4402</f>
        <v/>
      </c>
      <c r="C4402" t="str">
        <f t="shared" si="340"/>
        <v/>
      </c>
      <c r="D4402" t="str">
        <f t="shared" si="341"/>
        <v/>
      </c>
      <c r="E4402" t="str">
        <f t="shared" si="342"/>
        <v/>
      </c>
      <c r="F4402" t="str">
        <f>IF(D4402="","",INDEX(Knutepunkter!$B:$B,D4402+1))</f>
        <v/>
      </c>
      <c r="G4402" t="str">
        <f>IF(D4402="","",INDEX(Knutepunkter!$C:$C,D4402+1))</f>
        <v/>
      </c>
      <c r="H4402" t="str">
        <f>IF(D4402="","",INDEX(Knutepunkter!$D:$D,D4402+1))</f>
        <v/>
      </c>
      <c r="I4402" t="str">
        <f>IF(E4402="","",INDEX(Knutepunkter!$B:$B,E4402+1))</f>
        <v/>
      </c>
      <c r="J4402" t="str">
        <f>IF(E4402="","",INDEX(Knutepunkter!$C:$C,E4402+1))</f>
        <v/>
      </c>
      <c r="K4402" t="str">
        <f>IF(E4402="","",INDEX(Knutepunkter!$D:$D,E4402+1))</f>
        <v/>
      </c>
      <c r="L4402" t="str">
        <f t="shared" si="343"/>
        <v/>
      </c>
      <c r="M4402" t="str">
        <f t="shared" si="344"/>
        <v/>
      </c>
    </row>
    <row r="4403" spans="1:13" x14ac:dyDescent="0.3">
      <c r="A4403" t="str">
        <f>Segmenter!A4403</f>
        <v/>
      </c>
      <c r="B4403" t="str">
        <f>Segmenter!B4403</f>
        <v/>
      </c>
      <c r="C4403" t="str">
        <f t="shared" si="340"/>
        <v/>
      </c>
      <c r="D4403" t="str">
        <f t="shared" si="341"/>
        <v/>
      </c>
      <c r="E4403" t="str">
        <f t="shared" si="342"/>
        <v/>
      </c>
      <c r="F4403" t="str">
        <f>IF(D4403="","",INDEX(Knutepunkter!$B:$B,D4403+1))</f>
        <v/>
      </c>
      <c r="G4403" t="str">
        <f>IF(D4403="","",INDEX(Knutepunkter!$C:$C,D4403+1))</f>
        <v/>
      </c>
      <c r="H4403" t="str">
        <f>IF(D4403="","",INDEX(Knutepunkter!$D:$D,D4403+1))</f>
        <v/>
      </c>
      <c r="I4403" t="str">
        <f>IF(E4403="","",INDEX(Knutepunkter!$B:$B,E4403+1))</f>
        <v/>
      </c>
      <c r="J4403" t="str">
        <f>IF(E4403="","",INDEX(Knutepunkter!$C:$C,E4403+1))</f>
        <v/>
      </c>
      <c r="K4403" t="str">
        <f>IF(E4403="","",INDEX(Knutepunkter!$D:$D,E4403+1))</f>
        <v/>
      </c>
      <c r="L4403" t="str">
        <f t="shared" si="343"/>
        <v/>
      </c>
      <c r="M4403" t="str">
        <f t="shared" si="344"/>
        <v/>
      </c>
    </row>
    <row r="4404" spans="1:13" x14ac:dyDescent="0.3">
      <c r="A4404" t="str">
        <f>Segmenter!A4404</f>
        <v/>
      </c>
      <c r="B4404" t="str">
        <f>Segmenter!B4404</f>
        <v/>
      </c>
      <c r="C4404" t="str">
        <f t="shared" si="340"/>
        <v/>
      </c>
      <c r="D4404" t="str">
        <f t="shared" si="341"/>
        <v/>
      </c>
      <c r="E4404" t="str">
        <f t="shared" si="342"/>
        <v/>
      </c>
      <c r="F4404" t="str">
        <f>IF(D4404="","",INDEX(Knutepunkter!$B:$B,D4404+1))</f>
        <v/>
      </c>
      <c r="G4404" t="str">
        <f>IF(D4404="","",INDEX(Knutepunkter!$C:$C,D4404+1))</f>
        <v/>
      </c>
      <c r="H4404" t="str">
        <f>IF(D4404="","",INDEX(Knutepunkter!$D:$D,D4404+1))</f>
        <v/>
      </c>
      <c r="I4404" t="str">
        <f>IF(E4404="","",INDEX(Knutepunkter!$B:$B,E4404+1))</f>
        <v/>
      </c>
      <c r="J4404" t="str">
        <f>IF(E4404="","",INDEX(Knutepunkter!$C:$C,E4404+1))</f>
        <v/>
      </c>
      <c r="K4404" t="str">
        <f>IF(E4404="","",INDEX(Knutepunkter!$D:$D,E4404+1))</f>
        <v/>
      </c>
      <c r="L4404" t="str">
        <f t="shared" si="343"/>
        <v/>
      </c>
      <c r="M4404" t="str">
        <f t="shared" si="344"/>
        <v/>
      </c>
    </row>
    <row r="4405" spans="1:13" x14ac:dyDescent="0.3">
      <c r="A4405" t="str">
        <f>Segmenter!A4405</f>
        <v/>
      </c>
      <c r="B4405" t="str">
        <f>Segmenter!B4405</f>
        <v/>
      </c>
      <c r="C4405" t="str">
        <f t="shared" si="340"/>
        <v/>
      </c>
      <c r="D4405" t="str">
        <f t="shared" si="341"/>
        <v/>
      </c>
      <c r="E4405" t="str">
        <f t="shared" si="342"/>
        <v/>
      </c>
      <c r="F4405" t="str">
        <f>IF(D4405="","",INDEX(Knutepunkter!$B:$B,D4405+1))</f>
        <v/>
      </c>
      <c r="G4405" t="str">
        <f>IF(D4405="","",INDEX(Knutepunkter!$C:$C,D4405+1))</f>
        <v/>
      </c>
      <c r="H4405" t="str">
        <f>IF(D4405="","",INDEX(Knutepunkter!$D:$D,D4405+1))</f>
        <v/>
      </c>
      <c r="I4405" t="str">
        <f>IF(E4405="","",INDEX(Knutepunkter!$B:$B,E4405+1))</f>
        <v/>
      </c>
      <c r="J4405" t="str">
        <f>IF(E4405="","",INDEX(Knutepunkter!$C:$C,E4405+1))</f>
        <v/>
      </c>
      <c r="K4405" t="str">
        <f>IF(E4405="","",INDEX(Knutepunkter!$D:$D,E4405+1))</f>
        <v/>
      </c>
      <c r="L4405" t="str">
        <f t="shared" si="343"/>
        <v/>
      </c>
      <c r="M4405" t="str">
        <f t="shared" si="344"/>
        <v/>
      </c>
    </row>
    <row r="4406" spans="1:13" x14ac:dyDescent="0.3">
      <c r="A4406" t="str">
        <f>Segmenter!A4406</f>
        <v/>
      </c>
      <c r="B4406" t="str">
        <f>Segmenter!B4406</f>
        <v/>
      </c>
      <c r="C4406" t="str">
        <f t="shared" si="340"/>
        <v/>
      </c>
      <c r="D4406" t="str">
        <f t="shared" si="341"/>
        <v/>
      </c>
      <c r="E4406" t="str">
        <f t="shared" si="342"/>
        <v/>
      </c>
      <c r="F4406" t="str">
        <f>IF(D4406="","",INDEX(Knutepunkter!$B:$B,D4406+1))</f>
        <v/>
      </c>
      <c r="G4406" t="str">
        <f>IF(D4406="","",INDEX(Knutepunkter!$C:$C,D4406+1))</f>
        <v/>
      </c>
      <c r="H4406" t="str">
        <f>IF(D4406="","",INDEX(Knutepunkter!$D:$D,D4406+1))</f>
        <v/>
      </c>
      <c r="I4406" t="str">
        <f>IF(E4406="","",INDEX(Knutepunkter!$B:$B,E4406+1))</f>
        <v/>
      </c>
      <c r="J4406" t="str">
        <f>IF(E4406="","",INDEX(Knutepunkter!$C:$C,E4406+1))</f>
        <v/>
      </c>
      <c r="K4406" t="str">
        <f>IF(E4406="","",INDEX(Knutepunkter!$D:$D,E4406+1))</f>
        <v/>
      </c>
      <c r="L4406" t="str">
        <f t="shared" si="343"/>
        <v/>
      </c>
      <c r="M4406" t="str">
        <f t="shared" si="344"/>
        <v/>
      </c>
    </row>
    <row r="4407" spans="1:13" x14ac:dyDescent="0.3">
      <c r="A4407" t="str">
        <f>Segmenter!A4407</f>
        <v/>
      </c>
      <c r="B4407" t="str">
        <f>Segmenter!B4407</f>
        <v/>
      </c>
      <c r="C4407" t="str">
        <f t="shared" si="340"/>
        <v/>
      </c>
      <c r="D4407" t="str">
        <f t="shared" si="341"/>
        <v/>
      </c>
      <c r="E4407" t="str">
        <f t="shared" si="342"/>
        <v/>
      </c>
      <c r="F4407" t="str">
        <f>IF(D4407="","",INDEX(Knutepunkter!$B:$B,D4407+1))</f>
        <v/>
      </c>
      <c r="G4407" t="str">
        <f>IF(D4407="","",INDEX(Knutepunkter!$C:$C,D4407+1))</f>
        <v/>
      </c>
      <c r="H4407" t="str">
        <f>IF(D4407="","",INDEX(Knutepunkter!$D:$D,D4407+1))</f>
        <v/>
      </c>
      <c r="I4407" t="str">
        <f>IF(E4407="","",INDEX(Knutepunkter!$B:$B,E4407+1))</f>
        <v/>
      </c>
      <c r="J4407" t="str">
        <f>IF(E4407="","",INDEX(Knutepunkter!$C:$C,E4407+1))</f>
        <v/>
      </c>
      <c r="K4407" t="str">
        <f>IF(E4407="","",INDEX(Knutepunkter!$D:$D,E4407+1))</f>
        <v/>
      </c>
      <c r="L4407" t="str">
        <f t="shared" si="343"/>
        <v/>
      </c>
      <c r="M4407" t="str">
        <f t="shared" si="344"/>
        <v/>
      </c>
    </row>
    <row r="4408" spans="1:13" x14ac:dyDescent="0.3">
      <c r="A4408" t="str">
        <f>Segmenter!A4408</f>
        <v/>
      </c>
      <c r="B4408" t="str">
        <f>Segmenter!B4408</f>
        <v/>
      </c>
      <c r="C4408" t="str">
        <f t="shared" si="340"/>
        <v/>
      </c>
      <c r="D4408" t="str">
        <f t="shared" si="341"/>
        <v/>
      </c>
      <c r="E4408" t="str">
        <f t="shared" si="342"/>
        <v/>
      </c>
      <c r="F4408" t="str">
        <f>IF(D4408="","",INDEX(Knutepunkter!$B:$B,D4408+1))</f>
        <v/>
      </c>
      <c r="G4408" t="str">
        <f>IF(D4408="","",INDEX(Knutepunkter!$C:$C,D4408+1))</f>
        <v/>
      </c>
      <c r="H4408" t="str">
        <f>IF(D4408="","",INDEX(Knutepunkter!$D:$D,D4408+1))</f>
        <v/>
      </c>
      <c r="I4408" t="str">
        <f>IF(E4408="","",INDEX(Knutepunkter!$B:$B,E4408+1))</f>
        <v/>
      </c>
      <c r="J4408" t="str">
        <f>IF(E4408="","",INDEX(Knutepunkter!$C:$C,E4408+1))</f>
        <v/>
      </c>
      <c r="K4408" t="str">
        <f>IF(E4408="","",INDEX(Knutepunkter!$D:$D,E4408+1))</f>
        <v/>
      </c>
      <c r="L4408" t="str">
        <f t="shared" si="343"/>
        <v/>
      </c>
      <c r="M4408" t="str">
        <f t="shared" si="344"/>
        <v/>
      </c>
    </row>
    <row r="4409" spans="1:13" x14ac:dyDescent="0.3">
      <c r="A4409" t="str">
        <f>Segmenter!A4409</f>
        <v/>
      </c>
      <c r="B4409" t="str">
        <f>Segmenter!B4409</f>
        <v/>
      </c>
      <c r="C4409" t="str">
        <f t="shared" si="340"/>
        <v/>
      </c>
      <c r="D4409" t="str">
        <f t="shared" si="341"/>
        <v/>
      </c>
      <c r="E4409" t="str">
        <f t="shared" si="342"/>
        <v/>
      </c>
      <c r="F4409" t="str">
        <f>IF(D4409="","",INDEX(Knutepunkter!$B:$B,D4409+1))</f>
        <v/>
      </c>
      <c r="G4409" t="str">
        <f>IF(D4409="","",INDEX(Knutepunkter!$C:$C,D4409+1))</f>
        <v/>
      </c>
      <c r="H4409" t="str">
        <f>IF(D4409="","",INDEX(Knutepunkter!$D:$D,D4409+1))</f>
        <v/>
      </c>
      <c r="I4409" t="str">
        <f>IF(E4409="","",INDEX(Knutepunkter!$B:$B,E4409+1))</f>
        <v/>
      </c>
      <c r="J4409" t="str">
        <f>IF(E4409="","",INDEX(Knutepunkter!$C:$C,E4409+1))</f>
        <v/>
      </c>
      <c r="K4409" t="str">
        <f>IF(E4409="","",INDEX(Knutepunkter!$D:$D,E4409+1))</f>
        <v/>
      </c>
      <c r="L4409" t="str">
        <f t="shared" si="343"/>
        <v/>
      </c>
      <c r="M4409" t="str">
        <f t="shared" si="344"/>
        <v/>
      </c>
    </row>
    <row r="4410" spans="1:13" x14ac:dyDescent="0.3">
      <c r="A4410" t="str">
        <f>Segmenter!A4410</f>
        <v/>
      </c>
      <c r="B4410" t="str">
        <f>Segmenter!B4410</f>
        <v/>
      </c>
      <c r="C4410" t="str">
        <f t="shared" si="340"/>
        <v/>
      </c>
      <c r="D4410" t="str">
        <f t="shared" si="341"/>
        <v/>
      </c>
      <c r="E4410" t="str">
        <f t="shared" si="342"/>
        <v/>
      </c>
      <c r="F4410" t="str">
        <f>IF(D4410="","",INDEX(Knutepunkter!$B:$B,D4410+1))</f>
        <v/>
      </c>
      <c r="G4410" t="str">
        <f>IF(D4410="","",INDEX(Knutepunkter!$C:$C,D4410+1))</f>
        <v/>
      </c>
      <c r="H4410" t="str">
        <f>IF(D4410="","",INDEX(Knutepunkter!$D:$D,D4410+1))</f>
        <v/>
      </c>
      <c r="I4410" t="str">
        <f>IF(E4410="","",INDEX(Knutepunkter!$B:$B,E4410+1))</f>
        <v/>
      </c>
      <c r="J4410" t="str">
        <f>IF(E4410="","",INDEX(Knutepunkter!$C:$C,E4410+1))</f>
        <v/>
      </c>
      <c r="K4410" t="str">
        <f>IF(E4410="","",INDEX(Knutepunkter!$D:$D,E4410+1))</f>
        <v/>
      </c>
      <c r="L4410" t="str">
        <f t="shared" si="343"/>
        <v/>
      </c>
      <c r="M4410" t="str">
        <f t="shared" si="344"/>
        <v/>
      </c>
    </row>
    <row r="4411" spans="1:13" x14ac:dyDescent="0.3">
      <c r="A4411" t="str">
        <f>Segmenter!A4411</f>
        <v/>
      </c>
      <c r="B4411" t="str">
        <f>Segmenter!B4411</f>
        <v/>
      </c>
      <c r="C4411" t="str">
        <f t="shared" si="340"/>
        <v/>
      </c>
      <c r="D4411" t="str">
        <f t="shared" si="341"/>
        <v/>
      </c>
      <c r="E4411" t="str">
        <f t="shared" si="342"/>
        <v/>
      </c>
      <c r="F4411" t="str">
        <f>IF(D4411="","",INDEX(Knutepunkter!$B:$B,D4411+1))</f>
        <v/>
      </c>
      <c r="G4411" t="str">
        <f>IF(D4411="","",INDEX(Knutepunkter!$C:$C,D4411+1))</f>
        <v/>
      </c>
      <c r="H4411" t="str">
        <f>IF(D4411="","",INDEX(Knutepunkter!$D:$D,D4411+1))</f>
        <v/>
      </c>
      <c r="I4411" t="str">
        <f>IF(E4411="","",INDEX(Knutepunkter!$B:$B,E4411+1))</f>
        <v/>
      </c>
      <c r="J4411" t="str">
        <f>IF(E4411="","",INDEX(Knutepunkter!$C:$C,E4411+1))</f>
        <v/>
      </c>
      <c r="K4411" t="str">
        <f>IF(E4411="","",INDEX(Knutepunkter!$D:$D,E4411+1))</f>
        <v/>
      </c>
      <c r="L4411" t="str">
        <f t="shared" si="343"/>
        <v/>
      </c>
      <c r="M4411" t="str">
        <f t="shared" si="344"/>
        <v/>
      </c>
    </row>
    <row r="4412" spans="1:13" x14ac:dyDescent="0.3">
      <c r="A4412" t="str">
        <f>Segmenter!A4412</f>
        <v/>
      </c>
      <c r="B4412" t="str">
        <f>Segmenter!B4412</f>
        <v/>
      </c>
      <c r="C4412" t="str">
        <f t="shared" si="340"/>
        <v/>
      </c>
      <c r="D4412" t="str">
        <f t="shared" si="341"/>
        <v/>
      </c>
      <c r="E4412" t="str">
        <f t="shared" si="342"/>
        <v/>
      </c>
      <c r="F4412" t="str">
        <f>IF(D4412="","",INDEX(Knutepunkter!$B:$B,D4412+1))</f>
        <v/>
      </c>
      <c r="G4412" t="str">
        <f>IF(D4412="","",INDEX(Knutepunkter!$C:$C,D4412+1))</f>
        <v/>
      </c>
      <c r="H4412" t="str">
        <f>IF(D4412="","",INDEX(Knutepunkter!$D:$D,D4412+1))</f>
        <v/>
      </c>
      <c r="I4412" t="str">
        <f>IF(E4412="","",INDEX(Knutepunkter!$B:$B,E4412+1))</f>
        <v/>
      </c>
      <c r="J4412" t="str">
        <f>IF(E4412="","",INDEX(Knutepunkter!$C:$C,E4412+1))</f>
        <v/>
      </c>
      <c r="K4412" t="str">
        <f>IF(E4412="","",INDEX(Knutepunkter!$D:$D,E4412+1))</f>
        <v/>
      </c>
      <c r="L4412" t="str">
        <f t="shared" si="343"/>
        <v/>
      </c>
      <c r="M4412" t="str">
        <f t="shared" si="344"/>
        <v/>
      </c>
    </row>
    <row r="4413" spans="1:13" x14ac:dyDescent="0.3">
      <c r="A4413" t="str">
        <f>Segmenter!A4413</f>
        <v/>
      </c>
      <c r="B4413" t="str">
        <f>Segmenter!B4413</f>
        <v/>
      </c>
      <c r="C4413" t="str">
        <f t="shared" si="340"/>
        <v/>
      </c>
      <c r="D4413" t="str">
        <f t="shared" si="341"/>
        <v/>
      </c>
      <c r="E4413" t="str">
        <f t="shared" si="342"/>
        <v/>
      </c>
      <c r="F4413" t="str">
        <f>IF(D4413="","",INDEX(Knutepunkter!$B:$B,D4413+1))</f>
        <v/>
      </c>
      <c r="G4413" t="str">
        <f>IF(D4413="","",INDEX(Knutepunkter!$C:$C,D4413+1))</f>
        <v/>
      </c>
      <c r="H4413" t="str">
        <f>IF(D4413="","",INDEX(Knutepunkter!$D:$D,D4413+1))</f>
        <v/>
      </c>
      <c r="I4413" t="str">
        <f>IF(E4413="","",INDEX(Knutepunkter!$B:$B,E4413+1))</f>
        <v/>
      </c>
      <c r="J4413" t="str">
        <f>IF(E4413="","",INDEX(Knutepunkter!$C:$C,E4413+1))</f>
        <v/>
      </c>
      <c r="K4413" t="str">
        <f>IF(E4413="","",INDEX(Knutepunkter!$D:$D,E4413+1))</f>
        <v/>
      </c>
      <c r="L4413" t="str">
        <f t="shared" si="343"/>
        <v/>
      </c>
      <c r="M4413" t="str">
        <f t="shared" si="344"/>
        <v/>
      </c>
    </row>
    <row r="4414" spans="1:13" x14ac:dyDescent="0.3">
      <c r="A4414" t="str">
        <f>Segmenter!A4414</f>
        <v/>
      </c>
      <c r="B4414" t="str">
        <f>Segmenter!B4414</f>
        <v/>
      </c>
      <c r="C4414" t="str">
        <f t="shared" si="340"/>
        <v/>
      </c>
      <c r="D4414" t="str">
        <f t="shared" si="341"/>
        <v/>
      </c>
      <c r="E4414" t="str">
        <f t="shared" si="342"/>
        <v/>
      </c>
      <c r="F4414" t="str">
        <f>IF(D4414="","",INDEX(Knutepunkter!$B:$B,D4414+1))</f>
        <v/>
      </c>
      <c r="G4414" t="str">
        <f>IF(D4414="","",INDEX(Knutepunkter!$C:$C,D4414+1))</f>
        <v/>
      </c>
      <c r="H4414" t="str">
        <f>IF(D4414="","",INDEX(Knutepunkter!$D:$D,D4414+1))</f>
        <v/>
      </c>
      <c r="I4414" t="str">
        <f>IF(E4414="","",INDEX(Knutepunkter!$B:$B,E4414+1))</f>
        <v/>
      </c>
      <c r="J4414" t="str">
        <f>IF(E4414="","",INDEX(Knutepunkter!$C:$C,E4414+1))</f>
        <v/>
      </c>
      <c r="K4414" t="str">
        <f>IF(E4414="","",INDEX(Knutepunkter!$D:$D,E4414+1))</f>
        <v/>
      </c>
      <c r="L4414" t="str">
        <f t="shared" si="343"/>
        <v/>
      </c>
      <c r="M4414" t="str">
        <f t="shared" si="344"/>
        <v/>
      </c>
    </row>
    <row r="4415" spans="1:13" x14ac:dyDescent="0.3">
      <c r="A4415" t="str">
        <f>Segmenter!A4415</f>
        <v/>
      </c>
      <c r="B4415" t="str">
        <f>Segmenter!B4415</f>
        <v/>
      </c>
      <c r="C4415" t="str">
        <f t="shared" si="340"/>
        <v/>
      </c>
      <c r="D4415" t="str">
        <f t="shared" si="341"/>
        <v/>
      </c>
      <c r="E4415" t="str">
        <f t="shared" si="342"/>
        <v/>
      </c>
      <c r="F4415" t="str">
        <f>IF(D4415="","",INDEX(Knutepunkter!$B:$B,D4415+1))</f>
        <v/>
      </c>
      <c r="G4415" t="str">
        <f>IF(D4415="","",INDEX(Knutepunkter!$C:$C,D4415+1))</f>
        <v/>
      </c>
      <c r="H4415" t="str">
        <f>IF(D4415="","",INDEX(Knutepunkter!$D:$D,D4415+1))</f>
        <v/>
      </c>
      <c r="I4415" t="str">
        <f>IF(E4415="","",INDEX(Knutepunkter!$B:$B,E4415+1))</f>
        <v/>
      </c>
      <c r="J4415" t="str">
        <f>IF(E4415="","",INDEX(Knutepunkter!$C:$C,E4415+1))</f>
        <v/>
      </c>
      <c r="K4415" t="str">
        <f>IF(E4415="","",INDEX(Knutepunkter!$D:$D,E4415+1))</f>
        <v/>
      </c>
      <c r="L4415" t="str">
        <f t="shared" si="343"/>
        <v/>
      </c>
      <c r="M4415" t="str">
        <f t="shared" si="344"/>
        <v/>
      </c>
    </row>
    <row r="4416" spans="1:13" x14ac:dyDescent="0.3">
      <c r="A4416" t="str">
        <f>Segmenter!A4416</f>
        <v/>
      </c>
      <c r="B4416" t="str">
        <f>Segmenter!B4416</f>
        <v/>
      </c>
      <c r="C4416" t="str">
        <f t="shared" si="340"/>
        <v/>
      </c>
      <c r="D4416" t="str">
        <f t="shared" si="341"/>
        <v/>
      </c>
      <c r="E4416" t="str">
        <f t="shared" si="342"/>
        <v/>
      </c>
      <c r="F4416" t="str">
        <f>IF(D4416="","",INDEX(Knutepunkter!$B:$B,D4416+1))</f>
        <v/>
      </c>
      <c r="G4416" t="str">
        <f>IF(D4416="","",INDEX(Knutepunkter!$C:$C,D4416+1))</f>
        <v/>
      </c>
      <c r="H4416" t="str">
        <f>IF(D4416="","",INDEX(Knutepunkter!$D:$D,D4416+1))</f>
        <v/>
      </c>
      <c r="I4416" t="str">
        <f>IF(E4416="","",INDEX(Knutepunkter!$B:$B,E4416+1))</f>
        <v/>
      </c>
      <c r="J4416" t="str">
        <f>IF(E4416="","",INDEX(Knutepunkter!$C:$C,E4416+1))</f>
        <v/>
      </c>
      <c r="K4416" t="str">
        <f>IF(E4416="","",INDEX(Knutepunkter!$D:$D,E4416+1))</f>
        <v/>
      </c>
      <c r="L4416" t="str">
        <f t="shared" si="343"/>
        <v/>
      </c>
      <c r="M4416" t="str">
        <f t="shared" si="344"/>
        <v/>
      </c>
    </row>
    <row r="4417" spans="1:13" x14ac:dyDescent="0.3">
      <c r="A4417" t="str">
        <f>Segmenter!A4417</f>
        <v/>
      </c>
      <c r="B4417" t="str">
        <f>Segmenter!B4417</f>
        <v/>
      </c>
      <c r="C4417" t="str">
        <f t="shared" si="340"/>
        <v/>
      </c>
      <c r="D4417" t="str">
        <f t="shared" si="341"/>
        <v/>
      </c>
      <c r="E4417" t="str">
        <f t="shared" si="342"/>
        <v/>
      </c>
      <c r="F4417" t="str">
        <f>IF(D4417="","",INDEX(Knutepunkter!$B:$B,D4417+1))</f>
        <v/>
      </c>
      <c r="G4417" t="str">
        <f>IF(D4417="","",INDEX(Knutepunkter!$C:$C,D4417+1))</f>
        <v/>
      </c>
      <c r="H4417" t="str">
        <f>IF(D4417="","",INDEX(Knutepunkter!$D:$D,D4417+1))</f>
        <v/>
      </c>
      <c r="I4417" t="str">
        <f>IF(E4417="","",INDEX(Knutepunkter!$B:$B,E4417+1))</f>
        <v/>
      </c>
      <c r="J4417" t="str">
        <f>IF(E4417="","",INDEX(Knutepunkter!$C:$C,E4417+1))</f>
        <v/>
      </c>
      <c r="K4417" t="str">
        <f>IF(E4417="","",INDEX(Knutepunkter!$D:$D,E4417+1))</f>
        <v/>
      </c>
      <c r="L4417" t="str">
        <f t="shared" si="343"/>
        <v/>
      </c>
      <c r="M4417" t="str">
        <f t="shared" si="344"/>
        <v/>
      </c>
    </row>
    <row r="4418" spans="1:13" x14ac:dyDescent="0.3">
      <c r="A4418" t="str">
        <f>Segmenter!A4418</f>
        <v/>
      </c>
      <c r="B4418" t="str">
        <f>Segmenter!B4418</f>
        <v/>
      </c>
      <c r="C4418" t="str">
        <f t="shared" ref="C4418:C4481" si="345">IF(B4418="","",IF(AND(F4418=I4418,G4418=J4418,H4418&lt;&gt;K4418),"Søyle","Bjelke"))</f>
        <v/>
      </c>
      <c r="D4418" t="str">
        <f t="shared" ref="D4418:D4481" si="346">IF(B4418="","",VALUE(LEFT(B4418,FIND(" -&gt; ",B4418)-1)))</f>
        <v/>
      </c>
      <c r="E4418" t="str">
        <f t="shared" ref="E4418:E4481" si="347">IF(B4418="","",VALUE(MID(B4418,FIND(" -&gt; ",B4418)+4,99)))</f>
        <v/>
      </c>
      <c r="F4418" t="str">
        <f>IF(D4418="","",INDEX(Knutepunkter!$B:$B,D4418+1))</f>
        <v/>
      </c>
      <c r="G4418" t="str">
        <f>IF(D4418="","",INDEX(Knutepunkter!$C:$C,D4418+1))</f>
        <v/>
      </c>
      <c r="H4418" t="str">
        <f>IF(D4418="","",INDEX(Knutepunkter!$D:$D,D4418+1))</f>
        <v/>
      </c>
      <c r="I4418" t="str">
        <f>IF(E4418="","",INDEX(Knutepunkter!$B:$B,E4418+1))</f>
        <v/>
      </c>
      <c r="J4418" t="str">
        <f>IF(E4418="","",INDEX(Knutepunkter!$C:$C,E4418+1))</f>
        <v/>
      </c>
      <c r="K4418" t="str">
        <f>IF(E4418="","",INDEX(Knutepunkter!$D:$D,E4418+1))</f>
        <v/>
      </c>
      <c r="L4418" t="str">
        <f t="shared" ref="L4418:L4481" si="348">IF(B4418="","",SQRT((I4418-F4418)^2+(J4418-G4418)^2+(K4418-H4418)^2))</f>
        <v/>
      </c>
      <c r="M4418" t="str">
        <f t="shared" ref="M4418:M4481" si="349">IF(L4418="","",L4418/1000)</f>
        <v/>
      </c>
    </row>
    <row r="4419" spans="1:13" x14ac:dyDescent="0.3">
      <c r="A4419" t="str">
        <f>Segmenter!A4419</f>
        <v/>
      </c>
      <c r="B4419" t="str">
        <f>Segmenter!B4419</f>
        <v/>
      </c>
      <c r="C4419" t="str">
        <f t="shared" si="345"/>
        <v/>
      </c>
      <c r="D4419" t="str">
        <f t="shared" si="346"/>
        <v/>
      </c>
      <c r="E4419" t="str">
        <f t="shared" si="347"/>
        <v/>
      </c>
      <c r="F4419" t="str">
        <f>IF(D4419="","",INDEX(Knutepunkter!$B:$B,D4419+1))</f>
        <v/>
      </c>
      <c r="G4419" t="str">
        <f>IF(D4419="","",INDEX(Knutepunkter!$C:$C,D4419+1))</f>
        <v/>
      </c>
      <c r="H4419" t="str">
        <f>IF(D4419="","",INDEX(Knutepunkter!$D:$D,D4419+1))</f>
        <v/>
      </c>
      <c r="I4419" t="str">
        <f>IF(E4419="","",INDEX(Knutepunkter!$B:$B,E4419+1))</f>
        <v/>
      </c>
      <c r="J4419" t="str">
        <f>IF(E4419="","",INDEX(Knutepunkter!$C:$C,E4419+1))</f>
        <v/>
      </c>
      <c r="K4419" t="str">
        <f>IF(E4419="","",INDEX(Knutepunkter!$D:$D,E4419+1))</f>
        <v/>
      </c>
      <c r="L4419" t="str">
        <f t="shared" si="348"/>
        <v/>
      </c>
      <c r="M4419" t="str">
        <f t="shared" si="349"/>
        <v/>
      </c>
    </row>
    <row r="4420" spans="1:13" x14ac:dyDescent="0.3">
      <c r="A4420" t="str">
        <f>Segmenter!A4420</f>
        <v/>
      </c>
      <c r="B4420" t="str">
        <f>Segmenter!B4420</f>
        <v/>
      </c>
      <c r="C4420" t="str">
        <f t="shared" si="345"/>
        <v/>
      </c>
      <c r="D4420" t="str">
        <f t="shared" si="346"/>
        <v/>
      </c>
      <c r="E4420" t="str">
        <f t="shared" si="347"/>
        <v/>
      </c>
      <c r="F4420" t="str">
        <f>IF(D4420="","",INDEX(Knutepunkter!$B:$B,D4420+1))</f>
        <v/>
      </c>
      <c r="G4420" t="str">
        <f>IF(D4420="","",INDEX(Knutepunkter!$C:$C,D4420+1))</f>
        <v/>
      </c>
      <c r="H4420" t="str">
        <f>IF(D4420="","",INDEX(Knutepunkter!$D:$D,D4420+1))</f>
        <v/>
      </c>
      <c r="I4420" t="str">
        <f>IF(E4420="","",INDEX(Knutepunkter!$B:$B,E4420+1))</f>
        <v/>
      </c>
      <c r="J4420" t="str">
        <f>IF(E4420="","",INDEX(Knutepunkter!$C:$C,E4420+1))</f>
        <v/>
      </c>
      <c r="K4420" t="str">
        <f>IF(E4420="","",INDEX(Knutepunkter!$D:$D,E4420+1))</f>
        <v/>
      </c>
      <c r="L4420" t="str">
        <f t="shared" si="348"/>
        <v/>
      </c>
      <c r="M4420" t="str">
        <f t="shared" si="349"/>
        <v/>
      </c>
    </row>
    <row r="4421" spans="1:13" x14ac:dyDescent="0.3">
      <c r="A4421" t="str">
        <f>Segmenter!A4421</f>
        <v/>
      </c>
      <c r="B4421" t="str">
        <f>Segmenter!B4421</f>
        <v/>
      </c>
      <c r="C4421" t="str">
        <f t="shared" si="345"/>
        <v/>
      </c>
      <c r="D4421" t="str">
        <f t="shared" si="346"/>
        <v/>
      </c>
      <c r="E4421" t="str">
        <f t="shared" si="347"/>
        <v/>
      </c>
      <c r="F4421" t="str">
        <f>IF(D4421="","",INDEX(Knutepunkter!$B:$B,D4421+1))</f>
        <v/>
      </c>
      <c r="G4421" t="str">
        <f>IF(D4421="","",INDEX(Knutepunkter!$C:$C,D4421+1))</f>
        <v/>
      </c>
      <c r="H4421" t="str">
        <f>IF(D4421="","",INDEX(Knutepunkter!$D:$D,D4421+1))</f>
        <v/>
      </c>
      <c r="I4421" t="str">
        <f>IF(E4421="","",INDEX(Knutepunkter!$B:$B,E4421+1))</f>
        <v/>
      </c>
      <c r="J4421" t="str">
        <f>IF(E4421="","",INDEX(Knutepunkter!$C:$C,E4421+1))</f>
        <v/>
      </c>
      <c r="K4421" t="str">
        <f>IF(E4421="","",INDEX(Knutepunkter!$D:$D,E4421+1))</f>
        <v/>
      </c>
      <c r="L4421" t="str">
        <f t="shared" si="348"/>
        <v/>
      </c>
      <c r="M4421" t="str">
        <f t="shared" si="349"/>
        <v/>
      </c>
    </row>
    <row r="4422" spans="1:13" x14ac:dyDescent="0.3">
      <c r="A4422" t="str">
        <f>Segmenter!A4422</f>
        <v/>
      </c>
      <c r="B4422" t="str">
        <f>Segmenter!B4422</f>
        <v/>
      </c>
      <c r="C4422" t="str">
        <f t="shared" si="345"/>
        <v/>
      </c>
      <c r="D4422" t="str">
        <f t="shared" si="346"/>
        <v/>
      </c>
      <c r="E4422" t="str">
        <f t="shared" si="347"/>
        <v/>
      </c>
      <c r="F4422" t="str">
        <f>IF(D4422="","",INDEX(Knutepunkter!$B:$B,D4422+1))</f>
        <v/>
      </c>
      <c r="G4422" t="str">
        <f>IF(D4422="","",INDEX(Knutepunkter!$C:$C,D4422+1))</f>
        <v/>
      </c>
      <c r="H4422" t="str">
        <f>IF(D4422="","",INDEX(Knutepunkter!$D:$D,D4422+1))</f>
        <v/>
      </c>
      <c r="I4422" t="str">
        <f>IF(E4422="","",INDEX(Knutepunkter!$B:$B,E4422+1))</f>
        <v/>
      </c>
      <c r="J4422" t="str">
        <f>IF(E4422="","",INDEX(Knutepunkter!$C:$C,E4422+1))</f>
        <v/>
      </c>
      <c r="K4422" t="str">
        <f>IF(E4422="","",INDEX(Knutepunkter!$D:$D,E4422+1))</f>
        <v/>
      </c>
      <c r="L4422" t="str">
        <f t="shared" si="348"/>
        <v/>
      </c>
      <c r="M4422" t="str">
        <f t="shared" si="349"/>
        <v/>
      </c>
    </row>
    <row r="4423" spans="1:13" x14ac:dyDescent="0.3">
      <c r="A4423" t="str">
        <f>Segmenter!A4423</f>
        <v/>
      </c>
      <c r="B4423" t="str">
        <f>Segmenter!B4423</f>
        <v/>
      </c>
      <c r="C4423" t="str">
        <f t="shared" si="345"/>
        <v/>
      </c>
      <c r="D4423" t="str">
        <f t="shared" si="346"/>
        <v/>
      </c>
      <c r="E4423" t="str">
        <f t="shared" si="347"/>
        <v/>
      </c>
      <c r="F4423" t="str">
        <f>IF(D4423="","",INDEX(Knutepunkter!$B:$B,D4423+1))</f>
        <v/>
      </c>
      <c r="G4423" t="str">
        <f>IF(D4423="","",INDEX(Knutepunkter!$C:$C,D4423+1))</f>
        <v/>
      </c>
      <c r="H4423" t="str">
        <f>IF(D4423="","",INDEX(Knutepunkter!$D:$D,D4423+1))</f>
        <v/>
      </c>
      <c r="I4423" t="str">
        <f>IF(E4423="","",INDEX(Knutepunkter!$B:$B,E4423+1))</f>
        <v/>
      </c>
      <c r="J4423" t="str">
        <f>IF(E4423="","",INDEX(Knutepunkter!$C:$C,E4423+1))</f>
        <v/>
      </c>
      <c r="K4423" t="str">
        <f>IF(E4423="","",INDEX(Knutepunkter!$D:$D,E4423+1))</f>
        <v/>
      </c>
      <c r="L4423" t="str">
        <f t="shared" si="348"/>
        <v/>
      </c>
      <c r="M4423" t="str">
        <f t="shared" si="349"/>
        <v/>
      </c>
    </row>
    <row r="4424" spans="1:13" x14ac:dyDescent="0.3">
      <c r="A4424" t="str">
        <f>Segmenter!A4424</f>
        <v/>
      </c>
      <c r="B4424" t="str">
        <f>Segmenter!B4424</f>
        <v/>
      </c>
      <c r="C4424" t="str">
        <f t="shared" si="345"/>
        <v/>
      </c>
      <c r="D4424" t="str">
        <f t="shared" si="346"/>
        <v/>
      </c>
      <c r="E4424" t="str">
        <f t="shared" si="347"/>
        <v/>
      </c>
      <c r="F4424" t="str">
        <f>IF(D4424="","",INDEX(Knutepunkter!$B:$B,D4424+1))</f>
        <v/>
      </c>
      <c r="G4424" t="str">
        <f>IF(D4424="","",INDEX(Knutepunkter!$C:$C,D4424+1))</f>
        <v/>
      </c>
      <c r="H4424" t="str">
        <f>IF(D4424="","",INDEX(Knutepunkter!$D:$D,D4424+1))</f>
        <v/>
      </c>
      <c r="I4424" t="str">
        <f>IF(E4424="","",INDEX(Knutepunkter!$B:$B,E4424+1))</f>
        <v/>
      </c>
      <c r="J4424" t="str">
        <f>IF(E4424="","",INDEX(Knutepunkter!$C:$C,E4424+1))</f>
        <v/>
      </c>
      <c r="K4424" t="str">
        <f>IF(E4424="","",INDEX(Knutepunkter!$D:$D,E4424+1))</f>
        <v/>
      </c>
      <c r="L4424" t="str">
        <f t="shared" si="348"/>
        <v/>
      </c>
      <c r="M4424" t="str">
        <f t="shared" si="349"/>
        <v/>
      </c>
    </row>
    <row r="4425" spans="1:13" x14ac:dyDescent="0.3">
      <c r="A4425" t="str">
        <f>Segmenter!A4425</f>
        <v/>
      </c>
      <c r="B4425" t="str">
        <f>Segmenter!B4425</f>
        <v/>
      </c>
      <c r="C4425" t="str">
        <f t="shared" si="345"/>
        <v/>
      </c>
      <c r="D4425" t="str">
        <f t="shared" si="346"/>
        <v/>
      </c>
      <c r="E4425" t="str">
        <f t="shared" si="347"/>
        <v/>
      </c>
      <c r="F4425" t="str">
        <f>IF(D4425="","",INDEX(Knutepunkter!$B:$B,D4425+1))</f>
        <v/>
      </c>
      <c r="G4425" t="str">
        <f>IF(D4425="","",INDEX(Knutepunkter!$C:$C,D4425+1))</f>
        <v/>
      </c>
      <c r="H4425" t="str">
        <f>IF(D4425="","",INDEX(Knutepunkter!$D:$D,D4425+1))</f>
        <v/>
      </c>
      <c r="I4425" t="str">
        <f>IF(E4425="","",INDEX(Knutepunkter!$B:$B,E4425+1))</f>
        <v/>
      </c>
      <c r="J4425" t="str">
        <f>IF(E4425="","",INDEX(Knutepunkter!$C:$C,E4425+1))</f>
        <v/>
      </c>
      <c r="K4425" t="str">
        <f>IF(E4425="","",INDEX(Knutepunkter!$D:$D,E4425+1))</f>
        <v/>
      </c>
      <c r="L4425" t="str">
        <f t="shared" si="348"/>
        <v/>
      </c>
      <c r="M4425" t="str">
        <f t="shared" si="349"/>
        <v/>
      </c>
    </row>
    <row r="4426" spans="1:13" x14ac:dyDescent="0.3">
      <c r="A4426" t="str">
        <f>Segmenter!A4426</f>
        <v/>
      </c>
      <c r="B4426" t="str">
        <f>Segmenter!B4426</f>
        <v/>
      </c>
      <c r="C4426" t="str">
        <f t="shared" si="345"/>
        <v/>
      </c>
      <c r="D4426" t="str">
        <f t="shared" si="346"/>
        <v/>
      </c>
      <c r="E4426" t="str">
        <f t="shared" si="347"/>
        <v/>
      </c>
      <c r="F4426" t="str">
        <f>IF(D4426="","",INDEX(Knutepunkter!$B:$B,D4426+1))</f>
        <v/>
      </c>
      <c r="G4426" t="str">
        <f>IF(D4426="","",INDEX(Knutepunkter!$C:$C,D4426+1))</f>
        <v/>
      </c>
      <c r="H4426" t="str">
        <f>IF(D4426="","",INDEX(Knutepunkter!$D:$D,D4426+1))</f>
        <v/>
      </c>
      <c r="I4426" t="str">
        <f>IF(E4426="","",INDEX(Knutepunkter!$B:$B,E4426+1))</f>
        <v/>
      </c>
      <c r="J4426" t="str">
        <f>IF(E4426="","",INDEX(Knutepunkter!$C:$C,E4426+1))</f>
        <v/>
      </c>
      <c r="K4426" t="str">
        <f>IF(E4426="","",INDEX(Knutepunkter!$D:$D,E4426+1))</f>
        <v/>
      </c>
      <c r="L4426" t="str">
        <f t="shared" si="348"/>
        <v/>
      </c>
      <c r="M4426" t="str">
        <f t="shared" si="349"/>
        <v/>
      </c>
    </row>
    <row r="4427" spans="1:13" x14ac:dyDescent="0.3">
      <c r="A4427" t="str">
        <f>Segmenter!A4427</f>
        <v/>
      </c>
      <c r="B4427" t="str">
        <f>Segmenter!B4427</f>
        <v/>
      </c>
      <c r="C4427" t="str">
        <f t="shared" si="345"/>
        <v/>
      </c>
      <c r="D4427" t="str">
        <f t="shared" si="346"/>
        <v/>
      </c>
      <c r="E4427" t="str">
        <f t="shared" si="347"/>
        <v/>
      </c>
      <c r="F4427" t="str">
        <f>IF(D4427="","",INDEX(Knutepunkter!$B:$B,D4427+1))</f>
        <v/>
      </c>
      <c r="G4427" t="str">
        <f>IF(D4427="","",INDEX(Knutepunkter!$C:$C,D4427+1))</f>
        <v/>
      </c>
      <c r="H4427" t="str">
        <f>IF(D4427="","",INDEX(Knutepunkter!$D:$D,D4427+1))</f>
        <v/>
      </c>
      <c r="I4427" t="str">
        <f>IF(E4427="","",INDEX(Knutepunkter!$B:$B,E4427+1))</f>
        <v/>
      </c>
      <c r="J4427" t="str">
        <f>IF(E4427="","",INDEX(Knutepunkter!$C:$C,E4427+1))</f>
        <v/>
      </c>
      <c r="K4427" t="str">
        <f>IF(E4427="","",INDEX(Knutepunkter!$D:$D,E4427+1))</f>
        <v/>
      </c>
      <c r="L4427" t="str">
        <f t="shared" si="348"/>
        <v/>
      </c>
      <c r="M4427" t="str">
        <f t="shared" si="349"/>
        <v/>
      </c>
    </row>
    <row r="4428" spans="1:13" x14ac:dyDescent="0.3">
      <c r="A4428" t="str">
        <f>Segmenter!A4428</f>
        <v/>
      </c>
      <c r="B4428" t="str">
        <f>Segmenter!B4428</f>
        <v/>
      </c>
      <c r="C4428" t="str">
        <f t="shared" si="345"/>
        <v/>
      </c>
      <c r="D4428" t="str">
        <f t="shared" si="346"/>
        <v/>
      </c>
      <c r="E4428" t="str">
        <f t="shared" si="347"/>
        <v/>
      </c>
      <c r="F4428" t="str">
        <f>IF(D4428="","",INDEX(Knutepunkter!$B:$B,D4428+1))</f>
        <v/>
      </c>
      <c r="G4428" t="str">
        <f>IF(D4428="","",INDEX(Knutepunkter!$C:$C,D4428+1))</f>
        <v/>
      </c>
      <c r="H4428" t="str">
        <f>IF(D4428="","",INDEX(Knutepunkter!$D:$D,D4428+1))</f>
        <v/>
      </c>
      <c r="I4428" t="str">
        <f>IF(E4428="","",INDEX(Knutepunkter!$B:$B,E4428+1))</f>
        <v/>
      </c>
      <c r="J4428" t="str">
        <f>IF(E4428="","",INDEX(Knutepunkter!$C:$C,E4428+1))</f>
        <v/>
      </c>
      <c r="K4428" t="str">
        <f>IF(E4428="","",INDEX(Knutepunkter!$D:$D,E4428+1))</f>
        <v/>
      </c>
      <c r="L4428" t="str">
        <f t="shared" si="348"/>
        <v/>
      </c>
      <c r="M4428" t="str">
        <f t="shared" si="349"/>
        <v/>
      </c>
    </row>
    <row r="4429" spans="1:13" x14ac:dyDescent="0.3">
      <c r="A4429" t="str">
        <f>Segmenter!A4429</f>
        <v/>
      </c>
      <c r="B4429" t="str">
        <f>Segmenter!B4429</f>
        <v/>
      </c>
      <c r="C4429" t="str">
        <f t="shared" si="345"/>
        <v/>
      </c>
      <c r="D4429" t="str">
        <f t="shared" si="346"/>
        <v/>
      </c>
      <c r="E4429" t="str">
        <f t="shared" si="347"/>
        <v/>
      </c>
      <c r="F4429" t="str">
        <f>IF(D4429="","",INDEX(Knutepunkter!$B:$B,D4429+1))</f>
        <v/>
      </c>
      <c r="G4429" t="str">
        <f>IF(D4429="","",INDEX(Knutepunkter!$C:$C,D4429+1))</f>
        <v/>
      </c>
      <c r="H4429" t="str">
        <f>IF(D4429="","",INDEX(Knutepunkter!$D:$D,D4429+1))</f>
        <v/>
      </c>
      <c r="I4429" t="str">
        <f>IF(E4429="","",INDEX(Knutepunkter!$B:$B,E4429+1))</f>
        <v/>
      </c>
      <c r="J4429" t="str">
        <f>IF(E4429="","",INDEX(Knutepunkter!$C:$C,E4429+1))</f>
        <v/>
      </c>
      <c r="K4429" t="str">
        <f>IF(E4429="","",INDEX(Knutepunkter!$D:$D,E4429+1))</f>
        <v/>
      </c>
      <c r="L4429" t="str">
        <f t="shared" si="348"/>
        <v/>
      </c>
      <c r="M4429" t="str">
        <f t="shared" si="349"/>
        <v/>
      </c>
    </row>
    <row r="4430" spans="1:13" x14ac:dyDescent="0.3">
      <c r="A4430" t="str">
        <f>Segmenter!A4430</f>
        <v/>
      </c>
      <c r="B4430" t="str">
        <f>Segmenter!B4430</f>
        <v/>
      </c>
      <c r="C4430" t="str">
        <f t="shared" si="345"/>
        <v/>
      </c>
      <c r="D4430" t="str">
        <f t="shared" si="346"/>
        <v/>
      </c>
      <c r="E4430" t="str">
        <f t="shared" si="347"/>
        <v/>
      </c>
      <c r="F4430" t="str">
        <f>IF(D4430="","",INDEX(Knutepunkter!$B:$B,D4430+1))</f>
        <v/>
      </c>
      <c r="G4430" t="str">
        <f>IF(D4430="","",INDEX(Knutepunkter!$C:$C,D4430+1))</f>
        <v/>
      </c>
      <c r="H4430" t="str">
        <f>IF(D4430="","",INDEX(Knutepunkter!$D:$D,D4430+1))</f>
        <v/>
      </c>
      <c r="I4430" t="str">
        <f>IF(E4430="","",INDEX(Knutepunkter!$B:$B,E4430+1))</f>
        <v/>
      </c>
      <c r="J4430" t="str">
        <f>IF(E4430="","",INDEX(Knutepunkter!$C:$C,E4430+1))</f>
        <v/>
      </c>
      <c r="K4430" t="str">
        <f>IF(E4430="","",INDEX(Knutepunkter!$D:$D,E4430+1))</f>
        <v/>
      </c>
      <c r="L4430" t="str">
        <f t="shared" si="348"/>
        <v/>
      </c>
      <c r="M4430" t="str">
        <f t="shared" si="349"/>
        <v/>
      </c>
    </row>
    <row r="4431" spans="1:13" x14ac:dyDescent="0.3">
      <c r="A4431" t="str">
        <f>Segmenter!A4431</f>
        <v/>
      </c>
      <c r="B4431" t="str">
        <f>Segmenter!B4431</f>
        <v/>
      </c>
      <c r="C4431" t="str">
        <f t="shared" si="345"/>
        <v/>
      </c>
      <c r="D4431" t="str">
        <f t="shared" si="346"/>
        <v/>
      </c>
      <c r="E4431" t="str">
        <f t="shared" si="347"/>
        <v/>
      </c>
      <c r="F4431" t="str">
        <f>IF(D4431="","",INDEX(Knutepunkter!$B:$B,D4431+1))</f>
        <v/>
      </c>
      <c r="G4431" t="str">
        <f>IF(D4431="","",INDEX(Knutepunkter!$C:$C,D4431+1))</f>
        <v/>
      </c>
      <c r="H4431" t="str">
        <f>IF(D4431="","",INDEX(Knutepunkter!$D:$D,D4431+1))</f>
        <v/>
      </c>
      <c r="I4431" t="str">
        <f>IF(E4431="","",INDEX(Knutepunkter!$B:$B,E4431+1))</f>
        <v/>
      </c>
      <c r="J4431" t="str">
        <f>IF(E4431="","",INDEX(Knutepunkter!$C:$C,E4431+1))</f>
        <v/>
      </c>
      <c r="K4431" t="str">
        <f>IF(E4431="","",INDEX(Knutepunkter!$D:$D,E4431+1))</f>
        <v/>
      </c>
      <c r="L4431" t="str">
        <f t="shared" si="348"/>
        <v/>
      </c>
      <c r="M4431" t="str">
        <f t="shared" si="349"/>
        <v/>
      </c>
    </row>
    <row r="4432" spans="1:13" x14ac:dyDescent="0.3">
      <c r="A4432" t="str">
        <f>Segmenter!A4432</f>
        <v/>
      </c>
      <c r="B4432" t="str">
        <f>Segmenter!B4432</f>
        <v/>
      </c>
      <c r="C4432" t="str">
        <f t="shared" si="345"/>
        <v/>
      </c>
      <c r="D4432" t="str">
        <f t="shared" si="346"/>
        <v/>
      </c>
      <c r="E4432" t="str">
        <f t="shared" si="347"/>
        <v/>
      </c>
      <c r="F4432" t="str">
        <f>IF(D4432="","",INDEX(Knutepunkter!$B:$B,D4432+1))</f>
        <v/>
      </c>
      <c r="G4432" t="str">
        <f>IF(D4432="","",INDEX(Knutepunkter!$C:$C,D4432+1))</f>
        <v/>
      </c>
      <c r="H4432" t="str">
        <f>IF(D4432="","",INDEX(Knutepunkter!$D:$D,D4432+1))</f>
        <v/>
      </c>
      <c r="I4432" t="str">
        <f>IF(E4432="","",INDEX(Knutepunkter!$B:$B,E4432+1))</f>
        <v/>
      </c>
      <c r="J4432" t="str">
        <f>IF(E4432="","",INDEX(Knutepunkter!$C:$C,E4432+1))</f>
        <v/>
      </c>
      <c r="K4432" t="str">
        <f>IF(E4432="","",INDEX(Knutepunkter!$D:$D,E4432+1))</f>
        <v/>
      </c>
      <c r="L4432" t="str">
        <f t="shared" si="348"/>
        <v/>
      </c>
      <c r="M4432" t="str">
        <f t="shared" si="349"/>
        <v/>
      </c>
    </row>
    <row r="4433" spans="1:13" x14ac:dyDescent="0.3">
      <c r="A4433" t="str">
        <f>Segmenter!A4433</f>
        <v/>
      </c>
      <c r="B4433" t="str">
        <f>Segmenter!B4433</f>
        <v/>
      </c>
      <c r="C4433" t="str">
        <f t="shared" si="345"/>
        <v/>
      </c>
      <c r="D4433" t="str">
        <f t="shared" si="346"/>
        <v/>
      </c>
      <c r="E4433" t="str">
        <f t="shared" si="347"/>
        <v/>
      </c>
      <c r="F4433" t="str">
        <f>IF(D4433="","",INDEX(Knutepunkter!$B:$B,D4433+1))</f>
        <v/>
      </c>
      <c r="G4433" t="str">
        <f>IF(D4433="","",INDEX(Knutepunkter!$C:$C,D4433+1))</f>
        <v/>
      </c>
      <c r="H4433" t="str">
        <f>IF(D4433="","",INDEX(Knutepunkter!$D:$D,D4433+1))</f>
        <v/>
      </c>
      <c r="I4433" t="str">
        <f>IF(E4433="","",INDEX(Knutepunkter!$B:$B,E4433+1))</f>
        <v/>
      </c>
      <c r="J4433" t="str">
        <f>IF(E4433="","",INDEX(Knutepunkter!$C:$C,E4433+1))</f>
        <v/>
      </c>
      <c r="K4433" t="str">
        <f>IF(E4433="","",INDEX(Knutepunkter!$D:$D,E4433+1))</f>
        <v/>
      </c>
      <c r="L4433" t="str">
        <f t="shared" si="348"/>
        <v/>
      </c>
      <c r="M4433" t="str">
        <f t="shared" si="349"/>
        <v/>
      </c>
    </row>
    <row r="4434" spans="1:13" x14ac:dyDescent="0.3">
      <c r="A4434" t="str">
        <f>Segmenter!A4434</f>
        <v/>
      </c>
      <c r="B4434" t="str">
        <f>Segmenter!B4434</f>
        <v/>
      </c>
      <c r="C4434" t="str">
        <f t="shared" si="345"/>
        <v/>
      </c>
      <c r="D4434" t="str">
        <f t="shared" si="346"/>
        <v/>
      </c>
      <c r="E4434" t="str">
        <f t="shared" si="347"/>
        <v/>
      </c>
      <c r="F4434" t="str">
        <f>IF(D4434="","",INDEX(Knutepunkter!$B:$B,D4434+1))</f>
        <v/>
      </c>
      <c r="G4434" t="str">
        <f>IF(D4434="","",INDEX(Knutepunkter!$C:$C,D4434+1))</f>
        <v/>
      </c>
      <c r="H4434" t="str">
        <f>IF(D4434="","",INDEX(Knutepunkter!$D:$D,D4434+1))</f>
        <v/>
      </c>
      <c r="I4434" t="str">
        <f>IF(E4434="","",INDEX(Knutepunkter!$B:$B,E4434+1))</f>
        <v/>
      </c>
      <c r="J4434" t="str">
        <f>IF(E4434="","",INDEX(Knutepunkter!$C:$C,E4434+1))</f>
        <v/>
      </c>
      <c r="K4434" t="str">
        <f>IF(E4434="","",INDEX(Knutepunkter!$D:$D,E4434+1))</f>
        <v/>
      </c>
      <c r="L4434" t="str">
        <f t="shared" si="348"/>
        <v/>
      </c>
      <c r="M4434" t="str">
        <f t="shared" si="349"/>
        <v/>
      </c>
    </row>
    <row r="4435" spans="1:13" x14ac:dyDescent="0.3">
      <c r="A4435" t="str">
        <f>Segmenter!A4435</f>
        <v/>
      </c>
      <c r="B4435" t="str">
        <f>Segmenter!B4435</f>
        <v/>
      </c>
      <c r="C4435" t="str">
        <f t="shared" si="345"/>
        <v/>
      </c>
      <c r="D4435" t="str">
        <f t="shared" si="346"/>
        <v/>
      </c>
      <c r="E4435" t="str">
        <f t="shared" si="347"/>
        <v/>
      </c>
      <c r="F4435" t="str">
        <f>IF(D4435="","",INDEX(Knutepunkter!$B:$B,D4435+1))</f>
        <v/>
      </c>
      <c r="G4435" t="str">
        <f>IF(D4435="","",INDEX(Knutepunkter!$C:$C,D4435+1))</f>
        <v/>
      </c>
      <c r="H4435" t="str">
        <f>IF(D4435="","",INDEX(Knutepunkter!$D:$D,D4435+1))</f>
        <v/>
      </c>
      <c r="I4435" t="str">
        <f>IF(E4435="","",INDEX(Knutepunkter!$B:$B,E4435+1))</f>
        <v/>
      </c>
      <c r="J4435" t="str">
        <f>IF(E4435="","",INDEX(Knutepunkter!$C:$C,E4435+1))</f>
        <v/>
      </c>
      <c r="K4435" t="str">
        <f>IF(E4435="","",INDEX(Knutepunkter!$D:$D,E4435+1))</f>
        <v/>
      </c>
      <c r="L4435" t="str">
        <f t="shared" si="348"/>
        <v/>
      </c>
      <c r="M4435" t="str">
        <f t="shared" si="349"/>
        <v/>
      </c>
    </row>
    <row r="4436" spans="1:13" x14ac:dyDescent="0.3">
      <c r="A4436" t="str">
        <f>Segmenter!A4436</f>
        <v/>
      </c>
      <c r="B4436" t="str">
        <f>Segmenter!B4436</f>
        <v/>
      </c>
      <c r="C4436" t="str">
        <f t="shared" si="345"/>
        <v/>
      </c>
      <c r="D4436" t="str">
        <f t="shared" si="346"/>
        <v/>
      </c>
      <c r="E4436" t="str">
        <f t="shared" si="347"/>
        <v/>
      </c>
      <c r="F4436" t="str">
        <f>IF(D4436="","",INDEX(Knutepunkter!$B:$B,D4436+1))</f>
        <v/>
      </c>
      <c r="G4436" t="str">
        <f>IF(D4436="","",INDEX(Knutepunkter!$C:$C,D4436+1))</f>
        <v/>
      </c>
      <c r="H4436" t="str">
        <f>IF(D4436="","",INDEX(Knutepunkter!$D:$D,D4436+1))</f>
        <v/>
      </c>
      <c r="I4436" t="str">
        <f>IF(E4436="","",INDEX(Knutepunkter!$B:$B,E4436+1))</f>
        <v/>
      </c>
      <c r="J4436" t="str">
        <f>IF(E4436="","",INDEX(Knutepunkter!$C:$C,E4436+1))</f>
        <v/>
      </c>
      <c r="K4436" t="str">
        <f>IF(E4436="","",INDEX(Knutepunkter!$D:$D,E4436+1))</f>
        <v/>
      </c>
      <c r="L4436" t="str">
        <f t="shared" si="348"/>
        <v/>
      </c>
      <c r="M4436" t="str">
        <f t="shared" si="349"/>
        <v/>
      </c>
    </row>
    <row r="4437" spans="1:13" x14ac:dyDescent="0.3">
      <c r="A4437" t="str">
        <f>Segmenter!A4437</f>
        <v/>
      </c>
      <c r="B4437" t="str">
        <f>Segmenter!B4437</f>
        <v/>
      </c>
      <c r="C4437" t="str">
        <f t="shared" si="345"/>
        <v/>
      </c>
      <c r="D4437" t="str">
        <f t="shared" si="346"/>
        <v/>
      </c>
      <c r="E4437" t="str">
        <f t="shared" si="347"/>
        <v/>
      </c>
      <c r="F4437" t="str">
        <f>IF(D4437="","",INDEX(Knutepunkter!$B:$B,D4437+1))</f>
        <v/>
      </c>
      <c r="G4437" t="str">
        <f>IF(D4437="","",INDEX(Knutepunkter!$C:$C,D4437+1))</f>
        <v/>
      </c>
      <c r="H4437" t="str">
        <f>IF(D4437="","",INDEX(Knutepunkter!$D:$D,D4437+1))</f>
        <v/>
      </c>
      <c r="I4437" t="str">
        <f>IF(E4437="","",INDEX(Knutepunkter!$B:$B,E4437+1))</f>
        <v/>
      </c>
      <c r="J4437" t="str">
        <f>IF(E4437="","",INDEX(Knutepunkter!$C:$C,E4437+1))</f>
        <v/>
      </c>
      <c r="K4437" t="str">
        <f>IF(E4437="","",INDEX(Knutepunkter!$D:$D,E4437+1))</f>
        <v/>
      </c>
      <c r="L4437" t="str">
        <f t="shared" si="348"/>
        <v/>
      </c>
      <c r="M4437" t="str">
        <f t="shared" si="349"/>
        <v/>
      </c>
    </row>
    <row r="4438" spans="1:13" x14ac:dyDescent="0.3">
      <c r="A4438" t="str">
        <f>Segmenter!A4438</f>
        <v/>
      </c>
      <c r="B4438" t="str">
        <f>Segmenter!B4438</f>
        <v/>
      </c>
      <c r="C4438" t="str">
        <f t="shared" si="345"/>
        <v/>
      </c>
      <c r="D4438" t="str">
        <f t="shared" si="346"/>
        <v/>
      </c>
      <c r="E4438" t="str">
        <f t="shared" si="347"/>
        <v/>
      </c>
      <c r="F4438" t="str">
        <f>IF(D4438="","",INDEX(Knutepunkter!$B:$B,D4438+1))</f>
        <v/>
      </c>
      <c r="G4438" t="str">
        <f>IF(D4438="","",INDEX(Knutepunkter!$C:$C,D4438+1))</f>
        <v/>
      </c>
      <c r="H4438" t="str">
        <f>IF(D4438="","",INDEX(Knutepunkter!$D:$D,D4438+1))</f>
        <v/>
      </c>
      <c r="I4438" t="str">
        <f>IF(E4438="","",INDEX(Knutepunkter!$B:$B,E4438+1))</f>
        <v/>
      </c>
      <c r="J4438" t="str">
        <f>IF(E4438="","",INDEX(Knutepunkter!$C:$C,E4438+1))</f>
        <v/>
      </c>
      <c r="K4438" t="str">
        <f>IF(E4438="","",INDEX(Knutepunkter!$D:$D,E4438+1))</f>
        <v/>
      </c>
      <c r="L4438" t="str">
        <f t="shared" si="348"/>
        <v/>
      </c>
      <c r="M4438" t="str">
        <f t="shared" si="349"/>
        <v/>
      </c>
    </row>
    <row r="4439" spans="1:13" x14ac:dyDescent="0.3">
      <c r="A4439" t="str">
        <f>Segmenter!A4439</f>
        <v/>
      </c>
      <c r="B4439" t="str">
        <f>Segmenter!B4439</f>
        <v/>
      </c>
      <c r="C4439" t="str">
        <f t="shared" si="345"/>
        <v/>
      </c>
      <c r="D4439" t="str">
        <f t="shared" si="346"/>
        <v/>
      </c>
      <c r="E4439" t="str">
        <f t="shared" si="347"/>
        <v/>
      </c>
      <c r="F4439" t="str">
        <f>IF(D4439="","",INDEX(Knutepunkter!$B:$B,D4439+1))</f>
        <v/>
      </c>
      <c r="G4439" t="str">
        <f>IF(D4439="","",INDEX(Knutepunkter!$C:$C,D4439+1))</f>
        <v/>
      </c>
      <c r="H4439" t="str">
        <f>IF(D4439="","",INDEX(Knutepunkter!$D:$D,D4439+1))</f>
        <v/>
      </c>
      <c r="I4439" t="str">
        <f>IF(E4439="","",INDEX(Knutepunkter!$B:$B,E4439+1))</f>
        <v/>
      </c>
      <c r="J4439" t="str">
        <f>IF(E4439="","",INDEX(Knutepunkter!$C:$C,E4439+1))</f>
        <v/>
      </c>
      <c r="K4439" t="str">
        <f>IF(E4439="","",INDEX(Knutepunkter!$D:$D,E4439+1))</f>
        <v/>
      </c>
      <c r="L4439" t="str">
        <f t="shared" si="348"/>
        <v/>
      </c>
      <c r="M4439" t="str">
        <f t="shared" si="349"/>
        <v/>
      </c>
    </row>
    <row r="4440" spans="1:13" x14ac:dyDescent="0.3">
      <c r="A4440" t="str">
        <f>Segmenter!A4440</f>
        <v/>
      </c>
      <c r="B4440" t="str">
        <f>Segmenter!B4440</f>
        <v/>
      </c>
      <c r="C4440" t="str">
        <f t="shared" si="345"/>
        <v/>
      </c>
      <c r="D4440" t="str">
        <f t="shared" si="346"/>
        <v/>
      </c>
      <c r="E4440" t="str">
        <f t="shared" si="347"/>
        <v/>
      </c>
      <c r="F4440" t="str">
        <f>IF(D4440="","",INDEX(Knutepunkter!$B:$B,D4440+1))</f>
        <v/>
      </c>
      <c r="G4440" t="str">
        <f>IF(D4440="","",INDEX(Knutepunkter!$C:$C,D4440+1))</f>
        <v/>
      </c>
      <c r="H4440" t="str">
        <f>IF(D4440="","",INDEX(Knutepunkter!$D:$D,D4440+1))</f>
        <v/>
      </c>
      <c r="I4440" t="str">
        <f>IF(E4440="","",INDEX(Knutepunkter!$B:$B,E4440+1))</f>
        <v/>
      </c>
      <c r="J4440" t="str">
        <f>IF(E4440="","",INDEX(Knutepunkter!$C:$C,E4440+1))</f>
        <v/>
      </c>
      <c r="K4440" t="str">
        <f>IF(E4440="","",INDEX(Knutepunkter!$D:$D,E4440+1))</f>
        <v/>
      </c>
      <c r="L4440" t="str">
        <f t="shared" si="348"/>
        <v/>
      </c>
      <c r="M4440" t="str">
        <f t="shared" si="349"/>
        <v/>
      </c>
    </row>
    <row r="4441" spans="1:13" x14ac:dyDescent="0.3">
      <c r="A4441" t="str">
        <f>Segmenter!A4441</f>
        <v/>
      </c>
      <c r="B4441" t="str">
        <f>Segmenter!B4441</f>
        <v/>
      </c>
      <c r="C4441" t="str">
        <f t="shared" si="345"/>
        <v/>
      </c>
      <c r="D4441" t="str">
        <f t="shared" si="346"/>
        <v/>
      </c>
      <c r="E4441" t="str">
        <f t="shared" si="347"/>
        <v/>
      </c>
      <c r="F4441" t="str">
        <f>IF(D4441="","",INDEX(Knutepunkter!$B:$B,D4441+1))</f>
        <v/>
      </c>
      <c r="G4441" t="str">
        <f>IF(D4441="","",INDEX(Knutepunkter!$C:$C,D4441+1))</f>
        <v/>
      </c>
      <c r="H4441" t="str">
        <f>IF(D4441="","",INDEX(Knutepunkter!$D:$D,D4441+1))</f>
        <v/>
      </c>
      <c r="I4441" t="str">
        <f>IF(E4441="","",INDEX(Knutepunkter!$B:$B,E4441+1))</f>
        <v/>
      </c>
      <c r="J4441" t="str">
        <f>IF(E4441="","",INDEX(Knutepunkter!$C:$C,E4441+1))</f>
        <v/>
      </c>
      <c r="K4441" t="str">
        <f>IF(E4441="","",INDEX(Knutepunkter!$D:$D,E4441+1))</f>
        <v/>
      </c>
      <c r="L4441" t="str">
        <f t="shared" si="348"/>
        <v/>
      </c>
      <c r="M4441" t="str">
        <f t="shared" si="349"/>
        <v/>
      </c>
    </row>
    <row r="4442" spans="1:13" x14ac:dyDescent="0.3">
      <c r="A4442" t="str">
        <f>Segmenter!A4442</f>
        <v/>
      </c>
      <c r="B4442" t="str">
        <f>Segmenter!B4442</f>
        <v/>
      </c>
      <c r="C4442" t="str">
        <f t="shared" si="345"/>
        <v/>
      </c>
      <c r="D4442" t="str">
        <f t="shared" si="346"/>
        <v/>
      </c>
      <c r="E4442" t="str">
        <f t="shared" si="347"/>
        <v/>
      </c>
      <c r="F4442" t="str">
        <f>IF(D4442="","",INDEX(Knutepunkter!$B:$B,D4442+1))</f>
        <v/>
      </c>
      <c r="G4442" t="str">
        <f>IF(D4442="","",INDEX(Knutepunkter!$C:$C,D4442+1))</f>
        <v/>
      </c>
      <c r="H4442" t="str">
        <f>IF(D4442="","",INDEX(Knutepunkter!$D:$D,D4442+1))</f>
        <v/>
      </c>
      <c r="I4442" t="str">
        <f>IF(E4442="","",INDEX(Knutepunkter!$B:$B,E4442+1))</f>
        <v/>
      </c>
      <c r="J4442" t="str">
        <f>IF(E4442="","",INDEX(Knutepunkter!$C:$C,E4442+1))</f>
        <v/>
      </c>
      <c r="K4442" t="str">
        <f>IF(E4442="","",INDEX(Knutepunkter!$D:$D,E4442+1))</f>
        <v/>
      </c>
      <c r="L4442" t="str">
        <f t="shared" si="348"/>
        <v/>
      </c>
      <c r="M4442" t="str">
        <f t="shared" si="349"/>
        <v/>
      </c>
    </row>
    <row r="4443" spans="1:13" x14ac:dyDescent="0.3">
      <c r="A4443" t="str">
        <f>Segmenter!A4443</f>
        <v/>
      </c>
      <c r="B4443" t="str">
        <f>Segmenter!B4443</f>
        <v/>
      </c>
      <c r="C4443" t="str">
        <f t="shared" si="345"/>
        <v/>
      </c>
      <c r="D4443" t="str">
        <f t="shared" si="346"/>
        <v/>
      </c>
      <c r="E4443" t="str">
        <f t="shared" si="347"/>
        <v/>
      </c>
      <c r="F4443" t="str">
        <f>IF(D4443="","",INDEX(Knutepunkter!$B:$B,D4443+1))</f>
        <v/>
      </c>
      <c r="G4443" t="str">
        <f>IF(D4443="","",INDEX(Knutepunkter!$C:$C,D4443+1))</f>
        <v/>
      </c>
      <c r="H4443" t="str">
        <f>IF(D4443="","",INDEX(Knutepunkter!$D:$D,D4443+1))</f>
        <v/>
      </c>
      <c r="I4443" t="str">
        <f>IF(E4443="","",INDEX(Knutepunkter!$B:$B,E4443+1))</f>
        <v/>
      </c>
      <c r="J4443" t="str">
        <f>IF(E4443="","",INDEX(Knutepunkter!$C:$C,E4443+1))</f>
        <v/>
      </c>
      <c r="K4443" t="str">
        <f>IF(E4443="","",INDEX(Knutepunkter!$D:$D,E4443+1))</f>
        <v/>
      </c>
      <c r="L4443" t="str">
        <f t="shared" si="348"/>
        <v/>
      </c>
      <c r="M4443" t="str">
        <f t="shared" si="349"/>
        <v/>
      </c>
    </row>
    <row r="4444" spans="1:13" x14ac:dyDescent="0.3">
      <c r="A4444" t="str">
        <f>Segmenter!A4444</f>
        <v/>
      </c>
      <c r="B4444" t="str">
        <f>Segmenter!B4444</f>
        <v/>
      </c>
      <c r="C4444" t="str">
        <f t="shared" si="345"/>
        <v/>
      </c>
      <c r="D4444" t="str">
        <f t="shared" si="346"/>
        <v/>
      </c>
      <c r="E4444" t="str">
        <f t="shared" si="347"/>
        <v/>
      </c>
      <c r="F4444" t="str">
        <f>IF(D4444="","",INDEX(Knutepunkter!$B:$B,D4444+1))</f>
        <v/>
      </c>
      <c r="G4444" t="str">
        <f>IF(D4444="","",INDEX(Knutepunkter!$C:$C,D4444+1))</f>
        <v/>
      </c>
      <c r="H4444" t="str">
        <f>IF(D4444="","",INDEX(Knutepunkter!$D:$D,D4444+1))</f>
        <v/>
      </c>
      <c r="I4444" t="str">
        <f>IF(E4444="","",INDEX(Knutepunkter!$B:$B,E4444+1))</f>
        <v/>
      </c>
      <c r="J4444" t="str">
        <f>IF(E4444="","",INDEX(Knutepunkter!$C:$C,E4444+1))</f>
        <v/>
      </c>
      <c r="K4444" t="str">
        <f>IF(E4444="","",INDEX(Knutepunkter!$D:$D,E4444+1))</f>
        <v/>
      </c>
      <c r="L4444" t="str">
        <f t="shared" si="348"/>
        <v/>
      </c>
      <c r="M4444" t="str">
        <f t="shared" si="349"/>
        <v/>
      </c>
    </row>
    <row r="4445" spans="1:13" x14ac:dyDescent="0.3">
      <c r="A4445" t="str">
        <f>Segmenter!A4445</f>
        <v/>
      </c>
      <c r="B4445" t="str">
        <f>Segmenter!B4445</f>
        <v/>
      </c>
      <c r="C4445" t="str">
        <f t="shared" si="345"/>
        <v/>
      </c>
      <c r="D4445" t="str">
        <f t="shared" si="346"/>
        <v/>
      </c>
      <c r="E4445" t="str">
        <f t="shared" si="347"/>
        <v/>
      </c>
      <c r="F4445" t="str">
        <f>IF(D4445="","",INDEX(Knutepunkter!$B:$B,D4445+1))</f>
        <v/>
      </c>
      <c r="G4445" t="str">
        <f>IF(D4445="","",INDEX(Knutepunkter!$C:$C,D4445+1))</f>
        <v/>
      </c>
      <c r="H4445" t="str">
        <f>IF(D4445="","",INDEX(Knutepunkter!$D:$D,D4445+1))</f>
        <v/>
      </c>
      <c r="I4445" t="str">
        <f>IF(E4445="","",INDEX(Knutepunkter!$B:$B,E4445+1))</f>
        <v/>
      </c>
      <c r="J4445" t="str">
        <f>IF(E4445="","",INDEX(Knutepunkter!$C:$C,E4445+1))</f>
        <v/>
      </c>
      <c r="K4445" t="str">
        <f>IF(E4445="","",INDEX(Knutepunkter!$D:$D,E4445+1))</f>
        <v/>
      </c>
      <c r="L4445" t="str">
        <f t="shared" si="348"/>
        <v/>
      </c>
      <c r="M4445" t="str">
        <f t="shared" si="349"/>
        <v/>
      </c>
    </row>
    <row r="4446" spans="1:13" x14ac:dyDescent="0.3">
      <c r="A4446" t="str">
        <f>Segmenter!A4446</f>
        <v/>
      </c>
      <c r="B4446" t="str">
        <f>Segmenter!B4446</f>
        <v/>
      </c>
      <c r="C4446" t="str">
        <f t="shared" si="345"/>
        <v/>
      </c>
      <c r="D4446" t="str">
        <f t="shared" si="346"/>
        <v/>
      </c>
      <c r="E4446" t="str">
        <f t="shared" si="347"/>
        <v/>
      </c>
      <c r="F4446" t="str">
        <f>IF(D4446="","",INDEX(Knutepunkter!$B:$B,D4446+1))</f>
        <v/>
      </c>
      <c r="G4446" t="str">
        <f>IF(D4446="","",INDEX(Knutepunkter!$C:$C,D4446+1))</f>
        <v/>
      </c>
      <c r="H4446" t="str">
        <f>IF(D4446="","",INDEX(Knutepunkter!$D:$D,D4446+1))</f>
        <v/>
      </c>
      <c r="I4446" t="str">
        <f>IF(E4446="","",INDEX(Knutepunkter!$B:$B,E4446+1))</f>
        <v/>
      </c>
      <c r="J4446" t="str">
        <f>IF(E4446="","",INDEX(Knutepunkter!$C:$C,E4446+1))</f>
        <v/>
      </c>
      <c r="K4446" t="str">
        <f>IF(E4446="","",INDEX(Knutepunkter!$D:$D,E4446+1))</f>
        <v/>
      </c>
      <c r="L4446" t="str">
        <f t="shared" si="348"/>
        <v/>
      </c>
      <c r="M4446" t="str">
        <f t="shared" si="349"/>
        <v/>
      </c>
    </row>
    <row r="4447" spans="1:13" x14ac:dyDescent="0.3">
      <c r="A4447" t="str">
        <f>Segmenter!A4447</f>
        <v/>
      </c>
      <c r="B4447" t="str">
        <f>Segmenter!B4447</f>
        <v/>
      </c>
      <c r="C4447" t="str">
        <f t="shared" si="345"/>
        <v/>
      </c>
      <c r="D4447" t="str">
        <f t="shared" si="346"/>
        <v/>
      </c>
      <c r="E4447" t="str">
        <f t="shared" si="347"/>
        <v/>
      </c>
      <c r="F4447" t="str">
        <f>IF(D4447="","",INDEX(Knutepunkter!$B:$B,D4447+1))</f>
        <v/>
      </c>
      <c r="G4447" t="str">
        <f>IF(D4447="","",INDEX(Knutepunkter!$C:$C,D4447+1))</f>
        <v/>
      </c>
      <c r="H4447" t="str">
        <f>IF(D4447="","",INDEX(Knutepunkter!$D:$D,D4447+1))</f>
        <v/>
      </c>
      <c r="I4447" t="str">
        <f>IF(E4447="","",INDEX(Knutepunkter!$B:$B,E4447+1))</f>
        <v/>
      </c>
      <c r="J4447" t="str">
        <f>IF(E4447="","",INDEX(Knutepunkter!$C:$C,E4447+1))</f>
        <v/>
      </c>
      <c r="K4447" t="str">
        <f>IF(E4447="","",INDEX(Knutepunkter!$D:$D,E4447+1))</f>
        <v/>
      </c>
      <c r="L4447" t="str">
        <f t="shared" si="348"/>
        <v/>
      </c>
      <c r="M4447" t="str">
        <f t="shared" si="349"/>
        <v/>
      </c>
    </row>
    <row r="4448" spans="1:13" x14ac:dyDescent="0.3">
      <c r="A4448" t="str">
        <f>Segmenter!A4448</f>
        <v/>
      </c>
      <c r="B4448" t="str">
        <f>Segmenter!B4448</f>
        <v/>
      </c>
      <c r="C4448" t="str">
        <f t="shared" si="345"/>
        <v/>
      </c>
      <c r="D4448" t="str">
        <f t="shared" si="346"/>
        <v/>
      </c>
      <c r="E4448" t="str">
        <f t="shared" si="347"/>
        <v/>
      </c>
      <c r="F4448" t="str">
        <f>IF(D4448="","",INDEX(Knutepunkter!$B:$B,D4448+1))</f>
        <v/>
      </c>
      <c r="G4448" t="str">
        <f>IF(D4448="","",INDEX(Knutepunkter!$C:$C,D4448+1))</f>
        <v/>
      </c>
      <c r="H4448" t="str">
        <f>IF(D4448="","",INDEX(Knutepunkter!$D:$D,D4448+1))</f>
        <v/>
      </c>
      <c r="I4448" t="str">
        <f>IF(E4448="","",INDEX(Knutepunkter!$B:$B,E4448+1))</f>
        <v/>
      </c>
      <c r="J4448" t="str">
        <f>IF(E4448="","",INDEX(Knutepunkter!$C:$C,E4448+1))</f>
        <v/>
      </c>
      <c r="K4448" t="str">
        <f>IF(E4448="","",INDEX(Knutepunkter!$D:$D,E4448+1))</f>
        <v/>
      </c>
      <c r="L4448" t="str">
        <f t="shared" si="348"/>
        <v/>
      </c>
      <c r="M4448" t="str">
        <f t="shared" si="349"/>
        <v/>
      </c>
    </row>
    <row r="4449" spans="1:13" x14ac:dyDescent="0.3">
      <c r="A4449" t="str">
        <f>Segmenter!A4449</f>
        <v/>
      </c>
      <c r="B4449" t="str">
        <f>Segmenter!B4449</f>
        <v/>
      </c>
      <c r="C4449" t="str">
        <f t="shared" si="345"/>
        <v/>
      </c>
      <c r="D4449" t="str">
        <f t="shared" si="346"/>
        <v/>
      </c>
      <c r="E4449" t="str">
        <f t="shared" si="347"/>
        <v/>
      </c>
      <c r="F4449" t="str">
        <f>IF(D4449="","",INDEX(Knutepunkter!$B:$B,D4449+1))</f>
        <v/>
      </c>
      <c r="G4449" t="str">
        <f>IF(D4449="","",INDEX(Knutepunkter!$C:$C,D4449+1))</f>
        <v/>
      </c>
      <c r="H4449" t="str">
        <f>IF(D4449="","",INDEX(Knutepunkter!$D:$D,D4449+1))</f>
        <v/>
      </c>
      <c r="I4449" t="str">
        <f>IF(E4449="","",INDEX(Knutepunkter!$B:$B,E4449+1))</f>
        <v/>
      </c>
      <c r="J4449" t="str">
        <f>IF(E4449="","",INDEX(Knutepunkter!$C:$C,E4449+1))</f>
        <v/>
      </c>
      <c r="K4449" t="str">
        <f>IF(E4449="","",INDEX(Knutepunkter!$D:$D,E4449+1))</f>
        <v/>
      </c>
      <c r="L4449" t="str">
        <f t="shared" si="348"/>
        <v/>
      </c>
      <c r="M4449" t="str">
        <f t="shared" si="349"/>
        <v/>
      </c>
    </row>
    <row r="4450" spans="1:13" x14ac:dyDescent="0.3">
      <c r="A4450" t="str">
        <f>Segmenter!A4450</f>
        <v/>
      </c>
      <c r="B4450" t="str">
        <f>Segmenter!B4450</f>
        <v/>
      </c>
      <c r="C4450" t="str">
        <f t="shared" si="345"/>
        <v/>
      </c>
      <c r="D4450" t="str">
        <f t="shared" si="346"/>
        <v/>
      </c>
      <c r="E4450" t="str">
        <f t="shared" si="347"/>
        <v/>
      </c>
      <c r="F4450" t="str">
        <f>IF(D4450="","",INDEX(Knutepunkter!$B:$B,D4450+1))</f>
        <v/>
      </c>
      <c r="G4450" t="str">
        <f>IF(D4450="","",INDEX(Knutepunkter!$C:$C,D4450+1))</f>
        <v/>
      </c>
      <c r="H4450" t="str">
        <f>IF(D4450="","",INDEX(Knutepunkter!$D:$D,D4450+1))</f>
        <v/>
      </c>
      <c r="I4450" t="str">
        <f>IF(E4450="","",INDEX(Knutepunkter!$B:$B,E4450+1))</f>
        <v/>
      </c>
      <c r="J4450" t="str">
        <f>IF(E4450="","",INDEX(Knutepunkter!$C:$C,E4450+1))</f>
        <v/>
      </c>
      <c r="K4450" t="str">
        <f>IF(E4450="","",INDEX(Knutepunkter!$D:$D,E4450+1))</f>
        <v/>
      </c>
      <c r="L4450" t="str">
        <f t="shared" si="348"/>
        <v/>
      </c>
      <c r="M4450" t="str">
        <f t="shared" si="349"/>
        <v/>
      </c>
    </row>
    <row r="4451" spans="1:13" x14ac:dyDescent="0.3">
      <c r="A4451" t="str">
        <f>Segmenter!A4451</f>
        <v/>
      </c>
      <c r="B4451" t="str">
        <f>Segmenter!B4451</f>
        <v/>
      </c>
      <c r="C4451" t="str">
        <f t="shared" si="345"/>
        <v/>
      </c>
      <c r="D4451" t="str">
        <f t="shared" si="346"/>
        <v/>
      </c>
      <c r="E4451" t="str">
        <f t="shared" si="347"/>
        <v/>
      </c>
      <c r="F4451" t="str">
        <f>IF(D4451="","",INDEX(Knutepunkter!$B:$B,D4451+1))</f>
        <v/>
      </c>
      <c r="G4451" t="str">
        <f>IF(D4451="","",INDEX(Knutepunkter!$C:$C,D4451+1))</f>
        <v/>
      </c>
      <c r="H4451" t="str">
        <f>IF(D4451="","",INDEX(Knutepunkter!$D:$D,D4451+1))</f>
        <v/>
      </c>
      <c r="I4451" t="str">
        <f>IF(E4451="","",INDEX(Knutepunkter!$B:$B,E4451+1))</f>
        <v/>
      </c>
      <c r="J4451" t="str">
        <f>IF(E4451="","",INDEX(Knutepunkter!$C:$C,E4451+1))</f>
        <v/>
      </c>
      <c r="K4451" t="str">
        <f>IF(E4451="","",INDEX(Knutepunkter!$D:$D,E4451+1))</f>
        <v/>
      </c>
      <c r="L4451" t="str">
        <f t="shared" si="348"/>
        <v/>
      </c>
      <c r="M4451" t="str">
        <f t="shared" si="349"/>
        <v/>
      </c>
    </row>
    <row r="4452" spans="1:13" x14ac:dyDescent="0.3">
      <c r="A4452" t="str">
        <f>Segmenter!A4452</f>
        <v/>
      </c>
      <c r="B4452" t="str">
        <f>Segmenter!B4452</f>
        <v/>
      </c>
      <c r="C4452" t="str">
        <f t="shared" si="345"/>
        <v/>
      </c>
      <c r="D4452" t="str">
        <f t="shared" si="346"/>
        <v/>
      </c>
      <c r="E4452" t="str">
        <f t="shared" si="347"/>
        <v/>
      </c>
      <c r="F4452" t="str">
        <f>IF(D4452="","",INDEX(Knutepunkter!$B:$B,D4452+1))</f>
        <v/>
      </c>
      <c r="G4452" t="str">
        <f>IF(D4452="","",INDEX(Knutepunkter!$C:$C,D4452+1))</f>
        <v/>
      </c>
      <c r="H4452" t="str">
        <f>IF(D4452="","",INDEX(Knutepunkter!$D:$D,D4452+1))</f>
        <v/>
      </c>
      <c r="I4452" t="str">
        <f>IF(E4452="","",INDEX(Knutepunkter!$B:$B,E4452+1))</f>
        <v/>
      </c>
      <c r="J4452" t="str">
        <f>IF(E4452="","",INDEX(Knutepunkter!$C:$C,E4452+1))</f>
        <v/>
      </c>
      <c r="K4452" t="str">
        <f>IF(E4452="","",INDEX(Knutepunkter!$D:$D,E4452+1))</f>
        <v/>
      </c>
      <c r="L4452" t="str">
        <f t="shared" si="348"/>
        <v/>
      </c>
      <c r="M4452" t="str">
        <f t="shared" si="349"/>
        <v/>
      </c>
    </row>
    <row r="4453" spans="1:13" x14ac:dyDescent="0.3">
      <c r="A4453" t="str">
        <f>Segmenter!A4453</f>
        <v/>
      </c>
      <c r="B4453" t="str">
        <f>Segmenter!B4453</f>
        <v/>
      </c>
      <c r="C4453" t="str">
        <f t="shared" si="345"/>
        <v/>
      </c>
      <c r="D4453" t="str">
        <f t="shared" si="346"/>
        <v/>
      </c>
      <c r="E4453" t="str">
        <f t="shared" si="347"/>
        <v/>
      </c>
      <c r="F4453" t="str">
        <f>IF(D4453="","",INDEX(Knutepunkter!$B:$B,D4453+1))</f>
        <v/>
      </c>
      <c r="G4453" t="str">
        <f>IF(D4453="","",INDEX(Knutepunkter!$C:$C,D4453+1))</f>
        <v/>
      </c>
      <c r="H4453" t="str">
        <f>IF(D4453="","",INDEX(Knutepunkter!$D:$D,D4453+1))</f>
        <v/>
      </c>
      <c r="I4453" t="str">
        <f>IF(E4453="","",INDEX(Knutepunkter!$B:$B,E4453+1))</f>
        <v/>
      </c>
      <c r="J4453" t="str">
        <f>IF(E4453="","",INDEX(Knutepunkter!$C:$C,E4453+1))</f>
        <v/>
      </c>
      <c r="K4453" t="str">
        <f>IF(E4453="","",INDEX(Knutepunkter!$D:$D,E4453+1))</f>
        <v/>
      </c>
      <c r="L4453" t="str">
        <f t="shared" si="348"/>
        <v/>
      </c>
      <c r="M4453" t="str">
        <f t="shared" si="349"/>
        <v/>
      </c>
    </row>
    <row r="4454" spans="1:13" x14ac:dyDescent="0.3">
      <c r="A4454" t="str">
        <f>Segmenter!A4454</f>
        <v/>
      </c>
      <c r="B4454" t="str">
        <f>Segmenter!B4454</f>
        <v/>
      </c>
      <c r="C4454" t="str">
        <f t="shared" si="345"/>
        <v/>
      </c>
      <c r="D4454" t="str">
        <f t="shared" si="346"/>
        <v/>
      </c>
      <c r="E4454" t="str">
        <f t="shared" si="347"/>
        <v/>
      </c>
      <c r="F4454" t="str">
        <f>IF(D4454="","",INDEX(Knutepunkter!$B:$B,D4454+1))</f>
        <v/>
      </c>
      <c r="G4454" t="str">
        <f>IF(D4454="","",INDEX(Knutepunkter!$C:$C,D4454+1))</f>
        <v/>
      </c>
      <c r="H4454" t="str">
        <f>IF(D4454="","",INDEX(Knutepunkter!$D:$D,D4454+1))</f>
        <v/>
      </c>
      <c r="I4454" t="str">
        <f>IF(E4454="","",INDEX(Knutepunkter!$B:$B,E4454+1))</f>
        <v/>
      </c>
      <c r="J4454" t="str">
        <f>IF(E4454="","",INDEX(Knutepunkter!$C:$C,E4454+1))</f>
        <v/>
      </c>
      <c r="K4454" t="str">
        <f>IF(E4454="","",INDEX(Knutepunkter!$D:$D,E4454+1))</f>
        <v/>
      </c>
      <c r="L4454" t="str">
        <f t="shared" si="348"/>
        <v/>
      </c>
      <c r="M4454" t="str">
        <f t="shared" si="349"/>
        <v/>
      </c>
    </row>
    <row r="4455" spans="1:13" x14ac:dyDescent="0.3">
      <c r="A4455" t="str">
        <f>Segmenter!A4455</f>
        <v/>
      </c>
      <c r="B4455" t="str">
        <f>Segmenter!B4455</f>
        <v/>
      </c>
      <c r="C4455" t="str">
        <f t="shared" si="345"/>
        <v/>
      </c>
      <c r="D4455" t="str">
        <f t="shared" si="346"/>
        <v/>
      </c>
      <c r="E4455" t="str">
        <f t="shared" si="347"/>
        <v/>
      </c>
      <c r="F4455" t="str">
        <f>IF(D4455="","",INDEX(Knutepunkter!$B:$B,D4455+1))</f>
        <v/>
      </c>
      <c r="G4455" t="str">
        <f>IF(D4455="","",INDEX(Knutepunkter!$C:$C,D4455+1))</f>
        <v/>
      </c>
      <c r="H4455" t="str">
        <f>IF(D4455="","",INDEX(Knutepunkter!$D:$D,D4455+1))</f>
        <v/>
      </c>
      <c r="I4455" t="str">
        <f>IF(E4455="","",INDEX(Knutepunkter!$B:$B,E4455+1))</f>
        <v/>
      </c>
      <c r="J4455" t="str">
        <f>IF(E4455="","",INDEX(Knutepunkter!$C:$C,E4455+1))</f>
        <v/>
      </c>
      <c r="K4455" t="str">
        <f>IF(E4455="","",INDEX(Knutepunkter!$D:$D,E4455+1))</f>
        <v/>
      </c>
      <c r="L4455" t="str">
        <f t="shared" si="348"/>
        <v/>
      </c>
      <c r="M4455" t="str">
        <f t="shared" si="349"/>
        <v/>
      </c>
    </row>
    <row r="4456" spans="1:13" x14ac:dyDescent="0.3">
      <c r="A4456" t="str">
        <f>Segmenter!A4456</f>
        <v/>
      </c>
      <c r="B4456" t="str">
        <f>Segmenter!B4456</f>
        <v/>
      </c>
      <c r="C4456" t="str">
        <f t="shared" si="345"/>
        <v/>
      </c>
      <c r="D4456" t="str">
        <f t="shared" si="346"/>
        <v/>
      </c>
      <c r="E4456" t="str">
        <f t="shared" si="347"/>
        <v/>
      </c>
      <c r="F4456" t="str">
        <f>IF(D4456="","",INDEX(Knutepunkter!$B:$B,D4456+1))</f>
        <v/>
      </c>
      <c r="G4456" t="str">
        <f>IF(D4456="","",INDEX(Knutepunkter!$C:$C,D4456+1))</f>
        <v/>
      </c>
      <c r="H4456" t="str">
        <f>IF(D4456="","",INDEX(Knutepunkter!$D:$D,D4456+1))</f>
        <v/>
      </c>
      <c r="I4456" t="str">
        <f>IF(E4456="","",INDEX(Knutepunkter!$B:$B,E4456+1))</f>
        <v/>
      </c>
      <c r="J4456" t="str">
        <f>IF(E4456="","",INDEX(Knutepunkter!$C:$C,E4456+1))</f>
        <v/>
      </c>
      <c r="K4456" t="str">
        <f>IF(E4456="","",INDEX(Knutepunkter!$D:$D,E4456+1))</f>
        <v/>
      </c>
      <c r="L4456" t="str">
        <f t="shared" si="348"/>
        <v/>
      </c>
      <c r="M4456" t="str">
        <f t="shared" si="349"/>
        <v/>
      </c>
    </row>
    <row r="4457" spans="1:13" x14ac:dyDescent="0.3">
      <c r="A4457" t="str">
        <f>Segmenter!A4457</f>
        <v/>
      </c>
      <c r="B4457" t="str">
        <f>Segmenter!B4457</f>
        <v/>
      </c>
      <c r="C4457" t="str">
        <f t="shared" si="345"/>
        <v/>
      </c>
      <c r="D4457" t="str">
        <f t="shared" si="346"/>
        <v/>
      </c>
      <c r="E4457" t="str">
        <f t="shared" si="347"/>
        <v/>
      </c>
      <c r="F4457" t="str">
        <f>IF(D4457="","",INDEX(Knutepunkter!$B:$B,D4457+1))</f>
        <v/>
      </c>
      <c r="G4457" t="str">
        <f>IF(D4457="","",INDEX(Knutepunkter!$C:$C,D4457+1))</f>
        <v/>
      </c>
      <c r="H4457" t="str">
        <f>IF(D4457="","",INDEX(Knutepunkter!$D:$D,D4457+1))</f>
        <v/>
      </c>
      <c r="I4457" t="str">
        <f>IF(E4457="","",INDEX(Knutepunkter!$B:$B,E4457+1))</f>
        <v/>
      </c>
      <c r="J4457" t="str">
        <f>IF(E4457="","",INDEX(Knutepunkter!$C:$C,E4457+1))</f>
        <v/>
      </c>
      <c r="K4457" t="str">
        <f>IF(E4457="","",INDEX(Knutepunkter!$D:$D,E4457+1))</f>
        <v/>
      </c>
      <c r="L4457" t="str">
        <f t="shared" si="348"/>
        <v/>
      </c>
      <c r="M4457" t="str">
        <f t="shared" si="349"/>
        <v/>
      </c>
    </row>
    <row r="4458" spans="1:13" x14ac:dyDescent="0.3">
      <c r="A4458" t="str">
        <f>Segmenter!A4458</f>
        <v/>
      </c>
      <c r="B4458" t="str">
        <f>Segmenter!B4458</f>
        <v/>
      </c>
      <c r="C4458" t="str">
        <f t="shared" si="345"/>
        <v/>
      </c>
      <c r="D4458" t="str">
        <f t="shared" si="346"/>
        <v/>
      </c>
      <c r="E4458" t="str">
        <f t="shared" si="347"/>
        <v/>
      </c>
      <c r="F4458" t="str">
        <f>IF(D4458="","",INDEX(Knutepunkter!$B:$B,D4458+1))</f>
        <v/>
      </c>
      <c r="G4458" t="str">
        <f>IF(D4458="","",INDEX(Knutepunkter!$C:$C,D4458+1))</f>
        <v/>
      </c>
      <c r="H4458" t="str">
        <f>IF(D4458="","",INDEX(Knutepunkter!$D:$D,D4458+1))</f>
        <v/>
      </c>
      <c r="I4458" t="str">
        <f>IF(E4458="","",INDEX(Knutepunkter!$B:$B,E4458+1))</f>
        <v/>
      </c>
      <c r="J4458" t="str">
        <f>IF(E4458="","",INDEX(Knutepunkter!$C:$C,E4458+1))</f>
        <v/>
      </c>
      <c r="K4458" t="str">
        <f>IF(E4458="","",INDEX(Knutepunkter!$D:$D,E4458+1))</f>
        <v/>
      </c>
      <c r="L4458" t="str">
        <f t="shared" si="348"/>
        <v/>
      </c>
      <c r="M4458" t="str">
        <f t="shared" si="349"/>
        <v/>
      </c>
    </row>
    <row r="4459" spans="1:13" x14ac:dyDescent="0.3">
      <c r="A4459" t="str">
        <f>Segmenter!A4459</f>
        <v/>
      </c>
      <c r="B4459" t="str">
        <f>Segmenter!B4459</f>
        <v/>
      </c>
      <c r="C4459" t="str">
        <f t="shared" si="345"/>
        <v/>
      </c>
      <c r="D4459" t="str">
        <f t="shared" si="346"/>
        <v/>
      </c>
      <c r="E4459" t="str">
        <f t="shared" si="347"/>
        <v/>
      </c>
      <c r="F4459" t="str">
        <f>IF(D4459="","",INDEX(Knutepunkter!$B:$B,D4459+1))</f>
        <v/>
      </c>
      <c r="G4459" t="str">
        <f>IF(D4459="","",INDEX(Knutepunkter!$C:$C,D4459+1))</f>
        <v/>
      </c>
      <c r="H4459" t="str">
        <f>IF(D4459="","",INDEX(Knutepunkter!$D:$D,D4459+1))</f>
        <v/>
      </c>
      <c r="I4459" t="str">
        <f>IF(E4459="","",INDEX(Knutepunkter!$B:$B,E4459+1))</f>
        <v/>
      </c>
      <c r="J4459" t="str">
        <f>IF(E4459="","",INDEX(Knutepunkter!$C:$C,E4459+1))</f>
        <v/>
      </c>
      <c r="K4459" t="str">
        <f>IF(E4459="","",INDEX(Knutepunkter!$D:$D,E4459+1))</f>
        <v/>
      </c>
      <c r="L4459" t="str">
        <f t="shared" si="348"/>
        <v/>
      </c>
      <c r="M4459" t="str">
        <f t="shared" si="349"/>
        <v/>
      </c>
    </row>
    <row r="4460" spans="1:13" x14ac:dyDescent="0.3">
      <c r="A4460" t="str">
        <f>Segmenter!A4460</f>
        <v/>
      </c>
      <c r="B4460" t="str">
        <f>Segmenter!B4460</f>
        <v/>
      </c>
      <c r="C4460" t="str">
        <f t="shared" si="345"/>
        <v/>
      </c>
      <c r="D4460" t="str">
        <f t="shared" si="346"/>
        <v/>
      </c>
      <c r="E4460" t="str">
        <f t="shared" si="347"/>
        <v/>
      </c>
      <c r="F4460" t="str">
        <f>IF(D4460="","",INDEX(Knutepunkter!$B:$B,D4460+1))</f>
        <v/>
      </c>
      <c r="G4460" t="str">
        <f>IF(D4460="","",INDEX(Knutepunkter!$C:$C,D4460+1))</f>
        <v/>
      </c>
      <c r="H4460" t="str">
        <f>IF(D4460="","",INDEX(Knutepunkter!$D:$D,D4460+1))</f>
        <v/>
      </c>
      <c r="I4460" t="str">
        <f>IF(E4460="","",INDEX(Knutepunkter!$B:$B,E4460+1))</f>
        <v/>
      </c>
      <c r="J4460" t="str">
        <f>IF(E4460="","",INDEX(Knutepunkter!$C:$C,E4460+1))</f>
        <v/>
      </c>
      <c r="K4460" t="str">
        <f>IF(E4460="","",INDEX(Knutepunkter!$D:$D,E4460+1))</f>
        <v/>
      </c>
      <c r="L4460" t="str">
        <f t="shared" si="348"/>
        <v/>
      </c>
      <c r="M4460" t="str">
        <f t="shared" si="349"/>
        <v/>
      </c>
    </row>
    <row r="4461" spans="1:13" x14ac:dyDescent="0.3">
      <c r="A4461" t="str">
        <f>Segmenter!A4461</f>
        <v/>
      </c>
      <c r="B4461" t="str">
        <f>Segmenter!B4461</f>
        <v/>
      </c>
      <c r="C4461" t="str">
        <f t="shared" si="345"/>
        <v/>
      </c>
      <c r="D4461" t="str">
        <f t="shared" si="346"/>
        <v/>
      </c>
      <c r="E4461" t="str">
        <f t="shared" si="347"/>
        <v/>
      </c>
      <c r="F4461" t="str">
        <f>IF(D4461="","",INDEX(Knutepunkter!$B:$B,D4461+1))</f>
        <v/>
      </c>
      <c r="G4461" t="str">
        <f>IF(D4461="","",INDEX(Knutepunkter!$C:$C,D4461+1))</f>
        <v/>
      </c>
      <c r="H4461" t="str">
        <f>IF(D4461="","",INDEX(Knutepunkter!$D:$D,D4461+1))</f>
        <v/>
      </c>
      <c r="I4461" t="str">
        <f>IF(E4461="","",INDEX(Knutepunkter!$B:$B,E4461+1))</f>
        <v/>
      </c>
      <c r="J4461" t="str">
        <f>IF(E4461="","",INDEX(Knutepunkter!$C:$C,E4461+1))</f>
        <v/>
      </c>
      <c r="K4461" t="str">
        <f>IF(E4461="","",INDEX(Knutepunkter!$D:$D,E4461+1))</f>
        <v/>
      </c>
      <c r="L4461" t="str">
        <f t="shared" si="348"/>
        <v/>
      </c>
      <c r="M4461" t="str">
        <f t="shared" si="349"/>
        <v/>
      </c>
    </row>
    <row r="4462" spans="1:13" x14ac:dyDescent="0.3">
      <c r="A4462" t="str">
        <f>Segmenter!A4462</f>
        <v/>
      </c>
      <c r="B4462" t="str">
        <f>Segmenter!B4462</f>
        <v/>
      </c>
      <c r="C4462" t="str">
        <f t="shared" si="345"/>
        <v/>
      </c>
      <c r="D4462" t="str">
        <f t="shared" si="346"/>
        <v/>
      </c>
      <c r="E4462" t="str">
        <f t="shared" si="347"/>
        <v/>
      </c>
      <c r="F4462" t="str">
        <f>IF(D4462="","",INDEX(Knutepunkter!$B:$B,D4462+1))</f>
        <v/>
      </c>
      <c r="G4462" t="str">
        <f>IF(D4462="","",INDEX(Knutepunkter!$C:$C,D4462+1))</f>
        <v/>
      </c>
      <c r="H4462" t="str">
        <f>IF(D4462="","",INDEX(Knutepunkter!$D:$D,D4462+1))</f>
        <v/>
      </c>
      <c r="I4462" t="str">
        <f>IF(E4462="","",INDEX(Knutepunkter!$B:$B,E4462+1))</f>
        <v/>
      </c>
      <c r="J4462" t="str">
        <f>IF(E4462="","",INDEX(Knutepunkter!$C:$C,E4462+1))</f>
        <v/>
      </c>
      <c r="K4462" t="str">
        <f>IF(E4462="","",INDEX(Knutepunkter!$D:$D,E4462+1))</f>
        <v/>
      </c>
      <c r="L4462" t="str">
        <f t="shared" si="348"/>
        <v/>
      </c>
      <c r="M4462" t="str">
        <f t="shared" si="349"/>
        <v/>
      </c>
    </row>
    <row r="4463" spans="1:13" x14ac:dyDescent="0.3">
      <c r="A4463" t="str">
        <f>Segmenter!A4463</f>
        <v/>
      </c>
      <c r="B4463" t="str">
        <f>Segmenter!B4463</f>
        <v/>
      </c>
      <c r="C4463" t="str">
        <f t="shared" si="345"/>
        <v/>
      </c>
      <c r="D4463" t="str">
        <f t="shared" si="346"/>
        <v/>
      </c>
      <c r="E4463" t="str">
        <f t="shared" si="347"/>
        <v/>
      </c>
      <c r="F4463" t="str">
        <f>IF(D4463="","",INDEX(Knutepunkter!$B:$B,D4463+1))</f>
        <v/>
      </c>
      <c r="G4463" t="str">
        <f>IF(D4463="","",INDEX(Knutepunkter!$C:$C,D4463+1))</f>
        <v/>
      </c>
      <c r="H4463" t="str">
        <f>IF(D4463="","",INDEX(Knutepunkter!$D:$D,D4463+1))</f>
        <v/>
      </c>
      <c r="I4463" t="str">
        <f>IF(E4463="","",INDEX(Knutepunkter!$B:$B,E4463+1))</f>
        <v/>
      </c>
      <c r="J4463" t="str">
        <f>IF(E4463="","",INDEX(Knutepunkter!$C:$C,E4463+1))</f>
        <v/>
      </c>
      <c r="K4463" t="str">
        <f>IF(E4463="","",INDEX(Knutepunkter!$D:$D,E4463+1))</f>
        <v/>
      </c>
      <c r="L4463" t="str">
        <f t="shared" si="348"/>
        <v/>
      </c>
      <c r="M4463" t="str">
        <f t="shared" si="349"/>
        <v/>
      </c>
    </row>
    <row r="4464" spans="1:13" x14ac:dyDescent="0.3">
      <c r="A4464" t="str">
        <f>Segmenter!A4464</f>
        <v/>
      </c>
      <c r="B4464" t="str">
        <f>Segmenter!B4464</f>
        <v/>
      </c>
      <c r="C4464" t="str">
        <f t="shared" si="345"/>
        <v/>
      </c>
      <c r="D4464" t="str">
        <f t="shared" si="346"/>
        <v/>
      </c>
      <c r="E4464" t="str">
        <f t="shared" si="347"/>
        <v/>
      </c>
      <c r="F4464" t="str">
        <f>IF(D4464="","",INDEX(Knutepunkter!$B:$B,D4464+1))</f>
        <v/>
      </c>
      <c r="G4464" t="str">
        <f>IF(D4464="","",INDEX(Knutepunkter!$C:$C,D4464+1))</f>
        <v/>
      </c>
      <c r="H4464" t="str">
        <f>IF(D4464="","",INDEX(Knutepunkter!$D:$D,D4464+1))</f>
        <v/>
      </c>
      <c r="I4464" t="str">
        <f>IF(E4464="","",INDEX(Knutepunkter!$B:$B,E4464+1))</f>
        <v/>
      </c>
      <c r="J4464" t="str">
        <f>IF(E4464="","",INDEX(Knutepunkter!$C:$C,E4464+1))</f>
        <v/>
      </c>
      <c r="K4464" t="str">
        <f>IF(E4464="","",INDEX(Knutepunkter!$D:$D,E4464+1))</f>
        <v/>
      </c>
      <c r="L4464" t="str">
        <f t="shared" si="348"/>
        <v/>
      </c>
      <c r="M4464" t="str">
        <f t="shared" si="349"/>
        <v/>
      </c>
    </row>
    <row r="4465" spans="1:13" x14ac:dyDescent="0.3">
      <c r="A4465" t="str">
        <f>Segmenter!A4465</f>
        <v/>
      </c>
      <c r="B4465" t="str">
        <f>Segmenter!B4465</f>
        <v/>
      </c>
      <c r="C4465" t="str">
        <f t="shared" si="345"/>
        <v/>
      </c>
      <c r="D4465" t="str">
        <f t="shared" si="346"/>
        <v/>
      </c>
      <c r="E4465" t="str">
        <f t="shared" si="347"/>
        <v/>
      </c>
      <c r="F4465" t="str">
        <f>IF(D4465="","",INDEX(Knutepunkter!$B:$B,D4465+1))</f>
        <v/>
      </c>
      <c r="G4465" t="str">
        <f>IF(D4465="","",INDEX(Knutepunkter!$C:$C,D4465+1))</f>
        <v/>
      </c>
      <c r="H4465" t="str">
        <f>IF(D4465="","",INDEX(Knutepunkter!$D:$D,D4465+1))</f>
        <v/>
      </c>
      <c r="I4465" t="str">
        <f>IF(E4465="","",INDEX(Knutepunkter!$B:$B,E4465+1))</f>
        <v/>
      </c>
      <c r="J4465" t="str">
        <f>IF(E4465="","",INDEX(Knutepunkter!$C:$C,E4465+1))</f>
        <v/>
      </c>
      <c r="K4465" t="str">
        <f>IF(E4465="","",INDEX(Knutepunkter!$D:$D,E4465+1))</f>
        <v/>
      </c>
      <c r="L4465" t="str">
        <f t="shared" si="348"/>
        <v/>
      </c>
      <c r="M4465" t="str">
        <f t="shared" si="349"/>
        <v/>
      </c>
    </row>
    <row r="4466" spans="1:13" x14ac:dyDescent="0.3">
      <c r="A4466" t="str">
        <f>Segmenter!A4466</f>
        <v/>
      </c>
      <c r="B4466" t="str">
        <f>Segmenter!B4466</f>
        <v/>
      </c>
      <c r="C4466" t="str">
        <f t="shared" si="345"/>
        <v/>
      </c>
      <c r="D4466" t="str">
        <f t="shared" si="346"/>
        <v/>
      </c>
      <c r="E4466" t="str">
        <f t="shared" si="347"/>
        <v/>
      </c>
      <c r="F4466" t="str">
        <f>IF(D4466="","",INDEX(Knutepunkter!$B:$B,D4466+1))</f>
        <v/>
      </c>
      <c r="G4466" t="str">
        <f>IF(D4466="","",INDEX(Knutepunkter!$C:$C,D4466+1))</f>
        <v/>
      </c>
      <c r="H4466" t="str">
        <f>IF(D4466="","",INDEX(Knutepunkter!$D:$D,D4466+1))</f>
        <v/>
      </c>
      <c r="I4466" t="str">
        <f>IF(E4466="","",INDEX(Knutepunkter!$B:$B,E4466+1))</f>
        <v/>
      </c>
      <c r="J4466" t="str">
        <f>IF(E4466="","",INDEX(Knutepunkter!$C:$C,E4466+1))</f>
        <v/>
      </c>
      <c r="K4466" t="str">
        <f>IF(E4466="","",INDEX(Knutepunkter!$D:$D,E4466+1))</f>
        <v/>
      </c>
      <c r="L4466" t="str">
        <f t="shared" si="348"/>
        <v/>
      </c>
      <c r="M4466" t="str">
        <f t="shared" si="349"/>
        <v/>
      </c>
    </row>
    <row r="4467" spans="1:13" x14ac:dyDescent="0.3">
      <c r="A4467" t="str">
        <f>Segmenter!A4467</f>
        <v/>
      </c>
      <c r="B4467" t="str">
        <f>Segmenter!B4467</f>
        <v/>
      </c>
      <c r="C4467" t="str">
        <f t="shared" si="345"/>
        <v/>
      </c>
      <c r="D4467" t="str">
        <f t="shared" si="346"/>
        <v/>
      </c>
      <c r="E4467" t="str">
        <f t="shared" si="347"/>
        <v/>
      </c>
      <c r="F4467" t="str">
        <f>IF(D4467="","",INDEX(Knutepunkter!$B:$B,D4467+1))</f>
        <v/>
      </c>
      <c r="G4467" t="str">
        <f>IF(D4467="","",INDEX(Knutepunkter!$C:$C,D4467+1))</f>
        <v/>
      </c>
      <c r="H4467" t="str">
        <f>IF(D4467="","",INDEX(Knutepunkter!$D:$D,D4467+1))</f>
        <v/>
      </c>
      <c r="I4467" t="str">
        <f>IF(E4467="","",INDEX(Knutepunkter!$B:$B,E4467+1))</f>
        <v/>
      </c>
      <c r="J4467" t="str">
        <f>IF(E4467="","",INDEX(Knutepunkter!$C:$C,E4467+1))</f>
        <v/>
      </c>
      <c r="K4467" t="str">
        <f>IF(E4467="","",INDEX(Knutepunkter!$D:$D,E4467+1))</f>
        <v/>
      </c>
      <c r="L4467" t="str">
        <f t="shared" si="348"/>
        <v/>
      </c>
      <c r="M4467" t="str">
        <f t="shared" si="349"/>
        <v/>
      </c>
    </row>
    <row r="4468" spans="1:13" x14ac:dyDescent="0.3">
      <c r="A4468" t="str">
        <f>Segmenter!A4468</f>
        <v/>
      </c>
      <c r="B4468" t="str">
        <f>Segmenter!B4468</f>
        <v/>
      </c>
      <c r="C4468" t="str">
        <f t="shared" si="345"/>
        <v/>
      </c>
      <c r="D4468" t="str">
        <f t="shared" si="346"/>
        <v/>
      </c>
      <c r="E4468" t="str">
        <f t="shared" si="347"/>
        <v/>
      </c>
      <c r="F4468" t="str">
        <f>IF(D4468="","",INDEX(Knutepunkter!$B:$B,D4468+1))</f>
        <v/>
      </c>
      <c r="G4468" t="str">
        <f>IF(D4468="","",INDEX(Knutepunkter!$C:$C,D4468+1))</f>
        <v/>
      </c>
      <c r="H4468" t="str">
        <f>IF(D4468="","",INDEX(Knutepunkter!$D:$D,D4468+1))</f>
        <v/>
      </c>
      <c r="I4468" t="str">
        <f>IF(E4468="","",INDEX(Knutepunkter!$B:$B,E4468+1))</f>
        <v/>
      </c>
      <c r="J4468" t="str">
        <f>IF(E4468="","",INDEX(Knutepunkter!$C:$C,E4468+1))</f>
        <v/>
      </c>
      <c r="K4468" t="str">
        <f>IF(E4468="","",INDEX(Knutepunkter!$D:$D,E4468+1))</f>
        <v/>
      </c>
      <c r="L4468" t="str">
        <f t="shared" si="348"/>
        <v/>
      </c>
      <c r="M4468" t="str">
        <f t="shared" si="349"/>
        <v/>
      </c>
    </row>
    <row r="4469" spans="1:13" x14ac:dyDescent="0.3">
      <c r="A4469" t="str">
        <f>Segmenter!A4469</f>
        <v/>
      </c>
      <c r="B4469" t="str">
        <f>Segmenter!B4469</f>
        <v/>
      </c>
      <c r="C4469" t="str">
        <f t="shared" si="345"/>
        <v/>
      </c>
      <c r="D4469" t="str">
        <f t="shared" si="346"/>
        <v/>
      </c>
      <c r="E4469" t="str">
        <f t="shared" si="347"/>
        <v/>
      </c>
      <c r="F4469" t="str">
        <f>IF(D4469="","",INDEX(Knutepunkter!$B:$B,D4469+1))</f>
        <v/>
      </c>
      <c r="G4469" t="str">
        <f>IF(D4469="","",INDEX(Knutepunkter!$C:$C,D4469+1))</f>
        <v/>
      </c>
      <c r="H4469" t="str">
        <f>IF(D4469="","",INDEX(Knutepunkter!$D:$D,D4469+1))</f>
        <v/>
      </c>
      <c r="I4469" t="str">
        <f>IF(E4469="","",INDEX(Knutepunkter!$B:$B,E4469+1))</f>
        <v/>
      </c>
      <c r="J4469" t="str">
        <f>IF(E4469="","",INDEX(Knutepunkter!$C:$C,E4469+1))</f>
        <v/>
      </c>
      <c r="K4469" t="str">
        <f>IF(E4469="","",INDEX(Knutepunkter!$D:$D,E4469+1))</f>
        <v/>
      </c>
      <c r="L4469" t="str">
        <f t="shared" si="348"/>
        <v/>
      </c>
      <c r="M4469" t="str">
        <f t="shared" si="349"/>
        <v/>
      </c>
    </row>
    <row r="4470" spans="1:13" x14ac:dyDescent="0.3">
      <c r="A4470" t="str">
        <f>Segmenter!A4470</f>
        <v/>
      </c>
      <c r="B4470" t="str">
        <f>Segmenter!B4470</f>
        <v/>
      </c>
      <c r="C4470" t="str">
        <f t="shared" si="345"/>
        <v/>
      </c>
      <c r="D4470" t="str">
        <f t="shared" si="346"/>
        <v/>
      </c>
      <c r="E4470" t="str">
        <f t="shared" si="347"/>
        <v/>
      </c>
      <c r="F4470" t="str">
        <f>IF(D4470="","",INDEX(Knutepunkter!$B:$B,D4470+1))</f>
        <v/>
      </c>
      <c r="G4470" t="str">
        <f>IF(D4470="","",INDEX(Knutepunkter!$C:$C,D4470+1))</f>
        <v/>
      </c>
      <c r="H4470" t="str">
        <f>IF(D4470="","",INDEX(Knutepunkter!$D:$D,D4470+1))</f>
        <v/>
      </c>
      <c r="I4470" t="str">
        <f>IF(E4470="","",INDEX(Knutepunkter!$B:$B,E4470+1))</f>
        <v/>
      </c>
      <c r="J4470" t="str">
        <f>IF(E4470="","",INDEX(Knutepunkter!$C:$C,E4470+1))</f>
        <v/>
      </c>
      <c r="K4470" t="str">
        <f>IF(E4470="","",INDEX(Knutepunkter!$D:$D,E4470+1))</f>
        <v/>
      </c>
      <c r="L4470" t="str">
        <f t="shared" si="348"/>
        <v/>
      </c>
      <c r="M4470" t="str">
        <f t="shared" si="349"/>
        <v/>
      </c>
    </row>
    <row r="4471" spans="1:13" x14ac:dyDescent="0.3">
      <c r="A4471" t="str">
        <f>Segmenter!A4471</f>
        <v/>
      </c>
      <c r="B4471" t="str">
        <f>Segmenter!B4471</f>
        <v/>
      </c>
      <c r="C4471" t="str">
        <f t="shared" si="345"/>
        <v/>
      </c>
      <c r="D4471" t="str">
        <f t="shared" si="346"/>
        <v/>
      </c>
      <c r="E4471" t="str">
        <f t="shared" si="347"/>
        <v/>
      </c>
      <c r="F4471" t="str">
        <f>IF(D4471="","",INDEX(Knutepunkter!$B:$B,D4471+1))</f>
        <v/>
      </c>
      <c r="G4471" t="str">
        <f>IF(D4471="","",INDEX(Knutepunkter!$C:$C,D4471+1))</f>
        <v/>
      </c>
      <c r="H4471" t="str">
        <f>IF(D4471="","",INDEX(Knutepunkter!$D:$D,D4471+1))</f>
        <v/>
      </c>
      <c r="I4471" t="str">
        <f>IF(E4471="","",INDEX(Knutepunkter!$B:$B,E4471+1))</f>
        <v/>
      </c>
      <c r="J4471" t="str">
        <f>IF(E4471="","",INDEX(Knutepunkter!$C:$C,E4471+1))</f>
        <v/>
      </c>
      <c r="K4471" t="str">
        <f>IF(E4471="","",INDEX(Knutepunkter!$D:$D,E4471+1))</f>
        <v/>
      </c>
      <c r="L4471" t="str">
        <f t="shared" si="348"/>
        <v/>
      </c>
      <c r="M4471" t="str">
        <f t="shared" si="349"/>
        <v/>
      </c>
    </row>
    <row r="4472" spans="1:13" x14ac:dyDescent="0.3">
      <c r="A4472" t="str">
        <f>Segmenter!A4472</f>
        <v/>
      </c>
      <c r="B4472" t="str">
        <f>Segmenter!B4472</f>
        <v/>
      </c>
      <c r="C4472" t="str">
        <f t="shared" si="345"/>
        <v/>
      </c>
      <c r="D4472" t="str">
        <f t="shared" si="346"/>
        <v/>
      </c>
      <c r="E4472" t="str">
        <f t="shared" si="347"/>
        <v/>
      </c>
      <c r="F4472" t="str">
        <f>IF(D4472="","",INDEX(Knutepunkter!$B:$B,D4472+1))</f>
        <v/>
      </c>
      <c r="G4472" t="str">
        <f>IF(D4472="","",INDEX(Knutepunkter!$C:$C,D4472+1))</f>
        <v/>
      </c>
      <c r="H4472" t="str">
        <f>IF(D4472="","",INDEX(Knutepunkter!$D:$D,D4472+1))</f>
        <v/>
      </c>
      <c r="I4472" t="str">
        <f>IF(E4472="","",INDEX(Knutepunkter!$B:$B,E4472+1))</f>
        <v/>
      </c>
      <c r="J4472" t="str">
        <f>IF(E4472="","",INDEX(Knutepunkter!$C:$C,E4472+1))</f>
        <v/>
      </c>
      <c r="K4472" t="str">
        <f>IF(E4472="","",INDEX(Knutepunkter!$D:$D,E4472+1))</f>
        <v/>
      </c>
      <c r="L4472" t="str">
        <f t="shared" si="348"/>
        <v/>
      </c>
      <c r="M4472" t="str">
        <f t="shared" si="349"/>
        <v/>
      </c>
    </row>
    <row r="4473" spans="1:13" x14ac:dyDescent="0.3">
      <c r="A4473" t="str">
        <f>Segmenter!A4473</f>
        <v/>
      </c>
      <c r="B4473" t="str">
        <f>Segmenter!B4473</f>
        <v/>
      </c>
      <c r="C4473" t="str">
        <f t="shared" si="345"/>
        <v/>
      </c>
      <c r="D4473" t="str">
        <f t="shared" si="346"/>
        <v/>
      </c>
      <c r="E4473" t="str">
        <f t="shared" si="347"/>
        <v/>
      </c>
      <c r="F4473" t="str">
        <f>IF(D4473="","",INDEX(Knutepunkter!$B:$B,D4473+1))</f>
        <v/>
      </c>
      <c r="G4473" t="str">
        <f>IF(D4473="","",INDEX(Knutepunkter!$C:$C,D4473+1))</f>
        <v/>
      </c>
      <c r="H4473" t="str">
        <f>IF(D4473="","",INDEX(Knutepunkter!$D:$D,D4473+1))</f>
        <v/>
      </c>
      <c r="I4473" t="str">
        <f>IF(E4473="","",INDEX(Knutepunkter!$B:$B,E4473+1))</f>
        <v/>
      </c>
      <c r="J4473" t="str">
        <f>IF(E4473="","",INDEX(Knutepunkter!$C:$C,E4473+1))</f>
        <v/>
      </c>
      <c r="K4473" t="str">
        <f>IF(E4473="","",INDEX(Knutepunkter!$D:$D,E4473+1))</f>
        <v/>
      </c>
      <c r="L4473" t="str">
        <f t="shared" si="348"/>
        <v/>
      </c>
      <c r="M4473" t="str">
        <f t="shared" si="349"/>
        <v/>
      </c>
    </row>
    <row r="4474" spans="1:13" x14ac:dyDescent="0.3">
      <c r="A4474" t="str">
        <f>Segmenter!A4474</f>
        <v/>
      </c>
      <c r="B4474" t="str">
        <f>Segmenter!B4474</f>
        <v/>
      </c>
      <c r="C4474" t="str">
        <f t="shared" si="345"/>
        <v/>
      </c>
      <c r="D4474" t="str">
        <f t="shared" si="346"/>
        <v/>
      </c>
      <c r="E4474" t="str">
        <f t="shared" si="347"/>
        <v/>
      </c>
      <c r="F4474" t="str">
        <f>IF(D4474="","",INDEX(Knutepunkter!$B:$B,D4474+1))</f>
        <v/>
      </c>
      <c r="G4474" t="str">
        <f>IF(D4474="","",INDEX(Knutepunkter!$C:$C,D4474+1))</f>
        <v/>
      </c>
      <c r="H4474" t="str">
        <f>IF(D4474="","",INDEX(Knutepunkter!$D:$D,D4474+1))</f>
        <v/>
      </c>
      <c r="I4474" t="str">
        <f>IF(E4474="","",INDEX(Knutepunkter!$B:$B,E4474+1))</f>
        <v/>
      </c>
      <c r="J4474" t="str">
        <f>IF(E4474="","",INDEX(Knutepunkter!$C:$C,E4474+1))</f>
        <v/>
      </c>
      <c r="K4474" t="str">
        <f>IF(E4474="","",INDEX(Knutepunkter!$D:$D,E4474+1))</f>
        <v/>
      </c>
      <c r="L4474" t="str">
        <f t="shared" si="348"/>
        <v/>
      </c>
      <c r="M4474" t="str">
        <f t="shared" si="349"/>
        <v/>
      </c>
    </row>
    <row r="4475" spans="1:13" x14ac:dyDescent="0.3">
      <c r="A4475" t="str">
        <f>Segmenter!A4475</f>
        <v/>
      </c>
      <c r="B4475" t="str">
        <f>Segmenter!B4475</f>
        <v/>
      </c>
      <c r="C4475" t="str">
        <f t="shared" si="345"/>
        <v/>
      </c>
      <c r="D4475" t="str">
        <f t="shared" si="346"/>
        <v/>
      </c>
      <c r="E4475" t="str">
        <f t="shared" si="347"/>
        <v/>
      </c>
      <c r="F4475" t="str">
        <f>IF(D4475="","",INDEX(Knutepunkter!$B:$B,D4475+1))</f>
        <v/>
      </c>
      <c r="G4475" t="str">
        <f>IF(D4475="","",INDEX(Knutepunkter!$C:$C,D4475+1))</f>
        <v/>
      </c>
      <c r="H4475" t="str">
        <f>IF(D4475="","",INDEX(Knutepunkter!$D:$D,D4475+1))</f>
        <v/>
      </c>
      <c r="I4475" t="str">
        <f>IF(E4475="","",INDEX(Knutepunkter!$B:$B,E4475+1))</f>
        <v/>
      </c>
      <c r="J4475" t="str">
        <f>IF(E4475="","",INDEX(Knutepunkter!$C:$C,E4475+1))</f>
        <v/>
      </c>
      <c r="K4475" t="str">
        <f>IF(E4475="","",INDEX(Knutepunkter!$D:$D,E4475+1))</f>
        <v/>
      </c>
      <c r="L4475" t="str">
        <f t="shared" si="348"/>
        <v/>
      </c>
      <c r="M4475" t="str">
        <f t="shared" si="349"/>
        <v/>
      </c>
    </row>
    <row r="4476" spans="1:13" x14ac:dyDescent="0.3">
      <c r="A4476" t="str">
        <f>Segmenter!A4476</f>
        <v/>
      </c>
      <c r="B4476" t="str">
        <f>Segmenter!B4476</f>
        <v/>
      </c>
      <c r="C4476" t="str">
        <f t="shared" si="345"/>
        <v/>
      </c>
      <c r="D4476" t="str">
        <f t="shared" si="346"/>
        <v/>
      </c>
      <c r="E4476" t="str">
        <f t="shared" si="347"/>
        <v/>
      </c>
      <c r="F4476" t="str">
        <f>IF(D4476="","",INDEX(Knutepunkter!$B:$B,D4476+1))</f>
        <v/>
      </c>
      <c r="G4476" t="str">
        <f>IF(D4476="","",INDEX(Knutepunkter!$C:$C,D4476+1))</f>
        <v/>
      </c>
      <c r="H4476" t="str">
        <f>IF(D4476="","",INDEX(Knutepunkter!$D:$D,D4476+1))</f>
        <v/>
      </c>
      <c r="I4476" t="str">
        <f>IF(E4476="","",INDEX(Knutepunkter!$B:$B,E4476+1))</f>
        <v/>
      </c>
      <c r="J4476" t="str">
        <f>IF(E4476="","",INDEX(Knutepunkter!$C:$C,E4476+1))</f>
        <v/>
      </c>
      <c r="K4476" t="str">
        <f>IF(E4476="","",INDEX(Knutepunkter!$D:$D,E4476+1))</f>
        <v/>
      </c>
      <c r="L4476" t="str">
        <f t="shared" si="348"/>
        <v/>
      </c>
      <c r="M4476" t="str">
        <f t="shared" si="349"/>
        <v/>
      </c>
    </row>
    <row r="4477" spans="1:13" x14ac:dyDescent="0.3">
      <c r="A4477" t="str">
        <f>Segmenter!A4477</f>
        <v/>
      </c>
      <c r="B4477" t="str">
        <f>Segmenter!B4477</f>
        <v/>
      </c>
      <c r="C4477" t="str">
        <f t="shared" si="345"/>
        <v/>
      </c>
      <c r="D4477" t="str">
        <f t="shared" si="346"/>
        <v/>
      </c>
      <c r="E4477" t="str">
        <f t="shared" si="347"/>
        <v/>
      </c>
      <c r="F4477" t="str">
        <f>IF(D4477="","",INDEX(Knutepunkter!$B:$B,D4477+1))</f>
        <v/>
      </c>
      <c r="G4477" t="str">
        <f>IF(D4477="","",INDEX(Knutepunkter!$C:$C,D4477+1))</f>
        <v/>
      </c>
      <c r="H4477" t="str">
        <f>IF(D4477="","",INDEX(Knutepunkter!$D:$D,D4477+1))</f>
        <v/>
      </c>
      <c r="I4477" t="str">
        <f>IF(E4477="","",INDEX(Knutepunkter!$B:$B,E4477+1))</f>
        <v/>
      </c>
      <c r="J4477" t="str">
        <f>IF(E4477="","",INDEX(Knutepunkter!$C:$C,E4477+1))</f>
        <v/>
      </c>
      <c r="K4477" t="str">
        <f>IF(E4477="","",INDEX(Knutepunkter!$D:$D,E4477+1))</f>
        <v/>
      </c>
      <c r="L4477" t="str">
        <f t="shared" si="348"/>
        <v/>
      </c>
      <c r="M4477" t="str">
        <f t="shared" si="349"/>
        <v/>
      </c>
    </row>
    <row r="4478" spans="1:13" x14ac:dyDescent="0.3">
      <c r="A4478" t="str">
        <f>Segmenter!A4478</f>
        <v/>
      </c>
      <c r="B4478" t="str">
        <f>Segmenter!B4478</f>
        <v/>
      </c>
      <c r="C4478" t="str">
        <f t="shared" si="345"/>
        <v/>
      </c>
      <c r="D4478" t="str">
        <f t="shared" si="346"/>
        <v/>
      </c>
      <c r="E4478" t="str">
        <f t="shared" si="347"/>
        <v/>
      </c>
      <c r="F4478" t="str">
        <f>IF(D4478="","",INDEX(Knutepunkter!$B:$B,D4478+1))</f>
        <v/>
      </c>
      <c r="G4478" t="str">
        <f>IF(D4478="","",INDEX(Knutepunkter!$C:$C,D4478+1))</f>
        <v/>
      </c>
      <c r="H4478" t="str">
        <f>IF(D4478="","",INDEX(Knutepunkter!$D:$D,D4478+1))</f>
        <v/>
      </c>
      <c r="I4478" t="str">
        <f>IF(E4478="","",INDEX(Knutepunkter!$B:$B,E4478+1))</f>
        <v/>
      </c>
      <c r="J4478" t="str">
        <f>IF(E4478="","",INDEX(Knutepunkter!$C:$C,E4478+1))</f>
        <v/>
      </c>
      <c r="K4478" t="str">
        <f>IF(E4478="","",INDEX(Knutepunkter!$D:$D,E4478+1))</f>
        <v/>
      </c>
      <c r="L4478" t="str">
        <f t="shared" si="348"/>
        <v/>
      </c>
      <c r="M4478" t="str">
        <f t="shared" si="349"/>
        <v/>
      </c>
    </row>
    <row r="4479" spans="1:13" x14ac:dyDescent="0.3">
      <c r="A4479" t="str">
        <f>Segmenter!A4479</f>
        <v/>
      </c>
      <c r="B4479" t="str">
        <f>Segmenter!B4479</f>
        <v/>
      </c>
      <c r="C4479" t="str">
        <f t="shared" si="345"/>
        <v/>
      </c>
      <c r="D4479" t="str">
        <f t="shared" si="346"/>
        <v/>
      </c>
      <c r="E4479" t="str">
        <f t="shared" si="347"/>
        <v/>
      </c>
      <c r="F4479" t="str">
        <f>IF(D4479="","",INDEX(Knutepunkter!$B:$B,D4479+1))</f>
        <v/>
      </c>
      <c r="G4479" t="str">
        <f>IF(D4479="","",INDEX(Knutepunkter!$C:$C,D4479+1))</f>
        <v/>
      </c>
      <c r="H4479" t="str">
        <f>IF(D4479="","",INDEX(Knutepunkter!$D:$D,D4479+1))</f>
        <v/>
      </c>
      <c r="I4479" t="str">
        <f>IF(E4479="","",INDEX(Knutepunkter!$B:$B,E4479+1))</f>
        <v/>
      </c>
      <c r="J4479" t="str">
        <f>IF(E4479="","",INDEX(Knutepunkter!$C:$C,E4479+1))</f>
        <v/>
      </c>
      <c r="K4479" t="str">
        <f>IF(E4479="","",INDEX(Knutepunkter!$D:$D,E4479+1))</f>
        <v/>
      </c>
      <c r="L4479" t="str">
        <f t="shared" si="348"/>
        <v/>
      </c>
      <c r="M4479" t="str">
        <f t="shared" si="349"/>
        <v/>
      </c>
    </row>
    <row r="4480" spans="1:13" x14ac:dyDescent="0.3">
      <c r="A4480" t="str">
        <f>Segmenter!A4480</f>
        <v/>
      </c>
      <c r="B4480" t="str">
        <f>Segmenter!B4480</f>
        <v/>
      </c>
      <c r="C4480" t="str">
        <f t="shared" si="345"/>
        <v/>
      </c>
      <c r="D4480" t="str">
        <f t="shared" si="346"/>
        <v/>
      </c>
      <c r="E4480" t="str">
        <f t="shared" si="347"/>
        <v/>
      </c>
      <c r="F4480" t="str">
        <f>IF(D4480="","",INDEX(Knutepunkter!$B:$B,D4480+1))</f>
        <v/>
      </c>
      <c r="G4480" t="str">
        <f>IF(D4480="","",INDEX(Knutepunkter!$C:$C,D4480+1))</f>
        <v/>
      </c>
      <c r="H4480" t="str">
        <f>IF(D4480="","",INDEX(Knutepunkter!$D:$D,D4480+1))</f>
        <v/>
      </c>
      <c r="I4480" t="str">
        <f>IF(E4480="","",INDEX(Knutepunkter!$B:$B,E4480+1))</f>
        <v/>
      </c>
      <c r="J4480" t="str">
        <f>IF(E4480="","",INDEX(Knutepunkter!$C:$C,E4480+1))</f>
        <v/>
      </c>
      <c r="K4480" t="str">
        <f>IF(E4480="","",INDEX(Knutepunkter!$D:$D,E4480+1))</f>
        <v/>
      </c>
      <c r="L4480" t="str">
        <f t="shared" si="348"/>
        <v/>
      </c>
      <c r="M4480" t="str">
        <f t="shared" si="349"/>
        <v/>
      </c>
    </row>
    <row r="4481" spans="1:13" x14ac:dyDescent="0.3">
      <c r="A4481" t="str">
        <f>Segmenter!A4481</f>
        <v/>
      </c>
      <c r="B4481" t="str">
        <f>Segmenter!B4481</f>
        <v/>
      </c>
      <c r="C4481" t="str">
        <f t="shared" si="345"/>
        <v/>
      </c>
      <c r="D4481" t="str">
        <f t="shared" si="346"/>
        <v/>
      </c>
      <c r="E4481" t="str">
        <f t="shared" si="347"/>
        <v/>
      </c>
      <c r="F4481" t="str">
        <f>IF(D4481="","",INDEX(Knutepunkter!$B:$B,D4481+1))</f>
        <v/>
      </c>
      <c r="G4481" t="str">
        <f>IF(D4481="","",INDEX(Knutepunkter!$C:$C,D4481+1))</f>
        <v/>
      </c>
      <c r="H4481" t="str">
        <f>IF(D4481="","",INDEX(Knutepunkter!$D:$D,D4481+1))</f>
        <v/>
      </c>
      <c r="I4481" t="str">
        <f>IF(E4481="","",INDEX(Knutepunkter!$B:$B,E4481+1))</f>
        <v/>
      </c>
      <c r="J4481" t="str">
        <f>IF(E4481="","",INDEX(Knutepunkter!$C:$C,E4481+1))</f>
        <v/>
      </c>
      <c r="K4481" t="str">
        <f>IF(E4481="","",INDEX(Knutepunkter!$D:$D,E4481+1))</f>
        <v/>
      </c>
      <c r="L4481" t="str">
        <f t="shared" si="348"/>
        <v/>
      </c>
      <c r="M4481" t="str">
        <f t="shared" si="349"/>
        <v/>
      </c>
    </row>
    <row r="4482" spans="1:13" x14ac:dyDescent="0.3">
      <c r="A4482" t="str">
        <f>Segmenter!A4482</f>
        <v/>
      </c>
      <c r="B4482" t="str">
        <f>Segmenter!B4482</f>
        <v/>
      </c>
      <c r="C4482" t="str">
        <f t="shared" ref="C4482:C4545" si="350">IF(B4482="","",IF(AND(F4482=I4482,G4482=J4482,H4482&lt;&gt;K4482),"Søyle","Bjelke"))</f>
        <v/>
      </c>
      <c r="D4482" t="str">
        <f t="shared" ref="D4482:D4545" si="351">IF(B4482="","",VALUE(LEFT(B4482,FIND(" -&gt; ",B4482)-1)))</f>
        <v/>
      </c>
      <c r="E4482" t="str">
        <f t="shared" ref="E4482:E4545" si="352">IF(B4482="","",VALUE(MID(B4482,FIND(" -&gt; ",B4482)+4,99)))</f>
        <v/>
      </c>
      <c r="F4482" t="str">
        <f>IF(D4482="","",INDEX(Knutepunkter!$B:$B,D4482+1))</f>
        <v/>
      </c>
      <c r="G4482" t="str">
        <f>IF(D4482="","",INDEX(Knutepunkter!$C:$C,D4482+1))</f>
        <v/>
      </c>
      <c r="H4482" t="str">
        <f>IF(D4482="","",INDEX(Knutepunkter!$D:$D,D4482+1))</f>
        <v/>
      </c>
      <c r="I4482" t="str">
        <f>IF(E4482="","",INDEX(Knutepunkter!$B:$B,E4482+1))</f>
        <v/>
      </c>
      <c r="J4482" t="str">
        <f>IF(E4482="","",INDEX(Knutepunkter!$C:$C,E4482+1))</f>
        <v/>
      </c>
      <c r="K4482" t="str">
        <f>IF(E4482="","",INDEX(Knutepunkter!$D:$D,E4482+1))</f>
        <v/>
      </c>
      <c r="L4482" t="str">
        <f t="shared" ref="L4482:L4545" si="353">IF(B4482="","",SQRT((I4482-F4482)^2+(J4482-G4482)^2+(K4482-H4482)^2))</f>
        <v/>
      </c>
      <c r="M4482" t="str">
        <f t="shared" ref="M4482:M4545" si="354">IF(L4482="","",L4482/1000)</f>
        <v/>
      </c>
    </row>
    <row r="4483" spans="1:13" x14ac:dyDescent="0.3">
      <c r="A4483" t="str">
        <f>Segmenter!A4483</f>
        <v/>
      </c>
      <c r="B4483" t="str">
        <f>Segmenter!B4483</f>
        <v/>
      </c>
      <c r="C4483" t="str">
        <f t="shared" si="350"/>
        <v/>
      </c>
      <c r="D4483" t="str">
        <f t="shared" si="351"/>
        <v/>
      </c>
      <c r="E4483" t="str">
        <f t="shared" si="352"/>
        <v/>
      </c>
      <c r="F4483" t="str">
        <f>IF(D4483="","",INDEX(Knutepunkter!$B:$B,D4483+1))</f>
        <v/>
      </c>
      <c r="G4483" t="str">
        <f>IF(D4483="","",INDEX(Knutepunkter!$C:$C,D4483+1))</f>
        <v/>
      </c>
      <c r="H4483" t="str">
        <f>IF(D4483="","",INDEX(Knutepunkter!$D:$D,D4483+1))</f>
        <v/>
      </c>
      <c r="I4483" t="str">
        <f>IF(E4483="","",INDEX(Knutepunkter!$B:$B,E4483+1))</f>
        <v/>
      </c>
      <c r="J4483" t="str">
        <f>IF(E4483="","",INDEX(Knutepunkter!$C:$C,E4483+1))</f>
        <v/>
      </c>
      <c r="K4483" t="str">
        <f>IF(E4483="","",INDEX(Knutepunkter!$D:$D,E4483+1))</f>
        <v/>
      </c>
      <c r="L4483" t="str">
        <f t="shared" si="353"/>
        <v/>
      </c>
      <c r="M4483" t="str">
        <f t="shared" si="354"/>
        <v/>
      </c>
    </row>
    <row r="4484" spans="1:13" x14ac:dyDescent="0.3">
      <c r="A4484" t="str">
        <f>Segmenter!A4484</f>
        <v/>
      </c>
      <c r="B4484" t="str">
        <f>Segmenter!B4484</f>
        <v/>
      </c>
      <c r="C4484" t="str">
        <f t="shared" si="350"/>
        <v/>
      </c>
      <c r="D4484" t="str">
        <f t="shared" si="351"/>
        <v/>
      </c>
      <c r="E4484" t="str">
        <f t="shared" si="352"/>
        <v/>
      </c>
      <c r="F4484" t="str">
        <f>IF(D4484="","",INDEX(Knutepunkter!$B:$B,D4484+1))</f>
        <v/>
      </c>
      <c r="G4484" t="str">
        <f>IF(D4484="","",INDEX(Knutepunkter!$C:$C,D4484+1))</f>
        <v/>
      </c>
      <c r="H4484" t="str">
        <f>IF(D4484="","",INDEX(Knutepunkter!$D:$D,D4484+1))</f>
        <v/>
      </c>
      <c r="I4484" t="str">
        <f>IF(E4484="","",INDEX(Knutepunkter!$B:$B,E4484+1))</f>
        <v/>
      </c>
      <c r="J4484" t="str">
        <f>IF(E4484="","",INDEX(Knutepunkter!$C:$C,E4484+1))</f>
        <v/>
      </c>
      <c r="K4484" t="str">
        <f>IF(E4484="","",INDEX(Knutepunkter!$D:$D,E4484+1))</f>
        <v/>
      </c>
      <c r="L4484" t="str">
        <f t="shared" si="353"/>
        <v/>
      </c>
      <c r="M4484" t="str">
        <f t="shared" si="354"/>
        <v/>
      </c>
    </row>
    <row r="4485" spans="1:13" x14ac:dyDescent="0.3">
      <c r="A4485" t="str">
        <f>Segmenter!A4485</f>
        <v/>
      </c>
      <c r="B4485" t="str">
        <f>Segmenter!B4485</f>
        <v/>
      </c>
      <c r="C4485" t="str">
        <f t="shared" si="350"/>
        <v/>
      </c>
      <c r="D4485" t="str">
        <f t="shared" si="351"/>
        <v/>
      </c>
      <c r="E4485" t="str">
        <f t="shared" si="352"/>
        <v/>
      </c>
      <c r="F4485" t="str">
        <f>IF(D4485="","",INDEX(Knutepunkter!$B:$B,D4485+1))</f>
        <v/>
      </c>
      <c r="G4485" t="str">
        <f>IF(D4485="","",INDEX(Knutepunkter!$C:$C,D4485+1))</f>
        <v/>
      </c>
      <c r="H4485" t="str">
        <f>IF(D4485="","",INDEX(Knutepunkter!$D:$D,D4485+1))</f>
        <v/>
      </c>
      <c r="I4485" t="str">
        <f>IF(E4485="","",INDEX(Knutepunkter!$B:$B,E4485+1))</f>
        <v/>
      </c>
      <c r="J4485" t="str">
        <f>IF(E4485="","",INDEX(Knutepunkter!$C:$C,E4485+1))</f>
        <v/>
      </c>
      <c r="K4485" t="str">
        <f>IF(E4485="","",INDEX(Knutepunkter!$D:$D,E4485+1))</f>
        <v/>
      </c>
      <c r="L4485" t="str">
        <f t="shared" si="353"/>
        <v/>
      </c>
      <c r="M4485" t="str">
        <f t="shared" si="354"/>
        <v/>
      </c>
    </row>
    <row r="4486" spans="1:13" x14ac:dyDescent="0.3">
      <c r="A4486" t="str">
        <f>Segmenter!A4486</f>
        <v/>
      </c>
      <c r="B4486" t="str">
        <f>Segmenter!B4486</f>
        <v/>
      </c>
      <c r="C4486" t="str">
        <f t="shared" si="350"/>
        <v/>
      </c>
      <c r="D4486" t="str">
        <f t="shared" si="351"/>
        <v/>
      </c>
      <c r="E4486" t="str">
        <f t="shared" si="352"/>
        <v/>
      </c>
      <c r="F4486" t="str">
        <f>IF(D4486="","",INDEX(Knutepunkter!$B:$B,D4486+1))</f>
        <v/>
      </c>
      <c r="G4486" t="str">
        <f>IF(D4486="","",INDEX(Knutepunkter!$C:$C,D4486+1))</f>
        <v/>
      </c>
      <c r="H4486" t="str">
        <f>IF(D4486="","",INDEX(Knutepunkter!$D:$D,D4486+1))</f>
        <v/>
      </c>
      <c r="I4486" t="str">
        <f>IF(E4486="","",INDEX(Knutepunkter!$B:$B,E4486+1))</f>
        <v/>
      </c>
      <c r="J4486" t="str">
        <f>IF(E4486="","",INDEX(Knutepunkter!$C:$C,E4486+1))</f>
        <v/>
      </c>
      <c r="K4486" t="str">
        <f>IF(E4486="","",INDEX(Knutepunkter!$D:$D,E4486+1))</f>
        <v/>
      </c>
      <c r="L4486" t="str">
        <f t="shared" si="353"/>
        <v/>
      </c>
      <c r="M4486" t="str">
        <f t="shared" si="354"/>
        <v/>
      </c>
    </row>
    <row r="4487" spans="1:13" x14ac:dyDescent="0.3">
      <c r="A4487" t="str">
        <f>Segmenter!A4487</f>
        <v/>
      </c>
      <c r="B4487" t="str">
        <f>Segmenter!B4487</f>
        <v/>
      </c>
      <c r="C4487" t="str">
        <f t="shared" si="350"/>
        <v/>
      </c>
      <c r="D4487" t="str">
        <f t="shared" si="351"/>
        <v/>
      </c>
      <c r="E4487" t="str">
        <f t="shared" si="352"/>
        <v/>
      </c>
      <c r="F4487" t="str">
        <f>IF(D4487="","",INDEX(Knutepunkter!$B:$B,D4487+1))</f>
        <v/>
      </c>
      <c r="G4487" t="str">
        <f>IF(D4487="","",INDEX(Knutepunkter!$C:$C,D4487+1))</f>
        <v/>
      </c>
      <c r="H4487" t="str">
        <f>IF(D4487="","",INDEX(Knutepunkter!$D:$D,D4487+1))</f>
        <v/>
      </c>
      <c r="I4487" t="str">
        <f>IF(E4487="","",INDEX(Knutepunkter!$B:$B,E4487+1))</f>
        <v/>
      </c>
      <c r="J4487" t="str">
        <f>IF(E4487="","",INDEX(Knutepunkter!$C:$C,E4487+1))</f>
        <v/>
      </c>
      <c r="K4487" t="str">
        <f>IF(E4487="","",INDEX(Knutepunkter!$D:$D,E4487+1))</f>
        <v/>
      </c>
      <c r="L4487" t="str">
        <f t="shared" si="353"/>
        <v/>
      </c>
      <c r="M4487" t="str">
        <f t="shared" si="354"/>
        <v/>
      </c>
    </row>
    <row r="4488" spans="1:13" x14ac:dyDescent="0.3">
      <c r="A4488" t="str">
        <f>Segmenter!A4488</f>
        <v/>
      </c>
      <c r="B4488" t="str">
        <f>Segmenter!B4488</f>
        <v/>
      </c>
      <c r="C4488" t="str">
        <f t="shared" si="350"/>
        <v/>
      </c>
      <c r="D4488" t="str">
        <f t="shared" si="351"/>
        <v/>
      </c>
      <c r="E4488" t="str">
        <f t="shared" si="352"/>
        <v/>
      </c>
      <c r="F4488" t="str">
        <f>IF(D4488="","",INDEX(Knutepunkter!$B:$B,D4488+1))</f>
        <v/>
      </c>
      <c r="G4488" t="str">
        <f>IF(D4488="","",INDEX(Knutepunkter!$C:$C,D4488+1))</f>
        <v/>
      </c>
      <c r="H4488" t="str">
        <f>IF(D4488="","",INDEX(Knutepunkter!$D:$D,D4488+1))</f>
        <v/>
      </c>
      <c r="I4488" t="str">
        <f>IF(E4488="","",INDEX(Knutepunkter!$B:$B,E4488+1))</f>
        <v/>
      </c>
      <c r="J4488" t="str">
        <f>IF(E4488="","",INDEX(Knutepunkter!$C:$C,E4488+1))</f>
        <v/>
      </c>
      <c r="K4488" t="str">
        <f>IF(E4488="","",INDEX(Knutepunkter!$D:$D,E4488+1))</f>
        <v/>
      </c>
      <c r="L4488" t="str">
        <f t="shared" si="353"/>
        <v/>
      </c>
      <c r="M4488" t="str">
        <f t="shared" si="354"/>
        <v/>
      </c>
    </row>
    <row r="4489" spans="1:13" x14ac:dyDescent="0.3">
      <c r="A4489" t="str">
        <f>Segmenter!A4489</f>
        <v/>
      </c>
      <c r="B4489" t="str">
        <f>Segmenter!B4489</f>
        <v/>
      </c>
      <c r="C4489" t="str">
        <f t="shared" si="350"/>
        <v/>
      </c>
      <c r="D4489" t="str">
        <f t="shared" si="351"/>
        <v/>
      </c>
      <c r="E4489" t="str">
        <f t="shared" si="352"/>
        <v/>
      </c>
      <c r="F4489" t="str">
        <f>IF(D4489="","",INDEX(Knutepunkter!$B:$B,D4489+1))</f>
        <v/>
      </c>
      <c r="G4489" t="str">
        <f>IF(D4489="","",INDEX(Knutepunkter!$C:$C,D4489+1))</f>
        <v/>
      </c>
      <c r="H4489" t="str">
        <f>IF(D4489="","",INDEX(Knutepunkter!$D:$D,D4489+1))</f>
        <v/>
      </c>
      <c r="I4489" t="str">
        <f>IF(E4489="","",INDEX(Knutepunkter!$B:$B,E4489+1))</f>
        <v/>
      </c>
      <c r="J4489" t="str">
        <f>IF(E4489="","",INDEX(Knutepunkter!$C:$C,E4489+1))</f>
        <v/>
      </c>
      <c r="K4489" t="str">
        <f>IF(E4489="","",INDEX(Knutepunkter!$D:$D,E4489+1))</f>
        <v/>
      </c>
      <c r="L4489" t="str">
        <f t="shared" si="353"/>
        <v/>
      </c>
      <c r="M4489" t="str">
        <f t="shared" si="354"/>
        <v/>
      </c>
    </row>
    <row r="4490" spans="1:13" x14ac:dyDescent="0.3">
      <c r="A4490" t="str">
        <f>Segmenter!A4490</f>
        <v/>
      </c>
      <c r="B4490" t="str">
        <f>Segmenter!B4490</f>
        <v/>
      </c>
      <c r="C4490" t="str">
        <f t="shared" si="350"/>
        <v/>
      </c>
      <c r="D4490" t="str">
        <f t="shared" si="351"/>
        <v/>
      </c>
      <c r="E4490" t="str">
        <f t="shared" si="352"/>
        <v/>
      </c>
      <c r="F4490" t="str">
        <f>IF(D4490="","",INDEX(Knutepunkter!$B:$B,D4490+1))</f>
        <v/>
      </c>
      <c r="G4490" t="str">
        <f>IF(D4490="","",INDEX(Knutepunkter!$C:$C,D4490+1))</f>
        <v/>
      </c>
      <c r="H4490" t="str">
        <f>IF(D4490="","",INDEX(Knutepunkter!$D:$D,D4490+1))</f>
        <v/>
      </c>
      <c r="I4490" t="str">
        <f>IF(E4490="","",INDEX(Knutepunkter!$B:$B,E4490+1))</f>
        <v/>
      </c>
      <c r="J4490" t="str">
        <f>IF(E4490="","",INDEX(Knutepunkter!$C:$C,E4490+1))</f>
        <v/>
      </c>
      <c r="K4490" t="str">
        <f>IF(E4490="","",INDEX(Knutepunkter!$D:$D,E4490+1))</f>
        <v/>
      </c>
      <c r="L4490" t="str">
        <f t="shared" si="353"/>
        <v/>
      </c>
      <c r="M4490" t="str">
        <f t="shared" si="354"/>
        <v/>
      </c>
    </row>
    <row r="4491" spans="1:13" x14ac:dyDescent="0.3">
      <c r="A4491" t="str">
        <f>Segmenter!A4491</f>
        <v/>
      </c>
      <c r="B4491" t="str">
        <f>Segmenter!B4491</f>
        <v/>
      </c>
      <c r="C4491" t="str">
        <f t="shared" si="350"/>
        <v/>
      </c>
      <c r="D4491" t="str">
        <f t="shared" si="351"/>
        <v/>
      </c>
      <c r="E4491" t="str">
        <f t="shared" si="352"/>
        <v/>
      </c>
      <c r="F4491" t="str">
        <f>IF(D4491="","",INDEX(Knutepunkter!$B:$B,D4491+1))</f>
        <v/>
      </c>
      <c r="G4491" t="str">
        <f>IF(D4491="","",INDEX(Knutepunkter!$C:$C,D4491+1))</f>
        <v/>
      </c>
      <c r="H4491" t="str">
        <f>IF(D4491="","",INDEX(Knutepunkter!$D:$D,D4491+1))</f>
        <v/>
      </c>
      <c r="I4491" t="str">
        <f>IF(E4491="","",INDEX(Knutepunkter!$B:$B,E4491+1))</f>
        <v/>
      </c>
      <c r="J4491" t="str">
        <f>IF(E4491="","",INDEX(Knutepunkter!$C:$C,E4491+1))</f>
        <v/>
      </c>
      <c r="K4491" t="str">
        <f>IF(E4491="","",INDEX(Knutepunkter!$D:$D,E4491+1))</f>
        <v/>
      </c>
      <c r="L4491" t="str">
        <f t="shared" si="353"/>
        <v/>
      </c>
      <c r="M4491" t="str">
        <f t="shared" si="354"/>
        <v/>
      </c>
    </row>
    <row r="4492" spans="1:13" x14ac:dyDescent="0.3">
      <c r="A4492" t="str">
        <f>Segmenter!A4492</f>
        <v/>
      </c>
      <c r="B4492" t="str">
        <f>Segmenter!B4492</f>
        <v/>
      </c>
      <c r="C4492" t="str">
        <f t="shared" si="350"/>
        <v/>
      </c>
      <c r="D4492" t="str">
        <f t="shared" si="351"/>
        <v/>
      </c>
      <c r="E4492" t="str">
        <f t="shared" si="352"/>
        <v/>
      </c>
      <c r="F4492" t="str">
        <f>IF(D4492="","",INDEX(Knutepunkter!$B:$B,D4492+1))</f>
        <v/>
      </c>
      <c r="G4492" t="str">
        <f>IF(D4492="","",INDEX(Knutepunkter!$C:$C,D4492+1))</f>
        <v/>
      </c>
      <c r="H4492" t="str">
        <f>IF(D4492="","",INDEX(Knutepunkter!$D:$D,D4492+1))</f>
        <v/>
      </c>
      <c r="I4492" t="str">
        <f>IF(E4492="","",INDEX(Knutepunkter!$B:$B,E4492+1))</f>
        <v/>
      </c>
      <c r="J4492" t="str">
        <f>IF(E4492="","",INDEX(Knutepunkter!$C:$C,E4492+1))</f>
        <v/>
      </c>
      <c r="K4492" t="str">
        <f>IF(E4492="","",INDEX(Knutepunkter!$D:$D,E4492+1))</f>
        <v/>
      </c>
      <c r="L4492" t="str">
        <f t="shared" si="353"/>
        <v/>
      </c>
      <c r="M4492" t="str">
        <f t="shared" si="354"/>
        <v/>
      </c>
    </row>
    <row r="4493" spans="1:13" x14ac:dyDescent="0.3">
      <c r="A4493" t="str">
        <f>Segmenter!A4493</f>
        <v/>
      </c>
      <c r="B4493" t="str">
        <f>Segmenter!B4493</f>
        <v/>
      </c>
      <c r="C4493" t="str">
        <f t="shared" si="350"/>
        <v/>
      </c>
      <c r="D4493" t="str">
        <f t="shared" si="351"/>
        <v/>
      </c>
      <c r="E4493" t="str">
        <f t="shared" si="352"/>
        <v/>
      </c>
      <c r="F4493" t="str">
        <f>IF(D4493="","",INDEX(Knutepunkter!$B:$B,D4493+1))</f>
        <v/>
      </c>
      <c r="G4493" t="str">
        <f>IF(D4493="","",INDEX(Knutepunkter!$C:$C,D4493+1))</f>
        <v/>
      </c>
      <c r="H4493" t="str">
        <f>IF(D4493="","",INDEX(Knutepunkter!$D:$D,D4493+1))</f>
        <v/>
      </c>
      <c r="I4493" t="str">
        <f>IF(E4493="","",INDEX(Knutepunkter!$B:$B,E4493+1))</f>
        <v/>
      </c>
      <c r="J4493" t="str">
        <f>IF(E4493="","",INDEX(Knutepunkter!$C:$C,E4493+1))</f>
        <v/>
      </c>
      <c r="K4493" t="str">
        <f>IF(E4493="","",INDEX(Knutepunkter!$D:$D,E4493+1))</f>
        <v/>
      </c>
      <c r="L4493" t="str">
        <f t="shared" si="353"/>
        <v/>
      </c>
      <c r="M4493" t="str">
        <f t="shared" si="354"/>
        <v/>
      </c>
    </row>
    <row r="4494" spans="1:13" x14ac:dyDescent="0.3">
      <c r="A4494" t="str">
        <f>Segmenter!A4494</f>
        <v/>
      </c>
      <c r="B4494" t="str">
        <f>Segmenter!B4494</f>
        <v/>
      </c>
      <c r="C4494" t="str">
        <f t="shared" si="350"/>
        <v/>
      </c>
      <c r="D4494" t="str">
        <f t="shared" si="351"/>
        <v/>
      </c>
      <c r="E4494" t="str">
        <f t="shared" si="352"/>
        <v/>
      </c>
      <c r="F4494" t="str">
        <f>IF(D4494="","",INDEX(Knutepunkter!$B:$B,D4494+1))</f>
        <v/>
      </c>
      <c r="G4494" t="str">
        <f>IF(D4494="","",INDEX(Knutepunkter!$C:$C,D4494+1))</f>
        <v/>
      </c>
      <c r="H4494" t="str">
        <f>IF(D4494="","",INDEX(Knutepunkter!$D:$D,D4494+1))</f>
        <v/>
      </c>
      <c r="I4494" t="str">
        <f>IF(E4494="","",INDEX(Knutepunkter!$B:$B,E4494+1))</f>
        <v/>
      </c>
      <c r="J4494" t="str">
        <f>IF(E4494="","",INDEX(Knutepunkter!$C:$C,E4494+1))</f>
        <v/>
      </c>
      <c r="K4494" t="str">
        <f>IF(E4494="","",INDEX(Knutepunkter!$D:$D,E4494+1))</f>
        <v/>
      </c>
      <c r="L4494" t="str">
        <f t="shared" si="353"/>
        <v/>
      </c>
      <c r="M4494" t="str">
        <f t="shared" si="354"/>
        <v/>
      </c>
    </row>
    <row r="4495" spans="1:13" x14ac:dyDescent="0.3">
      <c r="A4495" t="str">
        <f>Segmenter!A4495</f>
        <v/>
      </c>
      <c r="B4495" t="str">
        <f>Segmenter!B4495</f>
        <v/>
      </c>
      <c r="C4495" t="str">
        <f t="shared" si="350"/>
        <v/>
      </c>
      <c r="D4495" t="str">
        <f t="shared" si="351"/>
        <v/>
      </c>
      <c r="E4495" t="str">
        <f t="shared" si="352"/>
        <v/>
      </c>
      <c r="F4495" t="str">
        <f>IF(D4495="","",INDEX(Knutepunkter!$B:$B,D4495+1))</f>
        <v/>
      </c>
      <c r="G4495" t="str">
        <f>IF(D4495="","",INDEX(Knutepunkter!$C:$C,D4495+1))</f>
        <v/>
      </c>
      <c r="H4495" t="str">
        <f>IF(D4495="","",INDEX(Knutepunkter!$D:$D,D4495+1))</f>
        <v/>
      </c>
      <c r="I4495" t="str">
        <f>IF(E4495="","",INDEX(Knutepunkter!$B:$B,E4495+1))</f>
        <v/>
      </c>
      <c r="J4495" t="str">
        <f>IF(E4495="","",INDEX(Knutepunkter!$C:$C,E4495+1))</f>
        <v/>
      </c>
      <c r="K4495" t="str">
        <f>IF(E4495="","",INDEX(Knutepunkter!$D:$D,E4495+1))</f>
        <v/>
      </c>
      <c r="L4495" t="str">
        <f t="shared" si="353"/>
        <v/>
      </c>
      <c r="M4495" t="str">
        <f t="shared" si="354"/>
        <v/>
      </c>
    </row>
    <row r="4496" spans="1:13" x14ac:dyDescent="0.3">
      <c r="A4496" t="str">
        <f>Segmenter!A4496</f>
        <v/>
      </c>
      <c r="B4496" t="str">
        <f>Segmenter!B4496</f>
        <v/>
      </c>
      <c r="C4496" t="str">
        <f t="shared" si="350"/>
        <v/>
      </c>
      <c r="D4496" t="str">
        <f t="shared" si="351"/>
        <v/>
      </c>
      <c r="E4496" t="str">
        <f t="shared" si="352"/>
        <v/>
      </c>
      <c r="F4496" t="str">
        <f>IF(D4496="","",INDEX(Knutepunkter!$B:$B,D4496+1))</f>
        <v/>
      </c>
      <c r="G4496" t="str">
        <f>IF(D4496="","",INDEX(Knutepunkter!$C:$C,D4496+1))</f>
        <v/>
      </c>
      <c r="H4496" t="str">
        <f>IF(D4496="","",INDEX(Knutepunkter!$D:$D,D4496+1))</f>
        <v/>
      </c>
      <c r="I4496" t="str">
        <f>IF(E4496="","",INDEX(Knutepunkter!$B:$B,E4496+1))</f>
        <v/>
      </c>
      <c r="J4496" t="str">
        <f>IF(E4496="","",INDEX(Knutepunkter!$C:$C,E4496+1))</f>
        <v/>
      </c>
      <c r="K4496" t="str">
        <f>IF(E4496="","",INDEX(Knutepunkter!$D:$D,E4496+1))</f>
        <v/>
      </c>
      <c r="L4496" t="str">
        <f t="shared" si="353"/>
        <v/>
      </c>
      <c r="M4496" t="str">
        <f t="shared" si="354"/>
        <v/>
      </c>
    </row>
    <row r="4497" spans="1:13" x14ac:dyDescent="0.3">
      <c r="A4497" t="str">
        <f>Segmenter!A4497</f>
        <v/>
      </c>
      <c r="B4497" t="str">
        <f>Segmenter!B4497</f>
        <v/>
      </c>
      <c r="C4497" t="str">
        <f t="shared" si="350"/>
        <v/>
      </c>
      <c r="D4497" t="str">
        <f t="shared" si="351"/>
        <v/>
      </c>
      <c r="E4497" t="str">
        <f t="shared" si="352"/>
        <v/>
      </c>
      <c r="F4497" t="str">
        <f>IF(D4497="","",INDEX(Knutepunkter!$B:$B,D4497+1))</f>
        <v/>
      </c>
      <c r="G4497" t="str">
        <f>IF(D4497="","",INDEX(Knutepunkter!$C:$C,D4497+1))</f>
        <v/>
      </c>
      <c r="H4497" t="str">
        <f>IF(D4497="","",INDEX(Knutepunkter!$D:$D,D4497+1))</f>
        <v/>
      </c>
      <c r="I4497" t="str">
        <f>IF(E4497="","",INDEX(Knutepunkter!$B:$B,E4497+1))</f>
        <v/>
      </c>
      <c r="J4497" t="str">
        <f>IF(E4497="","",INDEX(Knutepunkter!$C:$C,E4497+1))</f>
        <v/>
      </c>
      <c r="K4497" t="str">
        <f>IF(E4497="","",INDEX(Knutepunkter!$D:$D,E4497+1))</f>
        <v/>
      </c>
      <c r="L4497" t="str">
        <f t="shared" si="353"/>
        <v/>
      </c>
      <c r="M4497" t="str">
        <f t="shared" si="354"/>
        <v/>
      </c>
    </row>
    <row r="4498" spans="1:13" x14ac:dyDescent="0.3">
      <c r="A4498" t="str">
        <f>Segmenter!A4498</f>
        <v/>
      </c>
      <c r="B4498" t="str">
        <f>Segmenter!B4498</f>
        <v/>
      </c>
      <c r="C4498" t="str">
        <f t="shared" si="350"/>
        <v/>
      </c>
      <c r="D4498" t="str">
        <f t="shared" si="351"/>
        <v/>
      </c>
      <c r="E4498" t="str">
        <f t="shared" si="352"/>
        <v/>
      </c>
      <c r="F4498" t="str">
        <f>IF(D4498="","",INDEX(Knutepunkter!$B:$B,D4498+1))</f>
        <v/>
      </c>
      <c r="G4498" t="str">
        <f>IF(D4498="","",INDEX(Knutepunkter!$C:$C,D4498+1))</f>
        <v/>
      </c>
      <c r="H4498" t="str">
        <f>IF(D4498="","",INDEX(Knutepunkter!$D:$D,D4498+1))</f>
        <v/>
      </c>
      <c r="I4498" t="str">
        <f>IF(E4498="","",INDEX(Knutepunkter!$B:$B,E4498+1))</f>
        <v/>
      </c>
      <c r="J4498" t="str">
        <f>IF(E4498="","",INDEX(Knutepunkter!$C:$C,E4498+1))</f>
        <v/>
      </c>
      <c r="K4498" t="str">
        <f>IF(E4498="","",INDEX(Knutepunkter!$D:$D,E4498+1))</f>
        <v/>
      </c>
      <c r="L4498" t="str">
        <f t="shared" si="353"/>
        <v/>
      </c>
      <c r="M4498" t="str">
        <f t="shared" si="354"/>
        <v/>
      </c>
    </row>
    <row r="4499" spans="1:13" x14ac:dyDescent="0.3">
      <c r="A4499" t="str">
        <f>Segmenter!A4499</f>
        <v/>
      </c>
      <c r="B4499" t="str">
        <f>Segmenter!B4499</f>
        <v/>
      </c>
      <c r="C4499" t="str">
        <f t="shared" si="350"/>
        <v/>
      </c>
      <c r="D4499" t="str">
        <f t="shared" si="351"/>
        <v/>
      </c>
      <c r="E4499" t="str">
        <f t="shared" si="352"/>
        <v/>
      </c>
      <c r="F4499" t="str">
        <f>IF(D4499="","",INDEX(Knutepunkter!$B:$B,D4499+1))</f>
        <v/>
      </c>
      <c r="G4499" t="str">
        <f>IF(D4499="","",INDEX(Knutepunkter!$C:$C,D4499+1))</f>
        <v/>
      </c>
      <c r="H4499" t="str">
        <f>IF(D4499="","",INDEX(Knutepunkter!$D:$D,D4499+1))</f>
        <v/>
      </c>
      <c r="I4499" t="str">
        <f>IF(E4499="","",INDEX(Knutepunkter!$B:$B,E4499+1))</f>
        <v/>
      </c>
      <c r="J4499" t="str">
        <f>IF(E4499="","",INDEX(Knutepunkter!$C:$C,E4499+1))</f>
        <v/>
      </c>
      <c r="K4499" t="str">
        <f>IF(E4499="","",INDEX(Knutepunkter!$D:$D,E4499+1))</f>
        <v/>
      </c>
      <c r="L4499" t="str">
        <f t="shared" si="353"/>
        <v/>
      </c>
      <c r="M4499" t="str">
        <f t="shared" si="354"/>
        <v/>
      </c>
    </row>
    <row r="4500" spans="1:13" x14ac:dyDescent="0.3">
      <c r="A4500" t="str">
        <f>Segmenter!A4500</f>
        <v/>
      </c>
      <c r="B4500" t="str">
        <f>Segmenter!B4500</f>
        <v/>
      </c>
      <c r="C4500" t="str">
        <f t="shared" si="350"/>
        <v/>
      </c>
      <c r="D4500" t="str">
        <f t="shared" si="351"/>
        <v/>
      </c>
      <c r="E4500" t="str">
        <f t="shared" si="352"/>
        <v/>
      </c>
      <c r="F4500" t="str">
        <f>IF(D4500="","",INDEX(Knutepunkter!$B:$B,D4500+1))</f>
        <v/>
      </c>
      <c r="G4500" t="str">
        <f>IF(D4500="","",INDEX(Knutepunkter!$C:$C,D4500+1))</f>
        <v/>
      </c>
      <c r="H4500" t="str">
        <f>IF(D4500="","",INDEX(Knutepunkter!$D:$D,D4500+1))</f>
        <v/>
      </c>
      <c r="I4500" t="str">
        <f>IF(E4500="","",INDEX(Knutepunkter!$B:$B,E4500+1))</f>
        <v/>
      </c>
      <c r="J4500" t="str">
        <f>IF(E4500="","",INDEX(Knutepunkter!$C:$C,E4500+1))</f>
        <v/>
      </c>
      <c r="K4500" t="str">
        <f>IF(E4500="","",INDEX(Knutepunkter!$D:$D,E4500+1))</f>
        <v/>
      </c>
      <c r="L4500" t="str">
        <f t="shared" si="353"/>
        <v/>
      </c>
      <c r="M4500" t="str">
        <f t="shared" si="354"/>
        <v/>
      </c>
    </row>
    <row r="4501" spans="1:13" x14ac:dyDescent="0.3">
      <c r="A4501" t="str">
        <f>Segmenter!A4501</f>
        <v/>
      </c>
      <c r="B4501" t="str">
        <f>Segmenter!B4501</f>
        <v/>
      </c>
      <c r="C4501" t="str">
        <f t="shared" si="350"/>
        <v/>
      </c>
      <c r="D4501" t="str">
        <f t="shared" si="351"/>
        <v/>
      </c>
      <c r="E4501" t="str">
        <f t="shared" si="352"/>
        <v/>
      </c>
      <c r="F4501" t="str">
        <f>IF(D4501="","",INDEX(Knutepunkter!$B:$B,D4501+1))</f>
        <v/>
      </c>
      <c r="G4501" t="str">
        <f>IF(D4501="","",INDEX(Knutepunkter!$C:$C,D4501+1))</f>
        <v/>
      </c>
      <c r="H4501" t="str">
        <f>IF(D4501="","",INDEX(Knutepunkter!$D:$D,D4501+1))</f>
        <v/>
      </c>
      <c r="I4501" t="str">
        <f>IF(E4501="","",INDEX(Knutepunkter!$B:$B,E4501+1))</f>
        <v/>
      </c>
      <c r="J4501" t="str">
        <f>IF(E4501="","",INDEX(Knutepunkter!$C:$C,E4501+1))</f>
        <v/>
      </c>
      <c r="K4501" t="str">
        <f>IF(E4501="","",INDEX(Knutepunkter!$D:$D,E4501+1))</f>
        <v/>
      </c>
      <c r="L4501" t="str">
        <f t="shared" si="353"/>
        <v/>
      </c>
      <c r="M4501" t="str">
        <f t="shared" si="354"/>
        <v/>
      </c>
    </row>
    <row r="4502" spans="1:13" x14ac:dyDescent="0.3">
      <c r="A4502" t="str">
        <f>Segmenter!A4502</f>
        <v/>
      </c>
      <c r="B4502" t="str">
        <f>Segmenter!B4502</f>
        <v/>
      </c>
      <c r="C4502" t="str">
        <f t="shared" si="350"/>
        <v/>
      </c>
      <c r="D4502" t="str">
        <f t="shared" si="351"/>
        <v/>
      </c>
      <c r="E4502" t="str">
        <f t="shared" si="352"/>
        <v/>
      </c>
      <c r="F4502" t="str">
        <f>IF(D4502="","",INDEX(Knutepunkter!$B:$B,D4502+1))</f>
        <v/>
      </c>
      <c r="G4502" t="str">
        <f>IF(D4502="","",INDEX(Knutepunkter!$C:$C,D4502+1))</f>
        <v/>
      </c>
      <c r="H4502" t="str">
        <f>IF(D4502="","",INDEX(Knutepunkter!$D:$D,D4502+1))</f>
        <v/>
      </c>
      <c r="I4502" t="str">
        <f>IF(E4502="","",INDEX(Knutepunkter!$B:$B,E4502+1))</f>
        <v/>
      </c>
      <c r="J4502" t="str">
        <f>IF(E4502="","",INDEX(Knutepunkter!$C:$C,E4502+1))</f>
        <v/>
      </c>
      <c r="K4502" t="str">
        <f>IF(E4502="","",INDEX(Knutepunkter!$D:$D,E4502+1))</f>
        <v/>
      </c>
      <c r="L4502" t="str">
        <f t="shared" si="353"/>
        <v/>
      </c>
      <c r="M4502" t="str">
        <f t="shared" si="354"/>
        <v/>
      </c>
    </row>
    <row r="4503" spans="1:13" x14ac:dyDescent="0.3">
      <c r="A4503" t="str">
        <f>Segmenter!A4503</f>
        <v/>
      </c>
      <c r="B4503" t="str">
        <f>Segmenter!B4503</f>
        <v/>
      </c>
      <c r="C4503" t="str">
        <f t="shared" si="350"/>
        <v/>
      </c>
      <c r="D4503" t="str">
        <f t="shared" si="351"/>
        <v/>
      </c>
      <c r="E4503" t="str">
        <f t="shared" si="352"/>
        <v/>
      </c>
      <c r="F4503" t="str">
        <f>IF(D4503="","",INDEX(Knutepunkter!$B:$B,D4503+1))</f>
        <v/>
      </c>
      <c r="G4503" t="str">
        <f>IF(D4503="","",INDEX(Knutepunkter!$C:$C,D4503+1))</f>
        <v/>
      </c>
      <c r="H4503" t="str">
        <f>IF(D4503="","",INDEX(Knutepunkter!$D:$D,D4503+1))</f>
        <v/>
      </c>
      <c r="I4503" t="str">
        <f>IF(E4503="","",INDEX(Knutepunkter!$B:$B,E4503+1))</f>
        <v/>
      </c>
      <c r="J4503" t="str">
        <f>IF(E4503="","",INDEX(Knutepunkter!$C:$C,E4503+1))</f>
        <v/>
      </c>
      <c r="K4503" t="str">
        <f>IF(E4503="","",INDEX(Knutepunkter!$D:$D,E4503+1))</f>
        <v/>
      </c>
      <c r="L4503" t="str">
        <f t="shared" si="353"/>
        <v/>
      </c>
      <c r="M4503" t="str">
        <f t="shared" si="354"/>
        <v/>
      </c>
    </row>
    <row r="4504" spans="1:13" x14ac:dyDescent="0.3">
      <c r="A4504" t="str">
        <f>Segmenter!A4504</f>
        <v/>
      </c>
      <c r="B4504" t="str">
        <f>Segmenter!B4504</f>
        <v/>
      </c>
      <c r="C4504" t="str">
        <f t="shared" si="350"/>
        <v/>
      </c>
      <c r="D4504" t="str">
        <f t="shared" si="351"/>
        <v/>
      </c>
      <c r="E4504" t="str">
        <f t="shared" si="352"/>
        <v/>
      </c>
      <c r="F4504" t="str">
        <f>IF(D4504="","",INDEX(Knutepunkter!$B:$B,D4504+1))</f>
        <v/>
      </c>
      <c r="G4504" t="str">
        <f>IF(D4504="","",INDEX(Knutepunkter!$C:$C,D4504+1))</f>
        <v/>
      </c>
      <c r="H4504" t="str">
        <f>IF(D4504="","",INDEX(Knutepunkter!$D:$D,D4504+1))</f>
        <v/>
      </c>
      <c r="I4504" t="str">
        <f>IF(E4504="","",INDEX(Knutepunkter!$B:$B,E4504+1))</f>
        <v/>
      </c>
      <c r="J4504" t="str">
        <f>IF(E4504="","",INDEX(Knutepunkter!$C:$C,E4504+1))</f>
        <v/>
      </c>
      <c r="K4504" t="str">
        <f>IF(E4504="","",INDEX(Knutepunkter!$D:$D,E4504+1))</f>
        <v/>
      </c>
      <c r="L4504" t="str">
        <f t="shared" si="353"/>
        <v/>
      </c>
      <c r="M4504" t="str">
        <f t="shared" si="354"/>
        <v/>
      </c>
    </row>
    <row r="4505" spans="1:13" x14ac:dyDescent="0.3">
      <c r="A4505" t="str">
        <f>Segmenter!A4505</f>
        <v/>
      </c>
      <c r="B4505" t="str">
        <f>Segmenter!B4505</f>
        <v/>
      </c>
      <c r="C4505" t="str">
        <f t="shared" si="350"/>
        <v/>
      </c>
      <c r="D4505" t="str">
        <f t="shared" si="351"/>
        <v/>
      </c>
      <c r="E4505" t="str">
        <f t="shared" si="352"/>
        <v/>
      </c>
      <c r="F4505" t="str">
        <f>IF(D4505="","",INDEX(Knutepunkter!$B:$B,D4505+1))</f>
        <v/>
      </c>
      <c r="G4505" t="str">
        <f>IF(D4505="","",INDEX(Knutepunkter!$C:$C,D4505+1))</f>
        <v/>
      </c>
      <c r="H4505" t="str">
        <f>IF(D4505="","",INDEX(Knutepunkter!$D:$D,D4505+1))</f>
        <v/>
      </c>
      <c r="I4505" t="str">
        <f>IF(E4505="","",INDEX(Knutepunkter!$B:$B,E4505+1))</f>
        <v/>
      </c>
      <c r="J4505" t="str">
        <f>IF(E4505="","",INDEX(Knutepunkter!$C:$C,E4505+1))</f>
        <v/>
      </c>
      <c r="K4505" t="str">
        <f>IF(E4505="","",INDEX(Knutepunkter!$D:$D,E4505+1))</f>
        <v/>
      </c>
      <c r="L4505" t="str">
        <f t="shared" si="353"/>
        <v/>
      </c>
      <c r="M4505" t="str">
        <f t="shared" si="354"/>
        <v/>
      </c>
    </row>
    <row r="4506" spans="1:13" x14ac:dyDescent="0.3">
      <c r="A4506" t="str">
        <f>Segmenter!A4506</f>
        <v/>
      </c>
      <c r="B4506" t="str">
        <f>Segmenter!B4506</f>
        <v/>
      </c>
      <c r="C4506" t="str">
        <f t="shared" si="350"/>
        <v/>
      </c>
      <c r="D4506" t="str">
        <f t="shared" si="351"/>
        <v/>
      </c>
      <c r="E4506" t="str">
        <f t="shared" si="352"/>
        <v/>
      </c>
      <c r="F4506" t="str">
        <f>IF(D4506="","",INDEX(Knutepunkter!$B:$B,D4506+1))</f>
        <v/>
      </c>
      <c r="G4506" t="str">
        <f>IF(D4506="","",INDEX(Knutepunkter!$C:$C,D4506+1))</f>
        <v/>
      </c>
      <c r="H4506" t="str">
        <f>IF(D4506="","",INDEX(Knutepunkter!$D:$D,D4506+1))</f>
        <v/>
      </c>
      <c r="I4506" t="str">
        <f>IF(E4506="","",INDEX(Knutepunkter!$B:$B,E4506+1))</f>
        <v/>
      </c>
      <c r="J4506" t="str">
        <f>IF(E4506="","",INDEX(Knutepunkter!$C:$C,E4506+1))</f>
        <v/>
      </c>
      <c r="K4506" t="str">
        <f>IF(E4506="","",INDEX(Knutepunkter!$D:$D,E4506+1))</f>
        <v/>
      </c>
      <c r="L4506" t="str">
        <f t="shared" si="353"/>
        <v/>
      </c>
      <c r="M4506" t="str">
        <f t="shared" si="354"/>
        <v/>
      </c>
    </row>
    <row r="4507" spans="1:13" x14ac:dyDescent="0.3">
      <c r="A4507" t="str">
        <f>Segmenter!A4507</f>
        <v/>
      </c>
      <c r="B4507" t="str">
        <f>Segmenter!B4507</f>
        <v/>
      </c>
      <c r="C4507" t="str">
        <f t="shared" si="350"/>
        <v/>
      </c>
      <c r="D4507" t="str">
        <f t="shared" si="351"/>
        <v/>
      </c>
      <c r="E4507" t="str">
        <f t="shared" si="352"/>
        <v/>
      </c>
      <c r="F4507" t="str">
        <f>IF(D4507="","",INDEX(Knutepunkter!$B:$B,D4507+1))</f>
        <v/>
      </c>
      <c r="G4507" t="str">
        <f>IF(D4507="","",INDEX(Knutepunkter!$C:$C,D4507+1))</f>
        <v/>
      </c>
      <c r="H4507" t="str">
        <f>IF(D4507="","",INDEX(Knutepunkter!$D:$D,D4507+1))</f>
        <v/>
      </c>
      <c r="I4507" t="str">
        <f>IF(E4507="","",INDEX(Knutepunkter!$B:$B,E4507+1))</f>
        <v/>
      </c>
      <c r="J4507" t="str">
        <f>IF(E4507="","",INDEX(Knutepunkter!$C:$C,E4507+1))</f>
        <v/>
      </c>
      <c r="K4507" t="str">
        <f>IF(E4507="","",INDEX(Knutepunkter!$D:$D,E4507+1))</f>
        <v/>
      </c>
      <c r="L4507" t="str">
        <f t="shared" si="353"/>
        <v/>
      </c>
      <c r="M4507" t="str">
        <f t="shared" si="354"/>
        <v/>
      </c>
    </row>
    <row r="4508" spans="1:13" x14ac:dyDescent="0.3">
      <c r="A4508" t="str">
        <f>Segmenter!A4508</f>
        <v/>
      </c>
      <c r="B4508" t="str">
        <f>Segmenter!B4508</f>
        <v/>
      </c>
      <c r="C4508" t="str">
        <f t="shared" si="350"/>
        <v/>
      </c>
      <c r="D4508" t="str">
        <f t="shared" si="351"/>
        <v/>
      </c>
      <c r="E4508" t="str">
        <f t="shared" si="352"/>
        <v/>
      </c>
      <c r="F4508" t="str">
        <f>IF(D4508="","",INDEX(Knutepunkter!$B:$B,D4508+1))</f>
        <v/>
      </c>
      <c r="G4508" t="str">
        <f>IF(D4508="","",INDEX(Knutepunkter!$C:$C,D4508+1))</f>
        <v/>
      </c>
      <c r="H4508" t="str">
        <f>IF(D4508="","",INDEX(Knutepunkter!$D:$D,D4508+1))</f>
        <v/>
      </c>
      <c r="I4508" t="str">
        <f>IF(E4508="","",INDEX(Knutepunkter!$B:$B,E4508+1))</f>
        <v/>
      </c>
      <c r="J4508" t="str">
        <f>IF(E4508="","",INDEX(Knutepunkter!$C:$C,E4508+1))</f>
        <v/>
      </c>
      <c r="K4508" t="str">
        <f>IF(E4508="","",INDEX(Knutepunkter!$D:$D,E4508+1))</f>
        <v/>
      </c>
      <c r="L4508" t="str">
        <f t="shared" si="353"/>
        <v/>
      </c>
      <c r="M4508" t="str">
        <f t="shared" si="354"/>
        <v/>
      </c>
    </row>
    <row r="4509" spans="1:13" x14ac:dyDescent="0.3">
      <c r="A4509" t="str">
        <f>Segmenter!A4509</f>
        <v/>
      </c>
      <c r="B4509" t="str">
        <f>Segmenter!B4509</f>
        <v/>
      </c>
      <c r="C4509" t="str">
        <f t="shared" si="350"/>
        <v/>
      </c>
      <c r="D4509" t="str">
        <f t="shared" si="351"/>
        <v/>
      </c>
      <c r="E4509" t="str">
        <f t="shared" si="352"/>
        <v/>
      </c>
      <c r="F4509" t="str">
        <f>IF(D4509="","",INDEX(Knutepunkter!$B:$B,D4509+1))</f>
        <v/>
      </c>
      <c r="G4509" t="str">
        <f>IF(D4509="","",INDEX(Knutepunkter!$C:$C,D4509+1))</f>
        <v/>
      </c>
      <c r="H4509" t="str">
        <f>IF(D4509="","",INDEX(Knutepunkter!$D:$D,D4509+1))</f>
        <v/>
      </c>
      <c r="I4509" t="str">
        <f>IF(E4509="","",INDEX(Knutepunkter!$B:$B,E4509+1))</f>
        <v/>
      </c>
      <c r="J4509" t="str">
        <f>IF(E4509="","",INDEX(Knutepunkter!$C:$C,E4509+1))</f>
        <v/>
      </c>
      <c r="K4509" t="str">
        <f>IF(E4509="","",INDEX(Knutepunkter!$D:$D,E4509+1))</f>
        <v/>
      </c>
      <c r="L4509" t="str">
        <f t="shared" si="353"/>
        <v/>
      </c>
      <c r="M4509" t="str">
        <f t="shared" si="354"/>
        <v/>
      </c>
    </row>
    <row r="4510" spans="1:13" x14ac:dyDescent="0.3">
      <c r="A4510" t="str">
        <f>Segmenter!A4510</f>
        <v/>
      </c>
      <c r="B4510" t="str">
        <f>Segmenter!B4510</f>
        <v/>
      </c>
      <c r="C4510" t="str">
        <f t="shared" si="350"/>
        <v/>
      </c>
      <c r="D4510" t="str">
        <f t="shared" si="351"/>
        <v/>
      </c>
      <c r="E4510" t="str">
        <f t="shared" si="352"/>
        <v/>
      </c>
      <c r="F4510" t="str">
        <f>IF(D4510="","",INDEX(Knutepunkter!$B:$B,D4510+1))</f>
        <v/>
      </c>
      <c r="G4510" t="str">
        <f>IF(D4510="","",INDEX(Knutepunkter!$C:$C,D4510+1))</f>
        <v/>
      </c>
      <c r="H4510" t="str">
        <f>IF(D4510="","",INDEX(Knutepunkter!$D:$D,D4510+1))</f>
        <v/>
      </c>
      <c r="I4510" t="str">
        <f>IF(E4510="","",INDEX(Knutepunkter!$B:$B,E4510+1))</f>
        <v/>
      </c>
      <c r="J4510" t="str">
        <f>IF(E4510="","",INDEX(Knutepunkter!$C:$C,E4510+1))</f>
        <v/>
      </c>
      <c r="K4510" t="str">
        <f>IF(E4510="","",INDEX(Knutepunkter!$D:$D,E4510+1))</f>
        <v/>
      </c>
      <c r="L4510" t="str">
        <f t="shared" si="353"/>
        <v/>
      </c>
      <c r="M4510" t="str">
        <f t="shared" si="354"/>
        <v/>
      </c>
    </row>
    <row r="4511" spans="1:13" x14ac:dyDescent="0.3">
      <c r="A4511" t="str">
        <f>Segmenter!A4511</f>
        <v/>
      </c>
      <c r="B4511" t="str">
        <f>Segmenter!B4511</f>
        <v/>
      </c>
      <c r="C4511" t="str">
        <f t="shared" si="350"/>
        <v/>
      </c>
      <c r="D4511" t="str">
        <f t="shared" si="351"/>
        <v/>
      </c>
      <c r="E4511" t="str">
        <f t="shared" si="352"/>
        <v/>
      </c>
      <c r="F4511" t="str">
        <f>IF(D4511="","",INDEX(Knutepunkter!$B:$B,D4511+1))</f>
        <v/>
      </c>
      <c r="G4511" t="str">
        <f>IF(D4511="","",INDEX(Knutepunkter!$C:$C,D4511+1))</f>
        <v/>
      </c>
      <c r="H4511" t="str">
        <f>IF(D4511="","",INDEX(Knutepunkter!$D:$D,D4511+1))</f>
        <v/>
      </c>
      <c r="I4511" t="str">
        <f>IF(E4511="","",INDEX(Knutepunkter!$B:$B,E4511+1))</f>
        <v/>
      </c>
      <c r="J4511" t="str">
        <f>IF(E4511="","",INDEX(Knutepunkter!$C:$C,E4511+1))</f>
        <v/>
      </c>
      <c r="K4511" t="str">
        <f>IF(E4511="","",INDEX(Knutepunkter!$D:$D,E4511+1))</f>
        <v/>
      </c>
      <c r="L4511" t="str">
        <f t="shared" si="353"/>
        <v/>
      </c>
      <c r="M4511" t="str">
        <f t="shared" si="354"/>
        <v/>
      </c>
    </row>
    <row r="4512" spans="1:13" x14ac:dyDescent="0.3">
      <c r="A4512" t="str">
        <f>Segmenter!A4512</f>
        <v>S4511</v>
      </c>
      <c r="B4512" t="str">
        <f>Segmenter!B4512</f>
        <v>2 -&gt; 233</v>
      </c>
      <c r="C4512" t="str">
        <f t="shared" si="350"/>
        <v>Bjelke</v>
      </c>
      <c r="D4512">
        <f t="shared" si="351"/>
        <v>2</v>
      </c>
      <c r="E4512">
        <f t="shared" si="352"/>
        <v>233</v>
      </c>
      <c r="F4512">
        <f>IF(D4512="","",INDEX(Knutepunkter!$B:$B,D4512+1))</f>
        <v>354</v>
      </c>
      <c r="G4512">
        <f>IF(D4512="","",INDEX(Knutepunkter!$C:$C,D4512+1))</f>
        <v>0</v>
      </c>
      <c r="H4512">
        <f>IF(D4512="","",INDEX(Knutepunkter!$D:$D,D4512+1))</f>
        <v>3000</v>
      </c>
      <c r="I4512">
        <f>IF(E4512="","",INDEX(Knutepunkter!$B:$B,E4512+1))</f>
        <v>12354</v>
      </c>
      <c r="J4512">
        <f>IF(E4512="","",INDEX(Knutepunkter!$C:$C,E4512+1))</f>
        <v>0</v>
      </c>
      <c r="K4512">
        <f>IF(E4512="","",INDEX(Knutepunkter!$D:$D,E4512+1))</f>
        <v>3000</v>
      </c>
      <c r="L4512">
        <f t="shared" si="353"/>
        <v>12000</v>
      </c>
      <c r="M4512">
        <f t="shared" si="354"/>
        <v>12</v>
      </c>
    </row>
    <row r="4513" spans="1:13" x14ac:dyDescent="0.3">
      <c r="A4513" t="str">
        <f>Segmenter!A4513</f>
        <v>S4512</v>
      </c>
      <c r="B4513" t="str">
        <f>Segmenter!B4513</f>
        <v>3 -&gt; 234</v>
      </c>
      <c r="C4513" t="str">
        <f t="shared" si="350"/>
        <v>Bjelke</v>
      </c>
      <c r="D4513">
        <f t="shared" si="351"/>
        <v>3</v>
      </c>
      <c r="E4513">
        <f t="shared" si="352"/>
        <v>234</v>
      </c>
      <c r="F4513">
        <f>IF(D4513="","",INDEX(Knutepunkter!$B:$B,D4513+1))</f>
        <v>354</v>
      </c>
      <c r="G4513">
        <f>IF(D4513="","",INDEX(Knutepunkter!$C:$C,D4513+1))</f>
        <v>0</v>
      </c>
      <c r="H4513">
        <f>IF(D4513="","",INDEX(Knutepunkter!$D:$D,D4513+1))</f>
        <v>6000</v>
      </c>
      <c r="I4513">
        <f>IF(E4513="","",INDEX(Knutepunkter!$B:$B,E4513+1))</f>
        <v>12354</v>
      </c>
      <c r="J4513">
        <f>IF(E4513="","",INDEX(Knutepunkter!$C:$C,E4513+1))</f>
        <v>0</v>
      </c>
      <c r="K4513">
        <f>IF(E4513="","",INDEX(Knutepunkter!$D:$D,E4513+1))</f>
        <v>6000</v>
      </c>
      <c r="L4513">
        <f t="shared" si="353"/>
        <v>12000</v>
      </c>
      <c r="M4513">
        <f t="shared" si="354"/>
        <v>12</v>
      </c>
    </row>
    <row r="4514" spans="1:13" x14ac:dyDescent="0.3">
      <c r="A4514" t="str">
        <f>Segmenter!A4514</f>
        <v>S4513</v>
      </c>
      <c r="B4514" t="str">
        <f>Segmenter!B4514</f>
        <v>4 -&gt; 235</v>
      </c>
      <c r="C4514" t="str">
        <f t="shared" si="350"/>
        <v>Bjelke</v>
      </c>
      <c r="D4514">
        <f t="shared" si="351"/>
        <v>4</v>
      </c>
      <c r="E4514">
        <f t="shared" si="352"/>
        <v>235</v>
      </c>
      <c r="F4514">
        <f>IF(D4514="","",INDEX(Knutepunkter!$B:$B,D4514+1))</f>
        <v>354</v>
      </c>
      <c r="G4514">
        <f>IF(D4514="","",INDEX(Knutepunkter!$C:$C,D4514+1))</f>
        <v>0</v>
      </c>
      <c r="H4514">
        <f>IF(D4514="","",INDEX(Knutepunkter!$D:$D,D4514+1))</f>
        <v>9000</v>
      </c>
      <c r="I4514">
        <f>IF(E4514="","",INDEX(Knutepunkter!$B:$B,E4514+1))</f>
        <v>12354</v>
      </c>
      <c r="J4514">
        <f>IF(E4514="","",INDEX(Knutepunkter!$C:$C,E4514+1))</f>
        <v>0</v>
      </c>
      <c r="K4514">
        <f>IF(E4514="","",INDEX(Knutepunkter!$D:$D,E4514+1))</f>
        <v>9000</v>
      </c>
      <c r="L4514">
        <f t="shared" si="353"/>
        <v>12000</v>
      </c>
      <c r="M4514">
        <f t="shared" si="354"/>
        <v>12</v>
      </c>
    </row>
    <row r="4515" spans="1:13" x14ac:dyDescent="0.3">
      <c r="A4515" t="str">
        <f>Segmenter!A4515</f>
        <v>S4514</v>
      </c>
      <c r="B4515" t="str">
        <f>Segmenter!B4515</f>
        <v>5 -&gt; 236</v>
      </c>
      <c r="C4515" t="str">
        <f t="shared" si="350"/>
        <v>Bjelke</v>
      </c>
      <c r="D4515">
        <f t="shared" si="351"/>
        <v>5</v>
      </c>
      <c r="E4515">
        <f t="shared" si="352"/>
        <v>236</v>
      </c>
      <c r="F4515">
        <f>IF(D4515="","",INDEX(Knutepunkter!$B:$B,D4515+1))</f>
        <v>354</v>
      </c>
      <c r="G4515">
        <f>IF(D4515="","",INDEX(Knutepunkter!$C:$C,D4515+1))</f>
        <v>0</v>
      </c>
      <c r="H4515">
        <f>IF(D4515="","",INDEX(Knutepunkter!$D:$D,D4515+1))</f>
        <v>12000</v>
      </c>
      <c r="I4515">
        <f>IF(E4515="","",INDEX(Knutepunkter!$B:$B,E4515+1))</f>
        <v>12354</v>
      </c>
      <c r="J4515">
        <f>IF(E4515="","",INDEX(Knutepunkter!$C:$C,E4515+1))</f>
        <v>0</v>
      </c>
      <c r="K4515">
        <f>IF(E4515="","",INDEX(Knutepunkter!$D:$D,E4515+1))</f>
        <v>12000</v>
      </c>
      <c r="L4515">
        <f t="shared" si="353"/>
        <v>12000</v>
      </c>
      <c r="M4515">
        <f t="shared" si="354"/>
        <v>12</v>
      </c>
    </row>
    <row r="4516" spans="1:13" x14ac:dyDescent="0.3">
      <c r="A4516" t="str">
        <f>Segmenter!A4516</f>
        <v>S4515</v>
      </c>
      <c r="B4516" t="str">
        <f>Segmenter!B4516</f>
        <v>6 -&gt; 237</v>
      </c>
      <c r="C4516" t="str">
        <f t="shared" si="350"/>
        <v>Bjelke</v>
      </c>
      <c r="D4516">
        <f t="shared" si="351"/>
        <v>6</v>
      </c>
      <c r="E4516">
        <f t="shared" si="352"/>
        <v>237</v>
      </c>
      <c r="F4516">
        <f>IF(D4516="","",INDEX(Knutepunkter!$B:$B,D4516+1))</f>
        <v>354</v>
      </c>
      <c r="G4516">
        <f>IF(D4516="","",INDEX(Knutepunkter!$C:$C,D4516+1))</f>
        <v>0</v>
      </c>
      <c r="H4516">
        <f>IF(D4516="","",INDEX(Knutepunkter!$D:$D,D4516+1))</f>
        <v>15000</v>
      </c>
      <c r="I4516">
        <f>IF(E4516="","",INDEX(Knutepunkter!$B:$B,E4516+1))</f>
        <v>12354</v>
      </c>
      <c r="J4516">
        <f>IF(E4516="","",INDEX(Knutepunkter!$C:$C,E4516+1))</f>
        <v>0</v>
      </c>
      <c r="K4516">
        <f>IF(E4516="","",INDEX(Knutepunkter!$D:$D,E4516+1))</f>
        <v>15000</v>
      </c>
      <c r="L4516">
        <f t="shared" si="353"/>
        <v>12000</v>
      </c>
      <c r="M4516">
        <f t="shared" si="354"/>
        <v>12</v>
      </c>
    </row>
    <row r="4517" spans="1:13" x14ac:dyDescent="0.3">
      <c r="A4517" t="str">
        <f>Segmenter!A4517</f>
        <v>S4516</v>
      </c>
      <c r="B4517" t="str">
        <f>Segmenter!B4517</f>
        <v>7 -&gt; 238</v>
      </c>
      <c r="C4517" t="str">
        <f t="shared" si="350"/>
        <v>Bjelke</v>
      </c>
      <c r="D4517">
        <f t="shared" si="351"/>
        <v>7</v>
      </c>
      <c r="E4517">
        <f t="shared" si="352"/>
        <v>238</v>
      </c>
      <c r="F4517">
        <f>IF(D4517="","",INDEX(Knutepunkter!$B:$B,D4517+1))</f>
        <v>354</v>
      </c>
      <c r="G4517">
        <f>IF(D4517="","",INDEX(Knutepunkter!$C:$C,D4517+1))</f>
        <v>0</v>
      </c>
      <c r="H4517">
        <f>IF(D4517="","",INDEX(Knutepunkter!$D:$D,D4517+1))</f>
        <v>18000</v>
      </c>
      <c r="I4517">
        <f>IF(E4517="","",INDEX(Knutepunkter!$B:$B,E4517+1))</f>
        <v>12354</v>
      </c>
      <c r="J4517">
        <f>IF(E4517="","",INDEX(Knutepunkter!$C:$C,E4517+1))</f>
        <v>0</v>
      </c>
      <c r="K4517">
        <f>IF(E4517="","",INDEX(Knutepunkter!$D:$D,E4517+1))</f>
        <v>18000</v>
      </c>
      <c r="L4517">
        <f t="shared" si="353"/>
        <v>12000</v>
      </c>
      <c r="M4517">
        <f t="shared" si="354"/>
        <v>12</v>
      </c>
    </row>
    <row r="4518" spans="1:13" x14ac:dyDescent="0.3">
      <c r="A4518" t="str">
        <f>Segmenter!A4518</f>
        <v/>
      </c>
      <c r="B4518" t="str">
        <f>Segmenter!B4518</f>
        <v/>
      </c>
      <c r="C4518" t="str">
        <f t="shared" si="350"/>
        <v/>
      </c>
      <c r="D4518" t="str">
        <f t="shared" si="351"/>
        <v/>
      </c>
      <c r="E4518" t="str">
        <f t="shared" si="352"/>
        <v/>
      </c>
      <c r="F4518" t="str">
        <f>IF(D4518="","",INDEX(Knutepunkter!$B:$B,D4518+1))</f>
        <v/>
      </c>
      <c r="G4518" t="str">
        <f>IF(D4518="","",INDEX(Knutepunkter!$C:$C,D4518+1))</f>
        <v/>
      </c>
      <c r="H4518" t="str">
        <f>IF(D4518="","",INDEX(Knutepunkter!$D:$D,D4518+1))</f>
        <v/>
      </c>
      <c r="I4518" t="str">
        <f>IF(E4518="","",INDEX(Knutepunkter!$B:$B,E4518+1))</f>
        <v/>
      </c>
      <c r="J4518" t="str">
        <f>IF(E4518="","",INDEX(Knutepunkter!$C:$C,E4518+1))</f>
        <v/>
      </c>
      <c r="K4518" t="str">
        <f>IF(E4518="","",INDEX(Knutepunkter!$D:$D,E4518+1))</f>
        <v/>
      </c>
      <c r="L4518" t="str">
        <f t="shared" si="353"/>
        <v/>
      </c>
      <c r="M4518" t="str">
        <f t="shared" si="354"/>
        <v/>
      </c>
    </row>
    <row r="4519" spans="1:13" x14ac:dyDescent="0.3">
      <c r="A4519" t="str">
        <f>Segmenter!A4519</f>
        <v/>
      </c>
      <c r="B4519" t="str">
        <f>Segmenter!B4519</f>
        <v/>
      </c>
      <c r="C4519" t="str">
        <f t="shared" si="350"/>
        <v/>
      </c>
      <c r="D4519" t="str">
        <f t="shared" si="351"/>
        <v/>
      </c>
      <c r="E4519" t="str">
        <f t="shared" si="352"/>
        <v/>
      </c>
      <c r="F4519" t="str">
        <f>IF(D4519="","",INDEX(Knutepunkter!$B:$B,D4519+1))</f>
        <v/>
      </c>
      <c r="G4519" t="str">
        <f>IF(D4519="","",INDEX(Knutepunkter!$C:$C,D4519+1))</f>
        <v/>
      </c>
      <c r="H4519" t="str">
        <f>IF(D4519="","",INDEX(Knutepunkter!$D:$D,D4519+1))</f>
        <v/>
      </c>
      <c r="I4519" t="str">
        <f>IF(E4519="","",INDEX(Knutepunkter!$B:$B,E4519+1))</f>
        <v/>
      </c>
      <c r="J4519" t="str">
        <f>IF(E4519="","",INDEX(Knutepunkter!$C:$C,E4519+1))</f>
        <v/>
      </c>
      <c r="K4519" t="str">
        <f>IF(E4519="","",INDEX(Knutepunkter!$D:$D,E4519+1))</f>
        <v/>
      </c>
      <c r="L4519" t="str">
        <f t="shared" si="353"/>
        <v/>
      </c>
      <c r="M4519" t="str">
        <f t="shared" si="354"/>
        <v/>
      </c>
    </row>
    <row r="4520" spans="1:13" x14ac:dyDescent="0.3">
      <c r="A4520" t="str">
        <f>Segmenter!A4520</f>
        <v/>
      </c>
      <c r="B4520" t="str">
        <f>Segmenter!B4520</f>
        <v/>
      </c>
      <c r="C4520" t="str">
        <f t="shared" si="350"/>
        <v/>
      </c>
      <c r="D4520" t="str">
        <f t="shared" si="351"/>
        <v/>
      </c>
      <c r="E4520" t="str">
        <f t="shared" si="352"/>
        <v/>
      </c>
      <c r="F4520" t="str">
        <f>IF(D4520="","",INDEX(Knutepunkter!$B:$B,D4520+1))</f>
        <v/>
      </c>
      <c r="G4520" t="str">
        <f>IF(D4520="","",INDEX(Knutepunkter!$C:$C,D4520+1))</f>
        <v/>
      </c>
      <c r="H4520" t="str">
        <f>IF(D4520="","",INDEX(Knutepunkter!$D:$D,D4520+1))</f>
        <v/>
      </c>
      <c r="I4520" t="str">
        <f>IF(E4520="","",INDEX(Knutepunkter!$B:$B,E4520+1))</f>
        <v/>
      </c>
      <c r="J4520" t="str">
        <f>IF(E4520="","",INDEX(Knutepunkter!$C:$C,E4520+1))</f>
        <v/>
      </c>
      <c r="K4520" t="str">
        <f>IF(E4520="","",INDEX(Knutepunkter!$D:$D,E4520+1))</f>
        <v/>
      </c>
      <c r="L4520" t="str">
        <f t="shared" si="353"/>
        <v/>
      </c>
      <c r="M4520" t="str">
        <f t="shared" si="354"/>
        <v/>
      </c>
    </row>
    <row r="4521" spans="1:13" x14ac:dyDescent="0.3">
      <c r="A4521" t="str">
        <f>Segmenter!A4521</f>
        <v/>
      </c>
      <c r="B4521" t="str">
        <f>Segmenter!B4521</f>
        <v/>
      </c>
      <c r="C4521" t="str">
        <f t="shared" si="350"/>
        <v/>
      </c>
      <c r="D4521" t="str">
        <f t="shared" si="351"/>
        <v/>
      </c>
      <c r="E4521" t="str">
        <f t="shared" si="352"/>
        <v/>
      </c>
      <c r="F4521" t="str">
        <f>IF(D4521="","",INDEX(Knutepunkter!$B:$B,D4521+1))</f>
        <v/>
      </c>
      <c r="G4521" t="str">
        <f>IF(D4521="","",INDEX(Knutepunkter!$C:$C,D4521+1))</f>
        <v/>
      </c>
      <c r="H4521" t="str">
        <f>IF(D4521="","",INDEX(Knutepunkter!$D:$D,D4521+1))</f>
        <v/>
      </c>
      <c r="I4521" t="str">
        <f>IF(E4521="","",INDEX(Knutepunkter!$B:$B,E4521+1))</f>
        <v/>
      </c>
      <c r="J4521" t="str">
        <f>IF(E4521="","",INDEX(Knutepunkter!$C:$C,E4521+1))</f>
        <v/>
      </c>
      <c r="K4521" t="str">
        <f>IF(E4521="","",INDEX(Knutepunkter!$D:$D,E4521+1))</f>
        <v/>
      </c>
      <c r="L4521" t="str">
        <f t="shared" si="353"/>
        <v/>
      </c>
      <c r="M4521" t="str">
        <f t="shared" si="354"/>
        <v/>
      </c>
    </row>
    <row r="4522" spans="1:13" x14ac:dyDescent="0.3">
      <c r="A4522" t="str">
        <f>Segmenter!A4522</f>
        <v>S4521</v>
      </c>
      <c r="B4522" t="str">
        <f>Segmenter!B4522</f>
        <v>13 -&gt; 244</v>
      </c>
      <c r="C4522" t="str">
        <f t="shared" si="350"/>
        <v>Bjelke</v>
      </c>
      <c r="D4522">
        <f t="shared" si="351"/>
        <v>13</v>
      </c>
      <c r="E4522">
        <f t="shared" si="352"/>
        <v>244</v>
      </c>
      <c r="F4522">
        <f>IF(D4522="","",INDEX(Knutepunkter!$B:$B,D4522+1))</f>
        <v>354</v>
      </c>
      <c r="G4522">
        <f>IF(D4522="","",INDEX(Knutepunkter!$C:$C,D4522+1))</f>
        <v>8000</v>
      </c>
      <c r="H4522">
        <f>IF(D4522="","",INDEX(Knutepunkter!$D:$D,D4522+1))</f>
        <v>3000</v>
      </c>
      <c r="I4522">
        <f>IF(E4522="","",INDEX(Knutepunkter!$B:$B,E4522+1))</f>
        <v>12354</v>
      </c>
      <c r="J4522">
        <f>IF(E4522="","",INDEX(Knutepunkter!$C:$C,E4522+1))</f>
        <v>8000</v>
      </c>
      <c r="K4522">
        <f>IF(E4522="","",INDEX(Knutepunkter!$D:$D,E4522+1))</f>
        <v>3000</v>
      </c>
      <c r="L4522">
        <f t="shared" si="353"/>
        <v>12000</v>
      </c>
      <c r="M4522">
        <f t="shared" si="354"/>
        <v>12</v>
      </c>
    </row>
    <row r="4523" spans="1:13" x14ac:dyDescent="0.3">
      <c r="A4523" t="str">
        <f>Segmenter!A4523</f>
        <v>S4522</v>
      </c>
      <c r="B4523" t="str">
        <f>Segmenter!B4523</f>
        <v>14 -&gt; 245</v>
      </c>
      <c r="C4523" t="str">
        <f t="shared" si="350"/>
        <v>Bjelke</v>
      </c>
      <c r="D4523">
        <f t="shared" si="351"/>
        <v>14</v>
      </c>
      <c r="E4523">
        <f t="shared" si="352"/>
        <v>245</v>
      </c>
      <c r="F4523">
        <f>IF(D4523="","",INDEX(Knutepunkter!$B:$B,D4523+1))</f>
        <v>354</v>
      </c>
      <c r="G4523">
        <f>IF(D4523="","",INDEX(Knutepunkter!$C:$C,D4523+1))</f>
        <v>8000</v>
      </c>
      <c r="H4523">
        <f>IF(D4523="","",INDEX(Knutepunkter!$D:$D,D4523+1))</f>
        <v>6000</v>
      </c>
      <c r="I4523">
        <f>IF(E4523="","",INDEX(Knutepunkter!$B:$B,E4523+1))</f>
        <v>12354</v>
      </c>
      <c r="J4523">
        <f>IF(E4523="","",INDEX(Knutepunkter!$C:$C,E4523+1))</f>
        <v>8000</v>
      </c>
      <c r="K4523">
        <f>IF(E4523="","",INDEX(Knutepunkter!$D:$D,E4523+1))</f>
        <v>6000</v>
      </c>
      <c r="L4523">
        <f t="shared" si="353"/>
        <v>12000</v>
      </c>
      <c r="M4523">
        <f t="shared" si="354"/>
        <v>12</v>
      </c>
    </row>
    <row r="4524" spans="1:13" x14ac:dyDescent="0.3">
      <c r="A4524" t="str">
        <f>Segmenter!A4524</f>
        <v>S4523</v>
      </c>
      <c r="B4524" t="str">
        <f>Segmenter!B4524</f>
        <v>15 -&gt; 246</v>
      </c>
      <c r="C4524" t="str">
        <f t="shared" si="350"/>
        <v>Bjelke</v>
      </c>
      <c r="D4524">
        <f t="shared" si="351"/>
        <v>15</v>
      </c>
      <c r="E4524">
        <f t="shared" si="352"/>
        <v>246</v>
      </c>
      <c r="F4524">
        <f>IF(D4524="","",INDEX(Knutepunkter!$B:$B,D4524+1))</f>
        <v>354</v>
      </c>
      <c r="G4524">
        <f>IF(D4524="","",INDEX(Knutepunkter!$C:$C,D4524+1))</f>
        <v>8000</v>
      </c>
      <c r="H4524">
        <f>IF(D4524="","",INDEX(Knutepunkter!$D:$D,D4524+1))</f>
        <v>9000</v>
      </c>
      <c r="I4524">
        <f>IF(E4524="","",INDEX(Knutepunkter!$B:$B,E4524+1))</f>
        <v>12354</v>
      </c>
      <c r="J4524">
        <f>IF(E4524="","",INDEX(Knutepunkter!$C:$C,E4524+1))</f>
        <v>8000</v>
      </c>
      <c r="K4524">
        <f>IF(E4524="","",INDEX(Knutepunkter!$D:$D,E4524+1))</f>
        <v>9000</v>
      </c>
      <c r="L4524">
        <f t="shared" si="353"/>
        <v>12000</v>
      </c>
      <c r="M4524">
        <f t="shared" si="354"/>
        <v>12</v>
      </c>
    </row>
    <row r="4525" spans="1:13" x14ac:dyDescent="0.3">
      <c r="A4525" t="str">
        <f>Segmenter!A4525</f>
        <v>S4524</v>
      </c>
      <c r="B4525" t="str">
        <f>Segmenter!B4525</f>
        <v>16 -&gt; 247</v>
      </c>
      <c r="C4525" t="str">
        <f t="shared" si="350"/>
        <v>Bjelke</v>
      </c>
      <c r="D4525">
        <f t="shared" si="351"/>
        <v>16</v>
      </c>
      <c r="E4525">
        <f t="shared" si="352"/>
        <v>247</v>
      </c>
      <c r="F4525">
        <f>IF(D4525="","",INDEX(Knutepunkter!$B:$B,D4525+1))</f>
        <v>354</v>
      </c>
      <c r="G4525">
        <f>IF(D4525="","",INDEX(Knutepunkter!$C:$C,D4525+1))</f>
        <v>8000</v>
      </c>
      <c r="H4525">
        <f>IF(D4525="","",INDEX(Knutepunkter!$D:$D,D4525+1))</f>
        <v>12000</v>
      </c>
      <c r="I4525">
        <f>IF(E4525="","",INDEX(Knutepunkter!$B:$B,E4525+1))</f>
        <v>12354</v>
      </c>
      <c r="J4525">
        <f>IF(E4525="","",INDEX(Knutepunkter!$C:$C,E4525+1))</f>
        <v>8000</v>
      </c>
      <c r="K4525">
        <f>IF(E4525="","",INDEX(Knutepunkter!$D:$D,E4525+1))</f>
        <v>12000</v>
      </c>
      <c r="L4525">
        <f t="shared" si="353"/>
        <v>12000</v>
      </c>
      <c r="M4525">
        <f t="shared" si="354"/>
        <v>12</v>
      </c>
    </row>
    <row r="4526" spans="1:13" x14ac:dyDescent="0.3">
      <c r="A4526" t="str">
        <f>Segmenter!A4526</f>
        <v>S4525</v>
      </c>
      <c r="B4526" t="str">
        <f>Segmenter!B4526</f>
        <v>17 -&gt; 248</v>
      </c>
      <c r="C4526" t="str">
        <f t="shared" si="350"/>
        <v>Bjelke</v>
      </c>
      <c r="D4526">
        <f t="shared" si="351"/>
        <v>17</v>
      </c>
      <c r="E4526">
        <f t="shared" si="352"/>
        <v>248</v>
      </c>
      <c r="F4526">
        <f>IF(D4526="","",INDEX(Knutepunkter!$B:$B,D4526+1))</f>
        <v>354</v>
      </c>
      <c r="G4526">
        <f>IF(D4526="","",INDEX(Knutepunkter!$C:$C,D4526+1))</f>
        <v>8000</v>
      </c>
      <c r="H4526">
        <f>IF(D4526="","",INDEX(Knutepunkter!$D:$D,D4526+1))</f>
        <v>15000</v>
      </c>
      <c r="I4526">
        <f>IF(E4526="","",INDEX(Knutepunkter!$B:$B,E4526+1))</f>
        <v>12354</v>
      </c>
      <c r="J4526">
        <f>IF(E4526="","",INDEX(Knutepunkter!$C:$C,E4526+1))</f>
        <v>8000</v>
      </c>
      <c r="K4526">
        <f>IF(E4526="","",INDEX(Knutepunkter!$D:$D,E4526+1))</f>
        <v>15000</v>
      </c>
      <c r="L4526">
        <f t="shared" si="353"/>
        <v>12000</v>
      </c>
      <c r="M4526">
        <f t="shared" si="354"/>
        <v>12</v>
      </c>
    </row>
    <row r="4527" spans="1:13" x14ac:dyDescent="0.3">
      <c r="A4527" t="str">
        <f>Segmenter!A4527</f>
        <v>S4526</v>
      </c>
      <c r="B4527" t="str">
        <f>Segmenter!B4527</f>
        <v>18 -&gt; 249</v>
      </c>
      <c r="C4527" t="str">
        <f t="shared" si="350"/>
        <v>Bjelke</v>
      </c>
      <c r="D4527">
        <f t="shared" si="351"/>
        <v>18</v>
      </c>
      <c r="E4527">
        <f t="shared" si="352"/>
        <v>249</v>
      </c>
      <c r="F4527">
        <f>IF(D4527="","",INDEX(Knutepunkter!$B:$B,D4527+1))</f>
        <v>354</v>
      </c>
      <c r="G4527">
        <f>IF(D4527="","",INDEX(Knutepunkter!$C:$C,D4527+1))</f>
        <v>8000</v>
      </c>
      <c r="H4527">
        <f>IF(D4527="","",INDEX(Knutepunkter!$D:$D,D4527+1))</f>
        <v>18000</v>
      </c>
      <c r="I4527">
        <f>IF(E4527="","",INDEX(Knutepunkter!$B:$B,E4527+1))</f>
        <v>12354</v>
      </c>
      <c r="J4527">
        <f>IF(E4527="","",INDEX(Knutepunkter!$C:$C,E4527+1))</f>
        <v>8000</v>
      </c>
      <c r="K4527">
        <f>IF(E4527="","",INDEX(Knutepunkter!$D:$D,E4527+1))</f>
        <v>18000</v>
      </c>
      <c r="L4527">
        <f t="shared" si="353"/>
        <v>12000</v>
      </c>
      <c r="M4527">
        <f t="shared" si="354"/>
        <v>12</v>
      </c>
    </row>
    <row r="4528" spans="1:13" x14ac:dyDescent="0.3">
      <c r="A4528" t="str">
        <f>Segmenter!A4528</f>
        <v/>
      </c>
      <c r="B4528" t="str">
        <f>Segmenter!B4528</f>
        <v/>
      </c>
      <c r="C4528" t="str">
        <f t="shared" si="350"/>
        <v/>
      </c>
      <c r="D4528" t="str">
        <f t="shared" si="351"/>
        <v/>
      </c>
      <c r="E4528" t="str">
        <f t="shared" si="352"/>
        <v/>
      </c>
      <c r="F4528" t="str">
        <f>IF(D4528="","",INDEX(Knutepunkter!$B:$B,D4528+1))</f>
        <v/>
      </c>
      <c r="G4528" t="str">
        <f>IF(D4528="","",INDEX(Knutepunkter!$C:$C,D4528+1))</f>
        <v/>
      </c>
      <c r="H4528" t="str">
        <f>IF(D4528="","",INDEX(Knutepunkter!$D:$D,D4528+1))</f>
        <v/>
      </c>
      <c r="I4528" t="str">
        <f>IF(E4528="","",INDEX(Knutepunkter!$B:$B,E4528+1))</f>
        <v/>
      </c>
      <c r="J4528" t="str">
        <f>IF(E4528="","",INDEX(Knutepunkter!$C:$C,E4528+1))</f>
        <v/>
      </c>
      <c r="K4528" t="str">
        <f>IF(E4528="","",INDEX(Knutepunkter!$D:$D,E4528+1))</f>
        <v/>
      </c>
      <c r="L4528" t="str">
        <f t="shared" si="353"/>
        <v/>
      </c>
      <c r="M4528" t="str">
        <f t="shared" si="354"/>
        <v/>
      </c>
    </row>
    <row r="4529" spans="1:13" x14ac:dyDescent="0.3">
      <c r="A4529" t="str">
        <f>Segmenter!A4529</f>
        <v/>
      </c>
      <c r="B4529" t="str">
        <f>Segmenter!B4529</f>
        <v/>
      </c>
      <c r="C4529" t="str">
        <f t="shared" si="350"/>
        <v/>
      </c>
      <c r="D4529" t="str">
        <f t="shared" si="351"/>
        <v/>
      </c>
      <c r="E4529" t="str">
        <f t="shared" si="352"/>
        <v/>
      </c>
      <c r="F4529" t="str">
        <f>IF(D4529="","",INDEX(Knutepunkter!$B:$B,D4529+1))</f>
        <v/>
      </c>
      <c r="G4529" t="str">
        <f>IF(D4529="","",INDEX(Knutepunkter!$C:$C,D4529+1))</f>
        <v/>
      </c>
      <c r="H4529" t="str">
        <f>IF(D4529="","",INDEX(Knutepunkter!$D:$D,D4529+1))</f>
        <v/>
      </c>
      <c r="I4529" t="str">
        <f>IF(E4529="","",INDEX(Knutepunkter!$B:$B,E4529+1))</f>
        <v/>
      </c>
      <c r="J4529" t="str">
        <f>IF(E4529="","",INDEX(Knutepunkter!$C:$C,E4529+1))</f>
        <v/>
      </c>
      <c r="K4529" t="str">
        <f>IF(E4529="","",INDEX(Knutepunkter!$D:$D,E4529+1))</f>
        <v/>
      </c>
      <c r="L4529" t="str">
        <f t="shared" si="353"/>
        <v/>
      </c>
      <c r="M4529" t="str">
        <f t="shared" si="354"/>
        <v/>
      </c>
    </row>
    <row r="4530" spans="1:13" x14ac:dyDescent="0.3">
      <c r="A4530" t="str">
        <f>Segmenter!A4530</f>
        <v/>
      </c>
      <c r="B4530" t="str">
        <f>Segmenter!B4530</f>
        <v/>
      </c>
      <c r="C4530" t="str">
        <f t="shared" si="350"/>
        <v/>
      </c>
      <c r="D4530" t="str">
        <f t="shared" si="351"/>
        <v/>
      </c>
      <c r="E4530" t="str">
        <f t="shared" si="352"/>
        <v/>
      </c>
      <c r="F4530" t="str">
        <f>IF(D4530="","",INDEX(Knutepunkter!$B:$B,D4530+1))</f>
        <v/>
      </c>
      <c r="G4530" t="str">
        <f>IF(D4530="","",INDEX(Knutepunkter!$C:$C,D4530+1))</f>
        <v/>
      </c>
      <c r="H4530" t="str">
        <f>IF(D4530="","",INDEX(Knutepunkter!$D:$D,D4530+1))</f>
        <v/>
      </c>
      <c r="I4530" t="str">
        <f>IF(E4530="","",INDEX(Knutepunkter!$B:$B,E4530+1))</f>
        <v/>
      </c>
      <c r="J4530" t="str">
        <f>IF(E4530="","",INDEX(Knutepunkter!$C:$C,E4530+1))</f>
        <v/>
      </c>
      <c r="K4530" t="str">
        <f>IF(E4530="","",INDEX(Knutepunkter!$D:$D,E4530+1))</f>
        <v/>
      </c>
      <c r="L4530" t="str">
        <f t="shared" si="353"/>
        <v/>
      </c>
      <c r="M4530" t="str">
        <f t="shared" si="354"/>
        <v/>
      </c>
    </row>
    <row r="4531" spans="1:13" x14ac:dyDescent="0.3">
      <c r="A4531" t="str">
        <f>Segmenter!A4531</f>
        <v/>
      </c>
      <c r="B4531" t="str">
        <f>Segmenter!B4531</f>
        <v/>
      </c>
      <c r="C4531" t="str">
        <f t="shared" si="350"/>
        <v/>
      </c>
      <c r="D4531" t="str">
        <f t="shared" si="351"/>
        <v/>
      </c>
      <c r="E4531" t="str">
        <f t="shared" si="352"/>
        <v/>
      </c>
      <c r="F4531" t="str">
        <f>IF(D4531="","",INDEX(Knutepunkter!$B:$B,D4531+1))</f>
        <v/>
      </c>
      <c r="G4531" t="str">
        <f>IF(D4531="","",INDEX(Knutepunkter!$C:$C,D4531+1))</f>
        <v/>
      </c>
      <c r="H4531" t="str">
        <f>IF(D4531="","",INDEX(Knutepunkter!$D:$D,D4531+1))</f>
        <v/>
      </c>
      <c r="I4531" t="str">
        <f>IF(E4531="","",INDEX(Knutepunkter!$B:$B,E4531+1))</f>
        <v/>
      </c>
      <c r="J4531" t="str">
        <f>IF(E4531="","",INDEX(Knutepunkter!$C:$C,E4531+1))</f>
        <v/>
      </c>
      <c r="K4531" t="str">
        <f>IF(E4531="","",INDEX(Knutepunkter!$D:$D,E4531+1))</f>
        <v/>
      </c>
      <c r="L4531" t="str">
        <f t="shared" si="353"/>
        <v/>
      </c>
      <c r="M4531" t="str">
        <f t="shared" si="354"/>
        <v/>
      </c>
    </row>
    <row r="4532" spans="1:13" x14ac:dyDescent="0.3">
      <c r="A4532" t="str">
        <f>Segmenter!A4532</f>
        <v>S4531</v>
      </c>
      <c r="B4532" t="str">
        <f>Segmenter!B4532</f>
        <v>24 -&gt; 255</v>
      </c>
      <c r="C4532" t="str">
        <f t="shared" si="350"/>
        <v>Bjelke</v>
      </c>
      <c r="D4532">
        <f t="shared" si="351"/>
        <v>24</v>
      </c>
      <c r="E4532">
        <f t="shared" si="352"/>
        <v>255</v>
      </c>
      <c r="F4532">
        <f>IF(D4532="","",INDEX(Knutepunkter!$B:$B,D4532+1))</f>
        <v>354</v>
      </c>
      <c r="G4532">
        <f>IF(D4532="","",INDEX(Knutepunkter!$C:$C,D4532+1))</f>
        <v>16000</v>
      </c>
      <c r="H4532">
        <f>IF(D4532="","",INDEX(Knutepunkter!$D:$D,D4532+1))</f>
        <v>3000</v>
      </c>
      <c r="I4532">
        <f>IF(E4532="","",INDEX(Knutepunkter!$B:$B,E4532+1))</f>
        <v>12354</v>
      </c>
      <c r="J4532">
        <f>IF(E4532="","",INDEX(Knutepunkter!$C:$C,E4532+1))</f>
        <v>16000</v>
      </c>
      <c r="K4532">
        <f>IF(E4532="","",INDEX(Knutepunkter!$D:$D,E4532+1))</f>
        <v>3000</v>
      </c>
      <c r="L4532">
        <f t="shared" si="353"/>
        <v>12000</v>
      </c>
      <c r="M4532">
        <f t="shared" si="354"/>
        <v>12</v>
      </c>
    </row>
    <row r="4533" spans="1:13" x14ac:dyDescent="0.3">
      <c r="A4533" t="str">
        <f>Segmenter!A4533</f>
        <v>S4532</v>
      </c>
      <c r="B4533" t="str">
        <f>Segmenter!B4533</f>
        <v>25 -&gt; 256</v>
      </c>
      <c r="C4533" t="str">
        <f t="shared" si="350"/>
        <v>Bjelke</v>
      </c>
      <c r="D4533">
        <f t="shared" si="351"/>
        <v>25</v>
      </c>
      <c r="E4533">
        <f t="shared" si="352"/>
        <v>256</v>
      </c>
      <c r="F4533">
        <f>IF(D4533="","",INDEX(Knutepunkter!$B:$B,D4533+1))</f>
        <v>354</v>
      </c>
      <c r="G4533">
        <f>IF(D4533="","",INDEX(Knutepunkter!$C:$C,D4533+1))</f>
        <v>16000</v>
      </c>
      <c r="H4533">
        <f>IF(D4533="","",INDEX(Knutepunkter!$D:$D,D4533+1))</f>
        <v>6000</v>
      </c>
      <c r="I4533">
        <f>IF(E4533="","",INDEX(Knutepunkter!$B:$B,E4533+1))</f>
        <v>12354</v>
      </c>
      <c r="J4533">
        <f>IF(E4533="","",INDEX(Knutepunkter!$C:$C,E4533+1))</f>
        <v>16000</v>
      </c>
      <c r="K4533">
        <f>IF(E4533="","",INDEX(Knutepunkter!$D:$D,E4533+1))</f>
        <v>6000</v>
      </c>
      <c r="L4533">
        <f t="shared" si="353"/>
        <v>12000</v>
      </c>
      <c r="M4533">
        <f t="shared" si="354"/>
        <v>12</v>
      </c>
    </row>
    <row r="4534" spans="1:13" x14ac:dyDescent="0.3">
      <c r="A4534" t="str">
        <f>Segmenter!A4534</f>
        <v>S4533</v>
      </c>
      <c r="B4534" t="str">
        <f>Segmenter!B4534</f>
        <v>26 -&gt; 257</v>
      </c>
      <c r="C4534" t="str">
        <f t="shared" si="350"/>
        <v>Bjelke</v>
      </c>
      <c r="D4534">
        <f t="shared" si="351"/>
        <v>26</v>
      </c>
      <c r="E4534">
        <f t="shared" si="352"/>
        <v>257</v>
      </c>
      <c r="F4534">
        <f>IF(D4534="","",INDEX(Knutepunkter!$B:$B,D4534+1))</f>
        <v>354</v>
      </c>
      <c r="G4534">
        <f>IF(D4534="","",INDEX(Knutepunkter!$C:$C,D4534+1))</f>
        <v>16000</v>
      </c>
      <c r="H4534">
        <f>IF(D4534="","",INDEX(Knutepunkter!$D:$D,D4534+1))</f>
        <v>9000</v>
      </c>
      <c r="I4534">
        <f>IF(E4534="","",INDEX(Knutepunkter!$B:$B,E4534+1))</f>
        <v>12354</v>
      </c>
      <c r="J4534">
        <f>IF(E4534="","",INDEX(Knutepunkter!$C:$C,E4534+1))</f>
        <v>16000</v>
      </c>
      <c r="K4534">
        <f>IF(E4534="","",INDEX(Knutepunkter!$D:$D,E4534+1))</f>
        <v>9000</v>
      </c>
      <c r="L4534">
        <f t="shared" si="353"/>
        <v>12000</v>
      </c>
      <c r="M4534">
        <f t="shared" si="354"/>
        <v>12</v>
      </c>
    </row>
    <row r="4535" spans="1:13" x14ac:dyDescent="0.3">
      <c r="A4535" t="str">
        <f>Segmenter!A4535</f>
        <v>S4534</v>
      </c>
      <c r="B4535" t="str">
        <f>Segmenter!B4535</f>
        <v>27 -&gt; 258</v>
      </c>
      <c r="C4535" t="str">
        <f t="shared" si="350"/>
        <v>Bjelke</v>
      </c>
      <c r="D4535">
        <f t="shared" si="351"/>
        <v>27</v>
      </c>
      <c r="E4535">
        <f t="shared" si="352"/>
        <v>258</v>
      </c>
      <c r="F4535">
        <f>IF(D4535="","",INDEX(Knutepunkter!$B:$B,D4535+1))</f>
        <v>354</v>
      </c>
      <c r="G4535">
        <f>IF(D4535="","",INDEX(Knutepunkter!$C:$C,D4535+1))</f>
        <v>16000</v>
      </c>
      <c r="H4535">
        <f>IF(D4535="","",INDEX(Knutepunkter!$D:$D,D4535+1))</f>
        <v>12000</v>
      </c>
      <c r="I4535">
        <f>IF(E4535="","",INDEX(Knutepunkter!$B:$B,E4535+1))</f>
        <v>12354</v>
      </c>
      <c r="J4535">
        <f>IF(E4535="","",INDEX(Knutepunkter!$C:$C,E4535+1))</f>
        <v>16000</v>
      </c>
      <c r="K4535">
        <f>IF(E4535="","",INDEX(Knutepunkter!$D:$D,E4535+1))</f>
        <v>12000</v>
      </c>
      <c r="L4535">
        <f t="shared" si="353"/>
        <v>12000</v>
      </c>
      <c r="M4535">
        <f t="shared" si="354"/>
        <v>12</v>
      </c>
    </row>
    <row r="4536" spans="1:13" x14ac:dyDescent="0.3">
      <c r="A4536" t="str">
        <f>Segmenter!A4536</f>
        <v>S4535</v>
      </c>
      <c r="B4536" t="str">
        <f>Segmenter!B4536</f>
        <v>28 -&gt; 259</v>
      </c>
      <c r="C4536" t="str">
        <f t="shared" si="350"/>
        <v>Bjelke</v>
      </c>
      <c r="D4536">
        <f t="shared" si="351"/>
        <v>28</v>
      </c>
      <c r="E4536">
        <f t="shared" si="352"/>
        <v>259</v>
      </c>
      <c r="F4536">
        <f>IF(D4536="","",INDEX(Knutepunkter!$B:$B,D4536+1))</f>
        <v>354</v>
      </c>
      <c r="G4536">
        <f>IF(D4536="","",INDEX(Knutepunkter!$C:$C,D4536+1))</f>
        <v>16000</v>
      </c>
      <c r="H4536">
        <f>IF(D4536="","",INDEX(Knutepunkter!$D:$D,D4536+1))</f>
        <v>15000</v>
      </c>
      <c r="I4536">
        <f>IF(E4536="","",INDEX(Knutepunkter!$B:$B,E4536+1))</f>
        <v>12354</v>
      </c>
      <c r="J4536">
        <f>IF(E4536="","",INDEX(Knutepunkter!$C:$C,E4536+1))</f>
        <v>16000</v>
      </c>
      <c r="K4536">
        <f>IF(E4536="","",INDEX(Knutepunkter!$D:$D,E4536+1))</f>
        <v>15000</v>
      </c>
      <c r="L4536">
        <f t="shared" si="353"/>
        <v>12000</v>
      </c>
      <c r="M4536">
        <f t="shared" si="354"/>
        <v>12</v>
      </c>
    </row>
    <row r="4537" spans="1:13" x14ac:dyDescent="0.3">
      <c r="A4537" t="str">
        <f>Segmenter!A4537</f>
        <v>S4536</v>
      </c>
      <c r="B4537" t="str">
        <f>Segmenter!B4537</f>
        <v>29 -&gt; 260</v>
      </c>
      <c r="C4537" t="str">
        <f t="shared" si="350"/>
        <v>Bjelke</v>
      </c>
      <c r="D4537">
        <f t="shared" si="351"/>
        <v>29</v>
      </c>
      <c r="E4537">
        <f t="shared" si="352"/>
        <v>260</v>
      </c>
      <c r="F4537">
        <f>IF(D4537="","",INDEX(Knutepunkter!$B:$B,D4537+1))</f>
        <v>354</v>
      </c>
      <c r="G4537">
        <f>IF(D4537="","",INDEX(Knutepunkter!$C:$C,D4537+1))</f>
        <v>16000</v>
      </c>
      <c r="H4537">
        <f>IF(D4537="","",INDEX(Knutepunkter!$D:$D,D4537+1))</f>
        <v>18000</v>
      </c>
      <c r="I4537">
        <f>IF(E4537="","",INDEX(Knutepunkter!$B:$B,E4537+1))</f>
        <v>12354</v>
      </c>
      <c r="J4537">
        <f>IF(E4537="","",INDEX(Knutepunkter!$C:$C,E4537+1))</f>
        <v>16000</v>
      </c>
      <c r="K4537">
        <f>IF(E4537="","",INDEX(Knutepunkter!$D:$D,E4537+1))</f>
        <v>18000</v>
      </c>
      <c r="L4537">
        <f t="shared" si="353"/>
        <v>12000</v>
      </c>
      <c r="M4537">
        <f t="shared" si="354"/>
        <v>12</v>
      </c>
    </row>
    <row r="4538" spans="1:13" x14ac:dyDescent="0.3">
      <c r="A4538" t="str">
        <f>Segmenter!A4538</f>
        <v/>
      </c>
      <c r="B4538" t="str">
        <f>Segmenter!B4538</f>
        <v/>
      </c>
      <c r="C4538" t="str">
        <f t="shared" si="350"/>
        <v/>
      </c>
      <c r="D4538" t="str">
        <f t="shared" si="351"/>
        <v/>
      </c>
      <c r="E4538" t="str">
        <f t="shared" si="352"/>
        <v/>
      </c>
      <c r="F4538" t="str">
        <f>IF(D4538="","",INDEX(Knutepunkter!$B:$B,D4538+1))</f>
        <v/>
      </c>
      <c r="G4538" t="str">
        <f>IF(D4538="","",INDEX(Knutepunkter!$C:$C,D4538+1))</f>
        <v/>
      </c>
      <c r="H4538" t="str">
        <f>IF(D4538="","",INDEX(Knutepunkter!$D:$D,D4538+1))</f>
        <v/>
      </c>
      <c r="I4538" t="str">
        <f>IF(E4538="","",INDEX(Knutepunkter!$B:$B,E4538+1))</f>
        <v/>
      </c>
      <c r="J4538" t="str">
        <f>IF(E4538="","",INDEX(Knutepunkter!$C:$C,E4538+1))</f>
        <v/>
      </c>
      <c r="K4538" t="str">
        <f>IF(E4538="","",INDEX(Knutepunkter!$D:$D,E4538+1))</f>
        <v/>
      </c>
      <c r="L4538" t="str">
        <f t="shared" si="353"/>
        <v/>
      </c>
      <c r="M4538" t="str">
        <f t="shared" si="354"/>
        <v/>
      </c>
    </row>
    <row r="4539" spans="1:13" x14ac:dyDescent="0.3">
      <c r="A4539" t="str">
        <f>Segmenter!A4539</f>
        <v/>
      </c>
      <c r="B4539" t="str">
        <f>Segmenter!B4539</f>
        <v/>
      </c>
      <c r="C4539" t="str">
        <f t="shared" si="350"/>
        <v/>
      </c>
      <c r="D4539" t="str">
        <f t="shared" si="351"/>
        <v/>
      </c>
      <c r="E4539" t="str">
        <f t="shared" si="352"/>
        <v/>
      </c>
      <c r="F4539" t="str">
        <f>IF(D4539="","",INDEX(Knutepunkter!$B:$B,D4539+1))</f>
        <v/>
      </c>
      <c r="G4539" t="str">
        <f>IF(D4539="","",INDEX(Knutepunkter!$C:$C,D4539+1))</f>
        <v/>
      </c>
      <c r="H4539" t="str">
        <f>IF(D4539="","",INDEX(Knutepunkter!$D:$D,D4539+1))</f>
        <v/>
      </c>
      <c r="I4539" t="str">
        <f>IF(E4539="","",INDEX(Knutepunkter!$B:$B,E4539+1))</f>
        <v/>
      </c>
      <c r="J4539" t="str">
        <f>IF(E4539="","",INDEX(Knutepunkter!$C:$C,E4539+1))</f>
        <v/>
      </c>
      <c r="K4539" t="str">
        <f>IF(E4539="","",INDEX(Knutepunkter!$D:$D,E4539+1))</f>
        <v/>
      </c>
      <c r="L4539" t="str">
        <f t="shared" si="353"/>
        <v/>
      </c>
      <c r="M4539" t="str">
        <f t="shared" si="354"/>
        <v/>
      </c>
    </row>
    <row r="4540" spans="1:13" x14ac:dyDescent="0.3">
      <c r="A4540" t="str">
        <f>Segmenter!A4540</f>
        <v/>
      </c>
      <c r="B4540" t="str">
        <f>Segmenter!B4540</f>
        <v/>
      </c>
      <c r="C4540" t="str">
        <f t="shared" si="350"/>
        <v/>
      </c>
      <c r="D4540" t="str">
        <f t="shared" si="351"/>
        <v/>
      </c>
      <c r="E4540" t="str">
        <f t="shared" si="352"/>
        <v/>
      </c>
      <c r="F4540" t="str">
        <f>IF(D4540="","",INDEX(Knutepunkter!$B:$B,D4540+1))</f>
        <v/>
      </c>
      <c r="G4540" t="str">
        <f>IF(D4540="","",INDEX(Knutepunkter!$C:$C,D4540+1))</f>
        <v/>
      </c>
      <c r="H4540" t="str">
        <f>IF(D4540="","",INDEX(Knutepunkter!$D:$D,D4540+1))</f>
        <v/>
      </c>
      <c r="I4540" t="str">
        <f>IF(E4540="","",INDEX(Knutepunkter!$B:$B,E4540+1))</f>
        <v/>
      </c>
      <c r="J4540" t="str">
        <f>IF(E4540="","",INDEX(Knutepunkter!$C:$C,E4540+1))</f>
        <v/>
      </c>
      <c r="K4540" t="str">
        <f>IF(E4540="","",INDEX(Knutepunkter!$D:$D,E4540+1))</f>
        <v/>
      </c>
      <c r="L4540" t="str">
        <f t="shared" si="353"/>
        <v/>
      </c>
      <c r="M4540" t="str">
        <f t="shared" si="354"/>
        <v/>
      </c>
    </row>
    <row r="4541" spans="1:13" x14ac:dyDescent="0.3">
      <c r="A4541" t="str">
        <f>Segmenter!A4541</f>
        <v/>
      </c>
      <c r="B4541" t="str">
        <f>Segmenter!B4541</f>
        <v/>
      </c>
      <c r="C4541" t="str">
        <f t="shared" si="350"/>
        <v/>
      </c>
      <c r="D4541" t="str">
        <f t="shared" si="351"/>
        <v/>
      </c>
      <c r="E4541" t="str">
        <f t="shared" si="352"/>
        <v/>
      </c>
      <c r="F4541" t="str">
        <f>IF(D4541="","",INDEX(Knutepunkter!$B:$B,D4541+1))</f>
        <v/>
      </c>
      <c r="G4541" t="str">
        <f>IF(D4541="","",INDEX(Knutepunkter!$C:$C,D4541+1))</f>
        <v/>
      </c>
      <c r="H4541" t="str">
        <f>IF(D4541="","",INDEX(Knutepunkter!$D:$D,D4541+1))</f>
        <v/>
      </c>
      <c r="I4541" t="str">
        <f>IF(E4541="","",INDEX(Knutepunkter!$B:$B,E4541+1))</f>
        <v/>
      </c>
      <c r="J4541" t="str">
        <f>IF(E4541="","",INDEX(Knutepunkter!$C:$C,E4541+1))</f>
        <v/>
      </c>
      <c r="K4541" t="str">
        <f>IF(E4541="","",INDEX(Knutepunkter!$D:$D,E4541+1))</f>
        <v/>
      </c>
      <c r="L4541" t="str">
        <f t="shared" si="353"/>
        <v/>
      </c>
      <c r="M4541" t="str">
        <f t="shared" si="354"/>
        <v/>
      </c>
    </row>
    <row r="4542" spans="1:13" x14ac:dyDescent="0.3">
      <c r="A4542" t="str">
        <f>Segmenter!A4542</f>
        <v>S4541</v>
      </c>
      <c r="B4542" t="str">
        <f>Segmenter!B4542</f>
        <v>35 -&gt; 266</v>
      </c>
      <c r="C4542" t="str">
        <f t="shared" si="350"/>
        <v>Bjelke</v>
      </c>
      <c r="D4542">
        <f t="shared" si="351"/>
        <v>35</v>
      </c>
      <c r="E4542">
        <f t="shared" si="352"/>
        <v>266</v>
      </c>
      <c r="F4542">
        <f>IF(D4542="","",INDEX(Knutepunkter!$B:$B,D4542+1))</f>
        <v>354</v>
      </c>
      <c r="G4542">
        <f>IF(D4542="","",INDEX(Knutepunkter!$C:$C,D4542+1))</f>
        <v>24000</v>
      </c>
      <c r="H4542">
        <f>IF(D4542="","",INDEX(Knutepunkter!$D:$D,D4542+1))</f>
        <v>3000</v>
      </c>
      <c r="I4542">
        <f>IF(E4542="","",INDEX(Knutepunkter!$B:$B,E4542+1))</f>
        <v>12354</v>
      </c>
      <c r="J4542">
        <f>IF(E4542="","",INDEX(Knutepunkter!$C:$C,E4542+1))</f>
        <v>24000</v>
      </c>
      <c r="K4542">
        <f>IF(E4542="","",INDEX(Knutepunkter!$D:$D,E4542+1))</f>
        <v>3000</v>
      </c>
      <c r="L4542">
        <f t="shared" si="353"/>
        <v>12000</v>
      </c>
      <c r="M4542">
        <f t="shared" si="354"/>
        <v>12</v>
      </c>
    </row>
    <row r="4543" spans="1:13" x14ac:dyDescent="0.3">
      <c r="A4543" t="str">
        <f>Segmenter!A4543</f>
        <v>S4542</v>
      </c>
      <c r="B4543" t="str">
        <f>Segmenter!B4543</f>
        <v>36 -&gt; 267</v>
      </c>
      <c r="C4543" t="str">
        <f t="shared" si="350"/>
        <v>Bjelke</v>
      </c>
      <c r="D4543">
        <f t="shared" si="351"/>
        <v>36</v>
      </c>
      <c r="E4543">
        <f t="shared" si="352"/>
        <v>267</v>
      </c>
      <c r="F4543">
        <f>IF(D4543="","",INDEX(Knutepunkter!$B:$B,D4543+1))</f>
        <v>354</v>
      </c>
      <c r="G4543">
        <f>IF(D4543="","",INDEX(Knutepunkter!$C:$C,D4543+1))</f>
        <v>24000</v>
      </c>
      <c r="H4543">
        <f>IF(D4543="","",INDEX(Knutepunkter!$D:$D,D4543+1))</f>
        <v>6000</v>
      </c>
      <c r="I4543">
        <f>IF(E4543="","",INDEX(Knutepunkter!$B:$B,E4543+1))</f>
        <v>12354</v>
      </c>
      <c r="J4543">
        <f>IF(E4543="","",INDEX(Knutepunkter!$C:$C,E4543+1))</f>
        <v>24000</v>
      </c>
      <c r="K4543">
        <f>IF(E4543="","",INDEX(Knutepunkter!$D:$D,E4543+1))</f>
        <v>6000</v>
      </c>
      <c r="L4543">
        <f t="shared" si="353"/>
        <v>12000</v>
      </c>
      <c r="M4543">
        <f t="shared" si="354"/>
        <v>12</v>
      </c>
    </row>
    <row r="4544" spans="1:13" x14ac:dyDescent="0.3">
      <c r="A4544" t="str">
        <f>Segmenter!A4544</f>
        <v>S4543</v>
      </c>
      <c r="B4544" t="str">
        <f>Segmenter!B4544</f>
        <v>37 -&gt; 268</v>
      </c>
      <c r="C4544" t="str">
        <f t="shared" si="350"/>
        <v>Bjelke</v>
      </c>
      <c r="D4544">
        <f t="shared" si="351"/>
        <v>37</v>
      </c>
      <c r="E4544">
        <f t="shared" si="352"/>
        <v>268</v>
      </c>
      <c r="F4544">
        <f>IF(D4544="","",INDEX(Knutepunkter!$B:$B,D4544+1))</f>
        <v>354</v>
      </c>
      <c r="G4544">
        <f>IF(D4544="","",INDEX(Knutepunkter!$C:$C,D4544+1))</f>
        <v>24000</v>
      </c>
      <c r="H4544">
        <f>IF(D4544="","",INDEX(Knutepunkter!$D:$D,D4544+1))</f>
        <v>9000</v>
      </c>
      <c r="I4544">
        <f>IF(E4544="","",INDEX(Knutepunkter!$B:$B,E4544+1))</f>
        <v>12354</v>
      </c>
      <c r="J4544">
        <f>IF(E4544="","",INDEX(Knutepunkter!$C:$C,E4544+1))</f>
        <v>24000</v>
      </c>
      <c r="K4544">
        <f>IF(E4544="","",INDEX(Knutepunkter!$D:$D,E4544+1))</f>
        <v>9000</v>
      </c>
      <c r="L4544">
        <f t="shared" si="353"/>
        <v>12000</v>
      </c>
      <c r="M4544">
        <f t="shared" si="354"/>
        <v>12</v>
      </c>
    </row>
    <row r="4545" spans="1:13" x14ac:dyDescent="0.3">
      <c r="A4545" t="str">
        <f>Segmenter!A4545</f>
        <v>S4544</v>
      </c>
      <c r="B4545" t="str">
        <f>Segmenter!B4545</f>
        <v>38 -&gt; 269</v>
      </c>
      <c r="C4545" t="str">
        <f t="shared" si="350"/>
        <v>Bjelke</v>
      </c>
      <c r="D4545">
        <f t="shared" si="351"/>
        <v>38</v>
      </c>
      <c r="E4545">
        <f t="shared" si="352"/>
        <v>269</v>
      </c>
      <c r="F4545">
        <f>IF(D4545="","",INDEX(Knutepunkter!$B:$B,D4545+1))</f>
        <v>354</v>
      </c>
      <c r="G4545">
        <f>IF(D4545="","",INDEX(Knutepunkter!$C:$C,D4545+1))</f>
        <v>24000</v>
      </c>
      <c r="H4545">
        <f>IF(D4545="","",INDEX(Knutepunkter!$D:$D,D4545+1))</f>
        <v>12000</v>
      </c>
      <c r="I4545">
        <f>IF(E4545="","",INDEX(Knutepunkter!$B:$B,E4545+1))</f>
        <v>12354</v>
      </c>
      <c r="J4545">
        <f>IF(E4545="","",INDEX(Knutepunkter!$C:$C,E4545+1))</f>
        <v>24000</v>
      </c>
      <c r="K4545">
        <f>IF(E4545="","",INDEX(Knutepunkter!$D:$D,E4545+1))</f>
        <v>12000</v>
      </c>
      <c r="L4545">
        <f t="shared" si="353"/>
        <v>12000</v>
      </c>
      <c r="M4545">
        <f t="shared" si="354"/>
        <v>12</v>
      </c>
    </row>
    <row r="4546" spans="1:13" x14ac:dyDescent="0.3">
      <c r="A4546" t="str">
        <f>Segmenter!A4546</f>
        <v>S4545</v>
      </c>
      <c r="B4546" t="str">
        <f>Segmenter!B4546</f>
        <v>39 -&gt; 270</v>
      </c>
      <c r="C4546" t="str">
        <f t="shared" ref="C4546:C4609" si="355">IF(B4546="","",IF(AND(F4546=I4546,G4546=J4546,H4546&lt;&gt;K4546),"Søyle","Bjelke"))</f>
        <v>Bjelke</v>
      </c>
      <c r="D4546">
        <f t="shared" ref="D4546:D4609" si="356">IF(B4546="","",VALUE(LEFT(B4546,FIND(" -&gt; ",B4546)-1)))</f>
        <v>39</v>
      </c>
      <c r="E4546">
        <f t="shared" ref="E4546:E4609" si="357">IF(B4546="","",VALUE(MID(B4546,FIND(" -&gt; ",B4546)+4,99)))</f>
        <v>270</v>
      </c>
      <c r="F4546">
        <f>IF(D4546="","",INDEX(Knutepunkter!$B:$B,D4546+1))</f>
        <v>354</v>
      </c>
      <c r="G4546">
        <f>IF(D4546="","",INDEX(Knutepunkter!$C:$C,D4546+1))</f>
        <v>24000</v>
      </c>
      <c r="H4546">
        <f>IF(D4546="","",INDEX(Knutepunkter!$D:$D,D4546+1))</f>
        <v>15000</v>
      </c>
      <c r="I4546">
        <f>IF(E4546="","",INDEX(Knutepunkter!$B:$B,E4546+1))</f>
        <v>12354</v>
      </c>
      <c r="J4546">
        <f>IF(E4546="","",INDEX(Knutepunkter!$C:$C,E4546+1))</f>
        <v>24000</v>
      </c>
      <c r="K4546">
        <f>IF(E4546="","",INDEX(Knutepunkter!$D:$D,E4546+1))</f>
        <v>15000</v>
      </c>
      <c r="L4546">
        <f t="shared" ref="L4546:L4609" si="358">IF(B4546="","",SQRT((I4546-F4546)^2+(J4546-G4546)^2+(K4546-H4546)^2))</f>
        <v>12000</v>
      </c>
      <c r="M4546">
        <f t="shared" ref="M4546:M4609" si="359">IF(L4546="","",L4546/1000)</f>
        <v>12</v>
      </c>
    </row>
    <row r="4547" spans="1:13" x14ac:dyDescent="0.3">
      <c r="A4547" t="str">
        <f>Segmenter!A4547</f>
        <v>S4546</v>
      </c>
      <c r="B4547" t="str">
        <f>Segmenter!B4547</f>
        <v>40 -&gt; 271</v>
      </c>
      <c r="C4547" t="str">
        <f t="shared" si="355"/>
        <v>Bjelke</v>
      </c>
      <c r="D4547">
        <f t="shared" si="356"/>
        <v>40</v>
      </c>
      <c r="E4547">
        <f t="shared" si="357"/>
        <v>271</v>
      </c>
      <c r="F4547">
        <f>IF(D4547="","",INDEX(Knutepunkter!$B:$B,D4547+1))</f>
        <v>354</v>
      </c>
      <c r="G4547">
        <f>IF(D4547="","",INDEX(Knutepunkter!$C:$C,D4547+1))</f>
        <v>24000</v>
      </c>
      <c r="H4547">
        <f>IF(D4547="","",INDEX(Knutepunkter!$D:$D,D4547+1))</f>
        <v>18000</v>
      </c>
      <c r="I4547">
        <f>IF(E4547="","",INDEX(Knutepunkter!$B:$B,E4547+1))</f>
        <v>12354</v>
      </c>
      <c r="J4547">
        <f>IF(E4547="","",INDEX(Knutepunkter!$C:$C,E4547+1))</f>
        <v>24000</v>
      </c>
      <c r="K4547">
        <f>IF(E4547="","",INDEX(Knutepunkter!$D:$D,E4547+1))</f>
        <v>18000</v>
      </c>
      <c r="L4547">
        <f t="shared" si="358"/>
        <v>12000</v>
      </c>
      <c r="M4547">
        <f t="shared" si="359"/>
        <v>12</v>
      </c>
    </row>
    <row r="4548" spans="1:13" x14ac:dyDescent="0.3">
      <c r="A4548" t="str">
        <f>Segmenter!A4548</f>
        <v/>
      </c>
      <c r="B4548" t="str">
        <f>Segmenter!B4548</f>
        <v/>
      </c>
      <c r="C4548" t="str">
        <f t="shared" si="355"/>
        <v/>
      </c>
      <c r="D4548" t="str">
        <f t="shared" si="356"/>
        <v/>
      </c>
      <c r="E4548" t="str">
        <f t="shared" si="357"/>
        <v/>
      </c>
      <c r="F4548" t="str">
        <f>IF(D4548="","",INDEX(Knutepunkter!$B:$B,D4548+1))</f>
        <v/>
      </c>
      <c r="G4548" t="str">
        <f>IF(D4548="","",INDEX(Knutepunkter!$C:$C,D4548+1))</f>
        <v/>
      </c>
      <c r="H4548" t="str">
        <f>IF(D4548="","",INDEX(Knutepunkter!$D:$D,D4548+1))</f>
        <v/>
      </c>
      <c r="I4548" t="str">
        <f>IF(E4548="","",INDEX(Knutepunkter!$B:$B,E4548+1))</f>
        <v/>
      </c>
      <c r="J4548" t="str">
        <f>IF(E4548="","",INDEX(Knutepunkter!$C:$C,E4548+1))</f>
        <v/>
      </c>
      <c r="K4548" t="str">
        <f>IF(E4548="","",INDEX(Knutepunkter!$D:$D,E4548+1))</f>
        <v/>
      </c>
      <c r="L4548" t="str">
        <f t="shared" si="358"/>
        <v/>
      </c>
      <c r="M4548" t="str">
        <f t="shared" si="359"/>
        <v/>
      </c>
    </row>
    <row r="4549" spans="1:13" x14ac:dyDescent="0.3">
      <c r="A4549" t="str">
        <f>Segmenter!A4549</f>
        <v/>
      </c>
      <c r="B4549" t="str">
        <f>Segmenter!B4549</f>
        <v/>
      </c>
      <c r="C4549" t="str">
        <f t="shared" si="355"/>
        <v/>
      </c>
      <c r="D4549" t="str">
        <f t="shared" si="356"/>
        <v/>
      </c>
      <c r="E4549" t="str">
        <f t="shared" si="357"/>
        <v/>
      </c>
      <c r="F4549" t="str">
        <f>IF(D4549="","",INDEX(Knutepunkter!$B:$B,D4549+1))</f>
        <v/>
      </c>
      <c r="G4549" t="str">
        <f>IF(D4549="","",INDEX(Knutepunkter!$C:$C,D4549+1))</f>
        <v/>
      </c>
      <c r="H4549" t="str">
        <f>IF(D4549="","",INDEX(Knutepunkter!$D:$D,D4549+1))</f>
        <v/>
      </c>
      <c r="I4549" t="str">
        <f>IF(E4549="","",INDEX(Knutepunkter!$B:$B,E4549+1))</f>
        <v/>
      </c>
      <c r="J4549" t="str">
        <f>IF(E4549="","",INDEX(Knutepunkter!$C:$C,E4549+1))</f>
        <v/>
      </c>
      <c r="K4549" t="str">
        <f>IF(E4549="","",INDEX(Knutepunkter!$D:$D,E4549+1))</f>
        <v/>
      </c>
      <c r="L4549" t="str">
        <f t="shared" si="358"/>
        <v/>
      </c>
      <c r="M4549" t="str">
        <f t="shared" si="359"/>
        <v/>
      </c>
    </row>
    <row r="4550" spans="1:13" x14ac:dyDescent="0.3">
      <c r="A4550" t="str">
        <f>Segmenter!A4550</f>
        <v/>
      </c>
      <c r="B4550" t="str">
        <f>Segmenter!B4550</f>
        <v/>
      </c>
      <c r="C4550" t="str">
        <f t="shared" si="355"/>
        <v/>
      </c>
      <c r="D4550" t="str">
        <f t="shared" si="356"/>
        <v/>
      </c>
      <c r="E4550" t="str">
        <f t="shared" si="357"/>
        <v/>
      </c>
      <c r="F4550" t="str">
        <f>IF(D4550="","",INDEX(Knutepunkter!$B:$B,D4550+1))</f>
        <v/>
      </c>
      <c r="G4550" t="str">
        <f>IF(D4550="","",INDEX(Knutepunkter!$C:$C,D4550+1))</f>
        <v/>
      </c>
      <c r="H4550" t="str">
        <f>IF(D4550="","",INDEX(Knutepunkter!$D:$D,D4550+1))</f>
        <v/>
      </c>
      <c r="I4550" t="str">
        <f>IF(E4550="","",INDEX(Knutepunkter!$B:$B,E4550+1))</f>
        <v/>
      </c>
      <c r="J4550" t="str">
        <f>IF(E4550="","",INDEX(Knutepunkter!$C:$C,E4550+1))</f>
        <v/>
      </c>
      <c r="K4550" t="str">
        <f>IF(E4550="","",INDEX(Knutepunkter!$D:$D,E4550+1))</f>
        <v/>
      </c>
      <c r="L4550" t="str">
        <f t="shared" si="358"/>
        <v/>
      </c>
      <c r="M4550" t="str">
        <f t="shared" si="359"/>
        <v/>
      </c>
    </row>
    <row r="4551" spans="1:13" x14ac:dyDescent="0.3">
      <c r="A4551" t="str">
        <f>Segmenter!A4551</f>
        <v/>
      </c>
      <c r="B4551" t="str">
        <f>Segmenter!B4551</f>
        <v/>
      </c>
      <c r="C4551" t="str">
        <f t="shared" si="355"/>
        <v/>
      </c>
      <c r="D4551" t="str">
        <f t="shared" si="356"/>
        <v/>
      </c>
      <c r="E4551" t="str">
        <f t="shared" si="357"/>
        <v/>
      </c>
      <c r="F4551" t="str">
        <f>IF(D4551="","",INDEX(Knutepunkter!$B:$B,D4551+1))</f>
        <v/>
      </c>
      <c r="G4551" t="str">
        <f>IF(D4551="","",INDEX(Knutepunkter!$C:$C,D4551+1))</f>
        <v/>
      </c>
      <c r="H4551" t="str">
        <f>IF(D4551="","",INDEX(Knutepunkter!$D:$D,D4551+1))</f>
        <v/>
      </c>
      <c r="I4551" t="str">
        <f>IF(E4551="","",INDEX(Knutepunkter!$B:$B,E4551+1))</f>
        <v/>
      </c>
      <c r="J4551" t="str">
        <f>IF(E4551="","",INDEX(Knutepunkter!$C:$C,E4551+1))</f>
        <v/>
      </c>
      <c r="K4551" t="str">
        <f>IF(E4551="","",INDEX(Knutepunkter!$D:$D,E4551+1))</f>
        <v/>
      </c>
      <c r="L4551" t="str">
        <f t="shared" si="358"/>
        <v/>
      </c>
      <c r="M4551" t="str">
        <f t="shared" si="359"/>
        <v/>
      </c>
    </row>
    <row r="4552" spans="1:13" x14ac:dyDescent="0.3">
      <c r="A4552" t="str">
        <f>Segmenter!A4552</f>
        <v>S4551</v>
      </c>
      <c r="B4552" t="str">
        <f>Segmenter!B4552</f>
        <v>46 -&gt; 277</v>
      </c>
      <c r="C4552" t="str">
        <f t="shared" si="355"/>
        <v>Bjelke</v>
      </c>
      <c r="D4552">
        <f t="shared" si="356"/>
        <v>46</v>
      </c>
      <c r="E4552">
        <f t="shared" si="357"/>
        <v>277</v>
      </c>
      <c r="F4552">
        <f>IF(D4552="","",INDEX(Knutepunkter!$B:$B,D4552+1))</f>
        <v>354</v>
      </c>
      <c r="G4552">
        <f>IF(D4552="","",INDEX(Knutepunkter!$C:$C,D4552+1))</f>
        <v>32000</v>
      </c>
      <c r="H4552">
        <f>IF(D4552="","",INDEX(Knutepunkter!$D:$D,D4552+1))</f>
        <v>3000</v>
      </c>
      <c r="I4552">
        <f>IF(E4552="","",INDEX(Knutepunkter!$B:$B,E4552+1))</f>
        <v>12354</v>
      </c>
      <c r="J4552">
        <f>IF(E4552="","",INDEX(Knutepunkter!$C:$C,E4552+1))</f>
        <v>32000</v>
      </c>
      <c r="K4552">
        <f>IF(E4552="","",INDEX(Knutepunkter!$D:$D,E4552+1))</f>
        <v>3000</v>
      </c>
      <c r="L4552">
        <f t="shared" si="358"/>
        <v>12000</v>
      </c>
      <c r="M4552">
        <f t="shared" si="359"/>
        <v>12</v>
      </c>
    </row>
    <row r="4553" spans="1:13" x14ac:dyDescent="0.3">
      <c r="A4553" t="str">
        <f>Segmenter!A4553</f>
        <v>S4552</v>
      </c>
      <c r="B4553" t="str">
        <f>Segmenter!B4553</f>
        <v>47 -&gt; 278</v>
      </c>
      <c r="C4553" t="str">
        <f t="shared" si="355"/>
        <v>Bjelke</v>
      </c>
      <c r="D4553">
        <f t="shared" si="356"/>
        <v>47</v>
      </c>
      <c r="E4553">
        <f t="shared" si="357"/>
        <v>278</v>
      </c>
      <c r="F4553">
        <f>IF(D4553="","",INDEX(Knutepunkter!$B:$B,D4553+1))</f>
        <v>354</v>
      </c>
      <c r="G4553">
        <f>IF(D4553="","",INDEX(Knutepunkter!$C:$C,D4553+1))</f>
        <v>32000</v>
      </c>
      <c r="H4553">
        <f>IF(D4553="","",INDEX(Knutepunkter!$D:$D,D4553+1))</f>
        <v>6000</v>
      </c>
      <c r="I4553">
        <f>IF(E4553="","",INDEX(Knutepunkter!$B:$B,E4553+1))</f>
        <v>12354</v>
      </c>
      <c r="J4553">
        <f>IF(E4553="","",INDEX(Knutepunkter!$C:$C,E4553+1))</f>
        <v>32000</v>
      </c>
      <c r="K4553">
        <f>IF(E4553="","",INDEX(Knutepunkter!$D:$D,E4553+1))</f>
        <v>6000</v>
      </c>
      <c r="L4553">
        <f t="shared" si="358"/>
        <v>12000</v>
      </c>
      <c r="M4553">
        <f t="shared" si="359"/>
        <v>12</v>
      </c>
    </row>
    <row r="4554" spans="1:13" x14ac:dyDescent="0.3">
      <c r="A4554" t="str">
        <f>Segmenter!A4554</f>
        <v>S4553</v>
      </c>
      <c r="B4554" t="str">
        <f>Segmenter!B4554</f>
        <v>48 -&gt; 279</v>
      </c>
      <c r="C4554" t="str">
        <f t="shared" si="355"/>
        <v>Bjelke</v>
      </c>
      <c r="D4554">
        <f t="shared" si="356"/>
        <v>48</v>
      </c>
      <c r="E4554">
        <f t="shared" si="357"/>
        <v>279</v>
      </c>
      <c r="F4554">
        <f>IF(D4554="","",INDEX(Knutepunkter!$B:$B,D4554+1))</f>
        <v>354</v>
      </c>
      <c r="G4554">
        <f>IF(D4554="","",INDEX(Knutepunkter!$C:$C,D4554+1))</f>
        <v>32000</v>
      </c>
      <c r="H4554">
        <f>IF(D4554="","",INDEX(Knutepunkter!$D:$D,D4554+1))</f>
        <v>9000</v>
      </c>
      <c r="I4554">
        <f>IF(E4554="","",INDEX(Knutepunkter!$B:$B,E4554+1))</f>
        <v>12354</v>
      </c>
      <c r="J4554">
        <f>IF(E4554="","",INDEX(Knutepunkter!$C:$C,E4554+1))</f>
        <v>32000</v>
      </c>
      <c r="K4554">
        <f>IF(E4554="","",INDEX(Knutepunkter!$D:$D,E4554+1))</f>
        <v>9000</v>
      </c>
      <c r="L4554">
        <f t="shared" si="358"/>
        <v>12000</v>
      </c>
      <c r="M4554">
        <f t="shared" si="359"/>
        <v>12</v>
      </c>
    </row>
    <row r="4555" spans="1:13" x14ac:dyDescent="0.3">
      <c r="A4555" t="str">
        <f>Segmenter!A4555</f>
        <v>S4554</v>
      </c>
      <c r="B4555" t="str">
        <f>Segmenter!B4555</f>
        <v>49 -&gt; 280</v>
      </c>
      <c r="C4555" t="str">
        <f t="shared" si="355"/>
        <v>Bjelke</v>
      </c>
      <c r="D4555">
        <f t="shared" si="356"/>
        <v>49</v>
      </c>
      <c r="E4555">
        <f t="shared" si="357"/>
        <v>280</v>
      </c>
      <c r="F4555">
        <f>IF(D4555="","",INDEX(Knutepunkter!$B:$B,D4555+1))</f>
        <v>354</v>
      </c>
      <c r="G4555">
        <f>IF(D4555="","",INDEX(Knutepunkter!$C:$C,D4555+1))</f>
        <v>32000</v>
      </c>
      <c r="H4555">
        <f>IF(D4555="","",INDEX(Knutepunkter!$D:$D,D4555+1))</f>
        <v>12000</v>
      </c>
      <c r="I4555">
        <f>IF(E4555="","",INDEX(Knutepunkter!$B:$B,E4555+1))</f>
        <v>12354</v>
      </c>
      <c r="J4555">
        <f>IF(E4555="","",INDEX(Knutepunkter!$C:$C,E4555+1))</f>
        <v>32000</v>
      </c>
      <c r="K4555">
        <f>IF(E4555="","",INDEX(Knutepunkter!$D:$D,E4555+1))</f>
        <v>12000</v>
      </c>
      <c r="L4555">
        <f t="shared" si="358"/>
        <v>12000</v>
      </c>
      <c r="M4555">
        <f t="shared" si="359"/>
        <v>12</v>
      </c>
    </row>
    <row r="4556" spans="1:13" x14ac:dyDescent="0.3">
      <c r="A4556" t="str">
        <f>Segmenter!A4556</f>
        <v>S4555</v>
      </c>
      <c r="B4556" t="str">
        <f>Segmenter!B4556</f>
        <v>50 -&gt; 281</v>
      </c>
      <c r="C4556" t="str">
        <f t="shared" si="355"/>
        <v>Bjelke</v>
      </c>
      <c r="D4556">
        <f t="shared" si="356"/>
        <v>50</v>
      </c>
      <c r="E4556">
        <f t="shared" si="357"/>
        <v>281</v>
      </c>
      <c r="F4556">
        <f>IF(D4556="","",INDEX(Knutepunkter!$B:$B,D4556+1))</f>
        <v>354</v>
      </c>
      <c r="G4556">
        <f>IF(D4556="","",INDEX(Knutepunkter!$C:$C,D4556+1))</f>
        <v>32000</v>
      </c>
      <c r="H4556">
        <f>IF(D4556="","",INDEX(Knutepunkter!$D:$D,D4556+1))</f>
        <v>15000</v>
      </c>
      <c r="I4556">
        <f>IF(E4556="","",INDEX(Knutepunkter!$B:$B,E4556+1))</f>
        <v>12354</v>
      </c>
      <c r="J4556">
        <f>IF(E4556="","",INDEX(Knutepunkter!$C:$C,E4556+1))</f>
        <v>32000</v>
      </c>
      <c r="K4556">
        <f>IF(E4556="","",INDEX(Knutepunkter!$D:$D,E4556+1))</f>
        <v>15000</v>
      </c>
      <c r="L4556">
        <f t="shared" si="358"/>
        <v>12000</v>
      </c>
      <c r="M4556">
        <f t="shared" si="359"/>
        <v>12</v>
      </c>
    </row>
    <row r="4557" spans="1:13" x14ac:dyDescent="0.3">
      <c r="A4557" t="str">
        <f>Segmenter!A4557</f>
        <v>S4556</v>
      </c>
      <c r="B4557" t="str">
        <f>Segmenter!B4557</f>
        <v>51 -&gt; 282</v>
      </c>
      <c r="C4557" t="str">
        <f t="shared" si="355"/>
        <v>Bjelke</v>
      </c>
      <c r="D4557">
        <f t="shared" si="356"/>
        <v>51</v>
      </c>
      <c r="E4557">
        <f t="shared" si="357"/>
        <v>282</v>
      </c>
      <c r="F4557">
        <f>IF(D4557="","",INDEX(Knutepunkter!$B:$B,D4557+1))</f>
        <v>354</v>
      </c>
      <c r="G4557">
        <f>IF(D4557="","",INDEX(Knutepunkter!$C:$C,D4557+1))</f>
        <v>32000</v>
      </c>
      <c r="H4557">
        <f>IF(D4557="","",INDEX(Knutepunkter!$D:$D,D4557+1))</f>
        <v>18000</v>
      </c>
      <c r="I4557">
        <f>IF(E4557="","",INDEX(Knutepunkter!$B:$B,E4557+1))</f>
        <v>12354</v>
      </c>
      <c r="J4557">
        <f>IF(E4557="","",INDEX(Knutepunkter!$C:$C,E4557+1))</f>
        <v>32000</v>
      </c>
      <c r="K4557">
        <f>IF(E4557="","",INDEX(Knutepunkter!$D:$D,E4557+1))</f>
        <v>18000</v>
      </c>
      <c r="L4557">
        <f t="shared" si="358"/>
        <v>12000</v>
      </c>
      <c r="M4557">
        <f t="shared" si="359"/>
        <v>12</v>
      </c>
    </row>
    <row r="4558" spans="1:13" x14ac:dyDescent="0.3">
      <c r="A4558" t="str">
        <f>Segmenter!A4558</f>
        <v/>
      </c>
      <c r="B4558" t="str">
        <f>Segmenter!B4558</f>
        <v/>
      </c>
      <c r="C4558" t="str">
        <f t="shared" si="355"/>
        <v/>
      </c>
      <c r="D4558" t="str">
        <f t="shared" si="356"/>
        <v/>
      </c>
      <c r="E4558" t="str">
        <f t="shared" si="357"/>
        <v/>
      </c>
      <c r="F4558" t="str">
        <f>IF(D4558="","",INDEX(Knutepunkter!$B:$B,D4558+1))</f>
        <v/>
      </c>
      <c r="G4558" t="str">
        <f>IF(D4558="","",INDEX(Knutepunkter!$C:$C,D4558+1))</f>
        <v/>
      </c>
      <c r="H4558" t="str">
        <f>IF(D4558="","",INDEX(Knutepunkter!$D:$D,D4558+1))</f>
        <v/>
      </c>
      <c r="I4558" t="str">
        <f>IF(E4558="","",INDEX(Knutepunkter!$B:$B,E4558+1))</f>
        <v/>
      </c>
      <c r="J4558" t="str">
        <f>IF(E4558="","",INDEX(Knutepunkter!$C:$C,E4558+1))</f>
        <v/>
      </c>
      <c r="K4558" t="str">
        <f>IF(E4558="","",INDEX(Knutepunkter!$D:$D,E4558+1))</f>
        <v/>
      </c>
      <c r="L4558" t="str">
        <f t="shared" si="358"/>
        <v/>
      </c>
      <c r="M4558" t="str">
        <f t="shared" si="359"/>
        <v/>
      </c>
    </row>
    <row r="4559" spans="1:13" x14ac:dyDescent="0.3">
      <c r="A4559" t="str">
        <f>Segmenter!A4559</f>
        <v/>
      </c>
      <c r="B4559" t="str">
        <f>Segmenter!B4559</f>
        <v/>
      </c>
      <c r="C4559" t="str">
        <f t="shared" si="355"/>
        <v/>
      </c>
      <c r="D4559" t="str">
        <f t="shared" si="356"/>
        <v/>
      </c>
      <c r="E4559" t="str">
        <f t="shared" si="357"/>
        <v/>
      </c>
      <c r="F4559" t="str">
        <f>IF(D4559="","",INDEX(Knutepunkter!$B:$B,D4559+1))</f>
        <v/>
      </c>
      <c r="G4559" t="str">
        <f>IF(D4559="","",INDEX(Knutepunkter!$C:$C,D4559+1))</f>
        <v/>
      </c>
      <c r="H4559" t="str">
        <f>IF(D4559="","",INDEX(Knutepunkter!$D:$D,D4559+1))</f>
        <v/>
      </c>
      <c r="I4559" t="str">
        <f>IF(E4559="","",INDEX(Knutepunkter!$B:$B,E4559+1))</f>
        <v/>
      </c>
      <c r="J4559" t="str">
        <f>IF(E4559="","",INDEX(Knutepunkter!$C:$C,E4559+1))</f>
        <v/>
      </c>
      <c r="K4559" t="str">
        <f>IF(E4559="","",INDEX(Knutepunkter!$D:$D,E4559+1))</f>
        <v/>
      </c>
      <c r="L4559" t="str">
        <f t="shared" si="358"/>
        <v/>
      </c>
      <c r="M4559" t="str">
        <f t="shared" si="359"/>
        <v/>
      </c>
    </row>
    <row r="4560" spans="1:13" x14ac:dyDescent="0.3">
      <c r="A4560" t="str">
        <f>Segmenter!A4560</f>
        <v/>
      </c>
      <c r="B4560" t="str">
        <f>Segmenter!B4560</f>
        <v/>
      </c>
      <c r="C4560" t="str">
        <f t="shared" si="355"/>
        <v/>
      </c>
      <c r="D4560" t="str">
        <f t="shared" si="356"/>
        <v/>
      </c>
      <c r="E4560" t="str">
        <f t="shared" si="357"/>
        <v/>
      </c>
      <c r="F4560" t="str">
        <f>IF(D4560="","",INDEX(Knutepunkter!$B:$B,D4560+1))</f>
        <v/>
      </c>
      <c r="G4560" t="str">
        <f>IF(D4560="","",INDEX(Knutepunkter!$C:$C,D4560+1))</f>
        <v/>
      </c>
      <c r="H4560" t="str">
        <f>IF(D4560="","",INDEX(Knutepunkter!$D:$D,D4560+1))</f>
        <v/>
      </c>
      <c r="I4560" t="str">
        <f>IF(E4560="","",INDEX(Knutepunkter!$B:$B,E4560+1))</f>
        <v/>
      </c>
      <c r="J4560" t="str">
        <f>IF(E4560="","",INDEX(Knutepunkter!$C:$C,E4560+1))</f>
        <v/>
      </c>
      <c r="K4560" t="str">
        <f>IF(E4560="","",INDEX(Knutepunkter!$D:$D,E4560+1))</f>
        <v/>
      </c>
      <c r="L4560" t="str">
        <f t="shared" si="358"/>
        <v/>
      </c>
      <c r="M4560" t="str">
        <f t="shared" si="359"/>
        <v/>
      </c>
    </row>
    <row r="4561" spans="1:13" x14ac:dyDescent="0.3">
      <c r="A4561" t="str">
        <f>Segmenter!A4561</f>
        <v/>
      </c>
      <c r="B4561" t="str">
        <f>Segmenter!B4561</f>
        <v/>
      </c>
      <c r="C4561" t="str">
        <f t="shared" si="355"/>
        <v/>
      </c>
      <c r="D4561" t="str">
        <f t="shared" si="356"/>
        <v/>
      </c>
      <c r="E4561" t="str">
        <f t="shared" si="357"/>
        <v/>
      </c>
      <c r="F4561" t="str">
        <f>IF(D4561="","",INDEX(Knutepunkter!$B:$B,D4561+1))</f>
        <v/>
      </c>
      <c r="G4561" t="str">
        <f>IF(D4561="","",INDEX(Knutepunkter!$C:$C,D4561+1))</f>
        <v/>
      </c>
      <c r="H4561" t="str">
        <f>IF(D4561="","",INDEX(Knutepunkter!$D:$D,D4561+1))</f>
        <v/>
      </c>
      <c r="I4561" t="str">
        <f>IF(E4561="","",INDEX(Knutepunkter!$B:$B,E4561+1))</f>
        <v/>
      </c>
      <c r="J4561" t="str">
        <f>IF(E4561="","",INDEX(Knutepunkter!$C:$C,E4561+1))</f>
        <v/>
      </c>
      <c r="K4561" t="str">
        <f>IF(E4561="","",INDEX(Knutepunkter!$D:$D,E4561+1))</f>
        <v/>
      </c>
      <c r="L4561" t="str">
        <f t="shared" si="358"/>
        <v/>
      </c>
      <c r="M4561" t="str">
        <f t="shared" si="359"/>
        <v/>
      </c>
    </row>
    <row r="4562" spans="1:13" x14ac:dyDescent="0.3">
      <c r="A4562" t="str">
        <f>Segmenter!A4562</f>
        <v/>
      </c>
      <c r="B4562" t="str">
        <f>Segmenter!B4562</f>
        <v/>
      </c>
      <c r="C4562" t="str">
        <f t="shared" si="355"/>
        <v/>
      </c>
      <c r="D4562" t="str">
        <f t="shared" si="356"/>
        <v/>
      </c>
      <c r="E4562" t="str">
        <f t="shared" si="357"/>
        <v/>
      </c>
      <c r="F4562" t="str">
        <f>IF(D4562="","",INDEX(Knutepunkter!$B:$B,D4562+1))</f>
        <v/>
      </c>
      <c r="G4562" t="str">
        <f>IF(D4562="","",INDEX(Knutepunkter!$C:$C,D4562+1))</f>
        <v/>
      </c>
      <c r="H4562" t="str">
        <f>IF(D4562="","",INDEX(Knutepunkter!$D:$D,D4562+1))</f>
        <v/>
      </c>
      <c r="I4562" t="str">
        <f>IF(E4562="","",INDEX(Knutepunkter!$B:$B,E4562+1))</f>
        <v/>
      </c>
      <c r="J4562" t="str">
        <f>IF(E4562="","",INDEX(Knutepunkter!$C:$C,E4562+1))</f>
        <v/>
      </c>
      <c r="K4562" t="str">
        <f>IF(E4562="","",INDEX(Knutepunkter!$D:$D,E4562+1))</f>
        <v/>
      </c>
      <c r="L4562" t="str">
        <f t="shared" si="358"/>
        <v/>
      </c>
      <c r="M4562" t="str">
        <f t="shared" si="359"/>
        <v/>
      </c>
    </row>
    <row r="4563" spans="1:13" x14ac:dyDescent="0.3">
      <c r="A4563" t="str">
        <f>Segmenter!A4563</f>
        <v/>
      </c>
      <c r="B4563" t="str">
        <f>Segmenter!B4563</f>
        <v/>
      </c>
      <c r="C4563" t="str">
        <f t="shared" si="355"/>
        <v/>
      </c>
      <c r="D4563" t="str">
        <f t="shared" si="356"/>
        <v/>
      </c>
      <c r="E4563" t="str">
        <f t="shared" si="357"/>
        <v/>
      </c>
      <c r="F4563" t="str">
        <f>IF(D4563="","",INDEX(Knutepunkter!$B:$B,D4563+1))</f>
        <v/>
      </c>
      <c r="G4563" t="str">
        <f>IF(D4563="","",INDEX(Knutepunkter!$C:$C,D4563+1))</f>
        <v/>
      </c>
      <c r="H4563" t="str">
        <f>IF(D4563="","",INDEX(Knutepunkter!$D:$D,D4563+1))</f>
        <v/>
      </c>
      <c r="I4563" t="str">
        <f>IF(E4563="","",INDEX(Knutepunkter!$B:$B,E4563+1))</f>
        <v/>
      </c>
      <c r="J4563" t="str">
        <f>IF(E4563="","",INDEX(Knutepunkter!$C:$C,E4563+1))</f>
        <v/>
      </c>
      <c r="K4563" t="str">
        <f>IF(E4563="","",INDEX(Knutepunkter!$D:$D,E4563+1))</f>
        <v/>
      </c>
      <c r="L4563" t="str">
        <f t="shared" si="358"/>
        <v/>
      </c>
      <c r="M4563" t="str">
        <f t="shared" si="359"/>
        <v/>
      </c>
    </row>
    <row r="4564" spans="1:13" x14ac:dyDescent="0.3">
      <c r="A4564" t="str">
        <f>Segmenter!A4564</f>
        <v/>
      </c>
      <c r="B4564" t="str">
        <f>Segmenter!B4564</f>
        <v/>
      </c>
      <c r="C4564" t="str">
        <f t="shared" si="355"/>
        <v/>
      </c>
      <c r="D4564" t="str">
        <f t="shared" si="356"/>
        <v/>
      </c>
      <c r="E4564" t="str">
        <f t="shared" si="357"/>
        <v/>
      </c>
      <c r="F4564" t="str">
        <f>IF(D4564="","",INDEX(Knutepunkter!$B:$B,D4564+1))</f>
        <v/>
      </c>
      <c r="G4564" t="str">
        <f>IF(D4564="","",INDEX(Knutepunkter!$C:$C,D4564+1))</f>
        <v/>
      </c>
      <c r="H4564" t="str">
        <f>IF(D4564="","",INDEX(Knutepunkter!$D:$D,D4564+1))</f>
        <v/>
      </c>
      <c r="I4564" t="str">
        <f>IF(E4564="","",INDEX(Knutepunkter!$B:$B,E4564+1))</f>
        <v/>
      </c>
      <c r="J4564" t="str">
        <f>IF(E4564="","",INDEX(Knutepunkter!$C:$C,E4564+1))</f>
        <v/>
      </c>
      <c r="K4564" t="str">
        <f>IF(E4564="","",INDEX(Knutepunkter!$D:$D,E4564+1))</f>
        <v/>
      </c>
      <c r="L4564" t="str">
        <f t="shared" si="358"/>
        <v/>
      </c>
      <c r="M4564" t="str">
        <f t="shared" si="359"/>
        <v/>
      </c>
    </row>
    <row r="4565" spans="1:13" x14ac:dyDescent="0.3">
      <c r="A4565" t="str">
        <f>Segmenter!A4565</f>
        <v/>
      </c>
      <c r="B4565" t="str">
        <f>Segmenter!B4565</f>
        <v/>
      </c>
      <c r="C4565" t="str">
        <f t="shared" si="355"/>
        <v/>
      </c>
      <c r="D4565" t="str">
        <f t="shared" si="356"/>
        <v/>
      </c>
      <c r="E4565" t="str">
        <f t="shared" si="357"/>
        <v/>
      </c>
      <c r="F4565" t="str">
        <f>IF(D4565="","",INDEX(Knutepunkter!$B:$B,D4565+1))</f>
        <v/>
      </c>
      <c r="G4565" t="str">
        <f>IF(D4565="","",INDEX(Knutepunkter!$C:$C,D4565+1))</f>
        <v/>
      </c>
      <c r="H4565" t="str">
        <f>IF(D4565="","",INDEX(Knutepunkter!$D:$D,D4565+1))</f>
        <v/>
      </c>
      <c r="I4565" t="str">
        <f>IF(E4565="","",INDEX(Knutepunkter!$B:$B,E4565+1))</f>
        <v/>
      </c>
      <c r="J4565" t="str">
        <f>IF(E4565="","",INDEX(Knutepunkter!$C:$C,E4565+1))</f>
        <v/>
      </c>
      <c r="K4565" t="str">
        <f>IF(E4565="","",INDEX(Knutepunkter!$D:$D,E4565+1))</f>
        <v/>
      </c>
      <c r="L4565" t="str">
        <f t="shared" si="358"/>
        <v/>
      </c>
      <c r="M4565" t="str">
        <f t="shared" si="359"/>
        <v/>
      </c>
    </row>
    <row r="4566" spans="1:13" x14ac:dyDescent="0.3">
      <c r="A4566" t="str">
        <f>Segmenter!A4566</f>
        <v/>
      </c>
      <c r="B4566" t="str">
        <f>Segmenter!B4566</f>
        <v/>
      </c>
      <c r="C4566" t="str">
        <f t="shared" si="355"/>
        <v/>
      </c>
      <c r="D4566" t="str">
        <f t="shared" si="356"/>
        <v/>
      </c>
      <c r="E4566" t="str">
        <f t="shared" si="357"/>
        <v/>
      </c>
      <c r="F4566" t="str">
        <f>IF(D4566="","",INDEX(Knutepunkter!$B:$B,D4566+1))</f>
        <v/>
      </c>
      <c r="G4566" t="str">
        <f>IF(D4566="","",INDEX(Knutepunkter!$C:$C,D4566+1))</f>
        <v/>
      </c>
      <c r="H4566" t="str">
        <f>IF(D4566="","",INDEX(Knutepunkter!$D:$D,D4566+1))</f>
        <v/>
      </c>
      <c r="I4566" t="str">
        <f>IF(E4566="","",INDEX(Knutepunkter!$B:$B,E4566+1))</f>
        <v/>
      </c>
      <c r="J4566" t="str">
        <f>IF(E4566="","",INDEX(Knutepunkter!$C:$C,E4566+1))</f>
        <v/>
      </c>
      <c r="K4566" t="str">
        <f>IF(E4566="","",INDEX(Knutepunkter!$D:$D,E4566+1))</f>
        <v/>
      </c>
      <c r="L4566" t="str">
        <f t="shared" si="358"/>
        <v/>
      </c>
      <c r="M4566" t="str">
        <f t="shared" si="359"/>
        <v/>
      </c>
    </row>
    <row r="4567" spans="1:13" x14ac:dyDescent="0.3">
      <c r="A4567" t="str">
        <f>Segmenter!A4567</f>
        <v/>
      </c>
      <c r="B4567" t="str">
        <f>Segmenter!B4567</f>
        <v/>
      </c>
      <c r="C4567" t="str">
        <f t="shared" si="355"/>
        <v/>
      </c>
      <c r="D4567" t="str">
        <f t="shared" si="356"/>
        <v/>
      </c>
      <c r="E4567" t="str">
        <f t="shared" si="357"/>
        <v/>
      </c>
      <c r="F4567" t="str">
        <f>IF(D4567="","",INDEX(Knutepunkter!$B:$B,D4567+1))</f>
        <v/>
      </c>
      <c r="G4567" t="str">
        <f>IF(D4567="","",INDEX(Knutepunkter!$C:$C,D4567+1))</f>
        <v/>
      </c>
      <c r="H4567" t="str">
        <f>IF(D4567="","",INDEX(Knutepunkter!$D:$D,D4567+1))</f>
        <v/>
      </c>
      <c r="I4567" t="str">
        <f>IF(E4567="","",INDEX(Knutepunkter!$B:$B,E4567+1))</f>
        <v/>
      </c>
      <c r="J4567" t="str">
        <f>IF(E4567="","",INDEX(Knutepunkter!$C:$C,E4567+1))</f>
        <v/>
      </c>
      <c r="K4567" t="str">
        <f>IF(E4567="","",INDEX(Knutepunkter!$D:$D,E4567+1))</f>
        <v/>
      </c>
      <c r="L4567" t="str">
        <f t="shared" si="358"/>
        <v/>
      </c>
      <c r="M4567" t="str">
        <f t="shared" si="359"/>
        <v/>
      </c>
    </row>
    <row r="4568" spans="1:13" x14ac:dyDescent="0.3">
      <c r="A4568" t="str">
        <f>Segmenter!A4568</f>
        <v/>
      </c>
      <c r="B4568" t="str">
        <f>Segmenter!B4568</f>
        <v/>
      </c>
      <c r="C4568" t="str">
        <f t="shared" si="355"/>
        <v/>
      </c>
      <c r="D4568" t="str">
        <f t="shared" si="356"/>
        <v/>
      </c>
      <c r="E4568" t="str">
        <f t="shared" si="357"/>
        <v/>
      </c>
      <c r="F4568" t="str">
        <f>IF(D4568="","",INDEX(Knutepunkter!$B:$B,D4568+1))</f>
        <v/>
      </c>
      <c r="G4568" t="str">
        <f>IF(D4568="","",INDEX(Knutepunkter!$C:$C,D4568+1))</f>
        <v/>
      </c>
      <c r="H4568" t="str">
        <f>IF(D4568="","",INDEX(Knutepunkter!$D:$D,D4568+1))</f>
        <v/>
      </c>
      <c r="I4568" t="str">
        <f>IF(E4568="","",INDEX(Knutepunkter!$B:$B,E4568+1))</f>
        <v/>
      </c>
      <c r="J4568" t="str">
        <f>IF(E4568="","",INDEX(Knutepunkter!$C:$C,E4568+1))</f>
        <v/>
      </c>
      <c r="K4568" t="str">
        <f>IF(E4568="","",INDEX(Knutepunkter!$D:$D,E4568+1))</f>
        <v/>
      </c>
      <c r="L4568" t="str">
        <f t="shared" si="358"/>
        <v/>
      </c>
      <c r="M4568" t="str">
        <f t="shared" si="359"/>
        <v/>
      </c>
    </row>
    <row r="4569" spans="1:13" x14ac:dyDescent="0.3">
      <c r="A4569" t="str">
        <f>Segmenter!A4569</f>
        <v/>
      </c>
      <c r="B4569" t="str">
        <f>Segmenter!B4569</f>
        <v/>
      </c>
      <c r="C4569" t="str">
        <f t="shared" si="355"/>
        <v/>
      </c>
      <c r="D4569" t="str">
        <f t="shared" si="356"/>
        <v/>
      </c>
      <c r="E4569" t="str">
        <f t="shared" si="357"/>
        <v/>
      </c>
      <c r="F4569" t="str">
        <f>IF(D4569="","",INDEX(Knutepunkter!$B:$B,D4569+1))</f>
        <v/>
      </c>
      <c r="G4569" t="str">
        <f>IF(D4569="","",INDEX(Knutepunkter!$C:$C,D4569+1))</f>
        <v/>
      </c>
      <c r="H4569" t="str">
        <f>IF(D4569="","",INDEX(Knutepunkter!$D:$D,D4569+1))</f>
        <v/>
      </c>
      <c r="I4569" t="str">
        <f>IF(E4569="","",INDEX(Knutepunkter!$B:$B,E4569+1))</f>
        <v/>
      </c>
      <c r="J4569" t="str">
        <f>IF(E4569="","",INDEX(Knutepunkter!$C:$C,E4569+1))</f>
        <v/>
      </c>
      <c r="K4569" t="str">
        <f>IF(E4569="","",INDEX(Knutepunkter!$D:$D,E4569+1))</f>
        <v/>
      </c>
      <c r="L4569" t="str">
        <f t="shared" si="358"/>
        <v/>
      </c>
      <c r="M4569" t="str">
        <f t="shared" si="359"/>
        <v/>
      </c>
    </row>
    <row r="4570" spans="1:13" x14ac:dyDescent="0.3">
      <c r="A4570" t="str">
        <f>Segmenter!A4570</f>
        <v/>
      </c>
      <c r="B4570" t="str">
        <f>Segmenter!B4570</f>
        <v/>
      </c>
      <c r="C4570" t="str">
        <f t="shared" si="355"/>
        <v/>
      </c>
      <c r="D4570" t="str">
        <f t="shared" si="356"/>
        <v/>
      </c>
      <c r="E4570" t="str">
        <f t="shared" si="357"/>
        <v/>
      </c>
      <c r="F4570" t="str">
        <f>IF(D4570="","",INDEX(Knutepunkter!$B:$B,D4570+1))</f>
        <v/>
      </c>
      <c r="G4570" t="str">
        <f>IF(D4570="","",INDEX(Knutepunkter!$C:$C,D4570+1))</f>
        <v/>
      </c>
      <c r="H4570" t="str">
        <f>IF(D4570="","",INDEX(Knutepunkter!$D:$D,D4570+1))</f>
        <v/>
      </c>
      <c r="I4570" t="str">
        <f>IF(E4570="","",INDEX(Knutepunkter!$B:$B,E4570+1))</f>
        <v/>
      </c>
      <c r="J4570" t="str">
        <f>IF(E4570="","",INDEX(Knutepunkter!$C:$C,E4570+1))</f>
        <v/>
      </c>
      <c r="K4570" t="str">
        <f>IF(E4570="","",INDEX(Knutepunkter!$D:$D,E4570+1))</f>
        <v/>
      </c>
      <c r="L4570" t="str">
        <f t="shared" si="358"/>
        <v/>
      </c>
      <c r="M4570" t="str">
        <f t="shared" si="359"/>
        <v/>
      </c>
    </row>
    <row r="4571" spans="1:13" x14ac:dyDescent="0.3">
      <c r="A4571" t="str">
        <f>Segmenter!A4571</f>
        <v/>
      </c>
      <c r="B4571" t="str">
        <f>Segmenter!B4571</f>
        <v/>
      </c>
      <c r="C4571" t="str">
        <f t="shared" si="355"/>
        <v/>
      </c>
      <c r="D4571" t="str">
        <f t="shared" si="356"/>
        <v/>
      </c>
      <c r="E4571" t="str">
        <f t="shared" si="357"/>
        <v/>
      </c>
      <c r="F4571" t="str">
        <f>IF(D4571="","",INDEX(Knutepunkter!$B:$B,D4571+1))</f>
        <v/>
      </c>
      <c r="G4571" t="str">
        <f>IF(D4571="","",INDEX(Knutepunkter!$C:$C,D4571+1))</f>
        <v/>
      </c>
      <c r="H4571" t="str">
        <f>IF(D4571="","",INDEX(Knutepunkter!$D:$D,D4571+1))</f>
        <v/>
      </c>
      <c r="I4571" t="str">
        <f>IF(E4571="","",INDEX(Knutepunkter!$B:$B,E4571+1))</f>
        <v/>
      </c>
      <c r="J4571" t="str">
        <f>IF(E4571="","",INDEX(Knutepunkter!$C:$C,E4571+1))</f>
        <v/>
      </c>
      <c r="K4571" t="str">
        <f>IF(E4571="","",INDEX(Knutepunkter!$D:$D,E4571+1))</f>
        <v/>
      </c>
      <c r="L4571" t="str">
        <f t="shared" si="358"/>
        <v/>
      </c>
      <c r="M4571" t="str">
        <f t="shared" si="359"/>
        <v/>
      </c>
    </row>
    <row r="4572" spans="1:13" x14ac:dyDescent="0.3">
      <c r="A4572" t="str">
        <f>Segmenter!A4572</f>
        <v/>
      </c>
      <c r="B4572" t="str">
        <f>Segmenter!B4572</f>
        <v/>
      </c>
      <c r="C4572" t="str">
        <f t="shared" si="355"/>
        <v/>
      </c>
      <c r="D4572" t="str">
        <f t="shared" si="356"/>
        <v/>
      </c>
      <c r="E4572" t="str">
        <f t="shared" si="357"/>
        <v/>
      </c>
      <c r="F4572" t="str">
        <f>IF(D4572="","",INDEX(Knutepunkter!$B:$B,D4572+1))</f>
        <v/>
      </c>
      <c r="G4572" t="str">
        <f>IF(D4572="","",INDEX(Knutepunkter!$C:$C,D4572+1))</f>
        <v/>
      </c>
      <c r="H4572" t="str">
        <f>IF(D4572="","",INDEX(Knutepunkter!$D:$D,D4572+1))</f>
        <v/>
      </c>
      <c r="I4572" t="str">
        <f>IF(E4572="","",INDEX(Knutepunkter!$B:$B,E4572+1))</f>
        <v/>
      </c>
      <c r="J4572" t="str">
        <f>IF(E4572="","",INDEX(Knutepunkter!$C:$C,E4572+1))</f>
        <v/>
      </c>
      <c r="K4572" t="str">
        <f>IF(E4572="","",INDEX(Knutepunkter!$D:$D,E4572+1))</f>
        <v/>
      </c>
      <c r="L4572" t="str">
        <f t="shared" si="358"/>
        <v/>
      </c>
      <c r="M4572" t="str">
        <f t="shared" si="359"/>
        <v/>
      </c>
    </row>
    <row r="4573" spans="1:13" x14ac:dyDescent="0.3">
      <c r="A4573" t="str">
        <f>Segmenter!A4573</f>
        <v/>
      </c>
      <c r="B4573" t="str">
        <f>Segmenter!B4573</f>
        <v/>
      </c>
      <c r="C4573" t="str">
        <f t="shared" si="355"/>
        <v/>
      </c>
      <c r="D4573" t="str">
        <f t="shared" si="356"/>
        <v/>
      </c>
      <c r="E4573" t="str">
        <f t="shared" si="357"/>
        <v/>
      </c>
      <c r="F4573" t="str">
        <f>IF(D4573="","",INDEX(Knutepunkter!$B:$B,D4573+1))</f>
        <v/>
      </c>
      <c r="G4573" t="str">
        <f>IF(D4573="","",INDEX(Knutepunkter!$C:$C,D4573+1))</f>
        <v/>
      </c>
      <c r="H4573" t="str">
        <f>IF(D4573="","",INDEX(Knutepunkter!$D:$D,D4573+1))</f>
        <v/>
      </c>
      <c r="I4573" t="str">
        <f>IF(E4573="","",INDEX(Knutepunkter!$B:$B,E4573+1))</f>
        <v/>
      </c>
      <c r="J4573" t="str">
        <f>IF(E4573="","",INDEX(Knutepunkter!$C:$C,E4573+1))</f>
        <v/>
      </c>
      <c r="K4573" t="str">
        <f>IF(E4573="","",INDEX(Knutepunkter!$D:$D,E4573+1))</f>
        <v/>
      </c>
      <c r="L4573" t="str">
        <f t="shared" si="358"/>
        <v/>
      </c>
      <c r="M4573" t="str">
        <f t="shared" si="359"/>
        <v/>
      </c>
    </row>
    <row r="4574" spans="1:13" x14ac:dyDescent="0.3">
      <c r="A4574" t="str">
        <f>Segmenter!A4574</f>
        <v/>
      </c>
      <c r="B4574" t="str">
        <f>Segmenter!B4574</f>
        <v/>
      </c>
      <c r="C4574" t="str">
        <f t="shared" si="355"/>
        <v/>
      </c>
      <c r="D4574" t="str">
        <f t="shared" si="356"/>
        <v/>
      </c>
      <c r="E4574" t="str">
        <f t="shared" si="357"/>
        <v/>
      </c>
      <c r="F4574" t="str">
        <f>IF(D4574="","",INDEX(Knutepunkter!$B:$B,D4574+1))</f>
        <v/>
      </c>
      <c r="G4574" t="str">
        <f>IF(D4574="","",INDEX(Knutepunkter!$C:$C,D4574+1))</f>
        <v/>
      </c>
      <c r="H4574" t="str">
        <f>IF(D4574="","",INDEX(Knutepunkter!$D:$D,D4574+1))</f>
        <v/>
      </c>
      <c r="I4574" t="str">
        <f>IF(E4574="","",INDEX(Knutepunkter!$B:$B,E4574+1))</f>
        <v/>
      </c>
      <c r="J4574" t="str">
        <f>IF(E4574="","",INDEX(Knutepunkter!$C:$C,E4574+1))</f>
        <v/>
      </c>
      <c r="K4574" t="str">
        <f>IF(E4574="","",INDEX(Knutepunkter!$D:$D,E4574+1))</f>
        <v/>
      </c>
      <c r="L4574" t="str">
        <f t="shared" si="358"/>
        <v/>
      </c>
      <c r="M4574" t="str">
        <f t="shared" si="359"/>
        <v/>
      </c>
    </row>
    <row r="4575" spans="1:13" x14ac:dyDescent="0.3">
      <c r="A4575" t="str">
        <f>Segmenter!A4575</f>
        <v/>
      </c>
      <c r="B4575" t="str">
        <f>Segmenter!B4575</f>
        <v/>
      </c>
      <c r="C4575" t="str">
        <f t="shared" si="355"/>
        <v/>
      </c>
      <c r="D4575" t="str">
        <f t="shared" si="356"/>
        <v/>
      </c>
      <c r="E4575" t="str">
        <f t="shared" si="357"/>
        <v/>
      </c>
      <c r="F4575" t="str">
        <f>IF(D4575="","",INDEX(Knutepunkter!$B:$B,D4575+1))</f>
        <v/>
      </c>
      <c r="G4575" t="str">
        <f>IF(D4575="","",INDEX(Knutepunkter!$C:$C,D4575+1))</f>
        <v/>
      </c>
      <c r="H4575" t="str">
        <f>IF(D4575="","",INDEX(Knutepunkter!$D:$D,D4575+1))</f>
        <v/>
      </c>
      <c r="I4575" t="str">
        <f>IF(E4575="","",INDEX(Knutepunkter!$B:$B,E4575+1))</f>
        <v/>
      </c>
      <c r="J4575" t="str">
        <f>IF(E4575="","",INDEX(Knutepunkter!$C:$C,E4575+1))</f>
        <v/>
      </c>
      <c r="K4575" t="str">
        <f>IF(E4575="","",INDEX(Knutepunkter!$D:$D,E4575+1))</f>
        <v/>
      </c>
      <c r="L4575" t="str">
        <f t="shared" si="358"/>
        <v/>
      </c>
      <c r="M4575" t="str">
        <f t="shared" si="359"/>
        <v/>
      </c>
    </row>
    <row r="4576" spans="1:13" x14ac:dyDescent="0.3">
      <c r="A4576" t="str">
        <f>Segmenter!A4576</f>
        <v/>
      </c>
      <c r="B4576" t="str">
        <f>Segmenter!B4576</f>
        <v/>
      </c>
      <c r="C4576" t="str">
        <f t="shared" si="355"/>
        <v/>
      </c>
      <c r="D4576" t="str">
        <f t="shared" si="356"/>
        <v/>
      </c>
      <c r="E4576" t="str">
        <f t="shared" si="357"/>
        <v/>
      </c>
      <c r="F4576" t="str">
        <f>IF(D4576="","",INDEX(Knutepunkter!$B:$B,D4576+1))</f>
        <v/>
      </c>
      <c r="G4576" t="str">
        <f>IF(D4576="","",INDEX(Knutepunkter!$C:$C,D4576+1))</f>
        <v/>
      </c>
      <c r="H4576" t="str">
        <f>IF(D4576="","",INDEX(Knutepunkter!$D:$D,D4576+1))</f>
        <v/>
      </c>
      <c r="I4576" t="str">
        <f>IF(E4576="","",INDEX(Knutepunkter!$B:$B,E4576+1))</f>
        <v/>
      </c>
      <c r="J4576" t="str">
        <f>IF(E4576="","",INDEX(Knutepunkter!$C:$C,E4576+1))</f>
        <v/>
      </c>
      <c r="K4576" t="str">
        <f>IF(E4576="","",INDEX(Knutepunkter!$D:$D,E4576+1))</f>
        <v/>
      </c>
      <c r="L4576" t="str">
        <f t="shared" si="358"/>
        <v/>
      </c>
      <c r="M4576" t="str">
        <f t="shared" si="359"/>
        <v/>
      </c>
    </row>
    <row r="4577" spans="1:13" x14ac:dyDescent="0.3">
      <c r="A4577" t="str">
        <f>Segmenter!A4577</f>
        <v/>
      </c>
      <c r="B4577" t="str">
        <f>Segmenter!B4577</f>
        <v/>
      </c>
      <c r="C4577" t="str">
        <f t="shared" si="355"/>
        <v/>
      </c>
      <c r="D4577" t="str">
        <f t="shared" si="356"/>
        <v/>
      </c>
      <c r="E4577" t="str">
        <f t="shared" si="357"/>
        <v/>
      </c>
      <c r="F4577" t="str">
        <f>IF(D4577="","",INDEX(Knutepunkter!$B:$B,D4577+1))</f>
        <v/>
      </c>
      <c r="G4577" t="str">
        <f>IF(D4577="","",INDEX(Knutepunkter!$C:$C,D4577+1))</f>
        <v/>
      </c>
      <c r="H4577" t="str">
        <f>IF(D4577="","",INDEX(Knutepunkter!$D:$D,D4577+1))</f>
        <v/>
      </c>
      <c r="I4577" t="str">
        <f>IF(E4577="","",INDEX(Knutepunkter!$B:$B,E4577+1))</f>
        <v/>
      </c>
      <c r="J4577" t="str">
        <f>IF(E4577="","",INDEX(Knutepunkter!$C:$C,E4577+1))</f>
        <v/>
      </c>
      <c r="K4577" t="str">
        <f>IF(E4577="","",INDEX(Knutepunkter!$D:$D,E4577+1))</f>
        <v/>
      </c>
      <c r="L4577" t="str">
        <f t="shared" si="358"/>
        <v/>
      </c>
      <c r="M4577" t="str">
        <f t="shared" si="359"/>
        <v/>
      </c>
    </row>
    <row r="4578" spans="1:13" x14ac:dyDescent="0.3">
      <c r="A4578" t="str">
        <f>Segmenter!A4578</f>
        <v/>
      </c>
      <c r="B4578" t="str">
        <f>Segmenter!B4578</f>
        <v/>
      </c>
      <c r="C4578" t="str">
        <f t="shared" si="355"/>
        <v/>
      </c>
      <c r="D4578" t="str">
        <f t="shared" si="356"/>
        <v/>
      </c>
      <c r="E4578" t="str">
        <f t="shared" si="357"/>
        <v/>
      </c>
      <c r="F4578" t="str">
        <f>IF(D4578="","",INDEX(Knutepunkter!$B:$B,D4578+1))</f>
        <v/>
      </c>
      <c r="G4578" t="str">
        <f>IF(D4578="","",INDEX(Knutepunkter!$C:$C,D4578+1))</f>
        <v/>
      </c>
      <c r="H4578" t="str">
        <f>IF(D4578="","",INDEX(Knutepunkter!$D:$D,D4578+1))</f>
        <v/>
      </c>
      <c r="I4578" t="str">
        <f>IF(E4578="","",INDEX(Knutepunkter!$B:$B,E4578+1))</f>
        <v/>
      </c>
      <c r="J4578" t="str">
        <f>IF(E4578="","",INDEX(Knutepunkter!$C:$C,E4578+1))</f>
        <v/>
      </c>
      <c r="K4578" t="str">
        <f>IF(E4578="","",INDEX(Knutepunkter!$D:$D,E4578+1))</f>
        <v/>
      </c>
      <c r="L4578" t="str">
        <f t="shared" si="358"/>
        <v/>
      </c>
      <c r="M4578" t="str">
        <f t="shared" si="359"/>
        <v/>
      </c>
    </row>
    <row r="4579" spans="1:13" x14ac:dyDescent="0.3">
      <c r="A4579" t="str">
        <f>Segmenter!A4579</f>
        <v/>
      </c>
      <c r="B4579" t="str">
        <f>Segmenter!B4579</f>
        <v/>
      </c>
      <c r="C4579" t="str">
        <f t="shared" si="355"/>
        <v/>
      </c>
      <c r="D4579" t="str">
        <f t="shared" si="356"/>
        <v/>
      </c>
      <c r="E4579" t="str">
        <f t="shared" si="357"/>
        <v/>
      </c>
      <c r="F4579" t="str">
        <f>IF(D4579="","",INDEX(Knutepunkter!$B:$B,D4579+1))</f>
        <v/>
      </c>
      <c r="G4579" t="str">
        <f>IF(D4579="","",INDEX(Knutepunkter!$C:$C,D4579+1))</f>
        <v/>
      </c>
      <c r="H4579" t="str">
        <f>IF(D4579="","",INDEX(Knutepunkter!$D:$D,D4579+1))</f>
        <v/>
      </c>
      <c r="I4579" t="str">
        <f>IF(E4579="","",INDEX(Knutepunkter!$B:$B,E4579+1))</f>
        <v/>
      </c>
      <c r="J4579" t="str">
        <f>IF(E4579="","",INDEX(Knutepunkter!$C:$C,E4579+1))</f>
        <v/>
      </c>
      <c r="K4579" t="str">
        <f>IF(E4579="","",INDEX(Knutepunkter!$D:$D,E4579+1))</f>
        <v/>
      </c>
      <c r="L4579" t="str">
        <f t="shared" si="358"/>
        <v/>
      </c>
      <c r="M4579" t="str">
        <f t="shared" si="359"/>
        <v/>
      </c>
    </row>
    <row r="4580" spans="1:13" x14ac:dyDescent="0.3">
      <c r="A4580" t="str">
        <f>Segmenter!A4580</f>
        <v/>
      </c>
      <c r="B4580" t="str">
        <f>Segmenter!B4580</f>
        <v/>
      </c>
      <c r="C4580" t="str">
        <f t="shared" si="355"/>
        <v/>
      </c>
      <c r="D4580" t="str">
        <f t="shared" si="356"/>
        <v/>
      </c>
      <c r="E4580" t="str">
        <f t="shared" si="357"/>
        <v/>
      </c>
      <c r="F4580" t="str">
        <f>IF(D4580="","",INDEX(Knutepunkter!$B:$B,D4580+1))</f>
        <v/>
      </c>
      <c r="G4580" t="str">
        <f>IF(D4580="","",INDEX(Knutepunkter!$C:$C,D4580+1))</f>
        <v/>
      </c>
      <c r="H4580" t="str">
        <f>IF(D4580="","",INDEX(Knutepunkter!$D:$D,D4580+1))</f>
        <v/>
      </c>
      <c r="I4580" t="str">
        <f>IF(E4580="","",INDEX(Knutepunkter!$B:$B,E4580+1))</f>
        <v/>
      </c>
      <c r="J4580" t="str">
        <f>IF(E4580="","",INDEX(Knutepunkter!$C:$C,E4580+1))</f>
        <v/>
      </c>
      <c r="K4580" t="str">
        <f>IF(E4580="","",INDEX(Knutepunkter!$D:$D,E4580+1))</f>
        <v/>
      </c>
      <c r="L4580" t="str">
        <f t="shared" si="358"/>
        <v/>
      </c>
      <c r="M4580" t="str">
        <f t="shared" si="359"/>
        <v/>
      </c>
    </row>
    <row r="4581" spans="1:13" x14ac:dyDescent="0.3">
      <c r="A4581" t="str">
        <f>Segmenter!A4581</f>
        <v/>
      </c>
      <c r="B4581" t="str">
        <f>Segmenter!B4581</f>
        <v/>
      </c>
      <c r="C4581" t="str">
        <f t="shared" si="355"/>
        <v/>
      </c>
      <c r="D4581" t="str">
        <f t="shared" si="356"/>
        <v/>
      </c>
      <c r="E4581" t="str">
        <f t="shared" si="357"/>
        <v/>
      </c>
      <c r="F4581" t="str">
        <f>IF(D4581="","",INDEX(Knutepunkter!$B:$B,D4581+1))</f>
        <v/>
      </c>
      <c r="G4581" t="str">
        <f>IF(D4581="","",INDEX(Knutepunkter!$C:$C,D4581+1))</f>
        <v/>
      </c>
      <c r="H4581" t="str">
        <f>IF(D4581="","",INDEX(Knutepunkter!$D:$D,D4581+1))</f>
        <v/>
      </c>
      <c r="I4581" t="str">
        <f>IF(E4581="","",INDEX(Knutepunkter!$B:$B,E4581+1))</f>
        <v/>
      </c>
      <c r="J4581" t="str">
        <f>IF(E4581="","",INDEX(Knutepunkter!$C:$C,E4581+1))</f>
        <v/>
      </c>
      <c r="K4581" t="str">
        <f>IF(E4581="","",INDEX(Knutepunkter!$D:$D,E4581+1))</f>
        <v/>
      </c>
      <c r="L4581" t="str">
        <f t="shared" si="358"/>
        <v/>
      </c>
      <c r="M4581" t="str">
        <f t="shared" si="359"/>
        <v/>
      </c>
    </row>
    <row r="4582" spans="1:13" x14ac:dyDescent="0.3">
      <c r="A4582" t="str">
        <f>Segmenter!A4582</f>
        <v/>
      </c>
      <c r="B4582" t="str">
        <f>Segmenter!B4582</f>
        <v/>
      </c>
      <c r="C4582" t="str">
        <f t="shared" si="355"/>
        <v/>
      </c>
      <c r="D4582" t="str">
        <f t="shared" si="356"/>
        <v/>
      </c>
      <c r="E4582" t="str">
        <f t="shared" si="357"/>
        <v/>
      </c>
      <c r="F4582" t="str">
        <f>IF(D4582="","",INDEX(Knutepunkter!$B:$B,D4582+1))</f>
        <v/>
      </c>
      <c r="G4582" t="str">
        <f>IF(D4582="","",INDEX(Knutepunkter!$C:$C,D4582+1))</f>
        <v/>
      </c>
      <c r="H4582" t="str">
        <f>IF(D4582="","",INDEX(Knutepunkter!$D:$D,D4582+1))</f>
        <v/>
      </c>
      <c r="I4582" t="str">
        <f>IF(E4582="","",INDEX(Knutepunkter!$B:$B,E4582+1))</f>
        <v/>
      </c>
      <c r="J4582" t="str">
        <f>IF(E4582="","",INDEX(Knutepunkter!$C:$C,E4582+1))</f>
        <v/>
      </c>
      <c r="K4582" t="str">
        <f>IF(E4582="","",INDEX(Knutepunkter!$D:$D,E4582+1))</f>
        <v/>
      </c>
      <c r="L4582" t="str">
        <f t="shared" si="358"/>
        <v/>
      </c>
      <c r="M4582" t="str">
        <f t="shared" si="359"/>
        <v/>
      </c>
    </row>
    <row r="4583" spans="1:13" x14ac:dyDescent="0.3">
      <c r="A4583" t="str">
        <f>Segmenter!A4583</f>
        <v/>
      </c>
      <c r="B4583" t="str">
        <f>Segmenter!B4583</f>
        <v/>
      </c>
      <c r="C4583" t="str">
        <f t="shared" si="355"/>
        <v/>
      </c>
      <c r="D4583" t="str">
        <f t="shared" si="356"/>
        <v/>
      </c>
      <c r="E4583" t="str">
        <f t="shared" si="357"/>
        <v/>
      </c>
      <c r="F4583" t="str">
        <f>IF(D4583="","",INDEX(Knutepunkter!$B:$B,D4583+1))</f>
        <v/>
      </c>
      <c r="G4583" t="str">
        <f>IF(D4583="","",INDEX(Knutepunkter!$C:$C,D4583+1))</f>
        <v/>
      </c>
      <c r="H4583" t="str">
        <f>IF(D4583="","",INDEX(Knutepunkter!$D:$D,D4583+1))</f>
        <v/>
      </c>
      <c r="I4583" t="str">
        <f>IF(E4583="","",INDEX(Knutepunkter!$B:$B,E4583+1))</f>
        <v/>
      </c>
      <c r="J4583" t="str">
        <f>IF(E4583="","",INDEX(Knutepunkter!$C:$C,E4583+1))</f>
        <v/>
      </c>
      <c r="K4583" t="str">
        <f>IF(E4583="","",INDEX(Knutepunkter!$D:$D,E4583+1))</f>
        <v/>
      </c>
      <c r="L4583" t="str">
        <f t="shared" si="358"/>
        <v/>
      </c>
      <c r="M4583" t="str">
        <f t="shared" si="359"/>
        <v/>
      </c>
    </row>
    <row r="4584" spans="1:13" x14ac:dyDescent="0.3">
      <c r="A4584" t="str">
        <f>Segmenter!A4584</f>
        <v/>
      </c>
      <c r="B4584" t="str">
        <f>Segmenter!B4584</f>
        <v/>
      </c>
      <c r="C4584" t="str">
        <f t="shared" si="355"/>
        <v/>
      </c>
      <c r="D4584" t="str">
        <f t="shared" si="356"/>
        <v/>
      </c>
      <c r="E4584" t="str">
        <f t="shared" si="357"/>
        <v/>
      </c>
      <c r="F4584" t="str">
        <f>IF(D4584="","",INDEX(Knutepunkter!$B:$B,D4584+1))</f>
        <v/>
      </c>
      <c r="G4584" t="str">
        <f>IF(D4584="","",INDEX(Knutepunkter!$C:$C,D4584+1))</f>
        <v/>
      </c>
      <c r="H4584" t="str">
        <f>IF(D4584="","",INDEX(Knutepunkter!$D:$D,D4584+1))</f>
        <v/>
      </c>
      <c r="I4584" t="str">
        <f>IF(E4584="","",INDEX(Knutepunkter!$B:$B,E4584+1))</f>
        <v/>
      </c>
      <c r="J4584" t="str">
        <f>IF(E4584="","",INDEX(Knutepunkter!$C:$C,E4584+1))</f>
        <v/>
      </c>
      <c r="K4584" t="str">
        <f>IF(E4584="","",INDEX(Knutepunkter!$D:$D,E4584+1))</f>
        <v/>
      </c>
      <c r="L4584" t="str">
        <f t="shared" si="358"/>
        <v/>
      </c>
      <c r="M4584" t="str">
        <f t="shared" si="359"/>
        <v/>
      </c>
    </row>
    <row r="4585" spans="1:13" x14ac:dyDescent="0.3">
      <c r="A4585" t="str">
        <f>Segmenter!A4585</f>
        <v/>
      </c>
      <c r="B4585" t="str">
        <f>Segmenter!B4585</f>
        <v/>
      </c>
      <c r="C4585" t="str">
        <f t="shared" si="355"/>
        <v/>
      </c>
      <c r="D4585" t="str">
        <f t="shared" si="356"/>
        <v/>
      </c>
      <c r="E4585" t="str">
        <f t="shared" si="357"/>
        <v/>
      </c>
      <c r="F4585" t="str">
        <f>IF(D4585="","",INDEX(Knutepunkter!$B:$B,D4585+1))</f>
        <v/>
      </c>
      <c r="G4585" t="str">
        <f>IF(D4585="","",INDEX(Knutepunkter!$C:$C,D4585+1))</f>
        <v/>
      </c>
      <c r="H4585" t="str">
        <f>IF(D4585="","",INDEX(Knutepunkter!$D:$D,D4585+1))</f>
        <v/>
      </c>
      <c r="I4585" t="str">
        <f>IF(E4585="","",INDEX(Knutepunkter!$B:$B,E4585+1))</f>
        <v/>
      </c>
      <c r="J4585" t="str">
        <f>IF(E4585="","",INDEX(Knutepunkter!$C:$C,E4585+1))</f>
        <v/>
      </c>
      <c r="K4585" t="str">
        <f>IF(E4585="","",INDEX(Knutepunkter!$D:$D,E4585+1))</f>
        <v/>
      </c>
      <c r="L4585" t="str">
        <f t="shared" si="358"/>
        <v/>
      </c>
      <c r="M4585" t="str">
        <f t="shared" si="359"/>
        <v/>
      </c>
    </row>
    <row r="4586" spans="1:13" x14ac:dyDescent="0.3">
      <c r="A4586" t="str">
        <f>Segmenter!A4586</f>
        <v/>
      </c>
      <c r="B4586" t="str">
        <f>Segmenter!B4586</f>
        <v/>
      </c>
      <c r="C4586" t="str">
        <f t="shared" si="355"/>
        <v/>
      </c>
      <c r="D4586" t="str">
        <f t="shared" si="356"/>
        <v/>
      </c>
      <c r="E4586" t="str">
        <f t="shared" si="357"/>
        <v/>
      </c>
      <c r="F4586" t="str">
        <f>IF(D4586="","",INDEX(Knutepunkter!$B:$B,D4586+1))</f>
        <v/>
      </c>
      <c r="G4586" t="str">
        <f>IF(D4586="","",INDEX(Knutepunkter!$C:$C,D4586+1))</f>
        <v/>
      </c>
      <c r="H4586" t="str">
        <f>IF(D4586="","",INDEX(Knutepunkter!$D:$D,D4586+1))</f>
        <v/>
      </c>
      <c r="I4586" t="str">
        <f>IF(E4586="","",INDEX(Knutepunkter!$B:$B,E4586+1))</f>
        <v/>
      </c>
      <c r="J4586" t="str">
        <f>IF(E4586="","",INDEX(Knutepunkter!$C:$C,E4586+1))</f>
        <v/>
      </c>
      <c r="K4586" t="str">
        <f>IF(E4586="","",INDEX(Knutepunkter!$D:$D,E4586+1))</f>
        <v/>
      </c>
      <c r="L4586" t="str">
        <f t="shared" si="358"/>
        <v/>
      </c>
      <c r="M4586" t="str">
        <f t="shared" si="359"/>
        <v/>
      </c>
    </row>
    <row r="4587" spans="1:13" x14ac:dyDescent="0.3">
      <c r="A4587" t="str">
        <f>Segmenter!A4587</f>
        <v/>
      </c>
      <c r="B4587" t="str">
        <f>Segmenter!B4587</f>
        <v/>
      </c>
      <c r="C4587" t="str">
        <f t="shared" si="355"/>
        <v/>
      </c>
      <c r="D4587" t="str">
        <f t="shared" si="356"/>
        <v/>
      </c>
      <c r="E4587" t="str">
        <f t="shared" si="357"/>
        <v/>
      </c>
      <c r="F4587" t="str">
        <f>IF(D4587="","",INDEX(Knutepunkter!$B:$B,D4587+1))</f>
        <v/>
      </c>
      <c r="G4587" t="str">
        <f>IF(D4587="","",INDEX(Knutepunkter!$C:$C,D4587+1))</f>
        <v/>
      </c>
      <c r="H4587" t="str">
        <f>IF(D4587="","",INDEX(Knutepunkter!$D:$D,D4587+1))</f>
        <v/>
      </c>
      <c r="I4587" t="str">
        <f>IF(E4587="","",INDEX(Knutepunkter!$B:$B,E4587+1))</f>
        <v/>
      </c>
      <c r="J4587" t="str">
        <f>IF(E4587="","",INDEX(Knutepunkter!$C:$C,E4587+1))</f>
        <v/>
      </c>
      <c r="K4587" t="str">
        <f>IF(E4587="","",INDEX(Knutepunkter!$D:$D,E4587+1))</f>
        <v/>
      </c>
      <c r="L4587" t="str">
        <f t="shared" si="358"/>
        <v/>
      </c>
      <c r="M4587" t="str">
        <f t="shared" si="359"/>
        <v/>
      </c>
    </row>
    <row r="4588" spans="1:13" x14ac:dyDescent="0.3">
      <c r="A4588" t="str">
        <f>Segmenter!A4588</f>
        <v/>
      </c>
      <c r="B4588" t="str">
        <f>Segmenter!B4588</f>
        <v/>
      </c>
      <c r="C4588" t="str">
        <f t="shared" si="355"/>
        <v/>
      </c>
      <c r="D4588" t="str">
        <f t="shared" si="356"/>
        <v/>
      </c>
      <c r="E4588" t="str">
        <f t="shared" si="357"/>
        <v/>
      </c>
      <c r="F4588" t="str">
        <f>IF(D4588="","",INDEX(Knutepunkter!$B:$B,D4588+1))</f>
        <v/>
      </c>
      <c r="G4588" t="str">
        <f>IF(D4588="","",INDEX(Knutepunkter!$C:$C,D4588+1))</f>
        <v/>
      </c>
      <c r="H4588" t="str">
        <f>IF(D4588="","",INDEX(Knutepunkter!$D:$D,D4588+1))</f>
        <v/>
      </c>
      <c r="I4588" t="str">
        <f>IF(E4588="","",INDEX(Knutepunkter!$B:$B,E4588+1))</f>
        <v/>
      </c>
      <c r="J4588" t="str">
        <f>IF(E4588="","",INDEX(Knutepunkter!$C:$C,E4588+1))</f>
        <v/>
      </c>
      <c r="K4588" t="str">
        <f>IF(E4588="","",INDEX(Knutepunkter!$D:$D,E4588+1))</f>
        <v/>
      </c>
      <c r="L4588" t="str">
        <f t="shared" si="358"/>
        <v/>
      </c>
      <c r="M4588" t="str">
        <f t="shared" si="359"/>
        <v/>
      </c>
    </row>
    <row r="4589" spans="1:13" x14ac:dyDescent="0.3">
      <c r="A4589" t="str">
        <f>Segmenter!A4589</f>
        <v/>
      </c>
      <c r="B4589" t="str">
        <f>Segmenter!B4589</f>
        <v/>
      </c>
      <c r="C4589" t="str">
        <f t="shared" si="355"/>
        <v/>
      </c>
      <c r="D4589" t="str">
        <f t="shared" si="356"/>
        <v/>
      </c>
      <c r="E4589" t="str">
        <f t="shared" si="357"/>
        <v/>
      </c>
      <c r="F4589" t="str">
        <f>IF(D4589="","",INDEX(Knutepunkter!$B:$B,D4589+1))</f>
        <v/>
      </c>
      <c r="G4589" t="str">
        <f>IF(D4589="","",INDEX(Knutepunkter!$C:$C,D4589+1))</f>
        <v/>
      </c>
      <c r="H4589" t="str">
        <f>IF(D4589="","",INDEX(Knutepunkter!$D:$D,D4589+1))</f>
        <v/>
      </c>
      <c r="I4589" t="str">
        <f>IF(E4589="","",INDEX(Knutepunkter!$B:$B,E4589+1))</f>
        <v/>
      </c>
      <c r="J4589" t="str">
        <f>IF(E4589="","",INDEX(Knutepunkter!$C:$C,E4589+1))</f>
        <v/>
      </c>
      <c r="K4589" t="str">
        <f>IF(E4589="","",INDEX(Knutepunkter!$D:$D,E4589+1))</f>
        <v/>
      </c>
      <c r="L4589" t="str">
        <f t="shared" si="358"/>
        <v/>
      </c>
      <c r="M4589" t="str">
        <f t="shared" si="359"/>
        <v/>
      </c>
    </row>
    <row r="4590" spans="1:13" x14ac:dyDescent="0.3">
      <c r="A4590" t="str">
        <f>Segmenter!A4590</f>
        <v/>
      </c>
      <c r="B4590" t="str">
        <f>Segmenter!B4590</f>
        <v/>
      </c>
      <c r="C4590" t="str">
        <f t="shared" si="355"/>
        <v/>
      </c>
      <c r="D4590" t="str">
        <f t="shared" si="356"/>
        <v/>
      </c>
      <c r="E4590" t="str">
        <f t="shared" si="357"/>
        <v/>
      </c>
      <c r="F4590" t="str">
        <f>IF(D4590="","",INDEX(Knutepunkter!$B:$B,D4590+1))</f>
        <v/>
      </c>
      <c r="G4590" t="str">
        <f>IF(D4590="","",INDEX(Knutepunkter!$C:$C,D4590+1))</f>
        <v/>
      </c>
      <c r="H4590" t="str">
        <f>IF(D4590="","",INDEX(Knutepunkter!$D:$D,D4590+1))</f>
        <v/>
      </c>
      <c r="I4590" t="str">
        <f>IF(E4590="","",INDEX(Knutepunkter!$B:$B,E4590+1))</f>
        <v/>
      </c>
      <c r="J4590" t="str">
        <f>IF(E4590="","",INDEX(Knutepunkter!$C:$C,E4590+1))</f>
        <v/>
      </c>
      <c r="K4590" t="str">
        <f>IF(E4590="","",INDEX(Knutepunkter!$D:$D,E4590+1))</f>
        <v/>
      </c>
      <c r="L4590" t="str">
        <f t="shared" si="358"/>
        <v/>
      </c>
      <c r="M4590" t="str">
        <f t="shared" si="359"/>
        <v/>
      </c>
    </row>
    <row r="4591" spans="1:13" x14ac:dyDescent="0.3">
      <c r="A4591" t="str">
        <f>Segmenter!A4591</f>
        <v/>
      </c>
      <c r="B4591" t="str">
        <f>Segmenter!B4591</f>
        <v/>
      </c>
      <c r="C4591" t="str">
        <f t="shared" si="355"/>
        <v/>
      </c>
      <c r="D4591" t="str">
        <f t="shared" si="356"/>
        <v/>
      </c>
      <c r="E4591" t="str">
        <f t="shared" si="357"/>
        <v/>
      </c>
      <c r="F4591" t="str">
        <f>IF(D4591="","",INDEX(Knutepunkter!$B:$B,D4591+1))</f>
        <v/>
      </c>
      <c r="G4591" t="str">
        <f>IF(D4591="","",INDEX(Knutepunkter!$C:$C,D4591+1))</f>
        <v/>
      </c>
      <c r="H4591" t="str">
        <f>IF(D4591="","",INDEX(Knutepunkter!$D:$D,D4591+1))</f>
        <v/>
      </c>
      <c r="I4591" t="str">
        <f>IF(E4591="","",INDEX(Knutepunkter!$B:$B,E4591+1))</f>
        <v/>
      </c>
      <c r="J4591" t="str">
        <f>IF(E4591="","",INDEX(Knutepunkter!$C:$C,E4591+1))</f>
        <v/>
      </c>
      <c r="K4591" t="str">
        <f>IF(E4591="","",INDEX(Knutepunkter!$D:$D,E4591+1))</f>
        <v/>
      </c>
      <c r="L4591" t="str">
        <f t="shared" si="358"/>
        <v/>
      </c>
      <c r="M4591" t="str">
        <f t="shared" si="359"/>
        <v/>
      </c>
    </row>
    <row r="4592" spans="1:13" x14ac:dyDescent="0.3">
      <c r="A4592" t="str">
        <f>Segmenter!A4592</f>
        <v/>
      </c>
      <c r="B4592" t="str">
        <f>Segmenter!B4592</f>
        <v/>
      </c>
      <c r="C4592" t="str">
        <f t="shared" si="355"/>
        <v/>
      </c>
      <c r="D4592" t="str">
        <f t="shared" si="356"/>
        <v/>
      </c>
      <c r="E4592" t="str">
        <f t="shared" si="357"/>
        <v/>
      </c>
      <c r="F4592" t="str">
        <f>IF(D4592="","",INDEX(Knutepunkter!$B:$B,D4592+1))</f>
        <v/>
      </c>
      <c r="G4592" t="str">
        <f>IF(D4592="","",INDEX(Knutepunkter!$C:$C,D4592+1))</f>
        <v/>
      </c>
      <c r="H4592" t="str">
        <f>IF(D4592="","",INDEX(Knutepunkter!$D:$D,D4592+1))</f>
        <v/>
      </c>
      <c r="I4592" t="str">
        <f>IF(E4592="","",INDEX(Knutepunkter!$B:$B,E4592+1))</f>
        <v/>
      </c>
      <c r="J4592" t="str">
        <f>IF(E4592="","",INDEX(Knutepunkter!$C:$C,E4592+1))</f>
        <v/>
      </c>
      <c r="K4592" t="str">
        <f>IF(E4592="","",INDEX(Knutepunkter!$D:$D,E4592+1))</f>
        <v/>
      </c>
      <c r="L4592" t="str">
        <f t="shared" si="358"/>
        <v/>
      </c>
      <c r="M4592" t="str">
        <f t="shared" si="359"/>
        <v/>
      </c>
    </row>
    <row r="4593" spans="1:13" x14ac:dyDescent="0.3">
      <c r="A4593" t="str">
        <f>Segmenter!A4593</f>
        <v/>
      </c>
      <c r="B4593" t="str">
        <f>Segmenter!B4593</f>
        <v/>
      </c>
      <c r="C4593" t="str">
        <f t="shared" si="355"/>
        <v/>
      </c>
      <c r="D4593" t="str">
        <f t="shared" si="356"/>
        <v/>
      </c>
      <c r="E4593" t="str">
        <f t="shared" si="357"/>
        <v/>
      </c>
      <c r="F4593" t="str">
        <f>IF(D4593="","",INDEX(Knutepunkter!$B:$B,D4593+1))</f>
        <v/>
      </c>
      <c r="G4593" t="str">
        <f>IF(D4593="","",INDEX(Knutepunkter!$C:$C,D4593+1))</f>
        <v/>
      </c>
      <c r="H4593" t="str">
        <f>IF(D4593="","",INDEX(Knutepunkter!$D:$D,D4593+1))</f>
        <v/>
      </c>
      <c r="I4593" t="str">
        <f>IF(E4593="","",INDEX(Knutepunkter!$B:$B,E4593+1))</f>
        <v/>
      </c>
      <c r="J4593" t="str">
        <f>IF(E4593="","",INDEX(Knutepunkter!$C:$C,E4593+1))</f>
        <v/>
      </c>
      <c r="K4593" t="str">
        <f>IF(E4593="","",INDEX(Knutepunkter!$D:$D,E4593+1))</f>
        <v/>
      </c>
      <c r="L4593" t="str">
        <f t="shared" si="358"/>
        <v/>
      </c>
      <c r="M4593" t="str">
        <f t="shared" si="359"/>
        <v/>
      </c>
    </row>
    <row r="4594" spans="1:13" x14ac:dyDescent="0.3">
      <c r="A4594" t="str">
        <f>Segmenter!A4594</f>
        <v/>
      </c>
      <c r="B4594" t="str">
        <f>Segmenter!B4594</f>
        <v/>
      </c>
      <c r="C4594" t="str">
        <f t="shared" si="355"/>
        <v/>
      </c>
      <c r="D4594" t="str">
        <f t="shared" si="356"/>
        <v/>
      </c>
      <c r="E4594" t="str">
        <f t="shared" si="357"/>
        <v/>
      </c>
      <c r="F4594" t="str">
        <f>IF(D4594="","",INDEX(Knutepunkter!$B:$B,D4594+1))</f>
        <v/>
      </c>
      <c r="G4594" t="str">
        <f>IF(D4594="","",INDEX(Knutepunkter!$C:$C,D4594+1))</f>
        <v/>
      </c>
      <c r="H4594" t="str">
        <f>IF(D4594="","",INDEX(Knutepunkter!$D:$D,D4594+1))</f>
        <v/>
      </c>
      <c r="I4594" t="str">
        <f>IF(E4594="","",INDEX(Knutepunkter!$B:$B,E4594+1))</f>
        <v/>
      </c>
      <c r="J4594" t="str">
        <f>IF(E4594="","",INDEX(Knutepunkter!$C:$C,E4594+1))</f>
        <v/>
      </c>
      <c r="K4594" t="str">
        <f>IF(E4594="","",INDEX(Knutepunkter!$D:$D,E4594+1))</f>
        <v/>
      </c>
      <c r="L4594" t="str">
        <f t="shared" si="358"/>
        <v/>
      </c>
      <c r="M4594" t="str">
        <f t="shared" si="359"/>
        <v/>
      </c>
    </row>
    <row r="4595" spans="1:13" x14ac:dyDescent="0.3">
      <c r="A4595" t="str">
        <f>Segmenter!A4595</f>
        <v/>
      </c>
      <c r="B4595" t="str">
        <f>Segmenter!B4595</f>
        <v/>
      </c>
      <c r="C4595" t="str">
        <f t="shared" si="355"/>
        <v/>
      </c>
      <c r="D4595" t="str">
        <f t="shared" si="356"/>
        <v/>
      </c>
      <c r="E4595" t="str">
        <f t="shared" si="357"/>
        <v/>
      </c>
      <c r="F4595" t="str">
        <f>IF(D4595="","",INDEX(Knutepunkter!$B:$B,D4595+1))</f>
        <v/>
      </c>
      <c r="G4595" t="str">
        <f>IF(D4595="","",INDEX(Knutepunkter!$C:$C,D4595+1))</f>
        <v/>
      </c>
      <c r="H4595" t="str">
        <f>IF(D4595="","",INDEX(Knutepunkter!$D:$D,D4595+1))</f>
        <v/>
      </c>
      <c r="I4595" t="str">
        <f>IF(E4595="","",INDEX(Knutepunkter!$B:$B,E4595+1))</f>
        <v/>
      </c>
      <c r="J4595" t="str">
        <f>IF(E4595="","",INDEX(Knutepunkter!$C:$C,E4595+1))</f>
        <v/>
      </c>
      <c r="K4595" t="str">
        <f>IF(E4595="","",INDEX(Knutepunkter!$D:$D,E4595+1))</f>
        <v/>
      </c>
      <c r="L4595" t="str">
        <f t="shared" si="358"/>
        <v/>
      </c>
      <c r="M4595" t="str">
        <f t="shared" si="359"/>
        <v/>
      </c>
    </row>
    <row r="4596" spans="1:13" x14ac:dyDescent="0.3">
      <c r="A4596" t="str">
        <f>Segmenter!A4596</f>
        <v/>
      </c>
      <c r="B4596" t="str">
        <f>Segmenter!B4596</f>
        <v/>
      </c>
      <c r="C4596" t="str">
        <f t="shared" si="355"/>
        <v/>
      </c>
      <c r="D4596" t="str">
        <f t="shared" si="356"/>
        <v/>
      </c>
      <c r="E4596" t="str">
        <f t="shared" si="357"/>
        <v/>
      </c>
      <c r="F4596" t="str">
        <f>IF(D4596="","",INDEX(Knutepunkter!$B:$B,D4596+1))</f>
        <v/>
      </c>
      <c r="G4596" t="str">
        <f>IF(D4596="","",INDEX(Knutepunkter!$C:$C,D4596+1))</f>
        <v/>
      </c>
      <c r="H4596" t="str">
        <f>IF(D4596="","",INDEX(Knutepunkter!$D:$D,D4596+1))</f>
        <v/>
      </c>
      <c r="I4596" t="str">
        <f>IF(E4596="","",INDEX(Knutepunkter!$B:$B,E4596+1))</f>
        <v/>
      </c>
      <c r="J4596" t="str">
        <f>IF(E4596="","",INDEX(Knutepunkter!$C:$C,E4596+1))</f>
        <v/>
      </c>
      <c r="K4596" t="str">
        <f>IF(E4596="","",INDEX(Knutepunkter!$D:$D,E4596+1))</f>
        <v/>
      </c>
      <c r="L4596" t="str">
        <f t="shared" si="358"/>
        <v/>
      </c>
      <c r="M4596" t="str">
        <f t="shared" si="359"/>
        <v/>
      </c>
    </row>
    <row r="4597" spans="1:13" x14ac:dyDescent="0.3">
      <c r="A4597" t="str">
        <f>Segmenter!A4597</f>
        <v/>
      </c>
      <c r="B4597" t="str">
        <f>Segmenter!B4597</f>
        <v/>
      </c>
      <c r="C4597" t="str">
        <f t="shared" si="355"/>
        <v/>
      </c>
      <c r="D4597" t="str">
        <f t="shared" si="356"/>
        <v/>
      </c>
      <c r="E4597" t="str">
        <f t="shared" si="357"/>
        <v/>
      </c>
      <c r="F4597" t="str">
        <f>IF(D4597="","",INDEX(Knutepunkter!$B:$B,D4597+1))</f>
        <v/>
      </c>
      <c r="G4597" t="str">
        <f>IF(D4597="","",INDEX(Knutepunkter!$C:$C,D4597+1))</f>
        <v/>
      </c>
      <c r="H4597" t="str">
        <f>IF(D4597="","",INDEX(Knutepunkter!$D:$D,D4597+1))</f>
        <v/>
      </c>
      <c r="I4597" t="str">
        <f>IF(E4597="","",INDEX(Knutepunkter!$B:$B,E4597+1))</f>
        <v/>
      </c>
      <c r="J4597" t="str">
        <f>IF(E4597="","",INDEX(Knutepunkter!$C:$C,E4597+1))</f>
        <v/>
      </c>
      <c r="K4597" t="str">
        <f>IF(E4597="","",INDEX(Knutepunkter!$D:$D,E4597+1))</f>
        <v/>
      </c>
      <c r="L4597" t="str">
        <f t="shared" si="358"/>
        <v/>
      </c>
      <c r="M4597" t="str">
        <f t="shared" si="359"/>
        <v/>
      </c>
    </row>
    <row r="4598" spans="1:13" x14ac:dyDescent="0.3">
      <c r="A4598" t="str">
        <f>Segmenter!A4598</f>
        <v/>
      </c>
      <c r="B4598" t="str">
        <f>Segmenter!B4598</f>
        <v/>
      </c>
      <c r="C4598" t="str">
        <f t="shared" si="355"/>
        <v/>
      </c>
      <c r="D4598" t="str">
        <f t="shared" si="356"/>
        <v/>
      </c>
      <c r="E4598" t="str">
        <f t="shared" si="357"/>
        <v/>
      </c>
      <c r="F4598" t="str">
        <f>IF(D4598="","",INDEX(Knutepunkter!$B:$B,D4598+1))</f>
        <v/>
      </c>
      <c r="G4598" t="str">
        <f>IF(D4598="","",INDEX(Knutepunkter!$C:$C,D4598+1))</f>
        <v/>
      </c>
      <c r="H4598" t="str">
        <f>IF(D4598="","",INDEX(Knutepunkter!$D:$D,D4598+1))</f>
        <v/>
      </c>
      <c r="I4598" t="str">
        <f>IF(E4598="","",INDEX(Knutepunkter!$B:$B,E4598+1))</f>
        <v/>
      </c>
      <c r="J4598" t="str">
        <f>IF(E4598="","",INDEX(Knutepunkter!$C:$C,E4598+1))</f>
        <v/>
      </c>
      <c r="K4598" t="str">
        <f>IF(E4598="","",INDEX(Knutepunkter!$D:$D,E4598+1))</f>
        <v/>
      </c>
      <c r="L4598" t="str">
        <f t="shared" si="358"/>
        <v/>
      </c>
      <c r="M4598" t="str">
        <f t="shared" si="359"/>
        <v/>
      </c>
    </row>
    <row r="4599" spans="1:13" x14ac:dyDescent="0.3">
      <c r="A4599" t="str">
        <f>Segmenter!A4599</f>
        <v/>
      </c>
      <c r="B4599" t="str">
        <f>Segmenter!B4599</f>
        <v/>
      </c>
      <c r="C4599" t="str">
        <f t="shared" si="355"/>
        <v/>
      </c>
      <c r="D4599" t="str">
        <f t="shared" si="356"/>
        <v/>
      </c>
      <c r="E4599" t="str">
        <f t="shared" si="357"/>
        <v/>
      </c>
      <c r="F4599" t="str">
        <f>IF(D4599="","",INDEX(Knutepunkter!$B:$B,D4599+1))</f>
        <v/>
      </c>
      <c r="G4599" t="str">
        <f>IF(D4599="","",INDEX(Knutepunkter!$C:$C,D4599+1))</f>
        <v/>
      </c>
      <c r="H4599" t="str">
        <f>IF(D4599="","",INDEX(Knutepunkter!$D:$D,D4599+1))</f>
        <v/>
      </c>
      <c r="I4599" t="str">
        <f>IF(E4599="","",INDEX(Knutepunkter!$B:$B,E4599+1))</f>
        <v/>
      </c>
      <c r="J4599" t="str">
        <f>IF(E4599="","",INDEX(Knutepunkter!$C:$C,E4599+1))</f>
        <v/>
      </c>
      <c r="K4599" t="str">
        <f>IF(E4599="","",INDEX(Knutepunkter!$D:$D,E4599+1))</f>
        <v/>
      </c>
      <c r="L4599" t="str">
        <f t="shared" si="358"/>
        <v/>
      </c>
      <c r="M4599" t="str">
        <f t="shared" si="359"/>
        <v/>
      </c>
    </row>
    <row r="4600" spans="1:13" x14ac:dyDescent="0.3">
      <c r="A4600" t="str">
        <f>Segmenter!A4600</f>
        <v/>
      </c>
      <c r="B4600" t="str">
        <f>Segmenter!B4600</f>
        <v/>
      </c>
      <c r="C4600" t="str">
        <f t="shared" si="355"/>
        <v/>
      </c>
      <c r="D4600" t="str">
        <f t="shared" si="356"/>
        <v/>
      </c>
      <c r="E4600" t="str">
        <f t="shared" si="357"/>
        <v/>
      </c>
      <c r="F4600" t="str">
        <f>IF(D4600="","",INDEX(Knutepunkter!$B:$B,D4600+1))</f>
        <v/>
      </c>
      <c r="G4600" t="str">
        <f>IF(D4600="","",INDEX(Knutepunkter!$C:$C,D4600+1))</f>
        <v/>
      </c>
      <c r="H4600" t="str">
        <f>IF(D4600="","",INDEX(Knutepunkter!$D:$D,D4600+1))</f>
        <v/>
      </c>
      <c r="I4600" t="str">
        <f>IF(E4600="","",INDEX(Knutepunkter!$B:$B,E4600+1))</f>
        <v/>
      </c>
      <c r="J4600" t="str">
        <f>IF(E4600="","",INDEX(Knutepunkter!$C:$C,E4600+1))</f>
        <v/>
      </c>
      <c r="K4600" t="str">
        <f>IF(E4600="","",INDEX(Knutepunkter!$D:$D,E4600+1))</f>
        <v/>
      </c>
      <c r="L4600" t="str">
        <f t="shared" si="358"/>
        <v/>
      </c>
      <c r="M4600" t="str">
        <f t="shared" si="359"/>
        <v/>
      </c>
    </row>
    <row r="4601" spans="1:13" x14ac:dyDescent="0.3">
      <c r="A4601" t="str">
        <f>Segmenter!A4601</f>
        <v/>
      </c>
      <c r="B4601" t="str">
        <f>Segmenter!B4601</f>
        <v/>
      </c>
      <c r="C4601" t="str">
        <f t="shared" si="355"/>
        <v/>
      </c>
      <c r="D4601" t="str">
        <f t="shared" si="356"/>
        <v/>
      </c>
      <c r="E4601" t="str">
        <f t="shared" si="357"/>
        <v/>
      </c>
      <c r="F4601" t="str">
        <f>IF(D4601="","",INDEX(Knutepunkter!$B:$B,D4601+1))</f>
        <v/>
      </c>
      <c r="G4601" t="str">
        <f>IF(D4601="","",INDEX(Knutepunkter!$C:$C,D4601+1))</f>
        <v/>
      </c>
      <c r="H4601" t="str">
        <f>IF(D4601="","",INDEX(Knutepunkter!$D:$D,D4601+1))</f>
        <v/>
      </c>
      <c r="I4601" t="str">
        <f>IF(E4601="","",INDEX(Knutepunkter!$B:$B,E4601+1))</f>
        <v/>
      </c>
      <c r="J4601" t="str">
        <f>IF(E4601="","",INDEX(Knutepunkter!$C:$C,E4601+1))</f>
        <v/>
      </c>
      <c r="K4601" t="str">
        <f>IF(E4601="","",INDEX(Knutepunkter!$D:$D,E4601+1))</f>
        <v/>
      </c>
      <c r="L4601" t="str">
        <f t="shared" si="358"/>
        <v/>
      </c>
      <c r="M4601" t="str">
        <f t="shared" si="359"/>
        <v/>
      </c>
    </row>
    <row r="4602" spans="1:13" x14ac:dyDescent="0.3">
      <c r="A4602" t="str">
        <f>Segmenter!A4602</f>
        <v/>
      </c>
      <c r="B4602" t="str">
        <f>Segmenter!B4602</f>
        <v/>
      </c>
      <c r="C4602" t="str">
        <f t="shared" si="355"/>
        <v/>
      </c>
      <c r="D4602" t="str">
        <f t="shared" si="356"/>
        <v/>
      </c>
      <c r="E4602" t="str">
        <f t="shared" si="357"/>
        <v/>
      </c>
      <c r="F4602" t="str">
        <f>IF(D4602="","",INDEX(Knutepunkter!$B:$B,D4602+1))</f>
        <v/>
      </c>
      <c r="G4602" t="str">
        <f>IF(D4602="","",INDEX(Knutepunkter!$C:$C,D4602+1))</f>
        <v/>
      </c>
      <c r="H4602" t="str">
        <f>IF(D4602="","",INDEX(Knutepunkter!$D:$D,D4602+1))</f>
        <v/>
      </c>
      <c r="I4602" t="str">
        <f>IF(E4602="","",INDEX(Knutepunkter!$B:$B,E4602+1))</f>
        <v/>
      </c>
      <c r="J4602" t="str">
        <f>IF(E4602="","",INDEX(Knutepunkter!$C:$C,E4602+1))</f>
        <v/>
      </c>
      <c r="K4602" t="str">
        <f>IF(E4602="","",INDEX(Knutepunkter!$D:$D,E4602+1))</f>
        <v/>
      </c>
      <c r="L4602" t="str">
        <f t="shared" si="358"/>
        <v/>
      </c>
      <c r="M4602" t="str">
        <f t="shared" si="359"/>
        <v/>
      </c>
    </row>
    <row r="4603" spans="1:13" x14ac:dyDescent="0.3">
      <c r="A4603" t="str">
        <f>Segmenter!A4603</f>
        <v/>
      </c>
      <c r="B4603" t="str">
        <f>Segmenter!B4603</f>
        <v/>
      </c>
      <c r="C4603" t="str">
        <f t="shared" si="355"/>
        <v/>
      </c>
      <c r="D4603" t="str">
        <f t="shared" si="356"/>
        <v/>
      </c>
      <c r="E4603" t="str">
        <f t="shared" si="357"/>
        <v/>
      </c>
      <c r="F4603" t="str">
        <f>IF(D4603="","",INDEX(Knutepunkter!$B:$B,D4603+1))</f>
        <v/>
      </c>
      <c r="G4603" t="str">
        <f>IF(D4603="","",INDEX(Knutepunkter!$C:$C,D4603+1))</f>
        <v/>
      </c>
      <c r="H4603" t="str">
        <f>IF(D4603="","",INDEX(Knutepunkter!$D:$D,D4603+1))</f>
        <v/>
      </c>
      <c r="I4603" t="str">
        <f>IF(E4603="","",INDEX(Knutepunkter!$B:$B,E4603+1))</f>
        <v/>
      </c>
      <c r="J4603" t="str">
        <f>IF(E4603="","",INDEX(Knutepunkter!$C:$C,E4603+1))</f>
        <v/>
      </c>
      <c r="K4603" t="str">
        <f>IF(E4603="","",INDEX(Knutepunkter!$D:$D,E4603+1))</f>
        <v/>
      </c>
      <c r="L4603" t="str">
        <f t="shared" si="358"/>
        <v/>
      </c>
      <c r="M4603" t="str">
        <f t="shared" si="359"/>
        <v/>
      </c>
    </row>
    <row r="4604" spans="1:13" x14ac:dyDescent="0.3">
      <c r="A4604" t="str">
        <f>Segmenter!A4604</f>
        <v/>
      </c>
      <c r="B4604" t="str">
        <f>Segmenter!B4604</f>
        <v/>
      </c>
      <c r="C4604" t="str">
        <f t="shared" si="355"/>
        <v/>
      </c>
      <c r="D4604" t="str">
        <f t="shared" si="356"/>
        <v/>
      </c>
      <c r="E4604" t="str">
        <f t="shared" si="357"/>
        <v/>
      </c>
      <c r="F4604" t="str">
        <f>IF(D4604="","",INDEX(Knutepunkter!$B:$B,D4604+1))</f>
        <v/>
      </c>
      <c r="G4604" t="str">
        <f>IF(D4604="","",INDEX(Knutepunkter!$C:$C,D4604+1))</f>
        <v/>
      </c>
      <c r="H4604" t="str">
        <f>IF(D4604="","",INDEX(Knutepunkter!$D:$D,D4604+1))</f>
        <v/>
      </c>
      <c r="I4604" t="str">
        <f>IF(E4604="","",INDEX(Knutepunkter!$B:$B,E4604+1))</f>
        <v/>
      </c>
      <c r="J4604" t="str">
        <f>IF(E4604="","",INDEX(Knutepunkter!$C:$C,E4604+1))</f>
        <v/>
      </c>
      <c r="K4604" t="str">
        <f>IF(E4604="","",INDEX(Knutepunkter!$D:$D,E4604+1))</f>
        <v/>
      </c>
      <c r="L4604" t="str">
        <f t="shared" si="358"/>
        <v/>
      </c>
      <c r="M4604" t="str">
        <f t="shared" si="359"/>
        <v/>
      </c>
    </row>
    <row r="4605" spans="1:13" x14ac:dyDescent="0.3">
      <c r="A4605" t="str">
        <f>Segmenter!A4605</f>
        <v/>
      </c>
      <c r="B4605" t="str">
        <f>Segmenter!B4605</f>
        <v/>
      </c>
      <c r="C4605" t="str">
        <f t="shared" si="355"/>
        <v/>
      </c>
      <c r="D4605" t="str">
        <f t="shared" si="356"/>
        <v/>
      </c>
      <c r="E4605" t="str">
        <f t="shared" si="357"/>
        <v/>
      </c>
      <c r="F4605" t="str">
        <f>IF(D4605="","",INDEX(Knutepunkter!$B:$B,D4605+1))</f>
        <v/>
      </c>
      <c r="G4605" t="str">
        <f>IF(D4605="","",INDEX(Knutepunkter!$C:$C,D4605+1))</f>
        <v/>
      </c>
      <c r="H4605" t="str">
        <f>IF(D4605="","",INDEX(Knutepunkter!$D:$D,D4605+1))</f>
        <v/>
      </c>
      <c r="I4605" t="str">
        <f>IF(E4605="","",INDEX(Knutepunkter!$B:$B,E4605+1))</f>
        <v/>
      </c>
      <c r="J4605" t="str">
        <f>IF(E4605="","",INDEX(Knutepunkter!$C:$C,E4605+1))</f>
        <v/>
      </c>
      <c r="K4605" t="str">
        <f>IF(E4605="","",INDEX(Knutepunkter!$D:$D,E4605+1))</f>
        <v/>
      </c>
      <c r="L4605" t="str">
        <f t="shared" si="358"/>
        <v/>
      </c>
      <c r="M4605" t="str">
        <f t="shared" si="359"/>
        <v/>
      </c>
    </row>
    <row r="4606" spans="1:13" x14ac:dyDescent="0.3">
      <c r="A4606" t="str">
        <f>Segmenter!A4606</f>
        <v/>
      </c>
      <c r="B4606" t="str">
        <f>Segmenter!B4606</f>
        <v/>
      </c>
      <c r="C4606" t="str">
        <f t="shared" si="355"/>
        <v/>
      </c>
      <c r="D4606" t="str">
        <f t="shared" si="356"/>
        <v/>
      </c>
      <c r="E4606" t="str">
        <f t="shared" si="357"/>
        <v/>
      </c>
      <c r="F4606" t="str">
        <f>IF(D4606="","",INDEX(Knutepunkter!$B:$B,D4606+1))</f>
        <v/>
      </c>
      <c r="G4606" t="str">
        <f>IF(D4606="","",INDEX(Knutepunkter!$C:$C,D4606+1))</f>
        <v/>
      </c>
      <c r="H4606" t="str">
        <f>IF(D4606="","",INDEX(Knutepunkter!$D:$D,D4606+1))</f>
        <v/>
      </c>
      <c r="I4606" t="str">
        <f>IF(E4606="","",INDEX(Knutepunkter!$B:$B,E4606+1))</f>
        <v/>
      </c>
      <c r="J4606" t="str">
        <f>IF(E4606="","",INDEX(Knutepunkter!$C:$C,E4606+1))</f>
        <v/>
      </c>
      <c r="K4606" t="str">
        <f>IF(E4606="","",INDEX(Knutepunkter!$D:$D,E4606+1))</f>
        <v/>
      </c>
      <c r="L4606" t="str">
        <f t="shared" si="358"/>
        <v/>
      </c>
      <c r="M4606" t="str">
        <f t="shared" si="359"/>
        <v/>
      </c>
    </row>
    <row r="4607" spans="1:13" x14ac:dyDescent="0.3">
      <c r="A4607" t="str">
        <f>Segmenter!A4607</f>
        <v/>
      </c>
      <c r="B4607" t="str">
        <f>Segmenter!B4607</f>
        <v/>
      </c>
      <c r="C4607" t="str">
        <f t="shared" si="355"/>
        <v/>
      </c>
      <c r="D4607" t="str">
        <f t="shared" si="356"/>
        <v/>
      </c>
      <c r="E4607" t="str">
        <f t="shared" si="357"/>
        <v/>
      </c>
      <c r="F4607" t="str">
        <f>IF(D4607="","",INDEX(Knutepunkter!$B:$B,D4607+1))</f>
        <v/>
      </c>
      <c r="G4607" t="str">
        <f>IF(D4607="","",INDEX(Knutepunkter!$C:$C,D4607+1))</f>
        <v/>
      </c>
      <c r="H4607" t="str">
        <f>IF(D4607="","",INDEX(Knutepunkter!$D:$D,D4607+1))</f>
        <v/>
      </c>
      <c r="I4607" t="str">
        <f>IF(E4607="","",INDEX(Knutepunkter!$B:$B,E4607+1))</f>
        <v/>
      </c>
      <c r="J4607" t="str">
        <f>IF(E4607="","",INDEX(Knutepunkter!$C:$C,E4607+1))</f>
        <v/>
      </c>
      <c r="K4607" t="str">
        <f>IF(E4607="","",INDEX(Knutepunkter!$D:$D,E4607+1))</f>
        <v/>
      </c>
      <c r="L4607" t="str">
        <f t="shared" si="358"/>
        <v/>
      </c>
      <c r="M4607" t="str">
        <f t="shared" si="359"/>
        <v/>
      </c>
    </row>
    <row r="4608" spans="1:13" x14ac:dyDescent="0.3">
      <c r="A4608" t="str">
        <f>Segmenter!A4608</f>
        <v/>
      </c>
      <c r="B4608" t="str">
        <f>Segmenter!B4608</f>
        <v/>
      </c>
      <c r="C4608" t="str">
        <f t="shared" si="355"/>
        <v/>
      </c>
      <c r="D4608" t="str">
        <f t="shared" si="356"/>
        <v/>
      </c>
      <c r="E4608" t="str">
        <f t="shared" si="357"/>
        <v/>
      </c>
      <c r="F4608" t="str">
        <f>IF(D4608="","",INDEX(Knutepunkter!$B:$B,D4608+1))</f>
        <v/>
      </c>
      <c r="G4608" t="str">
        <f>IF(D4608="","",INDEX(Knutepunkter!$C:$C,D4608+1))</f>
        <v/>
      </c>
      <c r="H4608" t="str">
        <f>IF(D4608="","",INDEX(Knutepunkter!$D:$D,D4608+1))</f>
        <v/>
      </c>
      <c r="I4608" t="str">
        <f>IF(E4608="","",INDEX(Knutepunkter!$B:$B,E4608+1))</f>
        <v/>
      </c>
      <c r="J4608" t="str">
        <f>IF(E4608="","",INDEX(Knutepunkter!$C:$C,E4608+1))</f>
        <v/>
      </c>
      <c r="K4608" t="str">
        <f>IF(E4608="","",INDEX(Knutepunkter!$D:$D,E4608+1))</f>
        <v/>
      </c>
      <c r="L4608" t="str">
        <f t="shared" si="358"/>
        <v/>
      </c>
      <c r="M4608" t="str">
        <f t="shared" si="359"/>
        <v/>
      </c>
    </row>
    <row r="4609" spans="1:13" x14ac:dyDescent="0.3">
      <c r="A4609" t="str">
        <f>Segmenter!A4609</f>
        <v/>
      </c>
      <c r="B4609" t="str">
        <f>Segmenter!B4609</f>
        <v/>
      </c>
      <c r="C4609" t="str">
        <f t="shared" si="355"/>
        <v/>
      </c>
      <c r="D4609" t="str">
        <f t="shared" si="356"/>
        <v/>
      </c>
      <c r="E4609" t="str">
        <f t="shared" si="357"/>
        <v/>
      </c>
      <c r="F4609" t="str">
        <f>IF(D4609="","",INDEX(Knutepunkter!$B:$B,D4609+1))</f>
        <v/>
      </c>
      <c r="G4609" t="str">
        <f>IF(D4609="","",INDEX(Knutepunkter!$C:$C,D4609+1))</f>
        <v/>
      </c>
      <c r="H4609" t="str">
        <f>IF(D4609="","",INDEX(Knutepunkter!$D:$D,D4609+1))</f>
        <v/>
      </c>
      <c r="I4609" t="str">
        <f>IF(E4609="","",INDEX(Knutepunkter!$B:$B,E4609+1))</f>
        <v/>
      </c>
      <c r="J4609" t="str">
        <f>IF(E4609="","",INDEX(Knutepunkter!$C:$C,E4609+1))</f>
        <v/>
      </c>
      <c r="K4609" t="str">
        <f>IF(E4609="","",INDEX(Knutepunkter!$D:$D,E4609+1))</f>
        <v/>
      </c>
      <c r="L4609" t="str">
        <f t="shared" si="358"/>
        <v/>
      </c>
      <c r="M4609" t="str">
        <f t="shared" si="359"/>
        <v/>
      </c>
    </row>
    <row r="4610" spans="1:13" x14ac:dyDescent="0.3">
      <c r="A4610" t="str">
        <f>Segmenter!A4610</f>
        <v/>
      </c>
      <c r="B4610" t="str">
        <f>Segmenter!B4610</f>
        <v/>
      </c>
      <c r="C4610" t="str">
        <f t="shared" ref="C4610:C4673" si="360">IF(B4610="","",IF(AND(F4610=I4610,G4610=J4610,H4610&lt;&gt;K4610),"Søyle","Bjelke"))</f>
        <v/>
      </c>
      <c r="D4610" t="str">
        <f t="shared" ref="D4610:D4673" si="361">IF(B4610="","",VALUE(LEFT(B4610,FIND(" -&gt; ",B4610)-1)))</f>
        <v/>
      </c>
      <c r="E4610" t="str">
        <f t="shared" ref="E4610:E4673" si="362">IF(B4610="","",VALUE(MID(B4610,FIND(" -&gt; ",B4610)+4,99)))</f>
        <v/>
      </c>
      <c r="F4610" t="str">
        <f>IF(D4610="","",INDEX(Knutepunkter!$B:$B,D4610+1))</f>
        <v/>
      </c>
      <c r="G4610" t="str">
        <f>IF(D4610="","",INDEX(Knutepunkter!$C:$C,D4610+1))</f>
        <v/>
      </c>
      <c r="H4610" t="str">
        <f>IF(D4610="","",INDEX(Knutepunkter!$D:$D,D4610+1))</f>
        <v/>
      </c>
      <c r="I4610" t="str">
        <f>IF(E4610="","",INDEX(Knutepunkter!$B:$B,E4610+1))</f>
        <v/>
      </c>
      <c r="J4610" t="str">
        <f>IF(E4610="","",INDEX(Knutepunkter!$C:$C,E4610+1))</f>
        <v/>
      </c>
      <c r="K4610" t="str">
        <f>IF(E4610="","",INDEX(Knutepunkter!$D:$D,E4610+1))</f>
        <v/>
      </c>
      <c r="L4610" t="str">
        <f t="shared" ref="L4610:L4673" si="363">IF(B4610="","",SQRT((I4610-F4610)^2+(J4610-G4610)^2+(K4610-H4610)^2))</f>
        <v/>
      </c>
      <c r="M4610" t="str">
        <f t="shared" ref="M4610:M4673" si="364">IF(L4610="","",L4610/1000)</f>
        <v/>
      </c>
    </row>
    <row r="4611" spans="1:13" x14ac:dyDescent="0.3">
      <c r="A4611" t="str">
        <f>Segmenter!A4611</f>
        <v/>
      </c>
      <c r="B4611" t="str">
        <f>Segmenter!B4611</f>
        <v/>
      </c>
      <c r="C4611" t="str">
        <f t="shared" si="360"/>
        <v/>
      </c>
      <c r="D4611" t="str">
        <f t="shared" si="361"/>
        <v/>
      </c>
      <c r="E4611" t="str">
        <f t="shared" si="362"/>
        <v/>
      </c>
      <c r="F4611" t="str">
        <f>IF(D4611="","",INDEX(Knutepunkter!$B:$B,D4611+1))</f>
        <v/>
      </c>
      <c r="G4611" t="str">
        <f>IF(D4611="","",INDEX(Knutepunkter!$C:$C,D4611+1))</f>
        <v/>
      </c>
      <c r="H4611" t="str">
        <f>IF(D4611="","",INDEX(Knutepunkter!$D:$D,D4611+1))</f>
        <v/>
      </c>
      <c r="I4611" t="str">
        <f>IF(E4611="","",INDEX(Knutepunkter!$B:$B,E4611+1))</f>
        <v/>
      </c>
      <c r="J4611" t="str">
        <f>IF(E4611="","",INDEX(Knutepunkter!$C:$C,E4611+1))</f>
        <v/>
      </c>
      <c r="K4611" t="str">
        <f>IF(E4611="","",INDEX(Knutepunkter!$D:$D,E4611+1))</f>
        <v/>
      </c>
      <c r="L4611" t="str">
        <f t="shared" si="363"/>
        <v/>
      </c>
      <c r="M4611" t="str">
        <f t="shared" si="364"/>
        <v/>
      </c>
    </row>
    <row r="4612" spans="1:13" x14ac:dyDescent="0.3">
      <c r="A4612" t="str">
        <f>Segmenter!A4612</f>
        <v/>
      </c>
      <c r="B4612" t="str">
        <f>Segmenter!B4612</f>
        <v/>
      </c>
      <c r="C4612" t="str">
        <f t="shared" si="360"/>
        <v/>
      </c>
      <c r="D4612" t="str">
        <f t="shared" si="361"/>
        <v/>
      </c>
      <c r="E4612" t="str">
        <f t="shared" si="362"/>
        <v/>
      </c>
      <c r="F4612" t="str">
        <f>IF(D4612="","",INDEX(Knutepunkter!$B:$B,D4612+1))</f>
        <v/>
      </c>
      <c r="G4612" t="str">
        <f>IF(D4612="","",INDEX(Knutepunkter!$C:$C,D4612+1))</f>
        <v/>
      </c>
      <c r="H4612" t="str">
        <f>IF(D4612="","",INDEX(Knutepunkter!$D:$D,D4612+1))</f>
        <v/>
      </c>
      <c r="I4612" t="str">
        <f>IF(E4612="","",INDEX(Knutepunkter!$B:$B,E4612+1))</f>
        <v/>
      </c>
      <c r="J4612" t="str">
        <f>IF(E4612="","",INDEX(Knutepunkter!$C:$C,E4612+1))</f>
        <v/>
      </c>
      <c r="K4612" t="str">
        <f>IF(E4612="","",INDEX(Knutepunkter!$D:$D,E4612+1))</f>
        <v/>
      </c>
      <c r="L4612" t="str">
        <f t="shared" si="363"/>
        <v/>
      </c>
      <c r="M4612" t="str">
        <f t="shared" si="364"/>
        <v/>
      </c>
    </row>
    <row r="4613" spans="1:13" x14ac:dyDescent="0.3">
      <c r="A4613" t="str">
        <f>Segmenter!A4613</f>
        <v/>
      </c>
      <c r="B4613" t="str">
        <f>Segmenter!B4613</f>
        <v/>
      </c>
      <c r="C4613" t="str">
        <f t="shared" si="360"/>
        <v/>
      </c>
      <c r="D4613" t="str">
        <f t="shared" si="361"/>
        <v/>
      </c>
      <c r="E4613" t="str">
        <f t="shared" si="362"/>
        <v/>
      </c>
      <c r="F4613" t="str">
        <f>IF(D4613="","",INDEX(Knutepunkter!$B:$B,D4613+1))</f>
        <v/>
      </c>
      <c r="G4613" t="str">
        <f>IF(D4613="","",INDEX(Knutepunkter!$C:$C,D4613+1))</f>
        <v/>
      </c>
      <c r="H4613" t="str">
        <f>IF(D4613="","",INDEX(Knutepunkter!$D:$D,D4613+1))</f>
        <v/>
      </c>
      <c r="I4613" t="str">
        <f>IF(E4613="","",INDEX(Knutepunkter!$B:$B,E4613+1))</f>
        <v/>
      </c>
      <c r="J4613" t="str">
        <f>IF(E4613="","",INDEX(Knutepunkter!$C:$C,E4613+1))</f>
        <v/>
      </c>
      <c r="K4613" t="str">
        <f>IF(E4613="","",INDEX(Knutepunkter!$D:$D,E4613+1))</f>
        <v/>
      </c>
      <c r="L4613" t="str">
        <f t="shared" si="363"/>
        <v/>
      </c>
      <c r="M4613" t="str">
        <f t="shared" si="364"/>
        <v/>
      </c>
    </row>
    <row r="4614" spans="1:13" x14ac:dyDescent="0.3">
      <c r="A4614" t="str">
        <f>Segmenter!A4614</f>
        <v/>
      </c>
      <c r="B4614" t="str">
        <f>Segmenter!B4614</f>
        <v/>
      </c>
      <c r="C4614" t="str">
        <f t="shared" si="360"/>
        <v/>
      </c>
      <c r="D4614" t="str">
        <f t="shared" si="361"/>
        <v/>
      </c>
      <c r="E4614" t="str">
        <f t="shared" si="362"/>
        <v/>
      </c>
      <c r="F4614" t="str">
        <f>IF(D4614="","",INDEX(Knutepunkter!$B:$B,D4614+1))</f>
        <v/>
      </c>
      <c r="G4614" t="str">
        <f>IF(D4614="","",INDEX(Knutepunkter!$C:$C,D4614+1))</f>
        <v/>
      </c>
      <c r="H4614" t="str">
        <f>IF(D4614="","",INDEX(Knutepunkter!$D:$D,D4614+1))</f>
        <v/>
      </c>
      <c r="I4614" t="str">
        <f>IF(E4614="","",INDEX(Knutepunkter!$B:$B,E4614+1))</f>
        <v/>
      </c>
      <c r="J4614" t="str">
        <f>IF(E4614="","",INDEX(Knutepunkter!$C:$C,E4614+1))</f>
        <v/>
      </c>
      <c r="K4614" t="str">
        <f>IF(E4614="","",INDEX(Knutepunkter!$D:$D,E4614+1))</f>
        <v/>
      </c>
      <c r="L4614" t="str">
        <f t="shared" si="363"/>
        <v/>
      </c>
      <c r="M4614" t="str">
        <f t="shared" si="364"/>
        <v/>
      </c>
    </row>
    <row r="4615" spans="1:13" x14ac:dyDescent="0.3">
      <c r="A4615" t="str">
        <f>Segmenter!A4615</f>
        <v/>
      </c>
      <c r="B4615" t="str">
        <f>Segmenter!B4615</f>
        <v/>
      </c>
      <c r="C4615" t="str">
        <f t="shared" si="360"/>
        <v/>
      </c>
      <c r="D4615" t="str">
        <f t="shared" si="361"/>
        <v/>
      </c>
      <c r="E4615" t="str">
        <f t="shared" si="362"/>
        <v/>
      </c>
      <c r="F4615" t="str">
        <f>IF(D4615="","",INDEX(Knutepunkter!$B:$B,D4615+1))</f>
        <v/>
      </c>
      <c r="G4615" t="str">
        <f>IF(D4615="","",INDEX(Knutepunkter!$C:$C,D4615+1))</f>
        <v/>
      </c>
      <c r="H4615" t="str">
        <f>IF(D4615="","",INDEX(Knutepunkter!$D:$D,D4615+1))</f>
        <v/>
      </c>
      <c r="I4615" t="str">
        <f>IF(E4615="","",INDEX(Knutepunkter!$B:$B,E4615+1))</f>
        <v/>
      </c>
      <c r="J4615" t="str">
        <f>IF(E4615="","",INDEX(Knutepunkter!$C:$C,E4615+1))</f>
        <v/>
      </c>
      <c r="K4615" t="str">
        <f>IF(E4615="","",INDEX(Knutepunkter!$D:$D,E4615+1))</f>
        <v/>
      </c>
      <c r="L4615" t="str">
        <f t="shared" si="363"/>
        <v/>
      </c>
      <c r="M4615" t="str">
        <f t="shared" si="364"/>
        <v/>
      </c>
    </row>
    <row r="4616" spans="1:13" x14ac:dyDescent="0.3">
      <c r="A4616" t="str">
        <f>Segmenter!A4616</f>
        <v/>
      </c>
      <c r="B4616" t="str">
        <f>Segmenter!B4616</f>
        <v/>
      </c>
      <c r="C4616" t="str">
        <f t="shared" si="360"/>
        <v/>
      </c>
      <c r="D4616" t="str">
        <f t="shared" si="361"/>
        <v/>
      </c>
      <c r="E4616" t="str">
        <f t="shared" si="362"/>
        <v/>
      </c>
      <c r="F4616" t="str">
        <f>IF(D4616="","",INDEX(Knutepunkter!$B:$B,D4616+1))</f>
        <v/>
      </c>
      <c r="G4616" t="str">
        <f>IF(D4616="","",INDEX(Knutepunkter!$C:$C,D4616+1))</f>
        <v/>
      </c>
      <c r="H4616" t="str">
        <f>IF(D4616="","",INDEX(Knutepunkter!$D:$D,D4616+1))</f>
        <v/>
      </c>
      <c r="I4616" t="str">
        <f>IF(E4616="","",INDEX(Knutepunkter!$B:$B,E4616+1))</f>
        <v/>
      </c>
      <c r="J4616" t="str">
        <f>IF(E4616="","",INDEX(Knutepunkter!$C:$C,E4616+1))</f>
        <v/>
      </c>
      <c r="K4616" t="str">
        <f>IF(E4616="","",INDEX(Knutepunkter!$D:$D,E4616+1))</f>
        <v/>
      </c>
      <c r="L4616" t="str">
        <f t="shared" si="363"/>
        <v/>
      </c>
      <c r="M4616" t="str">
        <f t="shared" si="364"/>
        <v/>
      </c>
    </row>
    <row r="4617" spans="1:13" x14ac:dyDescent="0.3">
      <c r="A4617" t="str">
        <f>Segmenter!A4617</f>
        <v/>
      </c>
      <c r="B4617" t="str">
        <f>Segmenter!B4617</f>
        <v/>
      </c>
      <c r="C4617" t="str">
        <f t="shared" si="360"/>
        <v/>
      </c>
      <c r="D4617" t="str">
        <f t="shared" si="361"/>
        <v/>
      </c>
      <c r="E4617" t="str">
        <f t="shared" si="362"/>
        <v/>
      </c>
      <c r="F4617" t="str">
        <f>IF(D4617="","",INDEX(Knutepunkter!$B:$B,D4617+1))</f>
        <v/>
      </c>
      <c r="G4617" t="str">
        <f>IF(D4617="","",INDEX(Knutepunkter!$C:$C,D4617+1))</f>
        <v/>
      </c>
      <c r="H4617" t="str">
        <f>IF(D4617="","",INDEX(Knutepunkter!$D:$D,D4617+1))</f>
        <v/>
      </c>
      <c r="I4617" t="str">
        <f>IF(E4617="","",INDEX(Knutepunkter!$B:$B,E4617+1))</f>
        <v/>
      </c>
      <c r="J4617" t="str">
        <f>IF(E4617="","",INDEX(Knutepunkter!$C:$C,E4617+1))</f>
        <v/>
      </c>
      <c r="K4617" t="str">
        <f>IF(E4617="","",INDEX(Knutepunkter!$D:$D,E4617+1))</f>
        <v/>
      </c>
      <c r="L4617" t="str">
        <f t="shared" si="363"/>
        <v/>
      </c>
      <c r="M4617" t="str">
        <f t="shared" si="364"/>
        <v/>
      </c>
    </row>
    <row r="4618" spans="1:13" x14ac:dyDescent="0.3">
      <c r="A4618" t="str">
        <f>Segmenter!A4618</f>
        <v/>
      </c>
      <c r="B4618" t="str">
        <f>Segmenter!B4618</f>
        <v/>
      </c>
      <c r="C4618" t="str">
        <f t="shared" si="360"/>
        <v/>
      </c>
      <c r="D4618" t="str">
        <f t="shared" si="361"/>
        <v/>
      </c>
      <c r="E4618" t="str">
        <f t="shared" si="362"/>
        <v/>
      </c>
      <c r="F4618" t="str">
        <f>IF(D4618="","",INDEX(Knutepunkter!$B:$B,D4618+1))</f>
        <v/>
      </c>
      <c r="G4618" t="str">
        <f>IF(D4618="","",INDEX(Knutepunkter!$C:$C,D4618+1))</f>
        <v/>
      </c>
      <c r="H4618" t="str">
        <f>IF(D4618="","",INDEX(Knutepunkter!$D:$D,D4618+1))</f>
        <v/>
      </c>
      <c r="I4618" t="str">
        <f>IF(E4618="","",INDEX(Knutepunkter!$B:$B,E4618+1))</f>
        <v/>
      </c>
      <c r="J4618" t="str">
        <f>IF(E4618="","",INDEX(Knutepunkter!$C:$C,E4618+1))</f>
        <v/>
      </c>
      <c r="K4618" t="str">
        <f>IF(E4618="","",INDEX(Knutepunkter!$D:$D,E4618+1))</f>
        <v/>
      </c>
      <c r="L4618" t="str">
        <f t="shared" si="363"/>
        <v/>
      </c>
      <c r="M4618" t="str">
        <f t="shared" si="364"/>
        <v/>
      </c>
    </row>
    <row r="4619" spans="1:13" x14ac:dyDescent="0.3">
      <c r="A4619" t="str">
        <f>Segmenter!A4619</f>
        <v/>
      </c>
      <c r="B4619" t="str">
        <f>Segmenter!B4619</f>
        <v/>
      </c>
      <c r="C4619" t="str">
        <f t="shared" si="360"/>
        <v/>
      </c>
      <c r="D4619" t="str">
        <f t="shared" si="361"/>
        <v/>
      </c>
      <c r="E4619" t="str">
        <f t="shared" si="362"/>
        <v/>
      </c>
      <c r="F4619" t="str">
        <f>IF(D4619="","",INDEX(Knutepunkter!$B:$B,D4619+1))</f>
        <v/>
      </c>
      <c r="G4619" t="str">
        <f>IF(D4619="","",INDEX(Knutepunkter!$C:$C,D4619+1))</f>
        <v/>
      </c>
      <c r="H4619" t="str">
        <f>IF(D4619="","",INDEX(Knutepunkter!$D:$D,D4619+1))</f>
        <v/>
      </c>
      <c r="I4619" t="str">
        <f>IF(E4619="","",INDEX(Knutepunkter!$B:$B,E4619+1))</f>
        <v/>
      </c>
      <c r="J4619" t="str">
        <f>IF(E4619="","",INDEX(Knutepunkter!$C:$C,E4619+1))</f>
        <v/>
      </c>
      <c r="K4619" t="str">
        <f>IF(E4619="","",INDEX(Knutepunkter!$D:$D,E4619+1))</f>
        <v/>
      </c>
      <c r="L4619" t="str">
        <f t="shared" si="363"/>
        <v/>
      </c>
      <c r="M4619" t="str">
        <f t="shared" si="364"/>
        <v/>
      </c>
    </row>
    <row r="4620" spans="1:13" x14ac:dyDescent="0.3">
      <c r="A4620" t="str">
        <f>Segmenter!A4620</f>
        <v/>
      </c>
      <c r="B4620" t="str">
        <f>Segmenter!B4620</f>
        <v/>
      </c>
      <c r="C4620" t="str">
        <f t="shared" si="360"/>
        <v/>
      </c>
      <c r="D4620" t="str">
        <f t="shared" si="361"/>
        <v/>
      </c>
      <c r="E4620" t="str">
        <f t="shared" si="362"/>
        <v/>
      </c>
      <c r="F4620" t="str">
        <f>IF(D4620="","",INDEX(Knutepunkter!$B:$B,D4620+1))</f>
        <v/>
      </c>
      <c r="G4620" t="str">
        <f>IF(D4620="","",INDEX(Knutepunkter!$C:$C,D4620+1))</f>
        <v/>
      </c>
      <c r="H4620" t="str">
        <f>IF(D4620="","",INDEX(Knutepunkter!$D:$D,D4620+1))</f>
        <v/>
      </c>
      <c r="I4620" t="str">
        <f>IF(E4620="","",INDEX(Knutepunkter!$B:$B,E4620+1))</f>
        <v/>
      </c>
      <c r="J4620" t="str">
        <f>IF(E4620="","",INDEX(Knutepunkter!$C:$C,E4620+1))</f>
        <v/>
      </c>
      <c r="K4620" t="str">
        <f>IF(E4620="","",INDEX(Knutepunkter!$D:$D,E4620+1))</f>
        <v/>
      </c>
      <c r="L4620" t="str">
        <f t="shared" si="363"/>
        <v/>
      </c>
      <c r="M4620" t="str">
        <f t="shared" si="364"/>
        <v/>
      </c>
    </row>
    <row r="4621" spans="1:13" x14ac:dyDescent="0.3">
      <c r="A4621" t="str">
        <f>Segmenter!A4621</f>
        <v/>
      </c>
      <c r="B4621" t="str">
        <f>Segmenter!B4621</f>
        <v/>
      </c>
      <c r="C4621" t="str">
        <f t="shared" si="360"/>
        <v/>
      </c>
      <c r="D4621" t="str">
        <f t="shared" si="361"/>
        <v/>
      </c>
      <c r="E4621" t="str">
        <f t="shared" si="362"/>
        <v/>
      </c>
      <c r="F4621" t="str">
        <f>IF(D4621="","",INDEX(Knutepunkter!$B:$B,D4621+1))</f>
        <v/>
      </c>
      <c r="G4621" t="str">
        <f>IF(D4621="","",INDEX(Knutepunkter!$C:$C,D4621+1))</f>
        <v/>
      </c>
      <c r="H4621" t="str">
        <f>IF(D4621="","",INDEX(Knutepunkter!$D:$D,D4621+1))</f>
        <v/>
      </c>
      <c r="I4621" t="str">
        <f>IF(E4621="","",INDEX(Knutepunkter!$B:$B,E4621+1))</f>
        <v/>
      </c>
      <c r="J4621" t="str">
        <f>IF(E4621="","",INDEX(Knutepunkter!$C:$C,E4621+1))</f>
        <v/>
      </c>
      <c r="K4621" t="str">
        <f>IF(E4621="","",INDEX(Knutepunkter!$D:$D,E4621+1))</f>
        <v/>
      </c>
      <c r="L4621" t="str">
        <f t="shared" si="363"/>
        <v/>
      </c>
      <c r="M4621" t="str">
        <f t="shared" si="364"/>
        <v/>
      </c>
    </row>
    <row r="4622" spans="1:13" x14ac:dyDescent="0.3">
      <c r="A4622" t="str">
        <f>Segmenter!A4622</f>
        <v/>
      </c>
      <c r="B4622" t="str">
        <f>Segmenter!B4622</f>
        <v/>
      </c>
      <c r="C4622" t="str">
        <f t="shared" si="360"/>
        <v/>
      </c>
      <c r="D4622" t="str">
        <f t="shared" si="361"/>
        <v/>
      </c>
      <c r="E4622" t="str">
        <f t="shared" si="362"/>
        <v/>
      </c>
      <c r="F4622" t="str">
        <f>IF(D4622="","",INDEX(Knutepunkter!$B:$B,D4622+1))</f>
        <v/>
      </c>
      <c r="G4622" t="str">
        <f>IF(D4622="","",INDEX(Knutepunkter!$C:$C,D4622+1))</f>
        <v/>
      </c>
      <c r="H4622" t="str">
        <f>IF(D4622="","",INDEX(Knutepunkter!$D:$D,D4622+1))</f>
        <v/>
      </c>
      <c r="I4622" t="str">
        <f>IF(E4622="","",INDEX(Knutepunkter!$B:$B,E4622+1))</f>
        <v/>
      </c>
      <c r="J4622" t="str">
        <f>IF(E4622="","",INDEX(Knutepunkter!$C:$C,E4622+1))</f>
        <v/>
      </c>
      <c r="K4622" t="str">
        <f>IF(E4622="","",INDEX(Knutepunkter!$D:$D,E4622+1))</f>
        <v/>
      </c>
      <c r="L4622" t="str">
        <f t="shared" si="363"/>
        <v/>
      </c>
      <c r="M4622" t="str">
        <f t="shared" si="364"/>
        <v/>
      </c>
    </row>
    <row r="4623" spans="1:13" x14ac:dyDescent="0.3">
      <c r="A4623" t="str">
        <f>Segmenter!A4623</f>
        <v/>
      </c>
      <c r="B4623" t="str">
        <f>Segmenter!B4623</f>
        <v/>
      </c>
      <c r="C4623" t="str">
        <f t="shared" si="360"/>
        <v/>
      </c>
      <c r="D4623" t="str">
        <f t="shared" si="361"/>
        <v/>
      </c>
      <c r="E4623" t="str">
        <f t="shared" si="362"/>
        <v/>
      </c>
      <c r="F4623" t="str">
        <f>IF(D4623="","",INDEX(Knutepunkter!$B:$B,D4623+1))</f>
        <v/>
      </c>
      <c r="G4623" t="str">
        <f>IF(D4623="","",INDEX(Knutepunkter!$C:$C,D4623+1))</f>
        <v/>
      </c>
      <c r="H4623" t="str">
        <f>IF(D4623="","",INDEX(Knutepunkter!$D:$D,D4623+1))</f>
        <v/>
      </c>
      <c r="I4623" t="str">
        <f>IF(E4623="","",INDEX(Knutepunkter!$B:$B,E4623+1))</f>
        <v/>
      </c>
      <c r="J4623" t="str">
        <f>IF(E4623="","",INDEX(Knutepunkter!$C:$C,E4623+1))</f>
        <v/>
      </c>
      <c r="K4623" t="str">
        <f>IF(E4623="","",INDEX(Knutepunkter!$D:$D,E4623+1))</f>
        <v/>
      </c>
      <c r="L4623" t="str">
        <f t="shared" si="363"/>
        <v/>
      </c>
      <c r="M4623" t="str">
        <f t="shared" si="364"/>
        <v/>
      </c>
    </row>
    <row r="4624" spans="1:13" x14ac:dyDescent="0.3">
      <c r="A4624" t="str">
        <f>Segmenter!A4624</f>
        <v/>
      </c>
      <c r="B4624" t="str">
        <f>Segmenter!B4624</f>
        <v/>
      </c>
      <c r="C4624" t="str">
        <f t="shared" si="360"/>
        <v/>
      </c>
      <c r="D4624" t="str">
        <f t="shared" si="361"/>
        <v/>
      </c>
      <c r="E4624" t="str">
        <f t="shared" si="362"/>
        <v/>
      </c>
      <c r="F4624" t="str">
        <f>IF(D4624="","",INDEX(Knutepunkter!$B:$B,D4624+1))</f>
        <v/>
      </c>
      <c r="G4624" t="str">
        <f>IF(D4624="","",INDEX(Knutepunkter!$C:$C,D4624+1))</f>
        <v/>
      </c>
      <c r="H4624" t="str">
        <f>IF(D4624="","",INDEX(Knutepunkter!$D:$D,D4624+1))</f>
        <v/>
      </c>
      <c r="I4624" t="str">
        <f>IF(E4624="","",INDEX(Knutepunkter!$B:$B,E4624+1))</f>
        <v/>
      </c>
      <c r="J4624" t="str">
        <f>IF(E4624="","",INDEX(Knutepunkter!$C:$C,E4624+1))</f>
        <v/>
      </c>
      <c r="K4624" t="str">
        <f>IF(E4624="","",INDEX(Knutepunkter!$D:$D,E4624+1))</f>
        <v/>
      </c>
      <c r="L4624" t="str">
        <f t="shared" si="363"/>
        <v/>
      </c>
      <c r="M4624" t="str">
        <f t="shared" si="364"/>
        <v/>
      </c>
    </row>
    <row r="4625" spans="1:13" x14ac:dyDescent="0.3">
      <c r="A4625" t="str">
        <f>Segmenter!A4625</f>
        <v/>
      </c>
      <c r="B4625" t="str">
        <f>Segmenter!B4625</f>
        <v/>
      </c>
      <c r="C4625" t="str">
        <f t="shared" si="360"/>
        <v/>
      </c>
      <c r="D4625" t="str">
        <f t="shared" si="361"/>
        <v/>
      </c>
      <c r="E4625" t="str">
        <f t="shared" si="362"/>
        <v/>
      </c>
      <c r="F4625" t="str">
        <f>IF(D4625="","",INDEX(Knutepunkter!$B:$B,D4625+1))</f>
        <v/>
      </c>
      <c r="G4625" t="str">
        <f>IF(D4625="","",INDEX(Knutepunkter!$C:$C,D4625+1))</f>
        <v/>
      </c>
      <c r="H4625" t="str">
        <f>IF(D4625="","",INDEX(Knutepunkter!$D:$D,D4625+1))</f>
        <v/>
      </c>
      <c r="I4625" t="str">
        <f>IF(E4625="","",INDEX(Knutepunkter!$B:$B,E4625+1))</f>
        <v/>
      </c>
      <c r="J4625" t="str">
        <f>IF(E4625="","",INDEX(Knutepunkter!$C:$C,E4625+1))</f>
        <v/>
      </c>
      <c r="K4625" t="str">
        <f>IF(E4625="","",INDEX(Knutepunkter!$D:$D,E4625+1))</f>
        <v/>
      </c>
      <c r="L4625" t="str">
        <f t="shared" si="363"/>
        <v/>
      </c>
      <c r="M4625" t="str">
        <f t="shared" si="364"/>
        <v/>
      </c>
    </row>
    <row r="4626" spans="1:13" x14ac:dyDescent="0.3">
      <c r="A4626" t="str">
        <f>Segmenter!A4626</f>
        <v/>
      </c>
      <c r="B4626" t="str">
        <f>Segmenter!B4626</f>
        <v/>
      </c>
      <c r="C4626" t="str">
        <f t="shared" si="360"/>
        <v/>
      </c>
      <c r="D4626" t="str">
        <f t="shared" si="361"/>
        <v/>
      </c>
      <c r="E4626" t="str">
        <f t="shared" si="362"/>
        <v/>
      </c>
      <c r="F4626" t="str">
        <f>IF(D4626="","",INDEX(Knutepunkter!$B:$B,D4626+1))</f>
        <v/>
      </c>
      <c r="G4626" t="str">
        <f>IF(D4626="","",INDEX(Knutepunkter!$C:$C,D4626+1))</f>
        <v/>
      </c>
      <c r="H4626" t="str">
        <f>IF(D4626="","",INDEX(Knutepunkter!$D:$D,D4626+1))</f>
        <v/>
      </c>
      <c r="I4626" t="str">
        <f>IF(E4626="","",INDEX(Knutepunkter!$B:$B,E4626+1))</f>
        <v/>
      </c>
      <c r="J4626" t="str">
        <f>IF(E4626="","",INDEX(Knutepunkter!$C:$C,E4626+1))</f>
        <v/>
      </c>
      <c r="K4626" t="str">
        <f>IF(E4626="","",INDEX(Knutepunkter!$D:$D,E4626+1))</f>
        <v/>
      </c>
      <c r="L4626" t="str">
        <f t="shared" si="363"/>
        <v/>
      </c>
      <c r="M4626" t="str">
        <f t="shared" si="364"/>
        <v/>
      </c>
    </row>
    <row r="4627" spans="1:13" x14ac:dyDescent="0.3">
      <c r="A4627" t="str">
        <f>Segmenter!A4627</f>
        <v/>
      </c>
      <c r="B4627" t="str">
        <f>Segmenter!B4627</f>
        <v/>
      </c>
      <c r="C4627" t="str">
        <f t="shared" si="360"/>
        <v/>
      </c>
      <c r="D4627" t="str">
        <f t="shared" si="361"/>
        <v/>
      </c>
      <c r="E4627" t="str">
        <f t="shared" si="362"/>
        <v/>
      </c>
      <c r="F4627" t="str">
        <f>IF(D4627="","",INDEX(Knutepunkter!$B:$B,D4627+1))</f>
        <v/>
      </c>
      <c r="G4627" t="str">
        <f>IF(D4627="","",INDEX(Knutepunkter!$C:$C,D4627+1))</f>
        <v/>
      </c>
      <c r="H4627" t="str">
        <f>IF(D4627="","",INDEX(Knutepunkter!$D:$D,D4627+1))</f>
        <v/>
      </c>
      <c r="I4627" t="str">
        <f>IF(E4627="","",INDEX(Knutepunkter!$B:$B,E4627+1))</f>
        <v/>
      </c>
      <c r="J4627" t="str">
        <f>IF(E4627="","",INDEX(Knutepunkter!$C:$C,E4627+1))</f>
        <v/>
      </c>
      <c r="K4627" t="str">
        <f>IF(E4627="","",INDEX(Knutepunkter!$D:$D,E4627+1))</f>
        <v/>
      </c>
      <c r="L4627" t="str">
        <f t="shared" si="363"/>
        <v/>
      </c>
      <c r="M4627" t="str">
        <f t="shared" si="364"/>
        <v/>
      </c>
    </row>
    <row r="4628" spans="1:13" x14ac:dyDescent="0.3">
      <c r="A4628" t="str">
        <f>Segmenter!A4628</f>
        <v/>
      </c>
      <c r="B4628" t="str">
        <f>Segmenter!B4628</f>
        <v/>
      </c>
      <c r="C4628" t="str">
        <f t="shared" si="360"/>
        <v/>
      </c>
      <c r="D4628" t="str">
        <f t="shared" si="361"/>
        <v/>
      </c>
      <c r="E4628" t="str">
        <f t="shared" si="362"/>
        <v/>
      </c>
      <c r="F4628" t="str">
        <f>IF(D4628="","",INDEX(Knutepunkter!$B:$B,D4628+1))</f>
        <v/>
      </c>
      <c r="G4628" t="str">
        <f>IF(D4628="","",INDEX(Knutepunkter!$C:$C,D4628+1))</f>
        <v/>
      </c>
      <c r="H4628" t="str">
        <f>IF(D4628="","",INDEX(Knutepunkter!$D:$D,D4628+1))</f>
        <v/>
      </c>
      <c r="I4628" t="str">
        <f>IF(E4628="","",INDEX(Knutepunkter!$B:$B,E4628+1))</f>
        <v/>
      </c>
      <c r="J4628" t="str">
        <f>IF(E4628="","",INDEX(Knutepunkter!$C:$C,E4628+1))</f>
        <v/>
      </c>
      <c r="K4628" t="str">
        <f>IF(E4628="","",INDEX(Knutepunkter!$D:$D,E4628+1))</f>
        <v/>
      </c>
      <c r="L4628" t="str">
        <f t="shared" si="363"/>
        <v/>
      </c>
      <c r="M4628" t="str">
        <f t="shared" si="364"/>
        <v/>
      </c>
    </row>
    <row r="4629" spans="1:13" x14ac:dyDescent="0.3">
      <c r="A4629" t="str">
        <f>Segmenter!A4629</f>
        <v/>
      </c>
      <c r="B4629" t="str">
        <f>Segmenter!B4629</f>
        <v/>
      </c>
      <c r="C4629" t="str">
        <f t="shared" si="360"/>
        <v/>
      </c>
      <c r="D4629" t="str">
        <f t="shared" si="361"/>
        <v/>
      </c>
      <c r="E4629" t="str">
        <f t="shared" si="362"/>
        <v/>
      </c>
      <c r="F4629" t="str">
        <f>IF(D4629="","",INDEX(Knutepunkter!$B:$B,D4629+1))</f>
        <v/>
      </c>
      <c r="G4629" t="str">
        <f>IF(D4629="","",INDEX(Knutepunkter!$C:$C,D4629+1))</f>
        <v/>
      </c>
      <c r="H4629" t="str">
        <f>IF(D4629="","",INDEX(Knutepunkter!$D:$D,D4629+1))</f>
        <v/>
      </c>
      <c r="I4629" t="str">
        <f>IF(E4629="","",INDEX(Knutepunkter!$B:$B,E4629+1))</f>
        <v/>
      </c>
      <c r="J4629" t="str">
        <f>IF(E4629="","",INDEX(Knutepunkter!$C:$C,E4629+1))</f>
        <v/>
      </c>
      <c r="K4629" t="str">
        <f>IF(E4629="","",INDEX(Knutepunkter!$D:$D,E4629+1))</f>
        <v/>
      </c>
      <c r="L4629" t="str">
        <f t="shared" si="363"/>
        <v/>
      </c>
      <c r="M4629" t="str">
        <f t="shared" si="364"/>
        <v/>
      </c>
    </row>
    <row r="4630" spans="1:13" x14ac:dyDescent="0.3">
      <c r="A4630" t="str">
        <f>Segmenter!A4630</f>
        <v/>
      </c>
      <c r="B4630" t="str">
        <f>Segmenter!B4630</f>
        <v/>
      </c>
      <c r="C4630" t="str">
        <f t="shared" si="360"/>
        <v/>
      </c>
      <c r="D4630" t="str">
        <f t="shared" si="361"/>
        <v/>
      </c>
      <c r="E4630" t="str">
        <f t="shared" si="362"/>
        <v/>
      </c>
      <c r="F4630" t="str">
        <f>IF(D4630="","",INDEX(Knutepunkter!$B:$B,D4630+1))</f>
        <v/>
      </c>
      <c r="G4630" t="str">
        <f>IF(D4630="","",INDEX(Knutepunkter!$C:$C,D4630+1))</f>
        <v/>
      </c>
      <c r="H4630" t="str">
        <f>IF(D4630="","",INDEX(Knutepunkter!$D:$D,D4630+1))</f>
        <v/>
      </c>
      <c r="I4630" t="str">
        <f>IF(E4630="","",INDEX(Knutepunkter!$B:$B,E4630+1))</f>
        <v/>
      </c>
      <c r="J4630" t="str">
        <f>IF(E4630="","",INDEX(Knutepunkter!$C:$C,E4630+1))</f>
        <v/>
      </c>
      <c r="K4630" t="str">
        <f>IF(E4630="","",INDEX(Knutepunkter!$D:$D,E4630+1))</f>
        <v/>
      </c>
      <c r="L4630" t="str">
        <f t="shared" si="363"/>
        <v/>
      </c>
      <c r="M4630" t="str">
        <f t="shared" si="364"/>
        <v/>
      </c>
    </row>
    <row r="4631" spans="1:13" x14ac:dyDescent="0.3">
      <c r="A4631" t="str">
        <f>Segmenter!A4631</f>
        <v/>
      </c>
      <c r="B4631" t="str">
        <f>Segmenter!B4631</f>
        <v/>
      </c>
      <c r="C4631" t="str">
        <f t="shared" si="360"/>
        <v/>
      </c>
      <c r="D4631" t="str">
        <f t="shared" si="361"/>
        <v/>
      </c>
      <c r="E4631" t="str">
        <f t="shared" si="362"/>
        <v/>
      </c>
      <c r="F4631" t="str">
        <f>IF(D4631="","",INDEX(Knutepunkter!$B:$B,D4631+1))</f>
        <v/>
      </c>
      <c r="G4631" t="str">
        <f>IF(D4631="","",INDEX(Knutepunkter!$C:$C,D4631+1))</f>
        <v/>
      </c>
      <c r="H4631" t="str">
        <f>IF(D4631="","",INDEX(Knutepunkter!$D:$D,D4631+1))</f>
        <v/>
      </c>
      <c r="I4631" t="str">
        <f>IF(E4631="","",INDEX(Knutepunkter!$B:$B,E4631+1))</f>
        <v/>
      </c>
      <c r="J4631" t="str">
        <f>IF(E4631="","",INDEX(Knutepunkter!$C:$C,E4631+1))</f>
        <v/>
      </c>
      <c r="K4631" t="str">
        <f>IF(E4631="","",INDEX(Knutepunkter!$D:$D,E4631+1))</f>
        <v/>
      </c>
      <c r="L4631" t="str">
        <f t="shared" si="363"/>
        <v/>
      </c>
      <c r="M4631" t="str">
        <f t="shared" si="364"/>
        <v/>
      </c>
    </row>
    <row r="4632" spans="1:13" x14ac:dyDescent="0.3">
      <c r="A4632" t="str">
        <f>Segmenter!A4632</f>
        <v/>
      </c>
      <c r="B4632" t="str">
        <f>Segmenter!B4632</f>
        <v/>
      </c>
      <c r="C4632" t="str">
        <f t="shared" si="360"/>
        <v/>
      </c>
      <c r="D4632" t="str">
        <f t="shared" si="361"/>
        <v/>
      </c>
      <c r="E4632" t="str">
        <f t="shared" si="362"/>
        <v/>
      </c>
      <c r="F4632" t="str">
        <f>IF(D4632="","",INDEX(Knutepunkter!$B:$B,D4632+1))</f>
        <v/>
      </c>
      <c r="G4632" t="str">
        <f>IF(D4632="","",INDEX(Knutepunkter!$C:$C,D4632+1))</f>
        <v/>
      </c>
      <c r="H4632" t="str">
        <f>IF(D4632="","",INDEX(Knutepunkter!$D:$D,D4632+1))</f>
        <v/>
      </c>
      <c r="I4632" t="str">
        <f>IF(E4632="","",INDEX(Knutepunkter!$B:$B,E4632+1))</f>
        <v/>
      </c>
      <c r="J4632" t="str">
        <f>IF(E4632="","",INDEX(Knutepunkter!$C:$C,E4632+1))</f>
        <v/>
      </c>
      <c r="K4632" t="str">
        <f>IF(E4632="","",INDEX(Knutepunkter!$D:$D,E4632+1))</f>
        <v/>
      </c>
      <c r="L4632" t="str">
        <f t="shared" si="363"/>
        <v/>
      </c>
      <c r="M4632" t="str">
        <f t="shared" si="364"/>
        <v/>
      </c>
    </row>
    <row r="4633" spans="1:13" x14ac:dyDescent="0.3">
      <c r="A4633" t="str">
        <f>Segmenter!A4633</f>
        <v/>
      </c>
      <c r="B4633" t="str">
        <f>Segmenter!B4633</f>
        <v/>
      </c>
      <c r="C4633" t="str">
        <f t="shared" si="360"/>
        <v/>
      </c>
      <c r="D4633" t="str">
        <f t="shared" si="361"/>
        <v/>
      </c>
      <c r="E4633" t="str">
        <f t="shared" si="362"/>
        <v/>
      </c>
      <c r="F4633" t="str">
        <f>IF(D4633="","",INDEX(Knutepunkter!$B:$B,D4633+1))</f>
        <v/>
      </c>
      <c r="G4633" t="str">
        <f>IF(D4633="","",INDEX(Knutepunkter!$C:$C,D4633+1))</f>
        <v/>
      </c>
      <c r="H4633" t="str">
        <f>IF(D4633="","",INDEX(Knutepunkter!$D:$D,D4633+1))</f>
        <v/>
      </c>
      <c r="I4633" t="str">
        <f>IF(E4633="","",INDEX(Knutepunkter!$B:$B,E4633+1))</f>
        <v/>
      </c>
      <c r="J4633" t="str">
        <f>IF(E4633="","",INDEX(Knutepunkter!$C:$C,E4633+1))</f>
        <v/>
      </c>
      <c r="K4633" t="str">
        <f>IF(E4633="","",INDEX(Knutepunkter!$D:$D,E4633+1))</f>
        <v/>
      </c>
      <c r="L4633" t="str">
        <f t="shared" si="363"/>
        <v/>
      </c>
      <c r="M4633" t="str">
        <f t="shared" si="364"/>
        <v/>
      </c>
    </row>
    <row r="4634" spans="1:13" x14ac:dyDescent="0.3">
      <c r="A4634" t="str">
        <f>Segmenter!A4634</f>
        <v/>
      </c>
      <c r="B4634" t="str">
        <f>Segmenter!B4634</f>
        <v/>
      </c>
      <c r="C4634" t="str">
        <f t="shared" si="360"/>
        <v/>
      </c>
      <c r="D4634" t="str">
        <f t="shared" si="361"/>
        <v/>
      </c>
      <c r="E4634" t="str">
        <f t="shared" si="362"/>
        <v/>
      </c>
      <c r="F4634" t="str">
        <f>IF(D4634="","",INDEX(Knutepunkter!$B:$B,D4634+1))</f>
        <v/>
      </c>
      <c r="G4634" t="str">
        <f>IF(D4634="","",INDEX(Knutepunkter!$C:$C,D4634+1))</f>
        <v/>
      </c>
      <c r="H4634" t="str">
        <f>IF(D4634="","",INDEX(Knutepunkter!$D:$D,D4634+1))</f>
        <v/>
      </c>
      <c r="I4634" t="str">
        <f>IF(E4634="","",INDEX(Knutepunkter!$B:$B,E4634+1))</f>
        <v/>
      </c>
      <c r="J4634" t="str">
        <f>IF(E4634="","",INDEX(Knutepunkter!$C:$C,E4634+1))</f>
        <v/>
      </c>
      <c r="K4634" t="str">
        <f>IF(E4634="","",INDEX(Knutepunkter!$D:$D,E4634+1))</f>
        <v/>
      </c>
      <c r="L4634" t="str">
        <f t="shared" si="363"/>
        <v/>
      </c>
      <c r="M4634" t="str">
        <f t="shared" si="364"/>
        <v/>
      </c>
    </row>
    <row r="4635" spans="1:13" x14ac:dyDescent="0.3">
      <c r="A4635" t="str">
        <f>Segmenter!A4635</f>
        <v/>
      </c>
      <c r="B4635" t="str">
        <f>Segmenter!B4635</f>
        <v/>
      </c>
      <c r="C4635" t="str">
        <f t="shared" si="360"/>
        <v/>
      </c>
      <c r="D4635" t="str">
        <f t="shared" si="361"/>
        <v/>
      </c>
      <c r="E4635" t="str">
        <f t="shared" si="362"/>
        <v/>
      </c>
      <c r="F4635" t="str">
        <f>IF(D4635="","",INDEX(Knutepunkter!$B:$B,D4635+1))</f>
        <v/>
      </c>
      <c r="G4635" t="str">
        <f>IF(D4635="","",INDEX(Knutepunkter!$C:$C,D4635+1))</f>
        <v/>
      </c>
      <c r="H4635" t="str">
        <f>IF(D4635="","",INDEX(Knutepunkter!$D:$D,D4635+1))</f>
        <v/>
      </c>
      <c r="I4635" t="str">
        <f>IF(E4635="","",INDEX(Knutepunkter!$B:$B,E4635+1))</f>
        <v/>
      </c>
      <c r="J4635" t="str">
        <f>IF(E4635="","",INDEX(Knutepunkter!$C:$C,E4635+1))</f>
        <v/>
      </c>
      <c r="K4635" t="str">
        <f>IF(E4635="","",INDEX(Knutepunkter!$D:$D,E4635+1))</f>
        <v/>
      </c>
      <c r="L4635" t="str">
        <f t="shared" si="363"/>
        <v/>
      </c>
      <c r="M4635" t="str">
        <f t="shared" si="364"/>
        <v/>
      </c>
    </row>
    <row r="4636" spans="1:13" x14ac:dyDescent="0.3">
      <c r="A4636" t="str">
        <f>Segmenter!A4636</f>
        <v/>
      </c>
      <c r="B4636" t="str">
        <f>Segmenter!B4636</f>
        <v/>
      </c>
      <c r="C4636" t="str">
        <f t="shared" si="360"/>
        <v/>
      </c>
      <c r="D4636" t="str">
        <f t="shared" si="361"/>
        <v/>
      </c>
      <c r="E4636" t="str">
        <f t="shared" si="362"/>
        <v/>
      </c>
      <c r="F4636" t="str">
        <f>IF(D4636="","",INDEX(Knutepunkter!$B:$B,D4636+1))</f>
        <v/>
      </c>
      <c r="G4636" t="str">
        <f>IF(D4636="","",INDEX(Knutepunkter!$C:$C,D4636+1))</f>
        <v/>
      </c>
      <c r="H4636" t="str">
        <f>IF(D4636="","",INDEX(Knutepunkter!$D:$D,D4636+1))</f>
        <v/>
      </c>
      <c r="I4636" t="str">
        <f>IF(E4636="","",INDEX(Knutepunkter!$B:$B,E4636+1))</f>
        <v/>
      </c>
      <c r="J4636" t="str">
        <f>IF(E4636="","",INDEX(Knutepunkter!$C:$C,E4636+1))</f>
        <v/>
      </c>
      <c r="K4636" t="str">
        <f>IF(E4636="","",INDEX(Knutepunkter!$D:$D,E4636+1))</f>
        <v/>
      </c>
      <c r="L4636" t="str">
        <f t="shared" si="363"/>
        <v/>
      </c>
      <c r="M4636" t="str">
        <f t="shared" si="364"/>
        <v/>
      </c>
    </row>
    <row r="4637" spans="1:13" x14ac:dyDescent="0.3">
      <c r="A4637" t="str">
        <f>Segmenter!A4637</f>
        <v/>
      </c>
      <c r="B4637" t="str">
        <f>Segmenter!B4637</f>
        <v/>
      </c>
      <c r="C4637" t="str">
        <f t="shared" si="360"/>
        <v/>
      </c>
      <c r="D4637" t="str">
        <f t="shared" si="361"/>
        <v/>
      </c>
      <c r="E4637" t="str">
        <f t="shared" si="362"/>
        <v/>
      </c>
      <c r="F4637" t="str">
        <f>IF(D4637="","",INDEX(Knutepunkter!$B:$B,D4637+1))</f>
        <v/>
      </c>
      <c r="G4637" t="str">
        <f>IF(D4637="","",INDEX(Knutepunkter!$C:$C,D4637+1))</f>
        <v/>
      </c>
      <c r="H4637" t="str">
        <f>IF(D4637="","",INDEX(Knutepunkter!$D:$D,D4637+1))</f>
        <v/>
      </c>
      <c r="I4637" t="str">
        <f>IF(E4637="","",INDEX(Knutepunkter!$B:$B,E4637+1))</f>
        <v/>
      </c>
      <c r="J4637" t="str">
        <f>IF(E4637="","",INDEX(Knutepunkter!$C:$C,E4637+1))</f>
        <v/>
      </c>
      <c r="K4637" t="str">
        <f>IF(E4637="","",INDEX(Knutepunkter!$D:$D,E4637+1))</f>
        <v/>
      </c>
      <c r="L4637" t="str">
        <f t="shared" si="363"/>
        <v/>
      </c>
      <c r="M4637" t="str">
        <f t="shared" si="364"/>
        <v/>
      </c>
    </row>
    <row r="4638" spans="1:13" x14ac:dyDescent="0.3">
      <c r="A4638" t="str">
        <f>Segmenter!A4638</f>
        <v/>
      </c>
      <c r="B4638" t="str">
        <f>Segmenter!B4638</f>
        <v/>
      </c>
      <c r="C4638" t="str">
        <f t="shared" si="360"/>
        <v/>
      </c>
      <c r="D4638" t="str">
        <f t="shared" si="361"/>
        <v/>
      </c>
      <c r="E4638" t="str">
        <f t="shared" si="362"/>
        <v/>
      </c>
      <c r="F4638" t="str">
        <f>IF(D4638="","",INDEX(Knutepunkter!$B:$B,D4638+1))</f>
        <v/>
      </c>
      <c r="G4638" t="str">
        <f>IF(D4638="","",INDEX(Knutepunkter!$C:$C,D4638+1))</f>
        <v/>
      </c>
      <c r="H4638" t="str">
        <f>IF(D4638="","",INDEX(Knutepunkter!$D:$D,D4638+1))</f>
        <v/>
      </c>
      <c r="I4638" t="str">
        <f>IF(E4638="","",INDEX(Knutepunkter!$B:$B,E4638+1))</f>
        <v/>
      </c>
      <c r="J4638" t="str">
        <f>IF(E4638="","",INDEX(Knutepunkter!$C:$C,E4638+1))</f>
        <v/>
      </c>
      <c r="K4638" t="str">
        <f>IF(E4638="","",INDEX(Knutepunkter!$D:$D,E4638+1))</f>
        <v/>
      </c>
      <c r="L4638" t="str">
        <f t="shared" si="363"/>
        <v/>
      </c>
      <c r="M4638" t="str">
        <f t="shared" si="364"/>
        <v/>
      </c>
    </row>
    <row r="4639" spans="1:13" x14ac:dyDescent="0.3">
      <c r="A4639" t="str">
        <f>Segmenter!A4639</f>
        <v/>
      </c>
      <c r="B4639" t="str">
        <f>Segmenter!B4639</f>
        <v/>
      </c>
      <c r="C4639" t="str">
        <f t="shared" si="360"/>
        <v/>
      </c>
      <c r="D4639" t="str">
        <f t="shared" si="361"/>
        <v/>
      </c>
      <c r="E4639" t="str">
        <f t="shared" si="362"/>
        <v/>
      </c>
      <c r="F4639" t="str">
        <f>IF(D4639="","",INDEX(Knutepunkter!$B:$B,D4639+1))</f>
        <v/>
      </c>
      <c r="G4639" t="str">
        <f>IF(D4639="","",INDEX(Knutepunkter!$C:$C,D4639+1))</f>
        <v/>
      </c>
      <c r="H4639" t="str">
        <f>IF(D4639="","",INDEX(Knutepunkter!$D:$D,D4639+1))</f>
        <v/>
      </c>
      <c r="I4639" t="str">
        <f>IF(E4639="","",INDEX(Knutepunkter!$B:$B,E4639+1))</f>
        <v/>
      </c>
      <c r="J4639" t="str">
        <f>IF(E4639="","",INDEX(Knutepunkter!$C:$C,E4639+1))</f>
        <v/>
      </c>
      <c r="K4639" t="str">
        <f>IF(E4639="","",INDEX(Knutepunkter!$D:$D,E4639+1))</f>
        <v/>
      </c>
      <c r="L4639" t="str">
        <f t="shared" si="363"/>
        <v/>
      </c>
      <c r="M4639" t="str">
        <f t="shared" si="364"/>
        <v/>
      </c>
    </row>
    <row r="4640" spans="1:13" x14ac:dyDescent="0.3">
      <c r="A4640" t="str">
        <f>Segmenter!A4640</f>
        <v/>
      </c>
      <c r="B4640" t="str">
        <f>Segmenter!B4640</f>
        <v/>
      </c>
      <c r="C4640" t="str">
        <f t="shared" si="360"/>
        <v/>
      </c>
      <c r="D4640" t="str">
        <f t="shared" si="361"/>
        <v/>
      </c>
      <c r="E4640" t="str">
        <f t="shared" si="362"/>
        <v/>
      </c>
      <c r="F4640" t="str">
        <f>IF(D4640="","",INDEX(Knutepunkter!$B:$B,D4640+1))</f>
        <v/>
      </c>
      <c r="G4640" t="str">
        <f>IF(D4640="","",INDEX(Knutepunkter!$C:$C,D4640+1))</f>
        <v/>
      </c>
      <c r="H4640" t="str">
        <f>IF(D4640="","",INDEX(Knutepunkter!$D:$D,D4640+1))</f>
        <v/>
      </c>
      <c r="I4640" t="str">
        <f>IF(E4640="","",INDEX(Knutepunkter!$B:$B,E4640+1))</f>
        <v/>
      </c>
      <c r="J4640" t="str">
        <f>IF(E4640="","",INDEX(Knutepunkter!$C:$C,E4640+1))</f>
        <v/>
      </c>
      <c r="K4640" t="str">
        <f>IF(E4640="","",INDEX(Knutepunkter!$D:$D,E4640+1))</f>
        <v/>
      </c>
      <c r="L4640" t="str">
        <f t="shared" si="363"/>
        <v/>
      </c>
      <c r="M4640" t="str">
        <f t="shared" si="364"/>
        <v/>
      </c>
    </row>
    <row r="4641" spans="1:13" x14ac:dyDescent="0.3">
      <c r="A4641" t="str">
        <f>Segmenter!A4641</f>
        <v/>
      </c>
      <c r="B4641" t="str">
        <f>Segmenter!B4641</f>
        <v/>
      </c>
      <c r="C4641" t="str">
        <f t="shared" si="360"/>
        <v/>
      </c>
      <c r="D4641" t="str">
        <f t="shared" si="361"/>
        <v/>
      </c>
      <c r="E4641" t="str">
        <f t="shared" si="362"/>
        <v/>
      </c>
      <c r="F4641" t="str">
        <f>IF(D4641="","",INDEX(Knutepunkter!$B:$B,D4641+1))</f>
        <v/>
      </c>
      <c r="G4641" t="str">
        <f>IF(D4641="","",INDEX(Knutepunkter!$C:$C,D4641+1))</f>
        <v/>
      </c>
      <c r="H4641" t="str">
        <f>IF(D4641="","",INDEX(Knutepunkter!$D:$D,D4641+1))</f>
        <v/>
      </c>
      <c r="I4641" t="str">
        <f>IF(E4641="","",INDEX(Knutepunkter!$B:$B,E4641+1))</f>
        <v/>
      </c>
      <c r="J4641" t="str">
        <f>IF(E4641="","",INDEX(Knutepunkter!$C:$C,E4641+1))</f>
        <v/>
      </c>
      <c r="K4641" t="str">
        <f>IF(E4641="","",INDEX(Knutepunkter!$D:$D,E4641+1))</f>
        <v/>
      </c>
      <c r="L4641" t="str">
        <f t="shared" si="363"/>
        <v/>
      </c>
      <c r="M4641" t="str">
        <f t="shared" si="364"/>
        <v/>
      </c>
    </row>
    <row r="4642" spans="1:13" x14ac:dyDescent="0.3">
      <c r="A4642" t="str">
        <f>Segmenter!A4642</f>
        <v/>
      </c>
      <c r="B4642" t="str">
        <f>Segmenter!B4642</f>
        <v/>
      </c>
      <c r="C4642" t="str">
        <f t="shared" si="360"/>
        <v/>
      </c>
      <c r="D4642" t="str">
        <f t="shared" si="361"/>
        <v/>
      </c>
      <c r="E4642" t="str">
        <f t="shared" si="362"/>
        <v/>
      </c>
      <c r="F4642" t="str">
        <f>IF(D4642="","",INDEX(Knutepunkter!$B:$B,D4642+1))</f>
        <v/>
      </c>
      <c r="G4642" t="str">
        <f>IF(D4642="","",INDEX(Knutepunkter!$C:$C,D4642+1))</f>
        <v/>
      </c>
      <c r="H4642" t="str">
        <f>IF(D4642="","",INDEX(Knutepunkter!$D:$D,D4642+1))</f>
        <v/>
      </c>
      <c r="I4642" t="str">
        <f>IF(E4642="","",INDEX(Knutepunkter!$B:$B,E4642+1))</f>
        <v/>
      </c>
      <c r="J4642" t="str">
        <f>IF(E4642="","",INDEX(Knutepunkter!$C:$C,E4642+1))</f>
        <v/>
      </c>
      <c r="K4642" t="str">
        <f>IF(E4642="","",INDEX(Knutepunkter!$D:$D,E4642+1))</f>
        <v/>
      </c>
      <c r="L4642" t="str">
        <f t="shared" si="363"/>
        <v/>
      </c>
      <c r="M4642" t="str">
        <f t="shared" si="364"/>
        <v/>
      </c>
    </row>
    <row r="4643" spans="1:13" x14ac:dyDescent="0.3">
      <c r="A4643" t="str">
        <f>Segmenter!A4643</f>
        <v/>
      </c>
      <c r="B4643" t="str">
        <f>Segmenter!B4643</f>
        <v/>
      </c>
      <c r="C4643" t="str">
        <f t="shared" si="360"/>
        <v/>
      </c>
      <c r="D4643" t="str">
        <f t="shared" si="361"/>
        <v/>
      </c>
      <c r="E4643" t="str">
        <f t="shared" si="362"/>
        <v/>
      </c>
      <c r="F4643" t="str">
        <f>IF(D4643="","",INDEX(Knutepunkter!$B:$B,D4643+1))</f>
        <v/>
      </c>
      <c r="G4643" t="str">
        <f>IF(D4643="","",INDEX(Knutepunkter!$C:$C,D4643+1))</f>
        <v/>
      </c>
      <c r="H4643" t="str">
        <f>IF(D4643="","",INDEX(Knutepunkter!$D:$D,D4643+1))</f>
        <v/>
      </c>
      <c r="I4643" t="str">
        <f>IF(E4643="","",INDEX(Knutepunkter!$B:$B,E4643+1))</f>
        <v/>
      </c>
      <c r="J4643" t="str">
        <f>IF(E4643="","",INDEX(Knutepunkter!$C:$C,E4643+1))</f>
        <v/>
      </c>
      <c r="K4643" t="str">
        <f>IF(E4643="","",INDEX(Knutepunkter!$D:$D,E4643+1))</f>
        <v/>
      </c>
      <c r="L4643" t="str">
        <f t="shared" si="363"/>
        <v/>
      </c>
      <c r="M4643" t="str">
        <f t="shared" si="364"/>
        <v/>
      </c>
    </row>
    <row r="4644" spans="1:13" x14ac:dyDescent="0.3">
      <c r="A4644" t="str">
        <f>Segmenter!A4644</f>
        <v/>
      </c>
      <c r="B4644" t="str">
        <f>Segmenter!B4644</f>
        <v/>
      </c>
      <c r="C4644" t="str">
        <f t="shared" si="360"/>
        <v/>
      </c>
      <c r="D4644" t="str">
        <f t="shared" si="361"/>
        <v/>
      </c>
      <c r="E4644" t="str">
        <f t="shared" si="362"/>
        <v/>
      </c>
      <c r="F4644" t="str">
        <f>IF(D4644="","",INDEX(Knutepunkter!$B:$B,D4644+1))</f>
        <v/>
      </c>
      <c r="G4644" t="str">
        <f>IF(D4644="","",INDEX(Knutepunkter!$C:$C,D4644+1))</f>
        <v/>
      </c>
      <c r="H4644" t="str">
        <f>IF(D4644="","",INDEX(Knutepunkter!$D:$D,D4644+1))</f>
        <v/>
      </c>
      <c r="I4644" t="str">
        <f>IF(E4644="","",INDEX(Knutepunkter!$B:$B,E4644+1))</f>
        <v/>
      </c>
      <c r="J4644" t="str">
        <f>IF(E4644="","",INDEX(Knutepunkter!$C:$C,E4644+1))</f>
        <v/>
      </c>
      <c r="K4644" t="str">
        <f>IF(E4644="","",INDEX(Knutepunkter!$D:$D,E4644+1))</f>
        <v/>
      </c>
      <c r="L4644" t="str">
        <f t="shared" si="363"/>
        <v/>
      </c>
      <c r="M4644" t="str">
        <f t="shared" si="364"/>
        <v/>
      </c>
    </row>
    <row r="4645" spans="1:13" x14ac:dyDescent="0.3">
      <c r="A4645" t="str">
        <f>Segmenter!A4645</f>
        <v/>
      </c>
      <c r="B4645" t="str">
        <f>Segmenter!B4645</f>
        <v/>
      </c>
      <c r="C4645" t="str">
        <f t="shared" si="360"/>
        <v/>
      </c>
      <c r="D4645" t="str">
        <f t="shared" si="361"/>
        <v/>
      </c>
      <c r="E4645" t="str">
        <f t="shared" si="362"/>
        <v/>
      </c>
      <c r="F4645" t="str">
        <f>IF(D4645="","",INDEX(Knutepunkter!$B:$B,D4645+1))</f>
        <v/>
      </c>
      <c r="G4645" t="str">
        <f>IF(D4645="","",INDEX(Knutepunkter!$C:$C,D4645+1))</f>
        <v/>
      </c>
      <c r="H4645" t="str">
        <f>IF(D4645="","",INDEX(Knutepunkter!$D:$D,D4645+1))</f>
        <v/>
      </c>
      <c r="I4645" t="str">
        <f>IF(E4645="","",INDEX(Knutepunkter!$B:$B,E4645+1))</f>
        <v/>
      </c>
      <c r="J4645" t="str">
        <f>IF(E4645="","",INDEX(Knutepunkter!$C:$C,E4645+1))</f>
        <v/>
      </c>
      <c r="K4645" t="str">
        <f>IF(E4645="","",INDEX(Knutepunkter!$D:$D,E4645+1))</f>
        <v/>
      </c>
      <c r="L4645" t="str">
        <f t="shared" si="363"/>
        <v/>
      </c>
      <c r="M4645" t="str">
        <f t="shared" si="364"/>
        <v/>
      </c>
    </row>
    <row r="4646" spans="1:13" x14ac:dyDescent="0.3">
      <c r="A4646" t="str">
        <f>Segmenter!A4646</f>
        <v/>
      </c>
      <c r="B4646" t="str">
        <f>Segmenter!B4646</f>
        <v/>
      </c>
      <c r="C4646" t="str">
        <f t="shared" si="360"/>
        <v/>
      </c>
      <c r="D4646" t="str">
        <f t="shared" si="361"/>
        <v/>
      </c>
      <c r="E4646" t="str">
        <f t="shared" si="362"/>
        <v/>
      </c>
      <c r="F4646" t="str">
        <f>IF(D4646="","",INDEX(Knutepunkter!$B:$B,D4646+1))</f>
        <v/>
      </c>
      <c r="G4646" t="str">
        <f>IF(D4646="","",INDEX(Knutepunkter!$C:$C,D4646+1))</f>
        <v/>
      </c>
      <c r="H4646" t="str">
        <f>IF(D4646="","",INDEX(Knutepunkter!$D:$D,D4646+1))</f>
        <v/>
      </c>
      <c r="I4646" t="str">
        <f>IF(E4646="","",INDEX(Knutepunkter!$B:$B,E4646+1))</f>
        <v/>
      </c>
      <c r="J4646" t="str">
        <f>IF(E4646="","",INDEX(Knutepunkter!$C:$C,E4646+1))</f>
        <v/>
      </c>
      <c r="K4646" t="str">
        <f>IF(E4646="","",INDEX(Knutepunkter!$D:$D,E4646+1))</f>
        <v/>
      </c>
      <c r="L4646" t="str">
        <f t="shared" si="363"/>
        <v/>
      </c>
      <c r="M4646" t="str">
        <f t="shared" si="364"/>
        <v/>
      </c>
    </row>
    <row r="4647" spans="1:13" x14ac:dyDescent="0.3">
      <c r="A4647" t="str">
        <f>Segmenter!A4647</f>
        <v/>
      </c>
      <c r="B4647" t="str">
        <f>Segmenter!B4647</f>
        <v/>
      </c>
      <c r="C4647" t="str">
        <f t="shared" si="360"/>
        <v/>
      </c>
      <c r="D4647" t="str">
        <f t="shared" si="361"/>
        <v/>
      </c>
      <c r="E4647" t="str">
        <f t="shared" si="362"/>
        <v/>
      </c>
      <c r="F4647" t="str">
        <f>IF(D4647="","",INDEX(Knutepunkter!$B:$B,D4647+1))</f>
        <v/>
      </c>
      <c r="G4647" t="str">
        <f>IF(D4647="","",INDEX(Knutepunkter!$C:$C,D4647+1))</f>
        <v/>
      </c>
      <c r="H4647" t="str">
        <f>IF(D4647="","",INDEX(Knutepunkter!$D:$D,D4647+1))</f>
        <v/>
      </c>
      <c r="I4647" t="str">
        <f>IF(E4647="","",INDEX(Knutepunkter!$B:$B,E4647+1))</f>
        <v/>
      </c>
      <c r="J4647" t="str">
        <f>IF(E4647="","",INDEX(Knutepunkter!$C:$C,E4647+1))</f>
        <v/>
      </c>
      <c r="K4647" t="str">
        <f>IF(E4647="","",INDEX(Knutepunkter!$D:$D,E4647+1))</f>
        <v/>
      </c>
      <c r="L4647" t="str">
        <f t="shared" si="363"/>
        <v/>
      </c>
      <c r="M4647" t="str">
        <f t="shared" si="364"/>
        <v/>
      </c>
    </row>
    <row r="4648" spans="1:13" x14ac:dyDescent="0.3">
      <c r="A4648" t="str">
        <f>Segmenter!A4648</f>
        <v/>
      </c>
      <c r="B4648" t="str">
        <f>Segmenter!B4648</f>
        <v/>
      </c>
      <c r="C4648" t="str">
        <f t="shared" si="360"/>
        <v/>
      </c>
      <c r="D4648" t="str">
        <f t="shared" si="361"/>
        <v/>
      </c>
      <c r="E4648" t="str">
        <f t="shared" si="362"/>
        <v/>
      </c>
      <c r="F4648" t="str">
        <f>IF(D4648="","",INDEX(Knutepunkter!$B:$B,D4648+1))</f>
        <v/>
      </c>
      <c r="G4648" t="str">
        <f>IF(D4648="","",INDEX(Knutepunkter!$C:$C,D4648+1))</f>
        <v/>
      </c>
      <c r="H4648" t="str">
        <f>IF(D4648="","",INDEX(Knutepunkter!$D:$D,D4648+1))</f>
        <v/>
      </c>
      <c r="I4648" t="str">
        <f>IF(E4648="","",INDEX(Knutepunkter!$B:$B,E4648+1))</f>
        <v/>
      </c>
      <c r="J4648" t="str">
        <f>IF(E4648="","",INDEX(Knutepunkter!$C:$C,E4648+1))</f>
        <v/>
      </c>
      <c r="K4648" t="str">
        <f>IF(E4648="","",INDEX(Knutepunkter!$D:$D,E4648+1))</f>
        <v/>
      </c>
      <c r="L4648" t="str">
        <f t="shared" si="363"/>
        <v/>
      </c>
      <c r="M4648" t="str">
        <f t="shared" si="364"/>
        <v/>
      </c>
    </row>
    <row r="4649" spans="1:13" x14ac:dyDescent="0.3">
      <c r="A4649" t="str">
        <f>Segmenter!A4649</f>
        <v/>
      </c>
      <c r="B4649" t="str">
        <f>Segmenter!B4649</f>
        <v/>
      </c>
      <c r="C4649" t="str">
        <f t="shared" si="360"/>
        <v/>
      </c>
      <c r="D4649" t="str">
        <f t="shared" si="361"/>
        <v/>
      </c>
      <c r="E4649" t="str">
        <f t="shared" si="362"/>
        <v/>
      </c>
      <c r="F4649" t="str">
        <f>IF(D4649="","",INDEX(Knutepunkter!$B:$B,D4649+1))</f>
        <v/>
      </c>
      <c r="G4649" t="str">
        <f>IF(D4649="","",INDEX(Knutepunkter!$C:$C,D4649+1))</f>
        <v/>
      </c>
      <c r="H4649" t="str">
        <f>IF(D4649="","",INDEX(Knutepunkter!$D:$D,D4649+1))</f>
        <v/>
      </c>
      <c r="I4649" t="str">
        <f>IF(E4649="","",INDEX(Knutepunkter!$B:$B,E4649+1))</f>
        <v/>
      </c>
      <c r="J4649" t="str">
        <f>IF(E4649="","",INDEX(Knutepunkter!$C:$C,E4649+1))</f>
        <v/>
      </c>
      <c r="K4649" t="str">
        <f>IF(E4649="","",INDEX(Knutepunkter!$D:$D,E4649+1))</f>
        <v/>
      </c>
      <c r="L4649" t="str">
        <f t="shared" si="363"/>
        <v/>
      </c>
      <c r="M4649" t="str">
        <f t="shared" si="364"/>
        <v/>
      </c>
    </row>
    <row r="4650" spans="1:13" x14ac:dyDescent="0.3">
      <c r="A4650" t="str">
        <f>Segmenter!A4650</f>
        <v/>
      </c>
      <c r="B4650" t="str">
        <f>Segmenter!B4650</f>
        <v/>
      </c>
      <c r="C4650" t="str">
        <f t="shared" si="360"/>
        <v/>
      </c>
      <c r="D4650" t="str">
        <f t="shared" si="361"/>
        <v/>
      </c>
      <c r="E4650" t="str">
        <f t="shared" si="362"/>
        <v/>
      </c>
      <c r="F4650" t="str">
        <f>IF(D4650="","",INDEX(Knutepunkter!$B:$B,D4650+1))</f>
        <v/>
      </c>
      <c r="G4650" t="str">
        <f>IF(D4650="","",INDEX(Knutepunkter!$C:$C,D4650+1))</f>
        <v/>
      </c>
      <c r="H4650" t="str">
        <f>IF(D4650="","",INDEX(Knutepunkter!$D:$D,D4650+1))</f>
        <v/>
      </c>
      <c r="I4650" t="str">
        <f>IF(E4650="","",INDEX(Knutepunkter!$B:$B,E4650+1))</f>
        <v/>
      </c>
      <c r="J4650" t="str">
        <f>IF(E4650="","",INDEX(Knutepunkter!$C:$C,E4650+1))</f>
        <v/>
      </c>
      <c r="K4650" t="str">
        <f>IF(E4650="","",INDEX(Knutepunkter!$D:$D,E4650+1))</f>
        <v/>
      </c>
      <c r="L4650" t="str">
        <f t="shared" si="363"/>
        <v/>
      </c>
      <c r="M4650" t="str">
        <f t="shared" si="364"/>
        <v/>
      </c>
    </row>
    <row r="4651" spans="1:13" x14ac:dyDescent="0.3">
      <c r="A4651" t="str">
        <f>Segmenter!A4651</f>
        <v/>
      </c>
      <c r="B4651" t="str">
        <f>Segmenter!B4651</f>
        <v/>
      </c>
      <c r="C4651" t="str">
        <f t="shared" si="360"/>
        <v/>
      </c>
      <c r="D4651" t="str">
        <f t="shared" si="361"/>
        <v/>
      </c>
      <c r="E4651" t="str">
        <f t="shared" si="362"/>
        <v/>
      </c>
      <c r="F4651" t="str">
        <f>IF(D4651="","",INDEX(Knutepunkter!$B:$B,D4651+1))</f>
        <v/>
      </c>
      <c r="G4651" t="str">
        <f>IF(D4651="","",INDEX(Knutepunkter!$C:$C,D4651+1))</f>
        <v/>
      </c>
      <c r="H4651" t="str">
        <f>IF(D4651="","",INDEX(Knutepunkter!$D:$D,D4651+1))</f>
        <v/>
      </c>
      <c r="I4651" t="str">
        <f>IF(E4651="","",INDEX(Knutepunkter!$B:$B,E4651+1))</f>
        <v/>
      </c>
      <c r="J4651" t="str">
        <f>IF(E4651="","",INDEX(Knutepunkter!$C:$C,E4651+1))</f>
        <v/>
      </c>
      <c r="K4651" t="str">
        <f>IF(E4651="","",INDEX(Knutepunkter!$D:$D,E4651+1))</f>
        <v/>
      </c>
      <c r="L4651" t="str">
        <f t="shared" si="363"/>
        <v/>
      </c>
      <c r="M4651" t="str">
        <f t="shared" si="364"/>
        <v/>
      </c>
    </row>
    <row r="4652" spans="1:13" x14ac:dyDescent="0.3">
      <c r="A4652" t="str">
        <f>Segmenter!A4652</f>
        <v/>
      </c>
      <c r="B4652" t="str">
        <f>Segmenter!B4652</f>
        <v/>
      </c>
      <c r="C4652" t="str">
        <f t="shared" si="360"/>
        <v/>
      </c>
      <c r="D4652" t="str">
        <f t="shared" si="361"/>
        <v/>
      </c>
      <c r="E4652" t="str">
        <f t="shared" si="362"/>
        <v/>
      </c>
      <c r="F4652" t="str">
        <f>IF(D4652="","",INDEX(Knutepunkter!$B:$B,D4652+1))</f>
        <v/>
      </c>
      <c r="G4652" t="str">
        <f>IF(D4652="","",INDEX(Knutepunkter!$C:$C,D4652+1))</f>
        <v/>
      </c>
      <c r="H4652" t="str">
        <f>IF(D4652="","",INDEX(Knutepunkter!$D:$D,D4652+1))</f>
        <v/>
      </c>
      <c r="I4652" t="str">
        <f>IF(E4652="","",INDEX(Knutepunkter!$B:$B,E4652+1))</f>
        <v/>
      </c>
      <c r="J4652" t="str">
        <f>IF(E4652="","",INDEX(Knutepunkter!$C:$C,E4652+1))</f>
        <v/>
      </c>
      <c r="K4652" t="str">
        <f>IF(E4652="","",INDEX(Knutepunkter!$D:$D,E4652+1))</f>
        <v/>
      </c>
      <c r="L4652" t="str">
        <f t="shared" si="363"/>
        <v/>
      </c>
      <c r="M4652" t="str">
        <f t="shared" si="364"/>
        <v/>
      </c>
    </row>
    <row r="4653" spans="1:13" x14ac:dyDescent="0.3">
      <c r="A4653" t="str">
        <f>Segmenter!A4653</f>
        <v/>
      </c>
      <c r="B4653" t="str">
        <f>Segmenter!B4653</f>
        <v/>
      </c>
      <c r="C4653" t="str">
        <f t="shared" si="360"/>
        <v/>
      </c>
      <c r="D4653" t="str">
        <f t="shared" si="361"/>
        <v/>
      </c>
      <c r="E4653" t="str">
        <f t="shared" si="362"/>
        <v/>
      </c>
      <c r="F4653" t="str">
        <f>IF(D4653="","",INDEX(Knutepunkter!$B:$B,D4653+1))</f>
        <v/>
      </c>
      <c r="G4653" t="str">
        <f>IF(D4653="","",INDEX(Knutepunkter!$C:$C,D4653+1))</f>
        <v/>
      </c>
      <c r="H4653" t="str">
        <f>IF(D4653="","",INDEX(Knutepunkter!$D:$D,D4653+1))</f>
        <v/>
      </c>
      <c r="I4653" t="str">
        <f>IF(E4653="","",INDEX(Knutepunkter!$B:$B,E4653+1))</f>
        <v/>
      </c>
      <c r="J4653" t="str">
        <f>IF(E4653="","",INDEX(Knutepunkter!$C:$C,E4653+1))</f>
        <v/>
      </c>
      <c r="K4653" t="str">
        <f>IF(E4653="","",INDEX(Knutepunkter!$D:$D,E4653+1))</f>
        <v/>
      </c>
      <c r="L4653" t="str">
        <f t="shared" si="363"/>
        <v/>
      </c>
      <c r="M4653" t="str">
        <f t="shared" si="364"/>
        <v/>
      </c>
    </row>
    <row r="4654" spans="1:13" x14ac:dyDescent="0.3">
      <c r="A4654" t="str">
        <f>Segmenter!A4654</f>
        <v/>
      </c>
      <c r="B4654" t="str">
        <f>Segmenter!B4654</f>
        <v/>
      </c>
      <c r="C4654" t="str">
        <f t="shared" si="360"/>
        <v/>
      </c>
      <c r="D4654" t="str">
        <f t="shared" si="361"/>
        <v/>
      </c>
      <c r="E4654" t="str">
        <f t="shared" si="362"/>
        <v/>
      </c>
      <c r="F4654" t="str">
        <f>IF(D4654="","",INDEX(Knutepunkter!$B:$B,D4654+1))</f>
        <v/>
      </c>
      <c r="G4654" t="str">
        <f>IF(D4654="","",INDEX(Knutepunkter!$C:$C,D4654+1))</f>
        <v/>
      </c>
      <c r="H4654" t="str">
        <f>IF(D4654="","",INDEX(Knutepunkter!$D:$D,D4654+1))</f>
        <v/>
      </c>
      <c r="I4654" t="str">
        <f>IF(E4654="","",INDEX(Knutepunkter!$B:$B,E4654+1))</f>
        <v/>
      </c>
      <c r="J4654" t="str">
        <f>IF(E4654="","",INDEX(Knutepunkter!$C:$C,E4654+1))</f>
        <v/>
      </c>
      <c r="K4654" t="str">
        <f>IF(E4654="","",INDEX(Knutepunkter!$D:$D,E4654+1))</f>
        <v/>
      </c>
      <c r="L4654" t="str">
        <f t="shared" si="363"/>
        <v/>
      </c>
      <c r="M4654" t="str">
        <f t="shared" si="364"/>
        <v/>
      </c>
    </row>
    <row r="4655" spans="1:13" x14ac:dyDescent="0.3">
      <c r="A4655" t="str">
        <f>Segmenter!A4655</f>
        <v/>
      </c>
      <c r="B4655" t="str">
        <f>Segmenter!B4655</f>
        <v/>
      </c>
      <c r="C4655" t="str">
        <f t="shared" si="360"/>
        <v/>
      </c>
      <c r="D4655" t="str">
        <f t="shared" si="361"/>
        <v/>
      </c>
      <c r="E4655" t="str">
        <f t="shared" si="362"/>
        <v/>
      </c>
      <c r="F4655" t="str">
        <f>IF(D4655="","",INDEX(Knutepunkter!$B:$B,D4655+1))</f>
        <v/>
      </c>
      <c r="G4655" t="str">
        <f>IF(D4655="","",INDEX(Knutepunkter!$C:$C,D4655+1))</f>
        <v/>
      </c>
      <c r="H4655" t="str">
        <f>IF(D4655="","",INDEX(Knutepunkter!$D:$D,D4655+1))</f>
        <v/>
      </c>
      <c r="I4655" t="str">
        <f>IF(E4655="","",INDEX(Knutepunkter!$B:$B,E4655+1))</f>
        <v/>
      </c>
      <c r="J4655" t="str">
        <f>IF(E4655="","",INDEX(Knutepunkter!$C:$C,E4655+1))</f>
        <v/>
      </c>
      <c r="K4655" t="str">
        <f>IF(E4655="","",INDEX(Knutepunkter!$D:$D,E4655+1))</f>
        <v/>
      </c>
      <c r="L4655" t="str">
        <f t="shared" si="363"/>
        <v/>
      </c>
      <c r="M4655" t="str">
        <f t="shared" si="364"/>
        <v/>
      </c>
    </row>
    <row r="4656" spans="1:13" x14ac:dyDescent="0.3">
      <c r="A4656" t="str">
        <f>Segmenter!A4656</f>
        <v/>
      </c>
      <c r="B4656" t="str">
        <f>Segmenter!B4656</f>
        <v/>
      </c>
      <c r="C4656" t="str">
        <f t="shared" si="360"/>
        <v/>
      </c>
      <c r="D4656" t="str">
        <f t="shared" si="361"/>
        <v/>
      </c>
      <c r="E4656" t="str">
        <f t="shared" si="362"/>
        <v/>
      </c>
      <c r="F4656" t="str">
        <f>IF(D4656="","",INDEX(Knutepunkter!$B:$B,D4656+1))</f>
        <v/>
      </c>
      <c r="G4656" t="str">
        <f>IF(D4656="","",INDEX(Knutepunkter!$C:$C,D4656+1))</f>
        <v/>
      </c>
      <c r="H4656" t="str">
        <f>IF(D4656="","",INDEX(Knutepunkter!$D:$D,D4656+1))</f>
        <v/>
      </c>
      <c r="I4656" t="str">
        <f>IF(E4656="","",INDEX(Knutepunkter!$B:$B,E4656+1))</f>
        <v/>
      </c>
      <c r="J4656" t="str">
        <f>IF(E4656="","",INDEX(Knutepunkter!$C:$C,E4656+1))</f>
        <v/>
      </c>
      <c r="K4656" t="str">
        <f>IF(E4656="","",INDEX(Knutepunkter!$D:$D,E4656+1))</f>
        <v/>
      </c>
      <c r="L4656" t="str">
        <f t="shared" si="363"/>
        <v/>
      </c>
      <c r="M4656" t="str">
        <f t="shared" si="364"/>
        <v/>
      </c>
    </row>
    <row r="4657" spans="1:13" x14ac:dyDescent="0.3">
      <c r="A4657" t="str">
        <f>Segmenter!A4657</f>
        <v/>
      </c>
      <c r="B4657" t="str">
        <f>Segmenter!B4657</f>
        <v/>
      </c>
      <c r="C4657" t="str">
        <f t="shared" si="360"/>
        <v/>
      </c>
      <c r="D4657" t="str">
        <f t="shared" si="361"/>
        <v/>
      </c>
      <c r="E4657" t="str">
        <f t="shared" si="362"/>
        <v/>
      </c>
      <c r="F4657" t="str">
        <f>IF(D4657="","",INDEX(Knutepunkter!$B:$B,D4657+1))</f>
        <v/>
      </c>
      <c r="G4657" t="str">
        <f>IF(D4657="","",INDEX(Knutepunkter!$C:$C,D4657+1))</f>
        <v/>
      </c>
      <c r="H4657" t="str">
        <f>IF(D4657="","",INDEX(Knutepunkter!$D:$D,D4657+1))</f>
        <v/>
      </c>
      <c r="I4657" t="str">
        <f>IF(E4657="","",INDEX(Knutepunkter!$B:$B,E4657+1))</f>
        <v/>
      </c>
      <c r="J4657" t="str">
        <f>IF(E4657="","",INDEX(Knutepunkter!$C:$C,E4657+1))</f>
        <v/>
      </c>
      <c r="K4657" t="str">
        <f>IF(E4657="","",INDEX(Knutepunkter!$D:$D,E4657+1))</f>
        <v/>
      </c>
      <c r="L4657" t="str">
        <f t="shared" si="363"/>
        <v/>
      </c>
      <c r="M4657" t="str">
        <f t="shared" si="364"/>
        <v/>
      </c>
    </row>
    <row r="4658" spans="1:13" x14ac:dyDescent="0.3">
      <c r="A4658" t="str">
        <f>Segmenter!A4658</f>
        <v/>
      </c>
      <c r="B4658" t="str">
        <f>Segmenter!B4658</f>
        <v/>
      </c>
      <c r="C4658" t="str">
        <f t="shared" si="360"/>
        <v/>
      </c>
      <c r="D4658" t="str">
        <f t="shared" si="361"/>
        <v/>
      </c>
      <c r="E4658" t="str">
        <f t="shared" si="362"/>
        <v/>
      </c>
      <c r="F4658" t="str">
        <f>IF(D4658="","",INDEX(Knutepunkter!$B:$B,D4658+1))</f>
        <v/>
      </c>
      <c r="G4658" t="str">
        <f>IF(D4658="","",INDEX(Knutepunkter!$C:$C,D4658+1))</f>
        <v/>
      </c>
      <c r="H4658" t="str">
        <f>IF(D4658="","",INDEX(Knutepunkter!$D:$D,D4658+1))</f>
        <v/>
      </c>
      <c r="I4658" t="str">
        <f>IF(E4658="","",INDEX(Knutepunkter!$B:$B,E4658+1))</f>
        <v/>
      </c>
      <c r="J4658" t="str">
        <f>IF(E4658="","",INDEX(Knutepunkter!$C:$C,E4658+1))</f>
        <v/>
      </c>
      <c r="K4658" t="str">
        <f>IF(E4658="","",INDEX(Knutepunkter!$D:$D,E4658+1))</f>
        <v/>
      </c>
      <c r="L4658" t="str">
        <f t="shared" si="363"/>
        <v/>
      </c>
      <c r="M4658" t="str">
        <f t="shared" si="364"/>
        <v/>
      </c>
    </row>
    <row r="4659" spans="1:13" x14ac:dyDescent="0.3">
      <c r="A4659" t="str">
        <f>Segmenter!A4659</f>
        <v/>
      </c>
      <c r="B4659" t="str">
        <f>Segmenter!B4659</f>
        <v/>
      </c>
      <c r="C4659" t="str">
        <f t="shared" si="360"/>
        <v/>
      </c>
      <c r="D4659" t="str">
        <f t="shared" si="361"/>
        <v/>
      </c>
      <c r="E4659" t="str">
        <f t="shared" si="362"/>
        <v/>
      </c>
      <c r="F4659" t="str">
        <f>IF(D4659="","",INDEX(Knutepunkter!$B:$B,D4659+1))</f>
        <v/>
      </c>
      <c r="G4659" t="str">
        <f>IF(D4659="","",INDEX(Knutepunkter!$C:$C,D4659+1))</f>
        <v/>
      </c>
      <c r="H4659" t="str">
        <f>IF(D4659="","",INDEX(Knutepunkter!$D:$D,D4659+1))</f>
        <v/>
      </c>
      <c r="I4659" t="str">
        <f>IF(E4659="","",INDEX(Knutepunkter!$B:$B,E4659+1))</f>
        <v/>
      </c>
      <c r="J4659" t="str">
        <f>IF(E4659="","",INDEX(Knutepunkter!$C:$C,E4659+1))</f>
        <v/>
      </c>
      <c r="K4659" t="str">
        <f>IF(E4659="","",INDEX(Knutepunkter!$D:$D,E4659+1))</f>
        <v/>
      </c>
      <c r="L4659" t="str">
        <f t="shared" si="363"/>
        <v/>
      </c>
      <c r="M4659" t="str">
        <f t="shared" si="364"/>
        <v/>
      </c>
    </row>
    <row r="4660" spans="1:13" x14ac:dyDescent="0.3">
      <c r="A4660" t="str">
        <f>Segmenter!A4660</f>
        <v/>
      </c>
      <c r="B4660" t="str">
        <f>Segmenter!B4660</f>
        <v/>
      </c>
      <c r="C4660" t="str">
        <f t="shared" si="360"/>
        <v/>
      </c>
      <c r="D4660" t="str">
        <f t="shared" si="361"/>
        <v/>
      </c>
      <c r="E4660" t="str">
        <f t="shared" si="362"/>
        <v/>
      </c>
      <c r="F4660" t="str">
        <f>IF(D4660="","",INDEX(Knutepunkter!$B:$B,D4660+1))</f>
        <v/>
      </c>
      <c r="G4660" t="str">
        <f>IF(D4660="","",INDEX(Knutepunkter!$C:$C,D4660+1))</f>
        <v/>
      </c>
      <c r="H4660" t="str">
        <f>IF(D4660="","",INDEX(Knutepunkter!$D:$D,D4660+1))</f>
        <v/>
      </c>
      <c r="I4660" t="str">
        <f>IF(E4660="","",INDEX(Knutepunkter!$B:$B,E4660+1))</f>
        <v/>
      </c>
      <c r="J4660" t="str">
        <f>IF(E4660="","",INDEX(Knutepunkter!$C:$C,E4660+1))</f>
        <v/>
      </c>
      <c r="K4660" t="str">
        <f>IF(E4660="","",INDEX(Knutepunkter!$D:$D,E4660+1))</f>
        <v/>
      </c>
      <c r="L4660" t="str">
        <f t="shared" si="363"/>
        <v/>
      </c>
      <c r="M4660" t="str">
        <f t="shared" si="364"/>
        <v/>
      </c>
    </row>
    <row r="4661" spans="1:13" x14ac:dyDescent="0.3">
      <c r="A4661" t="str">
        <f>Segmenter!A4661</f>
        <v/>
      </c>
      <c r="B4661" t="str">
        <f>Segmenter!B4661</f>
        <v/>
      </c>
      <c r="C4661" t="str">
        <f t="shared" si="360"/>
        <v/>
      </c>
      <c r="D4661" t="str">
        <f t="shared" si="361"/>
        <v/>
      </c>
      <c r="E4661" t="str">
        <f t="shared" si="362"/>
        <v/>
      </c>
      <c r="F4661" t="str">
        <f>IF(D4661="","",INDEX(Knutepunkter!$B:$B,D4661+1))</f>
        <v/>
      </c>
      <c r="G4661" t="str">
        <f>IF(D4661="","",INDEX(Knutepunkter!$C:$C,D4661+1))</f>
        <v/>
      </c>
      <c r="H4661" t="str">
        <f>IF(D4661="","",INDEX(Knutepunkter!$D:$D,D4661+1))</f>
        <v/>
      </c>
      <c r="I4661" t="str">
        <f>IF(E4661="","",INDEX(Knutepunkter!$B:$B,E4661+1))</f>
        <v/>
      </c>
      <c r="J4661" t="str">
        <f>IF(E4661="","",INDEX(Knutepunkter!$C:$C,E4661+1))</f>
        <v/>
      </c>
      <c r="K4661" t="str">
        <f>IF(E4661="","",INDEX(Knutepunkter!$D:$D,E4661+1))</f>
        <v/>
      </c>
      <c r="L4661" t="str">
        <f t="shared" si="363"/>
        <v/>
      </c>
      <c r="M4661" t="str">
        <f t="shared" si="364"/>
        <v/>
      </c>
    </row>
    <row r="4662" spans="1:13" x14ac:dyDescent="0.3">
      <c r="A4662" t="str">
        <f>Segmenter!A4662</f>
        <v/>
      </c>
      <c r="B4662" t="str">
        <f>Segmenter!B4662</f>
        <v/>
      </c>
      <c r="C4662" t="str">
        <f t="shared" si="360"/>
        <v/>
      </c>
      <c r="D4662" t="str">
        <f t="shared" si="361"/>
        <v/>
      </c>
      <c r="E4662" t="str">
        <f t="shared" si="362"/>
        <v/>
      </c>
      <c r="F4662" t="str">
        <f>IF(D4662="","",INDEX(Knutepunkter!$B:$B,D4662+1))</f>
        <v/>
      </c>
      <c r="G4662" t="str">
        <f>IF(D4662="","",INDEX(Knutepunkter!$C:$C,D4662+1))</f>
        <v/>
      </c>
      <c r="H4662" t="str">
        <f>IF(D4662="","",INDEX(Knutepunkter!$D:$D,D4662+1))</f>
        <v/>
      </c>
      <c r="I4662" t="str">
        <f>IF(E4662="","",INDEX(Knutepunkter!$B:$B,E4662+1))</f>
        <v/>
      </c>
      <c r="J4662" t="str">
        <f>IF(E4662="","",INDEX(Knutepunkter!$C:$C,E4662+1))</f>
        <v/>
      </c>
      <c r="K4662" t="str">
        <f>IF(E4662="","",INDEX(Knutepunkter!$D:$D,E4662+1))</f>
        <v/>
      </c>
      <c r="L4662" t="str">
        <f t="shared" si="363"/>
        <v/>
      </c>
      <c r="M4662" t="str">
        <f t="shared" si="364"/>
        <v/>
      </c>
    </row>
    <row r="4663" spans="1:13" x14ac:dyDescent="0.3">
      <c r="A4663" t="str">
        <f>Segmenter!A4663</f>
        <v/>
      </c>
      <c r="B4663" t="str">
        <f>Segmenter!B4663</f>
        <v/>
      </c>
      <c r="C4663" t="str">
        <f t="shared" si="360"/>
        <v/>
      </c>
      <c r="D4663" t="str">
        <f t="shared" si="361"/>
        <v/>
      </c>
      <c r="E4663" t="str">
        <f t="shared" si="362"/>
        <v/>
      </c>
      <c r="F4663" t="str">
        <f>IF(D4663="","",INDEX(Knutepunkter!$B:$B,D4663+1))</f>
        <v/>
      </c>
      <c r="G4663" t="str">
        <f>IF(D4663="","",INDEX(Knutepunkter!$C:$C,D4663+1))</f>
        <v/>
      </c>
      <c r="H4663" t="str">
        <f>IF(D4663="","",INDEX(Knutepunkter!$D:$D,D4663+1))</f>
        <v/>
      </c>
      <c r="I4663" t="str">
        <f>IF(E4663="","",INDEX(Knutepunkter!$B:$B,E4663+1))</f>
        <v/>
      </c>
      <c r="J4663" t="str">
        <f>IF(E4663="","",INDEX(Knutepunkter!$C:$C,E4663+1))</f>
        <v/>
      </c>
      <c r="K4663" t="str">
        <f>IF(E4663="","",INDEX(Knutepunkter!$D:$D,E4663+1))</f>
        <v/>
      </c>
      <c r="L4663" t="str">
        <f t="shared" si="363"/>
        <v/>
      </c>
      <c r="M4663" t="str">
        <f t="shared" si="364"/>
        <v/>
      </c>
    </row>
    <row r="4664" spans="1:13" x14ac:dyDescent="0.3">
      <c r="A4664" t="str">
        <f>Segmenter!A4664</f>
        <v/>
      </c>
      <c r="B4664" t="str">
        <f>Segmenter!B4664</f>
        <v/>
      </c>
      <c r="C4664" t="str">
        <f t="shared" si="360"/>
        <v/>
      </c>
      <c r="D4664" t="str">
        <f t="shared" si="361"/>
        <v/>
      </c>
      <c r="E4664" t="str">
        <f t="shared" si="362"/>
        <v/>
      </c>
      <c r="F4664" t="str">
        <f>IF(D4664="","",INDEX(Knutepunkter!$B:$B,D4664+1))</f>
        <v/>
      </c>
      <c r="G4664" t="str">
        <f>IF(D4664="","",INDEX(Knutepunkter!$C:$C,D4664+1))</f>
        <v/>
      </c>
      <c r="H4664" t="str">
        <f>IF(D4664="","",INDEX(Knutepunkter!$D:$D,D4664+1))</f>
        <v/>
      </c>
      <c r="I4664" t="str">
        <f>IF(E4664="","",INDEX(Knutepunkter!$B:$B,E4664+1))</f>
        <v/>
      </c>
      <c r="J4664" t="str">
        <f>IF(E4664="","",INDEX(Knutepunkter!$C:$C,E4664+1))</f>
        <v/>
      </c>
      <c r="K4664" t="str">
        <f>IF(E4664="","",INDEX(Knutepunkter!$D:$D,E4664+1))</f>
        <v/>
      </c>
      <c r="L4664" t="str">
        <f t="shared" si="363"/>
        <v/>
      </c>
      <c r="M4664" t="str">
        <f t="shared" si="364"/>
        <v/>
      </c>
    </row>
    <row r="4665" spans="1:13" x14ac:dyDescent="0.3">
      <c r="A4665" t="str">
        <f>Segmenter!A4665</f>
        <v/>
      </c>
      <c r="B4665" t="str">
        <f>Segmenter!B4665</f>
        <v/>
      </c>
      <c r="C4665" t="str">
        <f t="shared" si="360"/>
        <v/>
      </c>
      <c r="D4665" t="str">
        <f t="shared" si="361"/>
        <v/>
      </c>
      <c r="E4665" t="str">
        <f t="shared" si="362"/>
        <v/>
      </c>
      <c r="F4665" t="str">
        <f>IF(D4665="","",INDEX(Knutepunkter!$B:$B,D4665+1))</f>
        <v/>
      </c>
      <c r="G4665" t="str">
        <f>IF(D4665="","",INDEX(Knutepunkter!$C:$C,D4665+1))</f>
        <v/>
      </c>
      <c r="H4665" t="str">
        <f>IF(D4665="","",INDEX(Knutepunkter!$D:$D,D4665+1))</f>
        <v/>
      </c>
      <c r="I4665" t="str">
        <f>IF(E4665="","",INDEX(Knutepunkter!$B:$B,E4665+1))</f>
        <v/>
      </c>
      <c r="J4665" t="str">
        <f>IF(E4665="","",INDEX(Knutepunkter!$C:$C,E4665+1))</f>
        <v/>
      </c>
      <c r="K4665" t="str">
        <f>IF(E4665="","",INDEX(Knutepunkter!$D:$D,E4665+1))</f>
        <v/>
      </c>
      <c r="L4665" t="str">
        <f t="shared" si="363"/>
        <v/>
      </c>
      <c r="M4665" t="str">
        <f t="shared" si="364"/>
        <v/>
      </c>
    </row>
    <row r="4666" spans="1:13" x14ac:dyDescent="0.3">
      <c r="A4666" t="str">
        <f>Segmenter!A4666</f>
        <v/>
      </c>
      <c r="B4666" t="str">
        <f>Segmenter!B4666</f>
        <v/>
      </c>
      <c r="C4666" t="str">
        <f t="shared" si="360"/>
        <v/>
      </c>
      <c r="D4666" t="str">
        <f t="shared" si="361"/>
        <v/>
      </c>
      <c r="E4666" t="str">
        <f t="shared" si="362"/>
        <v/>
      </c>
      <c r="F4666" t="str">
        <f>IF(D4666="","",INDEX(Knutepunkter!$B:$B,D4666+1))</f>
        <v/>
      </c>
      <c r="G4666" t="str">
        <f>IF(D4666="","",INDEX(Knutepunkter!$C:$C,D4666+1))</f>
        <v/>
      </c>
      <c r="H4666" t="str">
        <f>IF(D4666="","",INDEX(Knutepunkter!$D:$D,D4666+1))</f>
        <v/>
      </c>
      <c r="I4666" t="str">
        <f>IF(E4666="","",INDEX(Knutepunkter!$B:$B,E4666+1))</f>
        <v/>
      </c>
      <c r="J4666" t="str">
        <f>IF(E4666="","",INDEX(Knutepunkter!$C:$C,E4666+1))</f>
        <v/>
      </c>
      <c r="K4666" t="str">
        <f>IF(E4666="","",INDEX(Knutepunkter!$D:$D,E4666+1))</f>
        <v/>
      </c>
      <c r="L4666" t="str">
        <f t="shared" si="363"/>
        <v/>
      </c>
      <c r="M4666" t="str">
        <f t="shared" si="364"/>
        <v/>
      </c>
    </row>
    <row r="4667" spans="1:13" x14ac:dyDescent="0.3">
      <c r="A4667" t="str">
        <f>Segmenter!A4667</f>
        <v/>
      </c>
      <c r="B4667" t="str">
        <f>Segmenter!B4667</f>
        <v/>
      </c>
      <c r="C4667" t="str">
        <f t="shared" si="360"/>
        <v/>
      </c>
      <c r="D4667" t="str">
        <f t="shared" si="361"/>
        <v/>
      </c>
      <c r="E4667" t="str">
        <f t="shared" si="362"/>
        <v/>
      </c>
      <c r="F4667" t="str">
        <f>IF(D4667="","",INDEX(Knutepunkter!$B:$B,D4667+1))</f>
        <v/>
      </c>
      <c r="G4667" t="str">
        <f>IF(D4667="","",INDEX(Knutepunkter!$C:$C,D4667+1))</f>
        <v/>
      </c>
      <c r="H4667" t="str">
        <f>IF(D4667="","",INDEX(Knutepunkter!$D:$D,D4667+1))</f>
        <v/>
      </c>
      <c r="I4667" t="str">
        <f>IF(E4667="","",INDEX(Knutepunkter!$B:$B,E4667+1))</f>
        <v/>
      </c>
      <c r="J4667" t="str">
        <f>IF(E4667="","",INDEX(Knutepunkter!$C:$C,E4667+1))</f>
        <v/>
      </c>
      <c r="K4667" t="str">
        <f>IF(E4667="","",INDEX(Knutepunkter!$D:$D,E4667+1))</f>
        <v/>
      </c>
      <c r="L4667" t="str">
        <f t="shared" si="363"/>
        <v/>
      </c>
      <c r="M4667" t="str">
        <f t="shared" si="364"/>
        <v/>
      </c>
    </row>
    <row r="4668" spans="1:13" x14ac:dyDescent="0.3">
      <c r="A4668" t="str">
        <f>Segmenter!A4668</f>
        <v/>
      </c>
      <c r="B4668" t="str">
        <f>Segmenter!B4668</f>
        <v/>
      </c>
      <c r="C4668" t="str">
        <f t="shared" si="360"/>
        <v/>
      </c>
      <c r="D4668" t="str">
        <f t="shared" si="361"/>
        <v/>
      </c>
      <c r="E4668" t="str">
        <f t="shared" si="362"/>
        <v/>
      </c>
      <c r="F4668" t="str">
        <f>IF(D4668="","",INDEX(Knutepunkter!$B:$B,D4668+1))</f>
        <v/>
      </c>
      <c r="G4668" t="str">
        <f>IF(D4668="","",INDEX(Knutepunkter!$C:$C,D4668+1))</f>
        <v/>
      </c>
      <c r="H4668" t="str">
        <f>IF(D4668="","",INDEX(Knutepunkter!$D:$D,D4668+1))</f>
        <v/>
      </c>
      <c r="I4668" t="str">
        <f>IF(E4668="","",INDEX(Knutepunkter!$B:$B,E4668+1))</f>
        <v/>
      </c>
      <c r="J4668" t="str">
        <f>IF(E4668="","",INDEX(Knutepunkter!$C:$C,E4668+1))</f>
        <v/>
      </c>
      <c r="K4668" t="str">
        <f>IF(E4668="","",INDEX(Knutepunkter!$D:$D,E4668+1))</f>
        <v/>
      </c>
      <c r="L4668" t="str">
        <f t="shared" si="363"/>
        <v/>
      </c>
      <c r="M4668" t="str">
        <f t="shared" si="364"/>
        <v/>
      </c>
    </row>
    <row r="4669" spans="1:13" x14ac:dyDescent="0.3">
      <c r="A4669" t="str">
        <f>Segmenter!A4669</f>
        <v/>
      </c>
      <c r="B4669" t="str">
        <f>Segmenter!B4669</f>
        <v/>
      </c>
      <c r="C4669" t="str">
        <f t="shared" si="360"/>
        <v/>
      </c>
      <c r="D4669" t="str">
        <f t="shared" si="361"/>
        <v/>
      </c>
      <c r="E4669" t="str">
        <f t="shared" si="362"/>
        <v/>
      </c>
      <c r="F4669" t="str">
        <f>IF(D4669="","",INDEX(Knutepunkter!$B:$B,D4669+1))</f>
        <v/>
      </c>
      <c r="G4669" t="str">
        <f>IF(D4669="","",INDEX(Knutepunkter!$C:$C,D4669+1))</f>
        <v/>
      </c>
      <c r="H4669" t="str">
        <f>IF(D4669="","",INDEX(Knutepunkter!$D:$D,D4669+1))</f>
        <v/>
      </c>
      <c r="I4669" t="str">
        <f>IF(E4669="","",INDEX(Knutepunkter!$B:$B,E4669+1))</f>
        <v/>
      </c>
      <c r="J4669" t="str">
        <f>IF(E4669="","",INDEX(Knutepunkter!$C:$C,E4669+1))</f>
        <v/>
      </c>
      <c r="K4669" t="str">
        <f>IF(E4669="","",INDEX(Knutepunkter!$D:$D,E4669+1))</f>
        <v/>
      </c>
      <c r="L4669" t="str">
        <f t="shared" si="363"/>
        <v/>
      </c>
      <c r="M4669" t="str">
        <f t="shared" si="364"/>
        <v/>
      </c>
    </row>
    <row r="4670" spans="1:13" x14ac:dyDescent="0.3">
      <c r="A4670" t="str">
        <f>Segmenter!A4670</f>
        <v/>
      </c>
      <c r="B4670" t="str">
        <f>Segmenter!B4670</f>
        <v/>
      </c>
      <c r="C4670" t="str">
        <f t="shared" si="360"/>
        <v/>
      </c>
      <c r="D4670" t="str">
        <f t="shared" si="361"/>
        <v/>
      </c>
      <c r="E4670" t="str">
        <f t="shared" si="362"/>
        <v/>
      </c>
      <c r="F4670" t="str">
        <f>IF(D4670="","",INDEX(Knutepunkter!$B:$B,D4670+1))</f>
        <v/>
      </c>
      <c r="G4670" t="str">
        <f>IF(D4670="","",INDEX(Knutepunkter!$C:$C,D4670+1))</f>
        <v/>
      </c>
      <c r="H4670" t="str">
        <f>IF(D4670="","",INDEX(Knutepunkter!$D:$D,D4670+1))</f>
        <v/>
      </c>
      <c r="I4670" t="str">
        <f>IF(E4670="","",INDEX(Knutepunkter!$B:$B,E4670+1))</f>
        <v/>
      </c>
      <c r="J4670" t="str">
        <f>IF(E4670="","",INDEX(Knutepunkter!$C:$C,E4670+1))</f>
        <v/>
      </c>
      <c r="K4670" t="str">
        <f>IF(E4670="","",INDEX(Knutepunkter!$D:$D,E4670+1))</f>
        <v/>
      </c>
      <c r="L4670" t="str">
        <f t="shared" si="363"/>
        <v/>
      </c>
      <c r="M4670" t="str">
        <f t="shared" si="364"/>
        <v/>
      </c>
    </row>
    <row r="4671" spans="1:13" x14ac:dyDescent="0.3">
      <c r="A4671" t="str">
        <f>Segmenter!A4671</f>
        <v/>
      </c>
      <c r="B4671" t="str">
        <f>Segmenter!B4671</f>
        <v/>
      </c>
      <c r="C4671" t="str">
        <f t="shared" si="360"/>
        <v/>
      </c>
      <c r="D4671" t="str">
        <f t="shared" si="361"/>
        <v/>
      </c>
      <c r="E4671" t="str">
        <f t="shared" si="362"/>
        <v/>
      </c>
      <c r="F4671" t="str">
        <f>IF(D4671="","",INDEX(Knutepunkter!$B:$B,D4671+1))</f>
        <v/>
      </c>
      <c r="G4671" t="str">
        <f>IF(D4671="","",INDEX(Knutepunkter!$C:$C,D4671+1))</f>
        <v/>
      </c>
      <c r="H4671" t="str">
        <f>IF(D4671="","",INDEX(Knutepunkter!$D:$D,D4671+1))</f>
        <v/>
      </c>
      <c r="I4671" t="str">
        <f>IF(E4671="","",INDEX(Knutepunkter!$B:$B,E4671+1))</f>
        <v/>
      </c>
      <c r="J4671" t="str">
        <f>IF(E4671="","",INDEX(Knutepunkter!$C:$C,E4671+1))</f>
        <v/>
      </c>
      <c r="K4671" t="str">
        <f>IF(E4671="","",INDEX(Knutepunkter!$D:$D,E4671+1))</f>
        <v/>
      </c>
      <c r="L4671" t="str">
        <f t="shared" si="363"/>
        <v/>
      </c>
      <c r="M4671" t="str">
        <f t="shared" si="364"/>
        <v/>
      </c>
    </row>
    <row r="4672" spans="1:13" x14ac:dyDescent="0.3">
      <c r="A4672" t="str">
        <f>Segmenter!A4672</f>
        <v/>
      </c>
      <c r="B4672" t="str">
        <f>Segmenter!B4672</f>
        <v/>
      </c>
      <c r="C4672" t="str">
        <f t="shared" si="360"/>
        <v/>
      </c>
      <c r="D4672" t="str">
        <f t="shared" si="361"/>
        <v/>
      </c>
      <c r="E4672" t="str">
        <f t="shared" si="362"/>
        <v/>
      </c>
      <c r="F4672" t="str">
        <f>IF(D4672="","",INDEX(Knutepunkter!$B:$B,D4672+1))</f>
        <v/>
      </c>
      <c r="G4672" t="str">
        <f>IF(D4672="","",INDEX(Knutepunkter!$C:$C,D4672+1))</f>
        <v/>
      </c>
      <c r="H4672" t="str">
        <f>IF(D4672="","",INDEX(Knutepunkter!$D:$D,D4672+1))</f>
        <v/>
      </c>
      <c r="I4672" t="str">
        <f>IF(E4672="","",INDEX(Knutepunkter!$B:$B,E4672+1))</f>
        <v/>
      </c>
      <c r="J4672" t="str">
        <f>IF(E4672="","",INDEX(Knutepunkter!$C:$C,E4672+1))</f>
        <v/>
      </c>
      <c r="K4672" t="str">
        <f>IF(E4672="","",INDEX(Knutepunkter!$D:$D,E4672+1))</f>
        <v/>
      </c>
      <c r="L4672" t="str">
        <f t="shared" si="363"/>
        <v/>
      </c>
      <c r="M4672" t="str">
        <f t="shared" si="364"/>
        <v/>
      </c>
    </row>
    <row r="4673" spans="1:13" x14ac:dyDescent="0.3">
      <c r="A4673" t="str">
        <f>Segmenter!A4673</f>
        <v/>
      </c>
      <c r="B4673" t="str">
        <f>Segmenter!B4673</f>
        <v/>
      </c>
      <c r="C4673" t="str">
        <f t="shared" si="360"/>
        <v/>
      </c>
      <c r="D4673" t="str">
        <f t="shared" si="361"/>
        <v/>
      </c>
      <c r="E4673" t="str">
        <f t="shared" si="362"/>
        <v/>
      </c>
      <c r="F4673" t="str">
        <f>IF(D4673="","",INDEX(Knutepunkter!$B:$B,D4673+1))</f>
        <v/>
      </c>
      <c r="G4673" t="str">
        <f>IF(D4673="","",INDEX(Knutepunkter!$C:$C,D4673+1))</f>
        <v/>
      </c>
      <c r="H4673" t="str">
        <f>IF(D4673="","",INDEX(Knutepunkter!$D:$D,D4673+1))</f>
        <v/>
      </c>
      <c r="I4673" t="str">
        <f>IF(E4673="","",INDEX(Knutepunkter!$B:$B,E4673+1))</f>
        <v/>
      </c>
      <c r="J4673" t="str">
        <f>IF(E4673="","",INDEX(Knutepunkter!$C:$C,E4673+1))</f>
        <v/>
      </c>
      <c r="K4673" t="str">
        <f>IF(E4673="","",INDEX(Knutepunkter!$D:$D,E4673+1))</f>
        <v/>
      </c>
      <c r="L4673" t="str">
        <f t="shared" si="363"/>
        <v/>
      </c>
      <c r="M4673" t="str">
        <f t="shared" si="364"/>
        <v/>
      </c>
    </row>
    <row r="4674" spans="1:13" x14ac:dyDescent="0.3">
      <c r="A4674" t="str">
        <f>Segmenter!A4674</f>
        <v/>
      </c>
      <c r="B4674" t="str">
        <f>Segmenter!B4674</f>
        <v/>
      </c>
      <c r="C4674" t="str">
        <f t="shared" ref="C4674:C4737" si="365">IF(B4674="","",IF(AND(F4674=I4674,G4674=J4674,H4674&lt;&gt;K4674),"Søyle","Bjelke"))</f>
        <v/>
      </c>
      <c r="D4674" t="str">
        <f t="shared" ref="D4674:D4737" si="366">IF(B4674="","",VALUE(LEFT(B4674,FIND(" -&gt; ",B4674)-1)))</f>
        <v/>
      </c>
      <c r="E4674" t="str">
        <f t="shared" ref="E4674:E4737" si="367">IF(B4674="","",VALUE(MID(B4674,FIND(" -&gt; ",B4674)+4,99)))</f>
        <v/>
      </c>
      <c r="F4674" t="str">
        <f>IF(D4674="","",INDEX(Knutepunkter!$B:$B,D4674+1))</f>
        <v/>
      </c>
      <c r="G4674" t="str">
        <f>IF(D4674="","",INDEX(Knutepunkter!$C:$C,D4674+1))</f>
        <v/>
      </c>
      <c r="H4674" t="str">
        <f>IF(D4674="","",INDEX(Knutepunkter!$D:$D,D4674+1))</f>
        <v/>
      </c>
      <c r="I4674" t="str">
        <f>IF(E4674="","",INDEX(Knutepunkter!$B:$B,E4674+1))</f>
        <v/>
      </c>
      <c r="J4674" t="str">
        <f>IF(E4674="","",INDEX(Knutepunkter!$C:$C,E4674+1))</f>
        <v/>
      </c>
      <c r="K4674" t="str">
        <f>IF(E4674="","",INDEX(Knutepunkter!$D:$D,E4674+1))</f>
        <v/>
      </c>
      <c r="L4674" t="str">
        <f t="shared" ref="L4674:L4737" si="368">IF(B4674="","",SQRT((I4674-F4674)^2+(J4674-G4674)^2+(K4674-H4674)^2))</f>
        <v/>
      </c>
      <c r="M4674" t="str">
        <f t="shared" ref="M4674:M4737" si="369">IF(L4674="","",L4674/1000)</f>
        <v/>
      </c>
    </row>
    <row r="4675" spans="1:13" x14ac:dyDescent="0.3">
      <c r="A4675" t="str">
        <f>Segmenter!A4675</f>
        <v/>
      </c>
      <c r="B4675" t="str">
        <f>Segmenter!B4675</f>
        <v/>
      </c>
      <c r="C4675" t="str">
        <f t="shared" si="365"/>
        <v/>
      </c>
      <c r="D4675" t="str">
        <f t="shared" si="366"/>
        <v/>
      </c>
      <c r="E4675" t="str">
        <f t="shared" si="367"/>
        <v/>
      </c>
      <c r="F4675" t="str">
        <f>IF(D4675="","",INDEX(Knutepunkter!$B:$B,D4675+1))</f>
        <v/>
      </c>
      <c r="G4675" t="str">
        <f>IF(D4675="","",INDEX(Knutepunkter!$C:$C,D4675+1))</f>
        <v/>
      </c>
      <c r="H4675" t="str">
        <f>IF(D4675="","",INDEX(Knutepunkter!$D:$D,D4675+1))</f>
        <v/>
      </c>
      <c r="I4675" t="str">
        <f>IF(E4675="","",INDEX(Knutepunkter!$B:$B,E4675+1))</f>
        <v/>
      </c>
      <c r="J4675" t="str">
        <f>IF(E4675="","",INDEX(Knutepunkter!$C:$C,E4675+1))</f>
        <v/>
      </c>
      <c r="K4675" t="str">
        <f>IF(E4675="","",INDEX(Knutepunkter!$D:$D,E4675+1))</f>
        <v/>
      </c>
      <c r="L4675" t="str">
        <f t="shared" si="368"/>
        <v/>
      </c>
      <c r="M4675" t="str">
        <f t="shared" si="369"/>
        <v/>
      </c>
    </row>
    <row r="4676" spans="1:13" x14ac:dyDescent="0.3">
      <c r="A4676" t="str">
        <f>Segmenter!A4676</f>
        <v/>
      </c>
      <c r="B4676" t="str">
        <f>Segmenter!B4676</f>
        <v/>
      </c>
      <c r="C4676" t="str">
        <f t="shared" si="365"/>
        <v/>
      </c>
      <c r="D4676" t="str">
        <f t="shared" si="366"/>
        <v/>
      </c>
      <c r="E4676" t="str">
        <f t="shared" si="367"/>
        <v/>
      </c>
      <c r="F4676" t="str">
        <f>IF(D4676="","",INDEX(Knutepunkter!$B:$B,D4676+1))</f>
        <v/>
      </c>
      <c r="G4676" t="str">
        <f>IF(D4676="","",INDEX(Knutepunkter!$C:$C,D4676+1))</f>
        <v/>
      </c>
      <c r="H4676" t="str">
        <f>IF(D4676="","",INDEX(Knutepunkter!$D:$D,D4676+1))</f>
        <v/>
      </c>
      <c r="I4676" t="str">
        <f>IF(E4676="","",INDEX(Knutepunkter!$B:$B,E4676+1))</f>
        <v/>
      </c>
      <c r="J4676" t="str">
        <f>IF(E4676="","",INDEX(Knutepunkter!$C:$C,E4676+1))</f>
        <v/>
      </c>
      <c r="K4676" t="str">
        <f>IF(E4676="","",INDEX(Knutepunkter!$D:$D,E4676+1))</f>
        <v/>
      </c>
      <c r="L4676" t="str">
        <f t="shared" si="368"/>
        <v/>
      </c>
      <c r="M4676" t="str">
        <f t="shared" si="369"/>
        <v/>
      </c>
    </row>
    <row r="4677" spans="1:13" x14ac:dyDescent="0.3">
      <c r="A4677" t="str">
        <f>Segmenter!A4677</f>
        <v/>
      </c>
      <c r="B4677" t="str">
        <f>Segmenter!B4677</f>
        <v/>
      </c>
      <c r="C4677" t="str">
        <f t="shared" si="365"/>
        <v/>
      </c>
      <c r="D4677" t="str">
        <f t="shared" si="366"/>
        <v/>
      </c>
      <c r="E4677" t="str">
        <f t="shared" si="367"/>
        <v/>
      </c>
      <c r="F4677" t="str">
        <f>IF(D4677="","",INDEX(Knutepunkter!$B:$B,D4677+1))</f>
        <v/>
      </c>
      <c r="G4677" t="str">
        <f>IF(D4677="","",INDEX(Knutepunkter!$C:$C,D4677+1))</f>
        <v/>
      </c>
      <c r="H4677" t="str">
        <f>IF(D4677="","",INDEX(Knutepunkter!$D:$D,D4677+1))</f>
        <v/>
      </c>
      <c r="I4677" t="str">
        <f>IF(E4677="","",INDEX(Knutepunkter!$B:$B,E4677+1))</f>
        <v/>
      </c>
      <c r="J4677" t="str">
        <f>IF(E4677="","",INDEX(Knutepunkter!$C:$C,E4677+1))</f>
        <v/>
      </c>
      <c r="K4677" t="str">
        <f>IF(E4677="","",INDEX(Knutepunkter!$D:$D,E4677+1))</f>
        <v/>
      </c>
      <c r="L4677" t="str">
        <f t="shared" si="368"/>
        <v/>
      </c>
      <c r="M4677" t="str">
        <f t="shared" si="369"/>
        <v/>
      </c>
    </row>
    <row r="4678" spans="1:13" x14ac:dyDescent="0.3">
      <c r="A4678" t="str">
        <f>Segmenter!A4678</f>
        <v/>
      </c>
      <c r="B4678" t="str">
        <f>Segmenter!B4678</f>
        <v/>
      </c>
      <c r="C4678" t="str">
        <f t="shared" si="365"/>
        <v/>
      </c>
      <c r="D4678" t="str">
        <f t="shared" si="366"/>
        <v/>
      </c>
      <c r="E4678" t="str">
        <f t="shared" si="367"/>
        <v/>
      </c>
      <c r="F4678" t="str">
        <f>IF(D4678="","",INDEX(Knutepunkter!$B:$B,D4678+1))</f>
        <v/>
      </c>
      <c r="G4678" t="str">
        <f>IF(D4678="","",INDEX(Knutepunkter!$C:$C,D4678+1))</f>
        <v/>
      </c>
      <c r="H4678" t="str">
        <f>IF(D4678="","",INDEX(Knutepunkter!$D:$D,D4678+1))</f>
        <v/>
      </c>
      <c r="I4678" t="str">
        <f>IF(E4678="","",INDEX(Knutepunkter!$B:$B,E4678+1))</f>
        <v/>
      </c>
      <c r="J4678" t="str">
        <f>IF(E4678="","",INDEX(Knutepunkter!$C:$C,E4678+1))</f>
        <v/>
      </c>
      <c r="K4678" t="str">
        <f>IF(E4678="","",INDEX(Knutepunkter!$D:$D,E4678+1))</f>
        <v/>
      </c>
      <c r="L4678" t="str">
        <f t="shared" si="368"/>
        <v/>
      </c>
      <c r="M4678" t="str">
        <f t="shared" si="369"/>
        <v/>
      </c>
    </row>
    <row r="4679" spans="1:13" x14ac:dyDescent="0.3">
      <c r="A4679" t="str">
        <f>Segmenter!A4679</f>
        <v/>
      </c>
      <c r="B4679" t="str">
        <f>Segmenter!B4679</f>
        <v/>
      </c>
      <c r="C4679" t="str">
        <f t="shared" si="365"/>
        <v/>
      </c>
      <c r="D4679" t="str">
        <f t="shared" si="366"/>
        <v/>
      </c>
      <c r="E4679" t="str">
        <f t="shared" si="367"/>
        <v/>
      </c>
      <c r="F4679" t="str">
        <f>IF(D4679="","",INDEX(Knutepunkter!$B:$B,D4679+1))</f>
        <v/>
      </c>
      <c r="G4679" t="str">
        <f>IF(D4679="","",INDEX(Knutepunkter!$C:$C,D4679+1))</f>
        <v/>
      </c>
      <c r="H4679" t="str">
        <f>IF(D4679="","",INDEX(Knutepunkter!$D:$D,D4679+1))</f>
        <v/>
      </c>
      <c r="I4679" t="str">
        <f>IF(E4679="","",INDEX(Knutepunkter!$B:$B,E4679+1))</f>
        <v/>
      </c>
      <c r="J4679" t="str">
        <f>IF(E4679="","",INDEX(Knutepunkter!$C:$C,E4679+1))</f>
        <v/>
      </c>
      <c r="K4679" t="str">
        <f>IF(E4679="","",INDEX(Knutepunkter!$D:$D,E4679+1))</f>
        <v/>
      </c>
      <c r="L4679" t="str">
        <f t="shared" si="368"/>
        <v/>
      </c>
      <c r="M4679" t="str">
        <f t="shared" si="369"/>
        <v/>
      </c>
    </row>
    <row r="4680" spans="1:13" x14ac:dyDescent="0.3">
      <c r="A4680" t="str">
        <f>Segmenter!A4680</f>
        <v/>
      </c>
      <c r="B4680" t="str">
        <f>Segmenter!B4680</f>
        <v/>
      </c>
      <c r="C4680" t="str">
        <f t="shared" si="365"/>
        <v/>
      </c>
      <c r="D4680" t="str">
        <f t="shared" si="366"/>
        <v/>
      </c>
      <c r="E4680" t="str">
        <f t="shared" si="367"/>
        <v/>
      </c>
      <c r="F4680" t="str">
        <f>IF(D4680="","",INDEX(Knutepunkter!$B:$B,D4680+1))</f>
        <v/>
      </c>
      <c r="G4680" t="str">
        <f>IF(D4680="","",INDEX(Knutepunkter!$C:$C,D4680+1))</f>
        <v/>
      </c>
      <c r="H4680" t="str">
        <f>IF(D4680="","",INDEX(Knutepunkter!$D:$D,D4680+1))</f>
        <v/>
      </c>
      <c r="I4680" t="str">
        <f>IF(E4680="","",INDEX(Knutepunkter!$B:$B,E4680+1))</f>
        <v/>
      </c>
      <c r="J4680" t="str">
        <f>IF(E4680="","",INDEX(Knutepunkter!$C:$C,E4680+1))</f>
        <v/>
      </c>
      <c r="K4680" t="str">
        <f>IF(E4680="","",INDEX(Knutepunkter!$D:$D,E4680+1))</f>
        <v/>
      </c>
      <c r="L4680" t="str">
        <f t="shared" si="368"/>
        <v/>
      </c>
      <c r="M4680" t="str">
        <f t="shared" si="369"/>
        <v/>
      </c>
    </row>
    <row r="4681" spans="1:13" x14ac:dyDescent="0.3">
      <c r="A4681" t="str">
        <f>Segmenter!A4681</f>
        <v/>
      </c>
      <c r="B4681" t="str">
        <f>Segmenter!B4681</f>
        <v/>
      </c>
      <c r="C4681" t="str">
        <f t="shared" si="365"/>
        <v/>
      </c>
      <c r="D4681" t="str">
        <f t="shared" si="366"/>
        <v/>
      </c>
      <c r="E4681" t="str">
        <f t="shared" si="367"/>
        <v/>
      </c>
      <c r="F4681" t="str">
        <f>IF(D4681="","",INDEX(Knutepunkter!$B:$B,D4681+1))</f>
        <v/>
      </c>
      <c r="G4681" t="str">
        <f>IF(D4681="","",INDEX(Knutepunkter!$C:$C,D4681+1))</f>
        <v/>
      </c>
      <c r="H4681" t="str">
        <f>IF(D4681="","",INDEX(Knutepunkter!$D:$D,D4681+1))</f>
        <v/>
      </c>
      <c r="I4681" t="str">
        <f>IF(E4681="","",INDEX(Knutepunkter!$B:$B,E4681+1))</f>
        <v/>
      </c>
      <c r="J4681" t="str">
        <f>IF(E4681="","",INDEX(Knutepunkter!$C:$C,E4681+1))</f>
        <v/>
      </c>
      <c r="K4681" t="str">
        <f>IF(E4681="","",INDEX(Knutepunkter!$D:$D,E4681+1))</f>
        <v/>
      </c>
      <c r="L4681" t="str">
        <f t="shared" si="368"/>
        <v/>
      </c>
      <c r="M4681" t="str">
        <f t="shared" si="369"/>
        <v/>
      </c>
    </row>
    <row r="4682" spans="1:13" x14ac:dyDescent="0.3">
      <c r="A4682" t="str">
        <f>Segmenter!A4682</f>
        <v/>
      </c>
      <c r="B4682" t="str">
        <f>Segmenter!B4682</f>
        <v/>
      </c>
      <c r="C4682" t="str">
        <f t="shared" si="365"/>
        <v/>
      </c>
      <c r="D4682" t="str">
        <f t="shared" si="366"/>
        <v/>
      </c>
      <c r="E4682" t="str">
        <f t="shared" si="367"/>
        <v/>
      </c>
      <c r="F4682" t="str">
        <f>IF(D4682="","",INDEX(Knutepunkter!$B:$B,D4682+1))</f>
        <v/>
      </c>
      <c r="G4682" t="str">
        <f>IF(D4682="","",INDEX(Knutepunkter!$C:$C,D4682+1))</f>
        <v/>
      </c>
      <c r="H4682" t="str">
        <f>IF(D4682="","",INDEX(Knutepunkter!$D:$D,D4682+1))</f>
        <v/>
      </c>
      <c r="I4682" t="str">
        <f>IF(E4682="","",INDEX(Knutepunkter!$B:$B,E4682+1))</f>
        <v/>
      </c>
      <c r="J4682" t="str">
        <f>IF(E4682="","",INDEX(Knutepunkter!$C:$C,E4682+1))</f>
        <v/>
      </c>
      <c r="K4682" t="str">
        <f>IF(E4682="","",INDEX(Knutepunkter!$D:$D,E4682+1))</f>
        <v/>
      </c>
      <c r="L4682" t="str">
        <f t="shared" si="368"/>
        <v/>
      </c>
      <c r="M4682" t="str">
        <f t="shared" si="369"/>
        <v/>
      </c>
    </row>
    <row r="4683" spans="1:13" x14ac:dyDescent="0.3">
      <c r="A4683" t="str">
        <f>Segmenter!A4683</f>
        <v/>
      </c>
      <c r="B4683" t="str">
        <f>Segmenter!B4683</f>
        <v/>
      </c>
      <c r="C4683" t="str">
        <f t="shared" si="365"/>
        <v/>
      </c>
      <c r="D4683" t="str">
        <f t="shared" si="366"/>
        <v/>
      </c>
      <c r="E4683" t="str">
        <f t="shared" si="367"/>
        <v/>
      </c>
      <c r="F4683" t="str">
        <f>IF(D4683="","",INDEX(Knutepunkter!$B:$B,D4683+1))</f>
        <v/>
      </c>
      <c r="G4683" t="str">
        <f>IF(D4683="","",INDEX(Knutepunkter!$C:$C,D4683+1))</f>
        <v/>
      </c>
      <c r="H4683" t="str">
        <f>IF(D4683="","",INDEX(Knutepunkter!$D:$D,D4683+1))</f>
        <v/>
      </c>
      <c r="I4683" t="str">
        <f>IF(E4683="","",INDEX(Knutepunkter!$B:$B,E4683+1))</f>
        <v/>
      </c>
      <c r="J4683" t="str">
        <f>IF(E4683="","",INDEX(Knutepunkter!$C:$C,E4683+1))</f>
        <v/>
      </c>
      <c r="K4683" t="str">
        <f>IF(E4683="","",INDEX(Knutepunkter!$D:$D,E4683+1))</f>
        <v/>
      </c>
      <c r="L4683" t="str">
        <f t="shared" si="368"/>
        <v/>
      </c>
      <c r="M4683" t="str">
        <f t="shared" si="369"/>
        <v/>
      </c>
    </row>
    <row r="4684" spans="1:13" x14ac:dyDescent="0.3">
      <c r="A4684" t="str">
        <f>Segmenter!A4684</f>
        <v/>
      </c>
      <c r="B4684" t="str">
        <f>Segmenter!B4684</f>
        <v/>
      </c>
      <c r="C4684" t="str">
        <f t="shared" si="365"/>
        <v/>
      </c>
      <c r="D4684" t="str">
        <f t="shared" si="366"/>
        <v/>
      </c>
      <c r="E4684" t="str">
        <f t="shared" si="367"/>
        <v/>
      </c>
      <c r="F4684" t="str">
        <f>IF(D4684="","",INDEX(Knutepunkter!$B:$B,D4684+1))</f>
        <v/>
      </c>
      <c r="G4684" t="str">
        <f>IF(D4684="","",INDEX(Knutepunkter!$C:$C,D4684+1))</f>
        <v/>
      </c>
      <c r="H4684" t="str">
        <f>IF(D4684="","",INDEX(Knutepunkter!$D:$D,D4684+1))</f>
        <v/>
      </c>
      <c r="I4684" t="str">
        <f>IF(E4684="","",INDEX(Knutepunkter!$B:$B,E4684+1))</f>
        <v/>
      </c>
      <c r="J4684" t="str">
        <f>IF(E4684="","",INDEX(Knutepunkter!$C:$C,E4684+1))</f>
        <v/>
      </c>
      <c r="K4684" t="str">
        <f>IF(E4684="","",INDEX(Knutepunkter!$D:$D,E4684+1))</f>
        <v/>
      </c>
      <c r="L4684" t="str">
        <f t="shared" si="368"/>
        <v/>
      </c>
      <c r="M4684" t="str">
        <f t="shared" si="369"/>
        <v/>
      </c>
    </row>
    <row r="4685" spans="1:13" x14ac:dyDescent="0.3">
      <c r="A4685" t="str">
        <f>Segmenter!A4685</f>
        <v/>
      </c>
      <c r="B4685" t="str">
        <f>Segmenter!B4685</f>
        <v/>
      </c>
      <c r="C4685" t="str">
        <f t="shared" si="365"/>
        <v/>
      </c>
      <c r="D4685" t="str">
        <f t="shared" si="366"/>
        <v/>
      </c>
      <c r="E4685" t="str">
        <f t="shared" si="367"/>
        <v/>
      </c>
      <c r="F4685" t="str">
        <f>IF(D4685="","",INDEX(Knutepunkter!$B:$B,D4685+1))</f>
        <v/>
      </c>
      <c r="G4685" t="str">
        <f>IF(D4685="","",INDEX(Knutepunkter!$C:$C,D4685+1))</f>
        <v/>
      </c>
      <c r="H4685" t="str">
        <f>IF(D4685="","",INDEX(Knutepunkter!$D:$D,D4685+1))</f>
        <v/>
      </c>
      <c r="I4685" t="str">
        <f>IF(E4685="","",INDEX(Knutepunkter!$B:$B,E4685+1))</f>
        <v/>
      </c>
      <c r="J4685" t="str">
        <f>IF(E4685="","",INDEX(Knutepunkter!$C:$C,E4685+1))</f>
        <v/>
      </c>
      <c r="K4685" t="str">
        <f>IF(E4685="","",INDEX(Knutepunkter!$D:$D,E4685+1))</f>
        <v/>
      </c>
      <c r="L4685" t="str">
        <f t="shared" si="368"/>
        <v/>
      </c>
      <c r="M4685" t="str">
        <f t="shared" si="369"/>
        <v/>
      </c>
    </row>
    <row r="4686" spans="1:13" x14ac:dyDescent="0.3">
      <c r="A4686" t="str">
        <f>Segmenter!A4686</f>
        <v/>
      </c>
      <c r="B4686" t="str">
        <f>Segmenter!B4686</f>
        <v/>
      </c>
      <c r="C4686" t="str">
        <f t="shared" si="365"/>
        <v/>
      </c>
      <c r="D4686" t="str">
        <f t="shared" si="366"/>
        <v/>
      </c>
      <c r="E4686" t="str">
        <f t="shared" si="367"/>
        <v/>
      </c>
      <c r="F4686" t="str">
        <f>IF(D4686="","",INDEX(Knutepunkter!$B:$B,D4686+1))</f>
        <v/>
      </c>
      <c r="G4686" t="str">
        <f>IF(D4686="","",INDEX(Knutepunkter!$C:$C,D4686+1))</f>
        <v/>
      </c>
      <c r="H4686" t="str">
        <f>IF(D4686="","",INDEX(Knutepunkter!$D:$D,D4686+1))</f>
        <v/>
      </c>
      <c r="I4686" t="str">
        <f>IF(E4686="","",INDEX(Knutepunkter!$B:$B,E4686+1))</f>
        <v/>
      </c>
      <c r="J4686" t="str">
        <f>IF(E4686="","",INDEX(Knutepunkter!$C:$C,E4686+1))</f>
        <v/>
      </c>
      <c r="K4686" t="str">
        <f>IF(E4686="","",INDEX(Knutepunkter!$D:$D,E4686+1))</f>
        <v/>
      </c>
      <c r="L4686" t="str">
        <f t="shared" si="368"/>
        <v/>
      </c>
      <c r="M4686" t="str">
        <f t="shared" si="369"/>
        <v/>
      </c>
    </row>
    <row r="4687" spans="1:13" x14ac:dyDescent="0.3">
      <c r="A4687" t="str">
        <f>Segmenter!A4687</f>
        <v/>
      </c>
      <c r="B4687" t="str">
        <f>Segmenter!B4687</f>
        <v/>
      </c>
      <c r="C4687" t="str">
        <f t="shared" si="365"/>
        <v/>
      </c>
      <c r="D4687" t="str">
        <f t="shared" si="366"/>
        <v/>
      </c>
      <c r="E4687" t="str">
        <f t="shared" si="367"/>
        <v/>
      </c>
      <c r="F4687" t="str">
        <f>IF(D4687="","",INDEX(Knutepunkter!$B:$B,D4687+1))</f>
        <v/>
      </c>
      <c r="G4687" t="str">
        <f>IF(D4687="","",INDEX(Knutepunkter!$C:$C,D4687+1))</f>
        <v/>
      </c>
      <c r="H4687" t="str">
        <f>IF(D4687="","",INDEX(Knutepunkter!$D:$D,D4687+1))</f>
        <v/>
      </c>
      <c r="I4687" t="str">
        <f>IF(E4687="","",INDEX(Knutepunkter!$B:$B,E4687+1))</f>
        <v/>
      </c>
      <c r="J4687" t="str">
        <f>IF(E4687="","",INDEX(Knutepunkter!$C:$C,E4687+1))</f>
        <v/>
      </c>
      <c r="K4687" t="str">
        <f>IF(E4687="","",INDEX(Knutepunkter!$D:$D,E4687+1))</f>
        <v/>
      </c>
      <c r="L4687" t="str">
        <f t="shared" si="368"/>
        <v/>
      </c>
      <c r="M4687" t="str">
        <f t="shared" si="369"/>
        <v/>
      </c>
    </row>
    <row r="4688" spans="1:13" x14ac:dyDescent="0.3">
      <c r="A4688" t="str">
        <f>Segmenter!A4688</f>
        <v/>
      </c>
      <c r="B4688" t="str">
        <f>Segmenter!B4688</f>
        <v/>
      </c>
      <c r="C4688" t="str">
        <f t="shared" si="365"/>
        <v/>
      </c>
      <c r="D4688" t="str">
        <f t="shared" si="366"/>
        <v/>
      </c>
      <c r="E4688" t="str">
        <f t="shared" si="367"/>
        <v/>
      </c>
      <c r="F4688" t="str">
        <f>IF(D4688="","",INDEX(Knutepunkter!$B:$B,D4688+1))</f>
        <v/>
      </c>
      <c r="G4688" t="str">
        <f>IF(D4688="","",INDEX(Knutepunkter!$C:$C,D4688+1))</f>
        <v/>
      </c>
      <c r="H4688" t="str">
        <f>IF(D4688="","",INDEX(Knutepunkter!$D:$D,D4688+1))</f>
        <v/>
      </c>
      <c r="I4688" t="str">
        <f>IF(E4688="","",INDEX(Knutepunkter!$B:$B,E4688+1))</f>
        <v/>
      </c>
      <c r="J4688" t="str">
        <f>IF(E4688="","",INDEX(Knutepunkter!$C:$C,E4688+1))</f>
        <v/>
      </c>
      <c r="K4688" t="str">
        <f>IF(E4688="","",INDEX(Knutepunkter!$D:$D,E4688+1))</f>
        <v/>
      </c>
      <c r="L4688" t="str">
        <f t="shared" si="368"/>
        <v/>
      </c>
      <c r="M4688" t="str">
        <f t="shared" si="369"/>
        <v/>
      </c>
    </row>
    <row r="4689" spans="1:13" x14ac:dyDescent="0.3">
      <c r="A4689" t="str">
        <f>Segmenter!A4689</f>
        <v/>
      </c>
      <c r="B4689" t="str">
        <f>Segmenter!B4689</f>
        <v/>
      </c>
      <c r="C4689" t="str">
        <f t="shared" si="365"/>
        <v/>
      </c>
      <c r="D4689" t="str">
        <f t="shared" si="366"/>
        <v/>
      </c>
      <c r="E4689" t="str">
        <f t="shared" si="367"/>
        <v/>
      </c>
      <c r="F4689" t="str">
        <f>IF(D4689="","",INDEX(Knutepunkter!$B:$B,D4689+1))</f>
        <v/>
      </c>
      <c r="G4689" t="str">
        <f>IF(D4689="","",INDEX(Knutepunkter!$C:$C,D4689+1))</f>
        <v/>
      </c>
      <c r="H4689" t="str">
        <f>IF(D4689="","",INDEX(Knutepunkter!$D:$D,D4689+1))</f>
        <v/>
      </c>
      <c r="I4689" t="str">
        <f>IF(E4689="","",INDEX(Knutepunkter!$B:$B,E4689+1))</f>
        <v/>
      </c>
      <c r="J4689" t="str">
        <f>IF(E4689="","",INDEX(Knutepunkter!$C:$C,E4689+1))</f>
        <v/>
      </c>
      <c r="K4689" t="str">
        <f>IF(E4689="","",INDEX(Knutepunkter!$D:$D,E4689+1))</f>
        <v/>
      </c>
      <c r="L4689" t="str">
        <f t="shared" si="368"/>
        <v/>
      </c>
      <c r="M4689" t="str">
        <f t="shared" si="369"/>
        <v/>
      </c>
    </row>
    <row r="4690" spans="1:13" x14ac:dyDescent="0.3">
      <c r="A4690" t="str">
        <f>Segmenter!A4690</f>
        <v/>
      </c>
      <c r="B4690" t="str">
        <f>Segmenter!B4690</f>
        <v/>
      </c>
      <c r="C4690" t="str">
        <f t="shared" si="365"/>
        <v/>
      </c>
      <c r="D4690" t="str">
        <f t="shared" si="366"/>
        <v/>
      </c>
      <c r="E4690" t="str">
        <f t="shared" si="367"/>
        <v/>
      </c>
      <c r="F4690" t="str">
        <f>IF(D4690="","",INDEX(Knutepunkter!$B:$B,D4690+1))</f>
        <v/>
      </c>
      <c r="G4690" t="str">
        <f>IF(D4690="","",INDEX(Knutepunkter!$C:$C,D4690+1))</f>
        <v/>
      </c>
      <c r="H4690" t="str">
        <f>IF(D4690="","",INDEX(Knutepunkter!$D:$D,D4690+1))</f>
        <v/>
      </c>
      <c r="I4690" t="str">
        <f>IF(E4690="","",INDEX(Knutepunkter!$B:$B,E4690+1))</f>
        <v/>
      </c>
      <c r="J4690" t="str">
        <f>IF(E4690="","",INDEX(Knutepunkter!$C:$C,E4690+1))</f>
        <v/>
      </c>
      <c r="K4690" t="str">
        <f>IF(E4690="","",INDEX(Knutepunkter!$D:$D,E4690+1))</f>
        <v/>
      </c>
      <c r="L4690" t="str">
        <f t="shared" si="368"/>
        <v/>
      </c>
      <c r="M4690" t="str">
        <f t="shared" si="369"/>
        <v/>
      </c>
    </row>
    <row r="4691" spans="1:13" x14ac:dyDescent="0.3">
      <c r="A4691" t="str">
        <f>Segmenter!A4691</f>
        <v/>
      </c>
      <c r="B4691" t="str">
        <f>Segmenter!B4691</f>
        <v/>
      </c>
      <c r="C4691" t="str">
        <f t="shared" si="365"/>
        <v/>
      </c>
      <c r="D4691" t="str">
        <f t="shared" si="366"/>
        <v/>
      </c>
      <c r="E4691" t="str">
        <f t="shared" si="367"/>
        <v/>
      </c>
      <c r="F4691" t="str">
        <f>IF(D4691="","",INDEX(Knutepunkter!$B:$B,D4691+1))</f>
        <v/>
      </c>
      <c r="G4691" t="str">
        <f>IF(D4691="","",INDEX(Knutepunkter!$C:$C,D4691+1))</f>
        <v/>
      </c>
      <c r="H4691" t="str">
        <f>IF(D4691="","",INDEX(Knutepunkter!$D:$D,D4691+1))</f>
        <v/>
      </c>
      <c r="I4691" t="str">
        <f>IF(E4691="","",INDEX(Knutepunkter!$B:$B,E4691+1))</f>
        <v/>
      </c>
      <c r="J4691" t="str">
        <f>IF(E4691="","",INDEX(Knutepunkter!$C:$C,E4691+1))</f>
        <v/>
      </c>
      <c r="K4691" t="str">
        <f>IF(E4691="","",INDEX(Knutepunkter!$D:$D,E4691+1))</f>
        <v/>
      </c>
      <c r="L4691" t="str">
        <f t="shared" si="368"/>
        <v/>
      </c>
      <c r="M4691" t="str">
        <f t="shared" si="369"/>
        <v/>
      </c>
    </row>
    <row r="4692" spans="1:13" x14ac:dyDescent="0.3">
      <c r="A4692" t="str">
        <f>Segmenter!A4692</f>
        <v/>
      </c>
      <c r="B4692" t="str">
        <f>Segmenter!B4692</f>
        <v/>
      </c>
      <c r="C4692" t="str">
        <f t="shared" si="365"/>
        <v/>
      </c>
      <c r="D4692" t="str">
        <f t="shared" si="366"/>
        <v/>
      </c>
      <c r="E4692" t="str">
        <f t="shared" si="367"/>
        <v/>
      </c>
      <c r="F4692" t="str">
        <f>IF(D4692="","",INDEX(Knutepunkter!$B:$B,D4692+1))</f>
        <v/>
      </c>
      <c r="G4692" t="str">
        <f>IF(D4692="","",INDEX(Knutepunkter!$C:$C,D4692+1))</f>
        <v/>
      </c>
      <c r="H4692" t="str">
        <f>IF(D4692="","",INDEX(Knutepunkter!$D:$D,D4692+1))</f>
        <v/>
      </c>
      <c r="I4692" t="str">
        <f>IF(E4692="","",INDEX(Knutepunkter!$B:$B,E4692+1))</f>
        <v/>
      </c>
      <c r="J4692" t="str">
        <f>IF(E4692="","",INDEX(Knutepunkter!$C:$C,E4692+1))</f>
        <v/>
      </c>
      <c r="K4692" t="str">
        <f>IF(E4692="","",INDEX(Knutepunkter!$D:$D,E4692+1))</f>
        <v/>
      </c>
      <c r="L4692" t="str">
        <f t="shared" si="368"/>
        <v/>
      </c>
      <c r="M4692" t="str">
        <f t="shared" si="369"/>
        <v/>
      </c>
    </row>
    <row r="4693" spans="1:13" x14ac:dyDescent="0.3">
      <c r="A4693" t="str">
        <f>Segmenter!A4693</f>
        <v/>
      </c>
      <c r="B4693" t="str">
        <f>Segmenter!B4693</f>
        <v/>
      </c>
      <c r="C4693" t="str">
        <f t="shared" si="365"/>
        <v/>
      </c>
      <c r="D4693" t="str">
        <f t="shared" si="366"/>
        <v/>
      </c>
      <c r="E4693" t="str">
        <f t="shared" si="367"/>
        <v/>
      </c>
      <c r="F4693" t="str">
        <f>IF(D4693="","",INDEX(Knutepunkter!$B:$B,D4693+1))</f>
        <v/>
      </c>
      <c r="G4693" t="str">
        <f>IF(D4693="","",INDEX(Knutepunkter!$C:$C,D4693+1))</f>
        <v/>
      </c>
      <c r="H4693" t="str">
        <f>IF(D4693="","",INDEX(Knutepunkter!$D:$D,D4693+1))</f>
        <v/>
      </c>
      <c r="I4693" t="str">
        <f>IF(E4693="","",INDEX(Knutepunkter!$B:$B,E4693+1))</f>
        <v/>
      </c>
      <c r="J4693" t="str">
        <f>IF(E4693="","",INDEX(Knutepunkter!$C:$C,E4693+1))</f>
        <v/>
      </c>
      <c r="K4693" t="str">
        <f>IF(E4693="","",INDEX(Knutepunkter!$D:$D,E4693+1))</f>
        <v/>
      </c>
      <c r="L4693" t="str">
        <f t="shared" si="368"/>
        <v/>
      </c>
      <c r="M4693" t="str">
        <f t="shared" si="369"/>
        <v/>
      </c>
    </row>
    <row r="4694" spans="1:13" x14ac:dyDescent="0.3">
      <c r="A4694" t="str">
        <f>Segmenter!A4694</f>
        <v/>
      </c>
      <c r="B4694" t="str">
        <f>Segmenter!B4694</f>
        <v/>
      </c>
      <c r="C4694" t="str">
        <f t="shared" si="365"/>
        <v/>
      </c>
      <c r="D4694" t="str">
        <f t="shared" si="366"/>
        <v/>
      </c>
      <c r="E4694" t="str">
        <f t="shared" si="367"/>
        <v/>
      </c>
      <c r="F4694" t="str">
        <f>IF(D4694="","",INDEX(Knutepunkter!$B:$B,D4694+1))</f>
        <v/>
      </c>
      <c r="G4694" t="str">
        <f>IF(D4694="","",INDEX(Knutepunkter!$C:$C,D4694+1))</f>
        <v/>
      </c>
      <c r="H4694" t="str">
        <f>IF(D4694="","",INDEX(Knutepunkter!$D:$D,D4694+1))</f>
        <v/>
      </c>
      <c r="I4694" t="str">
        <f>IF(E4694="","",INDEX(Knutepunkter!$B:$B,E4694+1))</f>
        <v/>
      </c>
      <c r="J4694" t="str">
        <f>IF(E4694="","",INDEX(Knutepunkter!$C:$C,E4694+1))</f>
        <v/>
      </c>
      <c r="K4694" t="str">
        <f>IF(E4694="","",INDEX(Knutepunkter!$D:$D,E4694+1))</f>
        <v/>
      </c>
      <c r="L4694" t="str">
        <f t="shared" si="368"/>
        <v/>
      </c>
      <c r="M4694" t="str">
        <f t="shared" si="369"/>
        <v/>
      </c>
    </row>
    <row r="4695" spans="1:13" x14ac:dyDescent="0.3">
      <c r="A4695" t="str">
        <f>Segmenter!A4695</f>
        <v/>
      </c>
      <c r="B4695" t="str">
        <f>Segmenter!B4695</f>
        <v/>
      </c>
      <c r="C4695" t="str">
        <f t="shared" si="365"/>
        <v/>
      </c>
      <c r="D4695" t="str">
        <f t="shared" si="366"/>
        <v/>
      </c>
      <c r="E4695" t="str">
        <f t="shared" si="367"/>
        <v/>
      </c>
      <c r="F4695" t="str">
        <f>IF(D4695="","",INDEX(Knutepunkter!$B:$B,D4695+1))</f>
        <v/>
      </c>
      <c r="G4695" t="str">
        <f>IF(D4695="","",INDEX(Knutepunkter!$C:$C,D4695+1))</f>
        <v/>
      </c>
      <c r="H4695" t="str">
        <f>IF(D4695="","",INDEX(Knutepunkter!$D:$D,D4695+1))</f>
        <v/>
      </c>
      <c r="I4695" t="str">
        <f>IF(E4695="","",INDEX(Knutepunkter!$B:$B,E4695+1))</f>
        <v/>
      </c>
      <c r="J4695" t="str">
        <f>IF(E4695="","",INDEX(Knutepunkter!$C:$C,E4695+1))</f>
        <v/>
      </c>
      <c r="K4695" t="str">
        <f>IF(E4695="","",INDEX(Knutepunkter!$D:$D,E4695+1))</f>
        <v/>
      </c>
      <c r="L4695" t="str">
        <f t="shared" si="368"/>
        <v/>
      </c>
      <c r="M4695" t="str">
        <f t="shared" si="369"/>
        <v/>
      </c>
    </row>
    <row r="4696" spans="1:13" x14ac:dyDescent="0.3">
      <c r="A4696" t="str">
        <f>Segmenter!A4696</f>
        <v/>
      </c>
      <c r="B4696" t="str">
        <f>Segmenter!B4696</f>
        <v/>
      </c>
      <c r="C4696" t="str">
        <f t="shared" si="365"/>
        <v/>
      </c>
      <c r="D4696" t="str">
        <f t="shared" si="366"/>
        <v/>
      </c>
      <c r="E4696" t="str">
        <f t="shared" si="367"/>
        <v/>
      </c>
      <c r="F4696" t="str">
        <f>IF(D4696="","",INDEX(Knutepunkter!$B:$B,D4696+1))</f>
        <v/>
      </c>
      <c r="G4696" t="str">
        <f>IF(D4696="","",INDEX(Knutepunkter!$C:$C,D4696+1))</f>
        <v/>
      </c>
      <c r="H4696" t="str">
        <f>IF(D4696="","",INDEX(Knutepunkter!$D:$D,D4696+1))</f>
        <v/>
      </c>
      <c r="I4696" t="str">
        <f>IF(E4696="","",INDEX(Knutepunkter!$B:$B,E4696+1))</f>
        <v/>
      </c>
      <c r="J4696" t="str">
        <f>IF(E4696="","",INDEX(Knutepunkter!$C:$C,E4696+1))</f>
        <v/>
      </c>
      <c r="K4696" t="str">
        <f>IF(E4696="","",INDEX(Knutepunkter!$D:$D,E4696+1))</f>
        <v/>
      </c>
      <c r="L4696" t="str">
        <f t="shared" si="368"/>
        <v/>
      </c>
      <c r="M4696" t="str">
        <f t="shared" si="369"/>
        <v/>
      </c>
    </row>
    <row r="4697" spans="1:13" x14ac:dyDescent="0.3">
      <c r="A4697" t="str">
        <f>Segmenter!A4697</f>
        <v/>
      </c>
      <c r="B4697" t="str">
        <f>Segmenter!B4697</f>
        <v/>
      </c>
      <c r="C4697" t="str">
        <f t="shared" si="365"/>
        <v/>
      </c>
      <c r="D4697" t="str">
        <f t="shared" si="366"/>
        <v/>
      </c>
      <c r="E4697" t="str">
        <f t="shared" si="367"/>
        <v/>
      </c>
      <c r="F4697" t="str">
        <f>IF(D4697="","",INDEX(Knutepunkter!$B:$B,D4697+1))</f>
        <v/>
      </c>
      <c r="G4697" t="str">
        <f>IF(D4697="","",INDEX(Knutepunkter!$C:$C,D4697+1))</f>
        <v/>
      </c>
      <c r="H4697" t="str">
        <f>IF(D4697="","",INDEX(Knutepunkter!$D:$D,D4697+1))</f>
        <v/>
      </c>
      <c r="I4697" t="str">
        <f>IF(E4697="","",INDEX(Knutepunkter!$B:$B,E4697+1))</f>
        <v/>
      </c>
      <c r="J4697" t="str">
        <f>IF(E4697="","",INDEX(Knutepunkter!$C:$C,E4697+1))</f>
        <v/>
      </c>
      <c r="K4697" t="str">
        <f>IF(E4697="","",INDEX(Knutepunkter!$D:$D,E4697+1))</f>
        <v/>
      </c>
      <c r="L4697" t="str">
        <f t="shared" si="368"/>
        <v/>
      </c>
      <c r="M4697" t="str">
        <f t="shared" si="369"/>
        <v/>
      </c>
    </row>
    <row r="4698" spans="1:13" x14ac:dyDescent="0.3">
      <c r="A4698" t="str">
        <f>Segmenter!A4698</f>
        <v/>
      </c>
      <c r="B4698" t="str">
        <f>Segmenter!B4698</f>
        <v/>
      </c>
      <c r="C4698" t="str">
        <f t="shared" si="365"/>
        <v/>
      </c>
      <c r="D4698" t="str">
        <f t="shared" si="366"/>
        <v/>
      </c>
      <c r="E4698" t="str">
        <f t="shared" si="367"/>
        <v/>
      </c>
      <c r="F4698" t="str">
        <f>IF(D4698="","",INDEX(Knutepunkter!$B:$B,D4698+1))</f>
        <v/>
      </c>
      <c r="G4698" t="str">
        <f>IF(D4698="","",INDEX(Knutepunkter!$C:$C,D4698+1))</f>
        <v/>
      </c>
      <c r="H4698" t="str">
        <f>IF(D4698="","",INDEX(Knutepunkter!$D:$D,D4698+1))</f>
        <v/>
      </c>
      <c r="I4698" t="str">
        <f>IF(E4698="","",INDEX(Knutepunkter!$B:$B,E4698+1))</f>
        <v/>
      </c>
      <c r="J4698" t="str">
        <f>IF(E4698="","",INDEX(Knutepunkter!$C:$C,E4698+1))</f>
        <v/>
      </c>
      <c r="K4698" t="str">
        <f>IF(E4698="","",INDEX(Knutepunkter!$D:$D,E4698+1))</f>
        <v/>
      </c>
      <c r="L4698" t="str">
        <f t="shared" si="368"/>
        <v/>
      </c>
      <c r="M4698" t="str">
        <f t="shared" si="369"/>
        <v/>
      </c>
    </row>
    <row r="4699" spans="1:13" x14ac:dyDescent="0.3">
      <c r="A4699" t="str">
        <f>Segmenter!A4699</f>
        <v/>
      </c>
      <c r="B4699" t="str">
        <f>Segmenter!B4699</f>
        <v/>
      </c>
      <c r="C4699" t="str">
        <f t="shared" si="365"/>
        <v/>
      </c>
      <c r="D4699" t="str">
        <f t="shared" si="366"/>
        <v/>
      </c>
      <c r="E4699" t="str">
        <f t="shared" si="367"/>
        <v/>
      </c>
      <c r="F4699" t="str">
        <f>IF(D4699="","",INDEX(Knutepunkter!$B:$B,D4699+1))</f>
        <v/>
      </c>
      <c r="G4699" t="str">
        <f>IF(D4699="","",INDEX(Knutepunkter!$C:$C,D4699+1))</f>
        <v/>
      </c>
      <c r="H4699" t="str">
        <f>IF(D4699="","",INDEX(Knutepunkter!$D:$D,D4699+1))</f>
        <v/>
      </c>
      <c r="I4699" t="str">
        <f>IF(E4699="","",INDEX(Knutepunkter!$B:$B,E4699+1))</f>
        <v/>
      </c>
      <c r="J4699" t="str">
        <f>IF(E4699="","",INDEX(Knutepunkter!$C:$C,E4699+1))</f>
        <v/>
      </c>
      <c r="K4699" t="str">
        <f>IF(E4699="","",INDEX(Knutepunkter!$D:$D,E4699+1))</f>
        <v/>
      </c>
      <c r="L4699" t="str">
        <f t="shared" si="368"/>
        <v/>
      </c>
      <c r="M4699" t="str">
        <f t="shared" si="369"/>
        <v/>
      </c>
    </row>
    <row r="4700" spans="1:13" x14ac:dyDescent="0.3">
      <c r="A4700" t="str">
        <f>Segmenter!A4700</f>
        <v/>
      </c>
      <c r="B4700" t="str">
        <f>Segmenter!B4700</f>
        <v/>
      </c>
      <c r="C4700" t="str">
        <f t="shared" si="365"/>
        <v/>
      </c>
      <c r="D4700" t="str">
        <f t="shared" si="366"/>
        <v/>
      </c>
      <c r="E4700" t="str">
        <f t="shared" si="367"/>
        <v/>
      </c>
      <c r="F4700" t="str">
        <f>IF(D4700="","",INDEX(Knutepunkter!$B:$B,D4700+1))</f>
        <v/>
      </c>
      <c r="G4700" t="str">
        <f>IF(D4700="","",INDEX(Knutepunkter!$C:$C,D4700+1))</f>
        <v/>
      </c>
      <c r="H4700" t="str">
        <f>IF(D4700="","",INDEX(Knutepunkter!$D:$D,D4700+1))</f>
        <v/>
      </c>
      <c r="I4700" t="str">
        <f>IF(E4700="","",INDEX(Knutepunkter!$B:$B,E4700+1))</f>
        <v/>
      </c>
      <c r="J4700" t="str">
        <f>IF(E4700="","",INDEX(Knutepunkter!$C:$C,E4700+1))</f>
        <v/>
      </c>
      <c r="K4700" t="str">
        <f>IF(E4700="","",INDEX(Knutepunkter!$D:$D,E4700+1))</f>
        <v/>
      </c>
      <c r="L4700" t="str">
        <f t="shared" si="368"/>
        <v/>
      </c>
      <c r="M4700" t="str">
        <f t="shared" si="369"/>
        <v/>
      </c>
    </row>
    <row r="4701" spans="1:13" x14ac:dyDescent="0.3">
      <c r="A4701" t="str">
        <f>Segmenter!A4701</f>
        <v/>
      </c>
      <c r="B4701" t="str">
        <f>Segmenter!B4701</f>
        <v/>
      </c>
      <c r="C4701" t="str">
        <f t="shared" si="365"/>
        <v/>
      </c>
      <c r="D4701" t="str">
        <f t="shared" si="366"/>
        <v/>
      </c>
      <c r="E4701" t="str">
        <f t="shared" si="367"/>
        <v/>
      </c>
      <c r="F4701" t="str">
        <f>IF(D4701="","",INDEX(Knutepunkter!$B:$B,D4701+1))</f>
        <v/>
      </c>
      <c r="G4701" t="str">
        <f>IF(D4701="","",INDEX(Knutepunkter!$C:$C,D4701+1))</f>
        <v/>
      </c>
      <c r="H4701" t="str">
        <f>IF(D4701="","",INDEX(Knutepunkter!$D:$D,D4701+1))</f>
        <v/>
      </c>
      <c r="I4701" t="str">
        <f>IF(E4701="","",INDEX(Knutepunkter!$B:$B,E4701+1))</f>
        <v/>
      </c>
      <c r="J4701" t="str">
        <f>IF(E4701="","",INDEX(Knutepunkter!$C:$C,E4701+1))</f>
        <v/>
      </c>
      <c r="K4701" t="str">
        <f>IF(E4701="","",INDEX(Knutepunkter!$D:$D,E4701+1))</f>
        <v/>
      </c>
      <c r="L4701" t="str">
        <f t="shared" si="368"/>
        <v/>
      </c>
      <c r="M4701" t="str">
        <f t="shared" si="369"/>
        <v/>
      </c>
    </row>
    <row r="4702" spans="1:13" x14ac:dyDescent="0.3">
      <c r="A4702" t="str">
        <f>Segmenter!A4702</f>
        <v/>
      </c>
      <c r="B4702" t="str">
        <f>Segmenter!B4702</f>
        <v/>
      </c>
      <c r="C4702" t="str">
        <f t="shared" si="365"/>
        <v/>
      </c>
      <c r="D4702" t="str">
        <f t="shared" si="366"/>
        <v/>
      </c>
      <c r="E4702" t="str">
        <f t="shared" si="367"/>
        <v/>
      </c>
      <c r="F4702" t="str">
        <f>IF(D4702="","",INDEX(Knutepunkter!$B:$B,D4702+1))</f>
        <v/>
      </c>
      <c r="G4702" t="str">
        <f>IF(D4702="","",INDEX(Knutepunkter!$C:$C,D4702+1))</f>
        <v/>
      </c>
      <c r="H4702" t="str">
        <f>IF(D4702="","",INDEX(Knutepunkter!$D:$D,D4702+1))</f>
        <v/>
      </c>
      <c r="I4702" t="str">
        <f>IF(E4702="","",INDEX(Knutepunkter!$B:$B,E4702+1))</f>
        <v/>
      </c>
      <c r="J4702" t="str">
        <f>IF(E4702="","",INDEX(Knutepunkter!$C:$C,E4702+1))</f>
        <v/>
      </c>
      <c r="K4702" t="str">
        <f>IF(E4702="","",INDEX(Knutepunkter!$D:$D,E4702+1))</f>
        <v/>
      </c>
      <c r="L4702" t="str">
        <f t="shared" si="368"/>
        <v/>
      </c>
      <c r="M4702" t="str">
        <f t="shared" si="369"/>
        <v/>
      </c>
    </row>
    <row r="4703" spans="1:13" x14ac:dyDescent="0.3">
      <c r="A4703" t="str">
        <f>Segmenter!A4703</f>
        <v/>
      </c>
      <c r="B4703" t="str">
        <f>Segmenter!B4703</f>
        <v/>
      </c>
      <c r="C4703" t="str">
        <f t="shared" si="365"/>
        <v/>
      </c>
      <c r="D4703" t="str">
        <f t="shared" si="366"/>
        <v/>
      </c>
      <c r="E4703" t="str">
        <f t="shared" si="367"/>
        <v/>
      </c>
      <c r="F4703" t="str">
        <f>IF(D4703="","",INDEX(Knutepunkter!$B:$B,D4703+1))</f>
        <v/>
      </c>
      <c r="G4703" t="str">
        <f>IF(D4703="","",INDEX(Knutepunkter!$C:$C,D4703+1))</f>
        <v/>
      </c>
      <c r="H4703" t="str">
        <f>IF(D4703="","",INDEX(Knutepunkter!$D:$D,D4703+1))</f>
        <v/>
      </c>
      <c r="I4703" t="str">
        <f>IF(E4703="","",INDEX(Knutepunkter!$B:$B,E4703+1))</f>
        <v/>
      </c>
      <c r="J4703" t="str">
        <f>IF(E4703="","",INDEX(Knutepunkter!$C:$C,E4703+1))</f>
        <v/>
      </c>
      <c r="K4703" t="str">
        <f>IF(E4703="","",INDEX(Knutepunkter!$D:$D,E4703+1))</f>
        <v/>
      </c>
      <c r="L4703" t="str">
        <f t="shared" si="368"/>
        <v/>
      </c>
      <c r="M4703" t="str">
        <f t="shared" si="369"/>
        <v/>
      </c>
    </row>
    <row r="4704" spans="1:13" x14ac:dyDescent="0.3">
      <c r="A4704" t="str">
        <f>Segmenter!A4704</f>
        <v/>
      </c>
      <c r="B4704" t="str">
        <f>Segmenter!B4704</f>
        <v/>
      </c>
      <c r="C4704" t="str">
        <f t="shared" si="365"/>
        <v/>
      </c>
      <c r="D4704" t="str">
        <f t="shared" si="366"/>
        <v/>
      </c>
      <c r="E4704" t="str">
        <f t="shared" si="367"/>
        <v/>
      </c>
      <c r="F4704" t="str">
        <f>IF(D4704="","",INDEX(Knutepunkter!$B:$B,D4704+1))</f>
        <v/>
      </c>
      <c r="G4704" t="str">
        <f>IF(D4704="","",INDEX(Knutepunkter!$C:$C,D4704+1))</f>
        <v/>
      </c>
      <c r="H4704" t="str">
        <f>IF(D4704="","",INDEX(Knutepunkter!$D:$D,D4704+1))</f>
        <v/>
      </c>
      <c r="I4704" t="str">
        <f>IF(E4704="","",INDEX(Knutepunkter!$B:$B,E4704+1))</f>
        <v/>
      </c>
      <c r="J4704" t="str">
        <f>IF(E4704="","",INDEX(Knutepunkter!$C:$C,E4704+1))</f>
        <v/>
      </c>
      <c r="K4704" t="str">
        <f>IF(E4704="","",INDEX(Knutepunkter!$D:$D,E4704+1))</f>
        <v/>
      </c>
      <c r="L4704" t="str">
        <f t="shared" si="368"/>
        <v/>
      </c>
      <c r="M4704" t="str">
        <f t="shared" si="369"/>
        <v/>
      </c>
    </row>
    <row r="4705" spans="1:13" x14ac:dyDescent="0.3">
      <c r="A4705" t="str">
        <f>Segmenter!A4705</f>
        <v/>
      </c>
      <c r="B4705" t="str">
        <f>Segmenter!B4705</f>
        <v/>
      </c>
      <c r="C4705" t="str">
        <f t="shared" si="365"/>
        <v/>
      </c>
      <c r="D4705" t="str">
        <f t="shared" si="366"/>
        <v/>
      </c>
      <c r="E4705" t="str">
        <f t="shared" si="367"/>
        <v/>
      </c>
      <c r="F4705" t="str">
        <f>IF(D4705="","",INDEX(Knutepunkter!$B:$B,D4705+1))</f>
        <v/>
      </c>
      <c r="G4705" t="str">
        <f>IF(D4705="","",INDEX(Knutepunkter!$C:$C,D4705+1))</f>
        <v/>
      </c>
      <c r="H4705" t="str">
        <f>IF(D4705="","",INDEX(Knutepunkter!$D:$D,D4705+1))</f>
        <v/>
      </c>
      <c r="I4705" t="str">
        <f>IF(E4705="","",INDEX(Knutepunkter!$B:$B,E4705+1))</f>
        <v/>
      </c>
      <c r="J4705" t="str">
        <f>IF(E4705="","",INDEX(Knutepunkter!$C:$C,E4705+1))</f>
        <v/>
      </c>
      <c r="K4705" t="str">
        <f>IF(E4705="","",INDEX(Knutepunkter!$D:$D,E4705+1))</f>
        <v/>
      </c>
      <c r="L4705" t="str">
        <f t="shared" si="368"/>
        <v/>
      </c>
      <c r="M4705" t="str">
        <f t="shared" si="369"/>
        <v/>
      </c>
    </row>
    <row r="4706" spans="1:13" x14ac:dyDescent="0.3">
      <c r="A4706" t="str">
        <f>Segmenter!A4706</f>
        <v/>
      </c>
      <c r="B4706" t="str">
        <f>Segmenter!B4706</f>
        <v/>
      </c>
      <c r="C4706" t="str">
        <f t="shared" si="365"/>
        <v/>
      </c>
      <c r="D4706" t="str">
        <f t="shared" si="366"/>
        <v/>
      </c>
      <c r="E4706" t="str">
        <f t="shared" si="367"/>
        <v/>
      </c>
      <c r="F4706" t="str">
        <f>IF(D4706="","",INDEX(Knutepunkter!$B:$B,D4706+1))</f>
        <v/>
      </c>
      <c r="G4706" t="str">
        <f>IF(D4706="","",INDEX(Knutepunkter!$C:$C,D4706+1))</f>
        <v/>
      </c>
      <c r="H4706" t="str">
        <f>IF(D4706="","",INDEX(Knutepunkter!$D:$D,D4706+1))</f>
        <v/>
      </c>
      <c r="I4706" t="str">
        <f>IF(E4706="","",INDEX(Knutepunkter!$B:$B,E4706+1))</f>
        <v/>
      </c>
      <c r="J4706" t="str">
        <f>IF(E4706="","",INDEX(Knutepunkter!$C:$C,E4706+1))</f>
        <v/>
      </c>
      <c r="K4706" t="str">
        <f>IF(E4706="","",INDEX(Knutepunkter!$D:$D,E4706+1))</f>
        <v/>
      </c>
      <c r="L4706" t="str">
        <f t="shared" si="368"/>
        <v/>
      </c>
      <c r="M4706" t="str">
        <f t="shared" si="369"/>
        <v/>
      </c>
    </row>
    <row r="4707" spans="1:13" x14ac:dyDescent="0.3">
      <c r="A4707" t="str">
        <f>Segmenter!A4707</f>
        <v/>
      </c>
      <c r="B4707" t="str">
        <f>Segmenter!B4707</f>
        <v/>
      </c>
      <c r="C4707" t="str">
        <f t="shared" si="365"/>
        <v/>
      </c>
      <c r="D4707" t="str">
        <f t="shared" si="366"/>
        <v/>
      </c>
      <c r="E4707" t="str">
        <f t="shared" si="367"/>
        <v/>
      </c>
      <c r="F4707" t="str">
        <f>IF(D4707="","",INDEX(Knutepunkter!$B:$B,D4707+1))</f>
        <v/>
      </c>
      <c r="G4707" t="str">
        <f>IF(D4707="","",INDEX(Knutepunkter!$C:$C,D4707+1))</f>
        <v/>
      </c>
      <c r="H4707" t="str">
        <f>IF(D4707="","",INDEX(Knutepunkter!$D:$D,D4707+1))</f>
        <v/>
      </c>
      <c r="I4707" t="str">
        <f>IF(E4707="","",INDEX(Knutepunkter!$B:$B,E4707+1))</f>
        <v/>
      </c>
      <c r="J4707" t="str">
        <f>IF(E4707="","",INDEX(Knutepunkter!$C:$C,E4707+1))</f>
        <v/>
      </c>
      <c r="K4707" t="str">
        <f>IF(E4707="","",INDEX(Knutepunkter!$D:$D,E4707+1))</f>
        <v/>
      </c>
      <c r="L4707" t="str">
        <f t="shared" si="368"/>
        <v/>
      </c>
      <c r="M4707" t="str">
        <f t="shared" si="369"/>
        <v/>
      </c>
    </row>
    <row r="4708" spans="1:13" x14ac:dyDescent="0.3">
      <c r="A4708" t="str">
        <f>Segmenter!A4708</f>
        <v/>
      </c>
      <c r="B4708" t="str">
        <f>Segmenter!B4708</f>
        <v/>
      </c>
      <c r="C4708" t="str">
        <f t="shared" si="365"/>
        <v/>
      </c>
      <c r="D4708" t="str">
        <f t="shared" si="366"/>
        <v/>
      </c>
      <c r="E4708" t="str">
        <f t="shared" si="367"/>
        <v/>
      </c>
      <c r="F4708" t="str">
        <f>IF(D4708="","",INDEX(Knutepunkter!$B:$B,D4708+1))</f>
        <v/>
      </c>
      <c r="G4708" t="str">
        <f>IF(D4708="","",INDEX(Knutepunkter!$C:$C,D4708+1))</f>
        <v/>
      </c>
      <c r="H4708" t="str">
        <f>IF(D4708="","",INDEX(Knutepunkter!$D:$D,D4708+1))</f>
        <v/>
      </c>
      <c r="I4708" t="str">
        <f>IF(E4708="","",INDEX(Knutepunkter!$B:$B,E4708+1))</f>
        <v/>
      </c>
      <c r="J4708" t="str">
        <f>IF(E4708="","",INDEX(Knutepunkter!$C:$C,E4708+1))</f>
        <v/>
      </c>
      <c r="K4708" t="str">
        <f>IF(E4708="","",INDEX(Knutepunkter!$D:$D,E4708+1))</f>
        <v/>
      </c>
      <c r="L4708" t="str">
        <f t="shared" si="368"/>
        <v/>
      </c>
      <c r="M4708" t="str">
        <f t="shared" si="369"/>
        <v/>
      </c>
    </row>
    <row r="4709" spans="1:13" x14ac:dyDescent="0.3">
      <c r="A4709" t="str">
        <f>Segmenter!A4709</f>
        <v/>
      </c>
      <c r="B4709" t="str">
        <f>Segmenter!B4709</f>
        <v/>
      </c>
      <c r="C4709" t="str">
        <f t="shared" si="365"/>
        <v/>
      </c>
      <c r="D4709" t="str">
        <f t="shared" si="366"/>
        <v/>
      </c>
      <c r="E4709" t="str">
        <f t="shared" si="367"/>
        <v/>
      </c>
      <c r="F4709" t="str">
        <f>IF(D4709="","",INDEX(Knutepunkter!$B:$B,D4709+1))</f>
        <v/>
      </c>
      <c r="G4709" t="str">
        <f>IF(D4709="","",INDEX(Knutepunkter!$C:$C,D4709+1))</f>
        <v/>
      </c>
      <c r="H4709" t="str">
        <f>IF(D4709="","",INDEX(Knutepunkter!$D:$D,D4709+1))</f>
        <v/>
      </c>
      <c r="I4709" t="str">
        <f>IF(E4709="","",INDEX(Knutepunkter!$B:$B,E4709+1))</f>
        <v/>
      </c>
      <c r="J4709" t="str">
        <f>IF(E4709="","",INDEX(Knutepunkter!$C:$C,E4709+1))</f>
        <v/>
      </c>
      <c r="K4709" t="str">
        <f>IF(E4709="","",INDEX(Knutepunkter!$D:$D,E4709+1))</f>
        <v/>
      </c>
      <c r="L4709" t="str">
        <f t="shared" si="368"/>
        <v/>
      </c>
      <c r="M4709" t="str">
        <f t="shared" si="369"/>
        <v/>
      </c>
    </row>
    <row r="4710" spans="1:13" x14ac:dyDescent="0.3">
      <c r="A4710" t="str">
        <f>Segmenter!A4710</f>
        <v/>
      </c>
      <c r="B4710" t="str">
        <f>Segmenter!B4710</f>
        <v/>
      </c>
      <c r="C4710" t="str">
        <f t="shared" si="365"/>
        <v/>
      </c>
      <c r="D4710" t="str">
        <f t="shared" si="366"/>
        <v/>
      </c>
      <c r="E4710" t="str">
        <f t="shared" si="367"/>
        <v/>
      </c>
      <c r="F4710" t="str">
        <f>IF(D4710="","",INDEX(Knutepunkter!$B:$B,D4710+1))</f>
        <v/>
      </c>
      <c r="G4710" t="str">
        <f>IF(D4710="","",INDEX(Knutepunkter!$C:$C,D4710+1))</f>
        <v/>
      </c>
      <c r="H4710" t="str">
        <f>IF(D4710="","",INDEX(Knutepunkter!$D:$D,D4710+1))</f>
        <v/>
      </c>
      <c r="I4710" t="str">
        <f>IF(E4710="","",INDEX(Knutepunkter!$B:$B,E4710+1))</f>
        <v/>
      </c>
      <c r="J4710" t="str">
        <f>IF(E4710="","",INDEX(Knutepunkter!$C:$C,E4710+1))</f>
        <v/>
      </c>
      <c r="K4710" t="str">
        <f>IF(E4710="","",INDEX(Knutepunkter!$D:$D,E4710+1))</f>
        <v/>
      </c>
      <c r="L4710" t="str">
        <f t="shared" si="368"/>
        <v/>
      </c>
      <c r="M4710" t="str">
        <f t="shared" si="369"/>
        <v/>
      </c>
    </row>
    <row r="4711" spans="1:13" x14ac:dyDescent="0.3">
      <c r="A4711" t="str">
        <f>Segmenter!A4711</f>
        <v/>
      </c>
      <c r="B4711" t="str">
        <f>Segmenter!B4711</f>
        <v/>
      </c>
      <c r="C4711" t="str">
        <f t="shared" si="365"/>
        <v/>
      </c>
      <c r="D4711" t="str">
        <f t="shared" si="366"/>
        <v/>
      </c>
      <c r="E4711" t="str">
        <f t="shared" si="367"/>
        <v/>
      </c>
      <c r="F4711" t="str">
        <f>IF(D4711="","",INDEX(Knutepunkter!$B:$B,D4711+1))</f>
        <v/>
      </c>
      <c r="G4711" t="str">
        <f>IF(D4711="","",INDEX(Knutepunkter!$C:$C,D4711+1))</f>
        <v/>
      </c>
      <c r="H4711" t="str">
        <f>IF(D4711="","",INDEX(Knutepunkter!$D:$D,D4711+1))</f>
        <v/>
      </c>
      <c r="I4711" t="str">
        <f>IF(E4711="","",INDEX(Knutepunkter!$B:$B,E4711+1))</f>
        <v/>
      </c>
      <c r="J4711" t="str">
        <f>IF(E4711="","",INDEX(Knutepunkter!$C:$C,E4711+1))</f>
        <v/>
      </c>
      <c r="K4711" t="str">
        <f>IF(E4711="","",INDEX(Knutepunkter!$D:$D,E4711+1))</f>
        <v/>
      </c>
      <c r="L4711" t="str">
        <f t="shared" si="368"/>
        <v/>
      </c>
      <c r="M4711" t="str">
        <f t="shared" si="369"/>
        <v/>
      </c>
    </row>
    <row r="4712" spans="1:13" x14ac:dyDescent="0.3">
      <c r="A4712" t="str">
        <f>Segmenter!A4712</f>
        <v/>
      </c>
      <c r="B4712" t="str">
        <f>Segmenter!B4712</f>
        <v/>
      </c>
      <c r="C4712" t="str">
        <f t="shared" si="365"/>
        <v/>
      </c>
      <c r="D4712" t="str">
        <f t="shared" si="366"/>
        <v/>
      </c>
      <c r="E4712" t="str">
        <f t="shared" si="367"/>
        <v/>
      </c>
      <c r="F4712" t="str">
        <f>IF(D4712="","",INDEX(Knutepunkter!$B:$B,D4712+1))</f>
        <v/>
      </c>
      <c r="G4712" t="str">
        <f>IF(D4712="","",INDEX(Knutepunkter!$C:$C,D4712+1))</f>
        <v/>
      </c>
      <c r="H4712" t="str">
        <f>IF(D4712="","",INDEX(Knutepunkter!$D:$D,D4712+1))</f>
        <v/>
      </c>
      <c r="I4712" t="str">
        <f>IF(E4712="","",INDEX(Knutepunkter!$B:$B,E4712+1))</f>
        <v/>
      </c>
      <c r="J4712" t="str">
        <f>IF(E4712="","",INDEX(Knutepunkter!$C:$C,E4712+1))</f>
        <v/>
      </c>
      <c r="K4712" t="str">
        <f>IF(E4712="","",INDEX(Knutepunkter!$D:$D,E4712+1))</f>
        <v/>
      </c>
      <c r="L4712" t="str">
        <f t="shared" si="368"/>
        <v/>
      </c>
      <c r="M4712" t="str">
        <f t="shared" si="369"/>
        <v/>
      </c>
    </row>
    <row r="4713" spans="1:13" x14ac:dyDescent="0.3">
      <c r="A4713" t="str">
        <f>Segmenter!A4713</f>
        <v/>
      </c>
      <c r="B4713" t="str">
        <f>Segmenter!B4713</f>
        <v/>
      </c>
      <c r="C4713" t="str">
        <f t="shared" si="365"/>
        <v/>
      </c>
      <c r="D4713" t="str">
        <f t="shared" si="366"/>
        <v/>
      </c>
      <c r="E4713" t="str">
        <f t="shared" si="367"/>
        <v/>
      </c>
      <c r="F4713" t="str">
        <f>IF(D4713="","",INDEX(Knutepunkter!$B:$B,D4713+1))</f>
        <v/>
      </c>
      <c r="G4713" t="str">
        <f>IF(D4713="","",INDEX(Knutepunkter!$C:$C,D4713+1))</f>
        <v/>
      </c>
      <c r="H4713" t="str">
        <f>IF(D4713="","",INDEX(Knutepunkter!$D:$D,D4713+1))</f>
        <v/>
      </c>
      <c r="I4713" t="str">
        <f>IF(E4713="","",INDEX(Knutepunkter!$B:$B,E4713+1))</f>
        <v/>
      </c>
      <c r="J4713" t="str">
        <f>IF(E4713="","",INDEX(Knutepunkter!$C:$C,E4713+1))</f>
        <v/>
      </c>
      <c r="K4713" t="str">
        <f>IF(E4713="","",INDEX(Knutepunkter!$D:$D,E4713+1))</f>
        <v/>
      </c>
      <c r="L4713" t="str">
        <f t="shared" si="368"/>
        <v/>
      </c>
      <c r="M4713" t="str">
        <f t="shared" si="369"/>
        <v/>
      </c>
    </row>
    <row r="4714" spans="1:13" x14ac:dyDescent="0.3">
      <c r="A4714" t="str">
        <f>Segmenter!A4714</f>
        <v/>
      </c>
      <c r="B4714" t="str">
        <f>Segmenter!B4714</f>
        <v/>
      </c>
      <c r="C4714" t="str">
        <f t="shared" si="365"/>
        <v/>
      </c>
      <c r="D4714" t="str">
        <f t="shared" si="366"/>
        <v/>
      </c>
      <c r="E4714" t="str">
        <f t="shared" si="367"/>
        <v/>
      </c>
      <c r="F4714" t="str">
        <f>IF(D4714="","",INDEX(Knutepunkter!$B:$B,D4714+1))</f>
        <v/>
      </c>
      <c r="G4714" t="str">
        <f>IF(D4714="","",INDEX(Knutepunkter!$C:$C,D4714+1))</f>
        <v/>
      </c>
      <c r="H4714" t="str">
        <f>IF(D4714="","",INDEX(Knutepunkter!$D:$D,D4714+1))</f>
        <v/>
      </c>
      <c r="I4714" t="str">
        <f>IF(E4714="","",INDEX(Knutepunkter!$B:$B,E4714+1))</f>
        <v/>
      </c>
      <c r="J4714" t="str">
        <f>IF(E4714="","",INDEX(Knutepunkter!$C:$C,E4714+1))</f>
        <v/>
      </c>
      <c r="K4714" t="str">
        <f>IF(E4714="","",INDEX(Knutepunkter!$D:$D,E4714+1))</f>
        <v/>
      </c>
      <c r="L4714" t="str">
        <f t="shared" si="368"/>
        <v/>
      </c>
      <c r="M4714" t="str">
        <f t="shared" si="369"/>
        <v/>
      </c>
    </row>
    <row r="4715" spans="1:13" x14ac:dyDescent="0.3">
      <c r="A4715" t="str">
        <f>Segmenter!A4715</f>
        <v/>
      </c>
      <c r="B4715" t="str">
        <f>Segmenter!B4715</f>
        <v/>
      </c>
      <c r="C4715" t="str">
        <f t="shared" si="365"/>
        <v/>
      </c>
      <c r="D4715" t="str">
        <f t="shared" si="366"/>
        <v/>
      </c>
      <c r="E4715" t="str">
        <f t="shared" si="367"/>
        <v/>
      </c>
      <c r="F4715" t="str">
        <f>IF(D4715="","",INDEX(Knutepunkter!$B:$B,D4715+1))</f>
        <v/>
      </c>
      <c r="G4715" t="str">
        <f>IF(D4715="","",INDEX(Knutepunkter!$C:$C,D4715+1))</f>
        <v/>
      </c>
      <c r="H4715" t="str">
        <f>IF(D4715="","",INDEX(Knutepunkter!$D:$D,D4715+1))</f>
        <v/>
      </c>
      <c r="I4715" t="str">
        <f>IF(E4715="","",INDEX(Knutepunkter!$B:$B,E4715+1))</f>
        <v/>
      </c>
      <c r="J4715" t="str">
        <f>IF(E4715="","",INDEX(Knutepunkter!$C:$C,E4715+1))</f>
        <v/>
      </c>
      <c r="K4715" t="str">
        <f>IF(E4715="","",INDEX(Knutepunkter!$D:$D,E4715+1))</f>
        <v/>
      </c>
      <c r="L4715" t="str">
        <f t="shared" si="368"/>
        <v/>
      </c>
      <c r="M4715" t="str">
        <f t="shared" si="369"/>
        <v/>
      </c>
    </row>
    <row r="4716" spans="1:13" x14ac:dyDescent="0.3">
      <c r="A4716" t="str">
        <f>Segmenter!A4716</f>
        <v/>
      </c>
      <c r="B4716" t="str">
        <f>Segmenter!B4716</f>
        <v/>
      </c>
      <c r="C4716" t="str">
        <f t="shared" si="365"/>
        <v/>
      </c>
      <c r="D4716" t="str">
        <f t="shared" si="366"/>
        <v/>
      </c>
      <c r="E4716" t="str">
        <f t="shared" si="367"/>
        <v/>
      </c>
      <c r="F4716" t="str">
        <f>IF(D4716="","",INDEX(Knutepunkter!$B:$B,D4716+1))</f>
        <v/>
      </c>
      <c r="G4716" t="str">
        <f>IF(D4716="","",INDEX(Knutepunkter!$C:$C,D4716+1))</f>
        <v/>
      </c>
      <c r="H4716" t="str">
        <f>IF(D4716="","",INDEX(Knutepunkter!$D:$D,D4716+1))</f>
        <v/>
      </c>
      <c r="I4716" t="str">
        <f>IF(E4716="","",INDEX(Knutepunkter!$B:$B,E4716+1))</f>
        <v/>
      </c>
      <c r="J4716" t="str">
        <f>IF(E4716="","",INDEX(Knutepunkter!$C:$C,E4716+1))</f>
        <v/>
      </c>
      <c r="K4716" t="str">
        <f>IF(E4716="","",INDEX(Knutepunkter!$D:$D,E4716+1))</f>
        <v/>
      </c>
      <c r="L4716" t="str">
        <f t="shared" si="368"/>
        <v/>
      </c>
      <c r="M4716" t="str">
        <f t="shared" si="369"/>
        <v/>
      </c>
    </row>
    <row r="4717" spans="1:13" x14ac:dyDescent="0.3">
      <c r="A4717" t="str">
        <f>Segmenter!A4717</f>
        <v/>
      </c>
      <c r="B4717" t="str">
        <f>Segmenter!B4717</f>
        <v/>
      </c>
      <c r="C4717" t="str">
        <f t="shared" si="365"/>
        <v/>
      </c>
      <c r="D4717" t="str">
        <f t="shared" si="366"/>
        <v/>
      </c>
      <c r="E4717" t="str">
        <f t="shared" si="367"/>
        <v/>
      </c>
      <c r="F4717" t="str">
        <f>IF(D4717="","",INDEX(Knutepunkter!$B:$B,D4717+1))</f>
        <v/>
      </c>
      <c r="G4717" t="str">
        <f>IF(D4717="","",INDEX(Knutepunkter!$C:$C,D4717+1))</f>
        <v/>
      </c>
      <c r="H4717" t="str">
        <f>IF(D4717="","",INDEX(Knutepunkter!$D:$D,D4717+1))</f>
        <v/>
      </c>
      <c r="I4717" t="str">
        <f>IF(E4717="","",INDEX(Knutepunkter!$B:$B,E4717+1))</f>
        <v/>
      </c>
      <c r="J4717" t="str">
        <f>IF(E4717="","",INDEX(Knutepunkter!$C:$C,E4717+1))</f>
        <v/>
      </c>
      <c r="K4717" t="str">
        <f>IF(E4717="","",INDEX(Knutepunkter!$D:$D,E4717+1))</f>
        <v/>
      </c>
      <c r="L4717" t="str">
        <f t="shared" si="368"/>
        <v/>
      </c>
      <c r="M4717" t="str">
        <f t="shared" si="369"/>
        <v/>
      </c>
    </row>
    <row r="4718" spans="1:13" x14ac:dyDescent="0.3">
      <c r="A4718" t="str">
        <f>Segmenter!A4718</f>
        <v/>
      </c>
      <c r="B4718" t="str">
        <f>Segmenter!B4718</f>
        <v/>
      </c>
      <c r="C4718" t="str">
        <f t="shared" si="365"/>
        <v/>
      </c>
      <c r="D4718" t="str">
        <f t="shared" si="366"/>
        <v/>
      </c>
      <c r="E4718" t="str">
        <f t="shared" si="367"/>
        <v/>
      </c>
      <c r="F4718" t="str">
        <f>IF(D4718="","",INDEX(Knutepunkter!$B:$B,D4718+1))</f>
        <v/>
      </c>
      <c r="G4718" t="str">
        <f>IF(D4718="","",INDEX(Knutepunkter!$C:$C,D4718+1))</f>
        <v/>
      </c>
      <c r="H4718" t="str">
        <f>IF(D4718="","",INDEX(Knutepunkter!$D:$D,D4718+1))</f>
        <v/>
      </c>
      <c r="I4718" t="str">
        <f>IF(E4718="","",INDEX(Knutepunkter!$B:$B,E4718+1))</f>
        <v/>
      </c>
      <c r="J4718" t="str">
        <f>IF(E4718="","",INDEX(Knutepunkter!$C:$C,E4718+1))</f>
        <v/>
      </c>
      <c r="K4718" t="str">
        <f>IF(E4718="","",INDEX(Knutepunkter!$D:$D,E4718+1))</f>
        <v/>
      </c>
      <c r="L4718" t="str">
        <f t="shared" si="368"/>
        <v/>
      </c>
      <c r="M4718" t="str">
        <f t="shared" si="369"/>
        <v/>
      </c>
    </row>
    <row r="4719" spans="1:13" x14ac:dyDescent="0.3">
      <c r="A4719" t="str">
        <f>Segmenter!A4719</f>
        <v/>
      </c>
      <c r="B4719" t="str">
        <f>Segmenter!B4719</f>
        <v/>
      </c>
      <c r="C4719" t="str">
        <f t="shared" si="365"/>
        <v/>
      </c>
      <c r="D4719" t="str">
        <f t="shared" si="366"/>
        <v/>
      </c>
      <c r="E4719" t="str">
        <f t="shared" si="367"/>
        <v/>
      </c>
      <c r="F4719" t="str">
        <f>IF(D4719="","",INDEX(Knutepunkter!$B:$B,D4719+1))</f>
        <v/>
      </c>
      <c r="G4719" t="str">
        <f>IF(D4719="","",INDEX(Knutepunkter!$C:$C,D4719+1))</f>
        <v/>
      </c>
      <c r="H4719" t="str">
        <f>IF(D4719="","",INDEX(Knutepunkter!$D:$D,D4719+1))</f>
        <v/>
      </c>
      <c r="I4719" t="str">
        <f>IF(E4719="","",INDEX(Knutepunkter!$B:$B,E4719+1))</f>
        <v/>
      </c>
      <c r="J4719" t="str">
        <f>IF(E4719="","",INDEX(Knutepunkter!$C:$C,E4719+1))</f>
        <v/>
      </c>
      <c r="K4719" t="str">
        <f>IF(E4719="","",INDEX(Knutepunkter!$D:$D,E4719+1))</f>
        <v/>
      </c>
      <c r="L4719" t="str">
        <f t="shared" si="368"/>
        <v/>
      </c>
      <c r="M4719" t="str">
        <f t="shared" si="369"/>
        <v/>
      </c>
    </row>
    <row r="4720" spans="1:13" x14ac:dyDescent="0.3">
      <c r="A4720" t="str">
        <f>Segmenter!A4720</f>
        <v/>
      </c>
      <c r="B4720" t="str">
        <f>Segmenter!B4720</f>
        <v/>
      </c>
      <c r="C4720" t="str">
        <f t="shared" si="365"/>
        <v/>
      </c>
      <c r="D4720" t="str">
        <f t="shared" si="366"/>
        <v/>
      </c>
      <c r="E4720" t="str">
        <f t="shared" si="367"/>
        <v/>
      </c>
      <c r="F4720" t="str">
        <f>IF(D4720="","",INDEX(Knutepunkter!$B:$B,D4720+1))</f>
        <v/>
      </c>
      <c r="G4720" t="str">
        <f>IF(D4720="","",INDEX(Knutepunkter!$C:$C,D4720+1))</f>
        <v/>
      </c>
      <c r="H4720" t="str">
        <f>IF(D4720="","",INDEX(Knutepunkter!$D:$D,D4720+1))</f>
        <v/>
      </c>
      <c r="I4720" t="str">
        <f>IF(E4720="","",INDEX(Knutepunkter!$B:$B,E4720+1))</f>
        <v/>
      </c>
      <c r="J4720" t="str">
        <f>IF(E4720="","",INDEX(Knutepunkter!$C:$C,E4720+1))</f>
        <v/>
      </c>
      <c r="K4720" t="str">
        <f>IF(E4720="","",INDEX(Knutepunkter!$D:$D,E4720+1))</f>
        <v/>
      </c>
      <c r="L4720" t="str">
        <f t="shared" si="368"/>
        <v/>
      </c>
      <c r="M4720" t="str">
        <f t="shared" si="369"/>
        <v/>
      </c>
    </row>
    <row r="4721" spans="1:13" x14ac:dyDescent="0.3">
      <c r="A4721" t="str">
        <f>Segmenter!A4721</f>
        <v/>
      </c>
      <c r="B4721" t="str">
        <f>Segmenter!B4721</f>
        <v/>
      </c>
      <c r="C4721" t="str">
        <f t="shared" si="365"/>
        <v/>
      </c>
      <c r="D4721" t="str">
        <f t="shared" si="366"/>
        <v/>
      </c>
      <c r="E4721" t="str">
        <f t="shared" si="367"/>
        <v/>
      </c>
      <c r="F4721" t="str">
        <f>IF(D4721="","",INDEX(Knutepunkter!$B:$B,D4721+1))</f>
        <v/>
      </c>
      <c r="G4721" t="str">
        <f>IF(D4721="","",INDEX(Knutepunkter!$C:$C,D4721+1))</f>
        <v/>
      </c>
      <c r="H4721" t="str">
        <f>IF(D4721="","",INDEX(Knutepunkter!$D:$D,D4721+1))</f>
        <v/>
      </c>
      <c r="I4721" t="str">
        <f>IF(E4721="","",INDEX(Knutepunkter!$B:$B,E4721+1))</f>
        <v/>
      </c>
      <c r="J4721" t="str">
        <f>IF(E4721="","",INDEX(Knutepunkter!$C:$C,E4721+1))</f>
        <v/>
      </c>
      <c r="K4721" t="str">
        <f>IF(E4721="","",INDEX(Knutepunkter!$D:$D,E4721+1))</f>
        <v/>
      </c>
      <c r="L4721" t="str">
        <f t="shared" si="368"/>
        <v/>
      </c>
      <c r="M4721" t="str">
        <f t="shared" si="369"/>
        <v/>
      </c>
    </row>
    <row r="4722" spans="1:13" x14ac:dyDescent="0.3">
      <c r="A4722" t="str">
        <f>Segmenter!A4722</f>
        <v>S4721</v>
      </c>
      <c r="B4722" t="str">
        <f>Segmenter!B4722</f>
        <v>233 -&gt; 464</v>
      </c>
      <c r="C4722" t="str">
        <f t="shared" si="365"/>
        <v>Bjelke</v>
      </c>
      <c r="D4722">
        <f t="shared" si="366"/>
        <v>233</v>
      </c>
      <c r="E4722">
        <f t="shared" si="367"/>
        <v>464</v>
      </c>
      <c r="F4722">
        <f>IF(D4722="","",INDEX(Knutepunkter!$B:$B,D4722+1))</f>
        <v>12354</v>
      </c>
      <c r="G4722">
        <f>IF(D4722="","",INDEX(Knutepunkter!$C:$C,D4722+1))</f>
        <v>0</v>
      </c>
      <c r="H4722">
        <f>IF(D4722="","",INDEX(Knutepunkter!$D:$D,D4722+1))</f>
        <v>3000</v>
      </c>
      <c r="I4722">
        <f>IF(E4722="","",INDEX(Knutepunkter!$B:$B,E4722+1))</f>
        <v>24354</v>
      </c>
      <c r="J4722">
        <f>IF(E4722="","",INDEX(Knutepunkter!$C:$C,E4722+1))</f>
        <v>0</v>
      </c>
      <c r="K4722">
        <f>IF(E4722="","",INDEX(Knutepunkter!$D:$D,E4722+1))</f>
        <v>3000</v>
      </c>
      <c r="L4722">
        <f t="shared" si="368"/>
        <v>12000</v>
      </c>
      <c r="M4722">
        <f t="shared" si="369"/>
        <v>12</v>
      </c>
    </row>
    <row r="4723" spans="1:13" x14ac:dyDescent="0.3">
      <c r="A4723" t="str">
        <f>Segmenter!A4723</f>
        <v>S4722</v>
      </c>
      <c r="B4723" t="str">
        <f>Segmenter!B4723</f>
        <v>234 -&gt; 465</v>
      </c>
      <c r="C4723" t="str">
        <f t="shared" si="365"/>
        <v>Bjelke</v>
      </c>
      <c r="D4723">
        <f t="shared" si="366"/>
        <v>234</v>
      </c>
      <c r="E4723">
        <f t="shared" si="367"/>
        <v>465</v>
      </c>
      <c r="F4723">
        <f>IF(D4723="","",INDEX(Knutepunkter!$B:$B,D4723+1))</f>
        <v>12354</v>
      </c>
      <c r="G4723">
        <f>IF(D4723="","",INDEX(Knutepunkter!$C:$C,D4723+1))</f>
        <v>0</v>
      </c>
      <c r="H4723">
        <f>IF(D4723="","",INDEX(Knutepunkter!$D:$D,D4723+1))</f>
        <v>6000</v>
      </c>
      <c r="I4723">
        <f>IF(E4723="","",INDEX(Knutepunkter!$B:$B,E4723+1))</f>
        <v>24354</v>
      </c>
      <c r="J4723">
        <f>IF(E4723="","",INDEX(Knutepunkter!$C:$C,E4723+1))</f>
        <v>0</v>
      </c>
      <c r="K4723">
        <f>IF(E4723="","",INDEX(Knutepunkter!$D:$D,E4723+1))</f>
        <v>6000</v>
      </c>
      <c r="L4723">
        <f t="shared" si="368"/>
        <v>12000</v>
      </c>
      <c r="M4723">
        <f t="shared" si="369"/>
        <v>12</v>
      </c>
    </row>
    <row r="4724" spans="1:13" x14ac:dyDescent="0.3">
      <c r="A4724" t="str">
        <f>Segmenter!A4724</f>
        <v>S4723</v>
      </c>
      <c r="B4724" t="str">
        <f>Segmenter!B4724</f>
        <v>235 -&gt; 466</v>
      </c>
      <c r="C4724" t="str">
        <f t="shared" si="365"/>
        <v>Bjelke</v>
      </c>
      <c r="D4724">
        <f t="shared" si="366"/>
        <v>235</v>
      </c>
      <c r="E4724">
        <f t="shared" si="367"/>
        <v>466</v>
      </c>
      <c r="F4724">
        <f>IF(D4724="","",INDEX(Knutepunkter!$B:$B,D4724+1))</f>
        <v>12354</v>
      </c>
      <c r="G4724">
        <f>IF(D4724="","",INDEX(Knutepunkter!$C:$C,D4724+1))</f>
        <v>0</v>
      </c>
      <c r="H4724">
        <f>IF(D4724="","",INDEX(Knutepunkter!$D:$D,D4724+1))</f>
        <v>9000</v>
      </c>
      <c r="I4724">
        <f>IF(E4724="","",INDEX(Knutepunkter!$B:$B,E4724+1))</f>
        <v>24354</v>
      </c>
      <c r="J4724">
        <f>IF(E4724="","",INDEX(Knutepunkter!$C:$C,E4724+1))</f>
        <v>0</v>
      </c>
      <c r="K4724">
        <f>IF(E4724="","",INDEX(Knutepunkter!$D:$D,E4724+1))</f>
        <v>9000</v>
      </c>
      <c r="L4724">
        <f t="shared" si="368"/>
        <v>12000</v>
      </c>
      <c r="M4724">
        <f t="shared" si="369"/>
        <v>12</v>
      </c>
    </row>
    <row r="4725" spans="1:13" x14ac:dyDescent="0.3">
      <c r="A4725" t="str">
        <f>Segmenter!A4725</f>
        <v>S4724</v>
      </c>
      <c r="B4725" t="str">
        <f>Segmenter!B4725</f>
        <v>236 -&gt; 467</v>
      </c>
      <c r="C4725" t="str">
        <f t="shared" si="365"/>
        <v>Bjelke</v>
      </c>
      <c r="D4725">
        <f t="shared" si="366"/>
        <v>236</v>
      </c>
      <c r="E4725">
        <f t="shared" si="367"/>
        <v>467</v>
      </c>
      <c r="F4725">
        <f>IF(D4725="","",INDEX(Knutepunkter!$B:$B,D4725+1))</f>
        <v>12354</v>
      </c>
      <c r="G4725">
        <f>IF(D4725="","",INDEX(Knutepunkter!$C:$C,D4725+1))</f>
        <v>0</v>
      </c>
      <c r="H4725">
        <f>IF(D4725="","",INDEX(Knutepunkter!$D:$D,D4725+1))</f>
        <v>12000</v>
      </c>
      <c r="I4725">
        <f>IF(E4725="","",INDEX(Knutepunkter!$B:$B,E4725+1))</f>
        <v>24354</v>
      </c>
      <c r="J4725">
        <f>IF(E4725="","",INDEX(Knutepunkter!$C:$C,E4725+1))</f>
        <v>0</v>
      </c>
      <c r="K4725">
        <f>IF(E4725="","",INDEX(Knutepunkter!$D:$D,E4725+1))</f>
        <v>12000</v>
      </c>
      <c r="L4725">
        <f t="shared" si="368"/>
        <v>12000</v>
      </c>
      <c r="M4725">
        <f t="shared" si="369"/>
        <v>12</v>
      </c>
    </row>
    <row r="4726" spans="1:13" x14ac:dyDescent="0.3">
      <c r="A4726" t="str">
        <f>Segmenter!A4726</f>
        <v>S4725</v>
      </c>
      <c r="B4726" t="str">
        <f>Segmenter!B4726</f>
        <v>237 -&gt; 468</v>
      </c>
      <c r="C4726" t="str">
        <f t="shared" si="365"/>
        <v>Bjelke</v>
      </c>
      <c r="D4726">
        <f t="shared" si="366"/>
        <v>237</v>
      </c>
      <c r="E4726">
        <f t="shared" si="367"/>
        <v>468</v>
      </c>
      <c r="F4726">
        <f>IF(D4726="","",INDEX(Knutepunkter!$B:$B,D4726+1))</f>
        <v>12354</v>
      </c>
      <c r="G4726">
        <f>IF(D4726="","",INDEX(Knutepunkter!$C:$C,D4726+1))</f>
        <v>0</v>
      </c>
      <c r="H4726">
        <f>IF(D4726="","",INDEX(Knutepunkter!$D:$D,D4726+1))</f>
        <v>15000</v>
      </c>
      <c r="I4726">
        <f>IF(E4726="","",INDEX(Knutepunkter!$B:$B,E4726+1))</f>
        <v>24354</v>
      </c>
      <c r="J4726">
        <f>IF(E4726="","",INDEX(Knutepunkter!$C:$C,E4726+1))</f>
        <v>0</v>
      </c>
      <c r="K4726">
        <f>IF(E4726="","",INDEX(Knutepunkter!$D:$D,E4726+1))</f>
        <v>15000</v>
      </c>
      <c r="L4726">
        <f t="shared" si="368"/>
        <v>12000</v>
      </c>
      <c r="M4726">
        <f t="shared" si="369"/>
        <v>12</v>
      </c>
    </row>
    <row r="4727" spans="1:13" x14ac:dyDescent="0.3">
      <c r="A4727" t="str">
        <f>Segmenter!A4727</f>
        <v>S4726</v>
      </c>
      <c r="B4727" t="str">
        <f>Segmenter!B4727</f>
        <v>238 -&gt; 469</v>
      </c>
      <c r="C4727" t="str">
        <f t="shared" si="365"/>
        <v>Bjelke</v>
      </c>
      <c r="D4727">
        <f t="shared" si="366"/>
        <v>238</v>
      </c>
      <c r="E4727">
        <f t="shared" si="367"/>
        <v>469</v>
      </c>
      <c r="F4727">
        <f>IF(D4727="","",INDEX(Knutepunkter!$B:$B,D4727+1))</f>
        <v>12354</v>
      </c>
      <c r="G4727">
        <f>IF(D4727="","",INDEX(Knutepunkter!$C:$C,D4727+1))</f>
        <v>0</v>
      </c>
      <c r="H4727">
        <f>IF(D4727="","",INDEX(Knutepunkter!$D:$D,D4727+1))</f>
        <v>18000</v>
      </c>
      <c r="I4727">
        <f>IF(E4727="","",INDEX(Knutepunkter!$B:$B,E4727+1))</f>
        <v>24354</v>
      </c>
      <c r="J4727">
        <f>IF(E4727="","",INDEX(Knutepunkter!$C:$C,E4727+1))</f>
        <v>0</v>
      </c>
      <c r="K4727">
        <f>IF(E4727="","",INDEX(Knutepunkter!$D:$D,E4727+1))</f>
        <v>18000</v>
      </c>
      <c r="L4727">
        <f t="shared" si="368"/>
        <v>12000</v>
      </c>
      <c r="M4727">
        <f t="shared" si="369"/>
        <v>12</v>
      </c>
    </row>
    <row r="4728" spans="1:13" x14ac:dyDescent="0.3">
      <c r="A4728" t="str">
        <f>Segmenter!A4728</f>
        <v/>
      </c>
      <c r="B4728" t="str">
        <f>Segmenter!B4728</f>
        <v/>
      </c>
      <c r="C4728" t="str">
        <f t="shared" si="365"/>
        <v/>
      </c>
      <c r="D4728" t="str">
        <f t="shared" si="366"/>
        <v/>
      </c>
      <c r="E4728" t="str">
        <f t="shared" si="367"/>
        <v/>
      </c>
      <c r="F4728" t="str">
        <f>IF(D4728="","",INDEX(Knutepunkter!$B:$B,D4728+1))</f>
        <v/>
      </c>
      <c r="G4728" t="str">
        <f>IF(D4728="","",INDEX(Knutepunkter!$C:$C,D4728+1))</f>
        <v/>
      </c>
      <c r="H4728" t="str">
        <f>IF(D4728="","",INDEX(Knutepunkter!$D:$D,D4728+1))</f>
        <v/>
      </c>
      <c r="I4728" t="str">
        <f>IF(E4728="","",INDEX(Knutepunkter!$B:$B,E4728+1))</f>
        <v/>
      </c>
      <c r="J4728" t="str">
        <f>IF(E4728="","",INDEX(Knutepunkter!$C:$C,E4728+1))</f>
        <v/>
      </c>
      <c r="K4728" t="str">
        <f>IF(E4728="","",INDEX(Knutepunkter!$D:$D,E4728+1))</f>
        <v/>
      </c>
      <c r="L4728" t="str">
        <f t="shared" si="368"/>
        <v/>
      </c>
      <c r="M4728" t="str">
        <f t="shared" si="369"/>
        <v/>
      </c>
    </row>
    <row r="4729" spans="1:13" x14ac:dyDescent="0.3">
      <c r="A4729" t="str">
        <f>Segmenter!A4729</f>
        <v/>
      </c>
      <c r="B4729" t="str">
        <f>Segmenter!B4729</f>
        <v/>
      </c>
      <c r="C4729" t="str">
        <f t="shared" si="365"/>
        <v/>
      </c>
      <c r="D4729" t="str">
        <f t="shared" si="366"/>
        <v/>
      </c>
      <c r="E4729" t="str">
        <f t="shared" si="367"/>
        <v/>
      </c>
      <c r="F4729" t="str">
        <f>IF(D4729="","",INDEX(Knutepunkter!$B:$B,D4729+1))</f>
        <v/>
      </c>
      <c r="G4729" t="str">
        <f>IF(D4729="","",INDEX(Knutepunkter!$C:$C,D4729+1))</f>
        <v/>
      </c>
      <c r="H4729" t="str">
        <f>IF(D4729="","",INDEX(Knutepunkter!$D:$D,D4729+1))</f>
        <v/>
      </c>
      <c r="I4729" t="str">
        <f>IF(E4729="","",INDEX(Knutepunkter!$B:$B,E4729+1))</f>
        <v/>
      </c>
      <c r="J4729" t="str">
        <f>IF(E4729="","",INDEX(Knutepunkter!$C:$C,E4729+1))</f>
        <v/>
      </c>
      <c r="K4729" t="str">
        <f>IF(E4729="","",INDEX(Knutepunkter!$D:$D,E4729+1))</f>
        <v/>
      </c>
      <c r="L4729" t="str">
        <f t="shared" si="368"/>
        <v/>
      </c>
      <c r="M4729" t="str">
        <f t="shared" si="369"/>
        <v/>
      </c>
    </row>
    <row r="4730" spans="1:13" x14ac:dyDescent="0.3">
      <c r="A4730" t="str">
        <f>Segmenter!A4730</f>
        <v/>
      </c>
      <c r="B4730" t="str">
        <f>Segmenter!B4730</f>
        <v/>
      </c>
      <c r="C4730" t="str">
        <f t="shared" si="365"/>
        <v/>
      </c>
      <c r="D4730" t="str">
        <f t="shared" si="366"/>
        <v/>
      </c>
      <c r="E4730" t="str">
        <f t="shared" si="367"/>
        <v/>
      </c>
      <c r="F4730" t="str">
        <f>IF(D4730="","",INDEX(Knutepunkter!$B:$B,D4730+1))</f>
        <v/>
      </c>
      <c r="G4730" t="str">
        <f>IF(D4730="","",INDEX(Knutepunkter!$C:$C,D4730+1))</f>
        <v/>
      </c>
      <c r="H4730" t="str">
        <f>IF(D4730="","",INDEX(Knutepunkter!$D:$D,D4730+1))</f>
        <v/>
      </c>
      <c r="I4730" t="str">
        <f>IF(E4730="","",INDEX(Knutepunkter!$B:$B,E4730+1))</f>
        <v/>
      </c>
      <c r="J4730" t="str">
        <f>IF(E4730="","",INDEX(Knutepunkter!$C:$C,E4730+1))</f>
        <v/>
      </c>
      <c r="K4730" t="str">
        <f>IF(E4730="","",INDEX(Knutepunkter!$D:$D,E4730+1))</f>
        <v/>
      </c>
      <c r="L4730" t="str">
        <f t="shared" si="368"/>
        <v/>
      </c>
      <c r="M4730" t="str">
        <f t="shared" si="369"/>
        <v/>
      </c>
    </row>
    <row r="4731" spans="1:13" x14ac:dyDescent="0.3">
      <c r="A4731" t="str">
        <f>Segmenter!A4731</f>
        <v/>
      </c>
      <c r="B4731" t="str">
        <f>Segmenter!B4731</f>
        <v/>
      </c>
      <c r="C4731" t="str">
        <f t="shared" si="365"/>
        <v/>
      </c>
      <c r="D4731" t="str">
        <f t="shared" si="366"/>
        <v/>
      </c>
      <c r="E4731" t="str">
        <f t="shared" si="367"/>
        <v/>
      </c>
      <c r="F4731" t="str">
        <f>IF(D4731="","",INDEX(Knutepunkter!$B:$B,D4731+1))</f>
        <v/>
      </c>
      <c r="G4731" t="str">
        <f>IF(D4731="","",INDEX(Knutepunkter!$C:$C,D4731+1))</f>
        <v/>
      </c>
      <c r="H4731" t="str">
        <f>IF(D4731="","",INDEX(Knutepunkter!$D:$D,D4731+1))</f>
        <v/>
      </c>
      <c r="I4731" t="str">
        <f>IF(E4731="","",INDEX(Knutepunkter!$B:$B,E4731+1))</f>
        <v/>
      </c>
      <c r="J4731" t="str">
        <f>IF(E4731="","",INDEX(Knutepunkter!$C:$C,E4731+1))</f>
        <v/>
      </c>
      <c r="K4731" t="str">
        <f>IF(E4731="","",INDEX(Knutepunkter!$D:$D,E4731+1))</f>
        <v/>
      </c>
      <c r="L4731" t="str">
        <f t="shared" si="368"/>
        <v/>
      </c>
      <c r="M4731" t="str">
        <f t="shared" si="369"/>
        <v/>
      </c>
    </row>
    <row r="4732" spans="1:13" x14ac:dyDescent="0.3">
      <c r="A4732" t="str">
        <f>Segmenter!A4732</f>
        <v>S4731</v>
      </c>
      <c r="B4732" t="str">
        <f>Segmenter!B4732</f>
        <v>244 -&gt; 475</v>
      </c>
      <c r="C4732" t="str">
        <f t="shared" si="365"/>
        <v>Bjelke</v>
      </c>
      <c r="D4732">
        <f t="shared" si="366"/>
        <v>244</v>
      </c>
      <c r="E4732">
        <f t="shared" si="367"/>
        <v>475</v>
      </c>
      <c r="F4732">
        <f>IF(D4732="","",INDEX(Knutepunkter!$B:$B,D4732+1))</f>
        <v>12354</v>
      </c>
      <c r="G4732">
        <f>IF(D4732="","",INDEX(Knutepunkter!$C:$C,D4732+1))</f>
        <v>8000</v>
      </c>
      <c r="H4732">
        <f>IF(D4732="","",INDEX(Knutepunkter!$D:$D,D4732+1))</f>
        <v>3000</v>
      </c>
      <c r="I4732">
        <f>IF(E4732="","",INDEX(Knutepunkter!$B:$B,E4732+1))</f>
        <v>24354</v>
      </c>
      <c r="J4732">
        <f>IF(E4732="","",INDEX(Knutepunkter!$C:$C,E4732+1))</f>
        <v>8000</v>
      </c>
      <c r="K4732">
        <f>IF(E4732="","",INDEX(Knutepunkter!$D:$D,E4732+1))</f>
        <v>3000</v>
      </c>
      <c r="L4732">
        <f t="shared" si="368"/>
        <v>12000</v>
      </c>
      <c r="M4732">
        <f t="shared" si="369"/>
        <v>12</v>
      </c>
    </row>
    <row r="4733" spans="1:13" x14ac:dyDescent="0.3">
      <c r="A4733" t="str">
        <f>Segmenter!A4733</f>
        <v>S4732</v>
      </c>
      <c r="B4733" t="str">
        <f>Segmenter!B4733</f>
        <v>245 -&gt; 476</v>
      </c>
      <c r="C4733" t="str">
        <f t="shared" si="365"/>
        <v>Bjelke</v>
      </c>
      <c r="D4733">
        <f t="shared" si="366"/>
        <v>245</v>
      </c>
      <c r="E4733">
        <f t="shared" si="367"/>
        <v>476</v>
      </c>
      <c r="F4733">
        <f>IF(D4733="","",INDEX(Knutepunkter!$B:$B,D4733+1))</f>
        <v>12354</v>
      </c>
      <c r="G4733">
        <f>IF(D4733="","",INDEX(Knutepunkter!$C:$C,D4733+1))</f>
        <v>8000</v>
      </c>
      <c r="H4733">
        <f>IF(D4733="","",INDEX(Knutepunkter!$D:$D,D4733+1))</f>
        <v>6000</v>
      </c>
      <c r="I4733">
        <f>IF(E4733="","",INDEX(Knutepunkter!$B:$B,E4733+1))</f>
        <v>24354</v>
      </c>
      <c r="J4733">
        <f>IF(E4733="","",INDEX(Knutepunkter!$C:$C,E4733+1))</f>
        <v>8000</v>
      </c>
      <c r="K4733">
        <f>IF(E4733="","",INDEX(Knutepunkter!$D:$D,E4733+1))</f>
        <v>6000</v>
      </c>
      <c r="L4733">
        <f t="shared" si="368"/>
        <v>12000</v>
      </c>
      <c r="M4733">
        <f t="shared" si="369"/>
        <v>12</v>
      </c>
    </row>
    <row r="4734" spans="1:13" x14ac:dyDescent="0.3">
      <c r="A4734" t="str">
        <f>Segmenter!A4734</f>
        <v>S4733</v>
      </c>
      <c r="B4734" t="str">
        <f>Segmenter!B4734</f>
        <v>246 -&gt; 477</v>
      </c>
      <c r="C4734" t="str">
        <f t="shared" si="365"/>
        <v>Bjelke</v>
      </c>
      <c r="D4734">
        <f t="shared" si="366"/>
        <v>246</v>
      </c>
      <c r="E4734">
        <f t="shared" si="367"/>
        <v>477</v>
      </c>
      <c r="F4734">
        <f>IF(D4734="","",INDEX(Knutepunkter!$B:$B,D4734+1))</f>
        <v>12354</v>
      </c>
      <c r="G4734">
        <f>IF(D4734="","",INDEX(Knutepunkter!$C:$C,D4734+1))</f>
        <v>8000</v>
      </c>
      <c r="H4734">
        <f>IF(D4734="","",INDEX(Knutepunkter!$D:$D,D4734+1))</f>
        <v>9000</v>
      </c>
      <c r="I4734">
        <f>IF(E4734="","",INDEX(Knutepunkter!$B:$B,E4734+1))</f>
        <v>24354</v>
      </c>
      <c r="J4734">
        <f>IF(E4734="","",INDEX(Knutepunkter!$C:$C,E4734+1))</f>
        <v>8000</v>
      </c>
      <c r="K4734">
        <f>IF(E4734="","",INDEX(Knutepunkter!$D:$D,E4734+1))</f>
        <v>9000</v>
      </c>
      <c r="L4734">
        <f t="shared" si="368"/>
        <v>12000</v>
      </c>
      <c r="M4734">
        <f t="shared" si="369"/>
        <v>12</v>
      </c>
    </row>
    <row r="4735" spans="1:13" x14ac:dyDescent="0.3">
      <c r="A4735" t="str">
        <f>Segmenter!A4735</f>
        <v>S4734</v>
      </c>
      <c r="B4735" t="str">
        <f>Segmenter!B4735</f>
        <v>247 -&gt; 478</v>
      </c>
      <c r="C4735" t="str">
        <f t="shared" si="365"/>
        <v>Bjelke</v>
      </c>
      <c r="D4735">
        <f t="shared" si="366"/>
        <v>247</v>
      </c>
      <c r="E4735">
        <f t="shared" si="367"/>
        <v>478</v>
      </c>
      <c r="F4735">
        <f>IF(D4735="","",INDEX(Knutepunkter!$B:$B,D4735+1))</f>
        <v>12354</v>
      </c>
      <c r="G4735">
        <f>IF(D4735="","",INDEX(Knutepunkter!$C:$C,D4735+1))</f>
        <v>8000</v>
      </c>
      <c r="H4735">
        <f>IF(D4735="","",INDEX(Knutepunkter!$D:$D,D4735+1))</f>
        <v>12000</v>
      </c>
      <c r="I4735">
        <f>IF(E4735="","",INDEX(Knutepunkter!$B:$B,E4735+1))</f>
        <v>24354</v>
      </c>
      <c r="J4735">
        <f>IF(E4735="","",INDEX(Knutepunkter!$C:$C,E4735+1))</f>
        <v>8000</v>
      </c>
      <c r="K4735">
        <f>IF(E4735="","",INDEX(Knutepunkter!$D:$D,E4735+1))</f>
        <v>12000</v>
      </c>
      <c r="L4735">
        <f t="shared" si="368"/>
        <v>12000</v>
      </c>
      <c r="M4735">
        <f t="shared" si="369"/>
        <v>12</v>
      </c>
    </row>
    <row r="4736" spans="1:13" x14ac:dyDescent="0.3">
      <c r="A4736" t="str">
        <f>Segmenter!A4736</f>
        <v>S4735</v>
      </c>
      <c r="B4736" t="str">
        <f>Segmenter!B4736</f>
        <v>248 -&gt; 479</v>
      </c>
      <c r="C4736" t="str">
        <f t="shared" si="365"/>
        <v>Bjelke</v>
      </c>
      <c r="D4736">
        <f t="shared" si="366"/>
        <v>248</v>
      </c>
      <c r="E4736">
        <f t="shared" si="367"/>
        <v>479</v>
      </c>
      <c r="F4736">
        <f>IF(D4736="","",INDEX(Knutepunkter!$B:$B,D4736+1))</f>
        <v>12354</v>
      </c>
      <c r="G4736">
        <f>IF(D4736="","",INDEX(Knutepunkter!$C:$C,D4736+1))</f>
        <v>8000</v>
      </c>
      <c r="H4736">
        <f>IF(D4736="","",INDEX(Knutepunkter!$D:$D,D4736+1))</f>
        <v>15000</v>
      </c>
      <c r="I4736">
        <f>IF(E4736="","",INDEX(Knutepunkter!$B:$B,E4736+1))</f>
        <v>24354</v>
      </c>
      <c r="J4736">
        <f>IF(E4736="","",INDEX(Knutepunkter!$C:$C,E4736+1))</f>
        <v>8000</v>
      </c>
      <c r="K4736">
        <f>IF(E4736="","",INDEX(Knutepunkter!$D:$D,E4736+1))</f>
        <v>15000</v>
      </c>
      <c r="L4736">
        <f t="shared" si="368"/>
        <v>12000</v>
      </c>
      <c r="M4736">
        <f t="shared" si="369"/>
        <v>12</v>
      </c>
    </row>
    <row r="4737" spans="1:13" x14ac:dyDescent="0.3">
      <c r="A4737" t="str">
        <f>Segmenter!A4737</f>
        <v>S4736</v>
      </c>
      <c r="B4737" t="str">
        <f>Segmenter!B4737</f>
        <v>249 -&gt; 480</v>
      </c>
      <c r="C4737" t="str">
        <f t="shared" si="365"/>
        <v>Bjelke</v>
      </c>
      <c r="D4737">
        <f t="shared" si="366"/>
        <v>249</v>
      </c>
      <c r="E4737">
        <f t="shared" si="367"/>
        <v>480</v>
      </c>
      <c r="F4737">
        <f>IF(D4737="","",INDEX(Knutepunkter!$B:$B,D4737+1))</f>
        <v>12354</v>
      </c>
      <c r="G4737">
        <f>IF(D4737="","",INDEX(Knutepunkter!$C:$C,D4737+1))</f>
        <v>8000</v>
      </c>
      <c r="H4737">
        <f>IF(D4737="","",INDEX(Knutepunkter!$D:$D,D4737+1))</f>
        <v>18000</v>
      </c>
      <c r="I4737">
        <f>IF(E4737="","",INDEX(Knutepunkter!$B:$B,E4737+1))</f>
        <v>24354</v>
      </c>
      <c r="J4737">
        <f>IF(E4737="","",INDEX(Knutepunkter!$C:$C,E4737+1))</f>
        <v>8000</v>
      </c>
      <c r="K4737">
        <f>IF(E4737="","",INDEX(Knutepunkter!$D:$D,E4737+1))</f>
        <v>18000</v>
      </c>
      <c r="L4737">
        <f t="shared" si="368"/>
        <v>12000</v>
      </c>
      <c r="M4737">
        <f t="shared" si="369"/>
        <v>12</v>
      </c>
    </row>
    <row r="4738" spans="1:13" x14ac:dyDescent="0.3">
      <c r="A4738" t="str">
        <f>Segmenter!A4738</f>
        <v/>
      </c>
      <c r="B4738" t="str">
        <f>Segmenter!B4738</f>
        <v/>
      </c>
      <c r="C4738" t="str">
        <f t="shared" ref="C4738:C4801" si="370">IF(B4738="","",IF(AND(F4738=I4738,G4738=J4738,H4738&lt;&gt;K4738),"Søyle","Bjelke"))</f>
        <v/>
      </c>
      <c r="D4738" t="str">
        <f t="shared" ref="D4738:D4801" si="371">IF(B4738="","",VALUE(LEFT(B4738,FIND(" -&gt; ",B4738)-1)))</f>
        <v/>
      </c>
      <c r="E4738" t="str">
        <f t="shared" ref="E4738:E4801" si="372">IF(B4738="","",VALUE(MID(B4738,FIND(" -&gt; ",B4738)+4,99)))</f>
        <v/>
      </c>
      <c r="F4738" t="str">
        <f>IF(D4738="","",INDEX(Knutepunkter!$B:$B,D4738+1))</f>
        <v/>
      </c>
      <c r="G4738" t="str">
        <f>IF(D4738="","",INDEX(Knutepunkter!$C:$C,D4738+1))</f>
        <v/>
      </c>
      <c r="H4738" t="str">
        <f>IF(D4738="","",INDEX(Knutepunkter!$D:$D,D4738+1))</f>
        <v/>
      </c>
      <c r="I4738" t="str">
        <f>IF(E4738="","",INDEX(Knutepunkter!$B:$B,E4738+1))</f>
        <v/>
      </c>
      <c r="J4738" t="str">
        <f>IF(E4738="","",INDEX(Knutepunkter!$C:$C,E4738+1))</f>
        <v/>
      </c>
      <c r="K4738" t="str">
        <f>IF(E4738="","",INDEX(Knutepunkter!$D:$D,E4738+1))</f>
        <v/>
      </c>
      <c r="L4738" t="str">
        <f t="shared" ref="L4738:L4801" si="373">IF(B4738="","",SQRT((I4738-F4738)^2+(J4738-G4738)^2+(K4738-H4738)^2))</f>
        <v/>
      </c>
      <c r="M4738" t="str">
        <f t="shared" ref="M4738:M4801" si="374">IF(L4738="","",L4738/1000)</f>
        <v/>
      </c>
    </row>
    <row r="4739" spans="1:13" x14ac:dyDescent="0.3">
      <c r="A4739" t="str">
        <f>Segmenter!A4739</f>
        <v/>
      </c>
      <c r="B4739" t="str">
        <f>Segmenter!B4739</f>
        <v/>
      </c>
      <c r="C4739" t="str">
        <f t="shared" si="370"/>
        <v/>
      </c>
      <c r="D4739" t="str">
        <f t="shared" si="371"/>
        <v/>
      </c>
      <c r="E4739" t="str">
        <f t="shared" si="372"/>
        <v/>
      </c>
      <c r="F4739" t="str">
        <f>IF(D4739="","",INDEX(Knutepunkter!$B:$B,D4739+1))</f>
        <v/>
      </c>
      <c r="G4739" t="str">
        <f>IF(D4739="","",INDEX(Knutepunkter!$C:$C,D4739+1))</f>
        <v/>
      </c>
      <c r="H4739" t="str">
        <f>IF(D4739="","",INDEX(Knutepunkter!$D:$D,D4739+1))</f>
        <v/>
      </c>
      <c r="I4739" t="str">
        <f>IF(E4739="","",INDEX(Knutepunkter!$B:$B,E4739+1))</f>
        <v/>
      </c>
      <c r="J4739" t="str">
        <f>IF(E4739="","",INDEX(Knutepunkter!$C:$C,E4739+1))</f>
        <v/>
      </c>
      <c r="K4739" t="str">
        <f>IF(E4739="","",INDEX(Knutepunkter!$D:$D,E4739+1))</f>
        <v/>
      </c>
      <c r="L4739" t="str">
        <f t="shared" si="373"/>
        <v/>
      </c>
      <c r="M4739" t="str">
        <f t="shared" si="374"/>
        <v/>
      </c>
    </row>
    <row r="4740" spans="1:13" x14ac:dyDescent="0.3">
      <c r="A4740" t="str">
        <f>Segmenter!A4740</f>
        <v/>
      </c>
      <c r="B4740" t="str">
        <f>Segmenter!B4740</f>
        <v/>
      </c>
      <c r="C4740" t="str">
        <f t="shared" si="370"/>
        <v/>
      </c>
      <c r="D4740" t="str">
        <f t="shared" si="371"/>
        <v/>
      </c>
      <c r="E4740" t="str">
        <f t="shared" si="372"/>
        <v/>
      </c>
      <c r="F4740" t="str">
        <f>IF(D4740="","",INDEX(Knutepunkter!$B:$B,D4740+1))</f>
        <v/>
      </c>
      <c r="G4740" t="str">
        <f>IF(D4740="","",INDEX(Knutepunkter!$C:$C,D4740+1))</f>
        <v/>
      </c>
      <c r="H4740" t="str">
        <f>IF(D4740="","",INDEX(Knutepunkter!$D:$D,D4740+1))</f>
        <v/>
      </c>
      <c r="I4740" t="str">
        <f>IF(E4740="","",INDEX(Knutepunkter!$B:$B,E4740+1))</f>
        <v/>
      </c>
      <c r="J4740" t="str">
        <f>IF(E4740="","",INDEX(Knutepunkter!$C:$C,E4740+1))</f>
        <v/>
      </c>
      <c r="K4740" t="str">
        <f>IF(E4740="","",INDEX(Knutepunkter!$D:$D,E4740+1))</f>
        <v/>
      </c>
      <c r="L4740" t="str">
        <f t="shared" si="373"/>
        <v/>
      </c>
      <c r="M4740" t="str">
        <f t="shared" si="374"/>
        <v/>
      </c>
    </row>
    <row r="4741" spans="1:13" x14ac:dyDescent="0.3">
      <c r="A4741" t="str">
        <f>Segmenter!A4741</f>
        <v/>
      </c>
      <c r="B4741" t="str">
        <f>Segmenter!B4741</f>
        <v/>
      </c>
      <c r="C4741" t="str">
        <f t="shared" si="370"/>
        <v/>
      </c>
      <c r="D4741" t="str">
        <f t="shared" si="371"/>
        <v/>
      </c>
      <c r="E4741" t="str">
        <f t="shared" si="372"/>
        <v/>
      </c>
      <c r="F4741" t="str">
        <f>IF(D4741="","",INDEX(Knutepunkter!$B:$B,D4741+1))</f>
        <v/>
      </c>
      <c r="G4741" t="str">
        <f>IF(D4741="","",INDEX(Knutepunkter!$C:$C,D4741+1))</f>
        <v/>
      </c>
      <c r="H4741" t="str">
        <f>IF(D4741="","",INDEX(Knutepunkter!$D:$D,D4741+1))</f>
        <v/>
      </c>
      <c r="I4741" t="str">
        <f>IF(E4741="","",INDEX(Knutepunkter!$B:$B,E4741+1))</f>
        <v/>
      </c>
      <c r="J4741" t="str">
        <f>IF(E4741="","",INDEX(Knutepunkter!$C:$C,E4741+1))</f>
        <v/>
      </c>
      <c r="K4741" t="str">
        <f>IF(E4741="","",INDEX(Knutepunkter!$D:$D,E4741+1))</f>
        <v/>
      </c>
      <c r="L4741" t="str">
        <f t="shared" si="373"/>
        <v/>
      </c>
      <c r="M4741" t="str">
        <f t="shared" si="374"/>
        <v/>
      </c>
    </row>
    <row r="4742" spans="1:13" x14ac:dyDescent="0.3">
      <c r="A4742" t="str">
        <f>Segmenter!A4742</f>
        <v>S4741</v>
      </c>
      <c r="B4742" t="str">
        <f>Segmenter!B4742</f>
        <v>255 -&gt; 486</v>
      </c>
      <c r="C4742" t="str">
        <f t="shared" si="370"/>
        <v>Bjelke</v>
      </c>
      <c r="D4742">
        <f t="shared" si="371"/>
        <v>255</v>
      </c>
      <c r="E4742">
        <f t="shared" si="372"/>
        <v>486</v>
      </c>
      <c r="F4742">
        <f>IF(D4742="","",INDEX(Knutepunkter!$B:$B,D4742+1))</f>
        <v>12354</v>
      </c>
      <c r="G4742">
        <f>IF(D4742="","",INDEX(Knutepunkter!$C:$C,D4742+1))</f>
        <v>16000</v>
      </c>
      <c r="H4742">
        <f>IF(D4742="","",INDEX(Knutepunkter!$D:$D,D4742+1))</f>
        <v>3000</v>
      </c>
      <c r="I4742">
        <f>IF(E4742="","",INDEX(Knutepunkter!$B:$B,E4742+1))</f>
        <v>24354</v>
      </c>
      <c r="J4742">
        <f>IF(E4742="","",INDEX(Knutepunkter!$C:$C,E4742+1))</f>
        <v>16000</v>
      </c>
      <c r="K4742">
        <f>IF(E4742="","",INDEX(Knutepunkter!$D:$D,E4742+1))</f>
        <v>3000</v>
      </c>
      <c r="L4742">
        <f t="shared" si="373"/>
        <v>12000</v>
      </c>
      <c r="M4742">
        <f t="shared" si="374"/>
        <v>12</v>
      </c>
    </row>
    <row r="4743" spans="1:13" x14ac:dyDescent="0.3">
      <c r="A4743" t="str">
        <f>Segmenter!A4743</f>
        <v>S4742</v>
      </c>
      <c r="B4743" t="str">
        <f>Segmenter!B4743</f>
        <v>256 -&gt; 487</v>
      </c>
      <c r="C4743" t="str">
        <f t="shared" si="370"/>
        <v>Bjelke</v>
      </c>
      <c r="D4743">
        <f t="shared" si="371"/>
        <v>256</v>
      </c>
      <c r="E4743">
        <f t="shared" si="372"/>
        <v>487</v>
      </c>
      <c r="F4743">
        <f>IF(D4743="","",INDEX(Knutepunkter!$B:$B,D4743+1))</f>
        <v>12354</v>
      </c>
      <c r="G4743">
        <f>IF(D4743="","",INDEX(Knutepunkter!$C:$C,D4743+1))</f>
        <v>16000</v>
      </c>
      <c r="H4743">
        <f>IF(D4743="","",INDEX(Knutepunkter!$D:$D,D4743+1))</f>
        <v>6000</v>
      </c>
      <c r="I4743">
        <f>IF(E4743="","",INDEX(Knutepunkter!$B:$B,E4743+1))</f>
        <v>24354</v>
      </c>
      <c r="J4743">
        <f>IF(E4743="","",INDEX(Knutepunkter!$C:$C,E4743+1))</f>
        <v>16000</v>
      </c>
      <c r="K4743">
        <f>IF(E4743="","",INDEX(Knutepunkter!$D:$D,E4743+1))</f>
        <v>6000</v>
      </c>
      <c r="L4743">
        <f t="shared" si="373"/>
        <v>12000</v>
      </c>
      <c r="M4743">
        <f t="shared" si="374"/>
        <v>12</v>
      </c>
    </row>
    <row r="4744" spans="1:13" x14ac:dyDescent="0.3">
      <c r="A4744" t="str">
        <f>Segmenter!A4744</f>
        <v>S4743</v>
      </c>
      <c r="B4744" t="str">
        <f>Segmenter!B4744</f>
        <v>257 -&gt; 488</v>
      </c>
      <c r="C4744" t="str">
        <f t="shared" si="370"/>
        <v>Bjelke</v>
      </c>
      <c r="D4744">
        <f t="shared" si="371"/>
        <v>257</v>
      </c>
      <c r="E4744">
        <f t="shared" si="372"/>
        <v>488</v>
      </c>
      <c r="F4744">
        <f>IF(D4744="","",INDEX(Knutepunkter!$B:$B,D4744+1))</f>
        <v>12354</v>
      </c>
      <c r="G4744">
        <f>IF(D4744="","",INDEX(Knutepunkter!$C:$C,D4744+1))</f>
        <v>16000</v>
      </c>
      <c r="H4744">
        <f>IF(D4744="","",INDEX(Knutepunkter!$D:$D,D4744+1))</f>
        <v>9000</v>
      </c>
      <c r="I4744">
        <f>IF(E4744="","",INDEX(Knutepunkter!$B:$B,E4744+1))</f>
        <v>24354</v>
      </c>
      <c r="J4744">
        <f>IF(E4744="","",INDEX(Knutepunkter!$C:$C,E4744+1))</f>
        <v>16000</v>
      </c>
      <c r="K4744">
        <f>IF(E4744="","",INDEX(Knutepunkter!$D:$D,E4744+1))</f>
        <v>9000</v>
      </c>
      <c r="L4744">
        <f t="shared" si="373"/>
        <v>12000</v>
      </c>
      <c r="M4744">
        <f t="shared" si="374"/>
        <v>12</v>
      </c>
    </row>
    <row r="4745" spans="1:13" x14ac:dyDescent="0.3">
      <c r="A4745" t="str">
        <f>Segmenter!A4745</f>
        <v>S4744</v>
      </c>
      <c r="B4745" t="str">
        <f>Segmenter!B4745</f>
        <v>258 -&gt; 489</v>
      </c>
      <c r="C4745" t="str">
        <f t="shared" si="370"/>
        <v>Bjelke</v>
      </c>
      <c r="D4745">
        <f t="shared" si="371"/>
        <v>258</v>
      </c>
      <c r="E4745">
        <f t="shared" si="372"/>
        <v>489</v>
      </c>
      <c r="F4745">
        <f>IF(D4745="","",INDEX(Knutepunkter!$B:$B,D4745+1))</f>
        <v>12354</v>
      </c>
      <c r="G4745">
        <f>IF(D4745="","",INDEX(Knutepunkter!$C:$C,D4745+1))</f>
        <v>16000</v>
      </c>
      <c r="H4745">
        <f>IF(D4745="","",INDEX(Knutepunkter!$D:$D,D4745+1))</f>
        <v>12000</v>
      </c>
      <c r="I4745">
        <f>IF(E4745="","",INDEX(Knutepunkter!$B:$B,E4745+1))</f>
        <v>24354</v>
      </c>
      <c r="J4745">
        <f>IF(E4745="","",INDEX(Knutepunkter!$C:$C,E4745+1))</f>
        <v>16000</v>
      </c>
      <c r="K4745">
        <f>IF(E4745="","",INDEX(Knutepunkter!$D:$D,E4745+1))</f>
        <v>12000</v>
      </c>
      <c r="L4745">
        <f t="shared" si="373"/>
        <v>12000</v>
      </c>
      <c r="M4745">
        <f t="shared" si="374"/>
        <v>12</v>
      </c>
    </row>
    <row r="4746" spans="1:13" x14ac:dyDescent="0.3">
      <c r="A4746" t="str">
        <f>Segmenter!A4746</f>
        <v>S4745</v>
      </c>
      <c r="B4746" t="str">
        <f>Segmenter!B4746</f>
        <v>259 -&gt; 490</v>
      </c>
      <c r="C4746" t="str">
        <f t="shared" si="370"/>
        <v>Bjelke</v>
      </c>
      <c r="D4746">
        <f t="shared" si="371"/>
        <v>259</v>
      </c>
      <c r="E4746">
        <f t="shared" si="372"/>
        <v>490</v>
      </c>
      <c r="F4746">
        <f>IF(D4746="","",INDEX(Knutepunkter!$B:$B,D4746+1))</f>
        <v>12354</v>
      </c>
      <c r="G4746">
        <f>IF(D4746="","",INDEX(Knutepunkter!$C:$C,D4746+1))</f>
        <v>16000</v>
      </c>
      <c r="H4746">
        <f>IF(D4746="","",INDEX(Knutepunkter!$D:$D,D4746+1))</f>
        <v>15000</v>
      </c>
      <c r="I4746">
        <f>IF(E4746="","",INDEX(Knutepunkter!$B:$B,E4746+1))</f>
        <v>24354</v>
      </c>
      <c r="J4746">
        <f>IF(E4746="","",INDEX(Knutepunkter!$C:$C,E4746+1))</f>
        <v>16000</v>
      </c>
      <c r="K4746">
        <f>IF(E4746="","",INDEX(Knutepunkter!$D:$D,E4746+1))</f>
        <v>15000</v>
      </c>
      <c r="L4746">
        <f t="shared" si="373"/>
        <v>12000</v>
      </c>
      <c r="M4746">
        <f t="shared" si="374"/>
        <v>12</v>
      </c>
    </row>
    <row r="4747" spans="1:13" x14ac:dyDescent="0.3">
      <c r="A4747" t="str">
        <f>Segmenter!A4747</f>
        <v>S4746</v>
      </c>
      <c r="B4747" t="str">
        <f>Segmenter!B4747</f>
        <v>260 -&gt; 491</v>
      </c>
      <c r="C4747" t="str">
        <f t="shared" si="370"/>
        <v>Bjelke</v>
      </c>
      <c r="D4747">
        <f t="shared" si="371"/>
        <v>260</v>
      </c>
      <c r="E4747">
        <f t="shared" si="372"/>
        <v>491</v>
      </c>
      <c r="F4747">
        <f>IF(D4747="","",INDEX(Knutepunkter!$B:$B,D4747+1))</f>
        <v>12354</v>
      </c>
      <c r="G4747">
        <f>IF(D4747="","",INDEX(Knutepunkter!$C:$C,D4747+1))</f>
        <v>16000</v>
      </c>
      <c r="H4747">
        <f>IF(D4747="","",INDEX(Knutepunkter!$D:$D,D4747+1))</f>
        <v>18000</v>
      </c>
      <c r="I4747">
        <f>IF(E4747="","",INDEX(Knutepunkter!$B:$B,E4747+1))</f>
        <v>24354</v>
      </c>
      <c r="J4747">
        <f>IF(E4747="","",INDEX(Knutepunkter!$C:$C,E4747+1))</f>
        <v>16000</v>
      </c>
      <c r="K4747">
        <f>IF(E4747="","",INDEX(Knutepunkter!$D:$D,E4747+1))</f>
        <v>18000</v>
      </c>
      <c r="L4747">
        <f t="shared" si="373"/>
        <v>12000</v>
      </c>
      <c r="M4747">
        <f t="shared" si="374"/>
        <v>12</v>
      </c>
    </row>
    <row r="4748" spans="1:13" x14ac:dyDescent="0.3">
      <c r="A4748" t="str">
        <f>Segmenter!A4748</f>
        <v/>
      </c>
      <c r="B4748" t="str">
        <f>Segmenter!B4748</f>
        <v/>
      </c>
      <c r="C4748" t="str">
        <f t="shared" si="370"/>
        <v/>
      </c>
      <c r="D4748" t="str">
        <f t="shared" si="371"/>
        <v/>
      </c>
      <c r="E4748" t="str">
        <f t="shared" si="372"/>
        <v/>
      </c>
      <c r="F4748" t="str">
        <f>IF(D4748="","",INDEX(Knutepunkter!$B:$B,D4748+1))</f>
        <v/>
      </c>
      <c r="G4748" t="str">
        <f>IF(D4748="","",INDEX(Knutepunkter!$C:$C,D4748+1))</f>
        <v/>
      </c>
      <c r="H4748" t="str">
        <f>IF(D4748="","",INDEX(Knutepunkter!$D:$D,D4748+1))</f>
        <v/>
      </c>
      <c r="I4748" t="str">
        <f>IF(E4748="","",INDEX(Knutepunkter!$B:$B,E4748+1))</f>
        <v/>
      </c>
      <c r="J4748" t="str">
        <f>IF(E4748="","",INDEX(Knutepunkter!$C:$C,E4748+1))</f>
        <v/>
      </c>
      <c r="K4748" t="str">
        <f>IF(E4748="","",INDEX(Knutepunkter!$D:$D,E4748+1))</f>
        <v/>
      </c>
      <c r="L4748" t="str">
        <f t="shared" si="373"/>
        <v/>
      </c>
      <c r="M4748" t="str">
        <f t="shared" si="374"/>
        <v/>
      </c>
    </row>
    <row r="4749" spans="1:13" x14ac:dyDescent="0.3">
      <c r="A4749" t="str">
        <f>Segmenter!A4749</f>
        <v/>
      </c>
      <c r="B4749" t="str">
        <f>Segmenter!B4749</f>
        <v/>
      </c>
      <c r="C4749" t="str">
        <f t="shared" si="370"/>
        <v/>
      </c>
      <c r="D4749" t="str">
        <f t="shared" si="371"/>
        <v/>
      </c>
      <c r="E4749" t="str">
        <f t="shared" si="372"/>
        <v/>
      </c>
      <c r="F4749" t="str">
        <f>IF(D4749="","",INDEX(Knutepunkter!$B:$B,D4749+1))</f>
        <v/>
      </c>
      <c r="G4749" t="str">
        <f>IF(D4749="","",INDEX(Knutepunkter!$C:$C,D4749+1))</f>
        <v/>
      </c>
      <c r="H4749" t="str">
        <f>IF(D4749="","",INDEX(Knutepunkter!$D:$D,D4749+1))</f>
        <v/>
      </c>
      <c r="I4749" t="str">
        <f>IF(E4749="","",INDEX(Knutepunkter!$B:$B,E4749+1))</f>
        <v/>
      </c>
      <c r="J4749" t="str">
        <f>IF(E4749="","",INDEX(Knutepunkter!$C:$C,E4749+1))</f>
        <v/>
      </c>
      <c r="K4749" t="str">
        <f>IF(E4749="","",INDEX(Knutepunkter!$D:$D,E4749+1))</f>
        <v/>
      </c>
      <c r="L4749" t="str">
        <f t="shared" si="373"/>
        <v/>
      </c>
      <c r="M4749" t="str">
        <f t="shared" si="374"/>
        <v/>
      </c>
    </row>
    <row r="4750" spans="1:13" x14ac:dyDescent="0.3">
      <c r="A4750" t="str">
        <f>Segmenter!A4750</f>
        <v/>
      </c>
      <c r="B4750" t="str">
        <f>Segmenter!B4750</f>
        <v/>
      </c>
      <c r="C4750" t="str">
        <f t="shared" si="370"/>
        <v/>
      </c>
      <c r="D4750" t="str">
        <f t="shared" si="371"/>
        <v/>
      </c>
      <c r="E4750" t="str">
        <f t="shared" si="372"/>
        <v/>
      </c>
      <c r="F4750" t="str">
        <f>IF(D4750="","",INDEX(Knutepunkter!$B:$B,D4750+1))</f>
        <v/>
      </c>
      <c r="G4750" t="str">
        <f>IF(D4750="","",INDEX(Knutepunkter!$C:$C,D4750+1))</f>
        <v/>
      </c>
      <c r="H4750" t="str">
        <f>IF(D4750="","",INDEX(Knutepunkter!$D:$D,D4750+1))</f>
        <v/>
      </c>
      <c r="I4750" t="str">
        <f>IF(E4750="","",INDEX(Knutepunkter!$B:$B,E4750+1))</f>
        <v/>
      </c>
      <c r="J4750" t="str">
        <f>IF(E4750="","",INDEX(Knutepunkter!$C:$C,E4750+1))</f>
        <v/>
      </c>
      <c r="K4750" t="str">
        <f>IF(E4750="","",INDEX(Knutepunkter!$D:$D,E4750+1))</f>
        <v/>
      </c>
      <c r="L4750" t="str">
        <f t="shared" si="373"/>
        <v/>
      </c>
      <c r="M4750" t="str">
        <f t="shared" si="374"/>
        <v/>
      </c>
    </row>
    <row r="4751" spans="1:13" x14ac:dyDescent="0.3">
      <c r="A4751" t="str">
        <f>Segmenter!A4751</f>
        <v/>
      </c>
      <c r="B4751" t="str">
        <f>Segmenter!B4751</f>
        <v/>
      </c>
      <c r="C4751" t="str">
        <f t="shared" si="370"/>
        <v/>
      </c>
      <c r="D4751" t="str">
        <f t="shared" si="371"/>
        <v/>
      </c>
      <c r="E4751" t="str">
        <f t="shared" si="372"/>
        <v/>
      </c>
      <c r="F4751" t="str">
        <f>IF(D4751="","",INDEX(Knutepunkter!$B:$B,D4751+1))</f>
        <v/>
      </c>
      <c r="G4751" t="str">
        <f>IF(D4751="","",INDEX(Knutepunkter!$C:$C,D4751+1))</f>
        <v/>
      </c>
      <c r="H4751" t="str">
        <f>IF(D4751="","",INDEX(Knutepunkter!$D:$D,D4751+1))</f>
        <v/>
      </c>
      <c r="I4751" t="str">
        <f>IF(E4751="","",INDEX(Knutepunkter!$B:$B,E4751+1))</f>
        <v/>
      </c>
      <c r="J4751" t="str">
        <f>IF(E4751="","",INDEX(Knutepunkter!$C:$C,E4751+1))</f>
        <v/>
      </c>
      <c r="K4751" t="str">
        <f>IF(E4751="","",INDEX(Knutepunkter!$D:$D,E4751+1))</f>
        <v/>
      </c>
      <c r="L4751" t="str">
        <f t="shared" si="373"/>
        <v/>
      </c>
      <c r="M4751" t="str">
        <f t="shared" si="374"/>
        <v/>
      </c>
    </row>
    <row r="4752" spans="1:13" x14ac:dyDescent="0.3">
      <c r="A4752" t="str">
        <f>Segmenter!A4752</f>
        <v>S4751</v>
      </c>
      <c r="B4752" t="str">
        <f>Segmenter!B4752</f>
        <v>266 -&gt; 497</v>
      </c>
      <c r="C4752" t="str">
        <f t="shared" si="370"/>
        <v>Bjelke</v>
      </c>
      <c r="D4752">
        <f t="shared" si="371"/>
        <v>266</v>
      </c>
      <c r="E4752">
        <f t="shared" si="372"/>
        <v>497</v>
      </c>
      <c r="F4752">
        <f>IF(D4752="","",INDEX(Knutepunkter!$B:$B,D4752+1))</f>
        <v>12354</v>
      </c>
      <c r="G4752">
        <f>IF(D4752="","",INDEX(Knutepunkter!$C:$C,D4752+1))</f>
        <v>24000</v>
      </c>
      <c r="H4752">
        <f>IF(D4752="","",INDEX(Knutepunkter!$D:$D,D4752+1))</f>
        <v>3000</v>
      </c>
      <c r="I4752">
        <f>IF(E4752="","",INDEX(Knutepunkter!$B:$B,E4752+1))</f>
        <v>24354</v>
      </c>
      <c r="J4752">
        <f>IF(E4752="","",INDEX(Knutepunkter!$C:$C,E4752+1))</f>
        <v>24000</v>
      </c>
      <c r="K4752">
        <f>IF(E4752="","",INDEX(Knutepunkter!$D:$D,E4752+1))</f>
        <v>3000</v>
      </c>
      <c r="L4752">
        <f t="shared" si="373"/>
        <v>12000</v>
      </c>
      <c r="M4752">
        <f t="shared" si="374"/>
        <v>12</v>
      </c>
    </row>
    <row r="4753" spans="1:13" x14ac:dyDescent="0.3">
      <c r="A4753" t="str">
        <f>Segmenter!A4753</f>
        <v>S4752</v>
      </c>
      <c r="B4753" t="str">
        <f>Segmenter!B4753</f>
        <v>267 -&gt; 498</v>
      </c>
      <c r="C4753" t="str">
        <f t="shared" si="370"/>
        <v>Bjelke</v>
      </c>
      <c r="D4753">
        <f t="shared" si="371"/>
        <v>267</v>
      </c>
      <c r="E4753">
        <f t="shared" si="372"/>
        <v>498</v>
      </c>
      <c r="F4753">
        <f>IF(D4753="","",INDEX(Knutepunkter!$B:$B,D4753+1))</f>
        <v>12354</v>
      </c>
      <c r="G4753">
        <f>IF(D4753="","",INDEX(Knutepunkter!$C:$C,D4753+1))</f>
        <v>24000</v>
      </c>
      <c r="H4753">
        <f>IF(D4753="","",INDEX(Knutepunkter!$D:$D,D4753+1))</f>
        <v>6000</v>
      </c>
      <c r="I4753">
        <f>IF(E4753="","",INDEX(Knutepunkter!$B:$B,E4753+1))</f>
        <v>24354</v>
      </c>
      <c r="J4753">
        <f>IF(E4753="","",INDEX(Knutepunkter!$C:$C,E4753+1))</f>
        <v>24000</v>
      </c>
      <c r="K4753">
        <f>IF(E4753="","",INDEX(Knutepunkter!$D:$D,E4753+1))</f>
        <v>6000</v>
      </c>
      <c r="L4753">
        <f t="shared" si="373"/>
        <v>12000</v>
      </c>
      <c r="M4753">
        <f t="shared" si="374"/>
        <v>12</v>
      </c>
    </row>
    <row r="4754" spans="1:13" x14ac:dyDescent="0.3">
      <c r="A4754" t="str">
        <f>Segmenter!A4754</f>
        <v>S4753</v>
      </c>
      <c r="B4754" t="str">
        <f>Segmenter!B4754</f>
        <v>268 -&gt; 499</v>
      </c>
      <c r="C4754" t="str">
        <f t="shared" si="370"/>
        <v>Bjelke</v>
      </c>
      <c r="D4754">
        <f t="shared" si="371"/>
        <v>268</v>
      </c>
      <c r="E4754">
        <f t="shared" si="372"/>
        <v>499</v>
      </c>
      <c r="F4754">
        <f>IF(D4754="","",INDEX(Knutepunkter!$B:$B,D4754+1))</f>
        <v>12354</v>
      </c>
      <c r="G4754">
        <f>IF(D4754="","",INDEX(Knutepunkter!$C:$C,D4754+1))</f>
        <v>24000</v>
      </c>
      <c r="H4754">
        <f>IF(D4754="","",INDEX(Knutepunkter!$D:$D,D4754+1))</f>
        <v>9000</v>
      </c>
      <c r="I4754">
        <f>IF(E4754="","",INDEX(Knutepunkter!$B:$B,E4754+1))</f>
        <v>24354</v>
      </c>
      <c r="J4754">
        <f>IF(E4754="","",INDEX(Knutepunkter!$C:$C,E4754+1))</f>
        <v>24000</v>
      </c>
      <c r="K4754">
        <f>IF(E4754="","",INDEX(Knutepunkter!$D:$D,E4754+1))</f>
        <v>9000</v>
      </c>
      <c r="L4754">
        <f t="shared" si="373"/>
        <v>12000</v>
      </c>
      <c r="M4754">
        <f t="shared" si="374"/>
        <v>12</v>
      </c>
    </row>
    <row r="4755" spans="1:13" x14ac:dyDescent="0.3">
      <c r="A4755" t="str">
        <f>Segmenter!A4755</f>
        <v>S4754</v>
      </c>
      <c r="B4755" t="str">
        <f>Segmenter!B4755</f>
        <v>269 -&gt; 500</v>
      </c>
      <c r="C4755" t="str">
        <f t="shared" si="370"/>
        <v>Bjelke</v>
      </c>
      <c r="D4755">
        <f t="shared" si="371"/>
        <v>269</v>
      </c>
      <c r="E4755">
        <f t="shared" si="372"/>
        <v>500</v>
      </c>
      <c r="F4755">
        <f>IF(D4755="","",INDEX(Knutepunkter!$B:$B,D4755+1))</f>
        <v>12354</v>
      </c>
      <c r="G4755">
        <f>IF(D4755="","",INDEX(Knutepunkter!$C:$C,D4755+1))</f>
        <v>24000</v>
      </c>
      <c r="H4755">
        <f>IF(D4755="","",INDEX(Knutepunkter!$D:$D,D4755+1))</f>
        <v>12000</v>
      </c>
      <c r="I4755">
        <f>IF(E4755="","",INDEX(Knutepunkter!$B:$B,E4755+1))</f>
        <v>24354</v>
      </c>
      <c r="J4755">
        <f>IF(E4755="","",INDEX(Knutepunkter!$C:$C,E4755+1))</f>
        <v>24000</v>
      </c>
      <c r="K4755">
        <f>IF(E4755="","",INDEX(Knutepunkter!$D:$D,E4755+1))</f>
        <v>12000</v>
      </c>
      <c r="L4755">
        <f t="shared" si="373"/>
        <v>12000</v>
      </c>
      <c r="M4755">
        <f t="shared" si="374"/>
        <v>12</v>
      </c>
    </row>
    <row r="4756" spans="1:13" x14ac:dyDescent="0.3">
      <c r="A4756" t="str">
        <f>Segmenter!A4756</f>
        <v>S4755</v>
      </c>
      <c r="B4756" t="str">
        <f>Segmenter!B4756</f>
        <v>270 -&gt; 501</v>
      </c>
      <c r="C4756" t="str">
        <f t="shared" si="370"/>
        <v>Bjelke</v>
      </c>
      <c r="D4756">
        <f t="shared" si="371"/>
        <v>270</v>
      </c>
      <c r="E4756">
        <f t="shared" si="372"/>
        <v>501</v>
      </c>
      <c r="F4756">
        <f>IF(D4756="","",INDEX(Knutepunkter!$B:$B,D4756+1))</f>
        <v>12354</v>
      </c>
      <c r="G4756">
        <f>IF(D4756="","",INDEX(Knutepunkter!$C:$C,D4756+1))</f>
        <v>24000</v>
      </c>
      <c r="H4756">
        <f>IF(D4756="","",INDEX(Knutepunkter!$D:$D,D4756+1))</f>
        <v>15000</v>
      </c>
      <c r="I4756">
        <f>IF(E4756="","",INDEX(Knutepunkter!$B:$B,E4756+1))</f>
        <v>24354</v>
      </c>
      <c r="J4756">
        <f>IF(E4756="","",INDEX(Knutepunkter!$C:$C,E4756+1))</f>
        <v>24000</v>
      </c>
      <c r="K4756">
        <f>IF(E4756="","",INDEX(Knutepunkter!$D:$D,E4756+1))</f>
        <v>15000</v>
      </c>
      <c r="L4756">
        <f t="shared" si="373"/>
        <v>12000</v>
      </c>
      <c r="M4756">
        <f t="shared" si="374"/>
        <v>12</v>
      </c>
    </row>
    <row r="4757" spans="1:13" x14ac:dyDescent="0.3">
      <c r="A4757" t="str">
        <f>Segmenter!A4757</f>
        <v>S4756</v>
      </c>
      <c r="B4757" t="str">
        <f>Segmenter!B4757</f>
        <v>271 -&gt; 502</v>
      </c>
      <c r="C4757" t="str">
        <f t="shared" si="370"/>
        <v>Bjelke</v>
      </c>
      <c r="D4757">
        <f t="shared" si="371"/>
        <v>271</v>
      </c>
      <c r="E4757">
        <f t="shared" si="372"/>
        <v>502</v>
      </c>
      <c r="F4757">
        <f>IF(D4757="","",INDEX(Knutepunkter!$B:$B,D4757+1))</f>
        <v>12354</v>
      </c>
      <c r="G4757">
        <f>IF(D4757="","",INDEX(Knutepunkter!$C:$C,D4757+1))</f>
        <v>24000</v>
      </c>
      <c r="H4757">
        <f>IF(D4757="","",INDEX(Knutepunkter!$D:$D,D4757+1))</f>
        <v>18000</v>
      </c>
      <c r="I4757">
        <f>IF(E4757="","",INDEX(Knutepunkter!$B:$B,E4757+1))</f>
        <v>24354</v>
      </c>
      <c r="J4757">
        <f>IF(E4757="","",INDEX(Knutepunkter!$C:$C,E4757+1))</f>
        <v>24000</v>
      </c>
      <c r="K4757">
        <f>IF(E4757="","",INDEX(Knutepunkter!$D:$D,E4757+1))</f>
        <v>18000</v>
      </c>
      <c r="L4757">
        <f t="shared" si="373"/>
        <v>12000</v>
      </c>
      <c r="M4757">
        <f t="shared" si="374"/>
        <v>12</v>
      </c>
    </row>
    <row r="4758" spans="1:13" x14ac:dyDescent="0.3">
      <c r="A4758" t="str">
        <f>Segmenter!A4758</f>
        <v/>
      </c>
      <c r="B4758" t="str">
        <f>Segmenter!B4758</f>
        <v/>
      </c>
      <c r="C4758" t="str">
        <f t="shared" si="370"/>
        <v/>
      </c>
      <c r="D4758" t="str">
        <f t="shared" si="371"/>
        <v/>
      </c>
      <c r="E4758" t="str">
        <f t="shared" si="372"/>
        <v/>
      </c>
      <c r="F4758" t="str">
        <f>IF(D4758="","",INDEX(Knutepunkter!$B:$B,D4758+1))</f>
        <v/>
      </c>
      <c r="G4758" t="str">
        <f>IF(D4758="","",INDEX(Knutepunkter!$C:$C,D4758+1))</f>
        <v/>
      </c>
      <c r="H4758" t="str">
        <f>IF(D4758="","",INDEX(Knutepunkter!$D:$D,D4758+1))</f>
        <v/>
      </c>
      <c r="I4758" t="str">
        <f>IF(E4758="","",INDEX(Knutepunkter!$B:$B,E4758+1))</f>
        <v/>
      </c>
      <c r="J4758" t="str">
        <f>IF(E4758="","",INDEX(Knutepunkter!$C:$C,E4758+1))</f>
        <v/>
      </c>
      <c r="K4758" t="str">
        <f>IF(E4758="","",INDEX(Knutepunkter!$D:$D,E4758+1))</f>
        <v/>
      </c>
      <c r="L4758" t="str">
        <f t="shared" si="373"/>
        <v/>
      </c>
      <c r="M4758" t="str">
        <f t="shared" si="374"/>
        <v/>
      </c>
    </row>
    <row r="4759" spans="1:13" x14ac:dyDescent="0.3">
      <c r="A4759" t="str">
        <f>Segmenter!A4759</f>
        <v/>
      </c>
      <c r="B4759" t="str">
        <f>Segmenter!B4759</f>
        <v/>
      </c>
      <c r="C4759" t="str">
        <f t="shared" si="370"/>
        <v/>
      </c>
      <c r="D4759" t="str">
        <f t="shared" si="371"/>
        <v/>
      </c>
      <c r="E4759" t="str">
        <f t="shared" si="372"/>
        <v/>
      </c>
      <c r="F4759" t="str">
        <f>IF(D4759="","",INDEX(Knutepunkter!$B:$B,D4759+1))</f>
        <v/>
      </c>
      <c r="G4759" t="str">
        <f>IF(D4759="","",INDEX(Knutepunkter!$C:$C,D4759+1))</f>
        <v/>
      </c>
      <c r="H4759" t="str">
        <f>IF(D4759="","",INDEX(Knutepunkter!$D:$D,D4759+1))</f>
        <v/>
      </c>
      <c r="I4759" t="str">
        <f>IF(E4759="","",INDEX(Knutepunkter!$B:$B,E4759+1))</f>
        <v/>
      </c>
      <c r="J4759" t="str">
        <f>IF(E4759="","",INDEX(Knutepunkter!$C:$C,E4759+1))</f>
        <v/>
      </c>
      <c r="K4759" t="str">
        <f>IF(E4759="","",INDEX(Knutepunkter!$D:$D,E4759+1))</f>
        <v/>
      </c>
      <c r="L4759" t="str">
        <f t="shared" si="373"/>
        <v/>
      </c>
      <c r="M4759" t="str">
        <f t="shared" si="374"/>
        <v/>
      </c>
    </row>
    <row r="4760" spans="1:13" x14ac:dyDescent="0.3">
      <c r="A4760" t="str">
        <f>Segmenter!A4760</f>
        <v/>
      </c>
      <c r="B4760" t="str">
        <f>Segmenter!B4760</f>
        <v/>
      </c>
      <c r="C4760" t="str">
        <f t="shared" si="370"/>
        <v/>
      </c>
      <c r="D4760" t="str">
        <f t="shared" si="371"/>
        <v/>
      </c>
      <c r="E4760" t="str">
        <f t="shared" si="372"/>
        <v/>
      </c>
      <c r="F4760" t="str">
        <f>IF(D4760="","",INDEX(Knutepunkter!$B:$B,D4760+1))</f>
        <v/>
      </c>
      <c r="G4760" t="str">
        <f>IF(D4760="","",INDEX(Knutepunkter!$C:$C,D4760+1))</f>
        <v/>
      </c>
      <c r="H4760" t="str">
        <f>IF(D4760="","",INDEX(Knutepunkter!$D:$D,D4760+1))</f>
        <v/>
      </c>
      <c r="I4760" t="str">
        <f>IF(E4760="","",INDEX(Knutepunkter!$B:$B,E4760+1))</f>
        <v/>
      </c>
      <c r="J4760" t="str">
        <f>IF(E4760="","",INDEX(Knutepunkter!$C:$C,E4760+1))</f>
        <v/>
      </c>
      <c r="K4760" t="str">
        <f>IF(E4760="","",INDEX(Knutepunkter!$D:$D,E4760+1))</f>
        <v/>
      </c>
      <c r="L4760" t="str">
        <f t="shared" si="373"/>
        <v/>
      </c>
      <c r="M4760" t="str">
        <f t="shared" si="374"/>
        <v/>
      </c>
    </row>
    <row r="4761" spans="1:13" x14ac:dyDescent="0.3">
      <c r="A4761" t="str">
        <f>Segmenter!A4761</f>
        <v/>
      </c>
      <c r="B4761" t="str">
        <f>Segmenter!B4761</f>
        <v/>
      </c>
      <c r="C4761" t="str">
        <f t="shared" si="370"/>
        <v/>
      </c>
      <c r="D4761" t="str">
        <f t="shared" si="371"/>
        <v/>
      </c>
      <c r="E4761" t="str">
        <f t="shared" si="372"/>
        <v/>
      </c>
      <c r="F4761" t="str">
        <f>IF(D4761="","",INDEX(Knutepunkter!$B:$B,D4761+1))</f>
        <v/>
      </c>
      <c r="G4761" t="str">
        <f>IF(D4761="","",INDEX(Knutepunkter!$C:$C,D4761+1))</f>
        <v/>
      </c>
      <c r="H4761" t="str">
        <f>IF(D4761="","",INDEX(Knutepunkter!$D:$D,D4761+1))</f>
        <v/>
      </c>
      <c r="I4761" t="str">
        <f>IF(E4761="","",INDEX(Knutepunkter!$B:$B,E4761+1))</f>
        <v/>
      </c>
      <c r="J4761" t="str">
        <f>IF(E4761="","",INDEX(Knutepunkter!$C:$C,E4761+1))</f>
        <v/>
      </c>
      <c r="K4761" t="str">
        <f>IF(E4761="","",INDEX(Knutepunkter!$D:$D,E4761+1))</f>
        <v/>
      </c>
      <c r="L4761" t="str">
        <f t="shared" si="373"/>
        <v/>
      </c>
      <c r="M4761" t="str">
        <f t="shared" si="374"/>
        <v/>
      </c>
    </row>
    <row r="4762" spans="1:13" x14ac:dyDescent="0.3">
      <c r="A4762" t="str">
        <f>Segmenter!A4762</f>
        <v>S4761</v>
      </c>
      <c r="B4762" t="str">
        <f>Segmenter!B4762</f>
        <v>277 -&gt; 508</v>
      </c>
      <c r="C4762" t="str">
        <f t="shared" si="370"/>
        <v>Bjelke</v>
      </c>
      <c r="D4762">
        <f t="shared" si="371"/>
        <v>277</v>
      </c>
      <c r="E4762">
        <f t="shared" si="372"/>
        <v>508</v>
      </c>
      <c r="F4762">
        <f>IF(D4762="","",INDEX(Knutepunkter!$B:$B,D4762+1))</f>
        <v>12354</v>
      </c>
      <c r="G4762">
        <f>IF(D4762="","",INDEX(Knutepunkter!$C:$C,D4762+1))</f>
        <v>32000</v>
      </c>
      <c r="H4762">
        <f>IF(D4762="","",INDEX(Knutepunkter!$D:$D,D4762+1))</f>
        <v>3000</v>
      </c>
      <c r="I4762">
        <f>IF(E4762="","",INDEX(Knutepunkter!$B:$B,E4762+1))</f>
        <v>24354</v>
      </c>
      <c r="J4762">
        <f>IF(E4762="","",INDEX(Knutepunkter!$C:$C,E4762+1))</f>
        <v>32000</v>
      </c>
      <c r="K4762">
        <f>IF(E4762="","",INDEX(Knutepunkter!$D:$D,E4762+1))</f>
        <v>3000</v>
      </c>
      <c r="L4762">
        <f t="shared" si="373"/>
        <v>12000</v>
      </c>
      <c r="M4762">
        <f t="shared" si="374"/>
        <v>12</v>
      </c>
    </row>
    <row r="4763" spans="1:13" x14ac:dyDescent="0.3">
      <c r="A4763" t="str">
        <f>Segmenter!A4763</f>
        <v>S4762</v>
      </c>
      <c r="B4763" t="str">
        <f>Segmenter!B4763</f>
        <v>278 -&gt; 509</v>
      </c>
      <c r="C4763" t="str">
        <f t="shared" si="370"/>
        <v>Bjelke</v>
      </c>
      <c r="D4763">
        <f t="shared" si="371"/>
        <v>278</v>
      </c>
      <c r="E4763">
        <f t="shared" si="372"/>
        <v>509</v>
      </c>
      <c r="F4763">
        <f>IF(D4763="","",INDEX(Knutepunkter!$B:$B,D4763+1))</f>
        <v>12354</v>
      </c>
      <c r="G4763">
        <f>IF(D4763="","",INDEX(Knutepunkter!$C:$C,D4763+1))</f>
        <v>32000</v>
      </c>
      <c r="H4763">
        <f>IF(D4763="","",INDEX(Knutepunkter!$D:$D,D4763+1))</f>
        <v>6000</v>
      </c>
      <c r="I4763">
        <f>IF(E4763="","",INDEX(Knutepunkter!$B:$B,E4763+1))</f>
        <v>24354</v>
      </c>
      <c r="J4763">
        <f>IF(E4763="","",INDEX(Knutepunkter!$C:$C,E4763+1))</f>
        <v>32000</v>
      </c>
      <c r="K4763">
        <f>IF(E4763="","",INDEX(Knutepunkter!$D:$D,E4763+1))</f>
        <v>6000</v>
      </c>
      <c r="L4763">
        <f t="shared" si="373"/>
        <v>12000</v>
      </c>
      <c r="M4763">
        <f t="shared" si="374"/>
        <v>12</v>
      </c>
    </row>
    <row r="4764" spans="1:13" x14ac:dyDescent="0.3">
      <c r="A4764" t="str">
        <f>Segmenter!A4764</f>
        <v>S4763</v>
      </c>
      <c r="B4764" t="str">
        <f>Segmenter!B4764</f>
        <v>279 -&gt; 510</v>
      </c>
      <c r="C4764" t="str">
        <f t="shared" si="370"/>
        <v>Bjelke</v>
      </c>
      <c r="D4764">
        <f t="shared" si="371"/>
        <v>279</v>
      </c>
      <c r="E4764">
        <f t="shared" si="372"/>
        <v>510</v>
      </c>
      <c r="F4764">
        <f>IF(D4764="","",INDEX(Knutepunkter!$B:$B,D4764+1))</f>
        <v>12354</v>
      </c>
      <c r="G4764">
        <f>IF(D4764="","",INDEX(Knutepunkter!$C:$C,D4764+1))</f>
        <v>32000</v>
      </c>
      <c r="H4764">
        <f>IF(D4764="","",INDEX(Knutepunkter!$D:$D,D4764+1))</f>
        <v>9000</v>
      </c>
      <c r="I4764">
        <f>IF(E4764="","",INDEX(Knutepunkter!$B:$B,E4764+1))</f>
        <v>24354</v>
      </c>
      <c r="J4764">
        <f>IF(E4764="","",INDEX(Knutepunkter!$C:$C,E4764+1))</f>
        <v>32000</v>
      </c>
      <c r="K4764">
        <f>IF(E4764="","",INDEX(Knutepunkter!$D:$D,E4764+1))</f>
        <v>9000</v>
      </c>
      <c r="L4764">
        <f t="shared" si="373"/>
        <v>12000</v>
      </c>
      <c r="M4764">
        <f t="shared" si="374"/>
        <v>12</v>
      </c>
    </row>
    <row r="4765" spans="1:13" x14ac:dyDescent="0.3">
      <c r="A4765" t="str">
        <f>Segmenter!A4765</f>
        <v>S4764</v>
      </c>
      <c r="B4765" t="str">
        <f>Segmenter!B4765</f>
        <v>280 -&gt; 511</v>
      </c>
      <c r="C4765" t="str">
        <f t="shared" si="370"/>
        <v>Bjelke</v>
      </c>
      <c r="D4765">
        <f t="shared" si="371"/>
        <v>280</v>
      </c>
      <c r="E4765">
        <f t="shared" si="372"/>
        <v>511</v>
      </c>
      <c r="F4765">
        <f>IF(D4765="","",INDEX(Knutepunkter!$B:$B,D4765+1))</f>
        <v>12354</v>
      </c>
      <c r="G4765">
        <f>IF(D4765="","",INDEX(Knutepunkter!$C:$C,D4765+1))</f>
        <v>32000</v>
      </c>
      <c r="H4765">
        <f>IF(D4765="","",INDEX(Knutepunkter!$D:$D,D4765+1))</f>
        <v>12000</v>
      </c>
      <c r="I4765">
        <f>IF(E4765="","",INDEX(Knutepunkter!$B:$B,E4765+1))</f>
        <v>24354</v>
      </c>
      <c r="J4765">
        <f>IF(E4765="","",INDEX(Knutepunkter!$C:$C,E4765+1))</f>
        <v>32000</v>
      </c>
      <c r="K4765">
        <f>IF(E4765="","",INDEX(Knutepunkter!$D:$D,E4765+1))</f>
        <v>12000</v>
      </c>
      <c r="L4765">
        <f t="shared" si="373"/>
        <v>12000</v>
      </c>
      <c r="M4765">
        <f t="shared" si="374"/>
        <v>12</v>
      </c>
    </row>
    <row r="4766" spans="1:13" x14ac:dyDescent="0.3">
      <c r="A4766" t="str">
        <f>Segmenter!A4766</f>
        <v>S4765</v>
      </c>
      <c r="B4766" t="str">
        <f>Segmenter!B4766</f>
        <v>281 -&gt; 512</v>
      </c>
      <c r="C4766" t="str">
        <f t="shared" si="370"/>
        <v>Bjelke</v>
      </c>
      <c r="D4766">
        <f t="shared" si="371"/>
        <v>281</v>
      </c>
      <c r="E4766">
        <f t="shared" si="372"/>
        <v>512</v>
      </c>
      <c r="F4766">
        <f>IF(D4766="","",INDEX(Knutepunkter!$B:$B,D4766+1))</f>
        <v>12354</v>
      </c>
      <c r="G4766">
        <f>IF(D4766="","",INDEX(Knutepunkter!$C:$C,D4766+1))</f>
        <v>32000</v>
      </c>
      <c r="H4766">
        <f>IF(D4766="","",INDEX(Knutepunkter!$D:$D,D4766+1))</f>
        <v>15000</v>
      </c>
      <c r="I4766">
        <f>IF(E4766="","",INDEX(Knutepunkter!$B:$B,E4766+1))</f>
        <v>24354</v>
      </c>
      <c r="J4766">
        <f>IF(E4766="","",INDEX(Knutepunkter!$C:$C,E4766+1))</f>
        <v>32000</v>
      </c>
      <c r="K4766">
        <f>IF(E4766="","",INDEX(Knutepunkter!$D:$D,E4766+1))</f>
        <v>15000</v>
      </c>
      <c r="L4766">
        <f t="shared" si="373"/>
        <v>12000</v>
      </c>
      <c r="M4766">
        <f t="shared" si="374"/>
        <v>12</v>
      </c>
    </row>
    <row r="4767" spans="1:13" x14ac:dyDescent="0.3">
      <c r="A4767" t="str">
        <f>Segmenter!A4767</f>
        <v>S4766</v>
      </c>
      <c r="B4767" t="str">
        <f>Segmenter!B4767</f>
        <v>282 -&gt; 513</v>
      </c>
      <c r="C4767" t="str">
        <f t="shared" si="370"/>
        <v>Bjelke</v>
      </c>
      <c r="D4767">
        <f t="shared" si="371"/>
        <v>282</v>
      </c>
      <c r="E4767">
        <f t="shared" si="372"/>
        <v>513</v>
      </c>
      <c r="F4767">
        <f>IF(D4767="","",INDEX(Knutepunkter!$B:$B,D4767+1))</f>
        <v>12354</v>
      </c>
      <c r="G4767">
        <f>IF(D4767="","",INDEX(Knutepunkter!$C:$C,D4767+1))</f>
        <v>32000</v>
      </c>
      <c r="H4767">
        <f>IF(D4767="","",INDEX(Knutepunkter!$D:$D,D4767+1))</f>
        <v>18000</v>
      </c>
      <c r="I4767">
        <f>IF(E4767="","",INDEX(Knutepunkter!$B:$B,E4767+1))</f>
        <v>24354</v>
      </c>
      <c r="J4767">
        <f>IF(E4767="","",INDEX(Knutepunkter!$C:$C,E4767+1))</f>
        <v>32000</v>
      </c>
      <c r="K4767">
        <f>IF(E4767="","",INDEX(Knutepunkter!$D:$D,E4767+1))</f>
        <v>18000</v>
      </c>
      <c r="L4767">
        <f t="shared" si="373"/>
        <v>12000</v>
      </c>
      <c r="M4767">
        <f t="shared" si="374"/>
        <v>12</v>
      </c>
    </row>
    <row r="4768" spans="1:13" x14ac:dyDescent="0.3">
      <c r="A4768" t="str">
        <f>Segmenter!A4768</f>
        <v/>
      </c>
      <c r="B4768" t="str">
        <f>Segmenter!B4768</f>
        <v/>
      </c>
      <c r="C4768" t="str">
        <f t="shared" si="370"/>
        <v/>
      </c>
      <c r="D4768" t="str">
        <f t="shared" si="371"/>
        <v/>
      </c>
      <c r="E4768" t="str">
        <f t="shared" si="372"/>
        <v/>
      </c>
      <c r="F4768" t="str">
        <f>IF(D4768="","",INDEX(Knutepunkter!$B:$B,D4768+1))</f>
        <v/>
      </c>
      <c r="G4768" t="str">
        <f>IF(D4768="","",INDEX(Knutepunkter!$C:$C,D4768+1))</f>
        <v/>
      </c>
      <c r="H4768" t="str">
        <f>IF(D4768="","",INDEX(Knutepunkter!$D:$D,D4768+1))</f>
        <v/>
      </c>
      <c r="I4768" t="str">
        <f>IF(E4768="","",INDEX(Knutepunkter!$B:$B,E4768+1))</f>
        <v/>
      </c>
      <c r="J4768" t="str">
        <f>IF(E4768="","",INDEX(Knutepunkter!$C:$C,E4768+1))</f>
        <v/>
      </c>
      <c r="K4768" t="str">
        <f>IF(E4768="","",INDEX(Knutepunkter!$D:$D,E4768+1))</f>
        <v/>
      </c>
      <c r="L4768" t="str">
        <f t="shared" si="373"/>
        <v/>
      </c>
      <c r="M4768" t="str">
        <f t="shared" si="374"/>
        <v/>
      </c>
    </row>
    <row r="4769" spans="1:13" x14ac:dyDescent="0.3">
      <c r="A4769" t="str">
        <f>Segmenter!A4769</f>
        <v/>
      </c>
      <c r="B4769" t="str">
        <f>Segmenter!B4769</f>
        <v/>
      </c>
      <c r="C4769" t="str">
        <f t="shared" si="370"/>
        <v/>
      </c>
      <c r="D4769" t="str">
        <f t="shared" si="371"/>
        <v/>
      </c>
      <c r="E4769" t="str">
        <f t="shared" si="372"/>
        <v/>
      </c>
      <c r="F4769" t="str">
        <f>IF(D4769="","",INDEX(Knutepunkter!$B:$B,D4769+1))</f>
        <v/>
      </c>
      <c r="G4769" t="str">
        <f>IF(D4769="","",INDEX(Knutepunkter!$C:$C,D4769+1))</f>
        <v/>
      </c>
      <c r="H4769" t="str">
        <f>IF(D4769="","",INDEX(Knutepunkter!$D:$D,D4769+1))</f>
        <v/>
      </c>
      <c r="I4769" t="str">
        <f>IF(E4769="","",INDEX(Knutepunkter!$B:$B,E4769+1))</f>
        <v/>
      </c>
      <c r="J4769" t="str">
        <f>IF(E4769="","",INDEX(Knutepunkter!$C:$C,E4769+1))</f>
        <v/>
      </c>
      <c r="K4769" t="str">
        <f>IF(E4769="","",INDEX(Knutepunkter!$D:$D,E4769+1))</f>
        <v/>
      </c>
      <c r="L4769" t="str">
        <f t="shared" si="373"/>
        <v/>
      </c>
      <c r="M4769" t="str">
        <f t="shared" si="374"/>
        <v/>
      </c>
    </row>
    <row r="4770" spans="1:13" x14ac:dyDescent="0.3">
      <c r="A4770" t="str">
        <f>Segmenter!A4770</f>
        <v/>
      </c>
      <c r="B4770" t="str">
        <f>Segmenter!B4770</f>
        <v/>
      </c>
      <c r="C4770" t="str">
        <f t="shared" si="370"/>
        <v/>
      </c>
      <c r="D4770" t="str">
        <f t="shared" si="371"/>
        <v/>
      </c>
      <c r="E4770" t="str">
        <f t="shared" si="372"/>
        <v/>
      </c>
      <c r="F4770" t="str">
        <f>IF(D4770="","",INDEX(Knutepunkter!$B:$B,D4770+1))</f>
        <v/>
      </c>
      <c r="G4770" t="str">
        <f>IF(D4770="","",INDEX(Knutepunkter!$C:$C,D4770+1))</f>
        <v/>
      </c>
      <c r="H4770" t="str">
        <f>IF(D4770="","",INDEX(Knutepunkter!$D:$D,D4770+1))</f>
        <v/>
      </c>
      <c r="I4770" t="str">
        <f>IF(E4770="","",INDEX(Knutepunkter!$B:$B,E4770+1))</f>
        <v/>
      </c>
      <c r="J4770" t="str">
        <f>IF(E4770="","",INDEX(Knutepunkter!$C:$C,E4770+1))</f>
        <v/>
      </c>
      <c r="K4770" t="str">
        <f>IF(E4770="","",INDEX(Knutepunkter!$D:$D,E4770+1))</f>
        <v/>
      </c>
      <c r="L4770" t="str">
        <f t="shared" si="373"/>
        <v/>
      </c>
      <c r="M4770" t="str">
        <f t="shared" si="374"/>
        <v/>
      </c>
    </row>
    <row r="4771" spans="1:13" x14ac:dyDescent="0.3">
      <c r="A4771" t="str">
        <f>Segmenter!A4771</f>
        <v/>
      </c>
      <c r="B4771" t="str">
        <f>Segmenter!B4771</f>
        <v/>
      </c>
      <c r="C4771" t="str">
        <f t="shared" si="370"/>
        <v/>
      </c>
      <c r="D4771" t="str">
        <f t="shared" si="371"/>
        <v/>
      </c>
      <c r="E4771" t="str">
        <f t="shared" si="372"/>
        <v/>
      </c>
      <c r="F4771" t="str">
        <f>IF(D4771="","",INDEX(Knutepunkter!$B:$B,D4771+1))</f>
        <v/>
      </c>
      <c r="G4771" t="str">
        <f>IF(D4771="","",INDEX(Knutepunkter!$C:$C,D4771+1))</f>
        <v/>
      </c>
      <c r="H4771" t="str">
        <f>IF(D4771="","",INDEX(Knutepunkter!$D:$D,D4771+1))</f>
        <v/>
      </c>
      <c r="I4771" t="str">
        <f>IF(E4771="","",INDEX(Knutepunkter!$B:$B,E4771+1))</f>
        <v/>
      </c>
      <c r="J4771" t="str">
        <f>IF(E4771="","",INDEX(Knutepunkter!$C:$C,E4771+1))</f>
        <v/>
      </c>
      <c r="K4771" t="str">
        <f>IF(E4771="","",INDEX(Knutepunkter!$D:$D,E4771+1))</f>
        <v/>
      </c>
      <c r="L4771" t="str">
        <f t="shared" si="373"/>
        <v/>
      </c>
      <c r="M4771" t="str">
        <f t="shared" si="374"/>
        <v/>
      </c>
    </row>
    <row r="4772" spans="1:13" x14ac:dyDescent="0.3">
      <c r="A4772" t="str">
        <f>Segmenter!A4772</f>
        <v/>
      </c>
      <c r="B4772" t="str">
        <f>Segmenter!B4772</f>
        <v/>
      </c>
      <c r="C4772" t="str">
        <f t="shared" si="370"/>
        <v/>
      </c>
      <c r="D4772" t="str">
        <f t="shared" si="371"/>
        <v/>
      </c>
      <c r="E4772" t="str">
        <f t="shared" si="372"/>
        <v/>
      </c>
      <c r="F4772" t="str">
        <f>IF(D4772="","",INDEX(Knutepunkter!$B:$B,D4772+1))</f>
        <v/>
      </c>
      <c r="G4772" t="str">
        <f>IF(D4772="","",INDEX(Knutepunkter!$C:$C,D4772+1))</f>
        <v/>
      </c>
      <c r="H4772" t="str">
        <f>IF(D4772="","",INDEX(Knutepunkter!$D:$D,D4772+1))</f>
        <v/>
      </c>
      <c r="I4772" t="str">
        <f>IF(E4772="","",INDEX(Knutepunkter!$B:$B,E4772+1))</f>
        <v/>
      </c>
      <c r="J4772" t="str">
        <f>IF(E4772="","",INDEX(Knutepunkter!$C:$C,E4772+1))</f>
        <v/>
      </c>
      <c r="K4772" t="str">
        <f>IF(E4772="","",INDEX(Knutepunkter!$D:$D,E4772+1))</f>
        <v/>
      </c>
      <c r="L4772" t="str">
        <f t="shared" si="373"/>
        <v/>
      </c>
      <c r="M4772" t="str">
        <f t="shared" si="374"/>
        <v/>
      </c>
    </row>
    <row r="4773" spans="1:13" x14ac:dyDescent="0.3">
      <c r="A4773" t="str">
        <f>Segmenter!A4773</f>
        <v/>
      </c>
      <c r="B4773" t="str">
        <f>Segmenter!B4773</f>
        <v/>
      </c>
      <c r="C4773" t="str">
        <f t="shared" si="370"/>
        <v/>
      </c>
      <c r="D4773" t="str">
        <f t="shared" si="371"/>
        <v/>
      </c>
      <c r="E4773" t="str">
        <f t="shared" si="372"/>
        <v/>
      </c>
      <c r="F4773" t="str">
        <f>IF(D4773="","",INDEX(Knutepunkter!$B:$B,D4773+1))</f>
        <v/>
      </c>
      <c r="G4773" t="str">
        <f>IF(D4773="","",INDEX(Knutepunkter!$C:$C,D4773+1))</f>
        <v/>
      </c>
      <c r="H4773" t="str">
        <f>IF(D4773="","",INDEX(Knutepunkter!$D:$D,D4773+1))</f>
        <v/>
      </c>
      <c r="I4773" t="str">
        <f>IF(E4773="","",INDEX(Knutepunkter!$B:$B,E4773+1))</f>
        <v/>
      </c>
      <c r="J4773" t="str">
        <f>IF(E4773="","",INDEX(Knutepunkter!$C:$C,E4773+1))</f>
        <v/>
      </c>
      <c r="K4773" t="str">
        <f>IF(E4773="","",INDEX(Knutepunkter!$D:$D,E4773+1))</f>
        <v/>
      </c>
      <c r="L4773" t="str">
        <f t="shared" si="373"/>
        <v/>
      </c>
      <c r="M4773" t="str">
        <f t="shared" si="374"/>
        <v/>
      </c>
    </row>
    <row r="4774" spans="1:13" x14ac:dyDescent="0.3">
      <c r="A4774" t="str">
        <f>Segmenter!A4774</f>
        <v/>
      </c>
      <c r="B4774" t="str">
        <f>Segmenter!B4774</f>
        <v/>
      </c>
      <c r="C4774" t="str">
        <f t="shared" si="370"/>
        <v/>
      </c>
      <c r="D4774" t="str">
        <f t="shared" si="371"/>
        <v/>
      </c>
      <c r="E4774" t="str">
        <f t="shared" si="372"/>
        <v/>
      </c>
      <c r="F4774" t="str">
        <f>IF(D4774="","",INDEX(Knutepunkter!$B:$B,D4774+1))</f>
        <v/>
      </c>
      <c r="G4774" t="str">
        <f>IF(D4774="","",INDEX(Knutepunkter!$C:$C,D4774+1))</f>
        <v/>
      </c>
      <c r="H4774" t="str">
        <f>IF(D4774="","",INDEX(Knutepunkter!$D:$D,D4774+1))</f>
        <v/>
      </c>
      <c r="I4774" t="str">
        <f>IF(E4774="","",INDEX(Knutepunkter!$B:$B,E4774+1))</f>
        <v/>
      </c>
      <c r="J4774" t="str">
        <f>IF(E4774="","",INDEX(Knutepunkter!$C:$C,E4774+1))</f>
        <v/>
      </c>
      <c r="K4774" t="str">
        <f>IF(E4774="","",INDEX(Knutepunkter!$D:$D,E4774+1))</f>
        <v/>
      </c>
      <c r="L4774" t="str">
        <f t="shared" si="373"/>
        <v/>
      </c>
      <c r="M4774" t="str">
        <f t="shared" si="374"/>
        <v/>
      </c>
    </row>
    <row r="4775" spans="1:13" x14ac:dyDescent="0.3">
      <c r="A4775" t="str">
        <f>Segmenter!A4775</f>
        <v/>
      </c>
      <c r="B4775" t="str">
        <f>Segmenter!B4775</f>
        <v/>
      </c>
      <c r="C4775" t="str">
        <f t="shared" si="370"/>
        <v/>
      </c>
      <c r="D4775" t="str">
        <f t="shared" si="371"/>
        <v/>
      </c>
      <c r="E4775" t="str">
        <f t="shared" si="372"/>
        <v/>
      </c>
      <c r="F4775" t="str">
        <f>IF(D4775="","",INDEX(Knutepunkter!$B:$B,D4775+1))</f>
        <v/>
      </c>
      <c r="G4775" t="str">
        <f>IF(D4775="","",INDEX(Knutepunkter!$C:$C,D4775+1))</f>
        <v/>
      </c>
      <c r="H4775" t="str">
        <f>IF(D4775="","",INDEX(Knutepunkter!$D:$D,D4775+1))</f>
        <v/>
      </c>
      <c r="I4775" t="str">
        <f>IF(E4775="","",INDEX(Knutepunkter!$B:$B,E4775+1))</f>
        <v/>
      </c>
      <c r="J4775" t="str">
        <f>IF(E4775="","",INDEX(Knutepunkter!$C:$C,E4775+1))</f>
        <v/>
      </c>
      <c r="K4775" t="str">
        <f>IF(E4775="","",INDEX(Knutepunkter!$D:$D,E4775+1))</f>
        <v/>
      </c>
      <c r="L4775" t="str">
        <f t="shared" si="373"/>
        <v/>
      </c>
      <c r="M4775" t="str">
        <f t="shared" si="374"/>
        <v/>
      </c>
    </row>
    <row r="4776" spans="1:13" x14ac:dyDescent="0.3">
      <c r="A4776" t="str">
        <f>Segmenter!A4776</f>
        <v/>
      </c>
      <c r="B4776" t="str">
        <f>Segmenter!B4776</f>
        <v/>
      </c>
      <c r="C4776" t="str">
        <f t="shared" si="370"/>
        <v/>
      </c>
      <c r="D4776" t="str">
        <f t="shared" si="371"/>
        <v/>
      </c>
      <c r="E4776" t="str">
        <f t="shared" si="372"/>
        <v/>
      </c>
      <c r="F4776" t="str">
        <f>IF(D4776="","",INDEX(Knutepunkter!$B:$B,D4776+1))</f>
        <v/>
      </c>
      <c r="G4776" t="str">
        <f>IF(D4776="","",INDEX(Knutepunkter!$C:$C,D4776+1))</f>
        <v/>
      </c>
      <c r="H4776" t="str">
        <f>IF(D4776="","",INDEX(Knutepunkter!$D:$D,D4776+1))</f>
        <v/>
      </c>
      <c r="I4776" t="str">
        <f>IF(E4776="","",INDEX(Knutepunkter!$B:$B,E4776+1))</f>
        <v/>
      </c>
      <c r="J4776" t="str">
        <f>IF(E4776="","",INDEX(Knutepunkter!$C:$C,E4776+1))</f>
        <v/>
      </c>
      <c r="K4776" t="str">
        <f>IF(E4776="","",INDEX(Knutepunkter!$D:$D,E4776+1))</f>
        <v/>
      </c>
      <c r="L4776" t="str">
        <f t="shared" si="373"/>
        <v/>
      </c>
      <c r="M4776" t="str">
        <f t="shared" si="374"/>
        <v/>
      </c>
    </row>
    <row r="4777" spans="1:13" x14ac:dyDescent="0.3">
      <c r="A4777" t="str">
        <f>Segmenter!A4777</f>
        <v/>
      </c>
      <c r="B4777" t="str">
        <f>Segmenter!B4777</f>
        <v/>
      </c>
      <c r="C4777" t="str">
        <f t="shared" si="370"/>
        <v/>
      </c>
      <c r="D4777" t="str">
        <f t="shared" si="371"/>
        <v/>
      </c>
      <c r="E4777" t="str">
        <f t="shared" si="372"/>
        <v/>
      </c>
      <c r="F4777" t="str">
        <f>IF(D4777="","",INDEX(Knutepunkter!$B:$B,D4777+1))</f>
        <v/>
      </c>
      <c r="G4777" t="str">
        <f>IF(D4777="","",INDEX(Knutepunkter!$C:$C,D4777+1))</f>
        <v/>
      </c>
      <c r="H4777" t="str">
        <f>IF(D4777="","",INDEX(Knutepunkter!$D:$D,D4777+1))</f>
        <v/>
      </c>
      <c r="I4777" t="str">
        <f>IF(E4777="","",INDEX(Knutepunkter!$B:$B,E4777+1))</f>
        <v/>
      </c>
      <c r="J4777" t="str">
        <f>IF(E4777="","",INDEX(Knutepunkter!$C:$C,E4777+1))</f>
        <v/>
      </c>
      <c r="K4777" t="str">
        <f>IF(E4777="","",INDEX(Knutepunkter!$D:$D,E4777+1))</f>
        <v/>
      </c>
      <c r="L4777" t="str">
        <f t="shared" si="373"/>
        <v/>
      </c>
      <c r="M4777" t="str">
        <f t="shared" si="374"/>
        <v/>
      </c>
    </row>
    <row r="4778" spans="1:13" x14ac:dyDescent="0.3">
      <c r="A4778" t="str">
        <f>Segmenter!A4778</f>
        <v/>
      </c>
      <c r="B4778" t="str">
        <f>Segmenter!B4778</f>
        <v/>
      </c>
      <c r="C4778" t="str">
        <f t="shared" si="370"/>
        <v/>
      </c>
      <c r="D4778" t="str">
        <f t="shared" si="371"/>
        <v/>
      </c>
      <c r="E4778" t="str">
        <f t="shared" si="372"/>
        <v/>
      </c>
      <c r="F4778" t="str">
        <f>IF(D4778="","",INDEX(Knutepunkter!$B:$B,D4778+1))</f>
        <v/>
      </c>
      <c r="G4778" t="str">
        <f>IF(D4778="","",INDEX(Knutepunkter!$C:$C,D4778+1))</f>
        <v/>
      </c>
      <c r="H4778" t="str">
        <f>IF(D4778="","",INDEX(Knutepunkter!$D:$D,D4778+1))</f>
        <v/>
      </c>
      <c r="I4778" t="str">
        <f>IF(E4778="","",INDEX(Knutepunkter!$B:$B,E4778+1))</f>
        <v/>
      </c>
      <c r="J4778" t="str">
        <f>IF(E4778="","",INDEX(Knutepunkter!$C:$C,E4778+1))</f>
        <v/>
      </c>
      <c r="K4778" t="str">
        <f>IF(E4778="","",INDEX(Knutepunkter!$D:$D,E4778+1))</f>
        <v/>
      </c>
      <c r="L4778" t="str">
        <f t="shared" si="373"/>
        <v/>
      </c>
      <c r="M4778" t="str">
        <f t="shared" si="374"/>
        <v/>
      </c>
    </row>
    <row r="4779" spans="1:13" x14ac:dyDescent="0.3">
      <c r="A4779" t="str">
        <f>Segmenter!A4779</f>
        <v/>
      </c>
      <c r="B4779" t="str">
        <f>Segmenter!B4779</f>
        <v/>
      </c>
      <c r="C4779" t="str">
        <f t="shared" si="370"/>
        <v/>
      </c>
      <c r="D4779" t="str">
        <f t="shared" si="371"/>
        <v/>
      </c>
      <c r="E4779" t="str">
        <f t="shared" si="372"/>
        <v/>
      </c>
      <c r="F4779" t="str">
        <f>IF(D4779="","",INDEX(Knutepunkter!$B:$B,D4779+1))</f>
        <v/>
      </c>
      <c r="G4779" t="str">
        <f>IF(D4779="","",INDEX(Knutepunkter!$C:$C,D4779+1))</f>
        <v/>
      </c>
      <c r="H4779" t="str">
        <f>IF(D4779="","",INDEX(Knutepunkter!$D:$D,D4779+1))</f>
        <v/>
      </c>
      <c r="I4779" t="str">
        <f>IF(E4779="","",INDEX(Knutepunkter!$B:$B,E4779+1))</f>
        <v/>
      </c>
      <c r="J4779" t="str">
        <f>IF(E4779="","",INDEX(Knutepunkter!$C:$C,E4779+1))</f>
        <v/>
      </c>
      <c r="K4779" t="str">
        <f>IF(E4779="","",INDEX(Knutepunkter!$D:$D,E4779+1))</f>
        <v/>
      </c>
      <c r="L4779" t="str">
        <f t="shared" si="373"/>
        <v/>
      </c>
      <c r="M4779" t="str">
        <f t="shared" si="374"/>
        <v/>
      </c>
    </row>
    <row r="4780" spans="1:13" x14ac:dyDescent="0.3">
      <c r="A4780" t="str">
        <f>Segmenter!A4780</f>
        <v/>
      </c>
      <c r="B4780" t="str">
        <f>Segmenter!B4780</f>
        <v/>
      </c>
      <c r="C4780" t="str">
        <f t="shared" si="370"/>
        <v/>
      </c>
      <c r="D4780" t="str">
        <f t="shared" si="371"/>
        <v/>
      </c>
      <c r="E4780" t="str">
        <f t="shared" si="372"/>
        <v/>
      </c>
      <c r="F4780" t="str">
        <f>IF(D4780="","",INDEX(Knutepunkter!$B:$B,D4780+1))</f>
        <v/>
      </c>
      <c r="G4780" t="str">
        <f>IF(D4780="","",INDEX(Knutepunkter!$C:$C,D4780+1))</f>
        <v/>
      </c>
      <c r="H4780" t="str">
        <f>IF(D4780="","",INDEX(Knutepunkter!$D:$D,D4780+1))</f>
        <v/>
      </c>
      <c r="I4780" t="str">
        <f>IF(E4780="","",INDEX(Knutepunkter!$B:$B,E4780+1))</f>
        <v/>
      </c>
      <c r="J4780" t="str">
        <f>IF(E4780="","",INDEX(Knutepunkter!$C:$C,E4780+1))</f>
        <v/>
      </c>
      <c r="K4780" t="str">
        <f>IF(E4780="","",INDEX(Knutepunkter!$D:$D,E4780+1))</f>
        <v/>
      </c>
      <c r="L4780" t="str">
        <f t="shared" si="373"/>
        <v/>
      </c>
      <c r="M4780" t="str">
        <f t="shared" si="374"/>
        <v/>
      </c>
    </row>
    <row r="4781" spans="1:13" x14ac:dyDescent="0.3">
      <c r="A4781" t="str">
        <f>Segmenter!A4781</f>
        <v/>
      </c>
      <c r="B4781" t="str">
        <f>Segmenter!B4781</f>
        <v/>
      </c>
      <c r="C4781" t="str">
        <f t="shared" si="370"/>
        <v/>
      </c>
      <c r="D4781" t="str">
        <f t="shared" si="371"/>
        <v/>
      </c>
      <c r="E4781" t="str">
        <f t="shared" si="372"/>
        <v/>
      </c>
      <c r="F4781" t="str">
        <f>IF(D4781="","",INDEX(Knutepunkter!$B:$B,D4781+1))</f>
        <v/>
      </c>
      <c r="G4781" t="str">
        <f>IF(D4781="","",INDEX(Knutepunkter!$C:$C,D4781+1))</f>
        <v/>
      </c>
      <c r="H4781" t="str">
        <f>IF(D4781="","",INDEX(Knutepunkter!$D:$D,D4781+1))</f>
        <v/>
      </c>
      <c r="I4781" t="str">
        <f>IF(E4781="","",INDEX(Knutepunkter!$B:$B,E4781+1))</f>
        <v/>
      </c>
      <c r="J4781" t="str">
        <f>IF(E4781="","",INDEX(Knutepunkter!$C:$C,E4781+1))</f>
        <v/>
      </c>
      <c r="K4781" t="str">
        <f>IF(E4781="","",INDEX(Knutepunkter!$D:$D,E4781+1))</f>
        <v/>
      </c>
      <c r="L4781" t="str">
        <f t="shared" si="373"/>
        <v/>
      </c>
      <c r="M4781" t="str">
        <f t="shared" si="374"/>
        <v/>
      </c>
    </row>
    <row r="4782" spans="1:13" x14ac:dyDescent="0.3">
      <c r="A4782" t="str">
        <f>Segmenter!A4782</f>
        <v/>
      </c>
      <c r="B4782" t="str">
        <f>Segmenter!B4782</f>
        <v/>
      </c>
      <c r="C4782" t="str">
        <f t="shared" si="370"/>
        <v/>
      </c>
      <c r="D4782" t="str">
        <f t="shared" si="371"/>
        <v/>
      </c>
      <c r="E4782" t="str">
        <f t="shared" si="372"/>
        <v/>
      </c>
      <c r="F4782" t="str">
        <f>IF(D4782="","",INDEX(Knutepunkter!$B:$B,D4782+1))</f>
        <v/>
      </c>
      <c r="G4782" t="str">
        <f>IF(D4782="","",INDEX(Knutepunkter!$C:$C,D4782+1))</f>
        <v/>
      </c>
      <c r="H4782" t="str">
        <f>IF(D4782="","",INDEX(Knutepunkter!$D:$D,D4782+1))</f>
        <v/>
      </c>
      <c r="I4782" t="str">
        <f>IF(E4782="","",INDEX(Knutepunkter!$B:$B,E4782+1))</f>
        <v/>
      </c>
      <c r="J4782" t="str">
        <f>IF(E4782="","",INDEX(Knutepunkter!$C:$C,E4782+1))</f>
        <v/>
      </c>
      <c r="K4782" t="str">
        <f>IF(E4782="","",INDEX(Knutepunkter!$D:$D,E4782+1))</f>
        <v/>
      </c>
      <c r="L4782" t="str">
        <f t="shared" si="373"/>
        <v/>
      </c>
      <c r="M4782" t="str">
        <f t="shared" si="374"/>
        <v/>
      </c>
    </row>
    <row r="4783" spans="1:13" x14ac:dyDescent="0.3">
      <c r="A4783" t="str">
        <f>Segmenter!A4783</f>
        <v/>
      </c>
      <c r="B4783" t="str">
        <f>Segmenter!B4783</f>
        <v/>
      </c>
      <c r="C4783" t="str">
        <f t="shared" si="370"/>
        <v/>
      </c>
      <c r="D4783" t="str">
        <f t="shared" si="371"/>
        <v/>
      </c>
      <c r="E4783" t="str">
        <f t="shared" si="372"/>
        <v/>
      </c>
      <c r="F4783" t="str">
        <f>IF(D4783="","",INDEX(Knutepunkter!$B:$B,D4783+1))</f>
        <v/>
      </c>
      <c r="G4783" t="str">
        <f>IF(D4783="","",INDEX(Knutepunkter!$C:$C,D4783+1))</f>
        <v/>
      </c>
      <c r="H4783" t="str">
        <f>IF(D4783="","",INDEX(Knutepunkter!$D:$D,D4783+1))</f>
        <v/>
      </c>
      <c r="I4783" t="str">
        <f>IF(E4783="","",INDEX(Knutepunkter!$B:$B,E4783+1))</f>
        <v/>
      </c>
      <c r="J4783" t="str">
        <f>IF(E4783="","",INDEX(Knutepunkter!$C:$C,E4783+1))</f>
        <v/>
      </c>
      <c r="K4783" t="str">
        <f>IF(E4783="","",INDEX(Knutepunkter!$D:$D,E4783+1))</f>
        <v/>
      </c>
      <c r="L4783" t="str">
        <f t="shared" si="373"/>
        <v/>
      </c>
      <c r="M4783" t="str">
        <f t="shared" si="374"/>
        <v/>
      </c>
    </row>
    <row r="4784" spans="1:13" x14ac:dyDescent="0.3">
      <c r="A4784" t="str">
        <f>Segmenter!A4784</f>
        <v/>
      </c>
      <c r="B4784" t="str">
        <f>Segmenter!B4784</f>
        <v/>
      </c>
      <c r="C4784" t="str">
        <f t="shared" si="370"/>
        <v/>
      </c>
      <c r="D4784" t="str">
        <f t="shared" si="371"/>
        <v/>
      </c>
      <c r="E4784" t="str">
        <f t="shared" si="372"/>
        <v/>
      </c>
      <c r="F4784" t="str">
        <f>IF(D4784="","",INDEX(Knutepunkter!$B:$B,D4784+1))</f>
        <v/>
      </c>
      <c r="G4784" t="str">
        <f>IF(D4784="","",INDEX(Knutepunkter!$C:$C,D4784+1))</f>
        <v/>
      </c>
      <c r="H4784" t="str">
        <f>IF(D4784="","",INDEX(Knutepunkter!$D:$D,D4784+1))</f>
        <v/>
      </c>
      <c r="I4784" t="str">
        <f>IF(E4784="","",INDEX(Knutepunkter!$B:$B,E4784+1))</f>
        <v/>
      </c>
      <c r="J4784" t="str">
        <f>IF(E4784="","",INDEX(Knutepunkter!$C:$C,E4784+1))</f>
        <v/>
      </c>
      <c r="K4784" t="str">
        <f>IF(E4784="","",INDEX(Knutepunkter!$D:$D,E4784+1))</f>
        <v/>
      </c>
      <c r="L4784" t="str">
        <f t="shared" si="373"/>
        <v/>
      </c>
      <c r="M4784" t="str">
        <f t="shared" si="374"/>
        <v/>
      </c>
    </row>
    <row r="4785" spans="1:13" x14ac:dyDescent="0.3">
      <c r="A4785" t="str">
        <f>Segmenter!A4785</f>
        <v/>
      </c>
      <c r="B4785" t="str">
        <f>Segmenter!B4785</f>
        <v/>
      </c>
      <c r="C4785" t="str">
        <f t="shared" si="370"/>
        <v/>
      </c>
      <c r="D4785" t="str">
        <f t="shared" si="371"/>
        <v/>
      </c>
      <c r="E4785" t="str">
        <f t="shared" si="372"/>
        <v/>
      </c>
      <c r="F4785" t="str">
        <f>IF(D4785="","",INDEX(Knutepunkter!$B:$B,D4785+1))</f>
        <v/>
      </c>
      <c r="G4785" t="str">
        <f>IF(D4785="","",INDEX(Knutepunkter!$C:$C,D4785+1))</f>
        <v/>
      </c>
      <c r="H4785" t="str">
        <f>IF(D4785="","",INDEX(Knutepunkter!$D:$D,D4785+1))</f>
        <v/>
      </c>
      <c r="I4785" t="str">
        <f>IF(E4785="","",INDEX(Knutepunkter!$B:$B,E4785+1))</f>
        <v/>
      </c>
      <c r="J4785" t="str">
        <f>IF(E4785="","",INDEX(Knutepunkter!$C:$C,E4785+1))</f>
        <v/>
      </c>
      <c r="K4785" t="str">
        <f>IF(E4785="","",INDEX(Knutepunkter!$D:$D,E4785+1))</f>
        <v/>
      </c>
      <c r="L4785" t="str">
        <f t="shared" si="373"/>
        <v/>
      </c>
      <c r="M4785" t="str">
        <f t="shared" si="374"/>
        <v/>
      </c>
    </row>
    <row r="4786" spans="1:13" x14ac:dyDescent="0.3">
      <c r="A4786" t="str">
        <f>Segmenter!A4786</f>
        <v/>
      </c>
      <c r="B4786" t="str">
        <f>Segmenter!B4786</f>
        <v/>
      </c>
      <c r="C4786" t="str">
        <f t="shared" si="370"/>
        <v/>
      </c>
      <c r="D4786" t="str">
        <f t="shared" si="371"/>
        <v/>
      </c>
      <c r="E4786" t="str">
        <f t="shared" si="372"/>
        <v/>
      </c>
      <c r="F4786" t="str">
        <f>IF(D4786="","",INDEX(Knutepunkter!$B:$B,D4786+1))</f>
        <v/>
      </c>
      <c r="G4786" t="str">
        <f>IF(D4786="","",INDEX(Knutepunkter!$C:$C,D4786+1))</f>
        <v/>
      </c>
      <c r="H4786" t="str">
        <f>IF(D4786="","",INDEX(Knutepunkter!$D:$D,D4786+1))</f>
        <v/>
      </c>
      <c r="I4786" t="str">
        <f>IF(E4786="","",INDEX(Knutepunkter!$B:$B,E4786+1))</f>
        <v/>
      </c>
      <c r="J4786" t="str">
        <f>IF(E4786="","",INDEX(Knutepunkter!$C:$C,E4786+1))</f>
        <v/>
      </c>
      <c r="K4786" t="str">
        <f>IF(E4786="","",INDEX(Knutepunkter!$D:$D,E4786+1))</f>
        <v/>
      </c>
      <c r="L4786" t="str">
        <f t="shared" si="373"/>
        <v/>
      </c>
      <c r="M4786" t="str">
        <f t="shared" si="374"/>
        <v/>
      </c>
    </row>
    <row r="4787" spans="1:13" x14ac:dyDescent="0.3">
      <c r="A4787" t="str">
        <f>Segmenter!A4787</f>
        <v/>
      </c>
      <c r="B4787" t="str">
        <f>Segmenter!B4787</f>
        <v/>
      </c>
      <c r="C4787" t="str">
        <f t="shared" si="370"/>
        <v/>
      </c>
      <c r="D4787" t="str">
        <f t="shared" si="371"/>
        <v/>
      </c>
      <c r="E4787" t="str">
        <f t="shared" si="372"/>
        <v/>
      </c>
      <c r="F4787" t="str">
        <f>IF(D4787="","",INDEX(Knutepunkter!$B:$B,D4787+1))</f>
        <v/>
      </c>
      <c r="G4787" t="str">
        <f>IF(D4787="","",INDEX(Knutepunkter!$C:$C,D4787+1))</f>
        <v/>
      </c>
      <c r="H4787" t="str">
        <f>IF(D4787="","",INDEX(Knutepunkter!$D:$D,D4787+1))</f>
        <v/>
      </c>
      <c r="I4787" t="str">
        <f>IF(E4787="","",INDEX(Knutepunkter!$B:$B,E4787+1))</f>
        <v/>
      </c>
      <c r="J4787" t="str">
        <f>IF(E4787="","",INDEX(Knutepunkter!$C:$C,E4787+1))</f>
        <v/>
      </c>
      <c r="K4787" t="str">
        <f>IF(E4787="","",INDEX(Knutepunkter!$D:$D,E4787+1))</f>
        <v/>
      </c>
      <c r="L4787" t="str">
        <f t="shared" si="373"/>
        <v/>
      </c>
      <c r="M4787" t="str">
        <f t="shared" si="374"/>
        <v/>
      </c>
    </row>
    <row r="4788" spans="1:13" x14ac:dyDescent="0.3">
      <c r="A4788" t="str">
        <f>Segmenter!A4788</f>
        <v/>
      </c>
      <c r="B4788" t="str">
        <f>Segmenter!B4788</f>
        <v/>
      </c>
      <c r="C4788" t="str">
        <f t="shared" si="370"/>
        <v/>
      </c>
      <c r="D4788" t="str">
        <f t="shared" si="371"/>
        <v/>
      </c>
      <c r="E4788" t="str">
        <f t="shared" si="372"/>
        <v/>
      </c>
      <c r="F4788" t="str">
        <f>IF(D4788="","",INDEX(Knutepunkter!$B:$B,D4788+1))</f>
        <v/>
      </c>
      <c r="G4788" t="str">
        <f>IF(D4788="","",INDEX(Knutepunkter!$C:$C,D4788+1))</f>
        <v/>
      </c>
      <c r="H4788" t="str">
        <f>IF(D4788="","",INDEX(Knutepunkter!$D:$D,D4788+1))</f>
        <v/>
      </c>
      <c r="I4788" t="str">
        <f>IF(E4788="","",INDEX(Knutepunkter!$B:$B,E4788+1))</f>
        <v/>
      </c>
      <c r="J4788" t="str">
        <f>IF(E4788="","",INDEX(Knutepunkter!$C:$C,E4788+1))</f>
        <v/>
      </c>
      <c r="K4788" t="str">
        <f>IF(E4788="","",INDEX(Knutepunkter!$D:$D,E4788+1))</f>
        <v/>
      </c>
      <c r="L4788" t="str">
        <f t="shared" si="373"/>
        <v/>
      </c>
      <c r="M4788" t="str">
        <f t="shared" si="374"/>
        <v/>
      </c>
    </row>
    <row r="4789" spans="1:13" x14ac:dyDescent="0.3">
      <c r="A4789" t="str">
        <f>Segmenter!A4789</f>
        <v/>
      </c>
      <c r="B4789" t="str">
        <f>Segmenter!B4789</f>
        <v/>
      </c>
      <c r="C4789" t="str">
        <f t="shared" si="370"/>
        <v/>
      </c>
      <c r="D4789" t="str">
        <f t="shared" si="371"/>
        <v/>
      </c>
      <c r="E4789" t="str">
        <f t="shared" si="372"/>
        <v/>
      </c>
      <c r="F4789" t="str">
        <f>IF(D4789="","",INDEX(Knutepunkter!$B:$B,D4789+1))</f>
        <v/>
      </c>
      <c r="G4789" t="str">
        <f>IF(D4789="","",INDEX(Knutepunkter!$C:$C,D4789+1))</f>
        <v/>
      </c>
      <c r="H4789" t="str">
        <f>IF(D4789="","",INDEX(Knutepunkter!$D:$D,D4789+1))</f>
        <v/>
      </c>
      <c r="I4789" t="str">
        <f>IF(E4789="","",INDEX(Knutepunkter!$B:$B,E4789+1))</f>
        <v/>
      </c>
      <c r="J4789" t="str">
        <f>IF(E4789="","",INDEX(Knutepunkter!$C:$C,E4789+1))</f>
        <v/>
      </c>
      <c r="K4789" t="str">
        <f>IF(E4789="","",INDEX(Knutepunkter!$D:$D,E4789+1))</f>
        <v/>
      </c>
      <c r="L4789" t="str">
        <f t="shared" si="373"/>
        <v/>
      </c>
      <c r="M4789" t="str">
        <f t="shared" si="374"/>
        <v/>
      </c>
    </row>
    <row r="4790" spans="1:13" x14ac:dyDescent="0.3">
      <c r="A4790" t="str">
        <f>Segmenter!A4790</f>
        <v/>
      </c>
      <c r="B4790" t="str">
        <f>Segmenter!B4790</f>
        <v/>
      </c>
      <c r="C4790" t="str">
        <f t="shared" si="370"/>
        <v/>
      </c>
      <c r="D4790" t="str">
        <f t="shared" si="371"/>
        <v/>
      </c>
      <c r="E4790" t="str">
        <f t="shared" si="372"/>
        <v/>
      </c>
      <c r="F4790" t="str">
        <f>IF(D4790="","",INDEX(Knutepunkter!$B:$B,D4790+1))</f>
        <v/>
      </c>
      <c r="G4790" t="str">
        <f>IF(D4790="","",INDEX(Knutepunkter!$C:$C,D4790+1))</f>
        <v/>
      </c>
      <c r="H4790" t="str">
        <f>IF(D4790="","",INDEX(Knutepunkter!$D:$D,D4790+1))</f>
        <v/>
      </c>
      <c r="I4790" t="str">
        <f>IF(E4790="","",INDEX(Knutepunkter!$B:$B,E4790+1))</f>
        <v/>
      </c>
      <c r="J4790" t="str">
        <f>IF(E4790="","",INDEX(Knutepunkter!$C:$C,E4790+1))</f>
        <v/>
      </c>
      <c r="K4790" t="str">
        <f>IF(E4790="","",INDEX(Knutepunkter!$D:$D,E4790+1))</f>
        <v/>
      </c>
      <c r="L4790" t="str">
        <f t="shared" si="373"/>
        <v/>
      </c>
      <c r="M4790" t="str">
        <f t="shared" si="374"/>
        <v/>
      </c>
    </row>
    <row r="4791" spans="1:13" x14ac:dyDescent="0.3">
      <c r="A4791" t="str">
        <f>Segmenter!A4791</f>
        <v/>
      </c>
      <c r="B4791" t="str">
        <f>Segmenter!B4791</f>
        <v/>
      </c>
      <c r="C4791" t="str">
        <f t="shared" si="370"/>
        <v/>
      </c>
      <c r="D4791" t="str">
        <f t="shared" si="371"/>
        <v/>
      </c>
      <c r="E4791" t="str">
        <f t="shared" si="372"/>
        <v/>
      </c>
      <c r="F4791" t="str">
        <f>IF(D4791="","",INDEX(Knutepunkter!$B:$B,D4791+1))</f>
        <v/>
      </c>
      <c r="G4791" t="str">
        <f>IF(D4791="","",INDEX(Knutepunkter!$C:$C,D4791+1))</f>
        <v/>
      </c>
      <c r="H4791" t="str">
        <f>IF(D4791="","",INDEX(Knutepunkter!$D:$D,D4791+1))</f>
        <v/>
      </c>
      <c r="I4791" t="str">
        <f>IF(E4791="","",INDEX(Knutepunkter!$B:$B,E4791+1))</f>
        <v/>
      </c>
      <c r="J4791" t="str">
        <f>IF(E4791="","",INDEX(Knutepunkter!$C:$C,E4791+1))</f>
        <v/>
      </c>
      <c r="K4791" t="str">
        <f>IF(E4791="","",INDEX(Knutepunkter!$D:$D,E4791+1))</f>
        <v/>
      </c>
      <c r="L4791" t="str">
        <f t="shared" si="373"/>
        <v/>
      </c>
      <c r="M4791" t="str">
        <f t="shared" si="374"/>
        <v/>
      </c>
    </row>
    <row r="4792" spans="1:13" x14ac:dyDescent="0.3">
      <c r="A4792" t="str">
        <f>Segmenter!A4792</f>
        <v/>
      </c>
      <c r="B4792" t="str">
        <f>Segmenter!B4792</f>
        <v/>
      </c>
      <c r="C4792" t="str">
        <f t="shared" si="370"/>
        <v/>
      </c>
      <c r="D4792" t="str">
        <f t="shared" si="371"/>
        <v/>
      </c>
      <c r="E4792" t="str">
        <f t="shared" si="372"/>
        <v/>
      </c>
      <c r="F4792" t="str">
        <f>IF(D4792="","",INDEX(Knutepunkter!$B:$B,D4792+1))</f>
        <v/>
      </c>
      <c r="G4792" t="str">
        <f>IF(D4792="","",INDEX(Knutepunkter!$C:$C,D4792+1))</f>
        <v/>
      </c>
      <c r="H4792" t="str">
        <f>IF(D4792="","",INDEX(Knutepunkter!$D:$D,D4792+1))</f>
        <v/>
      </c>
      <c r="I4792" t="str">
        <f>IF(E4792="","",INDEX(Knutepunkter!$B:$B,E4792+1))</f>
        <v/>
      </c>
      <c r="J4792" t="str">
        <f>IF(E4792="","",INDEX(Knutepunkter!$C:$C,E4792+1))</f>
        <v/>
      </c>
      <c r="K4792" t="str">
        <f>IF(E4792="","",INDEX(Knutepunkter!$D:$D,E4792+1))</f>
        <v/>
      </c>
      <c r="L4792" t="str">
        <f t="shared" si="373"/>
        <v/>
      </c>
      <c r="M4792" t="str">
        <f t="shared" si="374"/>
        <v/>
      </c>
    </row>
    <row r="4793" spans="1:13" x14ac:dyDescent="0.3">
      <c r="A4793" t="str">
        <f>Segmenter!A4793</f>
        <v/>
      </c>
      <c r="B4793" t="str">
        <f>Segmenter!B4793</f>
        <v/>
      </c>
      <c r="C4793" t="str">
        <f t="shared" si="370"/>
        <v/>
      </c>
      <c r="D4793" t="str">
        <f t="shared" si="371"/>
        <v/>
      </c>
      <c r="E4793" t="str">
        <f t="shared" si="372"/>
        <v/>
      </c>
      <c r="F4793" t="str">
        <f>IF(D4793="","",INDEX(Knutepunkter!$B:$B,D4793+1))</f>
        <v/>
      </c>
      <c r="G4793" t="str">
        <f>IF(D4793="","",INDEX(Knutepunkter!$C:$C,D4793+1))</f>
        <v/>
      </c>
      <c r="H4793" t="str">
        <f>IF(D4793="","",INDEX(Knutepunkter!$D:$D,D4793+1))</f>
        <v/>
      </c>
      <c r="I4793" t="str">
        <f>IF(E4793="","",INDEX(Knutepunkter!$B:$B,E4793+1))</f>
        <v/>
      </c>
      <c r="J4793" t="str">
        <f>IF(E4793="","",INDEX(Knutepunkter!$C:$C,E4793+1))</f>
        <v/>
      </c>
      <c r="K4793" t="str">
        <f>IF(E4793="","",INDEX(Knutepunkter!$D:$D,E4793+1))</f>
        <v/>
      </c>
      <c r="L4793" t="str">
        <f t="shared" si="373"/>
        <v/>
      </c>
      <c r="M4793" t="str">
        <f t="shared" si="374"/>
        <v/>
      </c>
    </row>
    <row r="4794" spans="1:13" x14ac:dyDescent="0.3">
      <c r="A4794" t="str">
        <f>Segmenter!A4794</f>
        <v/>
      </c>
      <c r="B4794" t="str">
        <f>Segmenter!B4794</f>
        <v/>
      </c>
      <c r="C4794" t="str">
        <f t="shared" si="370"/>
        <v/>
      </c>
      <c r="D4794" t="str">
        <f t="shared" si="371"/>
        <v/>
      </c>
      <c r="E4794" t="str">
        <f t="shared" si="372"/>
        <v/>
      </c>
      <c r="F4794" t="str">
        <f>IF(D4794="","",INDEX(Knutepunkter!$B:$B,D4794+1))</f>
        <v/>
      </c>
      <c r="G4794" t="str">
        <f>IF(D4794="","",INDEX(Knutepunkter!$C:$C,D4794+1))</f>
        <v/>
      </c>
      <c r="H4794" t="str">
        <f>IF(D4794="","",INDEX(Knutepunkter!$D:$D,D4794+1))</f>
        <v/>
      </c>
      <c r="I4794" t="str">
        <f>IF(E4794="","",INDEX(Knutepunkter!$B:$B,E4794+1))</f>
        <v/>
      </c>
      <c r="J4794" t="str">
        <f>IF(E4794="","",INDEX(Knutepunkter!$C:$C,E4794+1))</f>
        <v/>
      </c>
      <c r="K4794" t="str">
        <f>IF(E4794="","",INDEX(Knutepunkter!$D:$D,E4794+1))</f>
        <v/>
      </c>
      <c r="L4794" t="str">
        <f t="shared" si="373"/>
        <v/>
      </c>
      <c r="M4794" t="str">
        <f t="shared" si="374"/>
        <v/>
      </c>
    </row>
    <row r="4795" spans="1:13" x14ac:dyDescent="0.3">
      <c r="A4795" t="str">
        <f>Segmenter!A4795</f>
        <v/>
      </c>
      <c r="B4795" t="str">
        <f>Segmenter!B4795</f>
        <v/>
      </c>
      <c r="C4795" t="str">
        <f t="shared" si="370"/>
        <v/>
      </c>
      <c r="D4795" t="str">
        <f t="shared" si="371"/>
        <v/>
      </c>
      <c r="E4795" t="str">
        <f t="shared" si="372"/>
        <v/>
      </c>
      <c r="F4795" t="str">
        <f>IF(D4795="","",INDEX(Knutepunkter!$B:$B,D4795+1))</f>
        <v/>
      </c>
      <c r="G4795" t="str">
        <f>IF(D4795="","",INDEX(Knutepunkter!$C:$C,D4795+1))</f>
        <v/>
      </c>
      <c r="H4795" t="str">
        <f>IF(D4795="","",INDEX(Knutepunkter!$D:$D,D4795+1))</f>
        <v/>
      </c>
      <c r="I4795" t="str">
        <f>IF(E4795="","",INDEX(Knutepunkter!$B:$B,E4795+1))</f>
        <v/>
      </c>
      <c r="J4795" t="str">
        <f>IF(E4795="","",INDEX(Knutepunkter!$C:$C,E4795+1))</f>
        <v/>
      </c>
      <c r="K4795" t="str">
        <f>IF(E4795="","",INDEX(Knutepunkter!$D:$D,E4795+1))</f>
        <v/>
      </c>
      <c r="L4795" t="str">
        <f t="shared" si="373"/>
        <v/>
      </c>
      <c r="M4795" t="str">
        <f t="shared" si="374"/>
        <v/>
      </c>
    </row>
    <row r="4796" spans="1:13" x14ac:dyDescent="0.3">
      <c r="A4796" t="str">
        <f>Segmenter!A4796</f>
        <v/>
      </c>
      <c r="B4796" t="str">
        <f>Segmenter!B4796</f>
        <v/>
      </c>
      <c r="C4796" t="str">
        <f t="shared" si="370"/>
        <v/>
      </c>
      <c r="D4796" t="str">
        <f t="shared" si="371"/>
        <v/>
      </c>
      <c r="E4796" t="str">
        <f t="shared" si="372"/>
        <v/>
      </c>
      <c r="F4796" t="str">
        <f>IF(D4796="","",INDEX(Knutepunkter!$B:$B,D4796+1))</f>
        <v/>
      </c>
      <c r="G4796" t="str">
        <f>IF(D4796="","",INDEX(Knutepunkter!$C:$C,D4796+1))</f>
        <v/>
      </c>
      <c r="H4796" t="str">
        <f>IF(D4796="","",INDEX(Knutepunkter!$D:$D,D4796+1))</f>
        <v/>
      </c>
      <c r="I4796" t="str">
        <f>IF(E4796="","",INDEX(Knutepunkter!$B:$B,E4796+1))</f>
        <v/>
      </c>
      <c r="J4796" t="str">
        <f>IF(E4796="","",INDEX(Knutepunkter!$C:$C,E4796+1))</f>
        <v/>
      </c>
      <c r="K4796" t="str">
        <f>IF(E4796="","",INDEX(Knutepunkter!$D:$D,E4796+1))</f>
        <v/>
      </c>
      <c r="L4796" t="str">
        <f t="shared" si="373"/>
        <v/>
      </c>
      <c r="M4796" t="str">
        <f t="shared" si="374"/>
        <v/>
      </c>
    </row>
    <row r="4797" spans="1:13" x14ac:dyDescent="0.3">
      <c r="A4797" t="str">
        <f>Segmenter!A4797</f>
        <v/>
      </c>
      <c r="B4797" t="str">
        <f>Segmenter!B4797</f>
        <v/>
      </c>
      <c r="C4797" t="str">
        <f t="shared" si="370"/>
        <v/>
      </c>
      <c r="D4797" t="str">
        <f t="shared" si="371"/>
        <v/>
      </c>
      <c r="E4797" t="str">
        <f t="shared" si="372"/>
        <v/>
      </c>
      <c r="F4797" t="str">
        <f>IF(D4797="","",INDEX(Knutepunkter!$B:$B,D4797+1))</f>
        <v/>
      </c>
      <c r="G4797" t="str">
        <f>IF(D4797="","",INDEX(Knutepunkter!$C:$C,D4797+1))</f>
        <v/>
      </c>
      <c r="H4797" t="str">
        <f>IF(D4797="","",INDEX(Knutepunkter!$D:$D,D4797+1))</f>
        <v/>
      </c>
      <c r="I4797" t="str">
        <f>IF(E4797="","",INDEX(Knutepunkter!$B:$B,E4797+1))</f>
        <v/>
      </c>
      <c r="J4797" t="str">
        <f>IF(E4797="","",INDEX(Knutepunkter!$C:$C,E4797+1))</f>
        <v/>
      </c>
      <c r="K4797" t="str">
        <f>IF(E4797="","",INDEX(Knutepunkter!$D:$D,E4797+1))</f>
        <v/>
      </c>
      <c r="L4797" t="str">
        <f t="shared" si="373"/>
        <v/>
      </c>
      <c r="M4797" t="str">
        <f t="shared" si="374"/>
        <v/>
      </c>
    </row>
    <row r="4798" spans="1:13" x14ac:dyDescent="0.3">
      <c r="A4798" t="str">
        <f>Segmenter!A4798</f>
        <v/>
      </c>
      <c r="B4798" t="str">
        <f>Segmenter!B4798</f>
        <v/>
      </c>
      <c r="C4798" t="str">
        <f t="shared" si="370"/>
        <v/>
      </c>
      <c r="D4798" t="str">
        <f t="shared" si="371"/>
        <v/>
      </c>
      <c r="E4798" t="str">
        <f t="shared" si="372"/>
        <v/>
      </c>
      <c r="F4798" t="str">
        <f>IF(D4798="","",INDEX(Knutepunkter!$B:$B,D4798+1))</f>
        <v/>
      </c>
      <c r="G4798" t="str">
        <f>IF(D4798="","",INDEX(Knutepunkter!$C:$C,D4798+1))</f>
        <v/>
      </c>
      <c r="H4798" t="str">
        <f>IF(D4798="","",INDEX(Knutepunkter!$D:$D,D4798+1))</f>
        <v/>
      </c>
      <c r="I4798" t="str">
        <f>IF(E4798="","",INDEX(Knutepunkter!$B:$B,E4798+1))</f>
        <v/>
      </c>
      <c r="J4798" t="str">
        <f>IF(E4798="","",INDEX(Knutepunkter!$C:$C,E4798+1))</f>
        <v/>
      </c>
      <c r="K4798" t="str">
        <f>IF(E4798="","",INDEX(Knutepunkter!$D:$D,E4798+1))</f>
        <v/>
      </c>
      <c r="L4798" t="str">
        <f t="shared" si="373"/>
        <v/>
      </c>
      <c r="M4798" t="str">
        <f t="shared" si="374"/>
        <v/>
      </c>
    </row>
    <row r="4799" spans="1:13" x14ac:dyDescent="0.3">
      <c r="A4799" t="str">
        <f>Segmenter!A4799</f>
        <v/>
      </c>
      <c r="B4799" t="str">
        <f>Segmenter!B4799</f>
        <v/>
      </c>
      <c r="C4799" t="str">
        <f t="shared" si="370"/>
        <v/>
      </c>
      <c r="D4799" t="str">
        <f t="shared" si="371"/>
        <v/>
      </c>
      <c r="E4799" t="str">
        <f t="shared" si="372"/>
        <v/>
      </c>
      <c r="F4799" t="str">
        <f>IF(D4799="","",INDEX(Knutepunkter!$B:$B,D4799+1))</f>
        <v/>
      </c>
      <c r="G4799" t="str">
        <f>IF(D4799="","",INDEX(Knutepunkter!$C:$C,D4799+1))</f>
        <v/>
      </c>
      <c r="H4799" t="str">
        <f>IF(D4799="","",INDEX(Knutepunkter!$D:$D,D4799+1))</f>
        <v/>
      </c>
      <c r="I4799" t="str">
        <f>IF(E4799="","",INDEX(Knutepunkter!$B:$B,E4799+1))</f>
        <v/>
      </c>
      <c r="J4799" t="str">
        <f>IF(E4799="","",INDEX(Knutepunkter!$C:$C,E4799+1))</f>
        <v/>
      </c>
      <c r="K4799" t="str">
        <f>IF(E4799="","",INDEX(Knutepunkter!$D:$D,E4799+1))</f>
        <v/>
      </c>
      <c r="L4799" t="str">
        <f t="shared" si="373"/>
        <v/>
      </c>
      <c r="M4799" t="str">
        <f t="shared" si="374"/>
        <v/>
      </c>
    </row>
    <row r="4800" spans="1:13" x14ac:dyDescent="0.3">
      <c r="A4800" t="str">
        <f>Segmenter!A4800</f>
        <v/>
      </c>
      <c r="B4800" t="str">
        <f>Segmenter!B4800</f>
        <v/>
      </c>
      <c r="C4800" t="str">
        <f t="shared" si="370"/>
        <v/>
      </c>
      <c r="D4800" t="str">
        <f t="shared" si="371"/>
        <v/>
      </c>
      <c r="E4800" t="str">
        <f t="shared" si="372"/>
        <v/>
      </c>
      <c r="F4800" t="str">
        <f>IF(D4800="","",INDEX(Knutepunkter!$B:$B,D4800+1))</f>
        <v/>
      </c>
      <c r="G4800" t="str">
        <f>IF(D4800="","",INDEX(Knutepunkter!$C:$C,D4800+1))</f>
        <v/>
      </c>
      <c r="H4800" t="str">
        <f>IF(D4800="","",INDEX(Knutepunkter!$D:$D,D4800+1))</f>
        <v/>
      </c>
      <c r="I4800" t="str">
        <f>IF(E4800="","",INDEX(Knutepunkter!$B:$B,E4800+1))</f>
        <v/>
      </c>
      <c r="J4800" t="str">
        <f>IF(E4800="","",INDEX(Knutepunkter!$C:$C,E4800+1))</f>
        <v/>
      </c>
      <c r="K4800" t="str">
        <f>IF(E4800="","",INDEX(Knutepunkter!$D:$D,E4800+1))</f>
        <v/>
      </c>
      <c r="L4800" t="str">
        <f t="shared" si="373"/>
        <v/>
      </c>
      <c r="M4800" t="str">
        <f t="shared" si="374"/>
        <v/>
      </c>
    </row>
    <row r="4801" spans="1:13" x14ac:dyDescent="0.3">
      <c r="A4801" t="str">
        <f>Segmenter!A4801</f>
        <v/>
      </c>
      <c r="B4801" t="str">
        <f>Segmenter!B4801</f>
        <v/>
      </c>
      <c r="C4801" t="str">
        <f t="shared" si="370"/>
        <v/>
      </c>
      <c r="D4801" t="str">
        <f t="shared" si="371"/>
        <v/>
      </c>
      <c r="E4801" t="str">
        <f t="shared" si="372"/>
        <v/>
      </c>
      <c r="F4801" t="str">
        <f>IF(D4801="","",INDEX(Knutepunkter!$B:$B,D4801+1))</f>
        <v/>
      </c>
      <c r="G4801" t="str">
        <f>IF(D4801="","",INDEX(Knutepunkter!$C:$C,D4801+1))</f>
        <v/>
      </c>
      <c r="H4801" t="str">
        <f>IF(D4801="","",INDEX(Knutepunkter!$D:$D,D4801+1))</f>
        <v/>
      </c>
      <c r="I4801" t="str">
        <f>IF(E4801="","",INDEX(Knutepunkter!$B:$B,E4801+1))</f>
        <v/>
      </c>
      <c r="J4801" t="str">
        <f>IF(E4801="","",INDEX(Knutepunkter!$C:$C,E4801+1))</f>
        <v/>
      </c>
      <c r="K4801" t="str">
        <f>IF(E4801="","",INDEX(Knutepunkter!$D:$D,E4801+1))</f>
        <v/>
      </c>
      <c r="L4801" t="str">
        <f t="shared" si="373"/>
        <v/>
      </c>
      <c r="M4801" t="str">
        <f t="shared" si="374"/>
        <v/>
      </c>
    </row>
    <row r="4802" spans="1:13" x14ac:dyDescent="0.3">
      <c r="A4802" t="str">
        <f>Segmenter!A4802</f>
        <v/>
      </c>
      <c r="B4802" t="str">
        <f>Segmenter!B4802</f>
        <v/>
      </c>
      <c r="C4802" t="str">
        <f t="shared" ref="C4802:C4865" si="375">IF(B4802="","",IF(AND(F4802=I4802,G4802=J4802,H4802&lt;&gt;K4802),"Søyle","Bjelke"))</f>
        <v/>
      </c>
      <c r="D4802" t="str">
        <f t="shared" ref="D4802:D4865" si="376">IF(B4802="","",VALUE(LEFT(B4802,FIND(" -&gt; ",B4802)-1)))</f>
        <v/>
      </c>
      <c r="E4802" t="str">
        <f t="shared" ref="E4802:E4865" si="377">IF(B4802="","",VALUE(MID(B4802,FIND(" -&gt; ",B4802)+4,99)))</f>
        <v/>
      </c>
      <c r="F4802" t="str">
        <f>IF(D4802="","",INDEX(Knutepunkter!$B:$B,D4802+1))</f>
        <v/>
      </c>
      <c r="G4802" t="str">
        <f>IF(D4802="","",INDEX(Knutepunkter!$C:$C,D4802+1))</f>
        <v/>
      </c>
      <c r="H4802" t="str">
        <f>IF(D4802="","",INDEX(Knutepunkter!$D:$D,D4802+1))</f>
        <v/>
      </c>
      <c r="I4802" t="str">
        <f>IF(E4802="","",INDEX(Knutepunkter!$B:$B,E4802+1))</f>
        <v/>
      </c>
      <c r="J4802" t="str">
        <f>IF(E4802="","",INDEX(Knutepunkter!$C:$C,E4802+1))</f>
        <v/>
      </c>
      <c r="K4802" t="str">
        <f>IF(E4802="","",INDEX(Knutepunkter!$D:$D,E4802+1))</f>
        <v/>
      </c>
      <c r="L4802" t="str">
        <f t="shared" ref="L4802:L4865" si="378">IF(B4802="","",SQRT((I4802-F4802)^2+(J4802-G4802)^2+(K4802-H4802)^2))</f>
        <v/>
      </c>
      <c r="M4802" t="str">
        <f t="shared" ref="M4802:M4865" si="379">IF(L4802="","",L4802/1000)</f>
        <v/>
      </c>
    </row>
    <row r="4803" spans="1:13" x14ac:dyDescent="0.3">
      <c r="A4803" t="str">
        <f>Segmenter!A4803</f>
        <v/>
      </c>
      <c r="B4803" t="str">
        <f>Segmenter!B4803</f>
        <v/>
      </c>
      <c r="C4803" t="str">
        <f t="shared" si="375"/>
        <v/>
      </c>
      <c r="D4803" t="str">
        <f t="shared" si="376"/>
        <v/>
      </c>
      <c r="E4803" t="str">
        <f t="shared" si="377"/>
        <v/>
      </c>
      <c r="F4803" t="str">
        <f>IF(D4803="","",INDEX(Knutepunkter!$B:$B,D4803+1))</f>
        <v/>
      </c>
      <c r="G4803" t="str">
        <f>IF(D4803="","",INDEX(Knutepunkter!$C:$C,D4803+1))</f>
        <v/>
      </c>
      <c r="H4803" t="str">
        <f>IF(D4803="","",INDEX(Knutepunkter!$D:$D,D4803+1))</f>
        <v/>
      </c>
      <c r="I4803" t="str">
        <f>IF(E4803="","",INDEX(Knutepunkter!$B:$B,E4803+1))</f>
        <v/>
      </c>
      <c r="J4803" t="str">
        <f>IF(E4803="","",INDEX(Knutepunkter!$C:$C,E4803+1))</f>
        <v/>
      </c>
      <c r="K4803" t="str">
        <f>IF(E4803="","",INDEX(Knutepunkter!$D:$D,E4803+1))</f>
        <v/>
      </c>
      <c r="L4803" t="str">
        <f t="shared" si="378"/>
        <v/>
      </c>
      <c r="M4803" t="str">
        <f t="shared" si="379"/>
        <v/>
      </c>
    </row>
    <row r="4804" spans="1:13" x14ac:dyDescent="0.3">
      <c r="A4804" t="str">
        <f>Segmenter!A4804</f>
        <v/>
      </c>
      <c r="B4804" t="str">
        <f>Segmenter!B4804</f>
        <v/>
      </c>
      <c r="C4804" t="str">
        <f t="shared" si="375"/>
        <v/>
      </c>
      <c r="D4804" t="str">
        <f t="shared" si="376"/>
        <v/>
      </c>
      <c r="E4804" t="str">
        <f t="shared" si="377"/>
        <v/>
      </c>
      <c r="F4804" t="str">
        <f>IF(D4804="","",INDEX(Knutepunkter!$B:$B,D4804+1))</f>
        <v/>
      </c>
      <c r="G4804" t="str">
        <f>IF(D4804="","",INDEX(Knutepunkter!$C:$C,D4804+1))</f>
        <v/>
      </c>
      <c r="H4804" t="str">
        <f>IF(D4804="","",INDEX(Knutepunkter!$D:$D,D4804+1))</f>
        <v/>
      </c>
      <c r="I4804" t="str">
        <f>IF(E4804="","",INDEX(Knutepunkter!$B:$B,E4804+1))</f>
        <v/>
      </c>
      <c r="J4804" t="str">
        <f>IF(E4804="","",INDEX(Knutepunkter!$C:$C,E4804+1))</f>
        <v/>
      </c>
      <c r="K4804" t="str">
        <f>IF(E4804="","",INDEX(Knutepunkter!$D:$D,E4804+1))</f>
        <v/>
      </c>
      <c r="L4804" t="str">
        <f t="shared" si="378"/>
        <v/>
      </c>
      <c r="M4804" t="str">
        <f t="shared" si="379"/>
        <v/>
      </c>
    </row>
    <row r="4805" spans="1:13" x14ac:dyDescent="0.3">
      <c r="A4805" t="str">
        <f>Segmenter!A4805</f>
        <v/>
      </c>
      <c r="B4805" t="str">
        <f>Segmenter!B4805</f>
        <v/>
      </c>
      <c r="C4805" t="str">
        <f t="shared" si="375"/>
        <v/>
      </c>
      <c r="D4805" t="str">
        <f t="shared" si="376"/>
        <v/>
      </c>
      <c r="E4805" t="str">
        <f t="shared" si="377"/>
        <v/>
      </c>
      <c r="F4805" t="str">
        <f>IF(D4805="","",INDEX(Knutepunkter!$B:$B,D4805+1))</f>
        <v/>
      </c>
      <c r="G4805" t="str">
        <f>IF(D4805="","",INDEX(Knutepunkter!$C:$C,D4805+1))</f>
        <v/>
      </c>
      <c r="H4805" t="str">
        <f>IF(D4805="","",INDEX(Knutepunkter!$D:$D,D4805+1))</f>
        <v/>
      </c>
      <c r="I4805" t="str">
        <f>IF(E4805="","",INDEX(Knutepunkter!$B:$B,E4805+1))</f>
        <v/>
      </c>
      <c r="J4805" t="str">
        <f>IF(E4805="","",INDEX(Knutepunkter!$C:$C,E4805+1))</f>
        <v/>
      </c>
      <c r="K4805" t="str">
        <f>IF(E4805="","",INDEX(Knutepunkter!$D:$D,E4805+1))</f>
        <v/>
      </c>
      <c r="L4805" t="str">
        <f t="shared" si="378"/>
        <v/>
      </c>
      <c r="M4805" t="str">
        <f t="shared" si="379"/>
        <v/>
      </c>
    </row>
    <row r="4806" spans="1:13" x14ac:dyDescent="0.3">
      <c r="A4806" t="str">
        <f>Segmenter!A4806</f>
        <v/>
      </c>
      <c r="B4806" t="str">
        <f>Segmenter!B4806</f>
        <v/>
      </c>
      <c r="C4806" t="str">
        <f t="shared" si="375"/>
        <v/>
      </c>
      <c r="D4806" t="str">
        <f t="shared" si="376"/>
        <v/>
      </c>
      <c r="E4806" t="str">
        <f t="shared" si="377"/>
        <v/>
      </c>
      <c r="F4806" t="str">
        <f>IF(D4806="","",INDEX(Knutepunkter!$B:$B,D4806+1))</f>
        <v/>
      </c>
      <c r="G4806" t="str">
        <f>IF(D4806="","",INDEX(Knutepunkter!$C:$C,D4806+1))</f>
        <v/>
      </c>
      <c r="H4806" t="str">
        <f>IF(D4806="","",INDEX(Knutepunkter!$D:$D,D4806+1))</f>
        <v/>
      </c>
      <c r="I4806" t="str">
        <f>IF(E4806="","",INDEX(Knutepunkter!$B:$B,E4806+1))</f>
        <v/>
      </c>
      <c r="J4806" t="str">
        <f>IF(E4806="","",INDEX(Knutepunkter!$C:$C,E4806+1))</f>
        <v/>
      </c>
      <c r="K4806" t="str">
        <f>IF(E4806="","",INDEX(Knutepunkter!$D:$D,E4806+1))</f>
        <v/>
      </c>
      <c r="L4806" t="str">
        <f t="shared" si="378"/>
        <v/>
      </c>
      <c r="M4806" t="str">
        <f t="shared" si="379"/>
        <v/>
      </c>
    </row>
    <row r="4807" spans="1:13" x14ac:dyDescent="0.3">
      <c r="A4807" t="str">
        <f>Segmenter!A4807</f>
        <v/>
      </c>
      <c r="B4807" t="str">
        <f>Segmenter!B4807</f>
        <v/>
      </c>
      <c r="C4807" t="str">
        <f t="shared" si="375"/>
        <v/>
      </c>
      <c r="D4807" t="str">
        <f t="shared" si="376"/>
        <v/>
      </c>
      <c r="E4807" t="str">
        <f t="shared" si="377"/>
        <v/>
      </c>
      <c r="F4807" t="str">
        <f>IF(D4807="","",INDEX(Knutepunkter!$B:$B,D4807+1))</f>
        <v/>
      </c>
      <c r="G4807" t="str">
        <f>IF(D4807="","",INDEX(Knutepunkter!$C:$C,D4807+1))</f>
        <v/>
      </c>
      <c r="H4807" t="str">
        <f>IF(D4807="","",INDEX(Knutepunkter!$D:$D,D4807+1))</f>
        <v/>
      </c>
      <c r="I4807" t="str">
        <f>IF(E4807="","",INDEX(Knutepunkter!$B:$B,E4807+1))</f>
        <v/>
      </c>
      <c r="J4807" t="str">
        <f>IF(E4807="","",INDEX(Knutepunkter!$C:$C,E4807+1))</f>
        <v/>
      </c>
      <c r="K4807" t="str">
        <f>IF(E4807="","",INDEX(Knutepunkter!$D:$D,E4807+1))</f>
        <v/>
      </c>
      <c r="L4807" t="str">
        <f t="shared" si="378"/>
        <v/>
      </c>
      <c r="M4807" t="str">
        <f t="shared" si="379"/>
        <v/>
      </c>
    </row>
    <row r="4808" spans="1:13" x14ac:dyDescent="0.3">
      <c r="A4808" t="str">
        <f>Segmenter!A4808</f>
        <v/>
      </c>
      <c r="B4808" t="str">
        <f>Segmenter!B4808</f>
        <v/>
      </c>
      <c r="C4808" t="str">
        <f t="shared" si="375"/>
        <v/>
      </c>
      <c r="D4808" t="str">
        <f t="shared" si="376"/>
        <v/>
      </c>
      <c r="E4808" t="str">
        <f t="shared" si="377"/>
        <v/>
      </c>
      <c r="F4808" t="str">
        <f>IF(D4808="","",INDEX(Knutepunkter!$B:$B,D4808+1))</f>
        <v/>
      </c>
      <c r="G4808" t="str">
        <f>IF(D4808="","",INDEX(Knutepunkter!$C:$C,D4808+1))</f>
        <v/>
      </c>
      <c r="H4808" t="str">
        <f>IF(D4808="","",INDEX(Knutepunkter!$D:$D,D4808+1))</f>
        <v/>
      </c>
      <c r="I4808" t="str">
        <f>IF(E4808="","",INDEX(Knutepunkter!$B:$B,E4808+1))</f>
        <v/>
      </c>
      <c r="J4808" t="str">
        <f>IF(E4808="","",INDEX(Knutepunkter!$C:$C,E4808+1))</f>
        <v/>
      </c>
      <c r="K4808" t="str">
        <f>IF(E4808="","",INDEX(Knutepunkter!$D:$D,E4808+1))</f>
        <v/>
      </c>
      <c r="L4808" t="str">
        <f t="shared" si="378"/>
        <v/>
      </c>
      <c r="M4808" t="str">
        <f t="shared" si="379"/>
        <v/>
      </c>
    </row>
    <row r="4809" spans="1:13" x14ac:dyDescent="0.3">
      <c r="A4809" t="str">
        <f>Segmenter!A4809</f>
        <v/>
      </c>
      <c r="B4809" t="str">
        <f>Segmenter!B4809</f>
        <v/>
      </c>
      <c r="C4809" t="str">
        <f t="shared" si="375"/>
        <v/>
      </c>
      <c r="D4809" t="str">
        <f t="shared" si="376"/>
        <v/>
      </c>
      <c r="E4809" t="str">
        <f t="shared" si="377"/>
        <v/>
      </c>
      <c r="F4809" t="str">
        <f>IF(D4809="","",INDEX(Knutepunkter!$B:$B,D4809+1))</f>
        <v/>
      </c>
      <c r="G4809" t="str">
        <f>IF(D4809="","",INDEX(Knutepunkter!$C:$C,D4809+1))</f>
        <v/>
      </c>
      <c r="H4809" t="str">
        <f>IF(D4809="","",INDEX(Knutepunkter!$D:$D,D4809+1))</f>
        <v/>
      </c>
      <c r="I4809" t="str">
        <f>IF(E4809="","",INDEX(Knutepunkter!$B:$B,E4809+1))</f>
        <v/>
      </c>
      <c r="J4809" t="str">
        <f>IF(E4809="","",INDEX(Knutepunkter!$C:$C,E4809+1))</f>
        <v/>
      </c>
      <c r="K4809" t="str">
        <f>IF(E4809="","",INDEX(Knutepunkter!$D:$D,E4809+1))</f>
        <v/>
      </c>
      <c r="L4809" t="str">
        <f t="shared" si="378"/>
        <v/>
      </c>
      <c r="M4809" t="str">
        <f t="shared" si="379"/>
        <v/>
      </c>
    </row>
    <row r="4810" spans="1:13" x14ac:dyDescent="0.3">
      <c r="A4810" t="str">
        <f>Segmenter!A4810</f>
        <v/>
      </c>
      <c r="B4810" t="str">
        <f>Segmenter!B4810</f>
        <v/>
      </c>
      <c r="C4810" t="str">
        <f t="shared" si="375"/>
        <v/>
      </c>
      <c r="D4810" t="str">
        <f t="shared" si="376"/>
        <v/>
      </c>
      <c r="E4810" t="str">
        <f t="shared" si="377"/>
        <v/>
      </c>
      <c r="F4810" t="str">
        <f>IF(D4810="","",INDEX(Knutepunkter!$B:$B,D4810+1))</f>
        <v/>
      </c>
      <c r="G4810" t="str">
        <f>IF(D4810="","",INDEX(Knutepunkter!$C:$C,D4810+1))</f>
        <v/>
      </c>
      <c r="H4810" t="str">
        <f>IF(D4810="","",INDEX(Knutepunkter!$D:$D,D4810+1))</f>
        <v/>
      </c>
      <c r="I4810" t="str">
        <f>IF(E4810="","",INDEX(Knutepunkter!$B:$B,E4810+1))</f>
        <v/>
      </c>
      <c r="J4810" t="str">
        <f>IF(E4810="","",INDEX(Knutepunkter!$C:$C,E4810+1))</f>
        <v/>
      </c>
      <c r="K4810" t="str">
        <f>IF(E4810="","",INDEX(Knutepunkter!$D:$D,E4810+1))</f>
        <v/>
      </c>
      <c r="L4810" t="str">
        <f t="shared" si="378"/>
        <v/>
      </c>
      <c r="M4810" t="str">
        <f t="shared" si="379"/>
        <v/>
      </c>
    </row>
    <row r="4811" spans="1:13" x14ac:dyDescent="0.3">
      <c r="A4811" t="str">
        <f>Segmenter!A4811</f>
        <v/>
      </c>
      <c r="B4811" t="str">
        <f>Segmenter!B4811</f>
        <v/>
      </c>
      <c r="C4811" t="str">
        <f t="shared" si="375"/>
        <v/>
      </c>
      <c r="D4811" t="str">
        <f t="shared" si="376"/>
        <v/>
      </c>
      <c r="E4811" t="str">
        <f t="shared" si="377"/>
        <v/>
      </c>
      <c r="F4811" t="str">
        <f>IF(D4811="","",INDEX(Knutepunkter!$B:$B,D4811+1))</f>
        <v/>
      </c>
      <c r="G4811" t="str">
        <f>IF(D4811="","",INDEX(Knutepunkter!$C:$C,D4811+1))</f>
        <v/>
      </c>
      <c r="H4811" t="str">
        <f>IF(D4811="","",INDEX(Knutepunkter!$D:$D,D4811+1))</f>
        <v/>
      </c>
      <c r="I4811" t="str">
        <f>IF(E4811="","",INDEX(Knutepunkter!$B:$B,E4811+1))</f>
        <v/>
      </c>
      <c r="J4811" t="str">
        <f>IF(E4811="","",INDEX(Knutepunkter!$C:$C,E4811+1))</f>
        <v/>
      </c>
      <c r="K4811" t="str">
        <f>IF(E4811="","",INDEX(Knutepunkter!$D:$D,E4811+1))</f>
        <v/>
      </c>
      <c r="L4811" t="str">
        <f t="shared" si="378"/>
        <v/>
      </c>
      <c r="M4811" t="str">
        <f t="shared" si="379"/>
        <v/>
      </c>
    </row>
    <row r="4812" spans="1:13" x14ac:dyDescent="0.3">
      <c r="A4812" t="str">
        <f>Segmenter!A4812</f>
        <v/>
      </c>
      <c r="B4812" t="str">
        <f>Segmenter!B4812</f>
        <v/>
      </c>
      <c r="C4812" t="str">
        <f t="shared" si="375"/>
        <v/>
      </c>
      <c r="D4812" t="str">
        <f t="shared" si="376"/>
        <v/>
      </c>
      <c r="E4812" t="str">
        <f t="shared" si="377"/>
        <v/>
      </c>
      <c r="F4812" t="str">
        <f>IF(D4812="","",INDEX(Knutepunkter!$B:$B,D4812+1))</f>
        <v/>
      </c>
      <c r="G4812" t="str">
        <f>IF(D4812="","",INDEX(Knutepunkter!$C:$C,D4812+1))</f>
        <v/>
      </c>
      <c r="H4812" t="str">
        <f>IF(D4812="","",INDEX(Knutepunkter!$D:$D,D4812+1))</f>
        <v/>
      </c>
      <c r="I4812" t="str">
        <f>IF(E4812="","",INDEX(Knutepunkter!$B:$B,E4812+1))</f>
        <v/>
      </c>
      <c r="J4812" t="str">
        <f>IF(E4812="","",INDEX(Knutepunkter!$C:$C,E4812+1))</f>
        <v/>
      </c>
      <c r="K4812" t="str">
        <f>IF(E4812="","",INDEX(Knutepunkter!$D:$D,E4812+1))</f>
        <v/>
      </c>
      <c r="L4812" t="str">
        <f t="shared" si="378"/>
        <v/>
      </c>
      <c r="M4812" t="str">
        <f t="shared" si="379"/>
        <v/>
      </c>
    </row>
    <row r="4813" spans="1:13" x14ac:dyDescent="0.3">
      <c r="A4813" t="str">
        <f>Segmenter!A4813</f>
        <v/>
      </c>
      <c r="B4813" t="str">
        <f>Segmenter!B4813</f>
        <v/>
      </c>
      <c r="C4813" t="str">
        <f t="shared" si="375"/>
        <v/>
      </c>
      <c r="D4813" t="str">
        <f t="shared" si="376"/>
        <v/>
      </c>
      <c r="E4813" t="str">
        <f t="shared" si="377"/>
        <v/>
      </c>
      <c r="F4813" t="str">
        <f>IF(D4813="","",INDEX(Knutepunkter!$B:$B,D4813+1))</f>
        <v/>
      </c>
      <c r="G4813" t="str">
        <f>IF(D4813="","",INDEX(Knutepunkter!$C:$C,D4813+1))</f>
        <v/>
      </c>
      <c r="H4813" t="str">
        <f>IF(D4813="","",INDEX(Knutepunkter!$D:$D,D4813+1))</f>
        <v/>
      </c>
      <c r="I4813" t="str">
        <f>IF(E4813="","",INDEX(Knutepunkter!$B:$B,E4813+1))</f>
        <v/>
      </c>
      <c r="J4813" t="str">
        <f>IF(E4813="","",INDEX(Knutepunkter!$C:$C,E4813+1))</f>
        <v/>
      </c>
      <c r="K4813" t="str">
        <f>IF(E4813="","",INDEX(Knutepunkter!$D:$D,E4813+1))</f>
        <v/>
      </c>
      <c r="L4813" t="str">
        <f t="shared" si="378"/>
        <v/>
      </c>
      <c r="M4813" t="str">
        <f t="shared" si="379"/>
        <v/>
      </c>
    </row>
    <row r="4814" spans="1:13" x14ac:dyDescent="0.3">
      <c r="A4814" t="str">
        <f>Segmenter!A4814</f>
        <v/>
      </c>
      <c r="B4814" t="str">
        <f>Segmenter!B4814</f>
        <v/>
      </c>
      <c r="C4814" t="str">
        <f t="shared" si="375"/>
        <v/>
      </c>
      <c r="D4814" t="str">
        <f t="shared" si="376"/>
        <v/>
      </c>
      <c r="E4814" t="str">
        <f t="shared" si="377"/>
        <v/>
      </c>
      <c r="F4814" t="str">
        <f>IF(D4814="","",INDEX(Knutepunkter!$B:$B,D4814+1))</f>
        <v/>
      </c>
      <c r="G4814" t="str">
        <f>IF(D4814="","",INDEX(Knutepunkter!$C:$C,D4814+1))</f>
        <v/>
      </c>
      <c r="H4814" t="str">
        <f>IF(D4814="","",INDEX(Knutepunkter!$D:$D,D4814+1))</f>
        <v/>
      </c>
      <c r="I4814" t="str">
        <f>IF(E4814="","",INDEX(Knutepunkter!$B:$B,E4814+1))</f>
        <v/>
      </c>
      <c r="J4814" t="str">
        <f>IF(E4814="","",INDEX(Knutepunkter!$C:$C,E4814+1))</f>
        <v/>
      </c>
      <c r="K4814" t="str">
        <f>IF(E4814="","",INDEX(Knutepunkter!$D:$D,E4814+1))</f>
        <v/>
      </c>
      <c r="L4814" t="str">
        <f t="shared" si="378"/>
        <v/>
      </c>
      <c r="M4814" t="str">
        <f t="shared" si="379"/>
        <v/>
      </c>
    </row>
    <row r="4815" spans="1:13" x14ac:dyDescent="0.3">
      <c r="A4815" t="str">
        <f>Segmenter!A4815</f>
        <v/>
      </c>
      <c r="B4815" t="str">
        <f>Segmenter!B4815</f>
        <v/>
      </c>
      <c r="C4815" t="str">
        <f t="shared" si="375"/>
        <v/>
      </c>
      <c r="D4815" t="str">
        <f t="shared" si="376"/>
        <v/>
      </c>
      <c r="E4815" t="str">
        <f t="shared" si="377"/>
        <v/>
      </c>
      <c r="F4815" t="str">
        <f>IF(D4815="","",INDEX(Knutepunkter!$B:$B,D4815+1))</f>
        <v/>
      </c>
      <c r="G4815" t="str">
        <f>IF(D4815="","",INDEX(Knutepunkter!$C:$C,D4815+1))</f>
        <v/>
      </c>
      <c r="H4815" t="str">
        <f>IF(D4815="","",INDEX(Knutepunkter!$D:$D,D4815+1))</f>
        <v/>
      </c>
      <c r="I4815" t="str">
        <f>IF(E4815="","",INDEX(Knutepunkter!$B:$B,E4815+1))</f>
        <v/>
      </c>
      <c r="J4815" t="str">
        <f>IF(E4815="","",INDEX(Knutepunkter!$C:$C,E4815+1))</f>
        <v/>
      </c>
      <c r="K4815" t="str">
        <f>IF(E4815="","",INDEX(Knutepunkter!$D:$D,E4815+1))</f>
        <v/>
      </c>
      <c r="L4815" t="str">
        <f t="shared" si="378"/>
        <v/>
      </c>
      <c r="M4815" t="str">
        <f t="shared" si="379"/>
        <v/>
      </c>
    </row>
    <row r="4816" spans="1:13" x14ac:dyDescent="0.3">
      <c r="A4816" t="str">
        <f>Segmenter!A4816</f>
        <v/>
      </c>
      <c r="B4816" t="str">
        <f>Segmenter!B4816</f>
        <v/>
      </c>
      <c r="C4816" t="str">
        <f t="shared" si="375"/>
        <v/>
      </c>
      <c r="D4816" t="str">
        <f t="shared" si="376"/>
        <v/>
      </c>
      <c r="E4816" t="str">
        <f t="shared" si="377"/>
        <v/>
      </c>
      <c r="F4816" t="str">
        <f>IF(D4816="","",INDEX(Knutepunkter!$B:$B,D4816+1))</f>
        <v/>
      </c>
      <c r="G4816" t="str">
        <f>IF(D4816="","",INDEX(Knutepunkter!$C:$C,D4816+1))</f>
        <v/>
      </c>
      <c r="H4816" t="str">
        <f>IF(D4816="","",INDEX(Knutepunkter!$D:$D,D4816+1))</f>
        <v/>
      </c>
      <c r="I4816" t="str">
        <f>IF(E4816="","",INDEX(Knutepunkter!$B:$B,E4816+1))</f>
        <v/>
      </c>
      <c r="J4816" t="str">
        <f>IF(E4816="","",INDEX(Knutepunkter!$C:$C,E4816+1))</f>
        <v/>
      </c>
      <c r="K4816" t="str">
        <f>IF(E4816="","",INDEX(Knutepunkter!$D:$D,E4816+1))</f>
        <v/>
      </c>
      <c r="L4816" t="str">
        <f t="shared" si="378"/>
        <v/>
      </c>
      <c r="M4816" t="str">
        <f t="shared" si="379"/>
        <v/>
      </c>
    </row>
    <row r="4817" spans="1:13" x14ac:dyDescent="0.3">
      <c r="A4817" t="str">
        <f>Segmenter!A4817</f>
        <v/>
      </c>
      <c r="B4817" t="str">
        <f>Segmenter!B4817</f>
        <v/>
      </c>
      <c r="C4817" t="str">
        <f t="shared" si="375"/>
        <v/>
      </c>
      <c r="D4817" t="str">
        <f t="shared" si="376"/>
        <v/>
      </c>
      <c r="E4817" t="str">
        <f t="shared" si="377"/>
        <v/>
      </c>
      <c r="F4817" t="str">
        <f>IF(D4817="","",INDEX(Knutepunkter!$B:$B,D4817+1))</f>
        <v/>
      </c>
      <c r="G4817" t="str">
        <f>IF(D4817="","",INDEX(Knutepunkter!$C:$C,D4817+1))</f>
        <v/>
      </c>
      <c r="H4817" t="str">
        <f>IF(D4817="","",INDEX(Knutepunkter!$D:$D,D4817+1))</f>
        <v/>
      </c>
      <c r="I4817" t="str">
        <f>IF(E4817="","",INDEX(Knutepunkter!$B:$B,E4817+1))</f>
        <v/>
      </c>
      <c r="J4817" t="str">
        <f>IF(E4817="","",INDEX(Knutepunkter!$C:$C,E4817+1))</f>
        <v/>
      </c>
      <c r="K4817" t="str">
        <f>IF(E4817="","",INDEX(Knutepunkter!$D:$D,E4817+1))</f>
        <v/>
      </c>
      <c r="L4817" t="str">
        <f t="shared" si="378"/>
        <v/>
      </c>
      <c r="M4817" t="str">
        <f t="shared" si="379"/>
        <v/>
      </c>
    </row>
    <row r="4818" spans="1:13" x14ac:dyDescent="0.3">
      <c r="A4818" t="str">
        <f>Segmenter!A4818</f>
        <v/>
      </c>
      <c r="B4818" t="str">
        <f>Segmenter!B4818</f>
        <v/>
      </c>
      <c r="C4818" t="str">
        <f t="shared" si="375"/>
        <v/>
      </c>
      <c r="D4818" t="str">
        <f t="shared" si="376"/>
        <v/>
      </c>
      <c r="E4818" t="str">
        <f t="shared" si="377"/>
        <v/>
      </c>
      <c r="F4818" t="str">
        <f>IF(D4818="","",INDEX(Knutepunkter!$B:$B,D4818+1))</f>
        <v/>
      </c>
      <c r="G4818" t="str">
        <f>IF(D4818="","",INDEX(Knutepunkter!$C:$C,D4818+1))</f>
        <v/>
      </c>
      <c r="H4818" t="str">
        <f>IF(D4818="","",INDEX(Knutepunkter!$D:$D,D4818+1))</f>
        <v/>
      </c>
      <c r="I4818" t="str">
        <f>IF(E4818="","",INDEX(Knutepunkter!$B:$B,E4818+1))</f>
        <v/>
      </c>
      <c r="J4818" t="str">
        <f>IF(E4818="","",INDEX(Knutepunkter!$C:$C,E4818+1))</f>
        <v/>
      </c>
      <c r="K4818" t="str">
        <f>IF(E4818="","",INDEX(Knutepunkter!$D:$D,E4818+1))</f>
        <v/>
      </c>
      <c r="L4818" t="str">
        <f t="shared" si="378"/>
        <v/>
      </c>
      <c r="M4818" t="str">
        <f t="shared" si="379"/>
        <v/>
      </c>
    </row>
    <row r="4819" spans="1:13" x14ac:dyDescent="0.3">
      <c r="A4819" t="str">
        <f>Segmenter!A4819</f>
        <v/>
      </c>
      <c r="B4819" t="str">
        <f>Segmenter!B4819</f>
        <v/>
      </c>
      <c r="C4819" t="str">
        <f t="shared" si="375"/>
        <v/>
      </c>
      <c r="D4819" t="str">
        <f t="shared" si="376"/>
        <v/>
      </c>
      <c r="E4819" t="str">
        <f t="shared" si="377"/>
        <v/>
      </c>
      <c r="F4819" t="str">
        <f>IF(D4819="","",INDEX(Knutepunkter!$B:$B,D4819+1))</f>
        <v/>
      </c>
      <c r="G4819" t="str">
        <f>IF(D4819="","",INDEX(Knutepunkter!$C:$C,D4819+1))</f>
        <v/>
      </c>
      <c r="H4819" t="str">
        <f>IF(D4819="","",INDEX(Knutepunkter!$D:$D,D4819+1))</f>
        <v/>
      </c>
      <c r="I4819" t="str">
        <f>IF(E4819="","",INDEX(Knutepunkter!$B:$B,E4819+1))</f>
        <v/>
      </c>
      <c r="J4819" t="str">
        <f>IF(E4819="","",INDEX(Knutepunkter!$C:$C,E4819+1))</f>
        <v/>
      </c>
      <c r="K4819" t="str">
        <f>IF(E4819="","",INDEX(Knutepunkter!$D:$D,E4819+1))</f>
        <v/>
      </c>
      <c r="L4819" t="str">
        <f t="shared" si="378"/>
        <v/>
      </c>
      <c r="M4819" t="str">
        <f t="shared" si="379"/>
        <v/>
      </c>
    </row>
    <row r="4820" spans="1:13" x14ac:dyDescent="0.3">
      <c r="A4820" t="str">
        <f>Segmenter!A4820</f>
        <v/>
      </c>
      <c r="B4820" t="str">
        <f>Segmenter!B4820</f>
        <v/>
      </c>
      <c r="C4820" t="str">
        <f t="shared" si="375"/>
        <v/>
      </c>
      <c r="D4820" t="str">
        <f t="shared" si="376"/>
        <v/>
      </c>
      <c r="E4820" t="str">
        <f t="shared" si="377"/>
        <v/>
      </c>
      <c r="F4820" t="str">
        <f>IF(D4820="","",INDEX(Knutepunkter!$B:$B,D4820+1))</f>
        <v/>
      </c>
      <c r="G4820" t="str">
        <f>IF(D4820="","",INDEX(Knutepunkter!$C:$C,D4820+1))</f>
        <v/>
      </c>
      <c r="H4820" t="str">
        <f>IF(D4820="","",INDEX(Knutepunkter!$D:$D,D4820+1))</f>
        <v/>
      </c>
      <c r="I4820" t="str">
        <f>IF(E4820="","",INDEX(Knutepunkter!$B:$B,E4820+1))</f>
        <v/>
      </c>
      <c r="J4820" t="str">
        <f>IF(E4820="","",INDEX(Knutepunkter!$C:$C,E4820+1))</f>
        <v/>
      </c>
      <c r="K4820" t="str">
        <f>IF(E4820="","",INDEX(Knutepunkter!$D:$D,E4820+1))</f>
        <v/>
      </c>
      <c r="L4820" t="str">
        <f t="shared" si="378"/>
        <v/>
      </c>
      <c r="M4820" t="str">
        <f t="shared" si="379"/>
        <v/>
      </c>
    </row>
    <row r="4821" spans="1:13" x14ac:dyDescent="0.3">
      <c r="A4821" t="str">
        <f>Segmenter!A4821</f>
        <v/>
      </c>
      <c r="B4821" t="str">
        <f>Segmenter!B4821</f>
        <v/>
      </c>
      <c r="C4821" t="str">
        <f t="shared" si="375"/>
        <v/>
      </c>
      <c r="D4821" t="str">
        <f t="shared" si="376"/>
        <v/>
      </c>
      <c r="E4821" t="str">
        <f t="shared" si="377"/>
        <v/>
      </c>
      <c r="F4821" t="str">
        <f>IF(D4821="","",INDEX(Knutepunkter!$B:$B,D4821+1))</f>
        <v/>
      </c>
      <c r="G4821" t="str">
        <f>IF(D4821="","",INDEX(Knutepunkter!$C:$C,D4821+1))</f>
        <v/>
      </c>
      <c r="H4821" t="str">
        <f>IF(D4821="","",INDEX(Knutepunkter!$D:$D,D4821+1))</f>
        <v/>
      </c>
      <c r="I4821" t="str">
        <f>IF(E4821="","",INDEX(Knutepunkter!$B:$B,E4821+1))</f>
        <v/>
      </c>
      <c r="J4821" t="str">
        <f>IF(E4821="","",INDEX(Knutepunkter!$C:$C,E4821+1))</f>
        <v/>
      </c>
      <c r="K4821" t="str">
        <f>IF(E4821="","",INDEX(Knutepunkter!$D:$D,E4821+1))</f>
        <v/>
      </c>
      <c r="L4821" t="str">
        <f t="shared" si="378"/>
        <v/>
      </c>
      <c r="M4821" t="str">
        <f t="shared" si="379"/>
        <v/>
      </c>
    </row>
    <row r="4822" spans="1:13" x14ac:dyDescent="0.3">
      <c r="A4822" t="str">
        <f>Segmenter!A4822</f>
        <v/>
      </c>
      <c r="B4822" t="str">
        <f>Segmenter!B4822</f>
        <v/>
      </c>
      <c r="C4822" t="str">
        <f t="shared" si="375"/>
        <v/>
      </c>
      <c r="D4822" t="str">
        <f t="shared" si="376"/>
        <v/>
      </c>
      <c r="E4822" t="str">
        <f t="shared" si="377"/>
        <v/>
      </c>
      <c r="F4822" t="str">
        <f>IF(D4822="","",INDEX(Knutepunkter!$B:$B,D4822+1))</f>
        <v/>
      </c>
      <c r="G4822" t="str">
        <f>IF(D4822="","",INDEX(Knutepunkter!$C:$C,D4822+1))</f>
        <v/>
      </c>
      <c r="H4822" t="str">
        <f>IF(D4822="","",INDEX(Knutepunkter!$D:$D,D4822+1))</f>
        <v/>
      </c>
      <c r="I4822" t="str">
        <f>IF(E4822="","",INDEX(Knutepunkter!$B:$B,E4822+1))</f>
        <v/>
      </c>
      <c r="J4822" t="str">
        <f>IF(E4822="","",INDEX(Knutepunkter!$C:$C,E4822+1))</f>
        <v/>
      </c>
      <c r="K4822" t="str">
        <f>IF(E4822="","",INDEX(Knutepunkter!$D:$D,E4822+1))</f>
        <v/>
      </c>
      <c r="L4822" t="str">
        <f t="shared" si="378"/>
        <v/>
      </c>
      <c r="M4822" t="str">
        <f t="shared" si="379"/>
        <v/>
      </c>
    </row>
    <row r="4823" spans="1:13" x14ac:dyDescent="0.3">
      <c r="A4823" t="str">
        <f>Segmenter!A4823</f>
        <v/>
      </c>
      <c r="B4823" t="str">
        <f>Segmenter!B4823</f>
        <v/>
      </c>
      <c r="C4823" t="str">
        <f t="shared" si="375"/>
        <v/>
      </c>
      <c r="D4823" t="str">
        <f t="shared" si="376"/>
        <v/>
      </c>
      <c r="E4823" t="str">
        <f t="shared" si="377"/>
        <v/>
      </c>
      <c r="F4823" t="str">
        <f>IF(D4823="","",INDEX(Knutepunkter!$B:$B,D4823+1))</f>
        <v/>
      </c>
      <c r="G4823" t="str">
        <f>IF(D4823="","",INDEX(Knutepunkter!$C:$C,D4823+1))</f>
        <v/>
      </c>
      <c r="H4823" t="str">
        <f>IF(D4823="","",INDEX(Knutepunkter!$D:$D,D4823+1))</f>
        <v/>
      </c>
      <c r="I4823" t="str">
        <f>IF(E4823="","",INDEX(Knutepunkter!$B:$B,E4823+1))</f>
        <v/>
      </c>
      <c r="J4823" t="str">
        <f>IF(E4823="","",INDEX(Knutepunkter!$C:$C,E4823+1))</f>
        <v/>
      </c>
      <c r="K4823" t="str">
        <f>IF(E4823="","",INDEX(Knutepunkter!$D:$D,E4823+1))</f>
        <v/>
      </c>
      <c r="L4823" t="str">
        <f t="shared" si="378"/>
        <v/>
      </c>
      <c r="M4823" t="str">
        <f t="shared" si="379"/>
        <v/>
      </c>
    </row>
    <row r="4824" spans="1:13" x14ac:dyDescent="0.3">
      <c r="A4824" t="str">
        <f>Segmenter!A4824</f>
        <v/>
      </c>
      <c r="B4824" t="str">
        <f>Segmenter!B4824</f>
        <v/>
      </c>
      <c r="C4824" t="str">
        <f t="shared" si="375"/>
        <v/>
      </c>
      <c r="D4824" t="str">
        <f t="shared" si="376"/>
        <v/>
      </c>
      <c r="E4824" t="str">
        <f t="shared" si="377"/>
        <v/>
      </c>
      <c r="F4824" t="str">
        <f>IF(D4824="","",INDEX(Knutepunkter!$B:$B,D4824+1))</f>
        <v/>
      </c>
      <c r="G4824" t="str">
        <f>IF(D4824="","",INDEX(Knutepunkter!$C:$C,D4824+1))</f>
        <v/>
      </c>
      <c r="H4824" t="str">
        <f>IF(D4824="","",INDEX(Knutepunkter!$D:$D,D4824+1))</f>
        <v/>
      </c>
      <c r="I4824" t="str">
        <f>IF(E4824="","",INDEX(Knutepunkter!$B:$B,E4824+1))</f>
        <v/>
      </c>
      <c r="J4824" t="str">
        <f>IF(E4824="","",INDEX(Knutepunkter!$C:$C,E4824+1))</f>
        <v/>
      </c>
      <c r="K4824" t="str">
        <f>IF(E4824="","",INDEX(Knutepunkter!$D:$D,E4824+1))</f>
        <v/>
      </c>
      <c r="L4824" t="str">
        <f t="shared" si="378"/>
        <v/>
      </c>
      <c r="M4824" t="str">
        <f t="shared" si="379"/>
        <v/>
      </c>
    </row>
    <row r="4825" spans="1:13" x14ac:dyDescent="0.3">
      <c r="A4825" t="str">
        <f>Segmenter!A4825</f>
        <v/>
      </c>
      <c r="B4825" t="str">
        <f>Segmenter!B4825</f>
        <v/>
      </c>
      <c r="C4825" t="str">
        <f t="shared" si="375"/>
        <v/>
      </c>
      <c r="D4825" t="str">
        <f t="shared" si="376"/>
        <v/>
      </c>
      <c r="E4825" t="str">
        <f t="shared" si="377"/>
        <v/>
      </c>
      <c r="F4825" t="str">
        <f>IF(D4825="","",INDEX(Knutepunkter!$B:$B,D4825+1))</f>
        <v/>
      </c>
      <c r="G4825" t="str">
        <f>IF(D4825="","",INDEX(Knutepunkter!$C:$C,D4825+1))</f>
        <v/>
      </c>
      <c r="H4825" t="str">
        <f>IF(D4825="","",INDEX(Knutepunkter!$D:$D,D4825+1))</f>
        <v/>
      </c>
      <c r="I4825" t="str">
        <f>IF(E4825="","",INDEX(Knutepunkter!$B:$B,E4825+1))</f>
        <v/>
      </c>
      <c r="J4825" t="str">
        <f>IF(E4825="","",INDEX(Knutepunkter!$C:$C,E4825+1))</f>
        <v/>
      </c>
      <c r="K4825" t="str">
        <f>IF(E4825="","",INDEX(Knutepunkter!$D:$D,E4825+1))</f>
        <v/>
      </c>
      <c r="L4825" t="str">
        <f t="shared" si="378"/>
        <v/>
      </c>
      <c r="M4825" t="str">
        <f t="shared" si="379"/>
        <v/>
      </c>
    </row>
    <row r="4826" spans="1:13" x14ac:dyDescent="0.3">
      <c r="A4826" t="str">
        <f>Segmenter!A4826</f>
        <v/>
      </c>
      <c r="B4826" t="str">
        <f>Segmenter!B4826</f>
        <v/>
      </c>
      <c r="C4826" t="str">
        <f t="shared" si="375"/>
        <v/>
      </c>
      <c r="D4826" t="str">
        <f t="shared" si="376"/>
        <v/>
      </c>
      <c r="E4826" t="str">
        <f t="shared" si="377"/>
        <v/>
      </c>
      <c r="F4826" t="str">
        <f>IF(D4826="","",INDEX(Knutepunkter!$B:$B,D4826+1))</f>
        <v/>
      </c>
      <c r="G4826" t="str">
        <f>IF(D4826="","",INDEX(Knutepunkter!$C:$C,D4826+1))</f>
        <v/>
      </c>
      <c r="H4826" t="str">
        <f>IF(D4826="","",INDEX(Knutepunkter!$D:$D,D4826+1))</f>
        <v/>
      </c>
      <c r="I4826" t="str">
        <f>IF(E4826="","",INDEX(Knutepunkter!$B:$B,E4826+1))</f>
        <v/>
      </c>
      <c r="J4826" t="str">
        <f>IF(E4826="","",INDEX(Knutepunkter!$C:$C,E4826+1))</f>
        <v/>
      </c>
      <c r="K4826" t="str">
        <f>IF(E4826="","",INDEX(Knutepunkter!$D:$D,E4826+1))</f>
        <v/>
      </c>
      <c r="L4826" t="str">
        <f t="shared" si="378"/>
        <v/>
      </c>
      <c r="M4826" t="str">
        <f t="shared" si="379"/>
        <v/>
      </c>
    </row>
    <row r="4827" spans="1:13" x14ac:dyDescent="0.3">
      <c r="A4827" t="str">
        <f>Segmenter!A4827</f>
        <v/>
      </c>
      <c r="B4827" t="str">
        <f>Segmenter!B4827</f>
        <v/>
      </c>
      <c r="C4827" t="str">
        <f t="shared" si="375"/>
        <v/>
      </c>
      <c r="D4827" t="str">
        <f t="shared" si="376"/>
        <v/>
      </c>
      <c r="E4827" t="str">
        <f t="shared" si="377"/>
        <v/>
      </c>
      <c r="F4827" t="str">
        <f>IF(D4827="","",INDEX(Knutepunkter!$B:$B,D4827+1))</f>
        <v/>
      </c>
      <c r="G4827" t="str">
        <f>IF(D4827="","",INDEX(Knutepunkter!$C:$C,D4827+1))</f>
        <v/>
      </c>
      <c r="H4827" t="str">
        <f>IF(D4827="","",INDEX(Knutepunkter!$D:$D,D4827+1))</f>
        <v/>
      </c>
      <c r="I4827" t="str">
        <f>IF(E4827="","",INDEX(Knutepunkter!$B:$B,E4827+1))</f>
        <v/>
      </c>
      <c r="J4827" t="str">
        <f>IF(E4827="","",INDEX(Knutepunkter!$C:$C,E4827+1))</f>
        <v/>
      </c>
      <c r="K4827" t="str">
        <f>IF(E4827="","",INDEX(Knutepunkter!$D:$D,E4827+1))</f>
        <v/>
      </c>
      <c r="L4827" t="str">
        <f t="shared" si="378"/>
        <v/>
      </c>
      <c r="M4827" t="str">
        <f t="shared" si="379"/>
        <v/>
      </c>
    </row>
    <row r="4828" spans="1:13" x14ac:dyDescent="0.3">
      <c r="A4828" t="str">
        <f>Segmenter!A4828</f>
        <v/>
      </c>
      <c r="B4828" t="str">
        <f>Segmenter!B4828</f>
        <v/>
      </c>
      <c r="C4828" t="str">
        <f t="shared" si="375"/>
        <v/>
      </c>
      <c r="D4828" t="str">
        <f t="shared" si="376"/>
        <v/>
      </c>
      <c r="E4828" t="str">
        <f t="shared" si="377"/>
        <v/>
      </c>
      <c r="F4828" t="str">
        <f>IF(D4828="","",INDEX(Knutepunkter!$B:$B,D4828+1))</f>
        <v/>
      </c>
      <c r="G4828" t="str">
        <f>IF(D4828="","",INDEX(Knutepunkter!$C:$C,D4828+1))</f>
        <v/>
      </c>
      <c r="H4828" t="str">
        <f>IF(D4828="","",INDEX(Knutepunkter!$D:$D,D4828+1))</f>
        <v/>
      </c>
      <c r="I4828" t="str">
        <f>IF(E4828="","",INDEX(Knutepunkter!$B:$B,E4828+1))</f>
        <v/>
      </c>
      <c r="J4828" t="str">
        <f>IF(E4828="","",INDEX(Knutepunkter!$C:$C,E4828+1))</f>
        <v/>
      </c>
      <c r="K4828" t="str">
        <f>IF(E4828="","",INDEX(Knutepunkter!$D:$D,E4828+1))</f>
        <v/>
      </c>
      <c r="L4828" t="str">
        <f t="shared" si="378"/>
        <v/>
      </c>
      <c r="M4828" t="str">
        <f t="shared" si="379"/>
        <v/>
      </c>
    </row>
    <row r="4829" spans="1:13" x14ac:dyDescent="0.3">
      <c r="A4829" t="str">
        <f>Segmenter!A4829</f>
        <v/>
      </c>
      <c r="B4829" t="str">
        <f>Segmenter!B4829</f>
        <v/>
      </c>
      <c r="C4829" t="str">
        <f t="shared" si="375"/>
        <v/>
      </c>
      <c r="D4829" t="str">
        <f t="shared" si="376"/>
        <v/>
      </c>
      <c r="E4829" t="str">
        <f t="shared" si="377"/>
        <v/>
      </c>
      <c r="F4829" t="str">
        <f>IF(D4829="","",INDEX(Knutepunkter!$B:$B,D4829+1))</f>
        <v/>
      </c>
      <c r="G4829" t="str">
        <f>IF(D4829="","",INDEX(Knutepunkter!$C:$C,D4829+1))</f>
        <v/>
      </c>
      <c r="H4829" t="str">
        <f>IF(D4829="","",INDEX(Knutepunkter!$D:$D,D4829+1))</f>
        <v/>
      </c>
      <c r="I4829" t="str">
        <f>IF(E4829="","",INDEX(Knutepunkter!$B:$B,E4829+1))</f>
        <v/>
      </c>
      <c r="J4829" t="str">
        <f>IF(E4829="","",INDEX(Knutepunkter!$C:$C,E4829+1))</f>
        <v/>
      </c>
      <c r="K4829" t="str">
        <f>IF(E4829="","",INDEX(Knutepunkter!$D:$D,E4829+1))</f>
        <v/>
      </c>
      <c r="L4829" t="str">
        <f t="shared" si="378"/>
        <v/>
      </c>
      <c r="M4829" t="str">
        <f t="shared" si="379"/>
        <v/>
      </c>
    </row>
    <row r="4830" spans="1:13" x14ac:dyDescent="0.3">
      <c r="A4830" t="str">
        <f>Segmenter!A4830</f>
        <v/>
      </c>
      <c r="B4830" t="str">
        <f>Segmenter!B4830</f>
        <v/>
      </c>
      <c r="C4830" t="str">
        <f t="shared" si="375"/>
        <v/>
      </c>
      <c r="D4830" t="str">
        <f t="shared" si="376"/>
        <v/>
      </c>
      <c r="E4830" t="str">
        <f t="shared" si="377"/>
        <v/>
      </c>
      <c r="F4830" t="str">
        <f>IF(D4830="","",INDEX(Knutepunkter!$B:$B,D4830+1))</f>
        <v/>
      </c>
      <c r="G4830" t="str">
        <f>IF(D4830="","",INDEX(Knutepunkter!$C:$C,D4830+1))</f>
        <v/>
      </c>
      <c r="H4830" t="str">
        <f>IF(D4830="","",INDEX(Knutepunkter!$D:$D,D4830+1))</f>
        <v/>
      </c>
      <c r="I4830" t="str">
        <f>IF(E4830="","",INDEX(Knutepunkter!$B:$B,E4830+1))</f>
        <v/>
      </c>
      <c r="J4830" t="str">
        <f>IF(E4830="","",INDEX(Knutepunkter!$C:$C,E4830+1))</f>
        <v/>
      </c>
      <c r="K4830" t="str">
        <f>IF(E4830="","",INDEX(Knutepunkter!$D:$D,E4830+1))</f>
        <v/>
      </c>
      <c r="L4830" t="str">
        <f t="shared" si="378"/>
        <v/>
      </c>
      <c r="M4830" t="str">
        <f t="shared" si="379"/>
        <v/>
      </c>
    </row>
    <row r="4831" spans="1:13" x14ac:dyDescent="0.3">
      <c r="A4831" t="str">
        <f>Segmenter!A4831</f>
        <v/>
      </c>
      <c r="B4831" t="str">
        <f>Segmenter!B4831</f>
        <v/>
      </c>
      <c r="C4831" t="str">
        <f t="shared" si="375"/>
        <v/>
      </c>
      <c r="D4831" t="str">
        <f t="shared" si="376"/>
        <v/>
      </c>
      <c r="E4831" t="str">
        <f t="shared" si="377"/>
        <v/>
      </c>
      <c r="F4831" t="str">
        <f>IF(D4831="","",INDEX(Knutepunkter!$B:$B,D4831+1))</f>
        <v/>
      </c>
      <c r="G4831" t="str">
        <f>IF(D4831="","",INDEX(Knutepunkter!$C:$C,D4831+1))</f>
        <v/>
      </c>
      <c r="H4831" t="str">
        <f>IF(D4831="","",INDEX(Knutepunkter!$D:$D,D4831+1))</f>
        <v/>
      </c>
      <c r="I4831" t="str">
        <f>IF(E4831="","",INDEX(Knutepunkter!$B:$B,E4831+1))</f>
        <v/>
      </c>
      <c r="J4831" t="str">
        <f>IF(E4831="","",INDEX(Knutepunkter!$C:$C,E4831+1))</f>
        <v/>
      </c>
      <c r="K4831" t="str">
        <f>IF(E4831="","",INDEX(Knutepunkter!$D:$D,E4831+1))</f>
        <v/>
      </c>
      <c r="L4831" t="str">
        <f t="shared" si="378"/>
        <v/>
      </c>
      <c r="M4831" t="str">
        <f t="shared" si="379"/>
        <v/>
      </c>
    </row>
    <row r="4832" spans="1:13" x14ac:dyDescent="0.3">
      <c r="A4832" t="str">
        <f>Segmenter!A4832</f>
        <v/>
      </c>
      <c r="B4832" t="str">
        <f>Segmenter!B4832</f>
        <v/>
      </c>
      <c r="C4832" t="str">
        <f t="shared" si="375"/>
        <v/>
      </c>
      <c r="D4832" t="str">
        <f t="shared" si="376"/>
        <v/>
      </c>
      <c r="E4832" t="str">
        <f t="shared" si="377"/>
        <v/>
      </c>
      <c r="F4832" t="str">
        <f>IF(D4832="","",INDEX(Knutepunkter!$B:$B,D4832+1))</f>
        <v/>
      </c>
      <c r="G4832" t="str">
        <f>IF(D4832="","",INDEX(Knutepunkter!$C:$C,D4832+1))</f>
        <v/>
      </c>
      <c r="H4832" t="str">
        <f>IF(D4832="","",INDEX(Knutepunkter!$D:$D,D4832+1))</f>
        <v/>
      </c>
      <c r="I4832" t="str">
        <f>IF(E4832="","",INDEX(Knutepunkter!$B:$B,E4832+1))</f>
        <v/>
      </c>
      <c r="J4832" t="str">
        <f>IF(E4832="","",INDEX(Knutepunkter!$C:$C,E4832+1))</f>
        <v/>
      </c>
      <c r="K4832" t="str">
        <f>IF(E4832="","",INDEX(Knutepunkter!$D:$D,E4832+1))</f>
        <v/>
      </c>
      <c r="L4832" t="str">
        <f t="shared" si="378"/>
        <v/>
      </c>
      <c r="M4832" t="str">
        <f t="shared" si="379"/>
        <v/>
      </c>
    </row>
    <row r="4833" spans="1:13" x14ac:dyDescent="0.3">
      <c r="A4833" t="str">
        <f>Segmenter!A4833</f>
        <v/>
      </c>
      <c r="B4833" t="str">
        <f>Segmenter!B4833</f>
        <v/>
      </c>
      <c r="C4833" t="str">
        <f t="shared" si="375"/>
        <v/>
      </c>
      <c r="D4833" t="str">
        <f t="shared" si="376"/>
        <v/>
      </c>
      <c r="E4833" t="str">
        <f t="shared" si="377"/>
        <v/>
      </c>
      <c r="F4833" t="str">
        <f>IF(D4833="","",INDEX(Knutepunkter!$B:$B,D4833+1))</f>
        <v/>
      </c>
      <c r="G4833" t="str">
        <f>IF(D4833="","",INDEX(Knutepunkter!$C:$C,D4833+1))</f>
        <v/>
      </c>
      <c r="H4833" t="str">
        <f>IF(D4833="","",INDEX(Knutepunkter!$D:$D,D4833+1))</f>
        <v/>
      </c>
      <c r="I4833" t="str">
        <f>IF(E4833="","",INDEX(Knutepunkter!$B:$B,E4833+1))</f>
        <v/>
      </c>
      <c r="J4833" t="str">
        <f>IF(E4833="","",INDEX(Knutepunkter!$C:$C,E4833+1))</f>
        <v/>
      </c>
      <c r="K4833" t="str">
        <f>IF(E4833="","",INDEX(Knutepunkter!$D:$D,E4833+1))</f>
        <v/>
      </c>
      <c r="L4833" t="str">
        <f t="shared" si="378"/>
        <v/>
      </c>
      <c r="M4833" t="str">
        <f t="shared" si="379"/>
        <v/>
      </c>
    </row>
    <row r="4834" spans="1:13" x14ac:dyDescent="0.3">
      <c r="A4834" t="str">
        <f>Segmenter!A4834</f>
        <v/>
      </c>
      <c r="B4834" t="str">
        <f>Segmenter!B4834</f>
        <v/>
      </c>
      <c r="C4834" t="str">
        <f t="shared" si="375"/>
        <v/>
      </c>
      <c r="D4834" t="str">
        <f t="shared" si="376"/>
        <v/>
      </c>
      <c r="E4834" t="str">
        <f t="shared" si="377"/>
        <v/>
      </c>
      <c r="F4834" t="str">
        <f>IF(D4834="","",INDEX(Knutepunkter!$B:$B,D4834+1))</f>
        <v/>
      </c>
      <c r="G4834" t="str">
        <f>IF(D4834="","",INDEX(Knutepunkter!$C:$C,D4834+1))</f>
        <v/>
      </c>
      <c r="H4834" t="str">
        <f>IF(D4834="","",INDEX(Knutepunkter!$D:$D,D4834+1))</f>
        <v/>
      </c>
      <c r="I4834" t="str">
        <f>IF(E4834="","",INDEX(Knutepunkter!$B:$B,E4834+1))</f>
        <v/>
      </c>
      <c r="J4834" t="str">
        <f>IF(E4834="","",INDEX(Knutepunkter!$C:$C,E4834+1))</f>
        <v/>
      </c>
      <c r="K4834" t="str">
        <f>IF(E4834="","",INDEX(Knutepunkter!$D:$D,E4834+1))</f>
        <v/>
      </c>
      <c r="L4834" t="str">
        <f t="shared" si="378"/>
        <v/>
      </c>
      <c r="M4834" t="str">
        <f t="shared" si="379"/>
        <v/>
      </c>
    </row>
    <row r="4835" spans="1:13" x14ac:dyDescent="0.3">
      <c r="A4835" t="str">
        <f>Segmenter!A4835</f>
        <v/>
      </c>
      <c r="B4835" t="str">
        <f>Segmenter!B4835</f>
        <v/>
      </c>
      <c r="C4835" t="str">
        <f t="shared" si="375"/>
        <v/>
      </c>
      <c r="D4835" t="str">
        <f t="shared" si="376"/>
        <v/>
      </c>
      <c r="E4835" t="str">
        <f t="shared" si="377"/>
        <v/>
      </c>
      <c r="F4835" t="str">
        <f>IF(D4835="","",INDEX(Knutepunkter!$B:$B,D4835+1))</f>
        <v/>
      </c>
      <c r="G4835" t="str">
        <f>IF(D4835="","",INDEX(Knutepunkter!$C:$C,D4835+1))</f>
        <v/>
      </c>
      <c r="H4835" t="str">
        <f>IF(D4835="","",INDEX(Knutepunkter!$D:$D,D4835+1))</f>
        <v/>
      </c>
      <c r="I4835" t="str">
        <f>IF(E4835="","",INDEX(Knutepunkter!$B:$B,E4835+1))</f>
        <v/>
      </c>
      <c r="J4835" t="str">
        <f>IF(E4835="","",INDEX(Knutepunkter!$C:$C,E4835+1))</f>
        <v/>
      </c>
      <c r="K4835" t="str">
        <f>IF(E4835="","",INDEX(Knutepunkter!$D:$D,E4835+1))</f>
        <v/>
      </c>
      <c r="L4835" t="str">
        <f t="shared" si="378"/>
        <v/>
      </c>
      <c r="M4835" t="str">
        <f t="shared" si="379"/>
        <v/>
      </c>
    </row>
    <row r="4836" spans="1:13" x14ac:dyDescent="0.3">
      <c r="A4836" t="str">
        <f>Segmenter!A4836</f>
        <v/>
      </c>
      <c r="B4836" t="str">
        <f>Segmenter!B4836</f>
        <v/>
      </c>
      <c r="C4836" t="str">
        <f t="shared" si="375"/>
        <v/>
      </c>
      <c r="D4836" t="str">
        <f t="shared" si="376"/>
        <v/>
      </c>
      <c r="E4836" t="str">
        <f t="shared" si="377"/>
        <v/>
      </c>
      <c r="F4836" t="str">
        <f>IF(D4836="","",INDEX(Knutepunkter!$B:$B,D4836+1))</f>
        <v/>
      </c>
      <c r="G4836" t="str">
        <f>IF(D4836="","",INDEX(Knutepunkter!$C:$C,D4836+1))</f>
        <v/>
      </c>
      <c r="H4836" t="str">
        <f>IF(D4836="","",INDEX(Knutepunkter!$D:$D,D4836+1))</f>
        <v/>
      </c>
      <c r="I4836" t="str">
        <f>IF(E4836="","",INDEX(Knutepunkter!$B:$B,E4836+1))</f>
        <v/>
      </c>
      <c r="J4836" t="str">
        <f>IF(E4836="","",INDEX(Knutepunkter!$C:$C,E4836+1))</f>
        <v/>
      </c>
      <c r="K4836" t="str">
        <f>IF(E4836="","",INDEX(Knutepunkter!$D:$D,E4836+1))</f>
        <v/>
      </c>
      <c r="L4836" t="str">
        <f t="shared" si="378"/>
        <v/>
      </c>
      <c r="M4836" t="str">
        <f t="shared" si="379"/>
        <v/>
      </c>
    </row>
    <row r="4837" spans="1:13" x14ac:dyDescent="0.3">
      <c r="A4837" t="str">
        <f>Segmenter!A4837</f>
        <v/>
      </c>
      <c r="B4837" t="str">
        <f>Segmenter!B4837</f>
        <v/>
      </c>
      <c r="C4837" t="str">
        <f t="shared" si="375"/>
        <v/>
      </c>
      <c r="D4837" t="str">
        <f t="shared" si="376"/>
        <v/>
      </c>
      <c r="E4837" t="str">
        <f t="shared" si="377"/>
        <v/>
      </c>
      <c r="F4837" t="str">
        <f>IF(D4837="","",INDEX(Knutepunkter!$B:$B,D4837+1))</f>
        <v/>
      </c>
      <c r="G4837" t="str">
        <f>IF(D4837="","",INDEX(Knutepunkter!$C:$C,D4837+1))</f>
        <v/>
      </c>
      <c r="H4837" t="str">
        <f>IF(D4837="","",INDEX(Knutepunkter!$D:$D,D4837+1))</f>
        <v/>
      </c>
      <c r="I4837" t="str">
        <f>IF(E4837="","",INDEX(Knutepunkter!$B:$B,E4837+1))</f>
        <v/>
      </c>
      <c r="J4837" t="str">
        <f>IF(E4837="","",INDEX(Knutepunkter!$C:$C,E4837+1))</f>
        <v/>
      </c>
      <c r="K4837" t="str">
        <f>IF(E4837="","",INDEX(Knutepunkter!$D:$D,E4837+1))</f>
        <v/>
      </c>
      <c r="L4837" t="str">
        <f t="shared" si="378"/>
        <v/>
      </c>
      <c r="M4837" t="str">
        <f t="shared" si="379"/>
        <v/>
      </c>
    </row>
    <row r="4838" spans="1:13" x14ac:dyDescent="0.3">
      <c r="A4838" t="str">
        <f>Segmenter!A4838</f>
        <v/>
      </c>
      <c r="B4838" t="str">
        <f>Segmenter!B4838</f>
        <v/>
      </c>
      <c r="C4838" t="str">
        <f t="shared" si="375"/>
        <v/>
      </c>
      <c r="D4838" t="str">
        <f t="shared" si="376"/>
        <v/>
      </c>
      <c r="E4838" t="str">
        <f t="shared" si="377"/>
        <v/>
      </c>
      <c r="F4838" t="str">
        <f>IF(D4838="","",INDEX(Knutepunkter!$B:$B,D4838+1))</f>
        <v/>
      </c>
      <c r="G4838" t="str">
        <f>IF(D4838="","",INDEX(Knutepunkter!$C:$C,D4838+1))</f>
        <v/>
      </c>
      <c r="H4838" t="str">
        <f>IF(D4838="","",INDEX(Knutepunkter!$D:$D,D4838+1))</f>
        <v/>
      </c>
      <c r="I4838" t="str">
        <f>IF(E4838="","",INDEX(Knutepunkter!$B:$B,E4838+1))</f>
        <v/>
      </c>
      <c r="J4838" t="str">
        <f>IF(E4838="","",INDEX(Knutepunkter!$C:$C,E4838+1))</f>
        <v/>
      </c>
      <c r="K4838" t="str">
        <f>IF(E4838="","",INDEX(Knutepunkter!$D:$D,E4838+1))</f>
        <v/>
      </c>
      <c r="L4838" t="str">
        <f t="shared" si="378"/>
        <v/>
      </c>
      <c r="M4838" t="str">
        <f t="shared" si="379"/>
        <v/>
      </c>
    </row>
    <row r="4839" spans="1:13" x14ac:dyDescent="0.3">
      <c r="A4839" t="str">
        <f>Segmenter!A4839</f>
        <v/>
      </c>
      <c r="B4839" t="str">
        <f>Segmenter!B4839</f>
        <v/>
      </c>
      <c r="C4839" t="str">
        <f t="shared" si="375"/>
        <v/>
      </c>
      <c r="D4839" t="str">
        <f t="shared" si="376"/>
        <v/>
      </c>
      <c r="E4839" t="str">
        <f t="shared" si="377"/>
        <v/>
      </c>
      <c r="F4839" t="str">
        <f>IF(D4839="","",INDEX(Knutepunkter!$B:$B,D4839+1))</f>
        <v/>
      </c>
      <c r="G4839" t="str">
        <f>IF(D4839="","",INDEX(Knutepunkter!$C:$C,D4839+1))</f>
        <v/>
      </c>
      <c r="H4839" t="str">
        <f>IF(D4839="","",INDEX(Knutepunkter!$D:$D,D4839+1))</f>
        <v/>
      </c>
      <c r="I4839" t="str">
        <f>IF(E4839="","",INDEX(Knutepunkter!$B:$B,E4839+1))</f>
        <v/>
      </c>
      <c r="J4839" t="str">
        <f>IF(E4839="","",INDEX(Knutepunkter!$C:$C,E4839+1))</f>
        <v/>
      </c>
      <c r="K4839" t="str">
        <f>IF(E4839="","",INDEX(Knutepunkter!$D:$D,E4839+1))</f>
        <v/>
      </c>
      <c r="L4839" t="str">
        <f t="shared" si="378"/>
        <v/>
      </c>
      <c r="M4839" t="str">
        <f t="shared" si="379"/>
        <v/>
      </c>
    </row>
    <row r="4840" spans="1:13" x14ac:dyDescent="0.3">
      <c r="A4840" t="str">
        <f>Segmenter!A4840</f>
        <v/>
      </c>
      <c r="B4840" t="str">
        <f>Segmenter!B4840</f>
        <v/>
      </c>
      <c r="C4840" t="str">
        <f t="shared" si="375"/>
        <v/>
      </c>
      <c r="D4840" t="str">
        <f t="shared" si="376"/>
        <v/>
      </c>
      <c r="E4840" t="str">
        <f t="shared" si="377"/>
        <v/>
      </c>
      <c r="F4840" t="str">
        <f>IF(D4840="","",INDEX(Knutepunkter!$B:$B,D4840+1))</f>
        <v/>
      </c>
      <c r="G4840" t="str">
        <f>IF(D4840="","",INDEX(Knutepunkter!$C:$C,D4840+1))</f>
        <v/>
      </c>
      <c r="H4840" t="str">
        <f>IF(D4840="","",INDEX(Knutepunkter!$D:$D,D4840+1))</f>
        <v/>
      </c>
      <c r="I4840" t="str">
        <f>IF(E4840="","",INDEX(Knutepunkter!$B:$B,E4840+1))</f>
        <v/>
      </c>
      <c r="J4840" t="str">
        <f>IF(E4840="","",INDEX(Knutepunkter!$C:$C,E4840+1))</f>
        <v/>
      </c>
      <c r="K4840" t="str">
        <f>IF(E4840="","",INDEX(Knutepunkter!$D:$D,E4840+1))</f>
        <v/>
      </c>
      <c r="L4840" t="str">
        <f t="shared" si="378"/>
        <v/>
      </c>
      <c r="M4840" t="str">
        <f t="shared" si="379"/>
        <v/>
      </c>
    </row>
    <row r="4841" spans="1:13" x14ac:dyDescent="0.3">
      <c r="A4841" t="str">
        <f>Segmenter!A4841</f>
        <v/>
      </c>
      <c r="B4841" t="str">
        <f>Segmenter!B4841</f>
        <v/>
      </c>
      <c r="C4841" t="str">
        <f t="shared" si="375"/>
        <v/>
      </c>
      <c r="D4841" t="str">
        <f t="shared" si="376"/>
        <v/>
      </c>
      <c r="E4841" t="str">
        <f t="shared" si="377"/>
        <v/>
      </c>
      <c r="F4841" t="str">
        <f>IF(D4841="","",INDEX(Knutepunkter!$B:$B,D4841+1))</f>
        <v/>
      </c>
      <c r="G4841" t="str">
        <f>IF(D4841="","",INDEX(Knutepunkter!$C:$C,D4841+1))</f>
        <v/>
      </c>
      <c r="H4841" t="str">
        <f>IF(D4841="","",INDEX(Knutepunkter!$D:$D,D4841+1))</f>
        <v/>
      </c>
      <c r="I4841" t="str">
        <f>IF(E4841="","",INDEX(Knutepunkter!$B:$B,E4841+1))</f>
        <v/>
      </c>
      <c r="J4841" t="str">
        <f>IF(E4841="","",INDEX(Knutepunkter!$C:$C,E4841+1))</f>
        <v/>
      </c>
      <c r="K4841" t="str">
        <f>IF(E4841="","",INDEX(Knutepunkter!$D:$D,E4841+1))</f>
        <v/>
      </c>
      <c r="L4841" t="str">
        <f t="shared" si="378"/>
        <v/>
      </c>
      <c r="M4841" t="str">
        <f t="shared" si="379"/>
        <v/>
      </c>
    </row>
    <row r="4842" spans="1:13" x14ac:dyDescent="0.3">
      <c r="A4842" t="str">
        <f>Segmenter!A4842</f>
        <v/>
      </c>
      <c r="B4842" t="str">
        <f>Segmenter!B4842</f>
        <v/>
      </c>
      <c r="C4842" t="str">
        <f t="shared" si="375"/>
        <v/>
      </c>
      <c r="D4842" t="str">
        <f t="shared" si="376"/>
        <v/>
      </c>
      <c r="E4842" t="str">
        <f t="shared" si="377"/>
        <v/>
      </c>
      <c r="F4842" t="str">
        <f>IF(D4842="","",INDEX(Knutepunkter!$B:$B,D4842+1))</f>
        <v/>
      </c>
      <c r="G4842" t="str">
        <f>IF(D4842="","",INDEX(Knutepunkter!$C:$C,D4842+1))</f>
        <v/>
      </c>
      <c r="H4842" t="str">
        <f>IF(D4842="","",INDEX(Knutepunkter!$D:$D,D4842+1))</f>
        <v/>
      </c>
      <c r="I4842" t="str">
        <f>IF(E4842="","",INDEX(Knutepunkter!$B:$B,E4842+1))</f>
        <v/>
      </c>
      <c r="J4842" t="str">
        <f>IF(E4842="","",INDEX(Knutepunkter!$C:$C,E4842+1))</f>
        <v/>
      </c>
      <c r="K4842" t="str">
        <f>IF(E4842="","",INDEX(Knutepunkter!$D:$D,E4842+1))</f>
        <v/>
      </c>
      <c r="L4842" t="str">
        <f t="shared" si="378"/>
        <v/>
      </c>
      <c r="M4842" t="str">
        <f t="shared" si="379"/>
        <v/>
      </c>
    </row>
    <row r="4843" spans="1:13" x14ac:dyDescent="0.3">
      <c r="A4843" t="str">
        <f>Segmenter!A4843</f>
        <v/>
      </c>
      <c r="B4843" t="str">
        <f>Segmenter!B4843</f>
        <v/>
      </c>
      <c r="C4843" t="str">
        <f t="shared" si="375"/>
        <v/>
      </c>
      <c r="D4843" t="str">
        <f t="shared" si="376"/>
        <v/>
      </c>
      <c r="E4843" t="str">
        <f t="shared" si="377"/>
        <v/>
      </c>
      <c r="F4843" t="str">
        <f>IF(D4843="","",INDEX(Knutepunkter!$B:$B,D4843+1))</f>
        <v/>
      </c>
      <c r="G4843" t="str">
        <f>IF(D4843="","",INDEX(Knutepunkter!$C:$C,D4843+1))</f>
        <v/>
      </c>
      <c r="H4843" t="str">
        <f>IF(D4843="","",INDEX(Knutepunkter!$D:$D,D4843+1))</f>
        <v/>
      </c>
      <c r="I4843" t="str">
        <f>IF(E4843="","",INDEX(Knutepunkter!$B:$B,E4843+1))</f>
        <v/>
      </c>
      <c r="J4843" t="str">
        <f>IF(E4843="","",INDEX(Knutepunkter!$C:$C,E4843+1))</f>
        <v/>
      </c>
      <c r="K4843" t="str">
        <f>IF(E4843="","",INDEX(Knutepunkter!$D:$D,E4843+1))</f>
        <v/>
      </c>
      <c r="L4843" t="str">
        <f t="shared" si="378"/>
        <v/>
      </c>
      <c r="M4843" t="str">
        <f t="shared" si="379"/>
        <v/>
      </c>
    </row>
    <row r="4844" spans="1:13" x14ac:dyDescent="0.3">
      <c r="A4844" t="str">
        <f>Segmenter!A4844</f>
        <v/>
      </c>
      <c r="B4844" t="str">
        <f>Segmenter!B4844</f>
        <v/>
      </c>
      <c r="C4844" t="str">
        <f t="shared" si="375"/>
        <v/>
      </c>
      <c r="D4844" t="str">
        <f t="shared" si="376"/>
        <v/>
      </c>
      <c r="E4844" t="str">
        <f t="shared" si="377"/>
        <v/>
      </c>
      <c r="F4844" t="str">
        <f>IF(D4844="","",INDEX(Knutepunkter!$B:$B,D4844+1))</f>
        <v/>
      </c>
      <c r="G4844" t="str">
        <f>IF(D4844="","",INDEX(Knutepunkter!$C:$C,D4844+1))</f>
        <v/>
      </c>
      <c r="H4844" t="str">
        <f>IF(D4844="","",INDEX(Knutepunkter!$D:$D,D4844+1))</f>
        <v/>
      </c>
      <c r="I4844" t="str">
        <f>IF(E4844="","",INDEX(Knutepunkter!$B:$B,E4844+1))</f>
        <v/>
      </c>
      <c r="J4844" t="str">
        <f>IF(E4844="","",INDEX(Knutepunkter!$C:$C,E4844+1))</f>
        <v/>
      </c>
      <c r="K4844" t="str">
        <f>IF(E4844="","",INDEX(Knutepunkter!$D:$D,E4844+1))</f>
        <v/>
      </c>
      <c r="L4844" t="str">
        <f t="shared" si="378"/>
        <v/>
      </c>
      <c r="M4844" t="str">
        <f t="shared" si="379"/>
        <v/>
      </c>
    </row>
    <row r="4845" spans="1:13" x14ac:dyDescent="0.3">
      <c r="A4845" t="str">
        <f>Segmenter!A4845</f>
        <v/>
      </c>
      <c r="B4845" t="str">
        <f>Segmenter!B4845</f>
        <v/>
      </c>
      <c r="C4845" t="str">
        <f t="shared" si="375"/>
        <v/>
      </c>
      <c r="D4845" t="str">
        <f t="shared" si="376"/>
        <v/>
      </c>
      <c r="E4845" t="str">
        <f t="shared" si="377"/>
        <v/>
      </c>
      <c r="F4845" t="str">
        <f>IF(D4845="","",INDEX(Knutepunkter!$B:$B,D4845+1))</f>
        <v/>
      </c>
      <c r="G4845" t="str">
        <f>IF(D4845="","",INDEX(Knutepunkter!$C:$C,D4845+1))</f>
        <v/>
      </c>
      <c r="H4845" t="str">
        <f>IF(D4845="","",INDEX(Knutepunkter!$D:$D,D4845+1))</f>
        <v/>
      </c>
      <c r="I4845" t="str">
        <f>IF(E4845="","",INDEX(Knutepunkter!$B:$B,E4845+1))</f>
        <v/>
      </c>
      <c r="J4845" t="str">
        <f>IF(E4845="","",INDEX(Knutepunkter!$C:$C,E4845+1))</f>
        <v/>
      </c>
      <c r="K4845" t="str">
        <f>IF(E4845="","",INDEX(Knutepunkter!$D:$D,E4845+1))</f>
        <v/>
      </c>
      <c r="L4845" t="str">
        <f t="shared" si="378"/>
        <v/>
      </c>
      <c r="M4845" t="str">
        <f t="shared" si="379"/>
        <v/>
      </c>
    </row>
    <row r="4846" spans="1:13" x14ac:dyDescent="0.3">
      <c r="A4846" t="str">
        <f>Segmenter!A4846</f>
        <v/>
      </c>
      <c r="B4846" t="str">
        <f>Segmenter!B4846</f>
        <v/>
      </c>
      <c r="C4846" t="str">
        <f t="shared" si="375"/>
        <v/>
      </c>
      <c r="D4846" t="str">
        <f t="shared" si="376"/>
        <v/>
      </c>
      <c r="E4846" t="str">
        <f t="shared" si="377"/>
        <v/>
      </c>
      <c r="F4846" t="str">
        <f>IF(D4846="","",INDEX(Knutepunkter!$B:$B,D4846+1))</f>
        <v/>
      </c>
      <c r="G4846" t="str">
        <f>IF(D4846="","",INDEX(Knutepunkter!$C:$C,D4846+1))</f>
        <v/>
      </c>
      <c r="H4846" t="str">
        <f>IF(D4846="","",INDEX(Knutepunkter!$D:$D,D4846+1))</f>
        <v/>
      </c>
      <c r="I4846" t="str">
        <f>IF(E4846="","",INDEX(Knutepunkter!$B:$B,E4846+1))</f>
        <v/>
      </c>
      <c r="J4846" t="str">
        <f>IF(E4846="","",INDEX(Knutepunkter!$C:$C,E4846+1))</f>
        <v/>
      </c>
      <c r="K4846" t="str">
        <f>IF(E4846="","",INDEX(Knutepunkter!$D:$D,E4846+1))</f>
        <v/>
      </c>
      <c r="L4846" t="str">
        <f t="shared" si="378"/>
        <v/>
      </c>
      <c r="M4846" t="str">
        <f t="shared" si="379"/>
        <v/>
      </c>
    </row>
    <row r="4847" spans="1:13" x14ac:dyDescent="0.3">
      <c r="A4847" t="str">
        <f>Segmenter!A4847</f>
        <v/>
      </c>
      <c r="B4847" t="str">
        <f>Segmenter!B4847</f>
        <v/>
      </c>
      <c r="C4847" t="str">
        <f t="shared" si="375"/>
        <v/>
      </c>
      <c r="D4847" t="str">
        <f t="shared" si="376"/>
        <v/>
      </c>
      <c r="E4847" t="str">
        <f t="shared" si="377"/>
        <v/>
      </c>
      <c r="F4847" t="str">
        <f>IF(D4847="","",INDEX(Knutepunkter!$B:$B,D4847+1))</f>
        <v/>
      </c>
      <c r="G4847" t="str">
        <f>IF(D4847="","",INDEX(Knutepunkter!$C:$C,D4847+1))</f>
        <v/>
      </c>
      <c r="H4847" t="str">
        <f>IF(D4847="","",INDEX(Knutepunkter!$D:$D,D4847+1))</f>
        <v/>
      </c>
      <c r="I4847" t="str">
        <f>IF(E4847="","",INDEX(Knutepunkter!$B:$B,E4847+1))</f>
        <v/>
      </c>
      <c r="J4847" t="str">
        <f>IF(E4847="","",INDEX(Knutepunkter!$C:$C,E4847+1))</f>
        <v/>
      </c>
      <c r="K4847" t="str">
        <f>IF(E4847="","",INDEX(Knutepunkter!$D:$D,E4847+1))</f>
        <v/>
      </c>
      <c r="L4847" t="str">
        <f t="shared" si="378"/>
        <v/>
      </c>
      <c r="M4847" t="str">
        <f t="shared" si="379"/>
        <v/>
      </c>
    </row>
    <row r="4848" spans="1:13" x14ac:dyDescent="0.3">
      <c r="A4848" t="str">
        <f>Segmenter!A4848</f>
        <v/>
      </c>
      <c r="B4848" t="str">
        <f>Segmenter!B4848</f>
        <v/>
      </c>
      <c r="C4848" t="str">
        <f t="shared" si="375"/>
        <v/>
      </c>
      <c r="D4848" t="str">
        <f t="shared" si="376"/>
        <v/>
      </c>
      <c r="E4848" t="str">
        <f t="shared" si="377"/>
        <v/>
      </c>
      <c r="F4848" t="str">
        <f>IF(D4848="","",INDEX(Knutepunkter!$B:$B,D4848+1))</f>
        <v/>
      </c>
      <c r="G4848" t="str">
        <f>IF(D4848="","",INDEX(Knutepunkter!$C:$C,D4848+1))</f>
        <v/>
      </c>
      <c r="H4848" t="str">
        <f>IF(D4848="","",INDEX(Knutepunkter!$D:$D,D4848+1))</f>
        <v/>
      </c>
      <c r="I4848" t="str">
        <f>IF(E4848="","",INDEX(Knutepunkter!$B:$B,E4848+1))</f>
        <v/>
      </c>
      <c r="J4848" t="str">
        <f>IF(E4848="","",INDEX(Knutepunkter!$C:$C,E4848+1))</f>
        <v/>
      </c>
      <c r="K4848" t="str">
        <f>IF(E4848="","",INDEX(Knutepunkter!$D:$D,E4848+1))</f>
        <v/>
      </c>
      <c r="L4848" t="str">
        <f t="shared" si="378"/>
        <v/>
      </c>
      <c r="M4848" t="str">
        <f t="shared" si="379"/>
        <v/>
      </c>
    </row>
    <row r="4849" spans="1:13" x14ac:dyDescent="0.3">
      <c r="A4849" t="str">
        <f>Segmenter!A4849</f>
        <v/>
      </c>
      <c r="B4849" t="str">
        <f>Segmenter!B4849</f>
        <v/>
      </c>
      <c r="C4849" t="str">
        <f t="shared" si="375"/>
        <v/>
      </c>
      <c r="D4849" t="str">
        <f t="shared" si="376"/>
        <v/>
      </c>
      <c r="E4849" t="str">
        <f t="shared" si="377"/>
        <v/>
      </c>
      <c r="F4849" t="str">
        <f>IF(D4849="","",INDEX(Knutepunkter!$B:$B,D4849+1))</f>
        <v/>
      </c>
      <c r="G4849" t="str">
        <f>IF(D4849="","",INDEX(Knutepunkter!$C:$C,D4849+1))</f>
        <v/>
      </c>
      <c r="H4849" t="str">
        <f>IF(D4849="","",INDEX(Knutepunkter!$D:$D,D4849+1))</f>
        <v/>
      </c>
      <c r="I4849" t="str">
        <f>IF(E4849="","",INDEX(Knutepunkter!$B:$B,E4849+1))</f>
        <v/>
      </c>
      <c r="J4849" t="str">
        <f>IF(E4849="","",INDEX(Knutepunkter!$C:$C,E4849+1))</f>
        <v/>
      </c>
      <c r="K4849" t="str">
        <f>IF(E4849="","",INDEX(Knutepunkter!$D:$D,E4849+1))</f>
        <v/>
      </c>
      <c r="L4849" t="str">
        <f t="shared" si="378"/>
        <v/>
      </c>
      <c r="M4849" t="str">
        <f t="shared" si="379"/>
        <v/>
      </c>
    </row>
    <row r="4850" spans="1:13" x14ac:dyDescent="0.3">
      <c r="A4850" t="str">
        <f>Segmenter!A4850</f>
        <v/>
      </c>
      <c r="B4850" t="str">
        <f>Segmenter!B4850</f>
        <v/>
      </c>
      <c r="C4850" t="str">
        <f t="shared" si="375"/>
        <v/>
      </c>
      <c r="D4850" t="str">
        <f t="shared" si="376"/>
        <v/>
      </c>
      <c r="E4850" t="str">
        <f t="shared" si="377"/>
        <v/>
      </c>
      <c r="F4850" t="str">
        <f>IF(D4850="","",INDEX(Knutepunkter!$B:$B,D4850+1))</f>
        <v/>
      </c>
      <c r="G4850" t="str">
        <f>IF(D4850="","",INDEX(Knutepunkter!$C:$C,D4850+1))</f>
        <v/>
      </c>
      <c r="H4850" t="str">
        <f>IF(D4850="","",INDEX(Knutepunkter!$D:$D,D4850+1))</f>
        <v/>
      </c>
      <c r="I4850" t="str">
        <f>IF(E4850="","",INDEX(Knutepunkter!$B:$B,E4850+1))</f>
        <v/>
      </c>
      <c r="J4850" t="str">
        <f>IF(E4850="","",INDEX(Knutepunkter!$C:$C,E4850+1))</f>
        <v/>
      </c>
      <c r="K4850" t="str">
        <f>IF(E4850="","",INDEX(Knutepunkter!$D:$D,E4850+1))</f>
        <v/>
      </c>
      <c r="L4850" t="str">
        <f t="shared" si="378"/>
        <v/>
      </c>
      <c r="M4850" t="str">
        <f t="shared" si="379"/>
        <v/>
      </c>
    </row>
    <row r="4851" spans="1:13" x14ac:dyDescent="0.3">
      <c r="A4851" t="str">
        <f>Segmenter!A4851</f>
        <v/>
      </c>
      <c r="B4851" t="str">
        <f>Segmenter!B4851</f>
        <v/>
      </c>
      <c r="C4851" t="str">
        <f t="shared" si="375"/>
        <v/>
      </c>
      <c r="D4851" t="str">
        <f t="shared" si="376"/>
        <v/>
      </c>
      <c r="E4851" t="str">
        <f t="shared" si="377"/>
        <v/>
      </c>
      <c r="F4851" t="str">
        <f>IF(D4851="","",INDEX(Knutepunkter!$B:$B,D4851+1))</f>
        <v/>
      </c>
      <c r="G4851" t="str">
        <f>IF(D4851="","",INDEX(Knutepunkter!$C:$C,D4851+1))</f>
        <v/>
      </c>
      <c r="H4851" t="str">
        <f>IF(D4851="","",INDEX(Knutepunkter!$D:$D,D4851+1))</f>
        <v/>
      </c>
      <c r="I4851" t="str">
        <f>IF(E4851="","",INDEX(Knutepunkter!$B:$B,E4851+1))</f>
        <v/>
      </c>
      <c r="J4851" t="str">
        <f>IF(E4851="","",INDEX(Knutepunkter!$C:$C,E4851+1))</f>
        <v/>
      </c>
      <c r="K4851" t="str">
        <f>IF(E4851="","",INDEX(Knutepunkter!$D:$D,E4851+1))</f>
        <v/>
      </c>
      <c r="L4851" t="str">
        <f t="shared" si="378"/>
        <v/>
      </c>
      <c r="M4851" t="str">
        <f t="shared" si="379"/>
        <v/>
      </c>
    </row>
    <row r="4852" spans="1:13" x14ac:dyDescent="0.3">
      <c r="A4852" t="str">
        <f>Segmenter!A4852</f>
        <v/>
      </c>
      <c r="B4852" t="str">
        <f>Segmenter!B4852</f>
        <v/>
      </c>
      <c r="C4852" t="str">
        <f t="shared" si="375"/>
        <v/>
      </c>
      <c r="D4852" t="str">
        <f t="shared" si="376"/>
        <v/>
      </c>
      <c r="E4852" t="str">
        <f t="shared" si="377"/>
        <v/>
      </c>
      <c r="F4852" t="str">
        <f>IF(D4852="","",INDEX(Knutepunkter!$B:$B,D4852+1))</f>
        <v/>
      </c>
      <c r="G4852" t="str">
        <f>IF(D4852="","",INDEX(Knutepunkter!$C:$C,D4852+1))</f>
        <v/>
      </c>
      <c r="H4852" t="str">
        <f>IF(D4852="","",INDEX(Knutepunkter!$D:$D,D4852+1))</f>
        <v/>
      </c>
      <c r="I4852" t="str">
        <f>IF(E4852="","",INDEX(Knutepunkter!$B:$B,E4852+1))</f>
        <v/>
      </c>
      <c r="J4852" t="str">
        <f>IF(E4852="","",INDEX(Knutepunkter!$C:$C,E4852+1))</f>
        <v/>
      </c>
      <c r="K4852" t="str">
        <f>IF(E4852="","",INDEX(Knutepunkter!$D:$D,E4852+1))</f>
        <v/>
      </c>
      <c r="L4852" t="str">
        <f t="shared" si="378"/>
        <v/>
      </c>
      <c r="M4852" t="str">
        <f t="shared" si="379"/>
        <v/>
      </c>
    </row>
    <row r="4853" spans="1:13" x14ac:dyDescent="0.3">
      <c r="A4853" t="str">
        <f>Segmenter!A4853</f>
        <v/>
      </c>
      <c r="B4853" t="str">
        <f>Segmenter!B4853</f>
        <v/>
      </c>
      <c r="C4853" t="str">
        <f t="shared" si="375"/>
        <v/>
      </c>
      <c r="D4853" t="str">
        <f t="shared" si="376"/>
        <v/>
      </c>
      <c r="E4853" t="str">
        <f t="shared" si="377"/>
        <v/>
      </c>
      <c r="F4853" t="str">
        <f>IF(D4853="","",INDEX(Knutepunkter!$B:$B,D4853+1))</f>
        <v/>
      </c>
      <c r="G4853" t="str">
        <f>IF(D4853="","",INDEX(Knutepunkter!$C:$C,D4853+1))</f>
        <v/>
      </c>
      <c r="H4853" t="str">
        <f>IF(D4853="","",INDEX(Knutepunkter!$D:$D,D4853+1))</f>
        <v/>
      </c>
      <c r="I4853" t="str">
        <f>IF(E4853="","",INDEX(Knutepunkter!$B:$B,E4853+1))</f>
        <v/>
      </c>
      <c r="J4853" t="str">
        <f>IF(E4853="","",INDEX(Knutepunkter!$C:$C,E4853+1))</f>
        <v/>
      </c>
      <c r="K4853" t="str">
        <f>IF(E4853="","",INDEX(Knutepunkter!$D:$D,E4853+1))</f>
        <v/>
      </c>
      <c r="L4853" t="str">
        <f t="shared" si="378"/>
        <v/>
      </c>
      <c r="M4853" t="str">
        <f t="shared" si="379"/>
        <v/>
      </c>
    </row>
    <row r="4854" spans="1:13" x14ac:dyDescent="0.3">
      <c r="A4854" t="str">
        <f>Segmenter!A4854</f>
        <v/>
      </c>
      <c r="B4854" t="str">
        <f>Segmenter!B4854</f>
        <v/>
      </c>
      <c r="C4854" t="str">
        <f t="shared" si="375"/>
        <v/>
      </c>
      <c r="D4854" t="str">
        <f t="shared" si="376"/>
        <v/>
      </c>
      <c r="E4854" t="str">
        <f t="shared" si="377"/>
        <v/>
      </c>
      <c r="F4854" t="str">
        <f>IF(D4854="","",INDEX(Knutepunkter!$B:$B,D4854+1))</f>
        <v/>
      </c>
      <c r="G4854" t="str">
        <f>IF(D4854="","",INDEX(Knutepunkter!$C:$C,D4854+1))</f>
        <v/>
      </c>
      <c r="H4854" t="str">
        <f>IF(D4854="","",INDEX(Knutepunkter!$D:$D,D4854+1))</f>
        <v/>
      </c>
      <c r="I4854" t="str">
        <f>IF(E4854="","",INDEX(Knutepunkter!$B:$B,E4854+1))</f>
        <v/>
      </c>
      <c r="J4854" t="str">
        <f>IF(E4854="","",INDEX(Knutepunkter!$C:$C,E4854+1))</f>
        <v/>
      </c>
      <c r="K4854" t="str">
        <f>IF(E4854="","",INDEX(Knutepunkter!$D:$D,E4854+1))</f>
        <v/>
      </c>
      <c r="L4854" t="str">
        <f t="shared" si="378"/>
        <v/>
      </c>
      <c r="M4854" t="str">
        <f t="shared" si="379"/>
        <v/>
      </c>
    </row>
    <row r="4855" spans="1:13" x14ac:dyDescent="0.3">
      <c r="A4855" t="str">
        <f>Segmenter!A4855</f>
        <v/>
      </c>
      <c r="B4855" t="str">
        <f>Segmenter!B4855</f>
        <v/>
      </c>
      <c r="C4855" t="str">
        <f t="shared" si="375"/>
        <v/>
      </c>
      <c r="D4855" t="str">
        <f t="shared" si="376"/>
        <v/>
      </c>
      <c r="E4855" t="str">
        <f t="shared" si="377"/>
        <v/>
      </c>
      <c r="F4855" t="str">
        <f>IF(D4855="","",INDEX(Knutepunkter!$B:$B,D4855+1))</f>
        <v/>
      </c>
      <c r="G4855" t="str">
        <f>IF(D4855="","",INDEX(Knutepunkter!$C:$C,D4855+1))</f>
        <v/>
      </c>
      <c r="H4855" t="str">
        <f>IF(D4855="","",INDEX(Knutepunkter!$D:$D,D4855+1))</f>
        <v/>
      </c>
      <c r="I4855" t="str">
        <f>IF(E4855="","",INDEX(Knutepunkter!$B:$B,E4855+1))</f>
        <v/>
      </c>
      <c r="J4855" t="str">
        <f>IF(E4855="","",INDEX(Knutepunkter!$C:$C,E4855+1))</f>
        <v/>
      </c>
      <c r="K4855" t="str">
        <f>IF(E4855="","",INDEX(Knutepunkter!$D:$D,E4855+1))</f>
        <v/>
      </c>
      <c r="L4855" t="str">
        <f t="shared" si="378"/>
        <v/>
      </c>
      <c r="M4855" t="str">
        <f t="shared" si="379"/>
        <v/>
      </c>
    </row>
    <row r="4856" spans="1:13" x14ac:dyDescent="0.3">
      <c r="A4856" t="str">
        <f>Segmenter!A4856</f>
        <v/>
      </c>
      <c r="B4856" t="str">
        <f>Segmenter!B4856</f>
        <v/>
      </c>
      <c r="C4856" t="str">
        <f t="shared" si="375"/>
        <v/>
      </c>
      <c r="D4856" t="str">
        <f t="shared" si="376"/>
        <v/>
      </c>
      <c r="E4856" t="str">
        <f t="shared" si="377"/>
        <v/>
      </c>
      <c r="F4856" t="str">
        <f>IF(D4856="","",INDEX(Knutepunkter!$B:$B,D4856+1))</f>
        <v/>
      </c>
      <c r="G4856" t="str">
        <f>IF(D4856="","",INDEX(Knutepunkter!$C:$C,D4856+1))</f>
        <v/>
      </c>
      <c r="H4856" t="str">
        <f>IF(D4856="","",INDEX(Knutepunkter!$D:$D,D4856+1))</f>
        <v/>
      </c>
      <c r="I4856" t="str">
        <f>IF(E4856="","",INDEX(Knutepunkter!$B:$B,E4856+1))</f>
        <v/>
      </c>
      <c r="J4856" t="str">
        <f>IF(E4856="","",INDEX(Knutepunkter!$C:$C,E4856+1))</f>
        <v/>
      </c>
      <c r="K4856" t="str">
        <f>IF(E4856="","",INDEX(Knutepunkter!$D:$D,E4856+1))</f>
        <v/>
      </c>
      <c r="L4856" t="str">
        <f t="shared" si="378"/>
        <v/>
      </c>
      <c r="M4856" t="str">
        <f t="shared" si="379"/>
        <v/>
      </c>
    </row>
    <row r="4857" spans="1:13" x14ac:dyDescent="0.3">
      <c r="A4857" t="str">
        <f>Segmenter!A4857</f>
        <v/>
      </c>
      <c r="B4857" t="str">
        <f>Segmenter!B4857</f>
        <v/>
      </c>
      <c r="C4857" t="str">
        <f t="shared" si="375"/>
        <v/>
      </c>
      <c r="D4857" t="str">
        <f t="shared" si="376"/>
        <v/>
      </c>
      <c r="E4857" t="str">
        <f t="shared" si="377"/>
        <v/>
      </c>
      <c r="F4857" t="str">
        <f>IF(D4857="","",INDEX(Knutepunkter!$B:$B,D4857+1))</f>
        <v/>
      </c>
      <c r="G4857" t="str">
        <f>IF(D4857="","",INDEX(Knutepunkter!$C:$C,D4857+1))</f>
        <v/>
      </c>
      <c r="H4857" t="str">
        <f>IF(D4857="","",INDEX(Knutepunkter!$D:$D,D4857+1))</f>
        <v/>
      </c>
      <c r="I4857" t="str">
        <f>IF(E4857="","",INDEX(Knutepunkter!$B:$B,E4857+1))</f>
        <v/>
      </c>
      <c r="J4857" t="str">
        <f>IF(E4857="","",INDEX(Knutepunkter!$C:$C,E4857+1))</f>
        <v/>
      </c>
      <c r="K4857" t="str">
        <f>IF(E4857="","",INDEX(Knutepunkter!$D:$D,E4857+1))</f>
        <v/>
      </c>
      <c r="L4857" t="str">
        <f t="shared" si="378"/>
        <v/>
      </c>
      <c r="M4857" t="str">
        <f t="shared" si="379"/>
        <v/>
      </c>
    </row>
    <row r="4858" spans="1:13" x14ac:dyDescent="0.3">
      <c r="A4858" t="str">
        <f>Segmenter!A4858</f>
        <v/>
      </c>
      <c r="B4858" t="str">
        <f>Segmenter!B4858</f>
        <v/>
      </c>
      <c r="C4858" t="str">
        <f t="shared" si="375"/>
        <v/>
      </c>
      <c r="D4858" t="str">
        <f t="shared" si="376"/>
        <v/>
      </c>
      <c r="E4858" t="str">
        <f t="shared" si="377"/>
        <v/>
      </c>
      <c r="F4858" t="str">
        <f>IF(D4858="","",INDEX(Knutepunkter!$B:$B,D4858+1))</f>
        <v/>
      </c>
      <c r="G4858" t="str">
        <f>IF(D4858="","",INDEX(Knutepunkter!$C:$C,D4858+1))</f>
        <v/>
      </c>
      <c r="H4858" t="str">
        <f>IF(D4858="","",INDEX(Knutepunkter!$D:$D,D4858+1))</f>
        <v/>
      </c>
      <c r="I4858" t="str">
        <f>IF(E4858="","",INDEX(Knutepunkter!$B:$B,E4858+1))</f>
        <v/>
      </c>
      <c r="J4858" t="str">
        <f>IF(E4858="","",INDEX(Knutepunkter!$C:$C,E4858+1))</f>
        <v/>
      </c>
      <c r="K4858" t="str">
        <f>IF(E4858="","",INDEX(Knutepunkter!$D:$D,E4858+1))</f>
        <v/>
      </c>
      <c r="L4858" t="str">
        <f t="shared" si="378"/>
        <v/>
      </c>
      <c r="M4858" t="str">
        <f t="shared" si="379"/>
        <v/>
      </c>
    </row>
    <row r="4859" spans="1:13" x14ac:dyDescent="0.3">
      <c r="A4859" t="str">
        <f>Segmenter!A4859</f>
        <v/>
      </c>
      <c r="B4859" t="str">
        <f>Segmenter!B4859</f>
        <v/>
      </c>
      <c r="C4859" t="str">
        <f t="shared" si="375"/>
        <v/>
      </c>
      <c r="D4859" t="str">
        <f t="shared" si="376"/>
        <v/>
      </c>
      <c r="E4859" t="str">
        <f t="shared" si="377"/>
        <v/>
      </c>
      <c r="F4859" t="str">
        <f>IF(D4859="","",INDEX(Knutepunkter!$B:$B,D4859+1))</f>
        <v/>
      </c>
      <c r="G4859" t="str">
        <f>IF(D4859="","",INDEX(Knutepunkter!$C:$C,D4859+1))</f>
        <v/>
      </c>
      <c r="H4859" t="str">
        <f>IF(D4859="","",INDEX(Knutepunkter!$D:$D,D4859+1))</f>
        <v/>
      </c>
      <c r="I4859" t="str">
        <f>IF(E4859="","",INDEX(Knutepunkter!$B:$B,E4859+1))</f>
        <v/>
      </c>
      <c r="J4859" t="str">
        <f>IF(E4859="","",INDEX(Knutepunkter!$C:$C,E4859+1))</f>
        <v/>
      </c>
      <c r="K4859" t="str">
        <f>IF(E4859="","",INDEX(Knutepunkter!$D:$D,E4859+1))</f>
        <v/>
      </c>
      <c r="L4859" t="str">
        <f t="shared" si="378"/>
        <v/>
      </c>
      <c r="M4859" t="str">
        <f t="shared" si="379"/>
        <v/>
      </c>
    </row>
    <row r="4860" spans="1:13" x14ac:dyDescent="0.3">
      <c r="A4860" t="str">
        <f>Segmenter!A4860</f>
        <v/>
      </c>
      <c r="B4860" t="str">
        <f>Segmenter!B4860</f>
        <v/>
      </c>
      <c r="C4860" t="str">
        <f t="shared" si="375"/>
        <v/>
      </c>
      <c r="D4860" t="str">
        <f t="shared" si="376"/>
        <v/>
      </c>
      <c r="E4860" t="str">
        <f t="shared" si="377"/>
        <v/>
      </c>
      <c r="F4860" t="str">
        <f>IF(D4860="","",INDEX(Knutepunkter!$B:$B,D4860+1))</f>
        <v/>
      </c>
      <c r="G4860" t="str">
        <f>IF(D4860="","",INDEX(Knutepunkter!$C:$C,D4860+1))</f>
        <v/>
      </c>
      <c r="H4860" t="str">
        <f>IF(D4860="","",INDEX(Knutepunkter!$D:$D,D4860+1))</f>
        <v/>
      </c>
      <c r="I4860" t="str">
        <f>IF(E4860="","",INDEX(Knutepunkter!$B:$B,E4860+1))</f>
        <v/>
      </c>
      <c r="J4860" t="str">
        <f>IF(E4860="","",INDEX(Knutepunkter!$C:$C,E4860+1))</f>
        <v/>
      </c>
      <c r="K4860" t="str">
        <f>IF(E4860="","",INDEX(Knutepunkter!$D:$D,E4860+1))</f>
        <v/>
      </c>
      <c r="L4860" t="str">
        <f t="shared" si="378"/>
        <v/>
      </c>
      <c r="M4860" t="str">
        <f t="shared" si="379"/>
        <v/>
      </c>
    </row>
    <row r="4861" spans="1:13" x14ac:dyDescent="0.3">
      <c r="A4861" t="str">
        <f>Segmenter!A4861</f>
        <v/>
      </c>
      <c r="B4861" t="str">
        <f>Segmenter!B4861</f>
        <v/>
      </c>
      <c r="C4861" t="str">
        <f t="shared" si="375"/>
        <v/>
      </c>
      <c r="D4861" t="str">
        <f t="shared" si="376"/>
        <v/>
      </c>
      <c r="E4861" t="str">
        <f t="shared" si="377"/>
        <v/>
      </c>
      <c r="F4861" t="str">
        <f>IF(D4861="","",INDEX(Knutepunkter!$B:$B,D4861+1))</f>
        <v/>
      </c>
      <c r="G4861" t="str">
        <f>IF(D4861="","",INDEX(Knutepunkter!$C:$C,D4861+1))</f>
        <v/>
      </c>
      <c r="H4861" t="str">
        <f>IF(D4861="","",INDEX(Knutepunkter!$D:$D,D4861+1))</f>
        <v/>
      </c>
      <c r="I4861" t="str">
        <f>IF(E4861="","",INDEX(Knutepunkter!$B:$B,E4861+1))</f>
        <v/>
      </c>
      <c r="J4861" t="str">
        <f>IF(E4861="","",INDEX(Knutepunkter!$C:$C,E4861+1))</f>
        <v/>
      </c>
      <c r="K4861" t="str">
        <f>IF(E4861="","",INDEX(Knutepunkter!$D:$D,E4861+1))</f>
        <v/>
      </c>
      <c r="L4861" t="str">
        <f t="shared" si="378"/>
        <v/>
      </c>
      <c r="M4861" t="str">
        <f t="shared" si="379"/>
        <v/>
      </c>
    </row>
    <row r="4862" spans="1:13" x14ac:dyDescent="0.3">
      <c r="A4862" t="str">
        <f>Segmenter!A4862</f>
        <v/>
      </c>
      <c r="B4862" t="str">
        <f>Segmenter!B4862</f>
        <v/>
      </c>
      <c r="C4862" t="str">
        <f t="shared" si="375"/>
        <v/>
      </c>
      <c r="D4862" t="str">
        <f t="shared" si="376"/>
        <v/>
      </c>
      <c r="E4862" t="str">
        <f t="shared" si="377"/>
        <v/>
      </c>
      <c r="F4862" t="str">
        <f>IF(D4862="","",INDEX(Knutepunkter!$B:$B,D4862+1))</f>
        <v/>
      </c>
      <c r="G4862" t="str">
        <f>IF(D4862="","",INDEX(Knutepunkter!$C:$C,D4862+1))</f>
        <v/>
      </c>
      <c r="H4862" t="str">
        <f>IF(D4862="","",INDEX(Knutepunkter!$D:$D,D4862+1))</f>
        <v/>
      </c>
      <c r="I4862" t="str">
        <f>IF(E4862="","",INDEX(Knutepunkter!$B:$B,E4862+1))</f>
        <v/>
      </c>
      <c r="J4862" t="str">
        <f>IF(E4862="","",INDEX(Knutepunkter!$C:$C,E4862+1))</f>
        <v/>
      </c>
      <c r="K4862" t="str">
        <f>IF(E4862="","",INDEX(Knutepunkter!$D:$D,E4862+1))</f>
        <v/>
      </c>
      <c r="L4862" t="str">
        <f t="shared" si="378"/>
        <v/>
      </c>
      <c r="M4862" t="str">
        <f t="shared" si="379"/>
        <v/>
      </c>
    </row>
    <row r="4863" spans="1:13" x14ac:dyDescent="0.3">
      <c r="A4863" t="str">
        <f>Segmenter!A4863</f>
        <v/>
      </c>
      <c r="B4863" t="str">
        <f>Segmenter!B4863</f>
        <v/>
      </c>
      <c r="C4863" t="str">
        <f t="shared" si="375"/>
        <v/>
      </c>
      <c r="D4863" t="str">
        <f t="shared" si="376"/>
        <v/>
      </c>
      <c r="E4863" t="str">
        <f t="shared" si="377"/>
        <v/>
      </c>
      <c r="F4863" t="str">
        <f>IF(D4863="","",INDEX(Knutepunkter!$B:$B,D4863+1))</f>
        <v/>
      </c>
      <c r="G4863" t="str">
        <f>IF(D4863="","",INDEX(Knutepunkter!$C:$C,D4863+1))</f>
        <v/>
      </c>
      <c r="H4863" t="str">
        <f>IF(D4863="","",INDEX(Knutepunkter!$D:$D,D4863+1))</f>
        <v/>
      </c>
      <c r="I4863" t="str">
        <f>IF(E4863="","",INDEX(Knutepunkter!$B:$B,E4863+1))</f>
        <v/>
      </c>
      <c r="J4863" t="str">
        <f>IF(E4863="","",INDEX(Knutepunkter!$C:$C,E4863+1))</f>
        <v/>
      </c>
      <c r="K4863" t="str">
        <f>IF(E4863="","",INDEX(Knutepunkter!$D:$D,E4863+1))</f>
        <v/>
      </c>
      <c r="L4863" t="str">
        <f t="shared" si="378"/>
        <v/>
      </c>
      <c r="M4863" t="str">
        <f t="shared" si="379"/>
        <v/>
      </c>
    </row>
    <row r="4864" spans="1:13" x14ac:dyDescent="0.3">
      <c r="A4864" t="str">
        <f>Segmenter!A4864</f>
        <v/>
      </c>
      <c r="B4864" t="str">
        <f>Segmenter!B4864</f>
        <v/>
      </c>
      <c r="C4864" t="str">
        <f t="shared" si="375"/>
        <v/>
      </c>
      <c r="D4864" t="str">
        <f t="shared" si="376"/>
        <v/>
      </c>
      <c r="E4864" t="str">
        <f t="shared" si="377"/>
        <v/>
      </c>
      <c r="F4864" t="str">
        <f>IF(D4864="","",INDEX(Knutepunkter!$B:$B,D4864+1))</f>
        <v/>
      </c>
      <c r="G4864" t="str">
        <f>IF(D4864="","",INDEX(Knutepunkter!$C:$C,D4864+1))</f>
        <v/>
      </c>
      <c r="H4864" t="str">
        <f>IF(D4864="","",INDEX(Knutepunkter!$D:$D,D4864+1))</f>
        <v/>
      </c>
      <c r="I4864" t="str">
        <f>IF(E4864="","",INDEX(Knutepunkter!$B:$B,E4864+1))</f>
        <v/>
      </c>
      <c r="J4864" t="str">
        <f>IF(E4864="","",INDEX(Knutepunkter!$C:$C,E4864+1))</f>
        <v/>
      </c>
      <c r="K4864" t="str">
        <f>IF(E4864="","",INDEX(Knutepunkter!$D:$D,E4864+1))</f>
        <v/>
      </c>
      <c r="L4864" t="str">
        <f t="shared" si="378"/>
        <v/>
      </c>
      <c r="M4864" t="str">
        <f t="shared" si="379"/>
        <v/>
      </c>
    </row>
    <row r="4865" spans="1:13" x14ac:dyDescent="0.3">
      <c r="A4865" t="str">
        <f>Segmenter!A4865</f>
        <v/>
      </c>
      <c r="B4865" t="str">
        <f>Segmenter!B4865</f>
        <v/>
      </c>
      <c r="C4865" t="str">
        <f t="shared" si="375"/>
        <v/>
      </c>
      <c r="D4865" t="str">
        <f t="shared" si="376"/>
        <v/>
      </c>
      <c r="E4865" t="str">
        <f t="shared" si="377"/>
        <v/>
      </c>
      <c r="F4865" t="str">
        <f>IF(D4865="","",INDEX(Knutepunkter!$B:$B,D4865+1))</f>
        <v/>
      </c>
      <c r="G4865" t="str">
        <f>IF(D4865="","",INDEX(Knutepunkter!$C:$C,D4865+1))</f>
        <v/>
      </c>
      <c r="H4865" t="str">
        <f>IF(D4865="","",INDEX(Knutepunkter!$D:$D,D4865+1))</f>
        <v/>
      </c>
      <c r="I4865" t="str">
        <f>IF(E4865="","",INDEX(Knutepunkter!$B:$B,E4865+1))</f>
        <v/>
      </c>
      <c r="J4865" t="str">
        <f>IF(E4865="","",INDEX(Knutepunkter!$C:$C,E4865+1))</f>
        <v/>
      </c>
      <c r="K4865" t="str">
        <f>IF(E4865="","",INDEX(Knutepunkter!$D:$D,E4865+1))</f>
        <v/>
      </c>
      <c r="L4865" t="str">
        <f t="shared" si="378"/>
        <v/>
      </c>
      <c r="M4865" t="str">
        <f t="shared" si="379"/>
        <v/>
      </c>
    </row>
    <row r="4866" spans="1:13" x14ac:dyDescent="0.3">
      <c r="A4866" t="str">
        <f>Segmenter!A4866</f>
        <v/>
      </c>
      <c r="B4866" t="str">
        <f>Segmenter!B4866</f>
        <v/>
      </c>
      <c r="C4866" t="str">
        <f t="shared" ref="C4866:C4929" si="380">IF(B4866="","",IF(AND(F4866=I4866,G4866=J4866,H4866&lt;&gt;K4866),"Søyle","Bjelke"))</f>
        <v/>
      </c>
      <c r="D4866" t="str">
        <f t="shared" ref="D4866:D4929" si="381">IF(B4866="","",VALUE(LEFT(B4866,FIND(" -&gt; ",B4866)-1)))</f>
        <v/>
      </c>
      <c r="E4866" t="str">
        <f t="shared" ref="E4866:E4929" si="382">IF(B4866="","",VALUE(MID(B4866,FIND(" -&gt; ",B4866)+4,99)))</f>
        <v/>
      </c>
      <c r="F4866" t="str">
        <f>IF(D4866="","",INDEX(Knutepunkter!$B:$B,D4866+1))</f>
        <v/>
      </c>
      <c r="G4866" t="str">
        <f>IF(D4866="","",INDEX(Knutepunkter!$C:$C,D4866+1))</f>
        <v/>
      </c>
      <c r="H4866" t="str">
        <f>IF(D4866="","",INDEX(Knutepunkter!$D:$D,D4866+1))</f>
        <v/>
      </c>
      <c r="I4866" t="str">
        <f>IF(E4866="","",INDEX(Knutepunkter!$B:$B,E4866+1))</f>
        <v/>
      </c>
      <c r="J4866" t="str">
        <f>IF(E4866="","",INDEX(Knutepunkter!$C:$C,E4866+1))</f>
        <v/>
      </c>
      <c r="K4866" t="str">
        <f>IF(E4866="","",INDEX(Knutepunkter!$D:$D,E4866+1))</f>
        <v/>
      </c>
      <c r="L4866" t="str">
        <f t="shared" ref="L4866:L4929" si="383">IF(B4866="","",SQRT((I4866-F4866)^2+(J4866-G4866)^2+(K4866-H4866)^2))</f>
        <v/>
      </c>
      <c r="M4866" t="str">
        <f t="shared" ref="M4866:M4929" si="384">IF(L4866="","",L4866/1000)</f>
        <v/>
      </c>
    </row>
    <row r="4867" spans="1:13" x14ac:dyDescent="0.3">
      <c r="A4867" t="str">
        <f>Segmenter!A4867</f>
        <v/>
      </c>
      <c r="B4867" t="str">
        <f>Segmenter!B4867</f>
        <v/>
      </c>
      <c r="C4867" t="str">
        <f t="shared" si="380"/>
        <v/>
      </c>
      <c r="D4867" t="str">
        <f t="shared" si="381"/>
        <v/>
      </c>
      <c r="E4867" t="str">
        <f t="shared" si="382"/>
        <v/>
      </c>
      <c r="F4867" t="str">
        <f>IF(D4867="","",INDEX(Knutepunkter!$B:$B,D4867+1))</f>
        <v/>
      </c>
      <c r="G4867" t="str">
        <f>IF(D4867="","",INDEX(Knutepunkter!$C:$C,D4867+1))</f>
        <v/>
      </c>
      <c r="H4867" t="str">
        <f>IF(D4867="","",INDEX(Knutepunkter!$D:$D,D4867+1))</f>
        <v/>
      </c>
      <c r="I4867" t="str">
        <f>IF(E4867="","",INDEX(Knutepunkter!$B:$B,E4867+1))</f>
        <v/>
      </c>
      <c r="J4867" t="str">
        <f>IF(E4867="","",INDEX(Knutepunkter!$C:$C,E4867+1))</f>
        <v/>
      </c>
      <c r="K4867" t="str">
        <f>IF(E4867="","",INDEX(Knutepunkter!$D:$D,E4867+1))</f>
        <v/>
      </c>
      <c r="L4867" t="str">
        <f t="shared" si="383"/>
        <v/>
      </c>
      <c r="M4867" t="str">
        <f t="shared" si="384"/>
        <v/>
      </c>
    </row>
    <row r="4868" spans="1:13" x14ac:dyDescent="0.3">
      <c r="A4868" t="str">
        <f>Segmenter!A4868</f>
        <v/>
      </c>
      <c r="B4868" t="str">
        <f>Segmenter!B4868</f>
        <v/>
      </c>
      <c r="C4868" t="str">
        <f t="shared" si="380"/>
        <v/>
      </c>
      <c r="D4868" t="str">
        <f t="shared" si="381"/>
        <v/>
      </c>
      <c r="E4868" t="str">
        <f t="shared" si="382"/>
        <v/>
      </c>
      <c r="F4868" t="str">
        <f>IF(D4868="","",INDEX(Knutepunkter!$B:$B,D4868+1))</f>
        <v/>
      </c>
      <c r="G4868" t="str">
        <f>IF(D4868="","",INDEX(Knutepunkter!$C:$C,D4868+1))</f>
        <v/>
      </c>
      <c r="H4868" t="str">
        <f>IF(D4868="","",INDEX(Knutepunkter!$D:$D,D4868+1))</f>
        <v/>
      </c>
      <c r="I4868" t="str">
        <f>IF(E4868="","",INDEX(Knutepunkter!$B:$B,E4868+1))</f>
        <v/>
      </c>
      <c r="J4868" t="str">
        <f>IF(E4868="","",INDEX(Knutepunkter!$C:$C,E4868+1))</f>
        <v/>
      </c>
      <c r="K4868" t="str">
        <f>IF(E4868="","",INDEX(Knutepunkter!$D:$D,E4868+1))</f>
        <v/>
      </c>
      <c r="L4868" t="str">
        <f t="shared" si="383"/>
        <v/>
      </c>
      <c r="M4868" t="str">
        <f t="shared" si="384"/>
        <v/>
      </c>
    </row>
    <row r="4869" spans="1:13" x14ac:dyDescent="0.3">
      <c r="A4869" t="str">
        <f>Segmenter!A4869</f>
        <v/>
      </c>
      <c r="B4869" t="str">
        <f>Segmenter!B4869</f>
        <v/>
      </c>
      <c r="C4869" t="str">
        <f t="shared" si="380"/>
        <v/>
      </c>
      <c r="D4869" t="str">
        <f t="shared" si="381"/>
        <v/>
      </c>
      <c r="E4869" t="str">
        <f t="shared" si="382"/>
        <v/>
      </c>
      <c r="F4869" t="str">
        <f>IF(D4869="","",INDEX(Knutepunkter!$B:$B,D4869+1))</f>
        <v/>
      </c>
      <c r="G4869" t="str">
        <f>IF(D4869="","",INDEX(Knutepunkter!$C:$C,D4869+1))</f>
        <v/>
      </c>
      <c r="H4869" t="str">
        <f>IF(D4869="","",INDEX(Knutepunkter!$D:$D,D4869+1))</f>
        <v/>
      </c>
      <c r="I4869" t="str">
        <f>IF(E4869="","",INDEX(Knutepunkter!$B:$B,E4869+1))</f>
        <v/>
      </c>
      <c r="J4869" t="str">
        <f>IF(E4869="","",INDEX(Knutepunkter!$C:$C,E4869+1))</f>
        <v/>
      </c>
      <c r="K4869" t="str">
        <f>IF(E4869="","",INDEX(Knutepunkter!$D:$D,E4869+1))</f>
        <v/>
      </c>
      <c r="L4869" t="str">
        <f t="shared" si="383"/>
        <v/>
      </c>
      <c r="M4869" t="str">
        <f t="shared" si="384"/>
        <v/>
      </c>
    </row>
    <row r="4870" spans="1:13" x14ac:dyDescent="0.3">
      <c r="A4870" t="str">
        <f>Segmenter!A4870</f>
        <v/>
      </c>
      <c r="B4870" t="str">
        <f>Segmenter!B4870</f>
        <v/>
      </c>
      <c r="C4870" t="str">
        <f t="shared" si="380"/>
        <v/>
      </c>
      <c r="D4870" t="str">
        <f t="shared" si="381"/>
        <v/>
      </c>
      <c r="E4870" t="str">
        <f t="shared" si="382"/>
        <v/>
      </c>
      <c r="F4870" t="str">
        <f>IF(D4870="","",INDEX(Knutepunkter!$B:$B,D4870+1))</f>
        <v/>
      </c>
      <c r="G4870" t="str">
        <f>IF(D4870="","",INDEX(Knutepunkter!$C:$C,D4870+1))</f>
        <v/>
      </c>
      <c r="H4870" t="str">
        <f>IF(D4870="","",INDEX(Knutepunkter!$D:$D,D4870+1))</f>
        <v/>
      </c>
      <c r="I4870" t="str">
        <f>IF(E4870="","",INDEX(Knutepunkter!$B:$B,E4870+1))</f>
        <v/>
      </c>
      <c r="J4870" t="str">
        <f>IF(E4870="","",INDEX(Knutepunkter!$C:$C,E4870+1))</f>
        <v/>
      </c>
      <c r="K4870" t="str">
        <f>IF(E4870="","",INDEX(Knutepunkter!$D:$D,E4870+1))</f>
        <v/>
      </c>
      <c r="L4870" t="str">
        <f t="shared" si="383"/>
        <v/>
      </c>
      <c r="M4870" t="str">
        <f t="shared" si="384"/>
        <v/>
      </c>
    </row>
    <row r="4871" spans="1:13" x14ac:dyDescent="0.3">
      <c r="A4871" t="str">
        <f>Segmenter!A4871</f>
        <v/>
      </c>
      <c r="B4871" t="str">
        <f>Segmenter!B4871</f>
        <v/>
      </c>
      <c r="C4871" t="str">
        <f t="shared" si="380"/>
        <v/>
      </c>
      <c r="D4871" t="str">
        <f t="shared" si="381"/>
        <v/>
      </c>
      <c r="E4871" t="str">
        <f t="shared" si="382"/>
        <v/>
      </c>
      <c r="F4871" t="str">
        <f>IF(D4871="","",INDEX(Knutepunkter!$B:$B,D4871+1))</f>
        <v/>
      </c>
      <c r="G4871" t="str">
        <f>IF(D4871="","",INDEX(Knutepunkter!$C:$C,D4871+1))</f>
        <v/>
      </c>
      <c r="H4871" t="str">
        <f>IF(D4871="","",INDEX(Knutepunkter!$D:$D,D4871+1))</f>
        <v/>
      </c>
      <c r="I4871" t="str">
        <f>IF(E4871="","",INDEX(Knutepunkter!$B:$B,E4871+1))</f>
        <v/>
      </c>
      <c r="J4871" t="str">
        <f>IF(E4871="","",INDEX(Knutepunkter!$C:$C,E4871+1))</f>
        <v/>
      </c>
      <c r="K4871" t="str">
        <f>IF(E4871="","",INDEX(Knutepunkter!$D:$D,E4871+1))</f>
        <v/>
      </c>
      <c r="L4871" t="str">
        <f t="shared" si="383"/>
        <v/>
      </c>
      <c r="M4871" t="str">
        <f t="shared" si="384"/>
        <v/>
      </c>
    </row>
    <row r="4872" spans="1:13" x14ac:dyDescent="0.3">
      <c r="A4872" t="str">
        <f>Segmenter!A4872</f>
        <v/>
      </c>
      <c r="B4872" t="str">
        <f>Segmenter!B4872</f>
        <v/>
      </c>
      <c r="C4872" t="str">
        <f t="shared" si="380"/>
        <v/>
      </c>
      <c r="D4872" t="str">
        <f t="shared" si="381"/>
        <v/>
      </c>
      <c r="E4872" t="str">
        <f t="shared" si="382"/>
        <v/>
      </c>
      <c r="F4872" t="str">
        <f>IF(D4872="","",INDEX(Knutepunkter!$B:$B,D4872+1))</f>
        <v/>
      </c>
      <c r="G4872" t="str">
        <f>IF(D4872="","",INDEX(Knutepunkter!$C:$C,D4872+1))</f>
        <v/>
      </c>
      <c r="H4872" t="str">
        <f>IF(D4872="","",INDEX(Knutepunkter!$D:$D,D4872+1))</f>
        <v/>
      </c>
      <c r="I4872" t="str">
        <f>IF(E4872="","",INDEX(Knutepunkter!$B:$B,E4872+1))</f>
        <v/>
      </c>
      <c r="J4872" t="str">
        <f>IF(E4872="","",INDEX(Knutepunkter!$C:$C,E4872+1))</f>
        <v/>
      </c>
      <c r="K4872" t="str">
        <f>IF(E4872="","",INDEX(Knutepunkter!$D:$D,E4872+1))</f>
        <v/>
      </c>
      <c r="L4872" t="str">
        <f t="shared" si="383"/>
        <v/>
      </c>
      <c r="M4872" t="str">
        <f t="shared" si="384"/>
        <v/>
      </c>
    </row>
    <row r="4873" spans="1:13" x14ac:dyDescent="0.3">
      <c r="A4873" t="str">
        <f>Segmenter!A4873</f>
        <v/>
      </c>
      <c r="B4873" t="str">
        <f>Segmenter!B4873</f>
        <v/>
      </c>
      <c r="C4873" t="str">
        <f t="shared" si="380"/>
        <v/>
      </c>
      <c r="D4873" t="str">
        <f t="shared" si="381"/>
        <v/>
      </c>
      <c r="E4873" t="str">
        <f t="shared" si="382"/>
        <v/>
      </c>
      <c r="F4873" t="str">
        <f>IF(D4873="","",INDEX(Knutepunkter!$B:$B,D4873+1))</f>
        <v/>
      </c>
      <c r="G4873" t="str">
        <f>IF(D4873="","",INDEX(Knutepunkter!$C:$C,D4873+1))</f>
        <v/>
      </c>
      <c r="H4873" t="str">
        <f>IF(D4873="","",INDEX(Knutepunkter!$D:$D,D4873+1))</f>
        <v/>
      </c>
      <c r="I4873" t="str">
        <f>IF(E4873="","",INDEX(Knutepunkter!$B:$B,E4873+1))</f>
        <v/>
      </c>
      <c r="J4873" t="str">
        <f>IF(E4873="","",INDEX(Knutepunkter!$C:$C,E4873+1))</f>
        <v/>
      </c>
      <c r="K4873" t="str">
        <f>IF(E4873="","",INDEX(Knutepunkter!$D:$D,E4873+1))</f>
        <v/>
      </c>
      <c r="L4873" t="str">
        <f t="shared" si="383"/>
        <v/>
      </c>
      <c r="M4873" t="str">
        <f t="shared" si="384"/>
        <v/>
      </c>
    </row>
    <row r="4874" spans="1:13" x14ac:dyDescent="0.3">
      <c r="A4874" t="str">
        <f>Segmenter!A4874</f>
        <v/>
      </c>
      <c r="B4874" t="str">
        <f>Segmenter!B4874</f>
        <v/>
      </c>
      <c r="C4874" t="str">
        <f t="shared" si="380"/>
        <v/>
      </c>
      <c r="D4874" t="str">
        <f t="shared" si="381"/>
        <v/>
      </c>
      <c r="E4874" t="str">
        <f t="shared" si="382"/>
        <v/>
      </c>
      <c r="F4874" t="str">
        <f>IF(D4874="","",INDEX(Knutepunkter!$B:$B,D4874+1))</f>
        <v/>
      </c>
      <c r="G4874" t="str">
        <f>IF(D4874="","",INDEX(Knutepunkter!$C:$C,D4874+1))</f>
        <v/>
      </c>
      <c r="H4874" t="str">
        <f>IF(D4874="","",INDEX(Knutepunkter!$D:$D,D4874+1))</f>
        <v/>
      </c>
      <c r="I4874" t="str">
        <f>IF(E4874="","",INDEX(Knutepunkter!$B:$B,E4874+1))</f>
        <v/>
      </c>
      <c r="J4874" t="str">
        <f>IF(E4874="","",INDEX(Knutepunkter!$C:$C,E4874+1))</f>
        <v/>
      </c>
      <c r="K4874" t="str">
        <f>IF(E4874="","",INDEX(Knutepunkter!$D:$D,E4874+1))</f>
        <v/>
      </c>
      <c r="L4874" t="str">
        <f t="shared" si="383"/>
        <v/>
      </c>
      <c r="M4874" t="str">
        <f t="shared" si="384"/>
        <v/>
      </c>
    </row>
    <row r="4875" spans="1:13" x14ac:dyDescent="0.3">
      <c r="A4875" t="str">
        <f>Segmenter!A4875</f>
        <v/>
      </c>
      <c r="B4875" t="str">
        <f>Segmenter!B4875</f>
        <v/>
      </c>
      <c r="C4875" t="str">
        <f t="shared" si="380"/>
        <v/>
      </c>
      <c r="D4875" t="str">
        <f t="shared" si="381"/>
        <v/>
      </c>
      <c r="E4875" t="str">
        <f t="shared" si="382"/>
        <v/>
      </c>
      <c r="F4875" t="str">
        <f>IF(D4875="","",INDEX(Knutepunkter!$B:$B,D4875+1))</f>
        <v/>
      </c>
      <c r="G4875" t="str">
        <f>IF(D4875="","",INDEX(Knutepunkter!$C:$C,D4875+1))</f>
        <v/>
      </c>
      <c r="H4875" t="str">
        <f>IF(D4875="","",INDEX(Knutepunkter!$D:$D,D4875+1))</f>
        <v/>
      </c>
      <c r="I4875" t="str">
        <f>IF(E4875="","",INDEX(Knutepunkter!$B:$B,E4875+1))</f>
        <v/>
      </c>
      <c r="J4875" t="str">
        <f>IF(E4875="","",INDEX(Knutepunkter!$C:$C,E4875+1))</f>
        <v/>
      </c>
      <c r="K4875" t="str">
        <f>IF(E4875="","",INDEX(Knutepunkter!$D:$D,E4875+1))</f>
        <v/>
      </c>
      <c r="L4875" t="str">
        <f t="shared" si="383"/>
        <v/>
      </c>
      <c r="M4875" t="str">
        <f t="shared" si="384"/>
        <v/>
      </c>
    </row>
    <row r="4876" spans="1:13" x14ac:dyDescent="0.3">
      <c r="A4876" t="str">
        <f>Segmenter!A4876</f>
        <v/>
      </c>
      <c r="B4876" t="str">
        <f>Segmenter!B4876</f>
        <v/>
      </c>
      <c r="C4876" t="str">
        <f t="shared" si="380"/>
        <v/>
      </c>
      <c r="D4876" t="str">
        <f t="shared" si="381"/>
        <v/>
      </c>
      <c r="E4876" t="str">
        <f t="shared" si="382"/>
        <v/>
      </c>
      <c r="F4876" t="str">
        <f>IF(D4876="","",INDEX(Knutepunkter!$B:$B,D4876+1))</f>
        <v/>
      </c>
      <c r="G4876" t="str">
        <f>IF(D4876="","",INDEX(Knutepunkter!$C:$C,D4876+1))</f>
        <v/>
      </c>
      <c r="H4876" t="str">
        <f>IF(D4876="","",INDEX(Knutepunkter!$D:$D,D4876+1))</f>
        <v/>
      </c>
      <c r="I4876" t="str">
        <f>IF(E4876="","",INDEX(Knutepunkter!$B:$B,E4876+1))</f>
        <v/>
      </c>
      <c r="J4876" t="str">
        <f>IF(E4876="","",INDEX(Knutepunkter!$C:$C,E4876+1))</f>
        <v/>
      </c>
      <c r="K4876" t="str">
        <f>IF(E4876="","",INDEX(Knutepunkter!$D:$D,E4876+1))</f>
        <v/>
      </c>
      <c r="L4876" t="str">
        <f t="shared" si="383"/>
        <v/>
      </c>
      <c r="M4876" t="str">
        <f t="shared" si="384"/>
        <v/>
      </c>
    </row>
    <row r="4877" spans="1:13" x14ac:dyDescent="0.3">
      <c r="A4877" t="str">
        <f>Segmenter!A4877</f>
        <v/>
      </c>
      <c r="B4877" t="str">
        <f>Segmenter!B4877</f>
        <v/>
      </c>
      <c r="C4877" t="str">
        <f t="shared" si="380"/>
        <v/>
      </c>
      <c r="D4877" t="str">
        <f t="shared" si="381"/>
        <v/>
      </c>
      <c r="E4877" t="str">
        <f t="shared" si="382"/>
        <v/>
      </c>
      <c r="F4877" t="str">
        <f>IF(D4877="","",INDEX(Knutepunkter!$B:$B,D4877+1))</f>
        <v/>
      </c>
      <c r="G4877" t="str">
        <f>IF(D4877="","",INDEX(Knutepunkter!$C:$C,D4877+1))</f>
        <v/>
      </c>
      <c r="H4877" t="str">
        <f>IF(D4877="","",INDEX(Knutepunkter!$D:$D,D4877+1))</f>
        <v/>
      </c>
      <c r="I4877" t="str">
        <f>IF(E4877="","",INDEX(Knutepunkter!$B:$B,E4877+1))</f>
        <v/>
      </c>
      <c r="J4877" t="str">
        <f>IF(E4877="","",INDEX(Knutepunkter!$C:$C,E4877+1))</f>
        <v/>
      </c>
      <c r="K4877" t="str">
        <f>IF(E4877="","",INDEX(Knutepunkter!$D:$D,E4877+1))</f>
        <v/>
      </c>
      <c r="L4877" t="str">
        <f t="shared" si="383"/>
        <v/>
      </c>
      <c r="M4877" t="str">
        <f t="shared" si="384"/>
        <v/>
      </c>
    </row>
    <row r="4878" spans="1:13" x14ac:dyDescent="0.3">
      <c r="A4878" t="str">
        <f>Segmenter!A4878</f>
        <v/>
      </c>
      <c r="B4878" t="str">
        <f>Segmenter!B4878</f>
        <v/>
      </c>
      <c r="C4878" t="str">
        <f t="shared" si="380"/>
        <v/>
      </c>
      <c r="D4878" t="str">
        <f t="shared" si="381"/>
        <v/>
      </c>
      <c r="E4878" t="str">
        <f t="shared" si="382"/>
        <v/>
      </c>
      <c r="F4878" t="str">
        <f>IF(D4878="","",INDEX(Knutepunkter!$B:$B,D4878+1))</f>
        <v/>
      </c>
      <c r="G4878" t="str">
        <f>IF(D4878="","",INDEX(Knutepunkter!$C:$C,D4878+1))</f>
        <v/>
      </c>
      <c r="H4878" t="str">
        <f>IF(D4878="","",INDEX(Knutepunkter!$D:$D,D4878+1))</f>
        <v/>
      </c>
      <c r="I4878" t="str">
        <f>IF(E4878="","",INDEX(Knutepunkter!$B:$B,E4878+1))</f>
        <v/>
      </c>
      <c r="J4878" t="str">
        <f>IF(E4878="","",INDEX(Knutepunkter!$C:$C,E4878+1))</f>
        <v/>
      </c>
      <c r="K4878" t="str">
        <f>IF(E4878="","",INDEX(Knutepunkter!$D:$D,E4878+1))</f>
        <v/>
      </c>
      <c r="L4878" t="str">
        <f t="shared" si="383"/>
        <v/>
      </c>
      <c r="M4878" t="str">
        <f t="shared" si="384"/>
        <v/>
      </c>
    </row>
    <row r="4879" spans="1:13" x14ac:dyDescent="0.3">
      <c r="A4879" t="str">
        <f>Segmenter!A4879</f>
        <v/>
      </c>
      <c r="B4879" t="str">
        <f>Segmenter!B4879</f>
        <v/>
      </c>
      <c r="C4879" t="str">
        <f t="shared" si="380"/>
        <v/>
      </c>
      <c r="D4879" t="str">
        <f t="shared" si="381"/>
        <v/>
      </c>
      <c r="E4879" t="str">
        <f t="shared" si="382"/>
        <v/>
      </c>
      <c r="F4879" t="str">
        <f>IF(D4879="","",INDEX(Knutepunkter!$B:$B,D4879+1))</f>
        <v/>
      </c>
      <c r="G4879" t="str">
        <f>IF(D4879="","",INDEX(Knutepunkter!$C:$C,D4879+1))</f>
        <v/>
      </c>
      <c r="H4879" t="str">
        <f>IF(D4879="","",INDEX(Knutepunkter!$D:$D,D4879+1))</f>
        <v/>
      </c>
      <c r="I4879" t="str">
        <f>IF(E4879="","",INDEX(Knutepunkter!$B:$B,E4879+1))</f>
        <v/>
      </c>
      <c r="J4879" t="str">
        <f>IF(E4879="","",INDEX(Knutepunkter!$C:$C,E4879+1))</f>
        <v/>
      </c>
      <c r="K4879" t="str">
        <f>IF(E4879="","",INDEX(Knutepunkter!$D:$D,E4879+1))</f>
        <v/>
      </c>
      <c r="L4879" t="str">
        <f t="shared" si="383"/>
        <v/>
      </c>
      <c r="M4879" t="str">
        <f t="shared" si="384"/>
        <v/>
      </c>
    </row>
    <row r="4880" spans="1:13" x14ac:dyDescent="0.3">
      <c r="A4880" t="str">
        <f>Segmenter!A4880</f>
        <v/>
      </c>
      <c r="B4880" t="str">
        <f>Segmenter!B4880</f>
        <v/>
      </c>
      <c r="C4880" t="str">
        <f t="shared" si="380"/>
        <v/>
      </c>
      <c r="D4880" t="str">
        <f t="shared" si="381"/>
        <v/>
      </c>
      <c r="E4880" t="str">
        <f t="shared" si="382"/>
        <v/>
      </c>
      <c r="F4880" t="str">
        <f>IF(D4880="","",INDEX(Knutepunkter!$B:$B,D4880+1))</f>
        <v/>
      </c>
      <c r="G4880" t="str">
        <f>IF(D4880="","",INDEX(Knutepunkter!$C:$C,D4880+1))</f>
        <v/>
      </c>
      <c r="H4880" t="str">
        <f>IF(D4880="","",INDEX(Knutepunkter!$D:$D,D4880+1))</f>
        <v/>
      </c>
      <c r="I4880" t="str">
        <f>IF(E4880="","",INDEX(Knutepunkter!$B:$B,E4880+1))</f>
        <v/>
      </c>
      <c r="J4880" t="str">
        <f>IF(E4880="","",INDEX(Knutepunkter!$C:$C,E4880+1))</f>
        <v/>
      </c>
      <c r="K4880" t="str">
        <f>IF(E4880="","",INDEX(Knutepunkter!$D:$D,E4880+1))</f>
        <v/>
      </c>
      <c r="L4880" t="str">
        <f t="shared" si="383"/>
        <v/>
      </c>
      <c r="M4880" t="str">
        <f t="shared" si="384"/>
        <v/>
      </c>
    </row>
    <row r="4881" spans="1:13" x14ac:dyDescent="0.3">
      <c r="A4881" t="str">
        <f>Segmenter!A4881</f>
        <v/>
      </c>
      <c r="B4881" t="str">
        <f>Segmenter!B4881</f>
        <v/>
      </c>
      <c r="C4881" t="str">
        <f t="shared" si="380"/>
        <v/>
      </c>
      <c r="D4881" t="str">
        <f t="shared" si="381"/>
        <v/>
      </c>
      <c r="E4881" t="str">
        <f t="shared" si="382"/>
        <v/>
      </c>
      <c r="F4881" t="str">
        <f>IF(D4881="","",INDEX(Knutepunkter!$B:$B,D4881+1))</f>
        <v/>
      </c>
      <c r="G4881" t="str">
        <f>IF(D4881="","",INDEX(Knutepunkter!$C:$C,D4881+1))</f>
        <v/>
      </c>
      <c r="H4881" t="str">
        <f>IF(D4881="","",INDEX(Knutepunkter!$D:$D,D4881+1))</f>
        <v/>
      </c>
      <c r="I4881" t="str">
        <f>IF(E4881="","",INDEX(Knutepunkter!$B:$B,E4881+1))</f>
        <v/>
      </c>
      <c r="J4881" t="str">
        <f>IF(E4881="","",INDEX(Knutepunkter!$C:$C,E4881+1))</f>
        <v/>
      </c>
      <c r="K4881" t="str">
        <f>IF(E4881="","",INDEX(Knutepunkter!$D:$D,E4881+1))</f>
        <v/>
      </c>
      <c r="L4881" t="str">
        <f t="shared" si="383"/>
        <v/>
      </c>
      <c r="M4881" t="str">
        <f t="shared" si="384"/>
        <v/>
      </c>
    </row>
    <row r="4882" spans="1:13" x14ac:dyDescent="0.3">
      <c r="A4882" t="str">
        <f>Segmenter!A4882</f>
        <v/>
      </c>
      <c r="B4882" t="str">
        <f>Segmenter!B4882</f>
        <v/>
      </c>
      <c r="C4882" t="str">
        <f t="shared" si="380"/>
        <v/>
      </c>
      <c r="D4882" t="str">
        <f t="shared" si="381"/>
        <v/>
      </c>
      <c r="E4882" t="str">
        <f t="shared" si="382"/>
        <v/>
      </c>
      <c r="F4882" t="str">
        <f>IF(D4882="","",INDEX(Knutepunkter!$B:$B,D4882+1))</f>
        <v/>
      </c>
      <c r="G4882" t="str">
        <f>IF(D4882="","",INDEX(Knutepunkter!$C:$C,D4882+1))</f>
        <v/>
      </c>
      <c r="H4882" t="str">
        <f>IF(D4882="","",INDEX(Knutepunkter!$D:$D,D4882+1))</f>
        <v/>
      </c>
      <c r="I4882" t="str">
        <f>IF(E4882="","",INDEX(Knutepunkter!$B:$B,E4882+1))</f>
        <v/>
      </c>
      <c r="J4882" t="str">
        <f>IF(E4882="","",INDEX(Knutepunkter!$C:$C,E4882+1))</f>
        <v/>
      </c>
      <c r="K4882" t="str">
        <f>IF(E4882="","",INDEX(Knutepunkter!$D:$D,E4882+1))</f>
        <v/>
      </c>
      <c r="L4882" t="str">
        <f t="shared" si="383"/>
        <v/>
      </c>
      <c r="M4882" t="str">
        <f t="shared" si="384"/>
        <v/>
      </c>
    </row>
    <row r="4883" spans="1:13" x14ac:dyDescent="0.3">
      <c r="A4883" t="str">
        <f>Segmenter!A4883</f>
        <v/>
      </c>
      <c r="B4883" t="str">
        <f>Segmenter!B4883</f>
        <v/>
      </c>
      <c r="C4883" t="str">
        <f t="shared" si="380"/>
        <v/>
      </c>
      <c r="D4883" t="str">
        <f t="shared" si="381"/>
        <v/>
      </c>
      <c r="E4883" t="str">
        <f t="shared" si="382"/>
        <v/>
      </c>
      <c r="F4883" t="str">
        <f>IF(D4883="","",INDEX(Knutepunkter!$B:$B,D4883+1))</f>
        <v/>
      </c>
      <c r="G4883" t="str">
        <f>IF(D4883="","",INDEX(Knutepunkter!$C:$C,D4883+1))</f>
        <v/>
      </c>
      <c r="H4883" t="str">
        <f>IF(D4883="","",INDEX(Knutepunkter!$D:$D,D4883+1))</f>
        <v/>
      </c>
      <c r="I4883" t="str">
        <f>IF(E4883="","",INDEX(Knutepunkter!$B:$B,E4883+1))</f>
        <v/>
      </c>
      <c r="J4883" t="str">
        <f>IF(E4883="","",INDEX(Knutepunkter!$C:$C,E4883+1))</f>
        <v/>
      </c>
      <c r="K4883" t="str">
        <f>IF(E4883="","",INDEX(Knutepunkter!$D:$D,E4883+1))</f>
        <v/>
      </c>
      <c r="L4883" t="str">
        <f t="shared" si="383"/>
        <v/>
      </c>
      <c r="M4883" t="str">
        <f t="shared" si="384"/>
        <v/>
      </c>
    </row>
    <row r="4884" spans="1:13" x14ac:dyDescent="0.3">
      <c r="A4884" t="str">
        <f>Segmenter!A4884</f>
        <v/>
      </c>
      <c r="B4884" t="str">
        <f>Segmenter!B4884</f>
        <v/>
      </c>
      <c r="C4884" t="str">
        <f t="shared" si="380"/>
        <v/>
      </c>
      <c r="D4884" t="str">
        <f t="shared" si="381"/>
        <v/>
      </c>
      <c r="E4884" t="str">
        <f t="shared" si="382"/>
        <v/>
      </c>
      <c r="F4884" t="str">
        <f>IF(D4884="","",INDEX(Knutepunkter!$B:$B,D4884+1))</f>
        <v/>
      </c>
      <c r="G4884" t="str">
        <f>IF(D4884="","",INDEX(Knutepunkter!$C:$C,D4884+1))</f>
        <v/>
      </c>
      <c r="H4884" t="str">
        <f>IF(D4884="","",INDEX(Knutepunkter!$D:$D,D4884+1))</f>
        <v/>
      </c>
      <c r="I4884" t="str">
        <f>IF(E4884="","",INDEX(Knutepunkter!$B:$B,E4884+1))</f>
        <v/>
      </c>
      <c r="J4884" t="str">
        <f>IF(E4884="","",INDEX(Knutepunkter!$C:$C,E4884+1))</f>
        <v/>
      </c>
      <c r="K4884" t="str">
        <f>IF(E4884="","",INDEX(Knutepunkter!$D:$D,E4884+1))</f>
        <v/>
      </c>
      <c r="L4884" t="str">
        <f t="shared" si="383"/>
        <v/>
      </c>
      <c r="M4884" t="str">
        <f t="shared" si="384"/>
        <v/>
      </c>
    </row>
    <row r="4885" spans="1:13" x14ac:dyDescent="0.3">
      <c r="A4885" t="str">
        <f>Segmenter!A4885</f>
        <v/>
      </c>
      <c r="B4885" t="str">
        <f>Segmenter!B4885</f>
        <v/>
      </c>
      <c r="C4885" t="str">
        <f t="shared" si="380"/>
        <v/>
      </c>
      <c r="D4885" t="str">
        <f t="shared" si="381"/>
        <v/>
      </c>
      <c r="E4885" t="str">
        <f t="shared" si="382"/>
        <v/>
      </c>
      <c r="F4885" t="str">
        <f>IF(D4885="","",INDEX(Knutepunkter!$B:$B,D4885+1))</f>
        <v/>
      </c>
      <c r="G4885" t="str">
        <f>IF(D4885="","",INDEX(Knutepunkter!$C:$C,D4885+1))</f>
        <v/>
      </c>
      <c r="H4885" t="str">
        <f>IF(D4885="","",INDEX(Knutepunkter!$D:$D,D4885+1))</f>
        <v/>
      </c>
      <c r="I4885" t="str">
        <f>IF(E4885="","",INDEX(Knutepunkter!$B:$B,E4885+1))</f>
        <v/>
      </c>
      <c r="J4885" t="str">
        <f>IF(E4885="","",INDEX(Knutepunkter!$C:$C,E4885+1))</f>
        <v/>
      </c>
      <c r="K4885" t="str">
        <f>IF(E4885="","",INDEX(Knutepunkter!$D:$D,E4885+1))</f>
        <v/>
      </c>
      <c r="L4885" t="str">
        <f t="shared" si="383"/>
        <v/>
      </c>
      <c r="M4885" t="str">
        <f t="shared" si="384"/>
        <v/>
      </c>
    </row>
    <row r="4886" spans="1:13" x14ac:dyDescent="0.3">
      <c r="A4886" t="str">
        <f>Segmenter!A4886</f>
        <v/>
      </c>
      <c r="B4886" t="str">
        <f>Segmenter!B4886</f>
        <v/>
      </c>
      <c r="C4886" t="str">
        <f t="shared" si="380"/>
        <v/>
      </c>
      <c r="D4886" t="str">
        <f t="shared" si="381"/>
        <v/>
      </c>
      <c r="E4886" t="str">
        <f t="shared" si="382"/>
        <v/>
      </c>
      <c r="F4886" t="str">
        <f>IF(D4886="","",INDEX(Knutepunkter!$B:$B,D4886+1))</f>
        <v/>
      </c>
      <c r="G4886" t="str">
        <f>IF(D4886="","",INDEX(Knutepunkter!$C:$C,D4886+1))</f>
        <v/>
      </c>
      <c r="H4886" t="str">
        <f>IF(D4886="","",INDEX(Knutepunkter!$D:$D,D4886+1))</f>
        <v/>
      </c>
      <c r="I4886" t="str">
        <f>IF(E4886="","",INDEX(Knutepunkter!$B:$B,E4886+1))</f>
        <v/>
      </c>
      <c r="J4886" t="str">
        <f>IF(E4886="","",INDEX(Knutepunkter!$C:$C,E4886+1))</f>
        <v/>
      </c>
      <c r="K4886" t="str">
        <f>IF(E4886="","",INDEX(Knutepunkter!$D:$D,E4886+1))</f>
        <v/>
      </c>
      <c r="L4886" t="str">
        <f t="shared" si="383"/>
        <v/>
      </c>
      <c r="M4886" t="str">
        <f t="shared" si="384"/>
        <v/>
      </c>
    </row>
    <row r="4887" spans="1:13" x14ac:dyDescent="0.3">
      <c r="A4887" t="str">
        <f>Segmenter!A4887</f>
        <v/>
      </c>
      <c r="B4887" t="str">
        <f>Segmenter!B4887</f>
        <v/>
      </c>
      <c r="C4887" t="str">
        <f t="shared" si="380"/>
        <v/>
      </c>
      <c r="D4887" t="str">
        <f t="shared" si="381"/>
        <v/>
      </c>
      <c r="E4887" t="str">
        <f t="shared" si="382"/>
        <v/>
      </c>
      <c r="F4887" t="str">
        <f>IF(D4887="","",INDEX(Knutepunkter!$B:$B,D4887+1))</f>
        <v/>
      </c>
      <c r="G4887" t="str">
        <f>IF(D4887="","",INDEX(Knutepunkter!$C:$C,D4887+1))</f>
        <v/>
      </c>
      <c r="H4887" t="str">
        <f>IF(D4887="","",INDEX(Knutepunkter!$D:$D,D4887+1))</f>
        <v/>
      </c>
      <c r="I4887" t="str">
        <f>IF(E4887="","",INDEX(Knutepunkter!$B:$B,E4887+1))</f>
        <v/>
      </c>
      <c r="J4887" t="str">
        <f>IF(E4887="","",INDEX(Knutepunkter!$C:$C,E4887+1))</f>
        <v/>
      </c>
      <c r="K4887" t="str">
        <f>IF(E4887="","",INDEX(Knutepunkter!$D:$D,E4887+1))</f>
        <v/>
      </c>
      <c r="L4887" t="str">
        <f t="shared" si="383"/>
        <v/>
      </c>
      <c r="M4887" t="str">
        <f t="shared" si="384"/>
        <v/>
      </c>
    </row>
    <row r="4888" spans="1:13" x14ac:dyDescent="0.3">
      <c r="A4888" t="str">
        <f>Segmenter!A4888</f>
        <v/>
      </c>
      <c r="B4888" t="str">
        <f>Segmenter!B4888</f>
        <v/>
      </c>
      <c r="C4888" t="str">
        <f t="shared" si="380"/>
        <v/>
      </c>
      <c r="D4888" t="str">
        <f t="shared" si="381"/>
        <v/>
      </c>
      <c r="E4888" t="str">
        <f t="shared" si="382"/>
        <v/>
      </c>
      <c r="F4888" t="str">
        <f>IF(D4888="","",INDEX(Knutepunkter!$B:$B,D4888+1))</f>
        <v/>
      </c>
      <c r="G4888" t="str">
        <f>IF(D4888="","",INDEX(Knutepunkter!$C:$C,D4888+1))</f>
        <v/>
      </c>
      <c r="H4888" t="str">
        <f>IF(D4888="","",INDEX(Knutepunkter!$D:$D,D4888+1))</f>
        <v/>
      </c>
      <c r="I4888" t="str">
        <f>IF(E4888="","",INDEX(Knutepunkter!$B:$B,E4888+1))</f>
        <v/>
      </c>
      <c r="J4888" t="str">
        <f>IF(E4888="","",INDEX(Knutepunkter!$C:$C,E4888+1))</f>
        <v/>
      </c>
      <c r="K4888" t="str">
        <f>IF(E4888="","",INDEX(Knutepunkter!$D:$D,E4888+1))</f>
        <v/>
      </c>
      <c r="L4888" t="str">
        <f t="shared" si="383"/>
        <v/>
      </c>
      <c r="M4888" t="str">
        <f t="shared" si="384"/>
        <v/>
      </c>
    </row>
    <row r="4889" spans="1:13" x14ac:dyDescent="0.3">
      <c r="A4889" t="str">
        <f>Segmenter!A4889</f>
        <v/>
      </c>
      <c r="B4889" t="str">
        <f>Segmenter!B4889</f>
        <v/>
      </c>
      <c r="C4889" t="str">
        <f t="shared" si="380"/>
        <v/>
      </c>
      <c r="D4889" t="str">
        <f t="shared" si="381"/>
        <v/>
      </c>
      <c r="E4889" t="str">
        <f t="shared" si="382"/>
        <v/>
      </c>
      <c r="F4889" t="str">
        <f>IF(D4889="","",INDEX(Knutepunkter!$B:$B,D4889+1))</f>
        <v/>
      </c>
      <c r="G4889" t="str">
        <f>IF(D4889="","",INDEX(Knutepunkter!$C:$C,D4889+1))</f>
        <v/>
      </c>
      <c r="H4889" t="str">
        <f>IF(D4889="","",INDEX(Knutepunkter!$D:$D,D4889+1))</f>
        <v/>
      </c>
      <c r="I4889" t="str">
        <f>IF(E4889="","",INDEX(Knutepunkter!$B:$B,E4889+1))</f>
        <v/>
      </c>
      <c r="J4889" t="str">
        <f>IF(E4889="","",INDEX(Knutepunkter!$C:$C,E4889+1))</f>
        <v/>
      </c>
      <c r="K4889" t="str">
        <f>IF(E4889="","",INDEX(Knutepunkter!$D:$D,E4889+1))</f>
        <v/>
      </c>
      <c r="L4889" t="str">
        <f t="shared" si="383"/>
        <v/>
      </c>
      <c r="M4889" t="str">
        <f t="shared" si="384"/>
        <v/>
      </c>
    </row>
    <row r="4890" spans="1:13" x14ac:dyDescent="0.3">
      <c r="A4890" t="str">
        <f>Segmenter!A4890</f>
        <v/>
      </c>
      <c r="B4890" t="str">
        <f>Segmenter!B4890</f>
        <v/>
      </c>
      <c r="C4890" t="str">
        <f t="shared" si="380"/>
        <v/>
      </c>
      <c r="D4890" t="str">
        <f t="shared" si="381"/>
        <v/>
      </c>
      <c r="E4890" t="str">
        <f t="shared" si="382"/>
        <v/>
      </c>
      <c r="F4890" t="str">
        <f>IF(D4890="","",INDEX(Knutepunkter!$B:$B,D4890+1))</f>
        <v/>
      </c>
      <c r="G4890" t="str">
        <f>IF(D4890="","",INDEX(Knutepunkter!$C:$C,D4890+1))</f>
        <v/>
      </c>
      <c r="H4890" t="str">
        <f>IF(D4890="","",INDEX(Knutepunkter!$D:$D,D4890+1))</f>
        <v/>
      </c>
      <c r="I4890" t="str">
        <f>IF(E4890="","",INDEX(Knutepunkter!$B:$B,E4890+1))</f>
        <v/>
      </c>
      <c r="J4890" t="str">
        <f>IF(E4890="","",INDEX(Knutepunkter!$C:$C,E4890+1))</f>
        <v/>
      </c>
      <c r="K4890" t="str">
        <f>IF(E4890="","",INDEX(Knutepunkter!$D:$D,E4890+1))</f>
        <v/>
      </c>
      <c r="L4890" t="str">
        <f t="shared" si="383"/>
        <v/>
      </c>
      <c r="M4890" t="str">
        <f t="shared" si="384"/>
        <v/>
      </c>
    </row>
    <row r="4891" spans="1:13" x14ac:dyDescent="0.3">
      <c r="A4891" t="str">
        <f>Segmenter!A4891</f>
        <v/>
      </c>
      <c r="B4891" t="str">
        <f>Segmenter!B4891</f>
        <v/>
      </c>
      <c r="C4891" t="str">
        <f t="shared" si="380"/>
        <v/>
      </c>
      <c r="D4891" t="str">
        <f t="shared" si="381"/>
        <v/>
      </c>
      <c r="E4891" t="str">
        <f t="shared" si="382"/>
        <v/>
      </c>
      <c r="F4891" t="str">
        <f>IF(D4891="","",INDEX(Knutepunkter!$B:$B,D4891+1))</f>
        <v/>
      </c>
      <c r="G4891" t="str">
        <f>IF(D4891="","",INDEX(Knutepunkter!$C:$C,D4891+1))</f>
        <v/>
      </c>
      <c r="H4891" t="str">
        <f>IF(D4891="","",INDEX(Knutepunkter!$D:$D,D4891+1))</f>
        <v/>
      </c>
      <c r="I4891" t="str">
        <f>IF(E4891="","",INDEX(Knutepunkter!$B:$B,E4891+1))</f>
        <v/>
      </c>
      <c r="J4891" t="str">
        <f>IF(E4891="","",INDEX(Knutepunkter!$C:$C,E4891+1))</f>
        <v/>
      </c>
      <c r="K4891" t="str">
        <f>IF(E4891="","",INDEX(Knutepunkter!$D:$D,E4891+1))</f>
        <v/>
      </c>
      <c r="L4891" t="str">
        <f t="shared" si="383"/>
        <v/>
      </c>
      <c r="M4891" t="str">
        <f t="shared" si="384"/>
        <v/>
      </c>
    </row>
    <row r="4892" spans="1:13" x14ac:dyDescent="0.3">
      <c r="A4892" t="str">
        <f>Segmenter!A4892</f>
        <v/>
      </c>
      <c r="B4892" t="str">
        <f>Segmenter!B4892</f>
        <v/>
      </c>
      <c r="C4892" t="str">
        <f t="shared" si="380"/>
        <v/>
      </c>
      <c r="D4892" t="str">
        <f t="shared" si="381"/>
        <v/>
      </c>
      <c r="E4892" t="str">
        <f t="shared" si="382"/>
        <v/>
      </c>
      <c r="F4892" t="str">
        <f>IF(D4892="","",INDEX(Knutepunkter!$B:$B,D4892+1))</f>
        <v/>
      </c>
      <c r="G4892" t="str">
        <f>IF(D4892="","",INDEX(Knutepunkter!$C:$C,D4892+1))</f>
        <v/>
      </c>
      <c r="H4892" t="str">
        <f>IF(D4892="","",INDEX(Knutepunkter!$D:$D,D4892+1))</f>
        <v/>
      </c>
      <c r="I4892" t="str">
        <f>IF(E4892="","",INDEX(Knutepunkter!$B:$B,E4892+1))</f>
        <v/>
      </c>
      <c r="J4892" t="str">
        <f>IF(E4892="","",INDEX(Knutepunkter!$C:$C,E4892+1))</f>
        <v/>
      </c>
      <c r="K4892" t="str">
        <f>IF(E4892="","",INDEX(Knutepunkter!$D:$D,E4892+1))</f>
        <v/>
      </c>
      <c r="L4892" t="str">
        <f t="shared" si="383"/>
        <v/>
      </c>
      <c r="M4892" t="str">
        <f t="shared" si="384"/>
        <v/>
      </c>
    </row>
    <row r="4893" spans="1:13" x14ac:dyDescent="0.3">
      <c r="A4893" t="str">
        <f>Segmenter!A4893</f>
        <v/>
      </c>
      <c r="B4893" t="str">
        <f>Segmenter!B4893</f>
        <v/>
      </c>
      <c r="C4893" t="str">
        <f t="shared" si="380"/>
        <v/>
      </c>
      <c r="D4893" t="str">
        <f t="shared" si="381"/>
        <v/>
      </c>
      <c r="E4893" t="str">
        <f t="shared" si="382"/>
        <v/>
      </c>
      <c r="F4893" t="str">
        <f>IF(D4893="","",INDEX(Knutepunkter!$B:$B,D4893+1))</f>
        <v/>
      </c>
      <c r="G4893" t="str">
        <f>IF(D4893="","",INDEX(Knutepunkter!$C:$C,D4893+1))</f>
        <v/>
      </c>
      <c r="H4893" t="str">
        <f>IF(D4893="","",INDEX(Knutepunkter!$D:$D,D4893+1))</f>
        <v/>
      </c>
      <c r="I4893" t="str">
        <f>IF(E4893="","",INDEX(Knutepunkter!$B:$B,E4893+1))</f>
        <v/>
      </c>
      <c r="J4893" t="str">
        <f>IF(E4893="","",INDEX(Knutepunkter!$C:$C,E4893+1))</f>
        <v/>
      </c>
      <c r="K4893" t="str">
        <f>IF(E4893="","",INDEX(Knutepunkter!$D:$D,E4893+1))</f>
        <v/>
      </c>
      <c r="L4893" t="str">
        <f t="shared" si="383"/>
        <v/>
      </c>
      <c r="M4893" t="str">
        <f t="shared" si="384"/>
        <v/>
      </c>
    </row>
    <row r="4894" spans="1:13" x14ac:dyDescent="0.3">
      <c r="A4894" t="str">
        <f>Segmenter!A4894</f>
        <v/>
      </c>
      <c r="B4894" t="str">
        <f>Segmenter!B4894</f>
        <v/>
      </c>
      <c r="C4894" t="str">
        <f t="shared" si="380"/>
        <v/>
      </c>
      <c r="D4894" t="str">
        <f t="shared" si="381"/>
        <v/>
      </c>
      <c r="E4894" t="str">
        <f t="shared" si="382"/>
        <v/>
      </c>
      <c r="F4894" t="str">
        <f>IF(D4894="","",INDEX(Knutepunkter!$B:$B,D4894+1))</f>
        <v/>
      </c>
      <c r="G4894" t="str">
        <f>IF(D4894="","",INDEX(Knutepunkter!$C:$C,D4894+1))</f>
        <v/>
      </c>
      <c r="H4894" t="str">
        <f>IF(D4894="","",INDEX(Knutepunkter!$D:$D,D4894+1))</f>
        <v/>
      </c>
      <c r="I4894" t="str">
        <f>IF(E4894="","",INDEX(Knutepunkter!$B:$B,E4894+1))</f>
        <v/>
      </c>
      <c r="J4894" t="str">
        <f>IF(E4894="","",INDEX(Knutepunkter!$C:$C,E4894+1))</f>
        <v/>
      </c>
      <c r="K4894" t="str">
        <f>IF(E4894="","",INDEX(Knutepunkter!$D:$D,E4894+1))</f>
        <v/>
      </c>
      <c r="L4894" t="str">
        <f t="shared" si="383"/>
        <v/>
      </c>
      <c r="M4894" t="str">
        <f t="shared" si="384"/>
        <v/>
      </c>
    </row>
    <row r="4895" spans="1:13" x14ac:dyDescent="0.3">
      <c r="A4895" t="str">
        <f>Segmenter!A4895</f>
        <v/>
      </c>
      <c r="B4895" t="str">
        <f>Segmenter!B4895</f>
        <v/>
      </c>
      <c r="C4895" t="str">
        <f t="shared" si="380"/>
        <v/>
      </c>
      <c r="D4895" t="str">
        <f t="shared" si="381"/>
        <v/>
      </c>
      <c r="E4895" t="str">
        <f t="shared" si="382"/>
        <v/>
      </c>
      <c r="F4895" t="str">
        <f>IF(D4895="","",INDEX(Knutepunkter!$B:$B,D4895+1))</f>
        <v/>
      </c>
      <c r="G4895" t="str">
        <f>IF(D4895="","",INDEX(Knutepunkter!$C:$C,D4895+1))</f>
        <v/>
      </c>
      <c r="H4895" t="str">
        <f>IF(D4895="","",INDEX(Knutepunkter!$D:$D,D4895+1))</f>
        <v/>
      </c>
      <c r="I4895" t="str">
        <f>IF(E4895="","",INDEX(Knutepunkter!$B:$B,E4895+1))</f>
        <v/>
      </c>
      <c r="J4895" t="str">
        <f>IF(E4895="","",INDEX(Knutepunkter!$C:$C,E4895+1))</f>
        <v/>
      </c>
      <c r="K4895" t="str">
        <f>IF(E4895="","",INDEX(Knutepunkter!$D:$D,E4895+1))</f>
        <v/>
      </c>
      <c r="L4895" t="str">
        <f t="shared" si="383"/>
        <v/>
      </c>
      <c r="M4895" t="str">
        <f t="shared" si="384"/>
        <v/>
      </c>
    </row>
    <row r="4896" spans="1:13" x14ac:dyDescent="0.3">
      <c r="A4896" t="str">
        <f>Segmenter!A4896</f>
        <v/>
      </c>
      <c r="B4896" t="str">
        <f>Segmenter!B4896</f>
        <v/>
      </c>
      <c r="C4896" t="str">
        <f t="shared" si="380"/>
        <v/>
      </c>
      <c r="D4896" t="str">
        <f t="shared" si="381"/>
        <v/>
      </c>
      <c r="E4896" t="str">
        <f t="shared" si="382"/>
        <v/>
      </c>
      <c r="F4896" t="str">
        <f>IF(D4896="","",INDEX(Knutepunkter!$B:$B,D4896+1))</f>
        <v/>
      </c>
      <c r="G4896" t="str">
        <f>IF(D4896="","",INDEX(Knutepunkter!$C:$C,D4896+1))</f>
        <v/>
      </c>
      <c r="H4896" t="str">
        <f>IF(D4896="","",INDEX(Knutepunkter!$D:$D,D4896+1))</f>
        <v/>
      </c>
      <c r="I4896" t="str">
        <f>IF(E4896="","",INDEX(Knutepunkter!$B:$B,E4896+1))</f>
        <v/>
      </c>
      <c r="J4896" t="str">
        <f>IF(E4896="","",INDEX(Knutepunkter!$C:$C,E4896+1))</f>
        <v/>
      </c>
      <c r="K4896" t="str">
        <f>IF(E4896="","",INDEX(Knutepunkter!$D:$D,E4896+1))</f>
        <v/>
      </c>
      <c r="L4896" t="str">
        <f t="shared" si="383"/>
        <v/>
      </c>
      <c r="M4896" t="str">
        <f t="shared" si="384"/>
        <v/>
      </c>
    </row>
    <row r="4897" spans="1:13" x14ac:dyDescent="0.3">
      <c r="A4897" t="str">
        <f>Segmenter!A4897</f>
        <v/>
      </c>
      <c r="B4897" t="str">
        <f>Segmenter!B4897</f>
        <v/>
      </c>
      <c r="C4897" t="str">
        <f t="shared" si="380"/>
        <v/>
      </c>
      <c r="D4897" t="str">
        <f t="shared" si="381"/>
        <v/>
      </c>
      <c r="E4897" t="str">
        <f t="shared" si="382"/>
        <v/>
      </c>
      <c r="F4897" t="str">
        <f>IF(D4897="","",INDEX(Knutepunkter!$B:$B,D4897+1))</f>
        <v/>
      </c>
      <c r="G4897" t="str">
        <f>IF(D4897="","",INDEX(Knutepunkter!$C:$C,D4897+1))</f>
        <v/>
      </c>
      <c r="H4897" t="str">
        <f>IF(D4897="","",INDEX(Knutepunkter!$D:$D,D4897+1))</f>
        <v/>
      </c>
      <c r="I4897" t="str">
        <f>IF(E4897="","",INDEX(Knutepunkter!$B:$B,E4897+1))</f>
        <v/>
      </c>
      <c r="J4897" t="str">
        <f>IF(E4897="","",INDEX(Knutepunkter!$C:$C,E4897+1))</f>
        <v/>
      </c>
      <c r="K4897" t="str">
        <f>IF(E4897="","",INDEX(Knutepunkter!$D:$D,E4897+1))</f>
        <v/>
      </c>
      <c r="L4897" t="str">
        <f t="shared" si="383"/>
        <v/>
      </c>
      <c r="M4897" t="str">
        <f t="shared" si="384"/>
        <v/>
      </c>
    </row>
    <row r="4898" spans="1:13" x14ac:dyDescent="0.3">
      <c r="A4898" t="str">
        <f>Segmenter!A4898</f>
        <v/>
      </c>
      <c r="B4898" t="str">
        <f>Segmenter!B4898</f>
        <v/>
      </c>
      <c r="C4898" t="str">
        <f t="shared" si="380"/>
        <v/>
      </c>
      <c r="D4898" t="str">
        <f t="shared" si="381"/>
        <v/>
      </c>
      <c r="E4898" t="str">
        <f t="shared" si="382"/>
        <v/>
      </c>
      <c r="F4898" t="str">
        <f>IF(D4898="","",INDEX(Knutepunkter!$B:$B,D4898+1))</f>
        <v/>
      </c>
      <c r="G4898" t="str">
        <f>IF(D4898="","",INDEX(Knutepunkter!$C:$C,D4898+1))</f>
        <v/>
      </c>
      <c r="H4898" t="str">
        <f>IF(D4898="","",INDEX(Knutepunkter!$D:$D,D4898+1))</f>
        <v/>
      </c>
      <c r="I4898" t="str">
        <f>IF(E4898="","",INDEX(Knutepunkter!$B:$B,E4898+1))</f>
        <v/>
      </c>
      <c r="J4898" t="str">
        <f>IF(E4898="","",INDEX(Knutepunkter!$C:$C,E4898+1))</f>
        <v/>
      </c>
      <c r="K4898" t="str">
        <f>IF(E4898="","",INDEX(Knutepunkter!$D:$D,E4898+1))</f>
        <v/>
      </c>
      <c r="L4898" t="str">
        <f t="shared" si="383"/>
        <v/>
      </c>
      <c r="M4898" t="str">
        <f t="shared" si="384"/>
        <v/>
      </c>
    </row>
    <row r="4899" spans="1:13" x14ac:dyDescent="0.3">
      <c r="A4899" t="str">
        <f>Segmenter!A4899</f>
        <v/>
      </c>
      <c r="B4899" t="str">
        <f>Segmenter!B4899</f>
        <v/>
      </c>
      <c r="C4899" t="str">
        <f t="shared" si="380"/>
        <v/>
      </c>
      <c r="D4899" t="str">
        <f t="shared" si="381"/>
        <v/>
      </c>
      <c r="E4899" t="str">
        <f t="shared" si="382"/>
        <v/>
      </c>
      <c r="F4899" t="str">
        <f>IF(D4899="","",INDEX(Knutepunkter!$B:$B,D4899+1))</f>
        <v/>
      </c>
      <c r="G4899" t="str">
        <f>IF(D4899="","",INDEX(Knutepunkter!$C:$C,D4899+1))</f>
        <v/>
      </c>
      <c r="H4899" t="str">
        <f>IF(D4899="","",INDEX(Knutepunkter!$D:$D,D4899+1))</f>
        <v/>
      </c>
      <c r="I4899" t="str">
        <f>IF(E4899="","",INDEX(Knutepunkter!$B:$B,E4899+1))</f>
        <v/>
      </c>
      <c r="J4899" t="str">
        <f>IF(E4899="","",INDEX(Knutepunkter!$C:$C,E4899+1))</f>
        <v/>
      </c>
      <c r="K4899" t="str">
        <f>IF(E4899="","",INDEX(Knutepunkter!$D:$D,E4899+1))</f>
        <v/>
      </c>
      <c r="L4899" t="str">
        <f t="shared" si="383"/>
        <v/>
      </c>
      <c r="M4899" t="str">
        <f t="shared" si="384"/>
        <v/>
      </c>
    </row>
    <row r="4900" spans="1:13" x14ac:dyDescent="0.3">
      <c r="A4900" t="str">
        <f>Segmenter!A4900</f>
        <v/>
      </c>
      <c r="B4900" t="str">
        <f>Segmenter!B4900</f>
        <v/>
      </c>
      <c r="C4900" t="str">
        <f t="shared" si="380"/>
        <v/>
      </c>
      <c r="D4900" t="str">
        <f t="shared" si="381"/>
        <v/>
      </c>
      <c r="E4900" t="str">
        <f t="shared" si="382"/>
        <v/>
      </c>
      <c r="F4900" t="str">
        <f>IF(D4900="","",INDEX(Knutepunkter!$B:$B,D4900+1))</f>
        <v/>
      </c>
      <c r="G4900" t="str">
        <f>IF(D4900="","",INDEX(Knutepunkter!$C:$C,D4900+1))</f>
        <v/>
      </c>
      <c r="H4900" t="str">
        <f>IF(D4900="","",INDEX(Knutepunkter!$D:$D,D4900+1))</f>
        <v/>
      </c>
      <c r="I4900" t="str">
        <f>IF(E4900="","",INDEX(Knutepunkter!$B:$B,E4900+1))</f>
        <v/>
      </c>
      <c r="J4900" t="str">
        <f>IF(E4900="","",INDEX(Knutepunkter!$C:$C,E4900+1))</f>
        <v/>
      </c>
      <c r="K4900" t="str">
        <f>IF(E4900="","",INDEX(Knutepunkter!$D:$D,E4900+1))</f>
        <v/>
      </c>
      <c r="L4900" t="str">
        <f t="shared" si="383"/>
        <v/>
      </c>
      <c r="M4900" t="str">
        <f t="shared" si="384"/>
        <v/>
      </c>
    </row>
    <row r="4901" spans="1:13" x14ac:dyDescent="0.3">
      <c r="A4901" t="str">
        <f>Segmenter!A4901</f>
        <v/>
      </c>
      <c r="B4901" t="str">
        <f>Segmenter!B4901</f>
        <v/>
      </c>
      <c r="C4901" t="str">
        <f t="shared" si="380"/>
        <v/>
      </c>
      <c r="D4901" t="str">
        <f t="shared" si="381"/>
        <v/>
      </c>
      <c r="E4901" t="str">
        <f t="shared" si="382"/>
        <v/>
      </c>
      <c r="F4901" t="str">
        <f>IF(D4901="","",INDEX(Knutepunkter!$B:$B,D4901+1))</f>
        <v/>
      </c>
      <c r="G4901" t="str">
        <f>IF(D4901="","",INDEX(Knutepunkter!$C:$C,D4901+1))</f>
        <v/>
      </c>
      <c r="H4901" t="str">
        <f>IF(D4901="","",INDEX(Knutepunkter!$D:$D,D4901+1))</f>
        <v/>
      </c>
      <c r="I4901" t="str">
        <f>IF(E4901="","",INDEX(Knutepunkter!$B:$B,E4901+1))</f>
        <v/>
      </c>
      <c r="J4901" t="str">
        <f>IF(E4901="","",INDEX(Knutepunkter!$C:$C,E4901+1))</f>
        <v/>
      </c>
      <c r="K4901" t="str">
        <f>IF(E4901="","",INDEX(Knutepunkter!$D:$D,E4901+1))</f>
        <v/>
      </c>
      <c r="L4901" t="str">
        <f t="shared" si="383"/>
        <v/>
      </c>
      <c r="M4901" t="str">
        <f t="shared" si="384"/>
        <v/>
      </c>
    </row>
    <row r="4902" spans="1:13" x14ac:dyDescent="0.3">
      <c r="A4902" t="str">
        <f>Segmenter!A4902</f>
        <v/>
      </c>
      <c r="B4902" t="str">
        <f>Segmenter!B4902</f>
        <v/>
      </c>
      <c r="C4902" t="str">
        <f t="shared" si="380"/>
        <v/>
      </c>
      <c r="D4902" t="str">
        <f t="shared" si="381"/>
        <v/>
      </c>
      <c r="E4902" t="str">
        <f t="shared" si="382"/>
        <v/>
      </c>
      <c r="F4902" t="str">
        <f>IF(D4902="","",INDEX(Knutepunkter!$B:$B,D4902+1))</f>
        <v/>
      </c>
      <c r="G4902" t="str">
        <f>IF(D4902="","",INDEX(Knutepunkter!$C:$C,D4902+1))</f>
        <v/>
      </c>
      <c r="H4902" t="str">
        <f>IF(D4902="","",INDEX(Knutepunkter!$D:$D,D4902+1))</f>
        <v/>
      </c>
      <c r="I4902" t="str">
        <f>IF(E4902="","",INDEX(Knutepunkter!$B:$B,E4902+1))</f>
        <v/>
      </c>
      <c r="J4902" t="str">
        <f>IF(E4902="","",INDEX(Knutepunkter!$C:$C,E4902+1))</f>
        <v/>
      </c>
      <c r="K4902" t="str">
        <f>IF(E4902="","",INDEX(Knutepunkter!$D:$D,E4902+1))</f>
        <v/>
      </c>
      <c r="L4902" t="str">
        <f t="shared" si="383"/>
        <v/>
      </c>
      <c r="M4902" t="str">
        <f t="shared" si="384"/>
        <v/>
      </c>
    </row>
    <row r="4903" spans="1:13" x14ac:dyDescent="0.3">
      <c r="A4903" t="str">
        <f>Segmenter!A4903</f>
        <v/>
      </c>
      <c r="B4903" t="str">
        <f>Segmenter!B4903</f>
        <v/>
      </c>
      <c r="C4903" t="str">
        <f t="shared" si="380"/>
        <v/>
      </c>
      <c r="D4903" t="str">
        <f t="shared" si="381"/>
        <v/>
      </c>
      <c r="E4903" t="str">
        <f t="shared" si="382"/>
        <v/>
      </c>
      <c r="F4903" t="str">
        <f>IF(D4903="","",INDEX(Knutepunkter!$B:$B,D4903+1))</f>
        <v/>
      </c>
      <c r="G4903" t="str">
        <f>IF(D4903="","",INDEX(Knutepunkter!$C:$C,D4903+1))</f>
        <v/>
      </c>
      <c r="H4903" t="str">
        <f>IF(D4903="","",INDEX(Knutepunkter!$D:$D,D4903+1))</f>
        <v/>
      </c>
      <c r="I4903" t="str">
        <f>IF(E4903="","",INDEX(Knutepunkter!$B:$B,E4903+1))</f>
        <v/>
      </c>
      <c r="J4903" t="str">
        <f>IF(E4903="","",INDEX(Knutepunkter!$C:$C,E4903+1))</f>
        <v/>
      </c>
      <c r="K4903" t="str">
        <f>IF(E4903="","",INDEX(Knutepunkter!$D:$D,E4903+1))</f>
        <v/>
      </c>
      <c r="L4903" t="str">
        <f t="shared" si="383"/>
        <v/>
      </c>
      <c r="M4903" t="str">
        <f t="shared" si="384"/>
        <v/>
      </c>
    </row>
    <row r="4904" spans="1:13" x14ac:dyDescent="0.3">
      <c r="A4904" t="str">
        <f>Segmenter!A4904</f>
        <v/>
      </c>
      <c r="B4904" t="str">
        <f>Segmenter!B4904</f>
        <v/>
      </c>
      <c r="C4904" t="str">
        <f t="shared" si="380"/>
        <v/>
      </c>
      <c r="D4904" t="str">
        <f t="shared" si="381"/>
        <v/>
      </c>
      <c r="E4904" t="str">
        <f t="shared" si="382"/>
        <v/>
      </c>
      <c r="F4904" t="str">
        <f>IF(D4904="","",INDEX(Knutepunkter!$B:$B,D4904+1))</f>
        <v/>
      </c>
      <c r="G4904" t="str">
        <f>IF(D4904="","",INDEX(Knutepunkter!$C:$C,D4904+1))</f>
        <v/>
      </c>
      <c r="H4904" t="str">
        <f>IF(D4904="","",INDEX(Knutepunkter!$D:$D,D4904+1))</f>
        <v/>
      </c>
      <c r="I4904" t="str">
        <f>IF(E4904="","",INDEX(Knutepunkter!$B:$B,E4904+1))</f>
        <v/>
      </c>
      <c r="J4904" t="str">
        <f>IF(E4904="","",INDEX(Knutepunkter!$C:$C,E4904+1))</f>
        <v/>
      </c>
      <c r="K4904" t="str">
        <f>IF(E4904="","",INDEX(Knutepunkter!$D:$D,E4904+1))</f>
        <v/>
      </c>
      <c r="L4904" t="str">
        <f t="shared" si="383"/>
        <v/>
      </c>
      <c r="M4904" t="str">
        <f t="shared" si="384"/>
        <v/>
      </c>
    </row>
    <row r="4905" spans="1:13" x14ac:dyDescent="0.3">
      <c r="A4905" t="str">
        <f>Segmenter!A4905</f>
        <v/>
      </c>
      <c r="B4905" t="str">
        <f>Segmenter!B4905</f>
        <v/>
      </c>
      <c r="C4905" t="str">
        <f t="shared" si="380"/>
        <v/>
      </c>
      <c r="D4905" t="str">
        <f t="shared" si="381"/>
        <v/>
      </c>
      <c r="E4905" t="str">
        <f t="shared" si="382"/>
        <v/>
      </c>
      <c r="F4905" t="str">
        <f>IF(D4905="","",INDEX(Knutepunkter!$B:$B,D4905+1))</f>
        <v/>
      </c>
      <c r="G4905" t="str">
        <f>IF(D4905="","",INDEX(Knutepunkter!$C:$C,D4905+1))</f>
        <v/>
      </c>
      <c r="H4905" t="str">
        <f>IF(D4905="","",INDEX(Knutepunkter!$D:$D,D4905+1))</f>
        <v/>
      </c>
      <c r="I4905" t="str">
        <f>IF(E4905="","",INDEX(Knutepunkter!$B:$B,E4905+1))</f>
        <v/>
      </c>
      <c r="J4905" t="str">
        <f>IF(E4905="","",INDEX(Knutepunkter!$C:$C,E4905+1))</f>
        <v/>
      </c>
      <c r="K4905" t="str">
        <f>IF(E4905="","",INDEX(Knutepunkter!$D:$D,E4905+1))</f>
        <v/>
      </c>
      <c r="L4905" t="str">
        <f t="shared" si="383"/>
        <v/>
      </c>
      <c r="M4905" t="str">
        <f t="shared" si="384"/>
        <v/>
      </c>
    </row>
    <row r="4906" spans="1:13" x14ac:dyDescent="0.3">
      <c r="A4906" t="str">
        <f>Segmenter!A4906</f>
        <v/>
      </c>
      <c r="B4906" t="str">
        <f>Segmenter!B4906</f>
        <v/>
      </c>
      <c r="C4906" t="str">
        <f t="shared" si="380"/>
        <v/>
      </c>
      <c r="D4906" t="str">
        <f t="shared" si="381"/>
        <v/>
      </c>
      <c r="E4906" t="str">
        <f t="shared" si="382"/>
        <v/>
      </c>
      <c r="F4906" t="str">
        <f>IF(D4906="","",INDEX(Knutepunkter!$B:$B,D4906+1))</f>
        <v/>
      </c>
      <c r="G4906" t="str">
        <f>IF(D4906="","",INDEX(Knutepunkter!$C:$C,D4906+1))</f>
        <v/>
      </c>
      <c r="H4906" t="str">
        <f>IF(D4906="","",INDEX(Knutepunkter!$D:$D,D4906+1))</f>
        <v/>
      </c>
      <c r="I4906" t="str">
        <f>IF(E4906="","",INDEX(Knutepunkter!$B:$B,E4906+1))</f>
        <v/>
      </c>
      <c r="J4906" t="str">
        <f>IF(E4906="","",INDEX(Knutepunkter!$C:$C,E4906+1))</f>
        <v/>
      </c>
      <c r="K4906" t="str">
        <f>IF(E4906="","",INDEX(Knutepunkter!$D:$D,E4906+1))</f>
        <v/>
      </c>
      <c r="L4906" t="str">
        <f t="shared" si="383"/>
        <v/>
      </c>
      <c r="M4906" t="str">
        <f t="shared" si="384"/>
        <v/>
      </c>
    </row>
    <row r="4907" spans="1:13" x14ac:dyDescent="0.3">
      <c r="A4907" t="str">
        <f>Segmenter!A4907</f>
        <v/>
      </c>
      <c r="B4907" t="str">
        <f>Segmenter!B4907</f>
        <v/>
      </c>
      <c r="C4907" t="str">
        <f t="shared" si="380"/>
        <v/>
      </c>
      <c r="D4907" t="str">
        <f t="shared" si="381"/>
        <v/>
      </c>
      <c r="E4907" t="str">
        <f t="shared" si="382"/>
        <v/>
      </c>
      <c r="F4907" t="str">
        <f>IF(D4907="","",INDEX(Knutepunkter!$B:$B,D4907+1))</f>
        <v/>
      </c>
      <c r="G4907" t="str">
        <f>IF(D4907="","",INDEX(Knutepunkter!$C:$C,D4907+1))</f>
        <v/>
      </c>
      <c r="H4907" t="str">
        <f>IF(D4907="","",INDEX(Knutepunkter!$D:$D,D4907+1))</f>
        <v/>
      </c>
      <c r="I4907" t="str">
        <f>IF(E4907="","",INDEX(Knutepunkter!$B:$B,E4907+1))</f>
        <v/>
      </c>
      <c r="J4907" t="str">
        <f>IF(E4907="","",INDEX(Knutepunkter!$C:$C,E4907+1))</f>
        <v/>
      </c>
      <c r="K4907" t="str">
        <f>IF(E4907="","",INDEX(Knutepunkter!$D:$D,E4907+1))</f>
        <v/>
      </c>
      <c r="L4907" t="str">
        <f t="shared" si="383"/>
        <v/>
      </c>
      <c r="M4907" t="str">
        <f t="shared" si="384"/>
        <v/>
      </c>
    </row>
    <row r="4908" spans="1:13" x14ac:dyDescent="0.3">
      <c r="A4908" t="str">
        <f>Segmenter!A4908</f>
        <v/>
      </c>
      <c r="B4908" t="str">
        <f>Segmenter!B4908</f>
        <v/>
      </c>
      <c r="C4908" t="str">
        <f t="shared" si="380"/>
        <v/>
      </c>
      <c r="D4908" t="str">
        <f t="shared" si="381"/>
        <v/>
      </c>
      <c r="E4908" t="str">
        <f t="shared" si="382"/>
        <v/>
      </c>
      <c r="F4908" t="str">
        <f>IF(D4908="","",INDEX(Knutepunkter!$B:$B,D4908+1))</f>
        <v/>
      </c>
      <c r="G4908" t="str">
        <f>IF(D4908="","",INDEX(Knutepunkter!$C:$C,D4908+1))</f>
        <v/>
      </c>
      <c r="H4908" t="str">
        <f>IF(D4908="","",INDEX(Knutepunkter!$D:$D,D4908+1))</f>
        <v/>
      </c>
      <c r="I4908" t="str">
        <f>IF(E4908="","",INDEX(Knutepunkter!$B:$B,E4908+1))</f>
        <v/>
      </c>
      <c r="J4908" t="str">
        <f>IF(E4908="","",INDEX(Knutepunkter!$C:$C,E4908+1))</f>
        <v/>
      </c>
      <c r="K4908" t="str">
        <f>IF(E4908="","",INDEX(Knutepunkter!$D:$D,E4908+1))</f>
        <v/>
      </c>
      <c r="L4908" t="str">
        <f t="shared" si="383"/>
        <v/>
      </c>
      <c r="M4908" t="str">
        <f t="shared" si="384"/>
        <v/>
      </c>
    </row>
    <row r="4909" spans="1:13" x14ac:dyDescent="0.3">
      <c r="A4909" t="str">
        <f>Segmenter!A4909</f>
        <v/>
      </c>
      <c r="B4909" t="str">
        <f>Segmenter!B4909</f>
        <v/>
      </c>
      <c r="C4909" t="str">
        <f t="shared" si="380"/>
        <v/>
      </c>
      <c r="D4909" t="str">
        <f t="shared" si="381"/>
        <v/>
      </c>
      <c r="E4909" t="str">
        <f t="shared" si="382"/>
        <v/>
      </c>
      <c r="F4909" t="str">
        <f>IF(D4909="","",INDEX(Knutepunkter!$B:$B,D4909+1))</f>
        <v/>
      </c>
      <c r="G4909" t="str">
        <f>IF(D4909="","",INDEX(Knutepunkter!$C:$C,D4909+1))</f>
        <v/>
      </c>
      <c r="H4909" t="str">
        <f>IF(D4909="","",INDEX(Knutepunkter!$D:$D,D4909+1))</f>
        <v/>
      </c>
      <c r="I4909" t="str">
        <f>IF(E4909="","",INDEX(Knutepunkter!$B:$B,E4909+1))</f>
        <v/>
      </c>
      <c r="J4909" t="str">
        <f>IF(E4909="","",INDEX(Knutepunkter!$C:$C,E4909+1))</f>
        <v/>
      </c>
      <c r="K4909" t="str">
        <f>IF(E4909="","",INDEX(Knutepunkter!$D:$D,E4909+1))</f>
        <v/>
      </c>
      <c r="L4909" t="str">
        <f t="shared" si="383"/>
        <v/>
      </c>
      <c r="M4909" t="str">
        <f t="shared" si="384"/>
        <v/>
      </c>
    </row>
    <row r="4910" spans="1:13" x14ac:dyDescent="0.3">
      <c r="A4910" t="str">
        <f>Segmenter!A4910</f>
        <v/>
      </c>
      <c r="B4910" t="str">
        <f>Segmenter!B4910</f>
        <v/>
      </c>
      <c r="C4910" t="str">
        <f t="shared" si="380"/>
        <v/>
      </c>
      <c r="D4910" t="str">
        <f t="shared" si="381"/>
        <v/>
      </c>
      <c r="E4910" t="str">
        <f t="shared" si="382"/>
        <v/>
      </c>
      <c r="F4910" t="str">
        <f>IF(D4910="","",INDEX(Knutepunkter!$B:$B,D4910+1))</f>
        <v/>
      </c>
      <c r="G4910" t="str">
        <f>IF(D4910="","",INDEX(Knutepunkter!$C:$C,D4910+1))</f>
        <v/>
      </c>
      <c r="H4910" t="str">
        <f>IF(D4910="","",INDEX(Knutepunkter!$D:$D,D4910+1))</f>
        <v/>
      </c>
      <c r="I4910" t="str">
        <f>IF(E4910="","",INDEX(Knutepunkter!$B:$B,E4910+1))</f>
        <v/>
      </c>
      <c r="J4910" t="str">
        <f>IF(E4910="","",INDEX(Knutepunkter!$C:$C,E4910+1))</f>
        <v/>
      </c>
      <c r="K4910" t="str">
        <f>IF(E4910="","",INDEX(Knutepunkter!$D:$D,E4910+1))</f>
        <v/>
      </c>
      <c r="L4910" t="str">
        <f t="shared" si="383"/>
        <v/>
      </c>
      <c r="M4910" t="str">
        <f t="shared" si="384"/>
        <v/>
      </c>
    </row>
    <row r="4911" spans="1:13" x14ac:dyDescent="0.3">
      <c r="A4911" t="str">
        <f>Segmenter!A4911</f>
        <v/>
      </c>
      <c r="B4911" t="str">
        <f>Segmenter!B4911</f>
        <v/>
      </c>
      <c r="C4911" t="str">
        <f t="shared" si="380"/>
        <v/>
      </c>
      <c r="D4911" t="str">
        <f t="shared" si="381"/>
        <v/>
      </c>
      <c r="E4911" t="str">
        <f t="shared" si="382"/>
        <v/>
      </c>
      <c r="F4911" t="str">
        <f>IF(D4911="","",INDEX(Knutepunkter!$B:$B,D4911+1))</f>
        <v/>
      </c>
      <c r="G4911" t="str">
        <f>IF(D4911="","",INDEX(Knutepunkter!$C:$C,D4911+1))</f>
        <v/>
      </c>
      <c r="H4911" t="str">
        <f>IF(D4911="","",INDEX(Knutepunkter!$D:$D,D4911+1))</f>
        <v/>
      </c>
      <c r="I4911" t="str">
        <f>IF(E4911="","",INDEX(Knutepunkter!$B:$B,E4911+1))</f>
        <v/>
      </c>
      <c r="J4911" t="str">
        <f>IF(E4911="","",INDEX(Knutepunkter!$C:$C,E4911+1))</f>
        <v/>
      </c>
      <c r="K4911" t="str">
        <f>IF(E4911="","",INDEX(Knutepunkter!$D:$D,E4911+1))</f>
        <v/>
      </c>
      <c r="L4911" t="str">
        <f t="shared" si="383"/>
        <v/>
      </c>
      <c r="M4911" t="str">
        <f t="shared" si="384"/>
        <v/>
      </c>
    </row>
    <row r="4912" spans="1:13" x14ac:dyDescent="0.3">
      <c r="A4912" t="str">
        <f>Segmenter!A4912</f>
        <v/>
      </c>
      <c r="B4912" t="str">
        <f>Segmenter!B4912</f>
        <v/>
      </c>
      <c r="C4912" t="str">
        <f t="shared" si="380"/>
        <v/>
      </c>
      <c r="D4912" t="str">
        <f t="shared" si="381"/>
        <v/>
      </c>
      <c r="E4912" t="str">
        <f t="shared" si="382"/>
        <v/>
      </c>
      <c r="F4912" t="str">
        <f>IF(D4912="","",INDEX(Knutepunkter!$B:$B,D4912+1))</f>
        <v/>
      </c>
      <c r="G4912" t="str">
        <f>IF(D4912="","",INDEX(Knutepunkter!$C:$C,D4912+1))</f>
        <v/>
      </c>
      <c r="H4912" t="str">
        <f>IF(D4912="","",INDEX(Knutepunkter!$D:$D,D4912+1))</f>
        <v/>
      </c>
      <c r="I4912" t="str">
        <f>IF(E4912="","",INDEX(Knutepunkter!$B:$B,E4912+1))</f>
        <v/>
      </c>
      <c r="J4912" t="str">
        <f>IF(E4912="","",INDEX(Knutepunkter!$C:$C,E4912+1))</f>
        <v/>
      </c>
      <c r="K4912" t="str">
        <f>IF(E4912="","",INDEX(Knutepunkter!$D:$D,E4912+1))</f>
        <v/>
      </c>
      <c r="L4912" t="str">
        <f t="shared" si="383"/>
        <v/>
      </c>
      <c r="M4912" t="str">
        <f t="shared" si="384"/>
        <v/>
      </c>
    </row>
    <row r="4913" spans="1:13" x14ac:dyDescent="0.3">
      <c r="A4913" t="str">
        <f>Segmenter!A4913</f>
        <v/>
      </c>
      <c r="B4913" t="str">
        <f>Segmenter!B4913</f>
        <v/>
      </c>
      <c r="C4913" t="str">
        <f t="shared" si="380"/>
        <v/>
      </c>
      <c r="D4913" t="str">
        <f t="shared" si="381"/>
        <v/>
      </c>
      <c r="E4913" t="str">
        <f t="shared" si="382"/>
        <v/>
      </c>
      <c r="F4913" t="str">
        <f>IF(D4913="","",INDEX(Knutepunkter!$B:$B,D4913+1))</f>
        <v/>
      </c>
      <c r="G4913" t="str">
        <f>IF(D4913="","",INDEX(Knutepunkter!$C:$C,D4913+1))</f>
        <v/>
      </c>
      <c r="H4913" t="str">
        <f>IF(D4913="","",INDEX(Knutepunkter!$D:$D,D4913+1))</f>
        <v/>
      </c>
      <c r="I4913" t="str">
        <f>IF(E4913="","",INDEX(Knutepunkter!$B:$B,E4913+1))</f>
        <v/>
      </c>
      <c r="J4913" t="str">
        <f>IF(E4913="","",INDEX(Knutepunkter!$C:$C,E4913+1))</f>
        <v/>
      </c>
      <c r="K4913" t="str">
        <f>IF(E4913="","",INDEX(Knutepunkter!$D:$D,E4913+1))</f>
        <v/>
      </c>
      <c r="L4913" t="str">
        <f t="shared" si="383"/>
        <v/>
      </c>
      <c r="M4913" t="str">
        <f t="shared" si="384"/>
        <v/>
      </c>
    </row>
    <row r="4914" spans="1:13" x14ac:dyDescent="0.3">
      <c r="A4914" t="str">
        <f>Segmenter!A4914</f>
        <v/>
      </c>
      <c r="B4914" t="str">
        <f>Segmenter!B4914</f>
        <v/>
      </c>
      <c r="C4914" t="str">
        <f t="shared" si="380"/>
        <v/>
      </c>
      <c r="D4914" t="str">
        <f t="shared" si="381"/>
        <v/>
      </c>
      <c r="E4914" t="str">
        <f t="shared" si="382"/>
        <v/>
      </c>
      <c r="F4914" t="str">
        <f>IF(D4914="","",INDEX(Knutepunkter!$B:$B,D4914+1))</f>
        <v/>
      </c>
      <c r="G4914" t="str">
        <f>IF(D4914="","",INDEX(Knutepunkter!$C:$C,D4914+1))</f>
        <v/>
      </c>
      <c r="H4914" t="str">
        <f>IF(D4914="","",INDEX(Knutepunkter!$D:$D,D4914+1))</f>
        <v/>
      </c>
      <c r="I4914" t="str">
        <f>IF(E4914="","",INDEX(Knutepunkter!$B:$B,E4914+1))</f>
        <v/>
      </c>
      <c r="J4914" t="str">
        <f>IF(E4914="","",INDEX(Knutepunkter!$C:$C,E4914+1))</f>
        <v/>
      </c>
      <c r="K4914" t="str">
        <f>IF(E4914="","",INDEX(Knutepunkter!$D:$D,E4914+1))</f>
        <v/>
      </c>
      <c r="L4914" t="str">
        <f t="shared" si="383"/>
        <v/>
      </c>
      <c r="M4914" t="str">
        <f t="shared" si="384"/>
        <v/>
      </c>
    </row>
    <row r="4915" spans="1:13" x14ac:dyDescent="0.3">
      <c r="A4915" t="str">
        <f>Segmenter!A4915</f>
        <v/>
      </c>
      <c r="B4915" t="str">
        <f>Segmenter!B4915</f>
        <v/>
      </c>
      <c r="C4915" t="str">
        <f t="shared" si="380"/>
        <v/>
      </c>
      <c r="D4915" t="str">
        <f t="shared" si="381"/>
        <v/>
      </c>
      <c r="E4915" t="str">
        <f t="shared" si="382"/>
        <v/>
      </c>
      <c r="F4915" t="str">
        <f>IF(D4915="","",INDEX(Knutepunkter!$B:$B,D4915+1))</f>
        <v/>
      </c>
      <c r="G4915" t="str">
        <f>IF(D4915="","",INDEX(Knutepunkter!$C:$C,D4915+1))</f>
        <v/>
      </c>
      <c r="H4915" t="str">
        <f>IF(D4915="","",INDEX(Knutepunkter!$D:$D,D4915+1))</f>
        <v/>
      </c>
      <c r="I4915" t="str">
        <f>IF(E4915="","",INDEX(Knutepunkter!$B:$B,E4915+1))</f>
        <v/>
      </c>
      <c r="J4915" t="str">
        <f>IF(E4915="","",INDEX(Knutepunkter!$C:$C,E4915+1))</f>
        <v/>
      </c>
      <c r="K4915" t="str">
        <f>IF(E4915="","",INDEX(Knutepunkter!$D:$D,E4915+1))</f>
        <v/>
      </c>
      <c r="L4915" t="str">
        <f t="shared" si="383"/>
        <v/>
      </c>
      <c r="M4915" t="str">
        <f t="shared" si="384"/>
        <v/>
      </c>
    </row>
    <row r="4916" spans="1:13" x14ac:dyDescent="0.3">
      <c r="A4916" t="str">
        <f>Segmenter!A4916</f>
        <v/>
      </c>
      <c r="B4916" t="str">
        <f>Segmenter!B4916</f>
        <v/>
      </c>
      <c r="C4916" t="str">
        <f t="shared" si="380"/>
        <v/>
      </c>
      <c r="D4916" t="str">
        <f t="shared" si="381"/>
        <v/>
      </c>
      <c r="E4916" t="str">
        <f t="shared" si="382"/>
        <v/>
      </c>
      <c r="F4916" t="str">
        <f>IF(D4916="","",INDEX(Knutepunkter!$B:$B,D4916+1))</f>
        <v/>
      </c>
      <c r="G4916" t="str">
        <f>IF(D4916="","",INDEX(Knutepunkter!$C:$C,D4916+1))</f>
        <v/>
      </c>
      <c r="H4916" t="str">
        <f>IF(D4916="","",INDEX(Knutepunkter!$D:$D,D4916+1))</f>
        <v/>
      </c>
      <c r="I4916" t="str">
        <f>IF(E4916="","",INDEX(Knutepunkter!$B:$B,E4916+1))</f>
        <v/>
      </c>
      <c r="J4916" t="str">
        <f>IF(E4916="","",INDEX(Knutepunkter!$C:$C,E4916+1))</f>
        <v/>
      </c>
      <c r="K4916" t="str">
        <f>IF(E4916="","",INDEX(Knutepunkter!$D:$D,E4916+1))</f>
        <v/>
      </c>
      <c r="L4916" t="str">
        <f t="shared" si="383"/>
        <v/>
      </c>
      <c r="M4916" t="str">
        <f t="shared" si="384"/>
        <v/>
      </c>
    </row>
    <row r="4917" spans="1:13" x14ac:dyDescent="0.3">
      <c r="A4917" t="str">
        <f>Segmenter!A4917</f>
        <v/>
      </c>
      <c r="B4917" t="str">
        <f>Segmenter!B4917</f>
        <v/>
      </c>
      <c r="C4917" t="str">
        <f t="shared" si="380"/>
        <v/>
      </c>
      <c r="D4917" t="str">
        <f t="shared" si="381"/>
        <v/>
      </c>
      <c r="E4917" t="str">
        <f t="shared" si="382"/>
        <v/>
      </c>
      <c r="F4917" t="str">
        <f>IF(D4917="","",INDEX(Knutepunkter!$B:$B,D4917+1))</f>
        <v/>
      </c>
      <c r="G4917" t="str">
        <f>IF(D4917="","",INDEX(Knutepunkter!$C:$C,D4917+1))</f>
        <v/>
      </c>
      <c r="H4917" t="str">
        <f>IF(D4917="","",INDEX(Knutepunkter!$D:$D,D4917+1))</f>
        <v/>
      </c>
      <c r="I4917" t="str">
        <f>IF(E4917="","",INDEX(Knutepunkter!$B:$B,E4917+1))</f>
        <v/>
      </c>
      <c r="J4917" t="str">
        <f>IF(E4917="","",INDEX(Knutepunkter!$C:$C,E4917+1))</f>
        <v/>
      </c>
      <c r="K4917" t="str">
        <f>IF(E4917="","",INDEX(Knutepunkter!$D:$D,E4917+1))</f>
        <v/>
      </c>
      <c r="L4917" t="str">
        <f t="shared" si="383"/>
        <v/>
      </c>
      <c r="M4917" t="str">
        <f t="shared" si="384"/>
        <v/>
      </c>
    </row>
    <row r="4918" spans="1:13" x14ac:dyDescent="0.3">
      <c r="A4918" t="str">
        <f>Segmenter!A4918</f>
        <v/>
      </c>
      <c r="B4918" t="str">
        <f>Segmenter!B4918</f>
        <v/>
      </c>
      <c r="C4918" t="str">
        <f t="shared" si="380"/>
        <v/>
      </c>
      <c r="D4918" t="str">
        <f t="shared" si="381"/>
        <v/>
      </c>
      <c r="E4918" t="str">
        <f t="shared" si="382"/>
        <v/>
      </c>
      <c r="F4918" t="str">
        <f>IF(D4918="","",INDEX(Knutepunkter!$B:$B,D4918+1))</f>
        <v/>
      </c>
      <c r="G4918" t="str">
        <f>IF(D4918="","",INDEX(Knutepunkter!$C:$C,D4918+1))</f>
        <v/>
      </c>
      <c r="H4918" t="str">
        <f>IF(D4918="","",INDEX(Knutepunkter!$D:$D,D4918+1))</f>
        <v/>
      </c>
      <c r="I4918" t="str">
        <f>IF(E4918="","",INDEX(Knutepunkter!$B:$B,E4918+1))</f>
        <v/>
      </c>
      <c r="J4918" t="str">
        <f>IF(E4918="","",INDEX(Knutepunkter!$C:$C,E4918+1))</f>
        <v/>
      </c>
      <c r="K4918" t="str">
        <f>IF(E4918="","",INDEX(Knutepunkter!$D:$D,E4918+1))</f>
        <v/>
      </c>
      <c r="L4918" t="str">
        <f t="shared" si="383"/>
        <v/>
      </c>
      <c r="M4918" t="str">
        <f t="shared" si="384"/>
        <v/>
      </c>
    </row>
    <row r="4919" spans="1:13" x14ac:dyDescent="0.3">
      <c r="A4919" t="str">
        <f>Segmenter!A4919</f>
        <v/>
      </c>
      <c r="B4919" t="str">
        <f>Segmenter!B4919</f>
        <v/>
      </c>
      <c r="C4919" t="str">
        <f t="shared" si="380"/>
        <v/>
      </c>
      <c r="D4919" t="str">
        <f t="shared" si="381"/>
        <v/>
      </c>
      <c r="E4919" t="str">
        <f t="shared" si="382"/>
        <v/>
      </c>
      <c r="F4919" t="str">
        <f>IF(D4919="","",INDEX(Knutepunkter!$B:$B,D4919+1))</f>
        <v/>
      </c>
      <c r="G4919" t="str">
        <f>IF(D4919="","",INDEX(Knutepunkter!$C:$C,D4919+1))</f>
        <v/>
      </c>
      <c r="H4919" t="str">
        <f>IF(D4919="","",INDEX(Knutepunkter!$D:$D,D4919+1))</f>
        <v/>
      </c>
      <c r="I4919" t="str">
        <f>IF(E4919="","",INDEX(Knutepunkter!$B:$B,E4919+1))</f>
        <v/>
      </c>
      <c r="J4919" t="str">
        <f>IF(E4919="","",INDEX(Knutepunkter!$C:$C,E4919+1))</f>
        <v/>
      </c>
      <c r="K4919" t="str">
        <f>IF(E4919="","",INDEX(Knutepunkter!$D:$D,E4919+1))</f>
        <v/>
      </c>
      <c r="L4919" t="str">
        <f t="shared" si="383"/>
        <v/>
      </c>
      <c r="M4919" t="str">
        <f t="shared" si="384"/>
        <v/>
      </c>
    </row>
    <row r="4920" spans="1:13" x14ac:dyDescent="0.3">
      <c r="A4920" t="str">
        <f>Segmenter!A4920</f>
        <v/>
      </c>
      <c r="B4920" t="str">
        <f>Segmenter!B4920</f>
        <v/>
      </c>
      <c r="C4920" t="str">
        <f t="shared" si="380"/>
        <v/>
      </c>
      <c r="D4920" t="str">
        <f t="shared" si="381"/>
        <v/>
      </c>
      <c r="E4920" t="str">
        <f t="shared" si="382"/>
        <v/>
      </c>
      <c r="F4920" t="str">
        <f>IF(D4920="","",INDEX(Knutepunkter!$B:$B,D4920+1))</f>
        <v/>
      </c>
      <c r="G4920" t="str">
        <f>IF(D4920="","",INDEX(Knutepunkter!$C:$C,D4920+1))</f>
        <v/>
      </c>
      <c r="H4920" t="str">
        <f>IF(D4920="","",INDEX(Knutepunkter!$D:$D,D4920+1))</f>
        <v/>
      </c>
      <c r="I4920" t="str">
        <f>IF(E4920="","",INDEX(Knutepunkter!$B:$B,E4920+1))</f>
        <v/>
      </c>
      <c r="J4920" t="str">
        <f>IF(E4920="","",INDEX(Knutepunkter!$C:$C,E4920+1))</f>
        <v/>
      </c>
      <c r="K4920" t="str">
        <f>IF(E4920="","",INDEX(Knutepunkter!$D:$D,E4920+1))</f>
        <v/>
      </c>
      <c r="L4920" t="str">
        <f t="shared" si="383"/>
        <v/>
      </c>
      <c r="M4920" t="str">
        <f t="shared" si="384"/>
        <v/>
      </c>
    </row>
    <row r="4921" spans="1:13" x14ac:dyDescent="0.3">
      <c r="A4921" t="str">
        <f>Segmenter!A4921</f>
        <v/>
      </c>
      <c r="B4921" t="str">
        <f>Segmenter!B4921</f>
        <v/>
      </c>
      <c r="C4921" t="str">
        <f t="shared" si="380"/>
        <v/>
      </c>
      <c r="D4921" t="str">
        <f t="shared" si="381"/>
        <v/>
      </c>
      <c r="E4921" t="str">
        <f t="shared" si="382"/>
        <v/>
      </c>
      <c r="F4921" t="str">
        <f>IF(D4921="","",INDEX(Knutepunkter!$B:$B,D4921+1))</f>
        <v/>
      </c>
      <c r="G4921" t="str">
        <f>IF(D4921="","",INDEX(Knutepunkter!$C:$C,D4921+1))</f>
        <v/>
      </c>
      <c r="H4921" t="str">
        <f>IF(D4921="","",INDEX(Knutepunkter!$D:$D,D4921+1))</f>
        <v/>
      </c>
      <c r="I4921" t="str">
        <f>IF(E4921="","",INDEX(Knutepunkter!$B:$B,E4921+1))</f>
        <v/>
      </c>
      <c r="J4921" t="str">
        <f>IF(E4921="","",INDEX(Knutepunkter!$C:$C,E4921+1))</f>
        <v/>
      </c>
      <c r="K4921" t="str">
        <f>IF(E4921="","",INDEX(Knutepunkter!$D:$D,E4921+1))</f>
        <v/>
      </c>
      <c r="L4921" t="str">
        <f t="shared" si="383"/>
        <v/>
      </c>
      <c r="M4921" t="str">
        <f t="shared" si="384"/>
        <v/>
      </c>
    </row>
    <row r="4922" spans="1:13" x14ac:dyDescent="0.3">
      <c r="A4922" t="str">
        <f>Segmenter!A4922</f>
        <v/>
      </c>
      <c r="B4922" t="str">
        <f>Segmenter!B4922</f>
        <v/>
      </c>
      <c r="C4922" t="str">
        <f t="shared" si="380"/>
        <v/>
      </c>
      <c r="D4922" t="str">
        <f t="shared" si="381"/>
        <v/>
      </c>
      <c r="E4922" t="str">
        <f t="shared" si="382"/>
        <v/>
      </c>
      <c r="F4922" t="str">
        <f>IF(D4922="","",INDEX(Knutepunkter!$B:$B,D4922+1))</f>
        <v/>
      </c>
      <c r="G4922" t="str">
        <f>IF(D4922="","",INDEX(Knutepunkter!$C:$C,D4922+1))</f>
        <v/>
      </c>
      <c r="H4922" t="str">
        <f>IF(D4922="","",INDEX(Knutepunkter!$D:$D,D4922+1))</f>
        <v/>
      </c>
      <c r="I4922" t="str">
        <f>IF(E4922="","",INDEX(Knutepunkter!$B:$B,E4922+1))</f>
        <v/>
      </c>
      <c r="J4922" t="str">
        <f>IF(E4922="","",INDEX(Knutepunkter!$C:$C,E4922+1))</f>
        <v/>
      </c>
      <c r="K4922" t="str">
        <f>IF(E4922="","",INDEX(Knutepunkter!$D:$D,E4922+1))</f>
        <v/>
      </c>
      <c r="L4922" t="str">
        <f t="shared" si="383"/>
        <v/>
      </c>
      <c r="M4922" t="str">
        <f t="shared" si="384"/>
        <v/>
      </c>
    </row>
    <row r="4923" spans="1:13" x14ac:dyDescent="0.3">
      <c r="A4923" t="str">
        <f>Segmenter!A4923</f>
        <v/>
      </c>
      <c r="B4923" t="str">
        <f>Segmenter!B4923</f>
        <v/>
      </c>
      <c r="C4923" t="str">
        <f t="shared" si="380"/>
        <v/>
      </c>
      <c r="D4923" t="str">
        <f t="shared" si="381"/>
        <v/>
      </c>
      <c r="E4923" t="str">
        <f t="shared" si="382"/>
        <v/>
      </c>
      <c r="F4923" t="str">
        <f>IF(D4923="","",INDEX(Knutepunkter!$B:$B,D4923+1))</f>
        <v/>
      </c>
      <c r="G4923" t="str">
        <f>IF(D4923="","",INDEX(Knutepunkter!$C:$C,D4923+1))</f>
        <v/>
      </c>
      <c r="H4923" t="str">
        <f>IF(D4923="","",INDEX(Knutepunkter!$D:$D,D4923+1))</f>
        <v/>
      </c>
      <c r="I4923" t="str">
        <f>IF(E4923="","",INDEX(Knutepunkter!$B:$B,E4923+1))</f>
        <v/>
      </c>
      <c r="J4923" t="str">
        <f>IF(E4923="","",INDEX(Knutepunkter!$C:$C,E4923+1))</f>
        <v/>
      </c>
      <c r="K4923" t="str">
        <f>IF(E4923="","",INDEX(Knutepunkter!$D:$D,E4923+1))</f>
        <v/>
      </c>
      <c r="L4923" t="str">
        <f t="shared" si="383"/>
        <v/>
      </c>
      <c r="M4923" t="str">
        <f t="shared" si="384"/>
        <v/>
      </c>
    </row>
    <row r="4924" spans="1:13" x14ac:dyDescent="0.3">
      <c r="A4924" t="str">
        <f>Segmenter!A4924</f>
        <v/>
      </c>
      <c r="B4924" t="str">
        <f>Segmenter!B4924</f>
        <v/>
      </c>
      <c r="C4924" t="str">
        <f t="shared" si="380"/>
        <v/>
      </c>
      <c r="D4924" t="str">
        <f t="shared" si="381"/>
        <v/>
      </c>
      <c r="E4924" t="str">
        <f t="shared" si="382"/>
        <v/>
      </c>
      <c r="F4924" t="str">
        <f>IF(D4924="","",INDEX(Knutepunkter!$B:$B,D4924+1))</f>
        <v/>
      </c>
      <c r="G4924" t="str">
        <f>IF(D4924="","",INDEX(Knutepunkter!$C:$C,D4924+1))</f>
        <v/>
      </c>
      <c r="H4924" t="str">
        <f>IF(D4924="","",INDEX(Knutepunkter!$D:$D,D4924+1))</f>
        <v/>
      </c>
      <c r="I4924" t="str">
        <f>IF(E4924="","",INDEX(Knutepunkter!$B:$B,E4924+1))</f>
        <v/>
      </c>
      <c r="J4924" t="str">
        <f>IF(E4924="","",INDEX(Knutepunkter!$C:$C,E4924+1))</f>
        <v/>
      </c>
      <c r="K4924" t="str">
        <f>IF(E4924="","",INDEX(Knutepunkter!$D:$D,E4924+1))</f>
        <v/>
      </c>
      <c r="L4924" t="str">
        <f t="shared" si="383"/>
        <v/>
      </c>
      <c r="M4924" t="str">
        <f t="shared" si="384"/>
        <v/>
      </c>
    </row>
    <row r="4925" spans="1:13" x14ac:dyDescent="0.3">
      <c r="A4925" t="str">
        <f>Segmenter!A4925</f>
        <v/>
      </c>
      <c r="B4925" t="str">
        <f>Segmenter!B4925</f>
        <v/>
      </c>
      <c r="C4925" t="str">
        <f t="shared" si="380"/>
        <v/>
      </c>
      <c r="D4925" t="str">
        <f t="shared" si="381"/>
        <v/>
      </c>
      <c r="E4925" t="str">
        <f t="shared" si="382"/>
        <v/>
      </c>
      <c r="F4925" t="str">
        <f>IF(D4925="","",INDEX(Knutepunkter!$B:$B,D4925+1))</f>
        <v/>
      </c>
      <c r="G4925" t="str">
        <f>IF(D4925="","",INDEX(Knutepunkter!$C:$C,D4925+1))</f>
        <v/>
      </c>
      <c r="H4925" t="str">
        <f>IF(D4925="","",INDEX(Knutepunkter!$D:$D,D4925+1))</f>
        <v/>
      </c>
      <c r="I4925" t="str">
        <f>IF(E4925="","",INDEX(Knutepunkter!$B:$B,E4925+1))</f>
        <v/>
      </c>
      <c r="J4925" t="str">
        <f>IF(E4925="","",INDEX(Knutepunkter!$C:$C,E4925+1))</f>
        <v/>
      </c>
      <c r="K4925" t="str">
        <f>IF(E4925="","",INDEX(Knutepunkter!$D:$D,E4925+1))</f>
        <v/>
      </c>
      <c r="L4925" t="str">
        <f t="shared" si="383"/>
        <v/>
      </c>
      <c r="M4925" t="str">
        <f t="shared" si="384"/>
        <v/>
      </c>
    </row>
    <row r="4926" spans="1:13" x14ac:dyDescent="0.3">
      <c r="A4926" t="str">
        <f>Segmenter!A4926</f>
        <v/>
      </c>
      <c r="B4926" t="str">
        <f>Segmenter!B4926</f>
        <v/>
      </c>
      <c r="C4926" t="str">
        <f t="shared" si="380"/>
        <v/>
      </c>
      <c r="D4926" t="str">
        <f t="shared" si="381"/>
        <v/>
      </c>
      <c r="E4926" t="str">
        <f t="shared" si="382"/>
        <v/>
      </c>
      <c r="F4926" t="str">
        <f>IF(D4926="","",INDEX(Knutepunkter!$B:$B,D4926+1))</f>
        <v/>
      </c>
      <c r="G4926" t="str">
        <f>IF(D4926="","",INDEX(Knutepunkter!$C:$C,D4926+1))</f>
        <v/>
      </c>
      <c r="H4926" t="str">
        <f>IF(D4926="","",INDEX(Knutepunkter!$D:$D,D4926+1))</f>
        <v/>
      </c>
      <c r="I4926" t="str">
        <f>IF(E4926="","",INDEX(Knutepunkter!$B:$B,E4926+1))</f>
        <v/>
      </c>
      <c r="J4926" t="str">
        <f>IF(E4926="","",INDEX(Knutepunkter!$C:$C,E4926+1))</f>
        <v/>
      </c>
      <c r="K4926" t="str">
        <f>IF(E4926="","",INDEX(Knutepunkter!$D:$D,E4926+1))</f>
        <v/>
      </c>
      <c r="L4926" t="str">
        <f t="shared" si="383"/>
        <v/>
      </c>
      <c r="M4926" t="str">
        <f t="shared" si="384"/>
        <v/>
      </c>
    </row>
    <row r="4927" spans="1:13" x14ac:dyDescent="0.3">
      <c r="A4927" t="str">
        <f>Segmenter!A4927</f>
        <v/>
      </c>
      <c r="B4927" t="str">
        <f>Segmenter!B4927</f>
        <v/>
      </c>
      <c r="C4927" t="str">
        <f t="shared" si="380"/>
        <v/>
      </c>
      <c r="D4927" t="str">
        <f t="shared" si="381"/>
        <v/>
      </c>
      <c r="E4927" t="str">
        <f t="shared" si="382"/>
        <v/>
      </c>
      <c r="F4927" t="str">
        <f>IF(D4927="","",INDEX(Knutepunkter!$B:$B,D4927+1))</f>
        <v/>
      </c>
      <c r="G4927" t="str">
        <f>IF(D4927="","",INDEX(Knutepunkter!$C:$C,D4927+1))</f>
        <v/>
      </c>
      <c r="H4927" t="str">
        <f>IF(D4927="","",INDEX(Knutepunkter!$D:$D,D4927+1))</f>
        <v/>
      </c>
      <c r="I4927" t="str">
        <f>IF(E4927="","",INDEX(Knutepunkter!$B:$B,E4927+1))</f>
        <v/>
      </c>
      <c r="J4927" t="str">
        <f>IF(E4927="","",INDEX(Knutepunkter!$C:$C,E4927+1))</f>
        <v/>
      </c>
      <c r="K4927" t="str">
        <f>IF(E4927="","",INDEX(Knutepunkter!$D:$D,E4927+1))</f>
        <v/>
      </c>
      <c r="L4927" t="str">
        <f t="shared" si="383"/>
        <v/>
      </c>
      <c r="M4927" t="str">
        <f t="shared" si="384"/>
        <v/>
      </c>
    </row>
    <row r="4928" spans="1:13" x14ac:dyDescent="0.3">
      <c r="A4928" t="str">
        <f>Segmenter!A4928</f>
        <v/>
      </c>
      <c r="B4928" t="str">
        <f>Segmenter!B4928</f>
        <v/>
      </c>
      <c r="C4928" t="str">
        <f t="shared" si="380"/>
        <v/>
      </c>
      <c r="D4928" t="str">
        <f t="shared" si="381"/>
        <v/>
      </c>
      <c r="E4928" t="str">
        <f t="shared" si="382"/>
        <v/>
      </c>
      <c r="F4928" t="str">
        <f>IF(D4928="","",INDEX(Knutepunkter!$B:$B,D4928+1))</f>
        <v/>
      </c>
      <c r="G4928" t="str">
        <f>IF(D4928="","",INDEX(Knutepunkter!$C:$C,D4928+1))</f>
        <v/>
      </c>
      <c r="H4928" t="str">
        <f>IF(D4928="","",INDEX(Knutepunkter!$D:$D,D4928+1))</f>
        <v/>
      </c>
      <c r="I4928" t="str">
        <f>IF(E4928="","",INDEX(Knutepunkter!$B:$B,E4928+1))</f>
        <v/>
      </c>
      <c r="J4928" t="str">
        <f>IF(E4928="","",INDEX(Knutepunkter!$C:$C,E4928+1))</f>
        <v/>
      </c>
      <c r="K4928" t="str">
        <f>IF(E4928="","",INDEX(Knutepunkter!$D:$D,E4928+1))</f>
        <v/>
      </c>
      <c r="L4928" t="str">
        <f t="shared" si="383"/>
        <v/>
      </c>
      <c r="M4928" t="str">
        <f t="shared" si="384"/>
        <v/>
      </c>
    </row>
    <row r="4929" spans="1:13" x14ac:dyDescent="0.3">
      <c r="A4929" t="str">
        <f>Segmenter!A4929</f>
        <v/>
      </c>
      <c r="B4929" t="str">
        <f>Segmenter!B4929</f>
        <v/>
      </c>
      <c r="C4929" t="str">
        <f t="shared" si="380"/>
        <v/>
      </c>
      <c r="D4929" t="str">
        <f t="shared" si="381"/>
        <v/>
      </c>
      <c r="E4929" t="str">
        <f t="shared" si="382"/>
        <v/>
      </c>
      <c r="F4929" t="str">
        <f>IF(D4929="","",INDEX(Knutepunkter!$B:$B,D4929+1))</f>
        <v/>
      </c>
      <c r="G4929" t="str">
        <f>IF(D4929="","",INDEX(Knutepunkter!$C:$C,D4929+1))</f>
        <v/>
      </c>
      <c r="H4929" t="str">
        <f>IF(D4929="","",INDEX(Knutepunkter!$D:$D,D4929+1))</f>
        <v/>
      </c>
      <c r="I4929" t="str">
        <f>IF(E4929="","",INDEX(Knutepunkter!$B:$B,E4929+1))</f>
        <v/>
      </c>
      <c r="J4929" t="str">
        <f>IF(E4929="","",INDEX(Knutepunkter!$C:$C,E4929+1))</f>
        <v/>
      </c>
      <c r="K4929" t="str">
        <f>IF(E4929="","",INDEX(Knutepunkter!$D:$D,E4929+1))</f>
        <v/>
      </c>
      <c r="L4929" t="str">
        <f t="shared" si="383"/>
        <v/>
      </c>
      <c r="M4929" t="str">
        <f t="shared" si="384"/>
        <v/>
      </c>
    </row>
    <row r="4930" spans="1:13" x14ac:dyDescent="0.3">
      <c r="A4930" t="str">
        <f>Segmenter!A4930</f>
        <v/>
      </c>
      <c r="B4930" t="str">
        <f>Segmenter!B4930</f>
        <v/>
      </c>
      <c r="C4930" t="str">
        <f t="shared" ref="C4930:C4993" si="385">IF(B4930="","",IF(AND(F4930=I4930,G4930=J4930,H4930&lt;&gt;K4930),"Søyle","Bjelke"))</f>
        <v/>
      </c>
      <c r="D4930" t="str">
        <f t="shared" ref="D4930:D4993" si="386">IF(B4930="","",VALUE(LEFT(B4930,FIND(" -&gt; ",B4930)-1)))</f>
        <v/>
      </c>
      <c r="E4930" t="str">
        <f t="shared" ref="E4930:E4993" si="387">IF(B4930="","",VALUE(MID(B4930,FIND(" -&gt; ",B4930)+4,99)))</f>
        <v/>
      </c>
      <c r="F4930" t="str">
        <f>IF(D4930="","",INDEX(Knutepunkter!$B:$B,D4930+1))</f>
        <v/>
      </c>
      <c r="G4930" t="str">
        <f>IF(D4930="","",INDEX(Knutepunkter!$C:$C,D4930+1))</f>
        <v/>
      </c>
      <c r="H4930" t="str">
        <f>IF(D4930="","",INDEX(Knutepunkter!$D:$D,D4930+1))</f>
        <v/>
      </c>
      <c r="I4930" t="str">
        <f>IF(E4930="","",INDEX(Knutepunkter!$B:$B,E4930+1))</f>
        <v/>
      </c>
      <c r="J4930" t="str">
        <f>IF(E4930="","",INDEX(Knutepunkter!$C:$C,E4930+1))</f>
        <v/>
      </c>
      <c r="K4930" t="str">
        <f>IF(E4930="","",INDEX(Knutepunkter!$D:$D,E4930+1))</f>
        <v/>
      </c>
      <c r="L4930" t="str">
        <f t="shared" ref="L4930:L4993" si="388">IF(B4930="","",SQRT((I4930-F4930)^2+(J4930-G4930)^2+(K4930-H4930)^2))</f>
        <v/>
      </c>
      <c r="M4930" t="str">
        <f t="shared" ref="M4930:M4993" si="389">IF(L4930="","",L4930/1000)</f>
        <v/>
      </c>
    </row>
    <row r="4931" spans="1:13" x14ac:dyDescent="0.3">
      <c r="A4931" t="str">
        <f>Segmenter!A4931</f>
        <v/>
      </c>
      <c r="B4931" t="str">
        <f>Segmenter!B4931</f>
        <v/>
      </c>
      <c r="C4931" t="str">
        <f t="shared" si="385"/>
        <v/>
      </c>
      <c r="D4931" t="str">
        <f t="shared" si="386"/>
        <v/>
      </c>
      <c r="E4931" t="str">
        <f t="shared" si="387"/>
        <v/>
      </c>
      <c r="F4931" t="str">
        <f>IF(D4931="","",INDEX(Knutepunkter!$B:$B,D4931+1))</f>
        <v/>
      </c>
      <c r="G4931" t="str">
        <f>IF(D4931="","",INDEX(Knutepunkter!$C:$C,D4931+1))</f>
        <v/>
      </c>
      <c r="H4931" t="str">
        <f>IF(D4931="","",INDEX(Knutepunkter!$D:$D,D4931+1))</f>
        <v/>
      </c>
      <c r="I4931" t="str">
        <f>IF(E4931="","",INDEX(Knutepunkter!$B:$B,E4931+1))</f>
        <v/>
      </c>
      <c r="J4931" t="str">
        <f>IF(E4931="","",INDEX(Knutepunkter!$C:$C,E4931+1))</f>
        <v/>
      </c>
      <c r="K4931" t="str">
        <f>IF(E4931="","",INDEX(Knutepunkter!$D:$D,E4931+1))</f>
        <v/>
      </c>
      <c r="L4931" t="str">
        <f t="shared" si="388"/>
        <v/>
      </c>
      <c r="M4931" t="str">
        <f t="shared" si="389"/>
        <v/>
      </c>
    </row>
    <row r="4932" spans="1:13" x14ac:dyDescent="0.3">
      <c r="A4932" t="str">
        <f>Segmenter!A4932</f>
        <v/>
      </c>
      <c r="B4932" t="str">
        <f>Segmenter!B4932</f>
        <v/>
      </c>
      <c r="C4932" t="str">
        <f t="shared" si="385"/>
        <v/>
      </c>
      <c r="D4932" t="str">
        <f t="shared" si="386"/>
        <v/>
      </c>
      <c r="E4932" t="str">
        <f t="shared" si="387"/>
        <v/>
      </c>
      <c r="F4932" t="str">
        <f>IF(D4932="","",INDEX(Knutepunkter!$B:$B,D4932+1))</f>
        <v/>
      </c>
      <c r="G4932" t="str">
        <f>IF(D4932="","",INDEX(Knutepunkter!$C:$C,D4932+1))</f>
        <v/>
      </c>
      <c r="H4932" t="str">
        <f>IF(D4932="","",INDEX(Knutepunkter!$D:$D,D4932+1))</f>
        <v/>
      </c>
      <c r="I4932" t="str">
        <f>IF(E4932="","",INDEX(Knutepunkter!$B:$B,E4932+1))</f>
        <v/>
      </c>
      <c r="J4932" t="str">
        <f>IF(E4932="","",INDEX(Knutepunkter!$C:$C,E4932+1))</f>
        <v/>
      </c>
      <c r="K4932" t="str">
        <f>IF(E4932="","",INDEX(Knutepunkter!$D:$D,E4932+1))</f>
        <v/>
      </c>
      <c r="L4932" t="str">
        <f t="shared" si="388"/>
        <v/>
      </c>
      <c r="M4932" t="str">
        <f t="shared" si="389"/>
        <v/>
      </c>
    </row>
    <row r="4933" spans="1:13" x14ac:dyDescent="0.3">
      <c r="A4933" t="str">
        <f>Segmenter!A4933</f>
        <v/>
      </c>
      <c r="B4933" t="str">
        <f>Segmenter!B4933</f>
        <v/>
      </c>
      <c r="C4933" t="str">
        <f t="shared" si="385"/>
        <v/>
      </c>
      <c r="D4933" t="str">
        <f t="shared" si="386"/>
        <v/>
      </c>
      <c r="E4933" t="str">
        <f t="shared" si="387"/>
        <v/>
      </c>
      <c r="F4933" t="str">
        <f>IF(D4933="","",INDEX(Knutepunkter!$B:$B,D4933+1))</f>
        <v/>
      </c>
      <c r="G4933" t="str">
        <f>IF(D4933="","",INDEX(Knutepunkter!$C:$C,D4933+1))</f>
        <v/>
      </c>
      <c r="H4933" t="str">
        <f>IF(D4933="","",INDEX(Knutepunkter!$D:$D,D4933+1))</f>
        <v/>
      </c>
      <c r="I4933" t="str">
        <f>IF(E4933="","",INDEX(Knutepunkter!$B:$B,E4933+1))</f>
        <v/>
      </c>
      <c r="J4933" t="str">
        <f>IF(E4933="","",INDEX(Knutepunkter!$C:$C,E4933+1))</f>
        <v/>
      </c>
      <c r="K4933" t="str">
        <f>IF(E4933="","",INDEX(Knutepunkter!$D:$D,E4933+1))</f>
        <v/>
      </c>
      <c r="L4933" t="str">
        <f t="shared" si="388"/>
        <v/>
      </c>
      <c r="M4933" t="str">
        <f t="shared" si="389"/>
        <v/>
      </c>
    </row>
    <row r="4934" spans="1:13" x14ac:dyDescent="0.3">
      <c r="A4934" t="str">
        <f>Segmenter!A4934</f>
        <v/>
      </c>
      <c r="B4934" t="str">
        <f>Segmenter!B4934</f>
        <v/>
      </c>
      <c r="C4934" t="str">
        <f t="shared" si="385"/>
        <v/>
      </c>
      <c r="D4934" t="str">
        <f t="shared" si="386"/>
        <v/>
      </c>
      <c r="E4934" t="str">
        <f t="shared" si="387"/>
        <v/>
      </c>
      <c r="F4934" t="str">
        <f>IF(D4934="","",INDEX(Knutepunkter!$B:$B,D4934+1))</f>
        <v/>
      </c>
      <c r="G4934" t="str">
        <f>IF(D4934="","",INDEX(Knutepunkter!$C:$C,D4934+1))</f>
        <v/>
      </c>
      <c r="H4934" t="str">
        <f>IF(D4934="","",INDEX(Knutepunkter!$D:$D,D4934+1))</f>
        <v/>
      </c>
      <c r="I4934" t="str">
        <f>IF(E4934="","",INDEX(Knutepunkter!$B:$B,E4934+1))</f>
        <v/>
      </c>
      <c r="J4934" t="str">
        <f>IF(E4934="","",INDEX(Knutepunkter!$C:$C,E4934+1))</f>
        <v/>
      </c>
      <c r="K4934" t="str">
        <f>IF(E4934="","",INDEX(Knutepunkter!$D:$D,E4934+1))</f>
        <v/>
      </c>
      <c r="L4934" t="str">
        <f t="shared" si="388"/>
        <v/>
      </c>
      <c r="M4934" t="str">
        <f t="shared" si="389"/>
        <v/>
      </c>
    </row>
    <row r="4935" spans="1:13" x14ac:dyDescent="0.3">
      <c r="A4935" t="str">
        <f>Segmenter!A4935</f>
        <v/>
      </c>
      <c r="B4935" t="str">
        <f>Segmenter!B4935</f>
        <v/>
      </c>
      <c r="C4935" t="str">
        <f t="shared" si="385"/>
        <v/>
      </c>
      <c r="D4935" t="str">
        <f t="shared" si="386"/>
        <v/>
      </c>
      <c r="E4935" t="str">
        <f t="shared" si="387"/>
        <v/>
      </c>
      <c r="F4935" t="str">
        <f>IF(D4935="","",INDEX(Knutepunkter!$B:$B,D4935+1))</f>
        <v/>
      </c>
      <c r="G4935" t="str">
        <f>IF(D4935="","",INDEX(Knutepunkter!$C:$C,D4935+1))</f>
        <v/>
      </c>
      <c r="H4935" t="str">
        <f>IF(D4935="","",INDEX(Knutepunkter!$D:$D,D4935+1))</f>
        <v/>
      </c>
      <c r="I4935" t="str">
        <f>IF(E4935="","",INDEX(Knutepunkter!$B:$B,E4935+1))</f>
        <v/>
      </c>
      <c r="J4935" t="str">
        <f>IF(E4935="","",INDEX(Knutepunkter!$C:$C,E4935+1))</f>
        <v/>
      </c>
      <c r="K4935" t="str">
        <f>IF(E4935="","",INDEX(Knutepunkter!$D:$D,E4935+1))</f>
        <v/>
      </c>
      <c r="L4935" t="str">
        <f t="shared" si="388"/>
        <v/>
      </c>
      <c r="M4935" t="str">
        <f t="shared" si="389"/>
        <v/>
      </c>
    </row>
    <row r="4936" spans="1:13" x14ac:dyDescent="0.3">
      <c r="A4936" t="str">
        <f>Segmenter!A4936</f>
        <v/>
      </c>
      <c r="B4936" t="str">
        <f>Segmenter!B4936</f>
        <v/>
      </c>
      <c r="C4936" t="str">
        <f t="shared" si="385"/>
        <v/>
      </c>
      <c r="D4936" t="str">
        <f t="shared" si="386"/>
        <v/>
      </c>
      <c r="E4936" t="str">
        <f t="shared" si="387"/>
        <v/>
      </c>
      <c r="F4936" t="str">
        <f>IF(D4936="","",INDEX(Knutepunkter!$B:$B,D4936+1))</f>
        <v/>
      </c>
      <c r="G4936" t="str">
        <f>IF(D4936="","",INDEX(Knutepunkter!$C:$C,D4936+1))</f>
        <v/>
      </c>
      <c r="H4936" t="str">
        <f>IF(D4936="","",INDEX(Knutepunkter!$D:$D,D4936+1))</f>
        <v/>
      </c>
      <c r="I4936" t="str">
        <f>IF(E4936="","",INDEX(Knutepunkter!$B:$B,E4936+1))</f>
        <v/>
      </c>
      <c r="J4936" t="str">
        <f>IF(E4936="","",INDEX(Knutepunkter!$C:$C,E4936+1))</f>
        <v/>
      </c>
      <c r="K4936" t="str">
        <f>IF(E4936="","",INDEX(Knutepunkter!$D:$D,E4936+1))</f>
        <v/>
      </c>
      <c r="L4936" t="str">
        <f t="shared" si="388"/>
        <v/>
      </c>
      <c r="M4936" t="str">
        <f t="shared" si="389"/>
        <v/>
      </c>
    </row>
    <row r="4937" spans="1:13" x14ac:dyDescent="0.3">
      <c r="A4937" t="str">
        <f>Segmenter!A4937</f>
        <v/>
      </c>
      <c r="B4937" t="str">
        <f>Segmenter!B4937</f>
        <v/>
      </c>
      <c r="C4937" t="str">
        <f t="shared" si="385"/>
        <v/>
      </c>
      <c r="D4937" t="str">
        <f t="shared" si="386"/>
        <v/>
      </c>
      <c r="E4937" t="str">
        <f t="shared" si="387"/>
        <v/>
      </c>
      <c r="F4937" t="str">
        <f>IF(D4937="","",INDEX(Knutepunkter!$B:$B,D4937+1))</f>
        <v/>
      </c>
      <c r="G4937" t="str">
        <f>IF(D4937="","",INDEX(Knutepunkter!$C:$C,D4937+1))</f>
        <v/>
      </c>
      <c r="H4937" t="str">
        <f>IF(D4937="","",INDEX(Knutepunkter!$D:$D,D4937+1))</f>
        <v/>
      </c>
      <c r="I4937" t="str">
        <f>IF(E4937="","",INDEX(Knutepunkter!$B:$B,E4937+1))</f>
        <v/>
      </c>
      <c r="J4937" t="str">
        <f>IF(E4937="","",INDEX(Knutepunkter!$C:$C,E4937+1))</f>
        <v/>
      </c>
      <c r="K4937" t="str">
        <f>IF(E4937="","",INDEX(Knutepunkter!$D:$D,E4937+1))</f>
        <v/>
      </c>
      <c r="L4937" t="str">
        <f t="shared" si="388"/>
        <v/>
      </c>
      <c r="M4937" t="str">
        <f t="shared" si="389"/>
        <v/>
      </c>
    </row>
    <row r="4938" spans="1:13" x14ac:dyDescent="0.3">
      <c r="A4938" t="str">
        <f>Segmenter!A4938</f>
        <v/>
      </c>
      <c r="B4938" t="str">
        <f>Segmenter!B4938</f>
        <v/>
      </c>
      <c r="C4938" t="str">
        <f t="shared" si="385"/>
        <v/>
      </c>
      <c r="D4938" t="str">
        <f t="shared" si="386"/>
        <v/>
      </c>
      <c r="E4938" t="str">
        <f t="shared" si="387"/>
        <v/>
      </c>
      <c r="F4938" t="str">
        <f>IF(D4938="","",INDEX(Knutepunkter!$B:$B,D4938+1))</f>
        <v/>
      </c>
      <c r="G4938" t="str">
        <f>IF(D4938="","",INDEX(Knutepunkter!$C:$C,D4938+1))</f>
        <v/>
      </c>
      <c r="H4938" t="str">
        <f>IF(D4938="","",INDEX(Knutepunkter!$D:$D,D4938+1))</f>
        <v/>
      </c>
      <c r="I4938" t="str">
        <f>IF(E4938="","",INDEX(Knutepunkter!$B:$B,E4938+1))</f>
        <v/>
      </c>
      <c r="J4938" t="str">
        <f>IF(E4938="","",INDEX(Knutepunkter!$C:$C,E4938+1))</f>
        <v/>
      </c>
      <c r="K4938" t="str">
        <f>IF(E4938="","",INDEX(Knutepunkter!$D:$D,E4938+1))</f>
        <v/>
      </c>
      <c r="L4938" t="str">
        <f t="shared" si="388"/>
        <v/>
      </c>
      <c r="M4938" t="str">
        <f t="shared" si="389"/>
        <v/>
      </c>
    </row>
    <row r="4939" spans="1:13" x14ac:dyDescent="0.3">
      <c r="A4939" t="str">
        <f>Segmenter!A4939</f>
        <v/>
      </c>
      <c r="B4939" t="str">
        <f>Segmenter!B4939</f>
        <v/>
      </c>
      <c r="C4939" t="str">
        <f t="shared" si="385"/>
        <v/>
      </c>
      <c r="D4939" t="str">
        <f t="shared" si="386"/>
        <v/>
      </c>
      <c r="E4939" t="str">
        <f t="shared" si="387"/>
        <v/>
      </c>
      <c r="F4939" t="str">
        <f>IF(D4939="","",INDEX(Knutepunkter!$B:$B,D4939+1))</f>
        <v/>
      </c>
      <c r="G4939" t="str">
        <f>IF(D4939="","",INDEX(Knutepunkter!$C:$C,D4939+1))</f>
        <v/>
      </c>
      <c r="H4939" t="str">
        <f>IF(D4939="","",INDEX(Knutepunkter!$D:$D,D4939+1))</f>
        <v/>
      </c>
      <c r="I4939" t="str">
        <f>IF(E4939="","",INDEX(Knutepunkter!$B:$B,E4939+1))</f>
        <v/>
      </c>
      <c r="J4939" t="str">
        <f>IF(E4939="","",INDEX(Knutepunkter!$C:$C,E4939+1))</f>
        <v/>
      </c>
      <c r="K4939" t="str">
        <f>IF(E4939="","",INDEX(Knutepunkter!$D:$D,E4939+1))</f>
        <v/>
      </c>
      <c r="L4939" t="str">
        <f t="shared" si="388"/>
        <v/>
      </c>
      <c r="M4939" t="str">
        <f t="shared" si="389"/>
        <v/>
      </c>
    </row>
    <row r="4940" spans="1:13" x14ac:dyDescent="0.3">
      <c r="A4940" t="str">
        <f>Segmenter!A4940</f>
        <v/>
      </c>
      <c r="B4940" t="str">
        <f>Segmenter!B4940</f>
        <v/>
      </c>
      <c r="C4940" t="str">
        <f t="shared" si="385"/>
        <v/>
      </c>
      <c r="D4940" t="str">
        <f t="shared" si="386"/>
        <v/>
      </c>
      <c r="E4940" t="str">
        <f t="shared" si="387"/>
        <v/>
      </c>
      <c r="F4940" t="str">
        <f>IF(D4940="","",INDEX(Knutepunkter!$B:$B,D4940+1))</f>
        <v/>
      </c>
      <c r="G4940" t="str">
        <f>IF(D4940="","",INDEX(Knutepunkter!$C:$C,D4940+1))</f>
        <v/>
      </c>
      <c r="H4940" t="str">
        <f>IF(D4940="","",INDEX(Knutepunkter!$D:$D,D4940+1))</f>
        <v/>
      </c>
      <c r="I4940" t="str">
        <f>IF(E4940="","",INDEX(Knutepunkter!$B:$B,E4940+1))</f>
        <v/>
      </c>
      <c r="J4940" t="str">
        <f>IF(E4940="","",INDEX(Knutepunkter!$C:$C,E4940+1))</f>
        <v/>
      </c>
      <c r="K4940" t="str">
        <f>IF(E4940="","",INDEX(Knutepunkter!$D:$D,E4940+1))</f>
        <v/>
      </c>
      <c r="L4940" t="str">
        <f t="shared" si="388"/>
        <v/>
      </c>
      <c r="M4940" t="str">
        <f t="shared" si="389"/>
        <v/>
      </c>
    </row>
    <row r="4941" spans="1:13" x14ac:dyDescent="0.3">
      <c r="A4941" t="str">
        <f>Segmenter!A4941</f>
        <v/>
      </c>
      <c r="B4941" t="str">
        <f>Segmenter!B4941</f>
        <v/>
      </c>
      <c r="C4941" t="str">
        <f t="shared" si="385"/>
        <v/>
      </c>
      <c r="D4941" t="str">
        <f t="shared" si="386"/>
        <v/>
      </c>
      <c r="E4941" t="str">
        <f t="shared" si="387"/>
        <v/>
      </c>
      <c r="F4941" t="str">
        <f>IF(D4941="","",INDEX(Knutepunkter!$B:$B,D4941+1))</f>
        <v/>
      </c>
      <c r="G4941" t="str">
        <f>IF(D4941="","",INDEX(Knutepunkter!$C:$C,D4941+1))</f>
        <v/>
      </c>
      <c r="H4941" t="str">
        <f>IF(D4941="","",INDEX(Knutepunkter!$D:$D,D4941+1))</f>
        <v/>
      </c>
      <c r="I4941" t="str">
        <f>IF(E4941="","",INDEX(Knutepunkter!$B:$B,E4941+1))</f>
        <v/>
      </c>
      <c r="J4941" t="str">
        <f>IF(E4941="","",INDEX(Knutepunkter!$C:$C,E4941+1))</f>
        <v/>
      </c>
      <c r="K4941" t="str">
        <f>IF(E4941="","",INDEX(Knutepunkter!$D:$D,E4941+1))</f>
        <v/>
      </c>
      <c r="L4941" t="str">
        <f t="shared" si="388"/>
        <v/>
      </c>
      <c r="M4941" t="str">
        <f t="shared" si="389"/>
        <v/>
      </c>
    </row>
    <row r="4942" spans="1:13" x14ac:dyDescent="0.3">
      <c r="A4942" t="str">
        <f>Segmenter!A4942</f>
        <v/>
      </c>
      <c r="B4942" t="str">
        <f>Segmenter!B4942</f>
        <v/>
      </c>
      <c r="C4942" t="str">
        <f t="shared" si="385"/>
        <v/>
      </c>
      <c r="D4942" t="str">
        <f t="shared" si="386"/>
        <v/>
      </c>
      <c r="E4942" t="str">
        <f t="shared" si="387"/>
        <v/>
      </c>
      <c r="F4942" t="str">
        <f>IF(D4942="","",INDEX(Knutepunkter!$B:$B,D4942+1))</f>
        <v/>
      </c>
      <c r="G4942" t="str">
        <f>IF(D4942="","",INDEX(Knutepunkter!$C:$C,D4942+1))</f>
        <v/>
      </c>
      <c r="H4942" t="str">
        <f>IF(D4942="","",INDEX(Knutepunkter!$D:$D,D4942+1))</f>
        <v/>
      </c>
      <c r="I4942" t="str">
        <f>IF(E4942="","",INDEX(Knutepunkter!$B:$B,E4942+1))</f>
        <v/>
      </c>
      <c r="J4942" t="str">
        <f>IF(E4942="","",INDEX(Knutepunkter!$C:$C,E4942+1))</f>
        <v/>
      </c>
      <c r="K4942" t="str">
        <f>IF(E4942="","",INDEX(Knutepunkter!$D:$D,E4942+1))</f>
        <v/>
      </c>
      <c r="L4942" t="str">
        <f t="shared" si="388"/>
        <v/>
      </c>
      <c r="M4942" t="str">
        <f t="shared" si="389"/>
        <v/>
      </c>
    </row>
    <row r="4943" spans="1:13" x14ac:dyDescent="0.3">
      <c r="A4943" t="str">
        <f>Segmenter!A4943</f>
        <v/>
      </c>
      <c r="B4943" t="str">
        <f>Segmenter!B4943</f>
        <v/>
      </c>
      <c r="C4943" t="str">
        <f t="shared" si="385"/>
        <v/>
      </c>
      <c r="D4943" t="str">
        <f t="shared" si="386"/>
        <v/>
      </c>
      <c r="E4943" t="str">
        <f t="shared" si="387"/>
        <v/>
      </c>
      <c r="F4943" t="str">
        <f>IF(D4943="","",INDEX(Knutepunkter!$B:$B,D4943+1))</f>
        <v/>
      </c>
      <c r="G4943" t="str">
        <f>IF(D4943="","",INDEX(Knutepunkter!$C:$C,D4943+1))</f>
        <v/>
      </c>
      <c r="H4943" t="str">
        <f>IF(D4943="","",INDEX(Knutepunkter!$D:$D,D4943+1))</f>
        <v/>
      </c>
      <c r="I4943" t="str">
        <f>IF(E4943="","",INDEX(Knutepunkter!$B:$B,E4943+1))</f>
        <v/>
      </c>
      <c r="J4943" t="str">
        <f>IF(E4943="","",INDEX(Knutepunkter!$C:$C,E4943+1))</f>
        <v/>
      </c>
      <c r="K4943" t="str">
        <f>IF(E4943="","",INDEX(Knutepunkter!$D:$D,E4943+1))</f>
        <v/>
      </c>
      <c r="L4943" t="str">
        <f t="shared" si="388"/>
        <v/>
      </c>
      <c r="M4943" t="str">
        <f t="shared" si="389"/>
        <v/>
      </c>
    </row>
    <row r="4944" spans="1:13" x14ac:dyDescent="0.3">
      <c r="A4944" t="str">
        <f>Segmenter!A4944</f>
        <v/>
      </c>
      <c r="B4944" t="str">
        <f>Segmenter!B4944</f>
        <v/>
      </c>
      <c r="C4944" t="str">
        <f t="shared" si="385"/>
        <v/>
      </c>
      <c r="D4944" t="str">
        <f t="shared" si="386"/>
        <v/>
      </c>
      <c r="E4944" t="str">
        <f t="shared" si="387"/>
        <v/>
      </c>
      <c r="F4944" t="str">
        <f>IF(D4944="","",INDEX(Knutepunkter!$B:$B,D4944+1))</f>
        <v/>
      </c>
      <c r="G4944" t="str">
        <f>IF(D4944="","",INDEX(Knutepunkter!$C:$C,D4944+1))</f>
        <v/>
      </c>
      <c r="H4944" t="str">
        <f>IF(D4944="","",INDEX(Knutepunkter!$D:$D,D4944+1))</f>
        <v/>
      </c>
      <c r="I4944" t="str">
        <f>IF(E4944="","",INDEX(Knutepunkter!$B:$B,E4944+1))</f>
        <v/>
      </c>
      <c r="J4944" t="str">
        <f>IF(E4944="","",INDEX(Knutepunkter!$C:$C,E4944+1))</f>
        <v/>
      </c>
      <c r="K4944" t="str">
        <f>IF(E4944="","",INDEX(Knutepunkter!$D:$D,E4944+1))</f>
        <v/>
      </c>
      <c r="L4944" t="str">
        <f t="shared" si="388"/>
        <v/>
      </c>
      <c r="M4944" t="str">
        <f t="shared" si="389"/>
        <v/>
      </c>
    </row>
    <row r="4945" spans="1:13" x14ac:dyDescent="0.3">
      <c r="A4945" t="str">
        <f>Segmenter!A4945</f>
        <v/>
      </c>
      <c r="B4945" t="str">
        <f>Segmenter!B4945</f>
        <v/>
      </c>
      <c r="C4945" t="str">
        <f t="shared" si="385"/>
        <v/>
      </c>
      <c r="D4945" t="str">
        <f t="shared" si="386"/>
        <v/>
      </c>
      <c r="E4945" t="str">
        <f t="shared" si="387"/>
        <v/>
      </c>
      <c r="F4945" t="str">
        <f>IF(D4945="","",INDEX(Knutepunkter!$B:$B,D4945+1))</f>
        <v/>
      </c>
      <c r="G4945" t="str">
        <f>IF(D4945="","",INDEX(Knutepunkter!$C:$C,D4945+1))</f>
        <v/>
      </c>
      <c r="H4945" t="str">
        <f>IF(D4945="","",INDEX(Knutepunkter!$D:$D,D4945+1))</f>
        <v/>
      </c>
      <c r="I4945" t="str">
        <f>IF(E4945="","",INDEX(Knutepunkter!$B:$B,E4945+1))</f>
        <v/>
      </c>
      <c r="J4945" t="str">
        <f>IF(E4945="","",INDEX(Knutepunkter!$C:$C,E4945+1))</f>
        <v/>
      </c>
      <c r="K4945" t="str">
        <f>IF(E4945="","",INDEX(Knutepunkter!$D:$D,E4945+1))</f>
        <v/>
      </c>
      <c r="L4945" t="str">
        <f t="shared" si="388"/>
        <v/>
      </c>
      <c r="M4945" t="str">
        <f t="shared" si="389"/>
        <v/>
      </c>
    </row>
    <row r="4946" spans="1:13" x14ac:dyDescent="0.3">
      <c r="A4946" t="str">
        <f>Segmenter!A4946</f>
        <v/>
      </c>
      <c r="B4946" t="str">
        <f>Segmenter!B4946</f>
        <v/>
      </c>
      <c r="C4946" t="str">
        <f t="shared" si="385"/>
        <v/>
      </c>
      <c r="D4946" t="str">
        <f t="shared" si="386"/>
        <v/>
      </c>
      <c r="E4946" t="str">
        <f t="shared" si="387"/>
        <v/>
      </c>
      <c r="F4946" t="str">
        <f>IF(D4946="","",INDEX(Knutepunkter!$B:$B,D4946+1))</f>
        <v/>
      </c>
      <c r="G4946" t="str">
        <f>IF(D4946="","",INDEX(Knutepunkter!$C:$C,D4946+1))</f>
        <v/>
      </c>
      <c r="H4946" t="str">
        <f>IF(D4946="","",INDEX(Knutepunkter!$D:$D,D4946+1))</f>
        <v/>
      </c>
      <c r="I4946" t="str">
        <f>IF(E4946="","",INDEX(Knutepunkter!$B:$B,E4946+1))</f>
        <v/>
      </c>
      <c r="J4946" t="str">
        <f>IF(E4946="","",INDEX(Knutepunkter!$C:$C,E4946+1))</f>
        <v/>
      </c>
      <c r="K4946" t="str">
        <f>IF(E4946="","",INDEX(Knutepunkter!$D:$D,E4946+1))</f>
        <v/>
      </c>
      <c r="L4946" t="str">
        <f t="shared" si="388"/>
        <v/>
      </c>
      <c r="M4946" t="str">
        <f t="shared" si="389"/>
        <v/>
      </c>
    </row>
    <row r="4947" spans="1:13" x14ac:dyDescent="0.3">
      <c r="A4947" t="str">
        <f>Segmenter!A4947</f>
        <v/>
      </c>
      <c r="B4947" t="str">
        <f>Segmenter!B4947</f>
        <v/>
      </c>
      <c r="C4947" t="str">
        <f t="shared" si="385"/>
        <v/>
      </c>
      <c r="D4947" t="str">
        <f t="shared" si="386"/>
        <v/>
      </c>
      <c r="E4947" t="str">
        <f t="shared" si="387"/>
        <v/>
      </c>
      <c r="F4947" t="str">
        <f>IF(D4947="","",INDEX(Knutepunkter!$B:$B,D4947+1))</f>
        <v/>
      </c>
      <c r="G4947" t="str">
        <f>IF(D4947="","",INDEX(Knutepunkter!$C:$C,D4947+1))</f>
        <v/>
      </c>
      <c r="H4947" t="str">
        <f>IF(D4947="","",INDEX(Knutepunkter!$D:$D,D4947+1))</f>
        <v/>
      </c>
      <c r="I4947" t="str">
        <f>IF(E4947="","",INDEX(Knutepunkter!$B:$B,E4947+1))</f>
        <v/>
      </c>
      <c r="J4947" t="str">
        <f>IF(E4947="","",INDEX(Knutepunkter!$C:$C,E4947+1))</f>
        <v/>
      </c>
      <c r="K4947" t="str">
        <f>IF(E4947="","",INDEX(Knutepunkter!$D:$D,E4947+1))</f>
        <v/>
      </c>
      <c r="L4947" t="str">
        <f t="shared" si="388"/>
        <v/>
      </c>
      <c r="M4947" t="str">
        <f t="shared" si="389"/>
        <v/>
      </c>
    </row>
    <row r="4948" spans="1:13" x14ac:dyDescent="0.3">
      <c r="A4948" t="str">
        <f>Segmenter!A4948</f>
        <v/>
      </c>
      <c r="B4948" t="str">
        <f>Segmenter!B4948</f>
        <v/>
      </c>
      <c r="C4948" t="str">
        <f t="shared" si="385"/>
        <v/>
      </c>
      <c r="D4948" t="str">
        <f t="shared" si="386"/>
        <v/>
      </c>
      <c r="E4948" t="str">
        <f t="shared" si="387"/>
        <v/>
      </c>
      <c r="F4948" t="str">
        <f>IF(D4948="","",INDEX(Knutepunkter!$B:$B,D4948+1))</f>
        <v/>
      </c>
      <c r="G4948" t="str">
        <f>IF(D4948="","",INDEX(Knutepunkter!$C:$C,D4948+1))</f>
        <v/>
      </c>
      <c r="H4948" t="str">
        <f>IF(D4948="","",INDEX(Knutepunkter!$D:$D,D4948+1))</f>
        <v/>
      </c>
      <c r="I4948" t="str">
        <f>IF(E4948="","",INDEX(Knutepunkter!$B:$B,E4948+1))</f>
        <v/>
      </c>
      <c r="J4948" t="str">
        <f>IF(E4948="","",INDEX(Knutepunkter!$C:$C,E4948+1))</f>
        <v/>
      </c>
      <c r="K4948" t="str">
        <f>IF(E4948="","",INDEX(Knutepunkter!$D:$D,E4948+1))</f>
        <v/>
      </c>
      <c r="L4948" t="str">
        <f t="shared" si="388"/>
        <v/>
      </c>
      <c r="M4948" t="str">
        <f t="shared" si="389"/>
        <v/>
      </c>
    </row>
    <row r="4949" spans="1:13" x14ac:dyDescent="0.3">
      <c r="A4949" t="str">
        <f>Segmenter!A4949</f>
        <v/>
      </c>
      <c r="B4949" t="str">
        <f>Segmenter!B4949</f>
        <v/>
      </c>
      <c r="C4949" t="str">
        <f t="shared" si="385"/>
        <v/>
      </c>
      <c r="D4949" t="str">
        <f t="shared" si="386"/>
        <v/>
      </c>
      <c r="E4949" t="str">
        <f t="shared" si="387"/>
        <v/>
      </c>
      <c r="F4949" t="str">
        <f>IF(D4949="","",INDEX(Knutepunkter!$B:$B,D4949+1))</f>
        <v/>
      </c>
      <c r="G4949" t="str">
        <f>IF(D4949="","",INDEX(Knutepunkter!$C:$C,D4949+1))</f>
        <v/>
      </c>
      <c r="H4949" t="str">
        <f>IF(D4949="","",INDEX(Knutepunkter!$D:$D,D4949+1))</f>
        <v/>
      </c>
      <c r="I4949" t="str">
        <f>IF(E4949="","",INDEX(Knutepunkter!$B:$B,E4949+1))</f>
        <v/>
      </c>
      <c r="J4949" t="str">
        <f>IF(E4949="","",INDEX(Knutepunkter!$C:$C,E4949+1))</f>
        <v/>
      </c>
      <c r="K4949" t="str">
        <f>IF(E4949="","",INDEX(Knutepunkter!$D:$D,E4949+1))</f>
        <v/>
      </c>
      <c r="L4949" t="str">
        <f t="shared" si="388"/>
        <v/>
      </c>
      <c r="M4949" t="str">
        <f t="shared" si="389"/>
        <v/>
      </c>
    </row>
    <row r="4950" spans="1:13" x14ac:dyDescent="0.3">
      <c r="A4950" t="str">
        <f>Segmenter!A4950</f>
        <v/>
      </c>
      <c r="B4950" t="str">
        <f>Segmenter!B4950</f>
        <v/>
      </c>
      <c r="C4950" t="str">
        <f t="shared" si="385"/>
        <v/>
      </c>
      <c r="D4950" t="str">
        <f t="shared" si="386"/>
        <v/>
      </c>
      <c r="E4950" t="str">
        <f t="shared" si="387"/>
        <v/>
      </c>
      <c r="F4950" t="str">
        <f>IF(D4950="","",INDEX(Knutepunkter!$B:$B,D4950+1))</f>
        <v/>
      </c>
      <c r="G4950" t="str">
        <f>IF(D4950="","",INDEX(Knutepunkter!$C:$C,D4950+1))</f>
        <v/>
      </c>
      <c r="H4950" t="str">
        <f>IF(D4950="","",INDEX(Knutepunkter!$D:$D,D4950+1))</f>
        <v/>
      </c>
      <c r="I4950" t="str">
        <f>IF(E4950="","",INDEX(Knutepunkter!$B:$B,E4950+1))</f>
        <v/>
      </c>
      <c r="J4950" t="str">
        <f>IF(E4950="","",INDEX(Knutepunkter!$C:$C,E4950+1))</f>
        <v/>
      </c>
      <c r="K4950" t="str">
        <f>IF(E4950="","",INDEX(Knutepunkter!$D:$D,E4950+1))</f>
        <v/>
      </c>
      <c r="L4950" t="str">
        <f t="shared" si="388"/>
        <v/>
      </c>
      <c r="M4950" t="str">
        <f t="shared" si="389"/>
        <v/>
      </c>
    </row>
    <row r="4951" spans="1:13" x14ac:dyDescent="0.3">
      <c r="A4951" t="str">
        <f>Segmenter!A4951</f>
        <v/>
      </c>
      <c r="B4951" t="str">
        <f>Segmenter!B4951</f>
        <v/>
      </c>
      <c r="C4951" t="str">
        <f t="shared" si="385"/>
        <v/>
      </c>
      <c r="D4951" t="str">
        <f t="shared" si="386"/>
        <v/>
      </c>
      <c r="E4951" t="str">
        <f t="shared" si="387"/>
        <v/>
      </c>
      <c r="F4951" t="str">
        <f>IF(D4951="","",INDEX(Knutepunkter!$B:$B,D4951+1))</f>
        <v/>
      </c>
      <c r="G4951" t="str">
        <f>IF(D4951="","",INDEX(Knutepunkter!$C:$C,D4951+1))</f>
        <v/>
      </c>
      <c r="H4951" t="str">
        <f>IF(D4951="","",INDEX(Knutepunkter!$D:$D,D4951+1))</f>
        <v/>
      </c>
      <c r="I4951" t="str">
        <f>IF(E4951="","",INDEX(Knutepunkter!$B:$B,E4951+1))</f>
        <v/>
      </c>
      <c r="J4951" t="str">
        <f>IF(E4951="","",INDEX(Knutepunkter!$C:$C,E4951+1))</f>
        <v/>
      </c>
      <c r="K4951" t="str">
        <f>IF(E4951="","",INDEX(Knutepunkter!$D:$D,E4951+1))</f>
        <v/>
      </c>
      <c r="L4951" t="str">
        <f t="shared" si="388"/>
        <v/>
      </c>
      <c r="M4951" t="str">
        <f t="shared" si="389"/>
        <v/>
      </c>
    </row>
    <row r="4952" spans="1:13" x14ac:dyDescent="0.3">
      <c r="A4952" t="str">
        <f>Segmenter!A4952</f>
        <v/>
      </c>
      <c r="B4952" t="str">
        <f>Segmenter!B4952</f>
        <v/>
      </c>
      <c r="C4952" t="str">
        <f t="shared" si="385"/>
        <v/>
      </c>
      <c r="D4952" t="str">
        <f t="shared" si="386"/>
        <v/>
      </c>
      <c r="E4952" t="str">
        <f t="shared" si="387"/>
        <v/>
      </c>
      <c r="F4952" t="str">
        <f>IF(D4952="","",INDEX(Knutepunkter!$B:$B,D4952+1))</f>
        <v/>
      </c>
      <c r="G4952" t="str">
        <f>IF(D4952="","",INDEX(Knutepunkter!$C:$C,D4952+1))</f>
        <v/>
      </c>
      <c r="H4952" t="str">
        <f>IF(D4952="","",INDEX(Knutepunkter!$D:$D,D4952+1))</f>
        <v/>
      </c>
      <c r="I4952" t="str">
        <f>IF(E4952="","",INDEX(Knutepunkter!$B:$B,E4952+1))</f>
        <v/>
      </c>
      <c r="J4952" t="str">
        <f>IF(E4952="","",INDEX(Knutepunkter!$C:$C,E4952+1))</f>
        <v/>
      </c>
      <c r="K4952" t="str">
        <f>IF(E4952="","",INDEX(Knutepunkter!$D:$D,E4952+1))</f>
        <v/>
      </c>
      <c r="L4952" t="str">
        <f t="shared" si="388"/>
        <v/>
      </c>
      <c r="M4952" t="str">
        <f t="shared" si="389"/>
        <v/>
      </c>
    </row>
    <row r="4953" spans="1:13" x14ac:dyDescent="0.3">
      <c r="A4953" t="str">
        <f>Segmenter!A4953</f>
        <v/>
      </c>
      <c r="B4953" t="str">
        <f>Segmenter!B4953</f>
        <v/>
      </c>
      <c r="C4953" t="str">
        <f t="shared" si="385"/>
        <v/>
      </c>
      <c r="D4953" t="str">
        <f t="shared" si="386"/>
        <v/>
      </c>
      <c r="E4953" t="str">
        <f t="shared" si="387"/>
        <v/>
      </c>
      <c r="F4953" t="str">
        <f>IF(D4953="","",INDEX(Knutepunkter!$B:$B,D4953+1))</f>
        <v/>
      </c>
      <c r="G4953" t="str">
        <f>IF(D4953="","",INDEX(Knutepunkter!$C:$C,D4953+1))</f>
        <v/>
      </c>
      <c r="H4953" t="str">
        <f>IF(D4953="","",INDEX(Knutepunkter!$D:$D,D4953+1))</f>
        <v/>
      </c>
      <c r="I4953" t="str">
        <f>IF(E4953="","",INDEX(Knutepunkter!$B:$B,E4953+1))</f>
        <v/>
      </c>
      <c r="J4953" t="str">
        <f>IF(E4953="","",INDEX(Knutepunkter!$C:$C,E4953+1))</f>
        <v/>
      </c>
      <c r="K4953" t="str">
        <f>IF(E4953="","",INDEX(Knutepunkter!$D:$D,E4953+1))</f>
        <v/>
      </c>
      <c r="L4953" t="str">
        <f t="shared" si="388"/>
        <v/>
      </c>
      <c r="M4953" t="str">
        <f t="shared" si="389"/>
        <v/>
      </c>
    </row>
    <row r="4954" spans="1:13" x14ac:dyDescent="0.3">
      <c r="A4954" t="str">
        <f>Segmenter!A4954</f>
        <v/>
      </c>
      <c r="B4954" t="str">
        <f>Segmenter!B4954</f>
        <v/>
      </c>
      <c r="C4954" t="str">
        <f t="shared" si="385"/>
        <v/>
      </c>
      <c r="D4954" t="str">
        <f t="shared" si="386"/>
        <v/>
      </c>
      <c r="E4954" t="str">
        <f t="shared" si="387"/>
        <v/>
      </c>
      <c r="F4954" t="str">
        <f>IF(D4954="","",INDEX(Knutepunkter!$B:$B,D4954+1))</f>
        <v/>
      </c>
      <c r="G4954" t="str">
        <f>IF(D4954="","",INDEX(Knutepunkter!$C:$C,D4954+1))</f>
        <v/>
      </c>
      <c r="H4954" t="str">
        <f>IF(D4954="","",INDEX(Knutepunkter!$D:$D,D4954+1))</f>
        <v/>
      </c>
      <c r="I4954" t="str">
        <f>IF(E4954="","",INDEX(Knutepunkter!$B:$B,E4954+1))</f>
        <v/>
      </c>
      <c r="J4954" t="str">
        <f>IF(E4954="","",INDEX(Knutepunkter!$C:$C,E4954+1))</f>
        <v/>
      </c>
      <c r="K4954" t="str">
        <f>IF(E4954="","",INDEX(Knutepunkter!$D:$D,E4954+1))</f>
        <v/>
      </c>
      <c r="L4954" t="str">
        <f t="shared" si="388"/>
        <v/>
      </c>
      <c r="M4954" t="str">
        <f t="shared" si="389"/>
        <v/>
      </c>
    </row>
    <row r="4955" spans="1:13" x14ac:dyDescent="0.3">
      <c r="A4955" t="str">
        <f>Segmenter!A4955</f>
        <v/>
      </c>
      <c r="B4955" t="str">
        <f>Segmenter!B4955</f>
        <v/>
      </c>
      <c r="C4955" t="str">
        <f t="shared" si="385"/>
        <v/>
      </c>
      <c r="D4955" t="str">
        <f t="shared" si="386"/>
        <v/>
      </c>
      <c r="E4955" t="str">
        <f t="shared" si="387"/>
        <v/>
      </c>
      <c r="F4955" t="str">
        <f>IF(D4955="","",INDEX(Knutepunkter!$B:$B,D4955+1))</f>
        <v/>
      </c>
      <c r="G4955" t="str">
        <f>IF(D4955="","",INDEX(Knutepunkter!$C:$C,D4955+1))</f>
        <v/>
      </c>
      <c r="H4955" t="str">
        <f>IF(D4955="","",INDEX(Knutepunkter!$D:$D,D4955+1))</f>
        <v/>
      </c>
      <c r="I4955" t="str">
        <f>IF(E4955="","",INDEX(Knutepunkter!$B:$B,E4955+1))</f>
        <v/>
      </c>
      <c r="J4955" t="str">
        <f>IF(E4955="","",INDEX(Knutepunkter!$C:$C,E4955+1))</f>
        <v/>
      </c>
      <c r="K4955" t="str">
        <f>IF(E4955="","",INDEX(Knutepunkter!$D:$D,E4955+1))</f>
        <v/>
      </c>
      <c r="L4955" t="str">
        <f t="shared" si="388"/>
        <v/>
      </c>
      <c r="M4955" t="str">
        <f t="shared" si="389"/>
        <v/>
      </c>
    </row>
    <row r="4956" spans="1:13" x14ac:dyDescent="0.3">
      <c r="A4956" t="str">
        <f>Segmenter!A4956</f>
        <v/>
      </c>
      <c r="B4956" t="str">
        <f>Segmenter!B4956</f>
        <v/>
      </c>
      <c r="C4956" t="str">
        <f t="shared" si="385"/>
        <v/>
      </c>
      <c r="D4956" t="str">
        <f t="shared" si="386"/>
        <v/>
      </c>
      <c r="E4956" t="str">
        <f t="shared" si="387"/>
        <v/>
      </c>
      <c r="F4956" t="str">
        <f>IF(D4956="","",INDEX(Knutepunkter!$B:$B,D4956+1))</f>
        <v/>
      </c>
      <c r="G4956" t="str">
        <f>IF(D4956="","",INDEX(Knutepunkter!$C:$C,D4956+1))</f>
        <v/>
      </c>
      <c r="H4956" t="str">
        <f>IF(D4956="","",INDEX(Knutepunkter!$D:$D,D4956+1))</f>
        <v/>
      </c>
      <c r="I4956" t="str">
        <f>IF(E4956="","",INDEX(Knutepunkter!$B:$B,E4956+1))</f>
        <v/>
      </c>
      <c r="J4956" t="str">
        <f>IF(E4956="","",INDEX(Knutepunkter!$C:$C,E4956+1))</f>
        <v/>
      </c>
      <c r="K4956" t="str">
        <f>IF(E4956="","",INDEX(Knutepunkter!$D:$D,E4956+1))</f>
        <v/>
      </c>
      <c r="L4956" t="str">
        <f t="shared" si="388"/>
        <v/>
      </c>
      <c r="M4956" t="str">
        <f t="shared" si="389"/>
        <v/>
      </c>
    </row>
    <row r="4957" spans="1:13" x14ac:dyDescent="0.3">
      <c r="A4957" t="str">
        <f>Segmenter!A4957</f>
        <v/>
      </c>
      <c r="B4957" t="str">
        <f>Segmenter!B4957</f>
        <v/>
      </c>
      <c r="C4957" t="str">
        <f t="shared" si="385"/>
        <v/>
      </c>
      <c r="D4957" t="str">
        <f t="shared" si="386"/>
        <v/>
      </c>
      <c r="E4957" t="str">
        <f t="shared" si="387"/>
        <v/>
      </c>
      <c r="F4957" t="str">
        <f>IF(D4957="","",INDEX(Knutepunkter!$B:$B,D4957+1))</f>
        <v/>
      </c>
      <c r="G4957" t="str">
        <f>IF(D4957="","",INDEX(Knutepunkter!$C:$C,D4957+1))</f>
        <v/>
      </c>
      <c r="H4957" t="str">
        <f>IF(D4957="","",INDEX(Knutepunkter!$D:$D,D4957+1))</f>
        <v/>
      </c>
      <c r="I4957" t="str">
        <f>IF(E4957="","",INDEX(Knutepunkter!$B:$B,E4957+1))</f>
        <v/>
      </c>
      <c r="J4957" t="str">
        <f>IF(E4957="","",INDEX(Knutepunkter!$C:$C,E4957+1))</f>
        <v/>
      </c>
      <c r="K4957" t="str">
        <f>IF(E4957="","",INDEX(Knutepunkter!$D:$D,E4957+1))</f>
        <v/>
      </c>
      <c r="L4957" t="str">
        <f t="shared" si="388"/>
        <v/>
      </c>
      <c r="M4957" t="str">
        <f t="shared" si="389"/>
        <v/>
      </c>
    </row>
    <row r="4958" spans="1:13" x14ac:dyDescent="0.3">
      <c r="A4958" t="str">
        <f>Segmenter!A4958</f>
        <v/>
      </c>
      <c r="B4958" t="str">
        <f>Segmenter!B4958</f>
        <v/>
      </c>
      <c r="C4958" t="str">
        <f t="shared" si="385"/>
        <v/>
      </c>
      <c r="D4958" t="str">
        <f t="shared" si="386"/>
        <v/>
      </c>
      <c r="E4958" t="str">
        <f t="shared" si="387"/>
        <v/>
      </c>
      <c r="F4958" t="str">
        <f>IF(D4958="","",INDEX(Knutepunkter!$B:$B,D4958+1))</f>
        <v/>
      </c>
      <c r="G4958" t="str">
        <f>IF(D4958="","",INDEX(Knutepunkter!$C:$C,D4958+1))</f>
        <v/>
      </c>
      <c r="H4958" t="str">
        <f>IF(D4958="","",INDEX(Knutepunkter!$D:$D,D4958+1))</f>
        <v/>
      </c>
      <c r="I4958" t="str">
        <f>IF(E4958="","",INDEX(Knutepunkter!$B:$B,E4958+1))</f>
        <v/>
      </c>
      <c r="J4958" t="str">
        <f>IF(E4958="","",INDEX(Knutepunkter!$C:$C,E4958+1))</f>
        <v/>
      </c>
      <c r="K4958" t="str">
        <f>IF(E4958="","",INDEX(Knutepunkter!$D:$D,E4958+1))</f>
        <v/>
      </c>
      <c r="L4958" t="str">
        <f t="shared" si="388"/>
        <v/>
      </c>
      <c r="M4958" t="str">
        <f t="shared" si="389"/>
        <v/>
      </c>
    </row>
    <row r="4959" spans="1:13" x14ac:dyDescent="0.3">
      <c r="A4959" t="str">
        <f>Segmenter!A4959</f>
        <v/>
      </c>
      <c r="B4959" t="str">
        <f>Segmenter!B4959</f>
        <v/>
      </c>
      <c r="C4959" t="str">
        <f t="shared" si="385"/>
        <v/>
      </c>
      <c r="D4959" t="str">
        <f t="shared" si="386"/>
        <v/>
      </c>
      <c r="E4959" t="str">
        <f t="shared" si="387"/>
        <v/>
      </c>
      <c r="F4959" t="str">
        <f>IF(D4959="","",INDEX(Knutepunkter!$B:$B,D4959+1))</f>
        <v/>
      </c>
      <c r="G4959" t="str">
        <f>IF(D4959="","",INDEX(Knutepunkter!$C:$C,D4959+1))</f>
        <v/>
      </c>
      <c r="H4959" t="str">
        <f>IF(D4959="","",INDEX(Knutepunkter!$D:$D,D4959+1))</f>
        <v/>
      </c>
      <c r="I4959" t="str">
        <f>IF(E4959="","",INDEX(Knutepunkter!$B:$B,E4959+1))</f>
        <v/>
      </c>
      <c r="J4959" t="str">
        <f>IF(E4959="","",INDEX(Knutepunkter!$C:$C,E4959+1))</f>
        <v/>
      </c>
      <c r="K4959" t="str">
        <f>IF(E4959="","",INDEX(Knutepunkter!$D:$D,E4959+1))</f>
        <v/>
      </c>
      <c r="L4959" t="str">
        <f t="shared" si="388"/>
        <v/>
      </c>
      <c r="M4959" t="str">
        <f t="shared" si="389"/>
        <v/>
      </c>
    </row>
    <row r="4960" spans="1:13" x14ac:dyDescent="0.3">
      <c r="A4960" t="str">
        <f>Segmenter!A4960</f>
        <v/>
      </c>
      <c r="B4960" t="str">
        <f>Segmenter!B4960</f>
        <v/>
      </c>
      <c r="C4960" t="str">
        <f t="shared" si="385"/>
        <v/>
      </c>
      <c r="D4960" t="str">
        <f t="shared" si="386"/>
        <v/>
      </c>
      <c r="E4960" t="str">
        <f t="shared" si="387"/>
        <v/>
      </c>
      <c r="F4960" t="str">
        <f>IF(D4960="","",INDEX(Knutepunkter!$B:$B,D4960+1))</f>
        <v/>
      </c>
      <c r="G4960" t="str">
        <f>IF(D4960="","",INDEX(Knutepunkter!$C:$C,D4960+1))</f>
        <v/>
      </c>
      <c r="H4960" t="str">
        <f>IF(D4960="","",INDEX(Knutepunkter!$D:$D,D4960+1))</f>
        <v/>
      </c>
      <c r="I4960" t="str">
        <f>IF(E4960="","",INDEX(Knutepunkter!$B:$B,E4960+1))</f>
        <v/>
      </c>
      <c r="J4960" t="str">
        <f>IF(E4960="","",INDEX(Knutepunkter!$C:$C,E4960+1))</f>
        <v/>
      </c>
      <c r="K4960" t="str">
        <f>IF(E4960="","",INDEX(Knutepunkter!$D:$D,E4960+1))</f>
        <v/>
      </c>
      <c r="L4960" t="str">
        <f t="shared" si="388"/>
        <v/>
      </c>
      <c r="M4960" t="str">
        <f t="shared" si="389"/>
        <v/>
      </c>
    </row>
    <row r="4961" spans="1:13" x14ac:dyDescent="0.3">
      <c r="A4961" t="str">
        <f>Segmenter!A4961</f>
        <v/>
      </c>
      <c r="B4961" t="str">
        <f>Segmenter!B4961</f>
        <v/>
      </c>
      <c r="C4961" t="str">
        <f t="shared" si="385"/>
        <v/>
      </c>
      <c r="D4961" t="str">
        <f t="shared" si="386"/>
        <v/>
      </c>
      <c r="E4961" t="str">
        <f t="shared" si="387"/>
        <v/>
      </c>
      <c r="F4961" t="str">
        <f>IF(D4961="","",INDEX(Knutepunkter!$B:$B,D4961+1))</f>
        <v/>
      </c>
      <c r="G4961" t="str">
        <f>IF(D4961="","",INDEX(Knutepunkter!$C:$C,D4961+1))</f>
        <v/>
      </c>
      <c r="H4961" t="str">
        <f>IF(D4961="","",INDEX(Knutepunkter!$D:$D,D4961+1))</f>
        <v/>
      </c>
      <c r="I4961" t="str">
        <f>IF(E4961="","",INDEX(Knutepunkter!$B:$B,E4961+1))</f>
        <v/>
      </c>
      <c r="J4961" t="str">
        <f>IF(E4961="","",INDEX(Knutepunkter!$C:$C,E4961+1))</f>
        <v/>
      </c>
      <c r="K4961" t="str">
        <f>IF(E4961="","",INDEX(Knutepunkter!$D:$D,E4961+1))</f>
        <v/>
      </c>
      <c r="L4961" t="str">
        <f t="shared" si="388"/>
        <v/>
      </c>
      <c r="M4961" t="str">
        <f t="shared" si="389"/>
        <v/>
      </c>
    </row>
    <row r="4962" spans="1:13" x14ac:dyDescent="0.3">
      <c r="A4962" t="str">
        <f>Segmenter!A4962</f>
        <v/>
      </c>
      <c r="B4962" t="str">
        <f>Segmenter!B4962</f>
        <v/>
      </c>
      <c r="C4962" t="str">
        <f t="shared" si="385"/>
        <v/>
      </c>
      <c r="D4962" t="str">
        <f t="shared" si="386"/>
        <v/>
      </c>
      <c r="E4962" t="str">
        <f t="shared" si="387"/>
        <v/>
      </c>
      <c r="F4962" t="str">
        <f>IF(D4962="","",INDEX(Knutepunkter!$B:$B,D4962+1))</f>
        <v/>
      </c>
      <c r="G4962" t="str">
        <f>IF(D4962="","",INDEX(Knutepunkter!$C:$C,D4962+1))</f>
        <v/>
      </c>
      <c r="H4962" t="str">
        <f>IF(D4962="","",INDEX(Knutepunkter!$D:$D,D4962+1))</f>
        <v/>
      </c>
      <c r="I4962" t="str">
        <f>IF(E4962="","",INDEX(Knutepunkter!$B:$B,E4962+1))</f>
        <v/>
      </c>
      <c r="J4962" t="str">
        <f>IF(E4962="","",INDEX(Knutepunkter!$C:$C,E4962+1))</f>
        <v/>
      </c>
      <c r="K4962" t="str">
        <f>IF(E4962="","",INDEX(Knutepunkter!$D:$D,E4962+1))</f>
        <v/>
      </c>
      <c r="L4962" t="str">
        <f t="shared" si="388"/>
        <v/>
      </c>
      <c r="M4962" t="str">
        <f t="shared" si="389"/>
        <v/>
      </c>
    </row>
    <row r="4963" spans="1:13" x14ac:dyDescent="0.3">
      <c r="A4963" t="str">
        <f>Segmenter!A4963</f>
        <v/>
      </c>
      <c r="B4963" t="str">
        <f>Segmenter!B4963</f>
        <v/>
      </c>
      <c r="C4963" t="str">
        <f t="shared" si="385"/>
        <v/>
      </c>
      <c r="D4963" t="str">
        <f t="shared" si="386"/>
        <v/>
      </c>
      <c r="E4963" t="str">
        <f t="shared" si="387"/>
        <v/>
      </c>
      <c r="F4963" t="str">
        <f>IF(D4963="","",INDEX(Knutepunkter!$B:$B,D4963+1))</f>
        <v/>
      </c>
      <c r="G4963" t="str">
        <f>IF(D4963="","",INDEX(Knutepunkter!$C:$C,D4963+1))</f>
        <v/>
      </c>
      <c r="H4963" t="str">
        <f>IF(D4963="","",INDEX(Knutepunkter!$D:$D,D4963+1))</f>
        <v/>
      </c>
      <c r="I4963" t="str">
        <f>IF(E4963="","",INDEX(Knutepunkter!$B:$B,E4963+1))</f>
        <v/>
      </c>
      <c r="J4963" t="str">
        <f>IF(E4963="","",INDEX(Knutepunkter!$C:$C,E4963+1))</f>
        <v/>
      </c>
      <c r="K4963" t="str">
        <f>IF(E4963="","",INDEX(Knutepunkter!$D:$D,E4963+1))</f>
        <v/>
      </c>
      <c r="L4963" t="str">
        <f t="shared" si="388"/>
        <v/>
      </c>
      <c r="M4963" t="str">
        <f t="shared" si="389"/>
        <v/>
      </c>
    </row>
    <row r="4964" spans="1:13" x14ac:dyDescent="0.3">
      <c r="A4964" t="str">
        <f>Segmenter!A4964</f>
        <v/>
      </c>
      <c r="B4964" t="str">
        <f>Segmenter!B4964</f>
        <v/>
      </c>
      <c r="C4964" t="str">
        <f t="shared" si="385"/>
        <v/>
      </c>
      <c r="D4964" t="str">
        <f t="shared" si="386"/>
        <v/>
      </c>
      <c r="E4964" t="str">
        <f t="shared" si="387"/>
        <v/>
      </c>
      <c r="F4964" t="str">
        <f>IF(D4964="","",INDEX(Knutepunkter!$B:$B,D4964+1))</f>
        <v/>
      </c>
      <c r="G4964" t="str">
        <f>IF(D4964="","",INDEX(Knutepunkter!$C:$C,D4964+1))</f>
        <v/>
      </c>
      <c r="H4964" t="str">
        <f>IF(D4964="","",INDEX(Knutepunkter!$D:$D,D4964+1))</f>
        <v/>
      </c>
      <c r="I4964" t="str">
        <f>IF(E4964="","",INDEX(Knutepunkter!$B:$B,E4964+1))</f>
        <v/>
      </c>
      <c r="J4964" t="str">
        <f>IF(E4964="","",INDEX(Knutepunkter!$C:$C,E4964+1))</f>
        <v/>
      </c>
      <c r="K4964" t="str">
        <f>IF(E4964="","",INDEX(Knutepunkter!$D:$D,E4964+1))</f>
        <v/>
      </c>
      <c r="L4964" t="str">
        <f t="shared" si="388"/>
        <v/>
      </c>
      <c r="M4964" t="str">
        <f t="shared" si="389"/>
        <v/>
      </c>
    </row>
    <row r="4965" spans="1:13" x14ac:dyDescent="0.3">
      <c r="A4965" t="str">
        <f>Segmenter!A4965</f>
        <v/>
      </c>
      <c r="B4965" t="str">
        <f>Segmenter!B4965</f>
        <v/>
      </c>
      <c r="C4965" t="str">
        <f t="shared" si="385"/>
        <v/>
      </c>
      <c r="D4965" t="str">
        <f t="shared" si="386"/>
        <v/>
      </c>
      <c r="E4965" t="str">
        <f t="shared" si="387"/>
        <v/>
      </c>
      <c r="F4965" t="str">
        <f>IF(D4965="","",INDEX(Knutepunkter!$B:$B,D4965+1))</f>
        <v/>
      </c>
      <c r="G4965" t="str">
        <f>IF(D4965="","",INDEX(Knutepunkter!$C:$C,D4965+1))</f>
        <v/>
      </c>
      <c r="H4965" t="str">
        <f>IF(D4965="","",INDEX(Knutepunkter!$D:$D,D4965+1))</f>
        <v/>
      </c>
      <c r="I4965" t="str">
        <f>IF(E4965="","",INDEX(Knutepunkter!$B:$B,E4965+1))</f>
        <v/>
      </c>
      <c r="J4965" t="str">
        <f>IF(E4965="","",INDEX(Knutepunkter!$C:$C,E4965+1))</f>
        <v/>
      </c>
      <c r="K4965" t="str">
        <f>IF(E4965="","",INDEX(Knutepunkter!$D:$D,E4965+1))</f>
        <v/>
      </c>
      <c r="L4965" t="str">
        <f t="shared" si="388"/>
        <v/>
      </c>
      <c r="M4965" t="str">
        <f t="shared" si="389"/>
        <v/>
      </c>
    </row>
    <row r="4966" spans="1:13" x14ac:dyDescent="0.3">
      <c r="A4966" t="str">
        <f>Segmenter!A4966</f>
        <v/>
      </c>
      <c r="B4966" t="str">
        <f>Segmenter!B4966</f>
        <v/>
      </c>
      <c r="C4966" t="str">
        <f t="shared" si="385"/>
        <v/>
      </c>
      <c r="D4966" t="str">
        <f t="shared" si="386"/>
        <v/>
      </c>
      <c r="E4966" t="str">
        <f t="shared" si="387"/>
        <v/>
      </c>
      <c r="F4966" t="str">
        <f>IF(D4966="","",INDEX(Knutepunkter!$B:$B,D4966+1))</f>
        <v/>
      </c>
      <c r="G4966" t="str">
        <f>IF(D4966="","",INDEX(Knutepunkter!$C:$C,D4966+1))</f>
        <v/>
      </c>
      <c r="H4966" t="str">
        <f>IF(D4966="","",INDEX(Knutepunkter!$D:$D,D4966+1))</f>
        <v/>
      </c>
      <c r="I4966" t="str">
        <f>IF(E4966="","",INDEX(Knutepunkter!$B:$B,E4966+1))</f>
        <v/>
      </c>
      <c r="J4966" t="str">
        <f>IF(E4966="","",INDEX(Knutepunkter!$C:$C,E4966+1))</f>
        <v/>
      </c>
      <c r="K4966" t="str">
        <f>IF(E4966="","",INDEX(Knutepunkter!$D:$D,E4966+1))</f>
        <v/>
      </c>
      <c r="L4966" t="str">
        <f t="shared" si="388"/>
        <v/>
      </c>
      <c r="M4966" t="str">
        <f t="shared" si="389"/>
        <v/>
      </c>
    </row>
    <row r="4967" spans="1:13" x14ac:dyDescent="0.3">
      <c r="A4967" t="str">
        <f>Segmenter!A4967</f>
        <v/>
      </c>
      <c r="B4967" t="str">
        <f>Segmenter!B4967</f>
        <v/>
      </c>
      <c r="C4967" t="str">
        <f t="shared" si="385"/>
        <v/>
      </c>
      <c r="D4967" t="str">
        <f t="shared" si="386"/>
        <v/>
      </c>
      <c r="E4967" t="str">
        <f t="shared" si="387"/>
        <v/>
      </c>
      <c r="F4967" t="str">
        <f>IF(D4967="","",INDEX(Knutepunkter!$B:$B,D4967+1))</f>
        <v/>
      </c>
      <c r="G4967" t="str">
        <f>IF(D4967="","",INDEX(Knutepunkter!$C:$C,D4967+1))</f>
        <v/>
      </c>
      <c r="H4967" t="str">
        <f>IF(D4967="","",INDEX(Knutepunkter!$D:$D,D4967+1))</f>
        <v/>
      </c>
      <c r="I4967" t="str">
        <f>IF(E4967="","",INDEX(Knutepunkter!$B:$B,E4967+1))</f>
        <v/>
      </c>
      <c r="J4967" t="str">
        <f>IF(E4967="","",INDEX(Knutepunkter!$C:$C,E4967+1))</f>
        <v/>
      </c>
      <c r="K4967" t="str">
        <f>IF(E4967="","",INDEX(Knutepunkter!$D:$D,E4967+1))</f>
        <v/>
      </c>
      <c r="L4967" t="str">
        <f t="shared" si="388"/>
        <v/>
      </c>
      <c r="M4967" t="str">
        <f t="shared" si="389"/>
        <v/>
      </c>
    </row>
    <row r="4968" spans="1:13" x14ac:dyDescent="0.3">
      <c r="A4968" t="str">
        <f>Segmenter!A4968</f>
        <v/>
      </c>
      <c r="B4968" t="str">
        <f>Segmenter!B4968</f>
        <v/>
      </c>
      <c r="C4968" t="str">
        <f t="shared" si="385"/>
        <v/>
      </c>
      <c r="D4968" t="str">
        <f t="shared" si="386"/>
        <v/>
      </c>
      <c r="E4968" t="str">
        <f t="shared" si="387"/>
        <v/>
      </c>
      <c r="F4968" t="str">
        <f>IF(D4968="","",INDEX(Knutepunkter!$B:$B,D4968+1))</f>
        <v/>
      </c>
      <c r="G4968" t="str">
        <f>IF(D4968="","",INDEX(Knutepunkter!$C:$C,D4968+1))</f>
        <v/>
      </c>
      <c r="H4968" t="str">
        <f>IF(D4968="","",INDEX(Knutepunkter!$D:$D,D4968+1))</f>
        <v/>
      </c>
      <c r="I4968" t="str">
        <f>IF(E4968="","",INDEX(Knutepunkter!$B:$B,E4968+1))</f>
        <v/>
      </c>
      <c r="J4968" t="str">
        <f>IF(E4968="","",INDEX(Knutepunkter!$C:$C,E4968+1))</f>
        <v/>
      </c>
      <c r="K4968" t="str">
        <f>IF(E4968="","",INDEX(Knutepunkter!$D:$D,E4968+1))</f>
        <v/>
      </c>
      <c r="L4968" t="str">
        <f t="shared" si="388"/>
        <v/>
      </c>
      <c r="M4968" t="str">
        <f t="shared" si="389"/>
        <v/>
      </c>
    </row>
    <row r="4969" spans="1:13" x14ac:dyDescent="0.3">
      <c r="A4969" t="str">
        <f>Segmenter!A4969</f>
        <v/>
      </c>
      <c r="B4969" t="str">
        <f>Segmenter!B4969</f>
        <v/>
      </c>
      <c r="C4969" t="str">
        <f t="shared" si="385"/>
        <v/>
      </c>
      <c r="D4969" t="str">
        <f t="shared" si="386"/>
        <v/>
      </c>
      <c r="E4969" t="str">
        <f t="shared" si="387"/>
        <v/>
      </c>
      <c r="F4969" t="str">
        <f>IF(D4969="","",INDEX(Knutepunkter!$B:$B,D4969+1))</f>
        <v/>
      </c>
      <c r="G4969" t="str">
        <f>IF(D4969="","",INDEX(Knutepunkter!$C:$C,D4969+1))</f>
        <v/>
      </c>
      <c r="H4969" t="str">
        <f>IF(D4969="","",INDEX(Knutepunkter!$D:$D,D4969+1))</f>
        <v/>
      </c>
      <c r="I4969" t="str">
        <f>IF(E4969="","",INDEX(Knutepunkter!$B:$B,E4969+1))</f>
        <v/>
      </c>
      <c r="J4969" t="str">
        <f>IF(E4969="","",INDEX(Knutepunkter!$C:$C,E4969+1))</f>
        <v/>
      </c>
      <c r="K4969" t="str">
        <f>IF(E4969="","",INDEX(Knutepunkter!$D:$D,E4969+1))</f>
        <v/>
      </c>
      <c r="L4969" t="str">
        <f t="shared" si="388"/>
        <v/>
      </c>
      <c r="M4969" t="str">
        <f t="shared" si="389"/>
        <v/>
      </c>
    </row>
    <row r="4970" spans="1:13" x14ac:dyDescent="0.3">
      <c r="A4970" t="str">
        <f>Segmenter!A4970</f>
        <v/>
      </c>
      <c r="B4970" t="str">
        <f>Segmenter!B4970</f>
        <v/>
      </c>
      <c r="C4970" t="str">
        <f t="shared" si="385"/>
        <v/>
      </c>
      <c r="D4970" t="str">
        <f t="shared" si="386"/>
        <v/>
      </c>
      <c r="E4970" t="str">
        <f t="shared" si="387"/>
        <v/>
      </c>
      <c r="F4970" t="str">
        <f>IF(D4970="","",INDEX(Knutepunkter!$B:$B,D4970+1))</f>
        <v/>
      </c>
      <c r="G4970" t="str">
        <f>IF(D4970="","",INDEX(Knutepunkter!$C:$C,D4970+1))</f>
        <v/>
      </c>
      <c r="H4970" t="str">
        <f>IF(D4970="","",INDEX(Knutepunkter!$D:$D,D4970+1))</f>
        <v/>
      </c>
      <c r="I4970" t="str">
        <f>IF(E4970="","",INDEX(Knutepunkter!$B:$B,E4970+1))</f>
        <v/>
      </c>
      <c r="J4970" t="str">
        <f>IF(E4970="","",INDEX(Knutepunkter!$C:$C,E4970+1))</f>
        <v/>
      </c>
      <c r="K4970" t="str">
        <f>IF(E4970="","",INDEX(Knutepunkter!$D:$D,E4970+1))</f>
        <v/>
      </c>
      <c r="L4970" t="str">
        <f t="shared" si="388"/>
        <v/>
      </c>
      <c r="M4970" t="str">
        <f t="shared" si="389"/>
        <v/>
      </c>
    </row>
    <row r="4971" spans="1:13" x14ac:dyDescent="0.3">
      <c r="A4971" t="str">
        <f>Segmenter!A4971</f>
        <v/>
      </c>
      <c r="B4971" t="str">
        <f>Segmenter!B4971</f>
        <v/>
      </c>
      <c r="C4971" t="str">
        <f t="shared" si="385"/>
        <v/>
      </c>
      <c r="D4971" t="str">
        <f t="shared" si="386"/>
        <v/>
      </c>
      <c r="E4971" t="str">
        <f t="shared" si="387"/>
        <v/>
      </c>
      <c r="F4971" t="str">
        <f>IF(D4971="","",INDEX(Knutepunkter!$B:$B,D4971+1))</f>
        <v/>
      </c>
      <c r="G4971" t="str">
        <f>IF(D4971="","",INDEX(Knutepunkter!$C:$C,D4971+1))</f>
        <v/>
      </c>
      <c r="H4971" t="str">
        <f>IF(D4971="","",INDEX(Knutepunkter!$D:$D,D4971+1))</f>
        <v/>
      </c>
      <c r="I4971" t="str">
        <f>IF(E4971="","",INDEX(Knutepunkter!$B:$B,E4971+1))</f>
        <v/>
      </c>
      <c r="J4971" t="str">
        <f>IF(E4971="","",INDEX(Knutepunkter!$C:$C,E4971+1))</f>
        <v/>
      </c>
      <c r="K4971" t="str">
        <f>IF(E4971="","",INDEX(Knutepunkter!$D:$D,E4971+1))</f>
        <v/>
      </c>
      <c r="L4971" t="str">
        <f t="shared" si="388"/>
        <v/>
      </c>
      <c r="M4971" t="str">
        <f t="shared" si="389"/>
        <v/>
      </c>
    </row>
    <row r="4972" spans="1:13" x14ac:dyDescent="0.3">
      <c r="A4972" t="str">
        <f>Segmenter!A4972</f>
        <v/>
      </c>
      <c r="B4972" t="str">
        <f>Segmenter!B4972</f>
        <v/>
      </c>
      <c r="C4972" t="str">
        <f t="shared" si="385"/>
        <v/>
      </c>
      <c r="D4972" t="str">
        <f t="shared" si="386"/>
        <v/>
      </c>
      <c r="E4972" t="str">
        <f t="shared" si="387"/>
        <v/>
      </c>
      <c r="F4972" t="str">
        <f>IF(D4972="","",INDEX(Knutepunkter!$B:$B,D4972+1))</f>
        <v/>
      </c>
      <c r="G4972" t="str">
        <f>IF(D4972="","",INDEX(Knutepunkter!$C:$C,D4972+1))</f>
        <v/>
      </c>
      <c r="H4972" t="str">
        <f>IF(D4972="","",INDEX(Knutepunkter!$D:$D,D4972+1))</f>
        <v/>
      </c>
      <c r="I4972" t="str">
        <f>IF(E4972="","",INDEX(Knutepunkter!$B:$B,E4972+1))</f>
        <v/>
      </c>
      <c r="J4972" t="str">
        <f>IF(E4972="","",INDEX(Knutepunkter!$C:$C,E4972+1))</f>
        <v/>
      </c>
      <c r="K4972" t="str">
        <f>IF(E4972="","",INDEX(Knutepunkter!$D:$D,E4972+1))</f>
        <v/>
      </c>
      <c r="L4972" t="str">
        <f t="shared" si="388"/>
        <v/>
      </c>
      <c r="M4972" t="str">
        <f t="shared" si="389"/>
        <v/>
      </c>
    </row>
    <row r="4973" spans="1:13" x14ac:dyDescent="0.3">
      <c r="A4973" t="str">
        <f>Segmenter!A4973</f>
        <v/>
      </c>
      <c r="B4973" t="str">
        <f>Segmenter!B4973</f>
        <v/>
      </c>
      <c r="C4973" t="str">
        <f t="shared" si="385"/>
        <v/>
      </c>
      <c r="D4973" t="str">
        <f t="shared" si="386"/>
        <v/>
      </c>
      <c r="E4973" t="str">
        <f t="shared" si="387"/>
        <v/>
      </c>
      <c r="F4973" t="str">
        <f>IF(D4973="","",INDEX(Knutepunkter!$B:$B,D4973+1))</f>
        <v/>
      </c>
      <c r="G4973" t="str">
        <f>IF(D4973="","",INDEX(Knutepunkter!$C:$C,D4973+1))</f>
        <v/>
      </c>
      <c r="H4973" t="str">
        <f>IF(D4973="","",INDEX(Knutepunkter!$D:$D,D4973+1))</f>
        <v/>
      </c>
      <c r="I4973" t="str">
        <f>IF(E4973="","",INDEX(Knutepunkter!$B:$B,E4973+1))</f>
        <v/>
      </c>
      <c r="J4973" t="str">
        <f>IF(E4973="","",INDEX(Knutepunkter!$C:$C,E4973+1))</f>
        <v/>
      </c>
      <c r="K4973" t="str">
        <f>IF(E4973="","",INDEX(Knutepunkter!$D:$D,E4973+1))</f>
        <v/>
      </c>
      <c r="L4973" t="str">
        <f t="shared" si="388"/>
        <v/>
      </c>
      <c r="M4973" t="str">
        <f t="shared" si="389"/>
        <v/>
      </c>
    </row>
    <row r="4974" spans="1:13" x14ac:dyDescent="0.3">
      <c r="A4974" t="str">
        <f>Segmenter!A4974</f>
        <v/>
      </c>
      <c r="B4974" t="str">
        <f>Segmenter!B4974</f>
        <v/>
      </c>
      <c r="C4974" t="str">
        <f t="shared" si="385"/>
        <v/>
      </c>
      <c r="D4974" t="str">
        <f t="shared" si="386"/>
        <v/>
      </c>
      <c r="E4974" t="str">
        <f t="shared" si="387"/>
        <v/>
      </c>
      <c r="F4974" t="str">
        <f>IF(D4974="","",INDEX(Knutepunkter!$B:$B,D4974+1))</f>
        <v/>
      </c>
      <c r="G4974" t="str">
        <f>IF(D4974="","",INDEX(Knutepunkter!$C:$C,D4974+1))</f>
        <v/>
      </c>
      <c r="H4974" t="str">
        <f>IF(D4974="","",INDEX(Knutepunkter!$D:$D,D4974+1))</f>
        <v/>
      </c>
      <c r="I4974" t="str">
        <f>IF(E4974="","",INDEX(Knutepunkter!$B:$B,E4974+1))</f>
        <v/>
      </c>
      <c r="J4974" t="str">
        <f>IF(E4974="","",INDEX(Knutepunkter!$C:$C,E4974+1))</f>
        <v/>
      </c>
      <c r="K4974" t="str">
        <f>IF(E4974="","",INDEX(Knutepunkter!$D:$D,E4974+1))</f>
        <v/>
      </c>
      <c r="L4974" t="str">
        <f t="shared" si="388"/>
        <v/>
      </c>
      <c r="M4974" t="str">
        <f t="shared" si="389"/>
        <v/>
      </c>
    </row>
    <row r="4975" spans="1:13" x14ac:dyDescent="0.3">
      <c r="A4975" t="str">
        <f>Segmenter!A4975</f>
        <v/>
      </c>
      <c r="B4975" t="str">
        <f>Segmenter!B4975</f>
        <v/>
      </c>
      <c r="C4975" t="str">
        <f t="shared" si="385"/>
        <v/>
      </c>
      <c r="D4975" t="str">
        <f t="shared" si="386"/>
        <v/>
      </c>
      <c r="E4975" t="str">
        <f t="shared" si="387"/>
        <v/>
      </c>
      <c r="F4975" t="str">
        <f>IF(D4975="","",INDEX(Knutepunkter!$B:$B,D4975+1))</f>
        <v/>
      </c>
      <c r="G4975" t="str">
        <f>IF(D4975="","",INDEX(Knutepunkter!$C:$C,D4975+1))</f>
        <v/>
      </c>
      <c r="H4975" t="str">
        <f>IF(D4975="","",INDEX(Knutepunkter!$D:$D,D4975+1))</f>
        <v/>
      </c>
      <c r="I4975" t="str">
        <f>IF(E4975="","",INDEX(Knutepunkter!$B:$B,E4975+1))</f>
        <v/>
      </c>
      <c r="J4975" t="str">
        <f>IF(E4975="","",INDEX(Knutepunkter!$C:$C,E4975+1))</f>
        <v/>
      </c>
      <c r="K4975" t="str">
        <f>IF(E4975="","",INDEX(Knutepunkter!$D:$D,E4975+1))</f>
        <v/>
      </c>
      <c r="L4975" t="str">
        <f t="shared" si="388"/>
        <v/>
      </c>
      <c r="M4975" t="str">
        <f t="shared" si="389"/>
        <v/>
      </c>
    </row>
    <row r="4976" spans="1:13" x14ac:dyDescent="0.3">
      <c r="A4976" t="str">
        <f>Segmenter!A4976</f>
        <v/>
      </c>
      <c r="B4976" t="str">
        <f>Segmenter!B4976</f>
        <v/>
      </c>
      <c r="C4976" t="str">
        <f t="shared" si="385"/>
        <v/>
      </c>
      <c r="D4976" t="str">
        <f t="shared" si="386"/>
        <v/>
      </c>
      <c r="E4976" t="str">
        <f t="shared" si="387"/>
        <v/>
      </c>
      <c r="F4976" t="str">
        <f>IF(D4976="","",INDEX(Knutepunkter!$B:$B,D4976+1))</f>
        <v/>
      </c>
      <c r="G4976" t="str">
        <f>IF(D4976="","",INDEX(Knutepunkter!$C:$C,D4976+1))</f>
        <v/>
      </c>
      <c r="H4976" t="str">
        <f>IF(D4976="","",INDEX(Knutepunkter!$D:$D,D4976+1))</f>
        <v/>
      </c>
      <c r="I4976" t="str">
        <f>IF(E4976="","",INDEX(Knutepunkter!$B:$B,E4976+1))</f>
        <v/>
      </c>
      <c r="J4976" t="str">
        <f>IF(E4976="","",INDEX(Knutepunkter!$C:$C,E4976+1))</f>
        <v/>
      </c>
      <c r="K4976" t="str">
        <f>IF(E4976="","",INDEX(Knutepunkter!$D:$D,E4976+1))</f>
        <v/>
      </c>
      <c r="L4976" t="str">
        <f t="shared" si="388"/>
        <v/>
      </c>
      <c r="M4976" t="str">
        <f t="shared" si="389"/>
        <v/>
      </c>
    </row>
    <row r="4977" spans="1:13" x14ac:dyDescent="0.3">
      <c r="A4977" t="str">
        <f>Segmenter!A4977</f>
        <v/>
      </c>
      <c r="B4977" t="str">
        <f>Segmenter!B4977</f>
        <v/>
      </c>
      <c r="C4977" t="str">
        <f t="shared" si="385"/>
        <v/>
      </c>
      <c r="D4977" t="str">
        <f t="shared" si="386"/>
        <v/>
      </c>
      <c r="E4977" t="str">
        <f t="shared" si="387"/>
        <v/>
      </c>
      <c r="F4977" t="str">
        <f>IF(D4977="","",INDEX(Knutepunkter!$B:$B,D4977+1))</f>
        <v/>
      </c>
      <c r="G4977" t="str">
        <f>IF(D4977="","",INDEX(Knutepunkter!$C:$C,D4977+1))</f>
        <v/>
      </c>
      <c r="H4977" t="str">
        <f>IF(D4977="","",INDEX(Knutepunkter!$D:$D,D4977+1))</f>
        <v/>
      </c>
      <c r="I4977" t="str">
        <f>IF(E4977="","",INDEX(Knutepunkter!$B:$B,E4977+1))</f>
        <v/>
      </c>
      <c r="J4977" t="str">
        <f>IF(E4977="","",INDEX(Knutepunkter!$C:$C,E4977+1))</f>
        <v/>
      </c>
      <c r="K4977" t="str">
        <f>IF(E4977="","",INDEX(Knutepunkter!$D:$D,E4977+1))</f>
        <v/>
      </c>
      <c r="L4977" t="str">
        <f t="shared" si="388"/>
        <v/>
      </c>
      <c r="M4977" t="str">
        <f t="shared" si="389"/>
        <v/>
      </c>
    </row>
    <row r="4978" spans="1:13" x14ac:dyDescent="0.3">
      <c r="A4978" t="str">
        <f>Segmenter!A4978</f>
        <v/>
      </c>
      <c r="B4978" t="str">
        <f>Segmenter!B4978</f>
        <v/>
      </c>
      <c r="C4978" t="str">
        <f t="shared" si="385"/>
        <v/>
      </c>
      <c r="D4978" t="str">
        <f t="shared" si="386"/>
        <v/>
      </c>
      <c r="E4978" t="str">
        <f t="shared" si="387"/>
        <v/>
      </c>
      <c r="F4978" t="str">
        <f>IF(D4978="","",INDEX(Knutepunkter!$B:$B,D4978+1))</f>
        <v/>
      </c>
      <c r="G4978" t="str">
        <f>IF(D4978="","",INDEX(Knutepunkter!$C:$C,D4978+1))</f>
        <v/>
      </c>
      <c r="H4978" t="str">
        <f>IF(D4978="","",INDEX(Knutepunkter!$D:$D,D4978+1))</f>
        <v/>
      </c>
      <c r="I4978" t="str">
        <f>IF(E4978="","",INDEX(Knutepunkter!$B:$B,E4978+1))</f>
        <v/>
      </c>
      <c r="J4978" t="str">
        <f>IF(E4978="","",INDEX(Knutepunkter!$C:$C,E4978+1))</f>
        <v/>
      </c>
      <c r="K4978" t="str">
        <f>IF(E4978="","",INDEX(Knutepunkter!$D:$D,E4978+1))</f>
        <v/>
      </c>
      <c r="L4978" t="str">
        <f t="shared" si="388"/>
        <v/>
      </c>
      <c r="M4978" t="str">
        <f t="shared" si="389"/>
        <v/>
      </c>
    </row>
    <row r="4979" spans="1:13" x14ac:dyDescent="0.3">
      <c r="A4979" t="str">
        <f>Segmenter!A4979</f>
        <v/>
      </c>
      <c r="B4979" t="str">
        <f>Segmenter!B4979</f>
        <v/>
      </c>
      <c r="C4979" t="str">
        <f t="shared" si="385"/>
        <v/>
      </c>
      <c r="D4979" t="str">
        <f t="shared" si="386"/>
        <v/>
      </c>
      <c r="E4979" t="str">
        <f t="shared" si="387"/>
        <v/>
      </c>
      <c r="F4979" t="str">
        <f>IF(D4979="","",INDEX(Knutepunkter!$B:$B,D4979+1))</f>
        <v/>
      </c>
      <c r="G4979" t="str">
        <f>IF(D4979="","",INDEX(Knutepunkter!$C:$C,D4979+1))</f>
        <v/>
      </c>
      <c r="H4979" t="str">
        <f>IF(D4979="","",INDEX(Knutepunkter!$D:$D,D4979+1))</f>
        <v/>
      </c>
      <c r="I4979" t="str">
        <f>IF(E4979="","",INDEX(Knutepunkter!$B:$B,E4979+1))</f>
        <v/>
      </c>
      <c r="J4979" t="str">
        <f>IF(E4979="","",INDEX(Knutepunkter!$C:$C,E4979+1))</f>
        <v/>
      </c>
      <c r="K4979" t="str">
        <f>IF(E4979="","",INDEX(Knutepunkter!$D:$D,E4979+1))</f>
        <v/>
      </c>
      <c r="L4979" t="str">
        <f t="shared" si="388"/>
        <v/>
      </c>
      <c r="M4979" t="str">
        <f t="shared" si="389"/>
        <v/>
      </c>
    </row>
    <row r="4980" spans="1:13" x14ac:dyDescent="0.3">
      <c r="A4980" t="str">
        <f>Segmenter!A4980</f>
        <v/>
      </c>
      <c r="B4980" t="str">
        <f>Segmenter!B4980</f>
        <v/>
      </c>
      <c r="C4980" t="str">
        <f t="shared" si="385"/>
        <v/>
      </c>
      <c r="D4980" t="str">
        <f t="shared" si="386"/>
        <v/>
      </c>
      <c r="E4980" t="str">
        <f t="shared" si="387"/>
        <v/>
      </c>
      <c r="F4980" t="str">
        <f>IF(D4980="","",INDEX(Knutepunkter!$B:$B,D4980+1))</f>
        <v/>
      </c>
      <c r="G4980" t="str">
        <f>IF(D4980="","",INDEX(Knutepunkter!$C:$C,D4980+1))</f>
        <v/>
      </c>
      <c r="H4980" t="str">
        <f>IF(D4980="","",INDEX(Knutepunkter!$D:$D,D4980+1))</f>
        <v/>
      </c>
      <c r="I4980" t="str">
        <f>IF(E4980="","",INDEX(Knutepunkter!$B:$B,E4980+1))</f>
        <v/>
      </c>
      <c r="J4980" t="str">
        <f>IF(E4980="","",INDEX(Knutepunkter!$C:$C,E4980+1))</f>
        <v/>
      </c>
      <c r="K4980" t="str">
        <f>IF(E4980="","",INDEX(Knutepunkter!$D:$D,E4980+1))</f>
        <v/>
      </c>
      <c r="L4980" t="str">
        <f t="shared" si="388"/>
        <v/>
      </c>
      <c r="M4980" t="str">
        <f t="shared" si="389"/>
        <v/>
      </c>
    </row>
    <row r="4981" spans="1:13" x14ac:dyDescent="0.3">
      <c r="A4981" t="str">
        <f>Segmenter!A4981</f>
        <v/>
      </c>
      <c r="B4981" t="str">
        <f>Segmenter!B4981</f>
        <v/>
      </c>
      <c r="C4981" t="str">
        <f t="shared" si="385"/>
        <v/>
      </c>
      <c r="D4981" t="str">
        <f t="shared" si="386"/>
        <v/>
      </c>
      <c r="E4981" t="str">
        <f t="shared" si="387"/>
        <v/>
      </c>
      <c r="F4981" t="str">
        <f>IF(D4981="","",INDEX(Knutepunkter!$B:$B,D4981+1))</f>
        <v/>
      </c>
      <c r="G4981" t="str">
        <f>IF(D4981="","",INDEX(Knutepunkter!$C:$C,D4981+1))</f>
        <v/>
      </c>
      <c r="H4981" t="str">
        <f>IF(D4981="","",INDEX(Knutepunkter!$D:$D,D4981+1))</f>
        <v/>
      </c>
      <c r="I4981" t="str">
        <f>IF(E4981="","",INDEX(Knutepunkter!$B:$B,E4981+1))</f>
        <v/>
      </c>
      <c r="J4981" t="str">
        <f>IF(E4981="","",INDEX(Knutepunkter!$C:$C,E4981+1))</f>
        <v/>
      </c>
      <c r="K4981" t="str">
        <f>IF(E4981="","",INDEX(Knutepunkter!$D:$D,E4981+1))</f>
        <v/>
      </c>
      <c r="L4981" t="str">
        <f t="shared" si="388"/>
        <v/>
      </c>
      <c r="M4981" t="str">
        <f t="shared" si="389"/>
        <v/>
      </c>
    </row>
    <row r="4982" spans="1:13" x14ac:dyDescent="0.3">
      <c r="A4982" t="str">
        <f>Segmenter!A4982</f>
        <v/>
      </c>
      <c r="B4982" t="str">
        <f>Segmenter!B4982</f>
        <v/>
      </c>
      <c r="C4982" t="str">
        <f t="shared" si="385"/>
        <v/>
      </c>
      <c r="D4982" t="str">
        <f t="shared" si="386"/>
        <v/>
      </c>
      <c r="E4982" t="str">
        <f t="shared" si="387"/>
        <v/>
      </c>
      <c r="F4982" t="str">
        <f>IF(D4982="","",INDEX(Knutepunkter!$B:$B,D4982+1))</f>
        <v/>
      </c>
      <c r="G4982" t="str">
        <f>IF(D4982="","",INDEX(Knutepunkter!$C:$C,D4982+1))</f>
        <v/>
      </c>
      <c r="H4982" t="str">
        <f>IF(D4982="","",INDEX(Knutepunkter!$D:$D,D4982+1))</f>
        <v/>
      </c>
      <c r="I4982" t="str">
        <f>IF(E4982="","",INDEX(Knutepunkter!$B:$B,E4982+1))</f>
        <v/>
      </c>
      <c r="J4982" t="str">
        <f>IF(E4982="","",INDEX(Knutepunkter!$C:$C,E4982+1))</f>
        <v/>
      </c>
      <c r="K4982" t="str">
        <f>IF(E4982="","",INDEX(Knutepunkter!$D:$D,E4982+1))</f>
        <v/>
      </c>
      <c r="L4982" t="str">
        <f t="shared" si="388"/>
        <v/>
      </c>
      <c r="M4982" t="str">
        <f t="shared" si="389"/>
        <v/>
      </c>
    </row>
    <row r="4983" spans="1:13" x14ac:dyDescent="0.3">
      <c r="A4983" t="str">
        <f>Segmenter!A4983</f>
        <v/>
      </c>
      <c r="B4983" t="str">
        <f>Segmenter!B4983</f>
        <v/>
      </c>
      <c r="C4983" t="str">
        <f t="shared" si="385"/>
        <v/>
      </c>
      <c r="D4983" t="str">
        <f t="shared" si="386"/>
        <v/>
      </c>
      <c r="E4983" t="str">
        <f t="shared" si="387"/>
        <v/>
      </c>
      <c r="F4983" t="str">
        <f>IF(D4983="","",INDEX(Knutepunkter!$B:$B,D4983+1))</f>
        <v/>
      </c>
      <c r="G4983" t="str">
        <f>IF(D4983="","",INDEX(Knutepunkter!$C:$C,D4983+1))</f>
        <v/>
      </c>
      <c r="H4983" t="str">
        <f>IF(D4983="","",INDEX(Knutepunkter!$D:$D,D4983+1))</f>
        <v/>
      </c>
      <c r="I4983" t="str">
        <f>IF(E4983="","",INDEX(Knutepunkter!$B:$B,E4983+1))</f>
        <v/>
      </c>
      <c r="J4983" t="str">
        <f>IF(E4983="","",INDEX(Knutepunkter!$C:$C,E4983+1))</f>
        <v/>
      </c>
      <c r="K4983" t="str">
        <f>IF(E4983="","",INDEX(Knutepunkter!$D:$D,E4983+1))</f>
        <v/>
      </c>
      <c r="L4983" t="str">
        <f t="shared" si="388"/>
        <v/>
      </c>
      <c r="M4983" t="str">
        <f t="shared" si="389"/>
        <v/>
      </c>
    </row>
    <row r="4984" spans="1:13" x14ac:dyDescent="0.3">
      <c r="A4984" t="str">
        <f>Segmenter!A4984</f>
        <v/>
      </c>
      <c r="B4984" t="str">
        <f>Segmenter!B4984</f>
        <v/>
      </c>
      <c r="C4984" t="str">
        <f t="shared" si="385"/>
        <v/>
      </c>
      <c r="D4984" t="str">
        <f t="shared" si="386"/>
        <v/>
      </c>
      <c r="E4984" t="str">
        <f t="shared" si="387"/>
        <v/>
      </c>
      <c r="F4984" t="str">
        <f>IF(D4984="","",INDEX(Knutepunkter!$B:$B,D4984+1))</f>
        <v/>
      </c>
      <c r="G4984" t="str">
        <f>IF(D4984="","",INDEX(Knutepunkter!$C:$C,D4984+1))</f>
        <v/>
      </c>
      <c r="H4984" t="str">
        <f>IF(D4984="","",INDEX(Knutepunkter!$D:$D,D4984+1))</f>
        <v/>
      </c>
      <c r="I4984" t="str">
        <f>IF(E4984="","",INDEX(Knutepunkter!$B:$B,E4984+1))</f>
        <v/>
      </c>
      <c r="J4984" t="str">
        <f>IF(E4984="","",INDEX(Knutepunkter!$C:$C,E4984+1))</f>
        <v/>
      </c>
      <c r="K4984" t="str">
        <f>IF(E4984="","",INDEX(Knutepunkter!$D:$D,E4984+1))</f>
        <v/>
      </c>
      <c r="L4984" t="str">
        <f t="shared" si="388"/>
        <v/>
      </c>
      <c r="M4984" t="str">
        <f t="shared" si="389"/>
        <v/>
      </c>
    </row>
    <row r="4985" spans="1:13" x14ac:dyDescent="0.3">
      <c r="A4985" t="str">
        <f>Segmenter!A4985</f>
        <v/>
      </c>
      <c r="B4985" t="str">
        <f>Segmenter!B4985</f>
        <v/>
      </c>
      <c r="C4985" t="str">
        <f t="shared" si="385"/>
        <v/>
      </c>
      <c r="D4985" t="str">
        <f t="shared" si="386"/>
        <v/>
      </c>
      <c r="E4985" t="str">
        <f t="shared" si="387"/>
        <v/>
      </c>
      <c r="F4985" t="str">
        <f>IF(D4985="","",INDEX(Knutepunkter!$B:$B,D4985+1))</f>
        <v/>
      </c>
      <c r="G4985" t="str">
        <f>IF(D4985="","",INDEX(Knutepunkter!$C:$C,D4985+1))</f>
        <v/>
      </c>
      <c r="H4985" t="str">
        <f>IF(D4985="","",INDEX(Knutepunkter!$D:$D,D4985+1))</f>
        <v/>
      </c>
      <c r="I4985" t="str">
        <f>IF(E4985="","",INDEX(Knutepunkter!$B:$B,E4985+1))</f>
        <v/>
      </c>
      <c r="J4985" t="str">
        <f>IF(E4985="","",INDEX(Knutepunkter!$C:$C,E4985+1))</f>
        <v/>
      </c>
      <c r="K4985" t="str">
        <f>IF(E4985="","",INDEX(Knutepunkter!$D:$D,E4985+1))</f>
        <v/>
      </c>
      <c r="L4985" t="str">
        <f t="shared" si="388"/>
        <v/>
      </c>
      <c r="M4985" t="str">
        <f t="shared" si="389"/>
        <v/>
      </c>
    </row>
    <row r="4986" spans="1:13" x14ac:dyDescent="0.3">
      <c r="A4986" t="str">
        <f>Segmenter!A4986</f>
        <v/>
      </c>
      <c r="B4986" t="str">
        <f>Segmenter!B4986</f>
        <v/>
      </c>
      <c r="C4986" t="str">
        <f t="shared" si="385"/>
        <v/>
      </c>
      <c r="D4986" t="str">
        <f t="shared" si="386"/>
        <v/>
      </c>
      <c r="E4986" t="str">
        <f t="shared" si="387"/>
        <v/>
      </c>
      <c r="F4986" t="str">
        <f>IF(D4986="","",INDEX(Knutepunkter!$B:$B,D4986+1))</f>
        <v/>
      </c>
      <c r="G4986" t="str">
        <f>IF(D4986="","",INDEX(Knutepunkter!$C:$C,D4986+1))</f>
        <v/>
      </c>
      <c r="H4986" t="str">
        <f>IF(D4986="","",INDEX(Knutepunkter!$D:$D,D4986+1))</f>
        <v/>
      </c>
      <c r="I4986" t="str">
        <f>IF(E4986="","",INDEX(Knutepunkter!$B:$B,E4986+1))</f>
        <v/>
      </c>
      <c r="J4986" t="str">
        <f>IF(E4986="","",INDEX(Knutepunkter!$C:$C,E4986+1))</f>
        <v/>
      </c>
      <c r="K4986" t="str">
        <f>IF(E4986="","",INDEX(Knutepunkter!$D:$D,E4986+1))</f>
        <v/>
      </c>
      <c r="L4986" t="str">
        <f t="shared" si="388"/>
        <v/>
      </c>
      <c r="M4986" t="str">
        <f t="shared" si="389"/>
        <v/>
      </c>
    </row>
    <row r="4987" spans="1:13" x14ac:dyDescent="0.3">
      <c r="A4987" t="str">
        <f>Segmenter!A4987</f>
        <v/>
      </c>
      <c r="B4987" t="str">
        <f>Segmenter!B4987</f>
        <v/>
      </c>
      <c r="C4987" t="str">
        <f t="shared" si="385"/>
        <v/>
      </c>
      <c r="D4987" t="str">
        <f t="shared" si="386"/>
        <v/>
      </c>
      <c r="E4987" t="str">
        <f t="shared" si="387"/>
        <v/>
      </c>
      <c r="F4987" t="str">
        <f>IF(D4987="","",INDEX(Knutepunkter!$B:$B,D4987+1))</f>
        <v/>
      </c>
      <c r="G4987" t="str">
        <f>IF(D4987="","",INDEX(Knutepunkter!$C:$C,D4987+1))</f>
        <v/>
      </c>
      <c r="H4987" t="str">
        <f>IF(D4987="","",INDEX(Knutepunkter!$D:$D,D4987+1))</f>
        <v/>
      </c>
      <c r="I4987" t="str">
        <f>IF(E4987="","",INDEX(Knutepunkter!$B:$B,E4987+1))</f>
        <v/>
      </c>
      <c r="J4987" t="str">
        <f>IF(E4987="","",INDEX(Knutepunkter!$C:$C,E4987+1))</f>
        <v/>
      </c>
      <c r="K4987" t="str">
        <f>IF(E4987="","",INDEX(Knutepunkter!$D:$D,E4987+1))</f>
        <v/>
      </c>
      <c r="L4987" t="str">
        <f t="shared" si="388"/>
        <v/>
      </c>
      <c r="M4987" t="str">
        <f t="shared" si="389"/>
        <v/>
      </c>
    </row>
    <row r="4988" spans="1:13" x14ac:dyDescent="0.3">
      <c r="A4988" t="str">
        <f>Segmenter!A4988</f>
        <v/>
      </c>
      <c r="B4988" t="str">
        <f>Segmenter!B4988</f>
        <v/>
      </c>
      <c r="C4988" t="str">
        <f t="shared" si="385"/>
        <v/>
      </c>
      <c r="D4988" t="str">
        <f t="shared" si="386"/>
        <v/>
      </c>
      <c r="E4988" t="str">
        <f t="shared" si="387"/>
        <v/>
      </c>
      <c r="F4988" t="str">
        <f>IF(D4988="","",INDEX(Knutepunkter!$B:$B,D4988+1))</f>
        <v/>
      </c>
      <c r="G4988" t="str">
        <f>IF(D4988="","",INDEX(Knutepunkter!$C:$C,D4988+1))</f>
        <v/>
      </c>
      <c r="H4988" t="str">
        <f>IF(D4988="","",INDEX(Knutepunkter!$D:$D,D4988+1))</f>
        <v/>
      </c>
      <c r="I4988" t="str">
        <f>IF(E4988="","",INDEX(Knutepunkter!$B:$B,E4988+1))</f>
        <v/>
      </c>
      <c r="J4988" t="str">
        <f>IF(E4988="","",INDEX(Knutepunkter!$C:$C,E4988+1))</f>
        <v/>
      </c>
      <c r="K4988" t="str">
        <f>IF(E4988="","",INDEX(Knutepunkter!$D:$D,E4988+1))</f>
        <v/>
      </c>
      <c r="L4988" t="str">
        <f t="shared" si="388"/>
        <v/>
      </c>
      <c r="M4988" t="str">
        <f t="shared" si="389"/>
        <v/>
      </c>
    </row>
    <row r="4989" spans="1:13" x14ac:dyDescent="0.3">
      <c r="A4989" t="str">
        <f>Segmenter!A4989</f>
        <v/>
      </c>
      <c r="B4989" t="str">
        <f>Segmenter!B4989</f>
        <v/>
      </c>
      <c r="C4989" t="str">
        <f t="shared" si="385"/>
        <v/>
      </c>
      <c r="D4989" t="str">
        <f t="shared" si="386"/>
        <v/>
      </c>
      <c r="E4989" t="str">
        <f t="shared" si="387"/>
        <v/>
      </c>
      <c r="F4989" t="str">
        <f>IF(D4989="","",INDEX(Knutepunkter!$B:$B,D4989+1))</f>
        <v/>
      </c>
      <c r="G4989" t="str">
        <f>IF(D4989="","",INDEX(Knutepunkter!$C:$C,D4989+1))</f>
        <v/>
      </c>
      <c r="H4989" t="str">
        <f>IF(D4989="","",INDEX(Knutepunkter!$D:$D,D4989+1))</f>
        <v/>
      </c>
      <c r="I4989" t="str">
        <f>IF(E4989="","",INDEX(Knutepunkter!$B:$B,E4989+1))</f>
        <v/>
      </c>
      <c r="J4989" t="str">
        <f>IF(E4989="","",INDEX(Knutepunkter!$C:$C,E4989+1))</f>
        <v/>
      </c>
      <c r="K4989" t="str">
        <f>IF(E4989="","",INDEX(Knutepunkter!$D:$D,E4989+1))</f>
        <v/>
      </c>
      <c r="L4989" t="str">
        <f t="shared" si="388"/>
        <v/>
      </c>
      <c r="M4989" t="str">
        <f t="shared" si="389"/>
        <v/>
      </c>
    </row>
    <row r="4990" spans="1:13" x14ac:dyDescent="0.3">
      <c r="A4990" t="str">
        <f>Segmenter!A4990</f>
        <v/>
      </c>
      <c r="B4990" t="str">
        <f>Segmenter!B4990</f>
        <v/>
      </c>
      <c r="C4990" t="str">
        <f t="shared" si="385"/>
        <v/>
      </c>
      <c r="D4990" t="str">
        <f t="shared" si="386"/>
        <v/>
      </c>
      <c r="E4990" t="str">
        <f t="shared" si="387"/>
        <v/>
      </c>
      <c r="F4990" t="str">
        <f>IF(D4990="","",INDEX(Knutepunkter!$B:$B,D4990+1))</f>
        <v/>
      </c>
      <c r="G4990" t="str">
        <f>IF(D4990="","",INDEX(Knutepunkter!$C:$C,D4990+1))</f>
        <v/>
      </c>
      <c r="H4990" t="str">
        <f>IF(D4990="","",INDEX(Knutepunkter!$D:$D,D4990+1))</f>
        <v/>
      </c>
      <c r="I4990" t="str">
        <f>IF(E4990="","",INDEX(Knutepunkter!$B:$B,E4990+1))</f>
        <v/>
      </c>
      <c r="J4990" t="str">
        <f>IF(E4990="","",INDEX(Knutepunkter!$C:$C,E4990+1))</f>
        <v/>
      </c>
      <c r="K4990" t="str">
        <f>IF(E4990="","",INDEX(Knutepunkter!$D:$D,E4990+1))</f>
        <v/>
      </c>
      <c r="L4990" t="str">
        <f t="shared" si="388"/>
        <v/>
      </c>
      <c r="M4990" t="str">
        <f t="shared" si="389"/>
        <v/>
      </c>
    </row>
    <row r="4991" spans="1:13" x14ac:dyDescent="0.3">
      <c r="A4991" t="str">
        <f>Segmenter!A4991</f>
        <v/>
      </c>
      <c r="B4991" t="str">
        <f>Segmenter!B4991</f>
        <v/>
      </c>
      <c r="C4991" t="str">
        <f t="shared" si="385"/>
        <v/>
      </c>
      <c r="D4991" t="str">
        <f t="shared" si="386"/>
        <v/>
      </c>
      <c r="E4991" t="str">
        <f t="shared" si="387"/>
        <v/>
      </c>
      <c r="F4991" t="str">
        <f>IF(D4991="","",INDEX(Knutepunkter!$B:$B,D4991+1))</f>
        <v/>
      </c>
      <c r="G4991" t="str">
        <f>IF(D4991="","",INDEX(Knutepunkter!$C:$C,D4991+1))</f>
        <v/>
      </c>
      <c r="H4991" t="str">
        <f>IF(D4991="","",INDEX(Knutepunkter!$D:$D,D4991+1))</f>
        <v/>
      </c>
      <c r="I4991" t="str">
        <f>IF(E4991="","",INDEX(Knutepunkter!$B:$B,E4991+1))</f>
        <v/>
      </c>
      <c r="J4991" t="str">
        <f>IF(E4991="","",INDEX(Knutepunkter!$C:$C,E4991+1))</f>
        <v/>
      </c>
      <c r="K4991" t="str">
        <f>IF(E4991="","",INDEX(Knutepunkter!$D:$D,E4991+1))</f>
        <v/>
      </c>
      <c r="L4991" t="str">
        <f t="shared" si="388"/>
        <v/>
      </c>
      <c r="M4991" t="str">
        <f t="shared" si="389"/>
        <v/>
      </c>
    </row>
    <row r="4992" spans="1:13" x14ac:dyDescent="0.3">
      <c r="A4992" t="str">
        <f>Segmenter!A4992</f>
        <v/>
      </c>
      <c r="B4992" t="str">
        <f>Segmenter!B4992</f>
        <v/>
      </c>
      <c r="C4992" t="str">
        <f t="shared" si="385"/>
        <v/>
      </c>
      <c r="D4992" t="str">
        <f t="shared" si="386"/>
        <v/>
      </c>
      <c r="E4992" t="str">
        <f t="shared" si="387"/>
        <v/>
      </c>
      <c r="F4992" t="str">
        <f>IF(D4992="","",INDEX(Knutepunkter!$B:$B,D4992+1))</f>
        <v/>
      </c>
      <c r="G4992" t="str">
        <f>IF(D4992="","",INDEX(Knutepunkter!$C:$C,D4992+1))</f>
        <v/>
      </c>
      <c r="H4992" t="str">
        <f>IF(D4992="","",INDEX(Knutepunkter!$D:$D,D4992+1))</f>
        <v/>
      </c>
      <c r="I4992" t="str">
        <f>IF(E4992="","",INDEX(Knutepunkter!$B:$B,E4992+1))</f>
        <v/>
      </c>
      <c r="J4992" t="str">
        <f>IF(E4992="","",INDEX(Knutepunkter!$C:$C,E4992+1))</f>
        <v/>
      </c>
      <c r="K4992" t="str">
        <f>IF(E4992="","",INDEX(Knutepunkter!$D:$D,E4992+1))</f>
        <v/>
      </c>
      <c r="L4992" t="str">
        <f t="shared" si="388"/>
        <v/>
      </c>
      <c r="M4992" t="str">
        <f t="shared" si="389"/>
        <v/>
      </c>
    </row>
    <row r="4993" spans="1:13" x14ac:dyDescent="0.3">
      <c r="A4993" t="str">
        <f>Segmenter!A4993</f>
        <v/>
      </c>
      <c r="B4993" t="str">
        <f>Segmenter!B4993</f>
        <v/>
      </c>
      <c r="C4993" t="str">
        <f t="shared" si="385"/>
        <v/>
      </c>
      <c r="D4993" t="str">
        <f t="shared" si="386"/>
        <v/>
      </c>
      <c r="E4993" t="str">
        <f t="shared" si="387"/>
        <v/>
      </c>
      <c r="F4993" t="str">
        <f>IF(D4993="","",INDEX(Knutepunkter!$B:$B,D4993+1))</f>
        <v/>
      </c>
      <c r="G4993" t="str">
        <f>IF(D4993="","",INDEX(Knutepunkter!$C:$C,D4993+1))</f>
        <v/>
      </c>
      <c r="H4993" t="str">
        <f>IF(D4993="","",INDEX(Knutepunkter!$D:$D,D4993+1))</f>
        <v/>
      </c>
      <c r="I4993" t="str">
        <f>IF(E4993="","",INDEX(Knutepunkter!$B:$B,E4993+1))</f>
        <v/>
      </c>
      <c r="J4993" t="str">
        <f>IF(E4993="","",INDEX(Knutepunkter!$C:$C,E4993+1))</f>
        <v/>
      </c>
      <c r="K4993" t="str">
        <f>IF(E4993="","",INDEX(Knutepunkter!$D:$D,E4993+1))</f>
        <v/>
      </c>
      <c r="L4993" t="str">
        <f t="shared" si="388"/>
        <v/>
      </c>
      <c r="M4993" t="str">
        <f t="shared" si="389"/>
        <v/>
      </c>
    </row>
    <row r="4994" spans="1:13" x14ac:dyDescent="0.3">
      <c r="A4994" t="str">
        <f>Segmenter!A4994</f>
        <v/>
      </c>
      <c r="B4994" t="str">
        <f>Segmenter!B4994</f>
        <v/>
      </c>
      <c r="C4994" t="str">
        <f t="shared" ref="C4994:C5057" si="390">IF(B4994="","",IF(AND(F4994=I4994,G4994=J4994,H4994&lt;&gt;K4994),"Søyle","Bjelke"))</f>
        <v/>
      </c>
      <c r="D4994" t="str">
        <f t="shared" ref="D4994:D5057" si="391">IF(B4994="","",VALUE(LEFT(B4994,FIND(" -&gt; ",B4994)-1)))</f>
        <v/>
      </c>
      <c r="E4994" t="str">
        <f t="shared" ref="E4994:E5057" si="392">IF(B4994="","",VALUE(MID(B4994,FIND(" -&gt; ",B4994)+4,99)))</f>
        <v/>
      </c>
      <c r="F4994" t="str">
        <f>IF(D4994="","",INDEX(Knutepunkter!$B:$B,D4994+1))</f>
        <v/>
      </c>
      <c r="G4994" t="str">
        <f>IF(D4994="","",INDEX(Knutepunkter!$C:$C,D4994+1))</f>
        <v/>
      </c>
      <c r="H4994" t="str">
        <f>IF(D4994="","",INDEX(Knutepunkter!$D:$D,D4994+1))</f>
        <v/>
      </c>
      <c r="I4994" t="str">
        <f>IF(E4994="","",INDEX(Knutepunkter!$B:$B,E4994+1))</f>
        <v/>
      </c>
      <c r="J4994" t="str">
        <f>IF(E4994="","",INDEX(Knutepunkter!$C:$C,E4994+1))</f>
        <v/>
      </c>
      <c r="K4994" t="str">
        <f>IF(E4994="","",INDEX(Knutepunkter!$D:$D,E4994+1))</f>
        <v/>
      </c>
      <c r="L4994" t="str">
        <f t="shared" ref="L4994:L5057" si="393">IF(B4994="","",SQRT((I4994-F4994)^2+(J4994-G4994)^2+(K4994-H4994)^2))</f>
        <v/>
      </c>
      <c r="M4994" t="str">
        <f t="shared" ref="M4994:M5057" si="394">IF(L4994="","",L4994/1000)</f>
        <v/>
      </c>
    </row>
    <row r="4995" spans="1:13" x14ac:dyDescent="0.3">
      <c r="A4995" t="str">
        <f>Segmenter!A4995</f>
        <v/>
      </c>
      <c r="B4995" t="str">
        <f>Segmenter!B4995</f>
        <v/>
      </c>
      <c r="C4995" t="str">
        <f t="shared" si="390"/>
        <v/>
      </c>
      <c r="D4995" t="str">
        <f t="shared" si="391"/>
        <v/>
      </c>
      <c r="E4995" t="str">
        <f t="shared" si="392"/>
        <v/>
      </c>
      <c r="F4995" t="str">
        <f>IF(D4995="","",INDEX(Knutepunkter!$B:$B,D4995+1))</f>
        <v/>
      </c>
      <c r="G4995" t="str">
        <f>IF(D4995="","",INDEX(Knutepunkter!$C:$C,D4995+1))</f>
        <v/>
      </c>
      <c r="H4995" t="str">
        <f>IF(D4995="","",INDEX(Knutepunkter!$D:$D,D4995+1))</f>
        <v/>
      </c>
      <c r="I4995" t="str">
        <f>IF(E4995="","",INDEX(Knutepunkter!$B:$B,E4995+1))</f>
        <v/>
      </c>
      <c r="J4995" t="str">
        <f>IF(E4995="","",INDEX(Knutepunkter!$C:$C,E4995+1))</f>
        <v/>
      </c>
      <c r="K4995" t="str">
        <f>IF(E4995="","",INDEX(Knutepunkter!$D:$D,E4995+1))</f>
        <v/>
      </c>
      <c r="L4995" t="str">
        <f t="shared" si="393"/>
        <v/>
      </c>
      <c r="M4995" t="str">
        <f t="shared" si="394"/>
        <v/>
      </c>
    </row>
    <row r="4996" spans="1:13" x14ac:dyDescent="0.3">
      <c r="A4996" t="str">
        <f>Segmenter!A4996</f>
        <v/>
      </c>
      <c r="B4996" t="str">
        <f>Segmenter!B4996</f>
        <v/>
      </c>
      <c r="C4996" t="str">
        <f t="shared" si="390"/>
        <v/>
      </c>
      <c r="D4996" t="str">
        <f t="shared" si="391"/>
        <v/>
      </c>
      <c r="E4996" t="str">
        <f t="shared" si="392"/>
        <v/>
      </c>
      <c r="F4996" t="str">
        <f>IF(D4996="","",INDEX(Knutepunkter!$B:$B,D4996+1))</f>
        <v/>
      </c>
      <c r="G4996" t="str">
        <f>IF(D4996="","",INDEX(Knutepunkter!$C:$C,D4996+1))</f>
        <v/>
      </c>
      <c r="H4996" t="str">
        <f>IF(D4996="","",INDEX(Knutepunkter!$D:$D,D4996+1))</f>
        <v/>
      </c>
      <c r="I4996" t="str">
        <f>IF(E4996="","",INDEX(Knutepunkter!$B:$B,E4996+1))</f>
        <v/>
      </c>
      <c r="J4996" t="str">
        <f>IF(E4996="","",INDEX(Knutepunkter!$C:$C,E4996+1))</f>
        <v/>
      </c>
      <c r="K4996" t="str">
        <f>IF(E4996="","",INDEX(Knutepunkter!$D:$D,E4996+1))</f>
        <v/>
      </c>
      <c r="L4996" t="str">
        <f t="shared" si="393"/>
        <v/>
      </c>
      <c r="M4996" t="str">
        <f t="shared" si="394"/>
        <v/>
      </c>
    </row>
    <row r="4997" spans="1:13" x14ac:dyDescent="0.3">
      <c r="A4997" t="str">
        <f>Segmenter!A4997</f>
        <v/>
      </c>
      <c r="B4997" t="str">
        <f>Segmenter!B4997</f>
        <v/>
      </c>
      <c r="C4997" t="str">
        <f t="shared" si="390"/>
        <v/>
      </c>
      <c r="D4997" t="str">
        <f t="shared" si="391"/>
        <v/>
      </c>
      <c r="E4997" t="str">
        <f t="shared" si="392"/>
        <v/>
      </c>
      <c r="F4997" t="str">
        <f>IF(D4997="","",INDEX(Knutepunkter!$B:$B,D4997+1))</f>
        <v/>
      </c>
      <c r="G4997" t="str">
        <f>IF(D4997="","",INDEX(Knutepunkter!$C:$C,D4997+1))</f>
        <v/>
      </c>
      <c r="H4997" t="str">
        <f>IF(D4997="","",INDEX(Knutepunkter!$D:$D,D4997+1))</f>
        <v/>
      </c>
      <c r="I4997" t="str">
        <f>IF(E4997="","",INDEX(Knutepunkter!$B:$B,E4997+1))</f>
        <v/>
      </c>
      <c r="J4997" t="str">
        <f>IF(E4997="","",INDEX(Knutepunkter!$C:$C,E4997+1))</f>
        <v/>
      </c>
      <c r="K4997" t="str">
        <f>IF(E4997="","",INDEX(Knutepunkter!$D:$D,E4997+1))</f>
        <v/>
      </c>
      <c r="L4997" t="str">
        <f t="shared" si="393"/>
        <v/>
      </c>
      <c r="M4997" t="str">
        <f t="shared" si="394"/>
        <v/>
      </c>
    </row>
    <row r="4998" spans="1:13" x14ac:dyDescent="0.3">
      <c r="A4998" t="str">
        <f>Segmenter!A4998</f>
        <v/>
      </c>
      <c r="B4998" t="str">
        <f>Segmenter!B4998</f>
        <v/>
      </c>
      <c r="C4998" t="str">
        <f t="shared" si="390"/>
        <v/>
      </c>
      <c r="D4998" t="str">
        <f t="shared" si="391"/>
        <v/>
      </c>
      <c r="E4998" t="str">
        <f t="shared" si="392"/>
        <v/>
      </c>
      <c r="F4998" t="str">
        <f>IF(D4998="","",INDEX(Knutepunkter!$B:$B,D4998+1))</f>
        <v/>
      </c>
      <c r="G4998" t="str">
        <f>IF(D4998="","",INDEX(Knutepunkter!$C:$C,D4998+1))</f>
        <v/>
      </c>
      <c r="H4998" t="str">
        <f>IF(D4998="","",INDEX(Knutepunkter!$D:$D,D4998+1))</f>
        <v/>
      </c>
      <c r="I4998" t="str">
        <f>IF(E4998="","",INDEX(Knutepunkter!$B:$B,E4998+1))</f>
        <v/>
      </c>
      <c r="J4998" t="str">
        <f>IF(E4998="","",INDEX(Knutepunkter!$C:$C,E4998+1))</f>
        <v/>
      </c>
      <c r="K4998" t="str">
        <f>IF(E4998="","",INDEX(Knutepunkter!$D:$D,E4998+1))</f>
        <v/>
      </c>
      <c r="L4998" t="str">
        <f t="shared" si="393"/>
        <v/>
      </c>
      <c r="M4998" t="str">
        <f t="shared" si="394"/>
        <v/>
      </c>
    </row>
    <row r="4999" spans="1:13" x14ac:dyDescent="0.3">
      <c r="A4999" t="str">
        <f>Segmenter!A4999</f>
        <v/>
      </c>
      <c r="B4999" t="str">
        <f>Segmenter!B4999</f>
        <v/>
      </c>
      <c r="C4999" t="str">
        <f t="shared" si="390"/>
        <v/>
      </c>
      <c r="D4999" t="str">
        <f t="shared" si="391"/>
        <v/>
      </c>
      <c r="E4999" t="str">
        <f t="shared" si="392"/>
        <v/>
      </c>
      <c r="F4999" t="str">
        <f>IF(D4999="","",INDEX(Knutepunkter!$B:$B,D4999+1))</f>
        <v/>
      </c>
      <c r="G4999" t="str">
        <f>IF(D4999="","",INDEX(Knutepunkter!$C:$C,D4999+1))</f>
        <v/>
      </c>
      <c r="H4999" t="str">
        <f>IF(D4999="","",INDEX(Knutepunkter!$D:$D,D4999+1))</f>
        <v/>
      </c>
      <c r="I4999" t="str">
        <f>IF(E4999="","",INDEX(Knutepunkter!$B:$B,E4999+1))</f>
        <v/>
      </c>
      <c r="J4999" t="str">
        <f>IF(E4999="","",INDEX(Knutepunkter!$C:$C,E4999+1))</f>
        <v/>
      </c>
      <c r="K4999" t="str">
        <f>IF(E4999="","",INDEX(Knutepunkter!$D:$D,E4999+1))</f>
        <v/>
      </c>
      <c r="L4999" t="str">
        <f t="shared" si="393"/>
        <v/>
      </c>
      <c r="M4999" t="str">
        <f t="shared" si="394"/>
        <v/>
      </c>
    </row>
    <row r="5000" spans="1:13" x14ac:dyDescent="0.3">
      <c r="A5000" t="str">
        <f>Segmenter!A5000</f>
        <v/>
      </c>
      <c r="B5000" t="str">
        <f>Segmenter!B5000</f>
        <v/>
      </c>
      <c r="C5000" t="str">
        <f t="shared" si="390"/>
        <v/>
      </c>
      <c r="D5000" t="str">
        <f t="shared" si="391"/>
        <v/>
      </c>
      <c r="E5000" t="str">
        <f t="shared" si="392"/>
        <v/>
      </c>
      <c r="F5000" t="str">
        <f>IF(D5000="","",INDEX(Knutepunkter!$B:$B,D5000+1))</f>
        <v/>
      </c>
      <c r="G5000" t="str">
        <f>IF(D5000="","",INDEX(Knutepunkter!$C:$C,D5000+1))</f>
        <v/>
      </c>
      <c r="H5000" t="str">
        <f>IF(D5000="","",INDEX(Knutepunkter!$D:$D,D5000+1))</f>
        <v/>
      </c>
      <c r="I5000" t="str">
        <f>IF(E5000="","",INDEX(Knutepunkter!$B:$B,E5000+1))</f>
        <v/>
      </c>
      <c r="J5000" t="str">
        <f>IF(E5000="","",INDEX(Knutepunkter!$C:$C,E5000+1))</f>
        <v/>
      </c>
      <c r="K5000" t="str">
        <f>IF(E5000="","",INDEX(Knutepunkter!$D:$D,E5000+1))</f>
        <v/>
      </c>
      <c r="L5000" t="str">
        <f t="shared" si="393"/>
        <v/>
      </c>
      <c r="M5000" t="str">
        <f t="shared" si="394"/>
        <v/>
      </c>
    </row>
    <row r="5001" spans="1:13" x14ac:dyDescent="0.3">
      <c r="A5001" t="str">
        <f>Segmenter!A5001</f>
        <v/>
      </c>
      <c r="B5001" t="str">
        <f>Segmenter!B5001</f>
        <v/>
      </c>
      <c r="C5001" t="str">
        <f t="shared" si="390"/>
        <v/>
      </c>
      <c r="D5001" t="str">
        <f t="shared" si="391"/>
        <v/>
      </c>
      <c r="E5001" t="str">
        <f t="shared" si="392"/>
        <v/>
      </c>
      <c r="F5001" t="str">
        <f>IF(D5001="","",INDEX(Knutepunkter!$B:$B,D5001+1))</f>
        <v/>
      </c>
      <c r="G5001" t="str">
        <f>IF(D5001="","",INDEX(Knutepunkter!$C:$C,D5001+1))</f>
        <v/>
      </c>
      <c r="H5001" t="str">
        <f>IF(D5001="","",INDEX(Knutepunkter!$D:$D,D5001+1))</f>
        <v/>
      </c>
      <c r="I5001" t="str">
        <f>IF(E5001="","",INDEX(Knutepunkter!$B:$B,E5001+1))</f>
        <v/>
      </c>
      <c r="J5001" t="str">
        <f>IF(E5001="","",INDEX(Knutepunkter!$C:$C,E5001+1))</f>
        <v/>
      </c>
      <c r="K5001" t="str">
        <f>IF(E5001="","",INDEX(Knutepunkter!$D:$D,E5001+1))</f>
        <v/>
      </c>
      <c r="L5001" t="str">
        <f t="shared" si="393"/>
        <v/>
      </c>
      <c r="M5001" t="str">
        <f t="shared" si="394"/>
        <v/>
      </c>
    </row>
    <row r="5002" spans="1:13" x14ac:dyDescent="0.3">
      <c r="A5002" t="str">
        <f>Segmenter!A5002</f>
        <v/>
      </c>
      <c r="B5002" t="str">
        <f>Segmenter!B5002</f>
        <v/>
      </c>
      <c r="C5002" t="str">
        <f t="shared" si="390"/>
        <v/>
      </c>
      <c r="D5002" t="str">
        <f t="shared" si="391"/>
        <v/>
      </c>
      <c r="E5002" t="str">
        <f t="shared" si="392"/>
        <v/>
      </c>
      <c r="F5002" t="str">
        <f>IF(D5002="","",INDEX(Knutepunkter!$B:$B,D5002+1))</f>
        <v/>
      </c>
      <c r="G5002" t="str">
        <f>IF(D5002="","",INDEX(Knutepunkter!$C:$C,D5002+1))</f>
        <v/>
      </c>
      <c r="H5002" t="str">
        <f>IF(D5002="","",INDEX(Knutepunkter!$D:$D,D5002+1))</f>
        <v/>
      </c>
      <c r="I5002" t="str">
        <f>IF(E5002="","",INDEX(Knutepunkter!$B:$B,E5002+1))</f>
        <v/>
      </c>
      <c r="J5002" t="str">
        <f>IF(E5002="","",INDEX(Knutepunkter!$C:$C,E5002+1))</f>
        <v/>
      </c>
      <c r="K5002" t="str">
        <f>IF(E5002="","",INDEX(Knutepunkter!$D:$D,E5002+1))</f>
        <v/>
      </c>
      <c r="L5002" t="str">
        <f t="shared" si="393"/>
        <v/>
      </c>
      <c r="M5002" t="str">
        <f t="shared" si="394"/>
        <v/>
      </c>
    </row>
    <row r="5003" spans="1:13" x14ac:dyDescent="0.3">
      <c r="A5003" t="str">
        <f>Segmenter!A5003</f>
        <v/>
      </c>
      <c r="B5003" t="str">
        <f>Segmenter!B5003</f>
        <v/>
      </c>
      <c r="C5003" t="str">
        <f t="shared" si="390"/>
        <v/>
      </c>
      <c r="D5003" t="str">
        <f t="shared" si="391"/>
        <v/>
      </c>
      <c r="E5003" t="str">
        <f t="shared" si="392"/>
        <v/>
      </c>
      <c r="F5003" t="str">
        <f>IF(D5003="","",INDEX(Knutepunkter!$B:$B,D5003+1))</f>
        <v/>
      </c>
      <c r="G5003" t="str">
        <f>IF(D5003="","",INDEX(Knutepunkter!$C:$C,D5003+1))</f>
        <v/>
      </c>
      <c r="H5003" t="str">
        <f>IF(D5003="","",INDEX(Knutepunkter!$D:$D,D5003+1))</f>
        <v/>
      </c>
      <c r="I5003" t="str">
        <f>IF(E5003="","",INDEX(Knutepunkter!$B:$B,E5003+1))</f>
        <v/>
      </c>
      <c r="J5003" t="str">
        <f>IF(E5003="","",INDEX(Knutepunkter!$C:$C,E5003+1))</f>
        <v/>
      </c>
      <c r="K5003" t="str">
        <f>IF(E5003="","",INDEX(Knutepunkter!$D:$D,E5003+1))</f>
        <v/>
      </c>
      <c r="L5003" t="str">
        <f t="shared" si="393"/>
        <v/>
      </c>
      <c r="M5003" t="str">
        <f t="shared" si="394"/>
        <v/>
      </c>
    </row>
    <row r="5004" spans="1:13" x14ac:dyDescent="0.3">
      <c r="A5004" t="str">
        <f>Segmenter!A5004</f>
        <v/>
      </c>
      <c r="B5004" t="str">
        <f>Segmenter!B5004</f>
        <v/>
      </c>
      <c r="C5004" t="str">
        <f t="shared" si="390"/>
        <v/>
      </c>
      <c r="D5004" t="str">
        <f t="shared" si="391"/>
        <v/>
      </c>
      <c r="E5004" t="str">
        <f t="shared" si="392"/>
        <v/>
      </c>
      <c r="F5004" t="str">
        <f>IF(D5004="","",INDEX(Knutepunkter!$B:$B,D5004+1))</f>
        <v/>
      </c>
      <c r="G5004" t="str">
        <f>IF(D5004="","",INDEX(Knutepunkter!$C:$C,D5004+1))</f>
        <v/>
      </c>
      <c r="H5004" t="str">
        <f>IF(D5004="","",INDEX(Knutepunkter!$D:$D,D5004+1))</f>
        <v/>
      </c>
      <c r="I5004" t="str">
        <f>IF(E5004="","",INDEX(Knutepunkter!$B:$B,E5004+1))</f>
        <v/>
      </c>
      <c r="J5004" t="str">
        <f>IF(E5004="","",INDEX(Knutepunkter!$C:$C,E5004+1))</f>
        <v/>
      </c>
      <c r="K5004" t="str">
        <f>IF(E5004="","",INDEX(Knutepunkter!$D:$D,E5004+1))</f>
        <v/>
      </c>
      <c r="L5004" t="str">
        <f t="shared" si="393"/>
        <v/>
      </c>
      <c r="M5004" t="str">
        <f t="shared" si="394"/>
        <v/>
      </c>
    </row>
    <row r="5005" spans="1:13" x14ac:dyDescent="0.3">
      <c r="A5005" t="str">
        <f>Segmenter!A5005</f>
        <v/>
      </c>
      <c r="B5005" t="str">
        <f>Segmenter!B5005</f>
        <v/>
      </c>
      <c r="C5005" t="str">
        <f t="shared" si="390"/>
        <v/>
      </c>
      <c r="D5005" t="str">
        <f t="shared" si="391"/>
        <v/>
      </c>
      <c r="E5005" t="str">
        <f t="shared" si="392"/>
        <v/>
      </c>
      <c r="F5005" t="str">
        <f>IF(D5005="","",INDEX(Knutepunkter!$B:$B,D5005+1))</f>
        <v/>
      </c>
      <c r="G5005" t="str">
        <f>IF(D5005="","",INDEX(Knutepunkter!$C:$C,D5005+1))</f>
        <v/>
      </c>
      <c r="H5005" t="str">
        <f>IF(D5005="","",INDEX(Knutepunkter!$D:$D,D5005+1))</f>
        <v/>
      </c>
      <c r="I5005" t="str">
        <f>IF(E5005="","",INDEX(Knutepunkter!$B:$B,E5005+1))</f>
        <v/>
      </c>
      <c r="J5005" t="str">
        <f>IF(E5005="","",INDEX(Knutepunkter!$C:$C,E5005+1))</f>
        <v/>
      </c>
      <c r="K5005" t="str">
        <f>IF(E5005="","",INDEX(Knutepunkter!$D:$D,E5005+1))</f>
        <v/>
      </c>
      <c r="L5005" t="str">
        <f t="shared" si="393"/>
        <v/>
      </c>
      <c r="M5005" t="str">
        <f t="shared" si="394"/>
        <v/>
      </c>
    </row>
    <row r="5006" spans="1:13" x14ac:dyDescent="0.3">
      <c r="A5006" t="str">
        <f>Segmenter!A5006</f>
        <v/>
      </c>
      <c r="B5006" t="str">
        <f>Segmenter!B5006</f>
        <v/>
      </c>
      <c r="C5006" t="str">
        <f t="shared" si="390"/>
        <v/>
      </c>
      <c r="D5006" t="str">
        <f t="shared" si="391"/>
        <v/>
      </c>
      <c r="E5006" t="str">
        <f t="shared" si="392"/>
        <v/>
      </c>
      <c r="F5006" t="str">
        <f>IF(D5006="","",INDEX(Knutepunkter!$B:$B,D5006+1))</f>
        <v/>
      </c>
      <c r="G5006" t="str">
        <f>IF(D5006="","",INDEX(Knutepunkter!$C:$C,D5006+1))</f>
        <v/>
      </c>
      <c r="H5006" t="str">
        <f>IF(D5006="","",INDEX(Knutepunkter!$D:$D,D5006+1))</f>
        <v/>
      </c>
      <c r="I5006" t="str">
        <f>IF(E5006="","",INDEX(Knutepunkter!$B:$B,E5006+1))</f>
        <v/>
      </c>
      <c r="J5006" t="str">
        <f>IF(E5006="","",INDEX(Knutepunkter!$C:$C,E5006+1))</f>
        <v/>
      </c>
      <c r="K5006" t="str">
        <f>IF(E5006="","",INDEX(Knutepunkter!$D:$D,E5006+1))</f>
        <v/>
      </c>
      <c r="L5006" t="str">
        <f t="shared" si="393"/>
        <v/>
      </c>
      <c r="M5006" t="str">
        <f t="shared" si="394"/>
        <v/>
      </c>
    </row>
    <row r="5007" spans="1:13" x14ac:dyDescent="0.3">
      <c r="A5007" t="str">
        <f>Segmenter!A5007</f>
        <v/>
      </c>
      <c r="B5007" t="str">
        <f>Segmenter!B5007</f>
        <v/>
      </c>
      <c r="C5007" t="str">
        <f t="shared" si="390"/>
        <v/>
      </c>
      <c r="D5007" t="str">
        <f t="shared" si="391"/>
        <v/>
      </c>
      <c r="E5007" t="str">
        <f t="shared" si="392"/>
        <v/>
      </c>
      <c r="F5007" t="str">
        <f>IF(D5007="","",INDEX(Knutepunkter!$B:$B,D5007+1))</f>
        <v/>
      </c>
      <c r="G5007" t="str">
        <f>IF(D5007="","",INDEX(Knutepunkter!$C:$C,D5007+1))</f>
        <v/>
      </c>
      <c r="H5007" t="str">
        <f>IF(D5007="","",INDEX(Knutepunkter!$D:$D,D5007+1))</f>
        <v/>
      </c>
      <c r="I5007" t="str">
        <f>IF(E5007="","",INDEX(Knutepunkter!$B:$B,E5007+1))</f>
        <v/>
      </c>
      <c r="J5007" t="str">
        <f>IF(E5007="","",INDEX(Knutepunkter!$C:$C,E5007+1))</f>
        <v/>
      </c>
      <c r="K5007" t="str">
        <f>IF(E5007="","",INDEX(Knutepunkter!$D:$D,E5007+1))</f>
        <v/>
      </c>
      <c r="L5007" t="str">
        <f t="shared" si="393"/>
        <v/>
      </c>
      <c r="M5007" t="str">
        <f t="shared" si="394"/>
        <v/>
      </c>
    </row>
    <row r="5008" spans="1:13" x14ac:dyDescent="0.3">
      <c r="A5008" t="str">
        <f>Segmenter!A5008</f>
        <v/>
      </c>
      <c r="B5008" t="str">
        <f>Segmenter!B5008</f>
        <v/>
      </c>
      <c r="C5008" t="str">
        <f t="shared" si="390"/>
        <v/>
      </c>
      <c r="D5008" t="str">
        <f t="shared" si="391"/>
        <v/>
      </c>
      <c r="E5008" t="str">
        <f t="shared" si="392"/>
        <v/>
      </c>
      <c r="F5008" t="str">
        <f>IF(D5008="","",INDEX(Knutepunkter!$B:$B,D5008+1))</f>
        <v/>
      </c>
      <c r="G5008" t="str">
        <f>IF(D5008="","",INDEX(Knutepunkter!$C:$C,D5008+1))</f>
        <v/>
      </c>
      <c r="H5008" t="str">
        <f>IF(D5008="","",INDEX(Knutepunkter!$D:$D,D5008+1))</f>
        <v/>
      </c>
      <c r="I5008" t="str">
        <f>IF(E5008="","",INDEX(Knutepunkter!$B:$B,E5008+1))</f>
        <v/>
      </c>
      <c r="J5008" t="str">
        <f>IF(E5008="","",INDEX(Knutepunkter!$C:$C,E5008+1))</f>
        <v/>
      </c>
      <c r="K5008" t="str">
        <f>IF(E5008="","",INDEX(Knutepunkter!$D:$D,E5008+1))</f>
        <v/>
      </c>
      <c r="L5008" t="str">
        <f t="shared" si="393"/>
        <v/>
      </c>
      <c r="M5008" t="str">
        <f t="shared" si="394"/>
        <v/>
      </c>
    </row>
    <row r="5009" spans="1:13" x14ac:dyDescent="0.3">
      <c r="A5009" t="str">
        <f>Segmenter!A5009</f>
        <v/>
      </c>
      <c r="B5009" t="str">
        <f>Segmenter!B5009</f>
        <v/>
      </c>
      <c r="C5009" t="str">
        <f t="shared" si="390"/>
        <v/>
      </c>
      <c r="D5009" t="str">
        <f t="shared" si="391"/>
        <v/>
      </c>
      <c r="E5009" t="str">
        <f t="shared" si="392"/>
        <v/>
      </c>
      <c r="F5009" t="str">
        <f>IF(D5009="","",INDEX(Knutepunkter!$B:$B,D5009+1))</f>
        <v/>
      </c>
      <c r="G5009" t="str">
        <f>IF(D5009="","",INDEX(Knutepunkter!$C:$C,D5009+1))</f>
        <v/>
      </c>
      <c r="H5009" t="str">
        <f>IF(D5009="","",INDEX(Knutepunkter!$D:$D,D5009+1))</f>
        <v/>
      </c>
      <c r="I5009" t="str">
        <f>IF(E5009="","",INDEX(Knutepunkter!$B:$B,E5009+1))</f>
        <v/>
      </c>
      <c r="J5009" t="str">
        <f>IF(E5009="","",INDEX(Knutepunkter!$C:$C,E5009+1))</f>
        <v/>
      </c>
      <c r="K5009" t="str">
        <f>IF(E5009="","",INDEX(Knutepunkter!$D:$D,E5009+1))</f>
        <v/>
      </c>
      <c r="L5009" t="str">
        <f t="shared" si="393"/>
        <v/>
      </c>
      <c r="M5009" t="str">
        <f t="shared" si="394"/>
        <v/>
      </c>
    </row>
    <row r="5010" spans="1:13" x14ac:dyDescent="0.3">
      <c r="A5010" t="str">
        <f>Segmenter!A5010</f>
        <v/>
      </c>
      <c r="B5010" t="str">
        <f>Segmenter!B5010</f>
        <v/>
      </c>
      <c r="C5010" t="str">
        <f t="shared" si="390"/>
        <v/>
      </c>
      <c r="D5010" t="str">
        <f t="shared" si="391"/>
        <v/>
      </c>
      <c r="E5010" t="str">
        <f t="shared" si="392"/>
        <v/>
      </c>
      <c r="F5010" t="str">
        <f>IF(D5010="","",INDEX(Knutepunkter!$B:$B,D5010+1))</f>
        <v/>
      </c>
      <c r="G5010" t="str">
        <f>IF(D5010="","",INDEX(Knutepunkter!$C:$C,D5010+1))</f>
        <v/>
      </c>
      <c r="H5010" t="str">
        <f>IF(D5010="","",INDEX(Knutepunkter!$D:$D,D5010+1))</f>
        <v/>
      </c>
      <c r="I5010" t="str">
        <f>IF(E5010="","",INDEX(Knutepunkter!$B:$B,E5010+1))</f>
        <v/>
      </c>
      <c r="J5010" t="str">
        <f>IF(E5010="","",INDEX(Knutepunkter!$C:$C,E5010+1))</f>
        <v/>
      </c>
      <c r="K5010" t="str">
        <f>IF(E5010="","",INDEX(Knutepunkter!$D:$D,E5010+1))</f>
        <v/>
      </c>
      <c r="L5010" t="str">
        <f t="shared" si="393"/>
        <v/>
      </c>
      <c r="M5010" t="str">
        <f t="shared" si="394"/>
        <v/>
      </c>
    </row>
    <row r="5011" spans="1:13" x14ac:dyDescent="0.3">
      <c r="A5011" t="str">
        <f>Segmenter!A5011</f>
        <v/>
      </c>
      <c r="B5011" t="str">
        <f>Segmenter!B5011</f>
        <v/>
      </c>
      <c r="C5011" t="str">
        <f t="shared" si="390"/>
        <v/>
      </c>
      <c r="D5011" t="str">
        <f t="shared" si="391"/>
        <v/>
      </c>
      <c r="E5011" t="str">
        <f t="shared" si="392"/>
        <v/>
      </c>
      <c r="F5011" t="str">
        <f>IF(D5011="","",INDEX(Knutepunkter!$B:$B,D5011+1))</f>
        <v/>
      </c>
      <c r="G5011" t="str">
        <f>IF(D5011="","",INDEX(Knutepunkter!$C:$C,D5011+1))</f>
        <v/>
      </c>
      <c r="H5011" t="str">
        <f>IF(D5011="","",INDEX(Knutepunkter!$D:$D,D5011+1))</f>
        <v/>
      </c>
      <c r="I5011" t="str">
        <f>IF(E5011="","",INDEX(Knutepunkter!$B:$B,E5011+1))</f>
        <v/>
      </c>
      <c r="J5011" t="str">
        <f>IF(E5011="","",INDEX(Knutepunkter!$C:$C,E5011+1))</f>
        <v/>
      </c>
      <c r="K5011" t="str">
        <f>IF(E5011="","",INDEX(Knutepunkter!$D:$D,E5011+1))</f>
        <v/>
      </c>
      <c r="L5011" t="str">
        <f t="shared" si="393"/>
        <v/>
      </c>
      <c r="M5011" t="str">
        <f t="shared" si="394"/>
        <v/>
      </c>
    </row>
    <row r="5012" spans="1:13" x14ac:dyDescent="0.3">
      <c r="A5012" t="str">
        <f>Segmenter!A5012</f>
        <v/>
      </c>
      <c r="B5012" t="str">
        <f>Segmenter!B5012</f>
        <v/>
      </c>
      <c r="C5012" t="str">
        <f t="shared" si="390"/>
        <v/>
      </c>
      <c r="D5012" t="str">
        <f t="shared" si="391"/>
        <v/>
      </c>
      <c r="E5012" t="str">
        <f t="shared" si="392"/>
        <v/>
      </c>
      <c r="F5012" t="str">
        <f>IF(D5012="","",INDEX(Knutepunkter!$B:$B,D5012+1))</f>
        <v/>
      </c>
      <c r="G5012" t="str">
        <f>IF(D5012="","",INDEX(Knutepunkter!$C:$C,D5012+1))</f>
        <v/>
      </c>
      <c r="H5012" t="str">
        <f>IF(D5012="","",INDEX(Knutepunkter!$D:$D,D5012+1))</f>
        <v/>
      </c>
      <c r="I5012" t="str">
        <f>IF(E5012="","",INDEX(Knutepunkter!$B:$B,E5012+1))</f>
        <v/>
      </c>
      <c r="J5012" t="str">
        <f>IF(E5012="","",INDEX(Knutepunkter!$C:$C,E5012+1))</f>
        <v/>
      </c>
      <c r="K5012" t="str">
        <f>IF(E5012="","",INDEX(Knutepunkter!$D:$D,E5012+1))</f>
        <v/>
      </c>
      <c r="L5012" t="str">
        <f t="shared" si="393"/>
        <v/>
      </c>
      <c r="M5012" t="str">
        <f t="shared" si="394"/>
        <v/>
      </c>
    </row>
    <row r="5013" spans="1:13" x14ac:dyDescent="0.3">
      <c r="A5013" t="str">
        <f>Segmenter!A5013</f>
        <v/>
      </c>
      <c r="B5013" t="str">
        <f>Segmenter!B5013</f>
        <v/>
      </c>
      <c r="C5013" t="str">
        <f t="shared" si="390"/>
        <v/>
      </c>
      <c r="D5013" t="str">
        <f t="shared" si="391"/>
        <v/>
      </c>
      <c r="E5013" t="str">
        <f t="shared" si="392"/>
        <v/>
      </c>
      <c r="F5013" t="str">
        <f>IF(D5013="","",INDEX(Knutepunkter!$B:$B,D5013+1))</f>
        <v/>
      </c>
      <c r="G5013" t="str">
        <f>IF(D5013="","",INDEX(Knutepunkter!$C:$C,D5013+1))</f>
        <v/>
      </c>
      <c r="H5013" t="str">
        <f>IF(D5013="","",INDEX(Knutepunkter!$D:$D,D5013+1))</f>
        <v/>
      </c>
      <c r="I5013" t="str">
        <f>IF(E5013="","",INDEX(Knutepunkter!$B:$B,E5013+1))</f>
        <v/>
      </c>
      <c r="J5013" t="str">
        <f>IF(E5013="","",INDEX(Knutepunkter!$C:$C,E5013+1))</f>
        <v/>
      </c>
      <c r="K5013" t="str">
        <f>IF(E5013="","",INDEX(Knutepunkter!$D:$D,E5013+1))</f>
        <v/>
      </c>
      <c r="L5013" t="str">
        <f t="shared" si="393"/>
        <v/>
      </c>
      <c r="M5013" t="str">
        <f t="shared" si="394"/>
        <v/>
      </c>
    </row>
    <row r="5014" spans="1:13" x14ac:dyDescent="0.3">
      <c r="A5014" t="str">
        <f>Segmenter!A5014</f>
        <v/>
      </c>
      <c r="B5014" t="str">
        <f>Segmenter!B5014</f>
        <v/>
      </c>
      <c r="C5014" t="str">
        <f t="shared" si="390"/>
        <v/>
      </c>
      <c r="D5014" t="str">
        <f t="shared" si="391"/>
        <v/>
      </c>
      <c r="E5014" t="str">
        <f t="shared" si="392"/>
        <v/>
      </c>
      <c r="F5014" t="str">
        <f>IF(D5014="","",INDEX(Knutepunkter!$B:$B,D5014+1))</f>
        <v/>
      </c>
      <c r="G5014" t="str">
        <f>IF(D5014="","",INDEX(Knutepunkter!$C:$C,D5014+1))</f>
        <v/>
      </c>
      <c r="H5014" t="str">
        <f>IF(D5014="","",INDEX(Knutepunkter!$D:$D,D5014+1))</f>
        <v/>
      </c>
      <c r="I5014" t="str">
        <f>IF(E5014="","",INDEX(Knutepunkter!$B:$B,E5014+1))</f>
        <v/>
      </c>
      <c r="J5014" t="str">
        <f>IF(E5014="","",INDEX(Knutepunkter!$C:$C,E5014+1))</f>
        <v/>
      </c>
      <c r="K5014" t="str">
        <f>IF(E5014="","",INDEX(Knutepunkter!$D:$D,E5014+1))</f>
        <v/>
      </c>
      <c r="L5014" t="str">
        <f t="shared" si="393"/>
        <v/>
      </c>
      <c r="M5014" t="str">
        <f t="shared" si="394"/>
        <v/>
      </c>
    </row>
    <row r="5015" spans="1:13" x14ac:dyDescent="0.3">
      <c r="A5015" t="str">
        <f>Segmenter!A5015</f>
        <v/>
      </c>
      <c r="B5015" t="str">
        <f>Segmenter!B5015</f>
        <v/>
      </c>
      <c r="C5015" t="str">
        <f t="shared" si="390"/>
        <v/>
      </c>
      <c r="D5015" t="str">
        <f t="shared" si="391"/>
        <v/>
      </c>
      <c r="E5015" t="str">
        <f t="shared" si="392"/>
        <v/>
      </c>
      <c r="F5015" t="str">
        <f>IF(D5015="","",INDEX(Knutepunkter!$B:$B,D5015+1))</f>
        <v/>
      </c>
      <c r="G5015" t="str">
        <f>IF(D5015="","",INDEX(Knutepunkter!$C:$C,D5015+1))</f>
        <v/>
      </c>
      <c r="H5015" t="str">
        <f>IF(D5015="","",INDEX(Knutepunkter!$D:$D,D5015+1))</f>
        <v/>
      </c>
      <c r="I5015" t="str">
        <f>IF(E5015="","",INDEX(Knutepunkter!$B:$B,E5015+1))</f>
        <v/>
      </c>
      <c r="J5015" t="str">
        <f>IF(E5015="","",INDEX(Knutepunkter!$C:$C,E5015+1))</f>
        <v/>
      </c>
      <c r="K5015" t="str">
        <f>IF(E5015="","",INDEX(Knutepunkter!$D:$D,E5015+1))</f>
        <v/>
      </c>
      <c r="L5015" t="str">
        <f t="shared" si="393"/>
        <v/>
      </c>
      <c r="M5015" t="str">
        <f t="shared" si="394"/>
        <v/>
      </c>
    </row>
    <row r="5016" spans="1:13" x14ac:dyDescent="0.3">
      <c r="A5016" t="str">
        <f>Segmenter!A5016</f>
        <v/>
      </c>
      <c r="B5016" t="str">
        <f>Segmenter!B5016</f>
        <v/>
      </c>
      <c r="C5016" t="str">
        <f t="shared" si="390"/>
        <v/>
      </c>
      <c r="D5016" t="str">
        <f t="shared" si="391"/>
        <v/>
      </c>
      <c r="E5016" t="str">
        <f t="shared" si="392"/>
        <v/>
      </c>
      <c r="F5016" t="str">
        <f>IF(D5016="","",INDEX(Knutepunkter!$B:$B,D5016+1))</f>
        <v/>
      </c>
      <c r="G5016" t="str">
        <f>IF(D5016="","",INDEX(Knutepunkter!$C:$C,D5016+1))</f>
        <v/>
      </c>
      <c r="H5016" t="str">
        <f>IF(D5016="","",INDEX(Knutepunkter!$D:$D,D5016+1))</f>
        <v/>
      </c>
      <c r="I5016" t="str">
        <f>IF(E5016="","",INDEX(Knutepunkter!$B:$B,E5016+1))</f>
        <v/>
      </c>
      <c r="J5016" t="str">
        <f>IF(E5016="","",INDEX(Knutepunkter!$C:$C,E5016+1))</f>
        <v/>
      </c>
      <c r="K5016" t="str">
        <f>IF(E5016="","",INDEX(Knutepunkter!$D:$D,E5016+1))</f>
        <v/>
      </c>
      <c r="L5016" t="str">
        <f t="shared" si="393"/>
        <v/>
      </c>
      <c r="M5016" t="str">
        <f t="shared" si="394"/>
        <v/>
      </c>
    </row>
    <row r="5017" spans="1:13" x14ac:dyDescent="0.3">
      <c r="A5017" t="str">
        <f>Segmenter!A5017</f>
        <v/>
      </c>
      <c r="B5017" t="str">
        <f>Segmenter!B5017</f>
        <v/>
      </c>
      <c r="C5017" t="str">
        <f t="shared" si="390"/>
        <v/>
      </c>
      <c r="D5017" t="str">
        <f t="shared" si="391"/>
        <v/>
      </c>
      <c r="E5017" t="str">
        <f t="shared" si="392"/>
        <v/>
      </c>
      <c r="F5017" t="str">
        <f>IF(D5017="","",INDEX(Knutepunkter!$B:$B,D5017+1))</f>
        <v/>
      </c>
      <c r="G5017" t="str">
        <f>IF(D5017="","",INDEX(Knutepunkter!$C:$C,D5017+1))</f>
        <v/>
      </c>
      <c r="H5017" t="str">
        <f>IF(D5017="","",INDEX(Knutepunkter!$D:$D,D5017+1))</f>
        <v/>
      </c>
      <c r="I5017" t="str">
        <f>IF(E5017="","",INDEX(Knutepunkter!$B:$B,E5017+1))</f>
        <v/>
      </c>
      <c r="J5017" t="str">
        <f>IF(E5017="","",INDEX(Knutepunkter!$C:$C,E5017+1))</f>
        <v/>
      </c>
      <c r="K5017" t="str">
        <f>IF(E5017="","",INDEX(Knutepunkter!$D:$D,E5017+1))</f>
        <v/>
      </c>
      <c r="L5017" t="str">
        <f t="shared" si="393"/>
        <v/>
      </c>
      <c r="M5017" t="str">
        <f t="shared" si="394"/>
        <v/>
      </c>
    </row>
    <row r="5018" spans="1:13" x14ac:dyDescent="0.3">
      <c r="A5018" t="str">
        <f>Segmenter!A5018</f>
        <v/>
      </c>
      <c r="B5018" t="str">
        <f>Segmenter!B5018</f>
        <v/>
      </c>
      <c r="C5018" t="str">
        <f t="shared" si="390"/>
        <v/>
      </c>
      <c r="D5018" t="str">
        <f t="shared" si="391"/>
        <v/>
      </c>
      <c r="E5018" t="str">
        <f t="shared" si="392"/>
        <v/>
      </c>
      <c r="F5018" t="str">
        <f>IF(D5018="","",INDEX(Knutepunkter!$B:$B,D5018+1))</f>
        <v/>
      </c>
      <c r="G5018" t="str">
        <f>IF(D5018="","",INDEX(Knutepunkter!$C:$C,D5018+1))</f>
        <v/>
      </c>
      <c r="H5018" t="str">
        <f>IF(D5018="","",INDEX(Knutepunkter!$D:$D,D5018+1))</f>
        <v/>
      </c>
      <c r="I5018" t="str">
        <f>IF(E5018="","",INDEX(Knutepunkter!$B:$B,E5018+1))</f>
        <v/>
      </c>
      <c r="J5018" t="str">
        <f>IF(E5018="","",INDEX(Knutepunkter!$C:$C,E5018+1))</f>
        <v/>
      </c>
      <c r="K5018" t="str">
        <f>IF(E5018="","",INDEX(Knutepunkter!$D:$D,E5018+1))</f>
        <v/>
      </c>
      <c r="L5018" t="str">
        <f t="shared" si="393"/>
        <v/>
      </c>
      <c r="M5018" t="str">
        <f t="shared" si="394"/>
        <v/>
      </c>
    </row>
    <row r="5019" spans="1:13" x14ac:dyDescent="0.3">
      <c r="A5019" t="str">
        <f>Segmenter!A5019</f>
        <v/>
      </c>
      <c r="B5019" t="str">
        <f>Segmenter!B5019</f>
        <v/>
      </c>
      <c r="C5019" t="str">
        <f t="shared" si="390"/>
        <v/>
      </c>
      <c r="D5019" t="str">
        <f t="shared" si="391"/>
        <v/>
      </c>
      <c r="E5019" t="str">
        <f t="shared" si="392"/>
        <v/>
      </c>
      <c r="F5019" t="str">
        <f>IF(D5019="","",INDEX(Knutepunkter!$B:$B,D5019+1))</f>
        <v/>
      </c>
      <c r="G5019" t="str">
        <f>IF(D5019="","",INDEX(Knutepunkter!$C:$C,D5019+1))</f>
        <v/>
      </c>
      <c r="H5019" t="str">
        <f>IF(D5019="","",INDEX(Knutepunkter!$D:$D,D5019+1))</f>
        <v/>
      </c>
      <c r="I5019" t="str">
        <f>IF(E5019="","",INDEX(Knutepunkter!$B:$B,E5019+1))</f>
        <v/>
      </c>
      <c r="J5019" t="str">
        <f>IF(E5019="","",INDEX(Knutepunkter!$C:$C,E5019+1))</f>
        <v/>
      </c>
      <c r="K5019" t="str">
        <f>IF(E5019="","",INDEX(Knutepunkter!$D:$D,E5019+1))</f>
        <v/>
      </c>
      <c r="L5019" t="str">
        <f t="shared" si="393"/>
        <v/>
      </c>
      <c r="M5019" t="str">
        <f t="shared" si="394"/>
        <v/>
      </c>
    </row>
    <row r="5020" spans="1:13" x14ac:dyDescent="0.3">
      <c r="A5020" t="str">
        <f>Segmenter!A5020</f>
        <v/>
      </c>
      <c r="B5020" t="str">
        <f>Segmenter!B5020</f>
        <v/>
      </c>
      <c r="C5020" t="str">
        <f t="shared" si="390"/>
        <v/>
      </c>
      <c r="D5020" t="str">
        <f t="shared" si="391"/>
        <v/>
      </c>
      <c r="E5020" t="str">
        <f t="shared" si="392"/>
        <v/>
      </c>
      <c r="F5020" t="str">
        <f>IF(D5020="","",INDEX(Knutepunkter!$B:$B,D5020+1))</f>
        <v/>
      </c>
      <c r="G5020" t="str">
        <f>IF(D5020="","",INDEX(Knutepunkter!$C:$C,D5020+1))</f>
        <v/>
      </c>
      <c r="H5020" t="str">
        <f>IF(D5020="","",INDEX(Knutepunkter!$D:$D,D5020+1))</f>
        <v/>
      </c>
      <c r="I5020" t="str">
        <f>IF(E5020="","",INDEX(Knutepunkter!$B:$B,E5020+1))</f>
        <v/>
      </c>
      <c r="J5020" t="str">
        <f>IF(E5020="","",INDEX(Knutepunkter!$C:$C,E5020+1))</f>
        <v/>
      </c>
      <c r="K5020" t="str">
        <f>IF(E5020="","",INDEX(Knutepunkter!$D:$D,E5020+1))</f>
        <v/>
      </c>
      <c r="L5020" t="str">
        <f t="shared" si="393"/>
        <v/>
      </c>
      <c r="M5020" t="str">
        <f t="shared" si="394"/>
        <v/>
      </c>
    </row>
    <row r="5021" spans="1:13" x14ac:dyDescent="0.3">
      <c r="A5021" t="str">
        <f>Segmenter!A5021</f>
        <v/>
      </c>
      <c r="B5021" t="str">
        <f>Segmenter!B5021</f>
        <v/>
      </c>
      <c r="C5021" t="str">
        <f t="shared" si="390"/>
        <v/>
      </c>
      <c r="D5021" t="str">
        <f t="shared" si="391"/>
        <v/>
      </c>
      <c r="E5021" t="str">
        <f t="shared" si="392"/>
        <v/>
      </c>
      <c r="F5021" t="str">
        <f>IF(D5021="","",INDEX(Knutepunkter!$B:$B,D5021+1))</f>
        <v/>
      </c>
      <c r="G5021" t="str">
        <f>IF(D5021="","",INDEX(Knutepunkter!$C:$C,D5021+1))</f>
        <v/>
      </c>
      <c r="H5021" t="str">
        <f>IF(D5021="","",INDEX(Knutepunkter!$D:$D,D5021+1))</f>
        <v/>
      </c>
      <c r="I5021" t="str">
        <f>IF(E5021="","",INDEX(Knutepunkter!$B:$B,E5021+1))</f>
        <v/>
      </c>
      <c r="J5021" t="str">
        <f>IF(E5021="","",INDEX(Knutepunkter!$C:$C,E5021+1))</f>
        <v/>
      </c>
      <c r="K5021" t="str">
        <f>IF(E5021="","",INDEX(Knutepunkter!$D:$D,E5021+1))</f>
        <v/>
      </c>
      <c r="L5021" t="str">
        <f t="shared" si="393"/>
        <v/>
      </c>
      <c r="M5021" t="str">
        <f t="shared" si="394"/>
        <v/>
      </c>
    </row>
    <row r="5022" spans="1:13" x14ac:dyDescent="0.3">
      <c r="A5022" t="str">
        <f>Segmenter!A5022</f>
        <v/>
      </c>
      <c r="B5022" t="str">
        <f>Segmenter!B5022</f>
        <v/>
      </c>
      <c r="C5022" t="str">
        <f t="shared" si="390"/>
        <v/>
      </c>
      <c r="D5022" t="str">
        <f t="shared" si="391"/>
        <v/>
      </c>
      <c r="E5022" t="str">
        <f t="shared" si="392"/>
        <v/>
      </c>
      <c r="F5022" t="str">
        <f>IF(D5022="","",INDEX(Knutepunkter!$B:$B,D5022+1))</f>
        <v/>
      </c>
      <c r="G5022" t="str">
        <f>IF(D5022="","",INDEX(Knutepunkter!$C:$C,D5022+1))</f>
        <v/>
      </c>
      <c r="H5022" t="str">
        <f>IF(D5022="","",INDEX(Knutepunkter!$D:$D,D5022+1))</f>
        <v/>
      </c>
      <c r="I5022" t="str">
        <f>IF(E5022="","",INDEX(Knutepunkter!$B:$B,E5022+1))</f>
        <v/>
      </c>
      <c r="J5022" t="str">
        <f>IF(E5022="","",INDEX(Knutepunkter!$C:$C,E5022+1))</f>
        <v/>
      </c>
      <c r="K5022" t="str">
        <f>IF(E5022="","",INDEX(Knutepunkter!$D:$D,E5022+1))</f>
        <v/>
      </c>
      <c r="L5022" t="str">
        <f t="shared" si="393"/>
        <v/>
      </c>
      <c r="M5022" t="str">
        <f t="shared" si="394"/>
        <v/>
      </c>
    </row>
    <row r="5023" spans="1:13" x14ac:dyDescent="0.3">
      <c r="A5023" t="str">
        <f>Segmenter!A5023</f>
        <v/>
      </c>
      <c r="B5023" t="str">
        <f>Segmenter!B5023</f>
        <v/>
      </c>
      <c r="C5023" t="str">
        <f t="shared" si="390"/>
        <v/>
      </c>
      <c r="D5023" t="str">
        <f t="shared" si="391"/>
        <v/>
      </c>
      <c r="E5023" t="str">
        <f t="shared" si="392"/>
        <v/>
      </c>
      <c r="F5023" t="str">
        <f>IF(D5023="","",INDEX(Knutepunkter!$B:$B,D5023+1))</f>
        <v/>
      </c>
      <c r="G5023" t="str">
        <f>IF(D5023="","",INDEX(Knutepunkter!$C:$C,D5023+1))</f>
        <v/>
      </c>
      <c r="H5023" t="str">
        <f>IF(D5023="","",INDEX(Knutepunkter!$D:$D,D5023+1))</f>
        <v/>
      </c>
      <c r="I5023" t="str">
        <f>IF(E5023="","",INDEX(Knutepunkter!$B:$B,E5023+1))</f>
        <v/>
      </c>
      <c r="J5023" t="str">
        <f>IF(E5023="","",INDEX(Knutepunkter!$C:$C,E5023+1))</f>
        <v/>
      </c>
      <c r="K5023" t="str">
        <f>IF(E5023="","",INDEX(Knutepunkter!$D:$D,E5023+1))</f>
        <v/>
      </c>
      <c r="L5023" t="str">
        <f t="shared" si="393"/>
        <v/>
      </c>
      <c r="M5023" t="str">
        <f t="shared" si="394"/>
        <v/>
      </c>
    </row>
    <row r="5024" spans="1:13" x14ac:dyDescent="0.3">
      <c r="A5024" t="str">
        <f>Segmenter!A5024</f>
        <v/>
      </c>
      <c r="B5024" t="str">
        <f>Segmenter!B5024</f>
        <v/>
      </c>
      <c r="C5024" t="str">
        <f t="shared" si="390"/>
        <v/>
      </c>
      <c r="D5024" t="str">
        <f t="shared" si="391"/>
        <v/>
      </c>
      <c r="E5024" t="str">
        <f t="shared" si="392"/>
        <v/>
      </c>
      <c r="F5024" t="str">
        <f>IF(D5024="","",INDEX(Knutepunkter!$B:$B,D5024+1))</f>
        <v/>
      </c>
      <c r="G5024" t="str">
        <f>IF(D5024="","",INDEX(Knutepunkter!$C:$C,D5024+1))</f>
        <v/>
      </c>
      <c r="H5024" t="str">
        <f>IF(D5024="","",INDEX(Knutepunkter!$D:$D,D5024+1))</f>
        <v/>
      </c>
      <c r="I5024" t="str">
        <f>IF(E5024="","",INDEX(Knutepunkter!$B:$B,E5024+1))</f>
        <v/>
      </c>
      <c r="J5024" t="str">
        <f>IF(E5024="","",INDEX(Knutepunkter!$C:$C,E5024+1))</f>
        <v/>
      </c>
      <c r="K5024" t="str">
        <f>IF(E5024="","",INDEX(Knutepunkter!$D:$D,E5024+1))</f>
        <v/>
      </c>
      <c r="L5024" t="str">
        <f t="shared" si="393"/>
        <v/>
      </c>
      <c r="M5024" t="str">
        <f t="shared" si="394"/>
        <v/>
      </c>
    </row>
    <row r="5025" spans="1:13" x14ac:dyDescent="0.3">
      <c r="A5025" t="str">
        <f>Segmenter!A5025</f>
        <v/>
      </c>
      <c r="B5025" t="str">
        <f>Segmenter!B5025</f>
        <v/>
      </c>
      <c r="C5025" t="str">
        <f t="shared" si="390"/>
        <v/>
      </c>
      <c r="D5025" t="str">
        <f t="shared" si="391"/>
        <v/>
      </c>
      <c r="E5025" t="str">
        <f t="shared" si="392"/>
        <v/>
      </c>
      <c r="F5025" t="str">
        <f>IF(D5025="","",INDEX(Knutepunkter!$B:$B,D5025+1))</f>
        <v/>
      </c>
      <c r="G5025" t="str">
        <f>IF(D5025="","",INDEX(Knutepunkter!$C:$C,D5025+1))</f>
        <v/>
      </c>
      <c r="H5025" t="str">
        <f>IF(D5025="","",INDEX(Knutepunkter!$D:$D,D5025+1))</f>
        <v/>
      </c>
      <c r="I5025" t="str">
        <f>IF(E5025="","",INDEX(Knutepunkter!$B:$B,E5025+1))</f>
        <v/>
      </c>
      <c r="J5025" t="str">
        <f>IF(E5025="","",INDEX(Knutepunkter!$C:$C,E5025+1))</f>
        <v/>
      </c>
      <c r="K5025" t="str">
        <f>IF(E5025="","",INDEX(Knutepunkter!$D:$D,E5025+1))</f>
        <v/>
      </c>
      <c r="L5025" t="str">
        <f t="shared" si="393"/>
        <v/>
      </c>
      <c r="M5025" t="str">
        <f t="shared" si="394"/>
        <v/>
      </c>
    </row>
    <row r="5026" spans="1:13" x14ac:dyDescent="0.3">
      <c r="A5026" t="str">
        <f>Segmenter!A5026</f>
        <v/>
      </c>
      <c r="B5026" t="str">
        <f>Segmenter!B5026</f>
        <v/>
      </c>
      <c r="C5026" t="str">
        <f t="shared" si="390"/>
        <v/>
      </c>
      <c r="D5026" t="str">
        <f t="shared" si="391"/>
        <v/>
      </c>
      <c r="E5026" t="str">
        <f t="shared" si="392"/>
        <v/>
      </c>
      <c r="F5026" t="str">
        <f>IF(D5026="","",INDEX(Knutepunkter!$B:$B,D5026+1))</f>
        <v/>
      </c>
      <c r="G5026" t="str">
        <f>IF(D5026="","",INDEX(Knutepunkter!$C:$C,D5026+1))</f>
        <v/>
      </c>
      <c r="H5026" t="str">
        <f>IF(D5026="","",INDEX(Knutepunkter!$D:$D,D5026+1))</f>
        <v/>
      </c>
      <c r="I5026" t="str">
        <f>IF(E5026="","",INDEX(Knutepunkter!$B:$B,E5026+1))</f>
        <v/>
      </c>
      <c r="J5026" t="str">
        <f>IF(E5026="","",INDEX(Knutepunkter!$C:$C,E5026+1))</f>
        <v/>
      </c>
      <c r="K5026" t="str">
        <f>IF(E5026="","",INDEX(Knutepunkter!$D:$D,E5026+1))</f>
        <v/>
      </c>
      <c r="L5026" t="str">
        <f t="shared" si="393"/>
        <v/>
      </c>
      <c r="M5026" t="str">
        <f t="shared" si="394"/>
        <v/>
      </c>
    </row>
    <row r="5027" spans="1:13" x14ac:dyDescent="0.3">
      <c r="A5027" t="str">
        <f>Segmenter!A5027</f>
        <v/>
      </c>
      <c r="B5027" t="str">
        <f>Segmenter!B5027</f>
        <v/>
      </c>
      <c r="C5027" t="str">
        <f t="shared" si="390"/>
        <v/>
      </c>
      <c r="D5027" t="str">
        <f t="shared" si="391"/>
        <v/>
      </c>
      <c r="E5027" t="str">
        <f t="shared" si="392"/>
        <v/>
      </c>
      <c r="F5027" t="str">
        <f>IF(D5027="","",INDEX(Knutepunkter!$B:$B,D5027+1))</f>
        <v/>
      </c>
      <c r="G5027" t="str">
        <f>IF(D5027="","",INDEX(Knutepunkter!$C:$C,D5027+1))</f>
        <v/>
      </c>
      <c r="H5027" t="str">
        <f>IF(D5027="","",INDEX(Knutepunkter!$D:$D,D5027+1))</f>
        <v/>
      </c>
      <c r="I5027" t="str">
        <f>IF(E5027="","",INDEX(Knutepunkter!$B:$B,E5027+1))</f>
        <v/>
      </c>
      <c r="J5027" t="str">
        <f>IF(E5027="","",INDEX(Knutepunkter!$C:$C,E5027+1))</f>
        <v/>
      </c>
      <c r="K5027" t="str">
        <f>IF(E5027="","",INDEX(Knutepunkter!$D:$D,E5027+1))</f>
        <v/>
      </c>
      <c r="L5027" t="str">
        <f t="shared" si="393"/>
        <v/>
      </c>
      <c r="M5027" t="str">
        <f t="shared" si="394"/>
        <v/>
      </c>
    </row>
    <row r="5028" spans="1:13" x14ac:dyDescent="0.3">
      <c r="A5028" t="str">
        <f>Segmenter!A5028</f>
        <v/>
      </c>
      <c r="B5028" t="str">
        <f>Segmenter!B5028</f>
        <v/>
      </c>
      <c r="C5028" t="str">
        <f t="shared" si="390"/>
        <v/>
      </c>
      <c r="D5028" t="str">
        <f t="shared" si="391"/>
        <v/>
      </c>
      <c r="E5028" t="str">
        <f t="shared" si="392"/>
        <v/>
      </c>
      <c r="F5028" t="str">
        <f>IF(D5028="","",INDEX(Knutepunkter!$B:$B,D5028+1))</f>
        <v/>
      </c>
      <c r="G5028" t="str">
        <f>IF(D5028="","",INDEX(Knutepunkter!$C:$C,D5028+1))</f>
        <v/>
      </c>
      <c r="H5028" t="str">
        <f>IF(D5028="","",INDEX(Knutepunkter!$D:$D,D5028+1))</f>
        <v/>
      </c>
      <c r="I5028" t="str">
        <f>IF(E5028="","",INDEX(Knutepunkter!$B:$B,E5028+1))</f>
        <v/>
      </c>
      <c r="J5028" t="str">
        <f>IF(E5028="","",INDEX(Knutepunkter!$C:$C,E5028+1))</f>
        <v/>
      </c>
      <c r="K5028" t="str">
        <f>IF(E5028="","",INDEX(Knutepunkter!$D:$D,E5028+1))</f>
        <v/>
      </c>
      <c r="L5028" t="str">
        <f t="shared" si="393"/>
        <v/>
      </c>
      <c r="M5028" t="str">
        <f t="shared" si="394"/>
        <v/>
      </c>
    </row>
    <row r="5029" spans="1:13" x14ac:dyDescent="0.3">
      <c r="A5029" t="str">
        <f>Segmenter!A5029</f>
        <v/>
      </c>
      <c r="B5029" t="str">
        <f>Segmenter!B5029</f>
        <v/>
      </c>
      <c r="C5029" t="str">
        <f t="shared" si="390"/>
        <v/>
      </c>
      <c r="D5029" t="str">
        <f t="shared" si="391"/>
        <v/>
      </c>
      <c r="E5029" t="str">
        <f t="shared" si="392"/>
        <v/>
      </c>
      <c r="F5029" t="str">
        <f>IF(D5029="","",INDEX(Knutepunkter!$B:$B,D5029+1))</f>
        <v/>
      </c>
      <c r="G5029" t="str">
        <f>IF(D5029="","",INDEX(Knutepunkter!$C:$C,D5029+1))</f>
        <v/>
      </c>
      <c r="H5029" t="str">
        <f>IF(D5029="","",INDEX(Knutepunkter!$D:$D,D5029+1))</f>
        <v/>
      </c>
      <c r="I5029" t="str">
        <f>IF(E5029="","",INDEX(Knutepunkter!$B:$B,E5029+1))</f>
        <v/>
      </c>
      <c r="J5029" t="str">
        <f>IF(E5029="","",INDEX(Knutepunkter!$C:$C,E5029+1))</f>
        <v/>
      </c>
      <c r="K5029" t="str">
        <f>IF(E5029="","",INDEX(Knutepunkter!$D:$D,E5029+1))</f>
        <v/>
      </c>
      <c r="L5029" t="str">
        <f t="shared" si="393"/>
        <v/>
      </c>
      <c r="M5029" t="str">
        <f t="shared" si="394"/>
        <v/>
      </c>
    </row>
    <row r="5030" spans="1:13" x14ac:dyDescent="0.3">
      <c r="A5030" t="str">
        <f>Segmenter!A5030</f>
        <v/>
      </c>
      <c r="B5030" t="str">
        <f>Segmenter!B5030</f>
        <v/>
      </c>
      <c r="C5030" t="str">
        <f t="shared" si="390"/>
        <v/>
      </c>
      <c r="D5030" t="str">
        <f t="shared" si="391"/>
        <v/>
      </c>
      <c r="E5030" t="str">
        <f t="shared" si="392"/>
        <v/>
      </c>
      <c r="F5030" t="str">
        <f>IF(D5030="","",INDEX(Knutepunkter!$B:$B,D5030+1))</f>
        <v/>
      </c>
      <c r="G5030" t="str">
        <f>IF(D5030="","",INDEX(Knutepunkter!$C:$C,D5030+1))</f>
        <v/>
      </c>
      <c r="H5030" t="str">
        <f>IF(D5030="","",INDEX(Knutepunkter!$D:$D,D5030+1))</f>
        <v/>
      </c>
      <c r="I5030" t="str">
        <f>IF(E5030="","",INDEX(Knutepunkter!$B:$B,E5030+1))</f>
        <v/>
      </c>
      <c r="J5030" t="str">
        <f>IF(E5030="","",INDEX(Knutepunkter!$C:$C,E5030+1))</f>
        <v/>
      </c>
      <c r="K5030" t="str">
        <f>IF(E5030="","",INDEX(Knutepunkter!$D:$D,E5030+1))</f>
        <v/>
      </c>
      <c r="L5030" t="str">
        <f t="shared" si="393"/>
        <v/>
      </c>
      <c r="M5030" t="str">
        <f t="shared" si="394"/>
        <v/>
      </c>
    </row>
    <row r="5031" spans="1:13" x14ac:dyDescent="0.3">
      <c r="A5031" t="str">
        <f>Segmenter!A5031</f>
        <v/>
      </c>
      <c r="B5031" t="str">
        <f>Segmenter!B5031</f>
        <v/>
      </c>
      <c r="C5031" t="str">
        <f t="shared" si="390"/>
        <v/>
      </c>
      <c r="D5031" t="str">
        <f t="shared" si="391"/>
        <v/>
      </c>
      <c r="E5031" t="str">
        <f t="shared" si="392"/>
        <v/>
      </c>
      <c r="F5031" t="str">
        <f>IF(D5031="","",INDEX(Knutepunkter!$B:$B,D5031+1))</f>
        <v/>
      </c>
      <c r="G5031" t="str">
        <f>IF(D5031="","",INDEX(Knutepunkter!$C:$C,D5031+1))</f>
        <v/>
      </c>
      <c r="H5031" t="str">
        <f>IF(D5031="","",INDEX(Knutepunkter!$D:$D,D5031+1))</f>
        <v/>
      </c>
      <c r="I5031" t="str">
        <f>IF(E5031="","",INDEX(Knutepunkter!$B:$B,E5031+1))</f>
        <v/>
      </c>
      <c r="J5031" t="str">
        <f>IF(E5031="","",INDEX(Knutepunkter!$C:$C,E5031+1))</f>
        <v/>
      </c>
      <c r="K5031" t="str">
        <f>IF(E5031="","",INDEX(Knutepunkter!$D:$D,E5031+1))</f>
        <v/>
      </c>
      <c r="L5031" t="str">
        <f t="shared" si="393"/>
        <v/>
      </c>
      <c r="M5031" t="str">
        <f t="shared" si="394"/>
        <v/>
      </c>
    </row>
    <row r="5032" spans="1:13" x14ac:dyDescent="0.3">
      <c r="A5032" t="str">
        <f>Segmenter!A5032</f>
        <v/>
      </c>
      <c r="B5032" t="str">
        <f>Segmenter!B5032</f>
        <v/>
      </c>
      <c r="C5032" t="str">
        <f t="shared" si="390"/>
        <v/>
      </c>
      <c r="D5032" t="str">
        <f t="shared" si="391"/>
        <v/>
      </c>
      <c r="E5032" t="str">
        <f t="shared" si="392"/>
        <v/>
      </c>
      <c r="F5032" t="str">
        <f>IF(D5032="","",INDEX(Knutepunkter!$B:$B,D5032+1))</f>
        <v/>
      </c>
      <c r="G5032" t="str">
        <f>IF(D5032="","",INDEX(Knutepunkter!$C:$C,D5032+1))</f>
        <v/>
      </c>
      <c r="H5032" t="str">
        <f>IF(D5032="","",INDEX(Knutepunkter!$D:$D,D5032+1))</f>
        <v/>
      </c>
      <c r="I5032" t="str">
        <f>IF(E5032="","",INDEX(Knutepunkter!$B:$B,E5032+1))</f>
        <v/>
      </c>
      <c r="J5032" t="str">
        <f>IF(E5032="","",INDEX(Knutepunkter!$C:$C,E5032+1))</f>
        <v/>
      </c>
      <c r="K5032" t="str">
        <f>IF(E5032="","",INDEX(Knutepunkter!$D:$D,E5032+1))</f>
        <v/>
      </c>
      <c r="L5032" t="str">
        <f t="shared" si="393"/>
        <v/>
      </c>
      <c r="M5032" t="str">
        <f t="shared" si="394"/>
        <v/>
      </c>
    </row>
    <row r="5033" spans="1:13" x14ac:dyDescent="0.3">
      <c r="A5033" t="str">
        <f>Segmenter!A5033</f>
        <v/>
      </c>
      <c r="B5033" t="str">
        <f>Segmenter!B5033</f>
        <v/>
      </c>
      <c r="C5033" t="str">
        <f t="shared" si="390"/>
        <v/>
      </c>
      <c r="D5033" t="str">
        <f t="shared" si="391"/>
        <v/>
      </c>
      <c r="E5033" t="str">
        <f t="shared" si="392"/>
        <v/>
      </c>
      <c r="F5033" t="str">
        <f>IF(D5033="","",INDEX(Knutepunkter!$B:$B,D5033+1))</f>
        <v/>
      </c>
      <c r="G5033" t="str">
        <f>IF(D5033="","",INDEX(Knutepunkter!$C:$C,D5033+1))</f>
        <v/>
      </c>
      <c r="H5033" t="str">
        <f>IF(D5033="","",INDEX(Knutepunkter!$D:$D,D5033+1))</f>
        <v/>
      </c>
      <c r="I5033" t="str">
        <f>IF(E5033="","",INDEX(Knutepunkter!$B:$B,E5033+1))</f>
        <v/>
      </c>
      <c r="J5033" t="str">
        <f>IF(E5033="","",INDEX(Knutepunkter!$C:$C,E5033+1))</f>
        <v/>
      </c>
      <c r="K5033" t="str">
        <f>IF(E5033="","",INDEX(Knutepunkter!$D:$D,E5033+1))</f>
        <v/>
      </c>
      <c r="L5033" t="str">
        <f t="shared" si="393"/>
        <v/>
      </c>
      <c r="M5033" t="str">
        <f t="shared" si="394"/>
        <v/>
      </c>
    </row>
    <row r="5034" spans="1:13" x14ac:dyDescent="0.3">
      <c r="A5034" t="str">
        <f>Segmenter!A5034</f>
        <v/>
      </c>
      <c r="B5034" t="str">
        <f>Segmenter!B5034</f>
        <v/>
      </c>
      <c r="C5034" t="str">
        <f t="shared" si="390"/>
        <v/>
      </c>
      <c r="D5034" t="str">
        <f t="shared" si="391"/>
        <v/>
      </c>
      <c r="E5034" t="str">
        <f t="shared" si="392"/>
        <v/>
      </c>
      <c r="F5034" t="str">
        <f>IF(D5034="","",INDEX(Knutepunkter!$B:$B,D5034+1))</f>
        <v/>
      </c>
      <c r="G5034" t="str">
        <f>IF(D5034="","",INDEX(Knutepunkter!$C:$C,D5034+1))</f>
        <v/>
      </c>
      <c r="H5034" t="str">
        <f>IF(D5034="","",INDEX(Knutepunkter!$D:$D,D5034+1))</f>
        <v/>
      </c>
      <c r="I5034" t="str">
        <f>IF(E5034="","",INDEX(Knutepunkter!$B:$B,E5034+1))</f>
        <v/>
      </c>
      <c r="J5034" t="str">
        <f>IF(E5034="","",INDEX(Knutepunkter!$C:$C,E5034+1))</f>
        <v/>
      </c>
      <c r="K5034" t="str">
        <f>IF(E5034="","",INDEX(Knutepunkter!$D:$D,E5034+1))</f>
        <v/>
      </c>
      <c r="L5034" t="str">
        <f t="shared" si="393"/>
        <v/>
      </c>
      <c r="M5034" t="str">
        <f t="shared" si="394"/>
        <v/>
      </c>
    </row>
    <row r="5035" spans="1:13" x14ac:dyDescent="0.3">
      <c r="A5035" t="str">
        <f>Segmenter!A5035</f>
        <v/>
      </c>
      <c r="B5035" t="str">
        <f>Segmenter!B5035</f>
        <v/>
      </c>
      <c r="C5035" t="str">
        <f t="shared" si="390"/>
        <v/>
      </c>
      <c r="D5035" t="str">
        <f t="shared" si="391"/>
        <v/>
      </c>
      <c r="E5035" t="str">
        <f t="shared" si="392"/>
        <v/>
      </c>
      <c r="F5035" t="str">
        <f>IF(D5035="","",INDEX(Knutepunkter!$B:$B,D5035+1))</f>
        <v/>
      </c>
      <c r="G5035" t="str">
        <f>IF(D5035="","",INDEX(Knutepunkter!$C:$C,D5035+1))</f>
        <v/>
      </c>
      <c r="H5035" t="str">
        <f>IF(D5035="","",INDEX(Knutepunkter!$D:$D,D5035+1))</f>
        <v/>
      </c>
      <c r="I5035" t="str">
        <f>IF(E5035="","",INDEX(Knutepunkter!$B:$B,E5035+1))</f>
        <v/>
      </c>
      <c r="J5035" t="str">
        <f>IF(E5035="","",INDEX(Knutepunkter!$C:$C,E5035+1))</f>
        <v/>
      </c>
      <c r="K5035" t="str">
        <f>IF(E5035="","",INDEX(Knutepunkter!$D:$D,E5035+1))</f>
        <v/>
      </c>
      <c r="L5035" t="str">
        <f t="shared" si="393"/>
        <v/>
      </c>
      <c r="M5035" t="str">
        <f t="shared" si="394"/>
        <v/>
      </c>
    </row>
    <row r="5036" spans="1:13" x14ac:dyDescent="0.3">
      <c r="A5036" t="str">
        <f>Segmenter!A5036</f>
        <v/>
      </c>
      <c r="B5036" t="str">
        <f>Segmenter!B5036</f>
        <v/>
      </c>
      <c r="C5036" t="str">
        <f t="shared" si="390"/>
        <v/>
      </c>
      <c r="D5036" t="str">
        <f t="shared" si="391"/>
        <v/>
      </c>
      <c r="E5036" t="str">
        <f t="shared" si="392"/>
        <v/>
      </c>
      <c r="F5036" t="str">
        <f>IF(D5036="","",INDEX(Knutepunkter!$B:$B,D5036+1))</f>
        <v/>
      </c>
      <c r="G5036" t="str">
        <f>IF(D5036="","",INDEX(Knutepunkter!$C:$C,D5036+1))</f>
        <v/>
      </c>
      <c r="H5036" t="str">
        <f>IF(D5036="","",INDEX(Knutepunkter!$D:$D,D5036+1))</f>
        <v/>
      </c>
      <c r="I5036" t="str">
        <f>IF(E5036="","",INDEX(Knutepunkter!$B:$B,E5036+1))</f>
        <v/>
      </c>
      <c r="J5036" t="str">
        <f>IF(E5036="","",INDEX(Knutepunkter!$C:$C,E5036+1))</f>
        <v/>
      </c>
      <c r="K5036" t="str">
        <f>IF(E5036="","",INDEX(Knutepunkter!$D:$D,E5036+1))</f>
        <v/>
      </c>
      <c r="L5036" t="str">
        <f t="shared" si="393"/>
        <v/>
      </c>
      <c r="M5036" t="str">
        <f t="shared" si="394"/>
        <v/>
      </c>
    </row>
    <row r="5037" spans="1:13" x14ac:dyDescent="0.3">
      <c r="A5037" t="str">
        <f>Segmenter!A5037</f>
        <v/>
      </c>
      <c r="B5037" t="str">
        <f>Segmenter!B5037</f>
        <v/>
      </c>
      <c r="C5037" t="str">
        <f t="shared" si="390"/>
        <v/>
      </c>
      <c r="D5037" t="str">
        <f t="shared" si="391"/>
        <v/>
      </c>
      <c r="E5037" t="str">
        <f t="shared" si="392"/>
        <v/>
      </c>
      <c r="F5037" t="str">
        <f>IF(D5037="","",INDEX(Knutepunkter!$B:$B,D5037+1))</f>
        <v/>
      </c>
      <c r="G5037" t="str">
        <f>IF(D5037="","",INDEX(Knutepunkter!$C:$C,D5037+1))</f>
        <v/>
      </c>
      <c r="H5037" t="str">
        <f>IF(D5037="","",INDEX(Knutepunkter!$D:$D,D5037+1))</f>
        <v/>
      </c>
      <c r="I5037" t="str">
        <f>IF(E5037="","",INDEX(Knutepunkter!$B:$B,E5037+1))</f>
        <v/>
      </c>
      <c r="J5037" t="str">
        <f>IF(E5037="","",INDEX(Knutepunkter!$C:$C,E5037+1))</f>
        <v/>
      </c>
      <c r="K5037" t="str">
        <f>IF(E5037="","",INDEX(Knutepunkter!$D:$D,E5037+1))</f>
        <v/>
      </c>
      <c r="L5037" t="str">
        <f t="shared" si="393"/>
        <v/>
      </c>
      <c r="M5037" t="str">
        <f t="shared" si="394"/>
        <v/>
      </c>
    </row>
    <row r="5038" spans="1:13" x14ac:dyDescent="0.3">
      <c r="A5038" t="str">
        <f>Segmenter!A5038</f>
        <v/>
      </c>
      <c r="B5038" t="str">
        <f>Segmenter!B5038</f>
        <v/>
      </c>
      <c r="C5038" t="str">
        <f t="shared" si="390"/>
        <v/>
      </c>
      <c r="D5038" t="str">
        <f t="shared" si="391"/>
        <v/>
      </c>
      <c r="E5038" t="str">
        <f t="shared" si="392"/>
        <v/>
      </c>
      <c r="F5038" t="str">
        <f>IF(D5038="","",INDEX(Knutepunkter!$B:$B,D5038+1))</f>
        <v/>
      </c>
      <c r="G5038" t="str">
        <f>IF(D5038="","",INDEX(Knutepunkter!$C:$C,D5038+1))</f>
        <v/>
      </c>
      <c r="H5038" t="str">
        <f>IF(D5038="","",INDEX(Knutepunkter!$D:$D,D5038+1))</f>
        <v/>
      </c>
      <c r="I5038" t="str">
        <f>IF(E5038="","",INDEX(Knutepunkter!$B:$B,E5038+1))</f>
        <v/>
      </c>
      <c r="J5038" t="str">
        <f>IF(E5038="","",INDEX(Knutepunkter!$C:$C,E5038+1))</f>
        <v/>
      </c>
      <c r="K5038" t="str">
        <f>IF(E5038="","",INDEX(Knutepunkter!$D:$D,E5038+1))</f>
        <v/>
      </c>
      <c r="L5038" t="str">
        <f t="shared" si="393"/>
        <v/>
      </c>
      <c r="M5038" t="str">
        <f t="shared" si="394"/>
        <v/>
      </c>
    </row>
    <row r="5039" spans="1:13" x14ac:dyDescent="0.3">
      <c r="A5039" t="str">
        <f>Segmenter!A5039</f>
        <v/>
      </c>
      <c r="B5039" t="str">
        <f>Segmenter!B5039</f>
        <v/>
      </c>
      <c r="C5039" t="str">
        <f t="shared" si="390"/>
        <v/>
      </c>
      <c r="D5039" t="str">
        <f t="shared" si="391"/>
        <v/>
      </c>
      <c r="E5039" t="str">
        <f t="shared" si="392"/>
        <v/>
      </c>
      <c r="F5039" t="str">
        <f>IF(D5039="","",INDEX(Knutepunkter!$B:$B,D5039+1))</f>
        <v/>
      </c>
      <c r="G5039" t="str">
        <f>IF(D5039="","",INDEX(Knutepunkter!$C:$C,D5039+1))</f>
        <v/>
      </c>
      <c r="H5039" t="str">
        <f>IF(D5039="","",INDEX(Knutepunkter!$D:$D,D5039+1))</f>
        <v/>
      </c>
      <c r="I5039" t="str">
        <f>IF(E5039="","",INDEX(Knutepunkter!$B:$B,E5039+1))</f>
        <v/>
      </c>
      <c r="J5039" t="str">
        <f>IF(E5039="","",INDEX(Knutepunkter!$C:$C,E5039+1))</f>
        <v/>
      </c>
      <c r="K5039" t="str">
        <f>IF(E5039="","",INDEX(Knutepunkter!$D:$D,E5039+1))</f>
        <v/>
      </c>
      <c r="L5039" t="str">
        <f t="shared" si="393"/>
        <v/>
      </c>
      <c r="M5039" t="str">
        <f t="shared" si="394"/>
        <v/>
      </c>
    </row>
    <row r="5040" spans="1:13" x14ac:dyDescent="0.3">
      <c r="A5040" t="str">
        <f>Segmenter!A5040</f>
        <v/>
      </c>
      <c r="B5040" t="str">
        <f>Segmenter!B5040</f>
        <v/>
      </c>
      <c r="C5040" t="str">
        <f t="shared" si="390"/>
        <v/>
      </c>
      <c r="D5040" t="str">
        <f t="shared" si="391"/>
        <v/>
      </c>
      <c r="E5040" t="str">
        <f t="shared" si="392"/>
        <v/>
      </c>
      <c r="F5040" t="str">
        <f>IF(D5040="","",INDEX(Knutepunkter!$B:$B,D5040+1))</f>
        <v/>
      </c>
      <c r="G5040" t="str">
        <f>IF(D5040="","",INDEX(Knutepunkter!$C:$C,D5040+1))</f>
        <v/>
      </c>
      <c r="H5040" t="str">
        <f>IF(D5040="","",INDEX(Knutepunkter!$D:$D,D5040+1))</f>
        <v/>
      </c>
      <c r="I5040" t="str">
        <f>IF(E5040="","",INDEX(Knutepunkter!$B:$B,E5040+1))</f>
        <v/>
      </c>
      <c r="J5040" t="str">
        <f>IF(E5040="","",INDEX(Knutepunkter!$C:$C,E5040+1))</f>
        <v/>
      </c>
      <c r="K5040" t="str">
        <f>IF(E5040="","",INDEX(Knutepunkter!$D:$D,E5040+1))</f>
        <v/>
      </c>
      <c r="L5040" t="str">
        <f t="shared" si="393"/>
        <v/>
      </c>
      <c r="M5040" t="str">
        <f t="shared" si="394"/>
        <v/>
      </c>
    </row>
    <row r="5041" spans="1:13" x14ac:dyDescent="0.3">
      <c r="A5041" t="str">
        <f>Segmenter!A5041</f>
        <v/>
      </c>
      <c r="B5041" t="str">
        <f>Segmenter!B5041</f>
        <v/>
      </c>
      <c r="C5041" t="str">
        <f t="shared" si="390"/>
        <v/>
      </c>
      <c r="D5041" t="str">
        <f t="shared" si="391"/>
        <v/>
      </c>
      <c r="E5041" t="str">
        <f t="shared" si="392"/>
        <v/>
      </c>
      <c r="F5041" t="str">
        <f>IF(D5041="","",INDEX(Knutepunkter!$B:$B,D5041+1))</f>
        <v/>
      </c>
      <c r="G5041" t="str">
        <f>IF(D5041="","",INDEX(Knutepunkter!$C:$C,D5041+1))</f>
        <v/>
      </c>
      <c r="H5041" t="str">
        <f>IF(D5041="","",INDEX(Knutepunkter!$D:$D,D5041+1))</f>
        <v/>
      </c>
      <c r="I5041" t="str">
        <f>IF(E5041="","",INDEX(Knutepunkter!$B:$B,E5041+1))</f>
        <v/>
      </c>
      <c r="J5041" t="str">
        <f>IF(E5041="","",INDEX(Knutepunkter!$C:$C,E5041+1))</f>
        <v/>
      </c>
      <c r="K5041" t="str">
        <f>IF(E5041="","",INDEX(Knutepunkter!$D:$D,E5041+1))</f>
        <v/>
      </c>
      <c r="L5041" t="str">
        <f t="shared" si="393"/>
        <v/>
      </c>
      <c r="M5041" t="str">
        <f t="shared" si="394"/>
        <v/>
      </c>
    </row>
    <row r="5042" spans="1:13" x14ac:dyDescent="0.3">
      <c r="A5042" t="str">
        <f>Segmenter!A5042</f>
        <v/>
      </c>
      <c r="B5042" t="str">
        <f>Segmenter!B5042</f>
        <v/>
      </c>
      <c r="C5042" t="str">
        <f t="shared" si="390"/>
        <v/>
      </c>
      <c r="D5042" t="str">
        <f t="shared" si="391"/>
        <v/>
      </c>
      <c r="E5042" t="str">
        <f t="shared" si="392"/>
        <v/>
      </c>
      <c r="F5042" t="str">
        <f>IF(D5042="","",INDEX(Knutepunkter!$B:$B,D5042+1))</f>
        <v/>
      </c>
      <c r="G5042" t="str">
        <f>IF(D5042="","",INDEX(Knutepunkter!$C:$C,D5042+1))</f>
        <v/>
      </c>
      <c r="H5042" t="str">
        <f>IF(D5042="","",INDEX(Knutepunkter!$D:$D,D5042+1))</f>
        <v/>
      </c>
      <c r="I5042" t="str">
        <f>IF(E5042="","",INDEX(Knutepunkter!$B:$B,E5042+1))</f>
        <v/>
      </c>
      <c r="J5042" t="str">
        <f>IF(E5042="","",INDEX(Knutepunkter!$C:$C,E5042+1))</f>
        <v/>
      </c>
      <c r="K5042" t="str">
        <f>IF(E5042="","",INDEX(Knutepunkter!$D:$D,E5042+1))</f>
        <v/>
      </c>
      <c r="L5042" t="str">
        <f t="shared" si="393"/>
        <v/>
      </c>
      <c r="M5042" t="str">
        <f t="shared" si="394"/>
        <v/>
      </c>
    </row>
    <row r="5043" spans="1:13" x14ac:dyDescent="0.3">
      <c r="A5043" t="str">
        <f>Segmenter!A5043</f>
        <v/>
      </c>
      <c r="B5043" t="str">
        <f>Segmenter!B5043</f>
        <v/>
      </c>
      <c r="C5043" t="str">
        <f t="shared" si="390"/>
        <v/>
      </c>
      <c r="D5043" t="str">
        <f t="shared" si="391"/>
        <v/>
      </c>
      <c r="E5043" t="str">
        <f t="shared" si="392"/>
        <v/>
      </c>
      <c r="F5043" t="str">
        <f>IF(D5043="","",INDEX(Knutepunkter!$B:$B,D5043+1))</f>
        <v/>
      </c>
      <c r="G5043" t="str">
        <f>IF(D5043="","",INDEX(Knutepunkter!$C:$C,D5043+1))</f>
        <v/>
      </c>
      <c r="H5043" t="str">
        <f>IF(D5043="","",INDEX(Knutepunkter!$D:$D,D5043+1))</f>
        <v/>
      </c>
      <c r="I5043" t="str">
        <f>IF(E5043="","",INDEX(Knutepunkter!$B:$B,E5043+1))</f>
        <v/>
      </c>
      <c r="J5043" t="str">
        <f>IF(E5043="","",INDEX(Knutepunkter!$C:$C,E5043+1))</f>
        <v/>
      </c>
      <c r="K5043" t="str">
        <f>IF(E5043="","",INDEX(Knutepunkter!$D:$D,E5043+1))</f>
        <v/>
      </c>
      <c r="L5043" t="str">
        <f t="shared" si="393"/>
        <v/>
      </c>
      <c r="M5043" t="str">
        <f t="shared" si="394"/>
        <v/>
      </c>
    </row>
    <row r="5044" spans="1:13" x14ac:dyDescent="0.3">
      <c r="A5044" t="str">
        <f>Segmenter!A5044</f>
        <v/>
      </c>
      <c r="B5044" t="str">
        <f>Segmenter!B5044</f>
        <v/>
      </c>
      <c r="C5044" t="str">
        <f t="shared" si="390"/>
        <v/>
      </c>
      <c r="D5044" t="str">
        <f t="shared" si="391"/>
        <v/>
      </c>
      <c r="E5044" t="str">
        <f t="shared" si="392"/>
        <v/>
      </c>
      <c r="F5044" t="str">
        <f>IF(D5044="","",INDEX(Knutepunkter!$B:$B,D5044+1))</f>
        <v/>
      </c>
      <c r="G5044" t="str">
        <f>IF(D5044="","",INDEX(Knutepunkter!$C:$C,D5044+1))</f>
        <v/>
      </c>
      <c r="H5044" t="str">
        <f>IF(D5044="","",INDEX(Knutepunkter!$D:$D,D5044+1))</f>
        <v/>
      </c>
      <c r="I5044" t="str">
        <f>IF(E5044="","",INDEX(Knutepunkter!$B:$B,E5044+1))</f>
        <v/>
      </c>
      <c r="J5044" t="str">
        <f>IF(E5044="","",INDEX(Knutepunkter!$C:$C,E5044+1))</f>
        <v/>
      </c>
      <c r="K5044" t="str">
        <f>IF(E5044="","",INDEX(Knutepunkter!$D:$D,E5044+1))</f>
        <v/>
      </c>
      <c r="L5044" t="str">
        <f t="shared" si="393"/>
        <v/>
      </c>
      <c r="M5044" t="str">
        <f t="shared" si="394"/>
        <v/>
      </c>
    </row>
    <row r="5045" spans="1:13" x14ac:dyDescent="0.3">
      <c r="A5045" t="str">
        <f>Segmenter!A5045</f>
        <v/>
      </c>
      <c r="B5045" t="str">
        <f>Segmenter!B5045</f>
        <v/>
      </c>
      <c r="C5045" t="str">
        <f t="shared" si="390"/>
        <v/>
      </c>
      <c r="D5045" t="str">
        <f t="shared" si="391"/>
        <v/>
      </c>
      <c r="E5045" t="str">
        <f t="shared" si="392"/>
        <v/>
      </c>
      <c r="F5045" t="str">
        <f>IF(D5045="","",INDEX(Knutepunkter!$B:$B,D5045+1))</f>
        <v/>
      </c>
      <c r="G5045" t="str">
        <f>IF(D5045="","",INDEX(Knutepunkter!$C:$C,D5045+1))</f>
        <v/>
      </c>
      <c r="H5045" t="str">
        <f>IF(D5045="","",INDEX(Knutepunkter!$D:$D,D5045+1))</f>
        <v/>
      </c>
      <c r="I5045" t="str">
        <f>IF(E5045="","",INDEX(Knutepunkter!$B:$B,E5045+1))</f>
        <v/>
      </c>
      <c r="J5045" t="str">
        <f>IF(E5045="","",INDEX(Knutepunkter!$C:$C,E5045+1))</f>
        <v/>
      </c>
      <c r="K5045" t="str">
        <f>IF(E5045="","",INDEX(Knutepunkter!$D:$D,E5045+1))</f>
        <v/>
      </c>
      <c r="L5045" t="str">
        <f t="shared" si="393"/>
        <v/>
      </c>
      <c r="M5045" t="str">
        <f t="shared" si="394"/>
        <v/>
      </c>
    </row>
    <row r="5046" spans="1:13" x14ac:dyDescent="0.3">
      <c r="A5046" t="str">
        <f>Segmenter!A5046</f>
        <v/>
      </c>
      <c r="B5046" t="str">
        <f>Segmenter!B5046</f>
        <v/>
      </c>
      <c r="C5046" t="str">
        <f t="shared" si="390"/>
        <v/>
      </c>
      <c r="D5046" t="str">
        <f t="shared" si="391"/>
        <v/>
      </c>
      <c r="E5046" t="str">
        <f t="shared" si="392"/>
        <v/>
      </c>
      <c r="F5046" t="str">
        <f>IF(D5046="","",INDEX(Knutepunkter!$B:$B,D5046+1))</f>
        <v/>
      </c>
      <c r="G5046" t="str">
        <f>IF(D5046="","",INDEX(Knutepunkter!$C:$C,D5046+1))</f>
        <v/>
      </c>
      <c r="H5046" t="str">
        <f>IF(D5046="","",INDEX(Knutepunkter!$D:$D,D5046+1))</f>
        <v/>
      </c>
      <c r="I5046" t="str">
        <f>IF(E5046="","",INDEX(Knutepunkter!$B:$B,E5046+1))</f>
        <v/>
      </c>
      <c r="J5046" t="str">
        <f>IF(E5046="","",INDEX(Knutepunkter!$C:$C,E5046+1))</f>
        <v/>
      </c>
      <c r="K5046" t="str">
        <f>IF(E5046="","",INDEX(Knutepunkter!$D:$D,E5046+1))</f>
        <v/>
      </c>
      <c r="L5046" t="str">
        <f t="shared" si="393"/>
        <v/>
      </c>
      <c r="M5046" t="str">
        <f t="shared" si="394"/>
        <v/>
      </c>
    </row>
    <row r="5047" spans="1:13" x14ac:dyDescent="0.3">
      <c r="A5047" t="str">
        <f>Segmenter!A5047</f>
        <v/>
      </c>
      <c r="B5047" t="str">
        <f>Segmenter!B5047</f>
        <v/>
      </c>
      <c r="C5047" t="str">
        <f t="shared" si="390"/>
        <v/>
      </c>
      <c r="D5047" t="str">
        <f t="shared" si="391"/>
        <v/>
      </c>
      <c r="E5047" t="str">
        <f t="shared" si="392"/>
        <v/>
      </c>
      <c r="F5047" t="str">
        <f>IF(D5047="","",INDEX(Knutepunkter!$B:$B,D5047+1))</f>
        <v/>
      </c>
      <c r="G5047" t="str">
        <f>IF(D5047="","",INDEX(Knutepunkter!$C:$C,D5047+1))</f>
        <v/>
      </c>
      <c r="H5047" t="str">
        <f>IF(D5047="","",INDEX(Knutepunkter!$D:$D,D5047+1))</f>
        <v/>
      </c>
      <c r="I5047" t="str">
        <f>IF(E5047="","",INDEX(Knutepunkter!$B:$B,E5047+1))</f>
        <v/>
      </c>
      <c r="J5047" t="str">
        <f>IF(E5047="","",INDEX(Knutepunkter!$C:$C,E5047+1))</f>
        <v/>
      </c>
      <c r="K5047" t="str">
        <f>IF(E5047="","",INDEX(Knutepunkter!$D:$D,E5047+1))</f>
        <v/>
      </c>
      <c r="L5047" t="str">
        <f t="shared" si="393"/>
        <v/>
      </c>
      <c r="M5047" t="str">
        <f t="shared" si="394"/>
        <v/>
      </c>
    </row>
    <row r="5048" spans="1:13" x14ac:dyDescent="0.3">
      <c r="A5048" t="str">
        <f>Segmenter!A5048</f>
        <v/>
      </c>
      <c r="B5048" t="str">
        <f>Segmenter!B5048</f>
        <v/>
      </c>
      <c r="C5048" t="str">
        <f t="shared" si="390"/>
        <v/>
      </c>
      <c r="D5048" t="str">
        <f t="shared" si="391"/>
        <v/>
      </c>
      <c r="E5048" t="str">
        <f t="shared" si="392"/>
        <v/>
      </c>
      <c r="F5048" t="str">
        <f>IF(D5048="","",INDEX(Knutepunkter!$B:$B,D5048+1))</f>
        <v/>
      </c>
      <c r="G5048" t="str">
        <f>IF(D5048="","",INDEX(Knutepunkter!$C:$C,D5048+1))</f>
        <v/>
      </c>
      <c r="H5048" t="str">
        <f>IF(D5048="","",INDEX(Knutepunkter!$D:$D,D5048+1))</f>
        <v/>
      </c>
      <c r="I5048" t="str">
        <f>IF(E5048="","",INDEX(Knutepunkter!$B:$B,E5048+1))</f>
        <v/>
      </c>
      <c r="J5048" t="str">
        <f>IF(E5048="","",INDEX(Knutepunkter!$C:$C,E5048+1))</f>
        <v/>
      </c>
      <c r="K5048" t="str">
        <f>IF(E5048="","",INDEX(Knutepunkter!$D:$D,E5048+1))</f>
        <v/>
      </c>
      <c r="L5048" t="str">
        <f t="shared" si="393"/>
        <v/>
      </c>
      <c r="M5048" t="str">
        <f t="shared" si="394"/>
        <v/>
      </c>
    </row>
    <row r="5049" spans="1:13" x14ac:dyDescent="0.3">
      <c r="A5049" t="str">
        <f>Segmenter!A5049</f>
        <v/>
      </c>
      <c r="B5049" t="str">
        <f>Segmenter!B5049</f>
        <v/>
      </c>
      <c r="C5049" t="str">
        <f t="shared" si="390"/>
        <v/>
      </c>
      <c r="D5049" t="str">
        <f t="shared" si="391"/>
        <v/>
      </c>
      <c r="E5049" t="str">
        <f t="shared" si="392"/>
        <v/>
      </c>
      <c r="F5049" t="str">
        <f>IF(D5049="","",INDEX(Knutepunkter!$B:$B,D5049+1))</f>
        <v/>
      </c>
      <c r="G5049" t="str">
        <f>IF(D5049="","",INDEX(Knutepunkter!$C:$C,D5049+1))</f>
        <v/>
      </c>
      <c r="H5049" t="str">
        <f>IF(D5049="","",INDEX(Knutepunkter!$D:$D,D5049+1))</f>
        <v/>
      </c>
      <c r="I5049" t="str">
        <f>IF(E5049="","",INDEX(Knutepunkter!$B:$B,E5049+1))</f>
        <v/>
      </c>
      <c r="J5049" t="str">
        <f>IF(E5049="","",INDEX(Knutepunkter!$C:$C,E5049+1))</f>
        <v/>
      </c>
      <c r="K5049" t="str">
        <f>IF(E5049="","",INDEX(Knutepunkter!$D:$D,E5049+1))</f>
        <v/>
      </c>
      <c r="L5049" t="str">
        <f t="shared" si="393"/>
        <v/>
      </c>
      <c r="M5049" t="str">
        <f t="shared" si="394"/>
        <v/>
      </c>
    </row>
    <row r="5050" spans="1:13" x14ac:dyDescent="0.3">
      <c r="A5050" t="str">
        <f>Segmenter!A5050</f>
        <v/>
      </c>
      <c r="B5050" t="str">
        <f>Segmenter!B5050</f>
        <v/>
      </c>
      <c r="C5050" t="str">
        <f t="shared" si="390"/>
        <v/>
      </c>
      <c r="D5050" t="str">
        <f t="shared" si="391"/>
        <v/>
      </c>
      <c r="E5050" t="str">
        <f t="shared" si="392"/>
        <v/>
      </c>
      <c r="F5050" t="str">
        <f>IF(D5050="","",INDEX(Knutepunkter!$B:$B,D5050+1))</f>
        <v/>
      </c>
      <c r="G5050" t="str">
        <f>IF(D5050="","",INDEX(Knutepunkter!$C:$C,D5050+1))</f>
        <v/>
      </c>
      <c r="H5050" t="str">
        <f>IF(D5050="","",INDEX(Knutepunkter!$D:$D,D5050+1))</f>
        <v/>
      </c>
      <c r="I5050" t="str">
        <f>IF(E5050="","",INDEX(Knutepunkter!$B:$B,E5050+1))</f>
        <v/>
      </c>
      <c r="J5050" t="str">
        <f>IF(E5050="","",INDEX(Knutepunkter!$C:$C,E5050+1))</f>
        <v/>
      </c>
      <c r="K5050" t="str">
        <f>IF(E5050="","",INDEX(Knutepunkter!$D:$D,E5050+1))</f>
        <v/>
      </c>
      <c r="L5050" t="str">
        <f t="shared" si="393"/>
        <v/>
      </c>
      <c r="M5050" t="str">
        <f t="shared" si="394"/>
        <v/>
      </c>
    </row>
    <row r="5051" spans="1:13" x14ac:dyDescent="0.3">
      <c r="A5051" t="str">
        <f>Segmenter!A5051</f>
        <v/>
      </c>
      <c r="B5051" t="str">
        <f>Segmenter!B5051</f>
        <v/>
      </c>
      <c r="C5051" t="str">
        <f t="shared" si="390"/>
        <v/>
      </c>
      <c r="D5051" t="str">
        <f t="shared" si="391"/>
        <v/>
      </c>
      <c r="E5051" t="str">
        <f t="shared" si="392"/>
        <v/>
      </c>
      <c r="F5051" t="str">
        <f>IF(D5051="","",INDEX(Knutepunkter!$B:$B,D5051+1))</f>
        <v/>
      </c>
      <c r="G5051" t="str">
        <f>IF(D5051="","",INDEX(Knutepunkter!$C:$C,D5051+1))</f>
        <v/>
      </c>
      <c r="H5051" t="str">
        <f>IF(D5051="","",INDEX(Knutepunkter!$D:$D,D5051+1))</f>
        <v/>
      </c>
      <c r="I5051" t="str">
        <f>IF(E5051="","",INDEX(Knutepunkter!$B:$B,E5051+1))</f>
        <v/>
      </c>
      <c r="J5051" t="str">
        <f>IF(E5051="","",INDEX(Knutepunkter!$C:$C,E5051+1))</f>
        <v/>
      </c>
      <c r="K5051" t="str">
        <f>IF(E5051="","",INDEX(Knutepunkter!$D:$D,E5051+1))</f>
        <v/>
      </c>
      <c r="L5051" t="str">
        <f t="shared" si="393"/>
        <v/>
      </c>
      <c r="M5051" t="str">
        <f t="shared" si="394"/>
        <v/>
      </c>
    </row>
    <row r="5052" spans="1:13" x14ac:dyDescent="0.3">
      <c r="A5052" t="str">
        <f>Segmenter!A5052</f>
        <v/>
      </c>
      <c r="B5052" t="str">
        <f>Segmenter!B5052</f>
        <v/>
      </c>
      <c r="C5052" t="str">
        <f t="shared" si="390"/>
        <v/>
      </c>
      <c r="D5052" t="str">
        <f t="shared" si="391"/>
        <v/>
      </c>
      <c r="E5052" t="str">
        <f t="shared" si="392"/>
        <v/>
      </c>
      <c r="F5052" t="str">
        <f>IF(D5052="","",INDEX(Knutepunkter!$B:$B,D5052+1))</f>
        <v/>
      </c>
      <c r="G5052" t="str">
        <f>IF(D5052="","",INDEX(Knutepunkter!$C:$C,D5052+1))</f>
        <v/>
      </c>
      <c r="H5052" t="str">
        <f>IF(D5052="","",INDEX(Knutepunkter!$D:$D,D5052+1))</f>
        <v/>
      </c>
      <c r="I5052" t="str">
        <f>IF(E5052="","",INDEX(Knutepunkter!$B:$B,E5052+1))</f>
        <v/>
      </c>
      <c r="J5052" t="str">
        <f>IF(E5052="","",INDEX(Knutepunkter!$C:$C,E5052+1))</f>
        <v/>
      </c>
      <c r="K5052" t="str">
        <f>IF(E5052="","",INDEX(Knutepunkter!$D:$D,E5052+1))</f>
        <v/>
      </c>
      <c r="L5052" t="str">
        <f t="shared" si="393"/>
        <v/>
      </c>
      <c r="M5052" t="str">
        <f t="shared" si="394"/>
        <v/>
      </c>
    </row>
    <row r="5053" spans="1:13" x14ac:dyDescent="0.3">
      <c r="A5053" t="str">
        <f>Segmenter!A5053</f>
        <v/>
      </c>
      <c r="B5053" t="str">
        <f>Segmenter!B5053</f>
        <v/>
      </c>
      <c r="C5053" t="str">
        <f t="shared" si="390"/>
        <v/>
      </c>
      <c r="D5053" t="str">
        <f t="shared" si="391"/>
        <v/>
      </c>
      <c r="E5053" t="str">
        <f t="shared" si="392"/>
        <v/>
      </c>
      <c r="F5053" t="str">
        <f>IF(D5053="","",INDEX(Knutepunkter!$B:$B,D5053+1))</f>
        <v/>
      </c>
      <c r="G5053" t="str">
        <f>IF(D5053="","",INDEX(Knutepunkter!$C:$C,D5053+1))</f>
        <v/>
      </c>
      <c r="H5053" t="str">
        <f>IF(D5053="","",INDEX(Knutepunkter!$D:$D,D5053+1))</f>
        <v/>
      </c>
      <c r="I5053" t="str">
        <f>IF(E5053="","",INDEX(Knutepunkter!$B:$B,E5053+1))</f>
        <v/>
      </c>
      <c r="J5053" t="str">
        <f>IF(E5053="","",INDEX(Knutepunkter!$C:$C,E5053+1))</f>
        <v/>
      </c>
      <c r="K5053" t="str">
        <f>IF(E5053="","",INDEX(Knutepunkter!$D:$D,E5053+1))</f>
        <v/>
      </c>
      <c r="L5053" t="str">
        <f t="shared" si="393"/>
        <v/>
      </c>
      <c r="M5053" t="str">
        <f t="shared" si="394"/>
        <v/>
      </c>
    </row>
    <row r="5054" spans="1:13" x14ac:dyDescent="0.3">
      <c r="A5054" t="str">
        <f>Segmenter!A5054</f>
        <v/>
      </c>
      <c r="B5054" t="str">
        <f>Segmenter!B5054</f>
        <v/>
      </c>
      <c r="C5054" t="str">
        <f t="shared" si="390"/>
        <v/>
      </c>
      <c r="D5054" t="str">
        <f t="shared" si="391"/>
        <v/>
      </c>
      <c r="E5054" t="str">
        <f t="shared" si="392"/>
        <v/>
      </c>
      <c r="F5054" t="str">
        <f>IF(D5054="","",INDEX(Knutepunkter!$B:$B,D5054+1))</f>
        <v/>
      </c>
      <c r="G5054" t="str">
        <f>IF(D5054="","",INDEX(Knutepunkter!$C:$C,D5054+1))</f>
        <v/>
      </c>
      <c r="H5054" t="str">
        <f>IF(D5054="","",INDEX(Knutepunkter!$D:$D,D5054+1))</f>
        <v/>
      </c>
      <c r="I5054" t="str">
        <f>IF(E5054="","",INDEX(Knutepunkter!$B:$B,E5054+1))</f>
        <v/>
      </c>
      <c r="J5054" t="str">
        <f>IF(E5054="","",INDEX(Knutepunkter!$C:$C,E5054+1))</f>
        <v/>
      </c>
      <c r="K5054" t="str">
        <f>IF(E5054="","",INDEX(Knutepunkter!$D:$D,E5054+1))</f>
        <v/>
      </c>
      <c r="L5054" t="str">
        <f t="shared" si="393"/>
        <v/>
      </c>
      <c r="M5054" t="str">
        <f t="shared" si="394"/>
        <v/>
      </c>
    </row>
    <row r="5055" spans="1:13" x14ac:dyDescent="0.3">
      <c r="A5055" t="str">
        <f>Segmenter!A5055</f>
        <v/>
      </c>
      <c r="B5055" t="str">
        <f>Segmenter!B5055</f>
        <v/>
      </c>
      <c r="C5055" t="str">
        <f t="shared" si="390"/>
        <v/>
      </c>
      <c r="D5055" t="str">
        <f t="shared" si="391"/>
        <v/>
      </c>
      <c r="E5055" t="str">
        <f t="shared" si="392"/>
        <v/>
      </c>
      <c r="F5055" t="str">
        <f>IF(D5055="","",INDEX(Knutepunkter!$B:$B,D5055+1))</f>
        <v/>
      </c>
      <c r="G5055" t="str">
        <f>IF(D5055="","",INDEX(Knutepunkter!$C:$C,D5055+1))</f>
        <v/>
      </c>
      <c r="H5055" t="str">
        <f>IF(D5055="","",INDEX(Knutepunkter!$D:$D,D5055+1))</f>
        <v/>
      </c>
      <c r="I5055" t="str">
        <f>IF(E5055="","",INDEX(Knutepunkter!$B:$B,E5055+1))</f>
        <v/>
      </c>
      <c r="J5055" t="str">
        <f>IF(E5055="","",INDEX(Knutepunkter!$C:$C,E5055+1))</f>
        <v/>
      </c>
      <c r="K5055" t="str">
        <f>IF(E5055="","",INDEX(Knutepunkter!$D:$D,E5055+1))</f>
        <v/>
      </c>
      <c r="L5055" t="str">
        <f t="shared" si="393"/>
        <v/>
      </c>
      <c r="M5055" t="str">
        <f t="shared" si="394"/>
        <v/>
      </c>
    </row>
    <row r="5056" spans="1:13" x14ac:dyDescent="0.3">
      <c r="A5056" t="str">
        <f>Segmenter!A5056</f>
        <v/>
      </c>
      <c r="B5056" t="str">
        <f>Segmenter!B5056</f>
        <v/>
      </c>
      <c r="C5056" t="str">
        <f t="shared" si="390"/>
        <v/>
      </c>
      <c r="D5056" t="str">
        <f t="shared" si="391"/>
        <v/>
      </c>
      <c r="E5056" t="str">
        <f t="shared" si="392"/>
        <v/>
      </c>
      <c r="F5056" t="str">
        <f>IF(D5056="","",INDEX(Knutepunkter!$B:$B,D5056+1))</f>
        <v/>
      </c>
      <c r="G5056" t="str">
        <f>IF(D5056="","",INDEX(Knutepunkter!$C:$C,D5056+1))</f>
        <v/>
      </c>
      <c r="H5056" t="str">
        <f>IF(D5056="","",INDEX(Knutepunkter!$D:$D,D5056+1))</f>
        <v/>
      </c>
      <c r="I5056" t="str">
        <f>IF(E5056="","",INDEX(Knutepunkter!$B:$B,E5056+1))</f>
        <v/>
      </c>
      <c r="J5056" t="str">
        <f>IF(E5056="","",INDEX(Knutepunkter!$C:$C,E5056+1))</f>
        <v/>
      </c>
      <c r="K5056" t="str">
        <f>IF(E5056="","",INDEX(Knutepunkter!$D:$D,E5056+1))</f>
        <v/>
      </c>
      <c r="L5056" t="str">
        <f t="shared" si="393"/>
        <v/>
      </c>
      <c r="M5056" t="str">
        <f t="shared" si="394"/>
        <v/>
      </c>
    </row>
    <row r="5057" spans="1:13" x14ac:dyDescent="0.3">
      <c r="A5057" t="str">
        <f>Segmenter!A5057</f>
        <v/>
      </c>
      <c r="B5057" t="str">
        <f>Segmenter!B5057</f>
        <v/>
      </c>
      <c r="C5057" t="str">
        <f t="shared" si="390"/>
        <v/>
      </c>
      <c r="D5057" t="str">
        <f t="shared" si="391"/>
        <v/>
      </c>
      <c r="E5057" t="str">
        <f t="shared" si="392"/>
        <v/>
      </c>
      <c r="F5057" t="str">
        <f>IF(D5057="","",INDEX(Knutepunkter!$B:$B,D5057+1))</f>
        <v/>
      </c>
      <c r="G5057" t="str">
        <f>IF(D5057="","",INDEX(Knutepunkter!$C:$C,D5057+1))</f>
        <v/>
      </c>
      <c r="H5057" t="str">
        <f>IF(D5057="","",INDEX(Knutepunkter!$D:$D,D5057+1))</f>
        <v/>
      </c>
      <c r="I5057" t="str">
        <f>IF(E5057="","",INDEX(Knutepunkter!$B:$B,E5057+1))</f>
        <v/>
      </c>
      <c r="J5057" t="str">
        <f>IF(E5057="","",INDEX(Knutepunkter!$C:$C,E5057+1))</f>
        <v/>
      </c>
      <c r="K5057" t="str">
        <f>IF(E5057="","",INDEX(Knutepunkter!$D:$D,E5057+1))</f>
        <v/>
      </c>
      <c r="L5057" t="str">
        <f t="shared" si="393"/>
        <v/>
      </c>
      <c r="M5057" t="str">
        <f t="shared" si="394"/>
        <v/>
      </c>
    </row>
    <row r="5058" spans="1:13" x14ac:dyDescent="0.3">
      <c r="A5058" t="str">
        <f>Segmenter!A5058</f>
        <v/>
      </c>
      <c r="B5058" t="str">
        <f>Segmenter!B5058</f>
        <v/>
      </c>
      <c r="C5058" t="str">
        <f t="shared" ref="C5058:C5121" si="395">IF(B5058="","",IF(AND(F5058=I5058,G5058=J5058,H5058&lt;&gt;K5058),"Søyle","Bjelke"))</f>
        <v/>
      </c>
      <c r="D5058" t="str">
        <f t="shared" ref="D5058:D5121" si="396">IF(B5058="","",VALUE(LEFT(B5058,FIND(" -&gt; ",B5058)-1)))</f>
        <v/>
      </c>
      <c r="E5058" t="str">
        <f t="shared" ref="E5058:E5121" si="397">IF(B5058="","",VALUE(MID(B5058,FIND(" -&gt; ",B5058)+4,99)))</f>
        <v/>
      </c>
      <c r="F5058" t="str">
        <f>IF(D5058="","",INDEX(Knutepunkter!$B:$B,D5058+1))</f>
        <v/>
      </c>
      <c r="G5058" t="str">
        <f>IF(D5058="","",INDEX(Knutepunkter!$C:$C,D5058+1))</f>
        <v/>
      </c>
      <c r="H5058" t="str">
        <f>IF(D5058="","",INDEX(Knutepunkter!$D:$D,D5058+1))</f>
        <v/>
      </c>
      <c r="I5058" t="str">
        <f>IF(E5058="","",INDEX(Knutepunkter!$B:$B,E5058+1))</f>
        <v/>
      </c>
      <c r="J5058" t="str">
        <f>IF(E5058="","",INDEX(Knutepunkter!$C:$C,E5058+1))</f>
        <v/>
      </c>
      <c r="K5058" t="str">
        <f>IF(E5058="","",INDEX(Knutepunkter!$D:$D,E5058+1))</f>
        <v/>
      </c>
      <c r="L5058" t="str">
        <f t="shared" ref="L5058:L5121" si="398">IF(B5058="","",SQRT((I5058-F5058)^2+(J5058-G5058)^2+(K5058-H5058)^2))</f>
        <v/>
      </c>
      <c r="M5058" t="str">
        <f t="shared" ref="M5058:M5121" si="399">IF(L5058="","",L5058/1000)</f>
        <v/>
      </c>
    </row>
    <row r="5059" spans="1:13" x14ac:dyDescent="0.3">
      <c r="A5059" t="str">
        <f>Segmenter!A5059</f>
        <v/>
      </c>
      <c r="B5059" t="str">
        <f>Segmenter!B5059</f>
        <v/>
      </c>
      <c r="C5059" t="str">
        <f t="shared" si="395"/>
        <v/>
      </c>
      <c r="D5059" t="str">
        <f t="shared" si="396"/>
        <v/>
      </c>
      <c r="E5059" t="str">
        <f t="shared" si="397"/>
        <v/>
      </c>
      <c r="F5059" t="str">
        <f>IF(D5059="","",INDEX(Knutepunkter!$B:$B,D5059+1))</f>
        <v/>
      </c>
      <c r="G5059" t="str">
        <f>IF(D5059="","",INDEX(Knutepunkter!$C:$C,D5059+1))</f>
        <v/>
      </c>
      <c r="H5059" t="str">
        <f>IF(D5059="","",INDEX(Knutepunkter!$D:$D,D5059+1))</f>
        <v/>
      </c>
      <c r="I5059" t="str">
        <f>IF(E5059="","",INDEX(Knutepunkter!$B:$B,E5059+1))</f>
        <v/>
      </c>
      <c r="J5059" t="str">
        <f>IF(E5059="","",INDEX(Knutepunkter!$C:$C,E5059+1))</f>
        <v/>
      </c>
      <c r="K5059" t="str">
        <f>IF(E5059="","",INDEX(Knutepunkter!$D:$D,E5059+1))</f>
        <v/>
      </c>
      <c r="L5059" t="str">
        <f t="shared" si="398"/>
        <v/>
      </c>
      <c r="M5059" t="str">
        <f t="shared" si="399"/>
        <v/>
      </c>
    </row>
    <row r="5060" spans="1:13" x14ac:dyDescent="0.3">
      <c r="A5060" t="str">
        <f>Segmenter!A5060</f>
        <v/>
      </c>
      <c r="B5060" t="str">
        <f>Segmenter!B5060</f>
        <v/>
      </c>
      <c r="C5060" t="str">
        <f t="shared" si="395"/>
        <v/>
      </c>
      <c r="D5060" t="str">
        <f t="shared" si="396"/>
        <v/>
      </c>
      <c r="E5060" t="str">
        <f t="shared" si="397"/>
        <v/>
      </c>
      <c r="F5060" t="str">
        <f>IF(D5060="","",INDEX(Knutepunkter!$B:$B,D5060+1))</f>
        <v/>
      </c>
      <c r="G5060" t="str">
        <f>IF(D5060="","",INDEX(Knutepunkter!$C:$C,D5060+1))</f>
        <v/>
      </c>
      <c r="H5060" t="str">
        <f>IF(D5060="","",INDEX(Knutepunkter!$D:$D,D5060+1))</f>
        <v/>
      </c>
      <c r="I5060" t="str">
        <f>IF(E5060="","",INDEX(Knutepunkter!$B:$B,E5060+1))</f>
        <v/>
      </c>
      <c r="J5060" t="str">
        <f>IF(E5060="","",INDEX(Knutepunkter!$C:$C,E5060+1))</f>
        <v/>
      </c>
      <c r="K5060" t="str">
        <f>IF(E5060="","",INDEX(Knutepunkter!$D:$D,E5060+1))</f>
        <v/>
      </c>
      <c r="L5060" t="str">
        <f t="shared" si="398"/>
        <v/>
      </c>
      <c r="M5060" t="str">
        <f t="shared" si="399"/>
        <v/>
      </c>
    </row>
    <row r="5061" spans="1:13" x14ac:dyDescent="0.3">
      <c r="A5061" t="str">
        <f>Segmenter!A5061</f>
        <v/>
      </c>
      <c r="B5061" t="str">
        <f>Segmenter!B5061</f>
        <v/>
      </c>
      <c r="C5061" t="str">
        <f t="shared" si="395"/>
        <v/>
      </c>
      <c r="D5061" t="str">
        <f t="shared" si="396"/>
        <v/>
      </c>
      <c r="E5061" t="str">
        <f t="shared" si="397"/>
        <v/>
      </c>
      <c r="F5061" t="str">
        <f>IF(D5061="","",INDEX(Knutepunkter!$B:$B,D5061+1))</f>
        <v/>
      </c>
      <c r="G5061" t="str">
        <f>IF(D5061="","",INDEX(Knutepunkter!$C:$C,D5061+1))</f>
        <v/>
      </c>
      <c r="H5061" t="str">
        <f>IF(D5061="","",INDEX(Knutepunkter!$D:$D,D5061+1))</f>
        <v/>
      </c>
      <c r="I5061" t="str">
        <f>IF(E5061="","",INDEX(Knutepunkter!$B:$B,E5061+1))</f>
        <v/>
      </c>
      <c r="J5061" t="str">
        <f>IF(E5061="","",INDEX(Knutepunkter!$C:$C,E5061+1))</f>
        <v/>
      </c>
      <c r="K5061" t="str">
        <f>IF(E5061="","",INDEX(Knutepunkter!$D:$D,E5061+1))</f>
        <v/>
      </c>
      <c r="L5061" t="str">
        <f t="shared" si="398"/>
        <v/>
      </c>
      <c r="M5061" t="str">
        <f t="shared" si="399"/>
        <v/>
      </c>
    </row>
    <row r="5062" spans="1:13" x14ac:dyDescent="0.3">
      <c r="A5062" t="str">
        <f>Segmenter!A5062</f>
        <v/>
      </c>
      <c r="B5062" t="str">
        <f>Segmenter!B5062</f>
        <v/>
      </c>
      <c r="C5062" t="str">
        <f t="shared" si="395"/>
        <v/>
      </c>
      <c r="D5062" t="str">
        <f t="shared" si="396"/>
        <v/>
      </c>
      <c r="E5062" t="str">
        <f t="shared" si="397"/>
        <v/>
      </c>
      <c r="F5062" t="str">
        <f>IF(D5062="","",INDEX(Knutepunkter!$B:$B,D5062+1))</f>
        <v/>
      </c>
      <c r="G5062" t="str">
        <f>IF(D5062="","",INDEX(Knutepunkter!$C:$C,D5062+1))</f>
        <v/>
      </c>
      <c r="H5062" t="str">
        <f>IF(D5062="","",INDEX(Knutepunkter!$D:$D,D5062+1))</f>
        <v/>
      </c>
      <c r="I5062" t="str">
        <f>IF(E5062="","",INDEX(Knutepunkter!$B:$B,E5062+1))</f>
        <v/>
      </c>
      <c r="J5062" t="str">
        <f>IF(E5062="","",INDEX(Knutepunkter!$C:$C,E5062+1))</f>
        <v/>
      </c>
      <c r="K5062" t="str">
        <f>IF(E5062="","",INDEX(Knutepunkter!$D:$D,E5062+1))</f>
        <v/>
      </c>
      <c r="L5062" t="str">
        <f t="shared" si="398"/>
        <v/>
      </c>
      <c r="M5062" t="str">
        <f t="shared" si="399"/>
        <v/>
      </c>
    </row>
    <row r="5063" spans="1:13" x14ac:dyDescent="0.3">
      <c r="A5063" t="str">
        <f>Segmenter!A5063</f>
        <v/>
      </c>
      <c r="B5063" t="str">
        <f>Segmenter!B5063</f>
        <v/>
      </c>
      <c r="C5063" t="str">
        <f t="shared" si="395"/>
        <v/>
      </c>
      <c r="D5063" t="str">
        <f t="shared" si="396"/>
        <v/>
      </c>
      <c r="E5063" t="str">
        <f t="shared" si="397"/>
        <v/>
      </c>
      <c r="F5063" t="str">
        <f>IF(D5063="","",INDEX(Knutepunkter!$B:$B,D5063+1))</f>
        <v/>
      </c>
      <c r="G5063" t="str">
        <f>IF(D5063="","",INDEX(Knutepunkter!$C:$C,D5063+1))</f>
        <v/>
      </c>
      <c r="H5063" t="str">
        <f>IF(D5063="","",INDEX(Knutepunkter!$D:$D,D5063+1))</f>
        <v/>
      </c>
      <c r="I5063" t="str">
        <f>IF(E5063="","",INDEX(Knutepunkter!$B:$B,E5063+1))</f>
        <v/>
      </c>
      <c r="J5063" t="str">
        <f>IF(E5063="","",INDEX(Knutepunkter!$C:$C,E5063+1))</f>
        <v/>
      </c>
      <c r="K5063" t="str">
        <f>IF(E5063="","",INDEX(Knutepunkter!$D:$D,E5063+1))</f>
        <v/>
      </c>
      <c r="L5063" t="str">
        <f t="shared" si="398"/>
        <v/>
      </c>
      <c r="M5063" t="str">
        <f t="shared" si="399"/>
        <v/>
      </c>
    </row>
    <row r="5064" spans="1:13" x14ac:dyDescent="0.3">
      <c r="A5064" t="str">
        <f>Segmenter!A5064</f>
        <v/>
      </c>
      <c r="B5064" t="str">
        <f>Segmenter!B5064</f>
        <v/>
      </c>
      <c r="C5064" t="str">
        <f t="shared" si="395"/>
        <v/>
      </c>
      <c r="D5064" t="str">
        <f t="shared" si="396"/>
        <v/>
      </c>
      <c r="E5064" t="str">
        <f t="shared" si="397"/>
        <v/>
      </c>
      <c r="F5064" t="str">
        <f>IF(D5064="","",INDEX(Knutepunkter!$B:$B,D5064+1))</f>
        <v/>
      </c>
      <c r="G5064" t="str">
        <f>IF(D5064="","",INDEX(Knutepunkter!$C:$C,D5064+1))</f>
        <v/>
      </c>
      <c r="H5064" t="str">
        <f>IF(D5064="","",INDEX(Knutepunkter!$D:$D,D5064+1))</f>
        <v/>
      </c>
      <c r="I5064" t="str">
        <f>IF(E5064="","",INDEX(Knutepunkter!$B:$B,E5064+1))</f>
        <v/>
      </c>
      <c r="J5064" t="str">
        <f>IF(E5064="","",INDEX(Knutepunkter!$C:$C,E5064+1))</f>
        <v/>
      </c>
      <c r="K5064" t="str">
        <f>IF(E5064="","",INDEX(Knutepunkter!$D:$D,E5064+1))</f>
        <v/>
      </c>
      <c r="L5064" t="str">
        <f t="shared" si="398"/>
        <v/>
      </c>
      <c r="M5064" t="str">
        <f t="shared" si="399"/>
        <v/>
      </c>
    </row>
    <row r="5065" spans="1:13" x14ac:dyDescent="0.3">
      <c r="A5065" t="str">
        <f>Segmenter!A5065</f>
        <v/>
      </c>
      <c r="B5065" t="str">
        <f>Segmenter!B5065</f>
        <v/>
      </c>
      <c r="C5065" t="str">
        <f t="shared" si="395"/>
        <v/>
      </c>
      <c r="D5065" t="str">
        <f t="shared" si="396"/>
        <v/>
      </c>
      <c r="E5065" t="str">
        <f t="shared" si="397"/>
        <v/>
      </c>
      <c r="F5065" t="str">
        <f>IF(D5065="","",INDEX(Knutepunkter!$B:$B,D5065+1))</f>
        <v/>
      </c>
      <c r="G5065" t="str">
        <f>IF(D5065="","",INDEX(Knutepunkter!$C:$C,D5065+1))</f>
        <v/>
      </c>
      <c r="H5065" t="str">
        <f>IF(D5065="","",INDEX(Knutepunkter!$D:$D,D5065+1))</f>
        <v/>
      </c>
      <c r="I5065" t="str">
        <f>IF(E5065="","",INDEX(Knutepunkter!$B:$B,E5065+1))</f>
        <v/>
      </c>
      <c r="J5065" t="str">
        <f>IF(E5065="","",INDEX(Knutepunkter!$C:$C,E5065+1))</f>
        <v/>
      </c>
      <c r="K5065" t="str">
        <f>IF(E5065="","",INDEX(Knutepunkter!$D:$D,E5065+1))</f>
        <v/>
      </c>
      <c r="L5065" t="str">
        <f t="shared" si="398"/>
        <v/>
      </c>
      <c r="M5065" t="str">
        <f t="shared" si="399"/>
        <v/>
      </c>
    </row>
    <row r="5066" spans="1:13" x14ac:dyDescent="0.3">
      <c r="A5066" t="str">
        <f>Segmenter!A5066</f>
        <v/>
      </c>
      <c r="B5066" t="str">
        <f>Segmenter!B5066</f>
        <v/>
      </c>
      <c r="C5066" t="str">
        <f t="shared" si="395"/>
        <v/>
      </c>
      <c r="D5066" t="str">
        <f t="shared" si="396"/>
        <v/>
      </c>
      <c r="E5066" t="str">
        <f t="shared" si="397"/>
        <v/>
      </c>
      <c r="F5066" t="str">
        <f>IF(D5066="","",INDEX(Knutepunkter!$B:$B,D5066+1))</f>
        <v/>
      </c>
      <c r="G5066" t="str">
        <f>IF(D5066="","",INDEX(Knutepunkter!$C:$C,D5066+1))</f>
        <v/>
      </c>
      <c r="H5066" t="str">
        <f>IF(D5066="","",INDEX(Knutepunkter!$D:$D,D5066+1))</f>
        <v/>
      </c>
      <c r="I5066" t="str">
        <f>IF(E5066="","",INDEX(Knutepunkter!$B:$B,E5066+1))</f>
        <v/>
      </c>
      <c r="J5066" t="str">
        <f>IF(E5066="","",INDEX(Knutepunkter!$C:$C,E5066+1))</f>
        <v/>
      </c>
      <c r="K5066" t="str">
        <f>IF(E5066="","",INDEX(Knutepunkter!$D:$D,E5066+1))</f>
        <v/>
      </c>
      <c r="L5066" t="str">
        <f t="shared" si="398"/>
        <v/>
      </c>
      <c r="M5066" t="str">
        <f t="shared" si="399"/>
        <v/>
      </c>
    </row>
    <row r="5067" spans="1:13" x14ac:dyDescent="0.3">
      <c r="A5067" t="str">
        <f>Segmenter!A5067</f>
        <v/>
      </c>
      <c r="B5067" t="str">
        <f>Segmenter!B5067</f>
        <v/>
      </c>
      <c r="C5067" t="str">
        <f t="shared" si="395"/>
        <v/>
      </c>
      <c r="D5067" t="str">
        <f t="shared" si="396"/>
        <v/>
      </c>
      <c r="E5067" t="str">
        <f t="shared" si="397"/>
        <v/>
      </c>
      <c r="F5067" t="str">
        <f>IF(D5067="","",INDEX(Knutepunkter!$B:$B,D5067+1))</f>
        <v/>
      </c>
      <c r="G5067" t="str">
        <f>IF(D5067="","",INDEX(Knutepunkter!$C:$C,D5067+1))</f>
        <v/>
      </c>
      <c r="H5067" t="str">
        <f>IF(D5067="","",INDEX(Knutepunkter!$D:$D,D5067+1))</f>
        <v/>
      </c>
      <c r="I5067" t="str">
        <f>IF(E5067="","",INDEX(Knutepunkter!$B:$B,E5067+1))</f>
        <v/>
      </c>
      <c r="J5067" t="str">
        <f>IF(E5067="","",INDEX(Knutepunkter!$C:$C,E5067+1))</f>
        <v/>
      </c>
      <c r="K5067" t="str">
        <f>IF(E5067="","",INDEX(Knutepunkter!$D:$D,E5067+1))</f>
        <v/>
      </c>
      <c r="L5067" t="str">
        <f t="shared" si="398"/>
        <v/>
      </c>
      <c r="M5067" t="str">
        <f t="shared" si="399"/>
        <v/>
      </c>
    </row>
    <row r="5068" spans="1:13" x14ac:dyDescent="0.3">
      <c r="A5068" t="str">
        <f>Segmenter!A5068</f>
        <v/>
      </c>
      <c r="B5068" t="str">
        <f>Segmenter!B5068</f>
        <v/>
      </c>
      <c r="C5068" t="str">
        <f t="shared" si="395"/>
        <v/>
      </c>
      <c r="D5068" t="str">
        <f t="shared" si="396"/>
        <v/>
      </c>
      <c r="E5068" t="str">
        <f t="shared" si="397"/>
        <v/>
      </c>
      <c r="F5068" t="str">
        <f>IF(D5068="","",INDEX(Knutepunkter!$B:$B,D5068+1))</f>
        <v/>
      </c>
      <c r="G5068" t="str">
        <f>IF(D5068="","",INDEX(Knutepunkter!$C:$C,D5068+1))</f>
        <v/>
      </c>
      <c r="H5068" t="str">
        <f>IF(D5068="","",INDEX(Knutepunkter!$D:$D,D5068+1))</f>
        <v/>
      </c>
      <c r="I5068" t="str">
        <f>IF(E5068="","",INDEX(Knutepunkter!$B:$B,E5068+1))</f>
        <v/>
      </c>
      <c r="J5068" t="str">
        <f>IF(E5068="","",INDEX(Knutepunkter!$C:$C,E5068+1))</f>
        <v/>
      </c>
      <c r="K5068" t="str">
        <f>IF(E5068="","",INDEX(Knutepunkter!$D:$D,E5068+1))</f>
        <v/>
      </c>
      <c r="L5068" t="str">
        <f t="shared" si="398"/>
        <v/>
      </c>
      <c r="M5068" t="str">
        <f t="shared" si="399"/>
        <v/>
      </c>
    </row>
    <row r="5069" spans="1:13" x14ac:dyDescent="0.3">
      <c r="A5069" t="str">
        <f>Segmenter!A5069</f>
        <v/>
      </c>
      <c r="B5069" t="str">
        <f>Segmenter!B5069</f>
        <v/>
      </c>
      <c r="C5069" t="str">
        <f t="shared" si="395"/>
        <v/>
      </c>
      <c r="D5069" t="str">
        <f t="shared" si="396"/>
        <v/>
      </c>
      <c r="E5069" t="str">
        <f t="shared" si="397"/>
        <v/>
      </c>
      <c r="F5069" t="str">
        <f>IF(D5069="","",INDEX(Knutepunkter!$B:$B,D5069+1))</f>
        <v/>
      </c>
      <c r="G5069" t="str">
        <f>IF(D5069="","",INDEX(Knutepunkter!$C:$C,D5069+1))</f>
        <v/>
      </c>
      <c r="H5069" t="str">
        <f>IF(D5069="","",INDEX(Knutepunkter!$D:$D,D5069+1))</f>
        <v/>
      </c>
      <c r="I5069" t="str">
        <f>IF(E5069="","",INDEX(Knutepunkter!$B:$B,E5069+1))</f>
        <v/>
      </c>
      <c r="J5069" t="str">
        <f>IF(E5069="","",INDEX(Knutepunkter!$C:$C,E5069+1))</f>
        <v/>
      </c>
      <c r="K5069" t="str">
        <f>IF(E5069="","",INDEX(Knutepunkter!$D:$D,E5069+1))</f>
        <v/>
      </c>
      <c r="L5069" t="str">
        <f t="shared" si="398"/>
        <v/>
      </c>
      <c r="M5069" t="str">
        <f t="shared" si="399"/>
        <v/>
      </c>
    </row>
    <row r="5070" spans="1:13" x14ac:dyDescent="0.3">
      <c r="A5070" t="str">
        <f>Segmenter!A5070</f>
        <v/>
      </c>
      <c r="B5070" t="str">
        <f>Segmenter!B5070</f>
        <v/>
      </c>
      <c r="C5070" t="str">
        <f t="shared" si="395"/>
        <v/>
      </c>
      <c r="D5070" t="str">
        <f t="shared" si="396"/>
        <v/>
      </c>
      <c r="E5070" t="str">
        <f t="shared" si="397"/>
        <v/>
      </c>
      <c r="F5070" t="str">
        <f>IF(D5070="","",INDEX(Knutepunkter!$B:$B,D5070+1))</f>
        <v/>
      </c>
      <c r="G5070" t="str">
        <f>IF(D5070="","",INDEX(Knutepunkter!$C:$C,D5070+1))</f>
        <v/>
      </c>
      <c r="H5070" t="str">
        <f>IF(D5070="","",INDEX(Knutepunkter!$D:$D,D5070+1))</f>
        <v/>
      </c>
      <c r="I5070" t="str">
        <f>IF(E5070="","",INDEX(Knutepunkter!$B:$B,E5070+1))</f>
        <v/>
      </c>
      <c r="J5070" t="str">
        <f>IF(E5070="","",INDEX(Knutepunkter!$C:$C,E5070+1))</f>
        <v/>
      </c>
      <c r="K5070" t="str">
        <f>IF(E5070="","",INDEX(Knutepunkter!$D:$D,E5070+1))</f>
        <v/>
      </c>
      <c r="L5070" t="str">
        <f t="shared" si="398"/>
        <v/>
      </c>
      <c r="M5070" t="str">
        <f t="shared" si="399"/>
        <v/>
      </c>
    </row>
    <row r="5071" spans="1:13" x14ac:dyDescent="0.3">
      <c r="A5071" t="str">
        <f>Segmenter!A5071</f>
        <v/>
      </c>
      <c r="B5071" t="str">
        <f>Segmenter!B5071</f>
        <v/>
      </c>
      <c r="C5071" t="str">
        <f t="shared" si="395"/>
        <v/>
      </c>
      <c r="D5071" t="str">
        <f t="shared" si="396"/>
        <v/>
      </c>
      <c r="E5071" t="str">
        <f t="shared" si="397"/>
        <v/>
      </c>
      <c r="F5071" t="str">
        <f>IF(D5071="","",INDEX(Knutepunkter!$B:$B,D5071+1))</f>
        <v/>
      </c>
      <c r="G5071" t="str">
        <f>IF(D5071="","",INDEX(Knutepunkter!$C:$C,D5071+1))</f>
        <v/>
      </c>
      <c r="H5071" t="str">
        <f>IF(D5071="","",INDEX(Knutepunkter!$D:$D,D5071+1))</f>
        <v/>
      </c>
      <c r="I5071" t="str">
        <f>IF(E5071="","",INDEX(Knutepunkter!$B:$B,E5071+1))</f>
        <v/>
      </c>
      <c r="J5071" t="str">
        <f>IF(E5071="","",INDEX(Knutepunkter!$C:$C,E5071+1))</f>
        <v/>
      </c>
      <c r="K5071" t="str">
        <f>IF(E5071="","",INDEX(Knutepunkter!$D:$D,E5071+1))</f>
        <v/>
      </c>
      <c r="L5071" t="str">
        <f t="shared" si="398"/>
        <v/>
      </c>
      <c r="M5071" t="str">
        <f t="shared" si="399"/>
        <v/>
      </c>
    </row>
    <row r="5072" spans="1:13" x14ac:dyDescent="0.3">
      <c r="A5072" t="str">
        <f>Segmenter!A5072</f>
        <v/>
      </c>
      <c r="B5072" t="str">
        <f>Segmenter!B5072</f>
        <v/>
      </c>
      <c r="C5072" t="str">
        <f t="shared" si="395"/>
        <v/>
      </c>
      <c r="D5072" t="str">
        <f t="shared" si="396"/>
        <v/>
      </c>
      <c r="E5072" t="str">
        <f t="shared" si="397"/>
        <v/>
      </c>
      <c r="F5072" t="str">
        <f>IF(D5072="","",INDEX(Knutepunkter!$B:$B,D5072+1))</f>
        <v/>
      </c>
      <c r="G5072" t="str">
        <f>IF(D5072="","",INDEX(Knutepunkter!$C:$C,D5072+1))</f>
        <v/>
      </c>
      <c r="H5072" t="str">
        <f>IF(D5072="","",INDEX(Knutepunkter!$D:$D,D5072+1))</f>
        <v/>
      </c>
      <c r="I5072" t="str">
        <f>IF(E5072="","",INDEX(Knutepunkter!$B:$B,E5072+1))</f>
        <v/>
      </c>
      <c r="J5072" t="str">
        <f>IF(E5072="","",INDEX(Knutepunkter!$C:$C,E5072+1))</f>
        <v/>
      </c>
      <c r="K5072" t="str">
        <f>IF(E5072="","",INDEX(Knutepunkter!$D:$D,E5072+1))</f>
        <v/>
      </c>
      <c r="L5072" t="str">
        <f t="shared" si="398"/>
        <v/>
      </c>
      <c r="M5072" t="str">
        <f t="shared" si="399"/>
        <v/>
      </c>
    </row>
    <row r="5073" spans="1:13" x14ac:dyDescent="0.3">
      <c r="A5073" t="str">
        <f>Segmenter!A5073</f>
        <v/>
      </c>
      <c r="B5073" t="str">
        <f>Segmenter!B5073</f>
        <v/>
      </c>
      <c r="C5073" t="str">
        <f t="shared" si="395"/>
        <v/>
      </c>
      <c r="D5073" t="str">
        <f t="shared" si="396"/>
        <v/>
      </c>
      <c r="E5073" t="str">
        <f t="shared" si="397"/>
        <v/>
      </c>
      <c r="F5073" t="str">
        <f>IF(D5073="","",INDEX(Knutepunkter!$B:$B,D5073+1))</f>
        <v/>
      </c>
      <c r="G5073" t="str">
        <f>IF(D5073="","",INDEX(Knutepunkter!$C:$C,D5073+1))</f>
        <v/>
      </c>
      <c r="H5073" t="str">
        <f>IF(D5073="","",INDEX(Knutepunkter!$D:$D,D5073+1))</f>
        <v/>
      </c>
      <c r="I5073" t="str">
        <f>IF(E5073="","",INDEX(Knutepunkter!$B:$B,E5073+1))</f>
        <v/>
      </c>
      <c r="J5073" t="str">
        <f>IF(E5073="","",INDEX(Knutepunkter!$C:$C,E5073+1))</f>
        <v/>
      </c>
      <c r="K5073" t="str">
        <f>IF(E5073="","",INDEX(Knutepunkter!$D:$D,E5073+1))</f>
        <v/>
      </c>
      <c r="L5073" t="str">
        <f t="shared" si="398"/>
        <v/>
      </c>
      <c r="M5073" t="str">
        <f t="shared" si="399"/>
        <v/>
      </c>
    </row>
    <row r="5074" spans="1:13" x14ac:dyDescent="0.3">
      <c r="A5074" t="str">
        <f>Segmenter!A5074</f>
        <v/>
      </c>
      <c r="B5074" t="str">
        <f>Segmenter!B5074</f>
        <v/>
      </c>
      <c r="C5074" t="str">
        <f t="shared" si="395"/>
        <v/>
      </c>
      <c r="D5074" t="str">
        <f t="shared" si="396"/>
        <v/>
      </c>
      <c r="E5074" t="str">
        <f t="shared" si="397"/>
        <v/>
      </c>
      <c r="F5074" t="str">
        <f>IF(D5074="","",INDEX(Knutepunkter!$B:$B,D5074+1))</f>
        <v/>
      </c>
      <c r="G5074" t="str">
        <f>IF(D5074="","",INDEX(Knutepunkter!$C:$C,D5074+1))</f>
        <v/>
      </c>
      <c r="H5074" t="str">
        <f>IF(D5074="","",INDEX(Knutepunkter!$D:$D,D5074+1))</f>
        <v/>
      </c>
      <c r="I5074" t="str">
        <f>IF(E5074="","",INDEX(Knutepunkter!$B:$B,E5074+1))</f>
        <v/>
      </c>
      <c r="J5074" t="str">
        <f>IF(E5074="","",INDEX(Knutepunkter!$C:$C,E5074+1))</f>
        <v/>
      </c>
      <c r="K5074" t="str">
        <f>IF(E5074="","",INDEX(Knutepunkter!$D:$D,E5074+1))</f>
        <v/>
      </c>
      <c r="L5074" t="str">
        <f t="shared" si="398"/>
        <v/>
      </c>
      <c r="M5074" t="str">
        <f t="shared" si="399"/>
        <v/>
      </c>
    </row>
    <row r="5075" spans="1:13" x14ac:dyDescent="0.3">
      <c r="A5075" t="str">
        <f>Segmenter!A5075</f>
        <v/>
      </c>
      <c r="B5075" t="str">
        <f>Segmenter!B5075</f>
        <v/>
      </c>
      <c r="C5075" t="str">
        <f t="shared" si="395"/>
        <v/>
      </c>
      <c r="D5075" t="str">
        <f t="shared" si="396"/>
        <v/>
      </c>
      <c r="E5075" t="str">
        <f t="shared" si="397"/>
        <v/>
      </c>
      <c r="F5075" t="str">
        <f>IF(D5075="","",INDEX(Knutepunkter!$B:$B,D5075+1))</f>
        <v/>
      </c>
      <c r="G5075" t="str">
        <f>IF(D5075="","",INDEX(Knutepunkter!$C:$C,D5075+1))</f>
        <v/>
      </c>
      <c r="H5075" t="str">
        <f>IF(D5075="","",INDEX(Knutepunkter!$D:$D,D5075+1))</f>
        <v/>
      </c>
      <c r="I5075" t="str">
        <f>IF(E5075="","",INDEX(Knutepunkter!$B:$B,E5075+1))</f>
        <v/>
      </c>
      <c r="J5075" t="str">
        <f>IF(E5075="","",INDEX(Knutepunkter!$C:$C,E5075+1))</f>
        <v/>
      </c>
      <c r="K5075" t="str">
        <f>IF(E5075="","",INDEX(Knutepunkter!$D:$D,E5075+1))</f>
        <v/>
      </c>
      <c r="L5075" t="str">
        <f t="shared" si="398"/>
        <v/>
      </c>
      <c r="M5075" t="str">
        <f t="shared" si="399"/>
        <v/>
      </c>
    </row>
    <row r="5076" spans="1:13" x14ac:dyDescent="0.3">
      <c r="A5076" t="str">
        <f>Segmenter!A5076</f>
        <v/>
      </c>
      <c r="B5076" t="str">
        <f>Segmenter!B5076</f>
        <v/>
      </c>
      <c r="C5076" t="str">
        <f t="shared" si="395"/>
        <v/>
      </c>
      <c r="D5076" t="str">
        <f t="shared" si="396"/>
        <v/>
      </c>
      <c r="E5076" t="str">
        <f t="shared" si="397"/>
        <v/>
      </c>
      <c r="F5076" t="str">
        <f>IF(D5076="","",INDEX(Knutepunkter!$B:$B,D5076+1))</f>
        <v/>
      </c>
      <c r="G5076" t="str">
        <f>IF(D5076="","",INDEX(Knutepunkter!$C:$C,D5076+1))</f>
        <v/>
      </c>
      <c r="H5076" t="str">
        <f>IF(D5076="","",INDEX(Knutepunkter!$D:$D,D5076+1))</f>
        <v/>
      </c>
      <c r="I5076" t="str">
        <f>IF(E5076="","",INDEX(Knutepunkter!$B:$B,E5076+1))</f>
        <v/>
      </c>
      <c r="J5076" t="str">
        <f>IF(E5076="","",INDEX(Knutepunkter!$C:$C,E5076+1))</f>
        <v/>
      </c>
      <c r="K5076" t="str">
        <f>IF(E5076="","",INDEX(Knutepunkter!$D:$D,E5076+1))</f>
        <v/>
      </c>
      <c r="L5076" t="str">
        <f t="shared" si="398"/>
        <v/>
      </c>
      <c r="M5076" t="str">
        <f t="shared" si="399"/>
        <v/>
      </c>
    </row>
    <row r="5077" spans="1:13" x14ac:dyDescent="0.3">
      <c r="A5077" t="str">
        <f>Segmenter!A5077</f>
        <v/>
      </c>
      <c r="B5077" t="str">
        <f>Segmenter!B5077</f>
        <v/>
      </c>
      <c r="C5077" t="str">
        <f t="shared" si="395"/>
        <v/>
      </c>
      <c r="D5077" t="str">
        <f t="shared" si="396"/>
        <v/>
      </c>
      <c r="E5077" t="str">
        <f t="shared" si="397"/>
        <v/>
      </c>
      <c r="F5077" t="str">
        <f>IF(D5077="","",INDEX(Knutepunkter!$B:$B,D5077+1))</f>
        <v/>
      </c>
      <c r="G5077" t="str">
        <f>IF(D5077="","",INDEX(Knutepunkter!$C:$C,D5077+1))</f>
        <v/>
      </c>
      <c r="H5077" t="str">
        <f>IF(D5077="","",INDEX(Knutepunkter!$D:$D,D5077+1))</f>
        <v/>
      </c>
      <c r="I5077" t="str">
        <f>IF(E5077="","",INDEX(Knutepunkter!$B:$B,E5077+1))</f>
        <v/>
      </c>
      <c r="J5077" t="str">
        <f>IF(E5077="","",INDEX(Knutepunkter!$C:$C,E5077+1))</f>
        <v/>
      </c>
      <c r="K5077" t="str">
        <f>IF(E5077="","",INDEX(Knutepunkter!$D:$D,E5077+1))</f>
        <v/>
      </c>
      <c r="L5077" t="str">
        <f t="shared" si="398"/>
        <v/>
      </c>
      <c r="M5077" t="str">
        <f t="shared" si="399"/>
        <v/>
      </c>
    </row>
    <row r="5078" spans="1:13" x14ac:dyDescent="0.3">
      <c r="A5078" t="str">
        <f>Segmenter!A5078</f>
        <v/>
      </c>
      <c r="B5078" t="str">
        <f>Segmenter!B5078</f>
        <v/>
      </c>
      <c r="C5078" t="str">
        <f t="shared" si="395"/>
        <v/>
      </c>
      <c r="D5078" t="str">
        <f t="shared" si="396"/>
        <v/>
      </c>
      <c r="E5078" t="str">
        <f t="shared" si="397"/>
        <v/>
      </c>
      <c r="F5078" t="str">
        <f>IF(D5078="","",INDEX(Knutepunkter!$B:$B,D5078+1))</f>
        <v/>
      </c>
      <c r="G5078" t="str">
        <f>IF(D5078="","",INDEX(Knutepunkter!$C:$C,D5078+1))</f>
        <v/>
      </c>
      <c r="H5078" t="str">
        <f>IF(D5078="","",INDEX(Knutepunkter!$D:$D,D5078+1))</f>
        <v/>
      </c>
      <c r="I5078" t="str">
        <f>IF(E5078="","",INDEX(Knutepunkter!$B:$B,E5078+1))</f>
        <v/>
      </c>
      <c r="J5078" t="str">
        <f>IF(E5078="","",INDEX(Knutepunkter!$C:$C,E5078+1))</f>
        <v/>
      </c>
      <c r="K5078" t="str">
        <f>IF(E5078="","",INDEX(Knutepunkter!$D:$D,E5078+1))</f>
        <v/>
      </c>
      <c r="L5078" t="str">
        <f t="shared" si="398"/>
        <v/>
      </c>
      <c r="M5078" t="str">
        <f t="shared" si="399"/>
        <v/>
      </c>
    </row>
    <row r="5079" spans="1:13" x14ac:dyDescent="0.3">
      <c r="A5079" t="str">
        <f>Segmenter!A5079</f>
        <v/>
      </c>
      <c r="B5079" t="str">
        <f>Segmenter!B5079</f>
        <v/>
      </c>
      <c r="C5079" t="str">
        <f t="shared" si="395"/>
        <v/>
      </c>
      <c r="D5079" t="str">
        <f t="shared" si="396"/>
        <v/>
      </c>
      <c r="E5079" t="str">
        <f t="shared" si="397"/>
        <v/>
      </c>
      <c r="F5079" t="str">
        <f>IF(D5079="","",INDEX(Knutepunkter!$B:$B,D5079+1))</f>
        <v/>
      </c>
      <c r="G5079" t="str">
        <f>IF(D5079="","",INDEX(Knutepunkter!$C:$C,D5079+1))</f>
        <v/>
      </c>
      <c r="H5079" t="str">
        <f>IF(D5079="","",INDEX(Knutepunkter!$D:$D,D5079+1))</f>
        <v/>
      </c>
      <c r="I5079" t="str">
        <f>IF(E5079="","",INDEX(Knutepunkter!$B:$B,E5079+1))</f>
        <v/>
      </c>
      <c r="J5079" t="str">
        <f>IF(E5079="","",INDEX(Knutepunkter!$C:$C,E5079+1))</f>
        <v/>
      </c>
      <c r="K5079" t="str">
        <f>IF(E5079="","",INDEX(Knutepunkter!$D:$D,E5079+1))</f>
        <v/>
      </c>
      <c r="L5079" t="str">
        <f t="shared" si="398"/>
        <v/>
      </c>
      <c r="M5079" t="str">
        <f t="shared" si="399"/>
        <v/>
      </c>
    </row>
    <row r="5080" spans="1:13" x14ac:dyDescent="0.3">
      <c r="A5080" t="str">
        <f>Segmenter!A5080</f>
        <v/>
      </c>
      <c r="B5080" t="str">
        <f>Segmenter!B5080</f>
        <v/>
      </c>
      <c r="C5080" t="str">
        <f t="shared" si="395"/>
        <v/>
      </c>
      <c r="D5080" t="str">
        <f t="shared" si="396"/>
        <v/>
      </c>
      <c r="E5080" t="str">
        <f t="shared" si="397"/>
        <v/>
      </c>
      <c r="F5080" t="str">
        <f>IF(D5080="","",INDEX(Knutepunkter!$B:$B,D5080+1))</f>
        <v/>
      </c>
      <c r="G5080" t="str">
        <f>IF(D5080="","",INDEX(Knutepunkter!$C:$C,D5080+1))</f>
        <v/>
      </c>
      <c r="H5080" t="str">
        <f>IF(D5080="","",INDEX(Knutepunkter!$D:$D,D5080+1))</f>
        <v/>
      </c>
      <c r="I5080" t="str">
        <f>IF(E5080="","",INDEX(Knutepunkter!$B:$B,E5080+1))</f>
        <v/>
      </c>
      <c r="J5080" t="str">
        <f>IF(E5080="","",INDEX(Knutepunkter!$C:$C,E5080+1))</f>
        <v/>
      </c>
      <c r="K5080" t="str">
        <f>IF(E5080="","",INDEX(Knutepunkter!$D:$D,E5080+1))</f>
        <v/>
      </c>
      <c r="L5080" t="str">
        <f t="shared" si="398"/>
        <v/>
      </c>
      <c r="M5080" t="str">
        <f t="shared" si="399"/>
        <v/>
      </c>
    </row>
    <row r="5081" spans="1:13" x14ac:dyDescent="0.3">
      <c r="A5081" t="str">
        <f>Segmenter!A5081</f>
        <v/>
      </c>
      <c r="B5081" t="str">
        <f>Segmenter!B5081</f>
        <v/>
      </c>
      <c r="C5081" t="str">
        <f t="shared" si="395"/>
        <v/>
      </c>
      <c r="D5081" t="str">
        <f t="shared" si="396"/>
        <v/>
      </c>
      <c r="E5081" t="str">
        <f t="shared" si="397"/>
        <v/>
      </c>
      <c r="F5081" t="str">
        <f>IF(D5081="","",INDEX(Knutepunkter!$B:$B,D5081+1))</f>
        <v/>
      </c>
      <c r="G5081" t="str">
        <f>IF(D5081="","",INDEX(Knutepunkter!$C:$C,D5081+1))</f>
        <v/>
      </c>
      <c r="H5081" t="str">
        <f>IF(D5081="","",INDEX(Knutepunkter!$D:$D,D5081+1))</f>
        <v/>
      </c>
      <c r="I5081" t="str">
        <f>IF(E5081="","",INDEX(Knutepunkter!$B:$B,E5081+1))</f>
        <v/>
      </c>
      <c r="J5081" t="str">
        <f>IF(E5081="","",INDEX(Knutepunkter!$C:$C,E5081+1))</f>
        <v/>
      </c>
      <c r="K5081" t="str">
        <f>IF(E5081="","",INDEX(Knutepunkter!$D:$D,E5081+1))</f>
        <v/>
      </c>
      <c r="L5081" t="str">
        <f t="shared" si="398"/>
        <v/>
      </c>
      <c r="M5081" t="str">
        <f t="shared" si="399"/>
        <v/>
      </c>
    </row>
    <row r="5082" spans="1:13" x14ac:dyDescent="0.3">
      <c r="A5082" t="str">
        <f>Segmenter!A5082</f>
        <v/>
      </c>
      <c r="B5082" t="str">
        <f>Segmenter!B5082</f>
        <v/>
      </c>
      <c r="C5082" t="str">
        <f t="shared" si="395"/>
        <v/>
      </c>
      <c r="D5082" t="str">
        <f t="shared" si="396"/>
        <v/>
      </c>
      <c r="E5082" t="str">
        <f t="shared" si="397"/>
        <v/>
      </c>
      <c r="F5082" t="str">
        <f>IF(D5082="","",INDEX(Knutepunkter!$B:$B,D5082+1))</f>
        <v/>
      </c>
      <c r="G5082" t="str">
        <f>IF(D5082="","",INDEX(Knutepunkter!$C:$C,D5082+1))</f>
        <v/>
      </c>
      <c r="H5082" t="str">
        <f>IF(D5082="","",INDEX(Knutepunkter!$D:$D,D5082+1))</f>
        <v/>
      </c>
      <c r="I5082" t="str">
        <f>IF(E5082="","",INDEX(Knutepunkter!$B:$B,E5082+1))</f>
        <v/>
      </c>
      <c r="J5082" t="str">
        <f>IF(E5082="","",INDEX(Knutepunkter!$C:$C,E5082+1))</f>
        <v/>
      </c>
      <c r="K5082" t="str">
        <f>IF(E5082="","",INDEX(Knutepunkter!$D:$D,E5082+1))</f>
        <v/>
      </c>
      <c r="L5082" t="str">
        <f t="shared" si="398"/>
        <v/>
      </c>
      <c r="M5082" t="str">
        <f t="shared" si="399"/>
        <v/>
      </c>
    </row>
    <row r="5083" spans="1:13" x14ac:dyDescent="0.3">
      <c r="A5083" t="str">
        <f>Segmenter!A5083</f>
        <v/>
      </c>
      <c r="B5083" t="str">
        <f>Segmenter!B5083</f>
        <v/>
      </c>
      <c r="C5083" t="str">
        <f t="shared" si="395"/>
        <v/>
      </c>
      <c r="D5083" t="str">
        <f t="shared" si="396"/>
        <v/>
      </c>
      <c r="E5083" t="str">
        <f t="shared" si="397"/>
        <v/>
      </c>
      <c r="F5083" t="str">
        <f>IF(D5083="","",INDEX(Knutepunkter!$B:$B,D5083+1))</f>
        <v/>
      </c>
      <c r="G5083" t="str">
        <f>IF(D5083="","",INDEX(Knutepunkter!$C:$C,D5083+1))</f>
        <v/>
      </c>
      <c r="H5083" t="str">
        <f>IF(D5083="","",INDEX(Knutepunkter!$D:$D,D5083+1))</f>
        <v/>
      </c>
      <c r="I5083" t="str">
        <f>IF(E5083="","",INDEX(Knutepunkter!$B:$B,E5083+1))</f>
        <v/>
      </c>
      <c r="J5083" t="str">
        <f>IF(E5083="","",INDEX(Knutepunkter!$C:$C,E5083+1))</f>
        <v/>
      </c>
      <c r="K5083" t="str">
        <f>IF(E5083="","",INDEX(Knutepunkter!$D:$D,E5083+1))</f>
        <v/>
      </c>
      <c r="L5083" t="str">
        <f t="shared" si="398"/>
        <v/>
      </c>
      <c r="M5083" t="str">
        <f t="shared" si="399"/>
        <v/>
      </c>
    </row>
    <row r="5084" spans="1:13" x14ac:dyDescent="0.3">
      <c r="A5084" t="str">
        <f>Segmenter!A5084</f>
        <v/>
      </c>
      <c r="B5084" t="str">
        <f>Segmenter!B5084</f>
        <v/>
      </c>
      <c r="C5084" t="str">
        <f t="shared" si="395"/>
        <v/>
      </c>
      <c r="D5084" t="str">
        <f t="shared" si="396"/>
        <v/>
      </c>
      <c r="E5084" t="str">
        <f t="shared" si="397"/>
        <v/>
      </c>
      <c r="F5084" t="str">
        <f>IF(D5084="","",INDEX(Knutepunkter!$B:$B,D5084+1))</f>
        <v/>
      </c>
      <c r="G5084" t="str">
        <f>IF(D5084="","",INDEX(Knutepunkter!$C:$C,D5084+1))</f>
        <v/>
      </c>
      <c r="H5084" t="str">
        <f>IF(D5084="","",INDEX(Knutepunkter!$D:$D,D5084+1))</f>
        <v/>
      </c>
      <c r="I5084" t="str">
        <f>IF(E5084="","",INDEX(Knutepunkter!$B:$B,E5084+1))</f>
        <v/>
      </c>
      <c r="J5084" t="str">
        <f>IF(E5084="","",INDEX(Knutepunkter!$C:$C,E5084+1))</f>
        <v/>
      </c>
      <c r="K5084" t="str">
        <f>IF(E5084="","",INDEX(Knutepunkter!$D:$D,E5084+1))</f>
        <v/>
      </c>
      <c r="L5084" t="str">
        <f t="shared" si="398"/>
        <v/>
      </c>
      <c r="M5084" t="str">
        <f t="shared" si="399"/>
        <v/>
      </c>
    </row>
    <row r="5085" spans="1:13" x14ac:dyDescent="0.3">
      <c r="A5085" t="str">
        <f>Segmenter!A5085</f>
        <v/>
      </c>
      <c r="B5085" t="str">
        <f>Segmenter!B5085</f>
        <v/>
      </c>
      <c r="C5085" t="str">
        <f t="shared" si="395"/>
        <v/>
      </c>
      <c r="D5085" t="str">
        <f t="shared" si="396"/>
        <v/>
      </c>
      <c r="E5085" t="str">
        <f t="shared" si="397"/>
        <v/>
      </c>
      <c r="F5085" t="str">
        <f>IF(D5085="","",INDEX(Knutepunkter!$B:$B,D5085+1))</f>
        <v/>
      </c>
      <c r="G5085" t="str">
        <f>IF(D5085="","",INDEX(Knutepunkter!$C:$C,D5085+1))</f>
        <v/>
      </c>
      <c r="H5085" t="str">
        <f>IF(D5085="","",INDEX(Knutepunkter!$D:$D,D5085+1))</f>
        <v/>
      </c>
      <c r="I5085" t="str">
        <f>IF(E5085="","",INDEX(Knutepunkter!$B:$B,E5085+1))</f>
        <v/>
      </c>
      <c r="J5085" t="str">
        <f>IF(E5085="","",INDEX(Knutepunkter!$C:$C,E5085+1))</f>
        <v/>
      </c>
      <c r="K5085" t="str">
        <f>IF(E5085="","",INDEX(Knutepunkter!$D:$D,E5085+1))</f>
        <v/>
      </c>
      <c r="L5085" t="str">
        <f t="shared" si="398"/>
        <v/>
      </c>
      <c r="M5085" t="str">
        <f t="shared" si="399"/>
        <v/>
      </c>
    </row>
    <row r="5086" spans="1:13" x14ac:dyDescent="0.3">
      <c r="A5086" t="str">
        <f>Segmenter!A5086</f>
        <v/>
      </c>
      <c r="B5086" t="str">
        <f>Segmenter!B5086</f>
        <v/>
      </c>
      <c r="C5086" t="str">
        <f t="shared" si="395"/>
        <v/>
      </c>
      <c r="D5086" t="str">
        <f t="shared" si="396"/>
        <v/>
      </c>
      <c r="E5086" t="str">
        <f t="shared" si="397"/>
        <v/>
      </c>
      <c r="F5086" t="str">
        <f>IF(D5086="","",INDEX(Knutepunkter!$B:$B,D5086+1))</f>
        <v/>
      </c>
      <c r="G5086" t="str">
        <f>IF(D5086="","",INDEX(Knutepunkter!$C:$C,D5086+1))</f>
        <v/>
      </c>
      <c r="H5086" t="str">
        <f>IF(D5086="","",INDEX(Knutepunkter!$D:$D,D5086+1))</f>
        <v/>
      </c>
      <c r="I5086" t="str">
        <f>IF(E5086="","",INDEX(Knutepunkter!$B:$B,E5086+1))</f>
        <v/>
      </c>
      <c r="J5086" t="str">
        <f>IF(E5086="","",INDEX(Knutepunkter!$C:$C,E5086+1))</f>
        <v/>
      </c>
      <c r="K5086" t="str">
        <f>IF(E5086="","",INDEX(Knutepunkter!$D:$D,E5086+1))</f>
        <v/>
      </c>
      <c r="L5086" t="str">
        <f t="shared" si="398"/>
        <v/>
      </c>
      <c r="M5086" t="str">
        <f t="shared" si="399"/>
        <v/>
      </c>
    </row>
    <row r="5087" spans="1:13" x14ac:dyDescent="0.3">
      <c r="A5087" t="str">
        <f>Segmenter!A5087</f>
        <v/>
      </c>
      <c r="B5087" t="str">
        <f>Segmenter!B5087</f>
        <v/>
      </c>
      <c r="C5087" t="str">
        <f t="shared" si="395"/>
        <v/>
      </c>
      <c r="D5087" t="str">
        <f t="shared" si="396"/>
        <v/>
      </c>
      <c r="E5087" t="str">
        <f t="shared" si="397"/>
        <v/>
      </c>
      <c r="F5087" t="str">
        <f>IF(D5087="","",INDEX(Knutepunkter!$B:$B,D5087+1))</f>
        <v/>
      </c>
      <c r="G5087" t="str">
        <f>IF(D5087="","",INDEX(Knutepunkter!$C:$C,D5087+1))</f>
        <v/>
      </c>
      <c r="H5087" t="str">
        <f>IF(D5087="","",INDEX(Knutepunkter!$D:$D,D5087+1))</f>
        <v/>
      </c>
      <c r="I5087" t="str">
        <f>IF(E5087="","",INDEX(Knutepunkter!$B:$B,E5087+1))</f>
        <v/>
      </c>
      <c r="J5087" t="str">
        <f>IF(E5087="","",INDEX(Knutepunkter!$C:$C,E5087+1))</f>
        <v/>
      </c>
      <c r="K5087" t="str">
        <f>IF(E5087="","",INDEX(Knutepunkter!$D:$D,E5087+1))</f>
        <v/>
      </c>
      <c r="L5087" t="str">
        <f t="shared" si="398"/>
        <v/>
      </c>
      <c r="M5087" t="str">
        <f t="shared" si="399"/>
        <v/>
      </c>
    </row>
    <row r="5088" spans="1:13" x14ac:dyDescent="0.3">
      <c r="A5088" t="str">
        <f>Segmenter!A5088</f>
        <v/>
      </c>
      <c r="B5088" t="str">
        <f>Segmenter!B5088</f>
        <v/>
      </c>
      <c r="C5088" t="str">
        <f t="shared" si="395"/>
        <v/>
      </c>
      <c r="D5088" t="str">
        <f t="shared" si="396"/>
        <v/>
      </c>
      <c r="E5088" t="str">
        <f t="shared" si="397"/>
        <v/>
      </c>
      <c r="F5088" t="str">
        <f>IF(D5088="","",INDEX(Knutepunkter!$B:$B,D5088+1))</f>
        <v/>
      </c>
      <c r="G5088" t="str">
        <f>IF(D5088="","",INDEX(Knutepunkter!$C:$C,D5088+1))</f>
        <v/>
      </c>
      <c r="H5088" t="str">
        <f>IF(D5088="","",INDEX(Knutepunkter!$D:$D,D5088+1))</f>
        <v/>
      </c>
      <c r="I5088" t="str">
        <f>IF(E5088="","",INDEX(Knutepunkter!$B:$B,E5088+1))</f>
        <v/>
      </c>
      <c r="J5088" t="str">
        <f>IF(E5088="","",INDEX(Knutepunkter!$C:$C,E5088+1))</f>
        <v/>
      </c>
      <c r="K5088" t="str">
        <f>IF(E5088="","",INDEX(Knutepunkter!$D:$D,E5088+1))</f>
        <v/>
      </c>
      <c r="L5088" t="str">
        <f t="shared" si="398"/>
        <v/>
      </c>
      <c r="M5088" t="str">
        <f t="shared" si="399"/>
        <v/>
      </c>
    </row>
    <row r="5089" spans="1:13" x14ac:dyDescent="0.3">
      <c r="A5089" t="str">
        <f>Segmenter!A5089</f>
        <v/>
      </c>
      <c r="B5089" t="str">
        <f>Segmenter!B5089</f>
        <v/>
      </c>
      <c r="C5089" t="str">
        <f t="shared" si="395"/>
        <v/>
      </c>
      <c r="D5089" t="str">
        <f t="shared" si="396"/>
        <v/>
      </c>
      <c r="E5089" t="str">
        <f t="shared" si="397"/>
        <v/>
      </c>
      <c r="F5089" t="str">
        <f>IF(D5089="","",INDEX(Knutepunkter!$B:$B,D5089+1))</f>
        <v/>
      </c>
      <c r="G5089" t="str">
        <f>IF(D5089="","",INDEX(Knutepunkter!$C:$C,D5089+1))</f>
        <v/>
      </c>
      <c r="H5089" t="str">
        <f>IF(D5089="","",INDEX(Knutepunkter!$D:$D,D5089+1))</f>
        <v/>
      </c>
      <c r="I5089" t="str">
        <f>IF(E5089="","",INDEX(Knutepunkter!$B:$B,E5089+1))</f>
        <v/>
      </c>
      <c r="J5089" t="str">
        <f>IF(E5089="","",INDEX(Knutepunkter!$C:$C,E5089+1))</f>
        <v/>
      </c>
      <c r="K5089" t="str">
        <f>IF(E5089="","",INDEX(Knutepunkter!$D:$D,E5089+1))</f>
        <v/>
      </c>
      <c r="L5089" t="str">
        <f t="shared" si="398"/>
        <v/>
      </c>
      <c r="M5089" t="str">
        <f t="shared" si="399"/>
        <v/>
      </c>
    </row>
    <row r="5090" spans="1:13" x14ac:dyDescent="0.3">
      <c r="A5090" t="str">
        <f>Segmenter!A5090</f>
        <v/>
      </c>
      <c r="B5090" t="str">
        <f>Segmenter!B5090</f>
        <v/>
      </c>
      <c r="C5090" t="str">
        <f t="shared" si="395"/>
        <v/>
      </c>
      <c r="D5090" t="str">
        <f t="shared" si="396"/>
        <v/>
      </c>
      <c r="E5090" t="str">
        <f t="shared" si="397"/>
        <v/>
      </c>
      <c r="F5090" t="str">
        <f>IF(D5090="","",INDEX(Knutepunkter!$B:$B,D5090+1))</f>
        <v/>
      </c>
      <c r="G5090" t="str">
        <f>IF(D5090="","",INDEX(Knutepunkter!$C:$C,D5090+1))</f>
        <v/>
      </c>
      <c r="H5090" t="str">
        <f>IF(D5090="","",INDEX(Knutepunkter!$D:$D,D5090+1))</f>
        <v/>
      </c>
      <c r="I5090" t="str">
        <f>IF(E5090="","",INDEX(Knutepunkter!$B:$B,E5090+1))</f>
        <v/>
      </c>
      <c r="J5090" t="str">
        <f>IF(E5090="","",INDEX(Knutepunkter!$C:$C,E5090+1))</f>
        <v/>
      </c>
      <c r="K5090" t="str">
        <f>IF(E5090="","",INDEX(Knutepunkter!$D:$D,E5090+1))</f>
        <v/>
      </c>
      <c r="L5090" t="str">
        <f t="shared" si="398"/>
        <v/>
      </c>
      <c r="M5090" t="str">
        <f t="shared" si="399"/>
        <v/>
      </c>
    </row>
    <row r="5091" spans="1:13" x14ac:dyDescent="0.3">
      <c r="A5091" t="str">
        <f>Segmenter!A5091</f>
        <v/>
      </c>
      <c r="B5091" t="str">
        <f>Segmenter!B5091</f>
        <v/>
      </c>
      <c r="C5091" t="str">
        <f t="shared" si="395"/>
        <v/>
      </c>
      <c r="D5091" t="str">
        <f t="shared" si="396"/>
        <v/>
      </c>
      <c r="E5091" t="str">
        <f t="shared" si="397"/>
        <v/>
      </c>
      <c r="F5091" t="str">
        <f>IF(D5091="","",INDEX(Knutepunkter!$B:$B,D5091+1))</f>
        <v/>
      </c>
      <c r="G5091" t="str">
        <f>IF(D5091="","",INDEX(Knutepunkter!$C:$C,D5091+1))</f>
        <v/>
      </c>
      <c r="H5091" t="str">
        <f>IF(D5091="","",INDEX(Knutepunkter!$D:$D,D5091+1))</f>
        <v/>
      </c>
      <c r="I5091" t="str">
        <f>IF(E5091="","",INDEX(Knutepunkter!$B:$B,E5091+1))</f>
        <v/>
      </c>
      <c r="J5091" t="str">
        <f>IF(E5091="","",INDEX(Knutepunkter!$C:$C,E5091+1))</f>
        <v/>
      </c>
      <c r="K5091" t="str">
        <f>IF(E5091="","",INDEX(Knutepunkter!$D:$D,E5091+1))</f>
        <v/>
      </c>
      <c r="L5091" t="str">
        <f t="shared" si="398"/>
        <v/>
      </c>
      <c r="M5091" t="str">
        <f t="shared" si="399"/>
        <v/>
      </c>
    </row>
    <row r="5092" spans="1:13" x14ac:dyDescent="0.3">
      <c r="A5092" t="str">
        <f>Segmenter!A5092</f>
        <v/>
      </c>
      <c r="B5092" t="str">
        <f>Segmenter!B5092</f>
        <v/>
      </c>
      <c r="C5092" t="str">
        <f t="shared" si="395"/>
        <v/>
      </c>
      <c r="D5092" t="str">
        <f t="shared" si="396"/>
        <v/>
      </c>
      <c r="E5092" t="str">
        <f t="shared" si="397"/>
        <v/>
      </c>
      <c r="F5092" t="str">
        <f>IF(D5092="","",INDEX(Knutepunkter!$B:$B,D5092+1))</f>
        <v/>
      </c>
      <c r="G5092" t="str">
        <f>IF(D5092="","",INDEX(Knutepunkter!$C:$C,D5092+1))</f>
        <v/>
      </c>
      <c r="H5092" t="str">
        <f>IF(D5092="","",INDEX(Knutepunkter!$D:$D,D5092+1))</f>
        <v/>
      </c>
      <c r="I5092" t="str">
        <f>IF(E5092="","",INDEX(Knutepunkter!$B:$B,E5092+1))</f>
        <v/>
      </c>
      <c r="J5092" t="str">
        <f>IF(E5092="","",INDEX(Knutepunkter!$C:$C,E5092+1))</f>
        <v/>
      </c>
      <c r="K5092" t="str">
        <f>IF(E5092="","",INDEX(Knutepunkter!$D:$D,E5092+1))</f>
        <v/>
      </c>
      <c r="L5092" t="str">
        <f t="shared" si="398"/>
        <v/>
      </c>
      <c r="M5092" t="str">
        <f t="shared" si="399"/>
        <v/>
      </c>
    </row>
    <row r="5093" spans="1:13" x14ac:dyDescent="0.3">
      <c r="A5093" t="str">
        <f>Segmenter!A5093</f>
        <v/>
      </c>
      <c r="B5093" t="str">
        <f>Segmenter!B5093</f>
        <v/>
      </c>
      <c r="C5093" t="str">
        <f t="shared" si="395"/>
        <v/>
      </c>
      <c r="D5093" t="str">
        <f t="shared" si="396"/>
        <v/>
      </c>
      <c r="E5093" t="str">
        <f t="shared" si="397"/>
        <v/>
      </c>
      <c r="F5093" t="str">
        <f>IF(D5093="","",INDEX(Knutepunkter!$B:$B,D5093+1))</f>
        <v/>
      </c>
      <c r="G5093" t="str">
        <f>IF(D5093="","",INDEX(Knutepunkter!$C:$C,D5093+1))</f>
        <v/>
      </c>
      <c r="H5093" t="str">
        <f>IF(D5093="","",INDEX(Knutepunkter!$D:$D,D5093+1))</f>
        <v/>
      </c>
      <c r="I5093" t="str">
        <f>IF(E5093="","",INDEX(Knutepunkter!$B:$B,E5093+1))</f>
        <v/>
      </c>
      <c r="J5093" t="str">
        <f>IF(E5093="","",INDEX(Knutepunkter!$C:$C,E5093+1))</f>
        <v/>
      </c>
      <c r="K5093" t="str">
        <f>IF(E5093="","",INDEX(Knutepunkter!$D:$D,E5093+1))</f>
        <v/>
      </c>
      <c r="L5093" t="str">
        <f t="shared" si="398"/>
        <v/>
      </c>
      <c r="M5093" t="str">
        <f t="shared" si="399"/>
        <v/>
      </c>
    </row>
    <row r="5094" spans="1:13" x14ac:dyDescent="0.3">
      <c r="A5094" t="str">
        <f>Segmenter!A5094</f>
        <v/>
      </c>
      <c r="B5094" t="str">
        <f>Segmenter!B5094</f>
        <v/>
      </c>
      <c r="C5094" t="str">
        <f t="shared" si="395"/>
        <v/>
      </c>
      <c r="D5094" t="str">
        <f t="shared" si="396"/>
        <v/>
      </c>
      <c r="E5094" t="str">
        <f t="shared" si="397"/>
        <v/>
      </c>
      <c r="F5094" t="str">
        <f>IF(D5094="","",INDEX(Knutepunkter!$B:$B,D5094+1))</f>
        <v/>
      </c>
      <c r="G5094" t="str">
        <f>IF(D5094="","",INDEX(Knutepunkter!$C:$C,D5094+1))</f>
        <v/>
      </c>
      <c r="H5094" t="str">
        <f>IF(D5094="","",INDEX(Knutepunkter!$D:$D,D5094+1))</f>
        <v/>
      </c>
      <c r="I5094" t="str">
        <f>IF(E5094="","",INDEX(Knutepunkter!$B:$B,E5094+1))</f>
        <v/>
      </c>
      <c r="J5094" t="str">
        <f>IF(E5094="","",INDEX(Knutepunkter!$C:$C,E5094+1))</f>
        <v/>
      </c>
      <c r="K5094" t="str">
        <f>IF(E5094="","",INDEX(Knutepunkter!$D:$D,E5094+1))</f>
        <v/>
      </c>
      <c r="L5094" t="str">
        <f t="shared" si="398"/>
        <v/>
      </c>
      <c r="M5094" t="str">
        <f t="shared" si="399"/>
        <v/>
      </c>
    </row>
    <row r="5095" spans="1:13" x14ac:dyDescent="0.3">
      <c r="A5095" t="str">
        <f>Segmenter!A5095</f>
        <v/>
      </c>
      <c r="B5095" t="str">
        <f>Segmenter!B5095</f>
        <v/>
      </c>
      <c r="C5095" t="str">
        <f t="shared" si="395"/>
        <v/>
      </c>
      <c r="D5095" t="str">
        <f t="shared" si="396"/>
        <v/>
      </c>
      <c r="E5095" t="str">
        <f t="shared" si="397"/>
        <v/>
      </c>
      <c r="F5095" t="str">
        <f>IF(D5095="","",INDEX(Knutepunkter!$B:$B,D5095+1))</f>
        <v/>
      </c>
      <c r="G5095" t="str">
        <f>IF(D5095="","",INDEX(Knutepunkter!$C:$C,D5095+1))</f>
        <v/>
      </c>
      <c r="H5095" t="str">
        <f>IF(D5095="","",INDEX(Knutepunkter!$D:$D,D5095+1))</f>
        <v/>
      </c>
      <c r="I5095" t="str">
        <f>IF(E5095="","",INDEX(Knutepunkter!$B:$B,E5095+1))</f>
        <v/>
      </c>
      <c r="J5095" t="str">
        <f>IF(E5095="","",INDEX(Knutepunkter!$C:$C,E5095+1))</f>
        <v/>
      </c>
      <c r="K5095" t="str">
        <f>IF(E5095="","",INDEX(Knutepunkter!$D:$D,E5095+1))</f>
        <v/>
      </c>
      <c r="L5095" t="str">
        <f t="shared" si="398"/>
        <v/>
      </c>
      <c r="M5095" t="str">
        <f t="shared" si="399"/>
        <v/>
      </c>
    </row>
    <row r="5096" spans="1:13" x14ac:dyDescent="0.3">
      <c r="A5096" t="str">
        <f>Segmenter!A5096</f>
        <v/>
      </c>
      <c r="B5096" t="str">
        <f>Segmenter!B5096</f>
        <v/>
      </c>
      <c r="C5096" t="str">
        <f t="shared" si="395"/>
        <v/>
      </c>
      <c r="D5096" t="str">
        <f t="shared" si="396"/>
        <v/>
      </c>
      <c r="E5096" t="str">
        <f t="shared" si="397"/>
        <v/>
      </c>
      <c r="F5096" t="str">
        <f>IF(D5096="","",INDEX(Knutepunkter!$B:$B,D5096+1))</f>
        <v/>
      </c>
      <c r="G5096" t="str">
        <f>IF(D5096="","",INDEX(Knutepunkter!$C:$C,D5096+1))</f>
        <v/>
      </c>
      <c r="H5096" t="str">
        <f>IF(D5096="","",INDEX(Knutepunkter!$D:$D,D5096+1))</f>
        <v/>
      </c>
      <c r="I5096" t="str">
        <f>IF(E5096="","",INDEX(Knutepunkter!$B:$B,E5096+1))</f>
        <v/>
      </c>
      <c r="J5096" t="str">
        <f>IF(E5096="","",INDEX(Knutepunkter!$C:$C,E5096+1))</f>
        <v/>
      </c>
      <c r="K5096" t="str">
        <f>IF(E5096="","",INDEX(Knutepunkter!$D:$D,E5096+1))</f>
        <v/>
      </c>
      <c r="L5096" t="str">
        <f t="shared" si="398"/>
        <v/>
      </c>
      <c r="M5096" t="str">
        <f t="shared" si="399"/>
        <v/>
      </c>
    </row>
    <row r="5097" spans="1:13" x14ac:dyDescent="0.3">
      <c r="A5097" t="str">
        <f>Segmenter!A5097</f>
        <v/>
      </c>
      <c r="B5097" t="str">
        <f>Segmenter!B5097</f>
        <v/>
      </c>
      <c r="C5097" t="str">
        <f t="shared" si="395"/>
        <v/>
      </c>
      <c r="D5097" t="str">
        <f t="shared" si="396"/>
        <v/>
      </c>
      <c r="E5097" t="str">
        <f t="shared" si="397"/>
        <v/>
      </c>
      <c r="F5097" t="str">
        <f>IF(D5097="","",INDEX(Knutepunkter!$B:$B,D5097+1))</f>
        <v/>
      </c>
      <c r="G5097" t="str">
        <f>IF(D5097="","",INDEX(Knutepunkter!$C:$C,D5097+1))</f>
        <v/>
      </c>
      <c r="H5097" t="str">
        <f>IF(D5097="","",INDEX(Knutepunkter!$D:$D,D5097+1))</f>
        <v/>
      </c>
      <c r="I5097" t="str">
        <f>IF(E5097="","",INDEX(Knutepunkter!$B:$B,E5097+1))</f>
        <v/>
      </c>
      <c r="J5097" t="str">
        <f>IF(E5097="","",INDEX(Knutepunkter!$C:$C,E5097+1))</f>
        <v/>
      </c>
      <c r="K5097" t="str">
        <f>IF(E5097="","",INDEX(Knutepunkter!$D:$D,E5097+1))</f>
        <v/>
      </c>
      <c r="L5097" t="str">
        <f t="shared" si="398"/>
        <v/>
      </c>
      <c r="M5097" t="str">
        <f t="shared" si="399"/>
        <v/>
      </c>
    </row>
    <row r="5098" spans="1:13" x14ac:dyDescent="0.3">
      <c r="A5098" t="str">
        <f>Segmenter!A5098</f>
        <v/>
      </c>
      <c r="B5098" t="str">
        <f>Segmenter!B5098</f>
        <v/>
      </c>
      <c r="C5098" t="str">
        <f t="shared" si="395"/>
        <v/>
      </c>
      <c r="D5098" t="str">
        <f t="shared" si="396"/>
        <v/>
      </c>
      <c r="E5098" t="str">
        <f t="shared" si="397"/>
        <v/>
      </c>
      <c r="F5098" t="str">
        <f>IF(D5098="","",INDEX(Knutepunkter!$B:$B,D5098+1))</f>
        <v/>
      </c>
      <c r="G5098" t="str">
        <f>IF(D5098="","",INDEX(Knutepunkter!$C:$C,D5098+1))</f>
        <v/>
      </c>
      <c r="H5098" t="str">
        <f>IF(D5098="","",INDEX(Knutepunkter!$D:$D,D5098+1))</f>
        <v/>
      </c>
      <c r="I5098" t="str">
        <f>IF(E5098="","",INDEX(Knutepunkter!$B:$B,E5098+1))</f>
        <v/>
      </c>
      <c r="J5098" t="str">
        <f>IF(E5098="","",INDEX(Knutepunkter!$C:$C,E5098+1))</f>
        <v/>
      </c>
      <c r="K5098" t="str">
        <f>IF(E5098="","",INDEX(Knutepunkter!$D:$D,E5098+1))</f>
        <v/>
      </c>
      <c r="L5098" t="str">
        <f t="shared" si="398"/>
        <v/>
      </c>
      <c r="M5098" t="str">
        <f t="shared" si="399"/>
        <v/>
      </c>
    </row>
    <row r="5099" spans="1:13" x14ac:dyDescent="0.3">
      <c r="A5099" t="str">
        <f>Segmenter!A5099</f>
        <v/>
      </c>
      <c r="B5099" t="str">
        <f>Segmenter!B5099</f>
        <v/>
      </c>
      <c r="C5099" t="str">
        <f t="shared" si="395"/>
        <v/>
      </c>
      <c r="D5099" t="str">
        <f t="shared" si="396"/>
        <v/>
      </c>
      <c r="E5099" t="str">
        <f t="shared" si="397"/>
        <v/>
      </c>
      <c r="F5099" t="str">
        <f>IF(D5099="","",INDEX(Knutepunkter!$B:$B,D5099+1))</f>
        <v/>
      </c>
      <c r="G5099" t="str">
        <f>IF(D5099="","",INDEX(Knutepunkter!$C:$C,D5099+1))</f>
        <v/>
      </c>
      <c r="H5099" t="str">
        <f>IF(D5099="","",INDEX(Knutepunkter!$D:$D,D5099+1))</f>
        <v/>
      </c>
      <c r="I5099" t="str">
        <f>IF(E5099="","",INDEX(Knutepunkter!$B:$B,E5099+1))</f>
        <v/>
      </c>
      <c r="J5099" t="str">
        <f>IF(E5099="","",INDEX(Knutepunkter!$C:$C,E5099+1))</f>
        <v/>
      </c>
      <c r="K5099" t="str">
        <f>IF(E5099="","",INDEX(Knutepunkter!$D:$D,E5099+1))</f>
        <v/>
      </c>
      <c r="L5099" t="str">
        <f t="shared" si="398"/>
        <v/>
      </c>
      <c r="M5099" t="str">
        <f t="shared" si="399"/>
        <v/>
      </c>
    </row>
    <row r="5100" spans="1:13" x14ac:dyDescent="0.3">
      <c r="A5100" t="str">
        <f>Segmenter!A5100</f>
        <v/>
      </c>
      <c r="B5100" t="str">
        <f>Segmenter!B5100</f>
        <v/>
      </c>
      <c r="C5100" t="str">
        <f t="shared" si="395"/>
        <v/>
      </c>
      <c r="D5100" t="str">
        <f t="shared" si="396"/>
        <v/>
      </c>
      <c r="E5100" t="str">
        <f t="shared" si="397"/>
        <v/>
      </c>
      <c r="F5100" t="str">
        <f>IF(D5100="","",INDEX(Knutepunkter!$B:$B,D5100+1))</f>
        <v/>
      </c>
      <c r="G5100" t="str">
        <f>IF(D5100="","",INDEX(Knutepunkter!$C:$C,D5100+1))</f>
        <v/>
      </c>
      <c r="H5100" t="str">
        <f>IF(D5100="","",INDEX(Knutepunkter!$D:$D,D5100+1))</f>
        <v/>
      </c>
      <c r="I5100" t="str">
        <f>IF(E5100="","",INDEX(Knutepunkter!$B:$B,E5100+1))</f>
        <v/>
      </c>
      <c r="J5100" t="str">
        <f>IF(E5100="","",INDEX(Knutepunkter!$C:$C,E5100+1))</f>
        <v/>
      </c>
      <c r="K5100" t="str">
        <f>IF(E5100="","",INDEX(Knutepunkter!$D:$D,E5100+1))</f>
        <v/>
      </c>
      <c r="L5100" t="str">
        <f t="shared" si="398"/>
        <v/>
      </c>
      <c r="M5100" t="str">
        <f t="shared" si="399"/>
        <v/>
      </c>
    </row>
    <row r="5101" spans="1:13" x14ac:dyDescent="0.3">
      <c r="A5101" t="str">
        <f>Segmenter!A5101</f>
        <v/>
      </c>
      <c r="B5101" t="str">
        <f>Segmenter!B5101</f>
        <v/>
      </c>
      <c r="C5101" t="str">
        <f t="shared" si="395"/>
        <v/>
      </c>
      <c r="D5101" t="str">
        <f t="shared" si="396"/>
        <v/>
      </c>
      <c r="E5101" t="str">
        <f t="shared" si="397"/>
        <v/>
      </c>
      <c r="F5101" t="str">
        <f>IF(D5101="","",INDEX(Knutepunkter!$B:$B,D5101+1))</f>
        <v/>
      </c>
      <c r="G5101" t="str">
        <f>IF(D5101="","",INDEX(Knutepunkter!$C:$C,D5101+1))</f>
        <v/>
      </c>
      <c r="H5101" t="str">
        <f>IF(D5101="","",INDEX(Knutepunkter!$D:$D,D5101+1))</f>
        <v/>
      </c>
      <c r="I5101" t="str">
        <f>IF(E5101="","",INDEX(Knutepunkter!$B:$B,E5101+1))</f>
        <v/>
      </c>
      <c r="J5101" t="str">
        <f>IF(E5101="","",INDEX(Knutepunkter!$C:$C,E5101+1))</f>
        <v/>
      </c>
      <c r="K5101" t="str">
        <f>IF(E5101="","",INDEX(Knutepunkter!$D:$D,E5101+1))</f>
        <v/>
      </c>
      <c r="L5101" t="str">
        <f t="shared" si="398"/>
        <v/>
      </c>
      <c r="M5101" t="str">
        <f t="shared" si="399"/>
        <v/>
      </c>
    </row>
    <row r="5102" spans="1:13" x14ac:dyDescent="0.3">
      <c r="A5102" t="str">
        <f>Segmenter!A5102</f>
        <v/>
      </c>
      <c r="B5102" t="str">
        <f>Segmenter!B5102</f>
        <v/>
      </c>
      <c r="C5102" t="str">
        <f t="shared" si="395"/>
        <v/>
      </c>
      <c r="D5102" t="str">
        <f t="shared" si="396"/>
        <v/>
      </c>
      <c r="E5102" t="str">
        <f t="shared" si="397"/>
        <v/>
      </c>
      <c r="F5102" t="str">
        <f>IF(D5102="","",INDEX(Knutepunkter!$B:$B,D5102+1))</f>
        <v/>
      </c>
      <c r="G5102" t="str">
        <f>IF(D5102="","",INDEX(Knutepunkter!$C:$C,D5102+1))</f>
        <v/>
      </c>
      <c r="H5102" t="str">
        <f>IF(D5102="","",INDEX(Knutepunkter!$D:$D,D5102+1))</f>
        <v/>
      </c>
      <c r="I5102" t="str">
        <f>IF(E5102="","",INDEX(Knutepunkter!$B:$B,E5102+1))</f>
        <v/>
      </c>
      <c r="J5102" t="str">
        <f>IF(E5102="","",INDEX(Knutepunkter!$C:$C,E5102+1))</f>
        <v/>
      </c>
      <c r="K5102" t="str">
        <f>IF(E5102="","",INDEX(Knutepunkter!$D:$D,E5102+1))</f>
        <v/>
      </c>
      <c r="L5102" t="str">
        <f t="shared" si="398"/>
        <v/>
      </c>
      <c r="M5102" t="str">
        <f t="shared" si="399"/>
        <v/>
      </c>
    </row>
    <row r="5103" spans="1:13" x14ac:dyDescent="0.3">
      <c r="A5103" t="str">
        <f>Segmenter!A5103</f>
        <v/>
      </c>
      <c r="B5103" t="str">
        <f>Segmenter!B5103</f>
        <v/>
      </c>
      <c r="C5103" t="str">
        <f t="shared" si="395"/>
        <v/>
      </c>
      <c r="D5103" t="str">
        <f t="shared" si="396"/>
        <v/>
      </c>
      <c r="E5103" t="str">
        <f t="shared" si="397"/>
        <v/>
      </c>
      <c r="F5103" t="str">
        <f>IF(D5103="","",INDEX(Knutepunkter!$B:$B,D5103+1))</f>
        <v/>
      </c>
      <c r="G5103" t="str">
        <f>IF(D5103="","",INDEX(Knutepunkter!$C:$C,D5103+1))</f>
        <v/>
      </c>
      <c r="H5103" t="str">
        <f>IF(D5103="","",INDEX(Knutepunkter!$D:$D,D5103+1))</f>
        <v/>
      </c>
      <c r="I5103" t="str">
        <f>IF(E5103="","",INDEX(Knutepunkter!$B:$B,E5103+1))</f>
        <v/>
      </c>
      <c r="J5103" t="str">
        <f>IF(E5103="","",INDEX(Knutepunkter!$C:$C,E5103+1))</f>
        <v/>
      </c>
      <c r="K5103" t="str">
        <f>IF(E5103="","",INDEX(Knutepunkter!$D:$D,E5103+1))</f>
        <v/>
      </c>
      <c r="L5103" t="str">
        <f t="shared" si="398"/>
        <v/>
      </c>
      <c r="M5103" t="str">
        <f t="shared" si="399"/>
        <v/>
      </c>
    </row>
    <row r="5104" spans="1:13" x14ac:dyDescent="0.3">
      <c r="A5104" t="str">
        <f>Segmenter!A5104</f>
        <v/>
      </c>
      <c r="B5104" t="str">
        <f>Segmenter!B5104</f>
        <v/>
      </c>
      <c r="C5104" t="str">
        <f t="shared" si="395"/>
        <v/>
      </c>
      <c r="D5104" t="str">
        <f t="shared" si="396"/>
        <v/>
      </c>
      <c r="E5104" t="str">
        <f t="shared" si="397"/>
        <v/>
      </c>
      <c r="F5104" t="str">
        <f>IF(D5104="","",INDEX(Knutepunkter!$B:$B,D5104+1))</f>
        <v/>
      </c>
      <c r="G5104" t="str">
        <f>IF(D5104="","",INDEX(Knutepunkter!$C:$C,D5104+1))</f>
        <v/>
      </c>
      <c r="H5104" t="str">
        <f>IF(D5104="","",INDEX(Knutepunkter!$D:$D,D5104+1))</f>
        <v/>
      </c>
      <c r="I5104" t="str">
        <f>IF(E5104="","",INDEX(Knutepunkter!$B:$B,E5104+1))</f>
        <v/>
      </c>
      <c r="J5104" t="str">
        <f>IF(E5104="","",INDEX(Knutepunkter!$C:$C,E5104+1))</f>
        <v/>
      </c>
      <c r="K5104" t="str">
        <f>IF(E5104="","",INDEX(Knutepunkter!$D:$D,E5104+1))</f>
        <v/>
      </c>
      <c r="L5104" t="str">
        <f t="shared" si="398"/>
        <v/>
      </c>
      <c r="M5104" t="str">
        <f t="shared" si="399"/>
        <v/>
      </c>
    </row>
    <row r="5105" spans="1:13" x14ac:dyDescent="0.3">
      <c r="A5105" t="str">
        <f>Segmenter!A5105</f>
        <v/>
      </c>
      <c r="B5105" t="str">
        <f>Segmenter!B5105</f>
        <v/>
      </c>
      <c r="C5105" t="str">
        <f t="shared" si="395"/>
        <v/>
      </c>
      <c r="D5105" t="str">
        <f t="shared" si="396"/>
        <v/>
      </c>
      <c r="E5105" t="str">
        <f t="shared" si="397"/>
        <v/>
      </c>
      <c r="F5105" t="str">
        <f>IF(D5105="","",INDEX(Knutepunkter!$B:$B,D5105+1))</f>
        <v/>
      </c>
      <c r="G5105" t="str">
        <f>IF(D5105="","",INDEX(Knutepunkter!$C:$C,D5105+1))</f>
        <v/>
      </c>
      <c r="H5105" t="str">
        <f>IF(D5105="","",INDEX(Knutepunkter!$D:$D,D5105+1))</f>
        <v/>
      </c>
      <c r="I5105" t="str">
        <f>IF(E5105="","",INDEX(Knutepunkter!$B:$B,E5105+1))</f>
        <v/>
      </c>
      <c r="J5105" t="str">
        <f>IF(E5105="","",INDEX(Knutepunkter!$C:$C,E5105+1))</f>
        <v/>
      </c>
      <c r="K5105" t="str">
        <f>IF(E5105="","",INDEX(Knutepunkter!$D:$D,E5105+1))</f>
        <v/>
      </c>
      <c r="L5105" t="str">
        <f t="shared" si="398"/>
        <v/>
      </c>
      <c r="M5105" t="str">
        <f t="shared" si="399"/>
        <v/>
      </c>
    </row>
    <row r="5106" spans="1:13" x14ac:dyDescent="0.3">
      <c r="A5106" t="str">
        <f>Segmenter!A5106</f>
        <v/>
      </c>
      <c r="B5106" t="str">
        <f>Segmenter!B5106</f>
        <v/>
      </c>
      <c r="C5106" t="str">
        <f t="shared" si="395"/>
        <v/>
      </c>
      <c r="D5106" t="str">
        <f t="shared" si="396"/>
        <v/>
      </c>
      <c r="E5106" t="str">
        <f t="shared" si="397"/>
        <v/>
      </c>
      <c r="F5106" t="str">
        <f>IF(D5106="","",INDEX(Knutepunkter!$B:$B,D5106+1))</f>
        <v/>
      </c>
      <c r="G5106" t="str">
        <f>IF(D5106="","",INDEX(Knutepunkter!$C:$C,D5106+1))</f>
        <v/>
      </c>
      <c r="H5106" t="str">
        <f>IF(D5106="","",INDEX(Knutepunkter!$D:$D,D5106+1))</f>
        <v/>
      </c>
      <c r="I5106" t="str">
        <f>IF(E5106="","",INDEX(Knutepunkter!$B:$B,E5106+1))</f>
        <v/>
      </c>
      <c r="J5106" t="str">
        <f>IF(E5106="","",INDEX(Knutepunkter!$C:$C,E5106+1))</f>
        <v/>
      </c>
      <c r="K5106" t="str">
        <f>IF(E5106="","",INDEX(Knutepunkter!$D:$D,E5106+1))</f>
        <v/>
      </c>
      <c r="L5106" t="str">
        <f t="shared" si="398"/>
        <v/>
      </c>
      <c r="M5106" t="str">
        <f t="shared" si="399"/>
        <v/>
      </c>
    </row>
    <row r="5107" spans="1:13" x14ac:dyDescent="0.3">
      <c r="A5107" t="str">
        <f>Segmenter!A5107</f>
        <v/>
      </c>
      <c r="B5107" t="str">
        <f>Segmenter!B5107</f>
        <v/>
      </c>
      <c r="C5107" t="str">
        <f t="shared" si="395"/>
        <v/>
      </c>
      <c r="D5107" t="str">
        <f t="shared" si="396"/>
        <v/>
      </c>
      <c r="E5107" t="str">
        <f t="shared" si="397"/>
        <v/>
      </c>
      <c r="F5107" t="str">
        <f>IF(D5107="","",INDEX(Knutepunkter!$B:$B,D5107+1))</f>
        <v/>
      </c>
      <c r="G5107" t="str">
        <f>IF(D5107="","",INDEX(Knutepunkter!$C:$C,D5107+1))</f>
        <v/>
      </c>
      <c r="H5107" t="str">
        <f>IF(D5107="","",INDEX(Knutepunkter!$D:$D,D5107+1))</f>
        <v/>
      </c>
      <c r="I5107" t="str">
        <f>IF(E5107="","",INDEX(Knutepunkter!$B:$B,E5107+1))</f>
        <v/>
      </c>
      <c r="J5107" t="str">
        <f>IF(E5107="","",INDEX(Knutepunkter!$C:$C,E5107+1))</f>
        <v/>
      </c>
      <c r="K5107" t="str">
        <f>IF(E5107="","",INDEX(Knutepunkter!$D:$D,E5107+1))</f>
        <v/>
      </c>
      <c r="L5107" t="str">
        <f t="shared" si="398"/>
        <v/>
      </c>
      <c r="M5107" t="str">
        <f t="shared" si="399"/>
        <v/>
      </c>
    </row>
    <row r="5108" spans="1:13" x14ac:dyDescent="0.3">
      <c r="A5108" t="str">
        <f>Segmenter!A5108</f>
        <v/>
      </c>
      <c r="B5108" t="str">
        <f>Segmenter!B5108</f>
        <v/>
      </c>
      <c r="C5108" t="str">
        <f t="shared" si="395"/>
        <v/>
      </c>
      <c r="D5108" t="str">
        <f t="shared" si="396"/>
        <v/>
      </c>
      <c r="E5108" t="str">
        <f t="shared" si="397"/>
        <v/>
      </c>
      <c r="F5108" t="str">
        <f>IF(D5108="","",INDEX(Knutepunkter!$B:$B,D5108+1))</f>
        <v/>
      </c>
      <c r="G5108" t="str">
        <f>IF(D5108="","",INDEX(Knutepunkter!$C:$C,D5108+1))</f>
        <v/>
      </c>
      <c r="H5108" t="str">
        <f>IF(D5108="","",INDEX(Knutepunkter!$D:$D,D5108+1))</f>
        <v/>
      </c>
      <c r="I5108" t="str">
        <f>IF(E5108="","",INDEX(Knutepunkter!$B:$B,E5108+1))</f>
        <v/>
      </c>
      <c r="J5108" t="str">
        <f>IF(E5108="","",INDEX(Knutepunkter!$C:$C,E5108+1))</f>
        <v/>
      </c>
      <c r="K5108" t="str">
        <f>IF(E5108="","",INDEX(Knutepunkter!$D:$D,E5108+1))</f>
        <v/>
      </c>
      <c r="L5108" t="str">
        <f t="shared" si="398"/>
        <v/>
      </c>
      <c r="M5108" t="str">
        <f t="shared" si="399"/>
        <v/>
      </c>
    </row>
    <row r="5109" spans="1:13" x14ac:dyDescent="0.3">
      <c r="A5109" t="str">
        <f>Segmenter!A5109</f>
        <v/>
      </c>
      <c r="B5109" t="str">
        <f>Segmenter!B5109</f>
        <v/>
      </c>
      <c r="C5109" t="str">
        <f t="shared" si="395"/>
        <v/>
      </c>
      <c r="D5109" t="str">
        <f t="shared" si="396"/>
        <v/>
      </c>
      <c r="E5109" t="str">
        <f t="shared" si="397"/>
        <v/>
      </c>
      <c r="F5109" t="str">
        <f>IF(D5109="","",INDEX(Knutepunkter!$B:$B,D5109+1))</f>
        <v/>
      </c>
      <c r="G5109" t="str">
        <f>IF(D5109="","",INDEX(Knutepunkter!$C:$C,D5109+1))</f>
        <v/>
      </c>
      <c r="H5109" t="str">
        <f>IF(D5109="","",INDEX(Knutepunkter!$D:$D,D5109+1))</f>
        <v/>
      </c>
      <c r="I5109" t="str">
        <f>IF(E5109="","",INDEX(Knutepunkter!$B:$B,E5109+1))</f>
        <v/>
      </c>
      <c r="J5109" t="str">
        <f>IF(E5109="","",INDEX(Knutepunkter!$C:$C,E5109+1))</f>
        <v/>
      </c>
      <c r="K5109" t="str">
        <f>IF(E5109="","",INDEX(Knutepunkter!$D:$D,E5109+1))</f>
        <v/>
      </c>
      <c r="L5109" t="str">
        <f t="shared" si="398"/>
        <v/>
      </c>
      <c r="M5109" t="str">
        <f t="shared" si="399"/>
        <v/>
      </c>
    </row>
    <row r="5110" spans="1:13" x14ac:dyDescent="0.3">
      <c r="A5110" t="str">
        <f>Segmenter!A5110</f>
        <v/>
      </c>
      <c r="B5110" t="str">
        <f>Segmenter!B5110</f>
        <v/>
      </c>
      <c r="C5110" t="str">
        <f t="shared" si="395"/>
        <v/>
      </c>
      <c r="D5110" t="str">
        <f t="shared" si="396"/>
        <v/>
      </c>
      <c r="E5110" t="str">
        <f t="shared" si="397"/>
        <v/>
      </c>
      <c r="F5110" t="str">
        <f>IF(D5110="","",INDEX(Knutepunkter!$B:$B,D5110+1))</f>
        <v/>
      </c>
      <c r="G5110" t="str">
        <f>IF(D5110="","",INDEX(Knutepunkter!$C:$C,D5110+1))</f>
        <v/>
      </c>
      <c r="H5110" t="str">
        <f>IF(D5110="","",INDEX(Knutepunkter!$D:$D,D5110+1))</f>
        <v/>
      </c>
      <c r="I5110" t="str">
        <f>IF(E5110="","",INDEX(Knutepunkter!$B:$B,E5110+1))</f>
        <v/>
      </c>
      <c r="J5110" t="str">
        <f>IF(E5110="","",INDEX(Knutepunkter!$C:$C,E5110+1))</f>
        <v/>
      </c>
      <c r="K5110" t="str">
        <f>IF(E5110="","",INDEX(Knutepunkter!$D:$D,E5110+1))</f>
        <v/>
      </c>
      <c r="L5110" t="str">
        <f t="shared" si="398"/>
        <v/>
      </c>
      <c r="M5110" t="str">
        <f t="shared" si="399"/>
        <v/>
      </c>
    </row>
    <row r="5111" spans="1:13" x14ac:dyDescent="0.3">
      <c r="A5111" t="str">
        <f>Segmenter!A5111</f>
        <v/>
      </c>
      <c r="B5111" t="str">
        <f>Segmenter!B5111</f>
        <v/>
      </c>
      <c r="C5111" t="str">
        <f t="shared" si="395"/>
        <v/>
      </c>
      <c r="D5111" t="str">
        <f t="shared" si="396"/>
        <v/>
      </c>
      <c r="E5111" t="str">
        <f t="shared" si="397"/>
        <v/>
      </c>
      <c r="F5111" t="str">
        <f>IF(D5111="","",INDEX(Knutepunkter!$B:$B,D5111+1))</f>
        <v/>
      </c>
      <c r="G5111" t="str">
        <f>IF(D5111="","",INDEX(Knutepunkter!$C:$C,D5111+1))</f>
        <v/>
      </c>
      <c r="H5111" t="str">
        <f>IF(D5111="","",INDEX(Knutepunkter!$D:$D,D5111+1))</f>
        <v/>
      </c>
      <c r="I5111" t="str">
        <f>IF(E5111="","",INDEX(Knutepunkter!$B:$B,E5111+1))</f>
        <v/>
      </c>
      <c r="J5111" t="str">
        <f>IF(E5111="","",INDEX(Knutepunkter!$C:$C,E5111+1))</f>
        <v/>
      </c>
      <c r="K5111" t="str">
        <f>IF(E5111="","",INDEX(Knutepunkter!$D:$D,E5111+1))</f>
        <v/>
      </c>
      <c r="L5111" t="str">
        <f t="shared" si="398"/>
        <v/>
      </c>
      <c r="M5111" t="str">
        <f t="shared" si="399"/>
        <v/>
      </c>
    </row>
    <row r="5112" spans="1:13" x14ac:dyDescent="0.3">
      <c r="A5112" t="str">
        <f>Segmenter!A5112</f>
        <v/>
      </c>
      <c r="B5112" t="str">
        <f>Segmenter!B5112</f>
        <v/>
      </c>
      <c r="C5112" t="str">
        <f t="shared" si="395"/>
        <v/>
      </c>
      <c r="D5112" t="str">
        <f t="shared" si="396"/>
        <v/>
      </c>
      <c r="E5112" t="str">
        <f t="shared" si="397"/>
        <v/>
      </c>
      <c r="F5112" t="str">
        <f>IF(D5112="","",INDEX(Knutepunkter!$B:$B,D5112+1))</f>
        <v/>
      </c>
      <c r="G5112" t="str">
        <f>IF(D5112="","",INDEX(Knutepunkter!$C:$C,D5112+1))</f>
        <v/>
      </c>
      <c r="H5112" t="str">
        <f>IF(D5112="","",INDEX(Knutepunkter!$D:$D,D5112+1))</f>
        <v/>
      </c>
      <c r="I5112" t="str">
        <f>IF(E5112="","",INDEX(Knutepunkter!$B:$B,E5112+1))</f>
        <v/>
      </c>
      <c r="J5112" t="str">
        <f>IF(E5112="","",INDEX(Knutepunkter!$C:$C,E5112+1))</f>
        <v/>
      </c>
      <c r="K5112" t="str">
        <f>IF(E5112="","",INDEX(Knutepunkter!$D:$D,E5112+1))</f>
        <v/>
      </c>
      <c r="L5112" t="str">
        <f t="shared" si="398"/>
        <v/>
      </c>
      <c r="M5112" t="str">
        <f t="shared" si="399"/>
        <v/>
      </c>
    </row>
    <row r="5113" spans="1:13" x14ac:dyDescent="0.3">
      <c r="A5113" t="str">
        <f>Segmenter!A5113</f>
        <v/>
      </c>
      <c r="B5113" t="str">
        <f>Segmenter!B5113</f>
        <v/>
      </c>
      <c r="C5113" t="str">
        <f t="shared" si="395"/>
        <v/>
      </c>
      <c r="D5113" t="str">
        <f t="shared" si="396"/>
        <v/>
      </c>
      <c r="E5113" t="str">
        <f t="shared" si="397"/>
        <v/>
      </c>
      <c r="F5113" t="str">
        <f>IF(D5113="","",INDEX(Knutepunkter!$B:$B,D5113+1))</f>
        <v/>
      </c>
      <c r="G5113" t="str">
        <f>IF(D5113="","",INDEX(Knutepunkter!$C:$C,D5113+1))</f>
        <v/>
      </c>
      <c r="H5113" t="str">
        <f>IF(D5113="","",INDEX(Knutepunkter!$D:$D,D5113+1))</f>
        <v/>
      </c>
      <c r="I5113" t="str">
        <f>IF(E5113="","",INDEX(Knutepunkter!$B:$B,E5113+1))</f>
        <v/>
      </c>
      <c r="J5113" t="str">
        <f>IF(E5113="","",INDEX(Knutepunkter!$C:$C,E5113+1))</f>
        <v/>
      </c>
      <c r="K5113" t="str">
        <f>IF(E5113="","",INDEX(Knutepunkter!$D:$D,E5113+1))</f>
        <v/>
      </c>
      <c r="L5113" t="str">
        <f t="shared" si="398"/>
        <v/>
      </c>
      <c r="M5113" t="str">
        <f t="shared" si="399"/>
        <v/>
      </c>
    </row>
    <row r="5114" spans="1:13" x14ac:dyDescent="0.3">
      <c r="A5114" t="str">
        <f>Segmenter!A5114</f>
        <v/>
      </c>
      <c r="B5114" t="str">
        <f>Segmenter!B5114</f>
        <v/>
      </c>
      <c r="C5114" t="str">
        <f t="shared" si="395"/>
        <v/>
      </c>
      <c r="D5114" t="str">
        <f t="shared" si="396"/>
        <v/>
      </c>
      <c r="E5114" t="str">
        <f t="shared" si="397"/>
        <v/>
      </c>
      <c r="F5114" t="str">
        <f>IF(D5114="","",INDEX(Knutepunkter!$B:$B,D5114+1))</f>
        <v/>
      </c>
      <c r="G5114" t="str">
        <f>IF(D5114="","",INDEX(Knutepunkter!$C:$C,D5114+1))</f>
        <v/>
      </c>
      <c r="H5114" t="str">
        <f>IF(D5114="","",INDEX(Knutepunkter!$D:$D,D5114+1))</f>
        <v/>
      </c>
      <c r="I5114" t="str">
        <f>IF(E5114="","",INDEX(Knutepunkter!$B:$B,E5114+1))</f>
        <v/>
      </c>
      <c r="J5114" t="str">
        <f>IF(E5114="","",INDEX(Knutepunkter!$C:$C,E5114+1))</f>
        <v/>
      </c>
      <c r="K5114" t="str">
        <f>IF(E5114="","",INDEX(Knutepunkter!$D:$D,E5114+1))</f>
        <v/>
      </c>
      <c r="L5114" t="str">
        <f t="shared" si="398"/>
        <v/>
      </c>
      <c r="M5114" t="str">
        <f t="shared" si="399"/>
        <v/>
      </c>
    </row>
    <row r="5115" spans="1:13" x14ac:dyDescent="0.3">
      <c r="A5115" t="str">
        <f>Segmenter!A5115</f>
        <v/>
      </c>
      <c r="B5115" t="str">
        <f>Segmenter!B5115</f>
        <v/>
      </c>
      <c r="C5115" t="str">
        <f t="shared" si="395"/>
        <v/>
      </c>
      <c r="D5115" t="str">
        <f t="shared" si="396"/>
        <v/>
      </c>
      <c r="E5115" t="str">
        <f t="shared" si="397"/>
        <v/>
      </c>
      <c r="F5115" t="str">
        <f>IF(D5115="","",INDEX(Knutepunkter!$B:$B,D5115+1))</f>
        <v/>
      </c>
      <c r="G5115" t="str">
        <f>IF(D5115="","",INDEX(Knutepunkter!$C:$C,D5115+1))</f>
        <v/>
      </c>
      <c r="H5115" t="str">
        <f>IF(D5115="","",INDEX(Knutepunkter!$D:$D,D5115+1))</f>
        <v/>
      </c>
      <c r="I5115" t="str">
        <f>IF(E5115="","",INDEX(Knutepunkter!$B:$B,E5115+1))</f>
        <v/>
      </c>
      <c r="J5115" t="str">
        <f>IF(E5115="","",INDEX(Knutepunkter!$C:$C,E5115+1))</f>
        <v/>
      </c>
      <c r="K5115" t="str">
        <f>IF(E5115="","",INDEX(Knutepunkter!$D:$D,E5115+1))</f>
        <v/>
      </c>
      <c r="L5115" t="str">
        <f t="shared" si="398"/>
        <v/>
      </c>
      <c r="M5115" t="str">
        <f t="shared" si="399"/>
        <v/>
      </c>
    </row>
    <row r="5116" spans="1:13" x14ac:dyDescent="0.3">
      <c r="A5116" t="str">
        <f>Segmenter!A5116</f>
        <v/>
      </c>
      <c r="B5116" t="str">
        <f>Segmenter!B5116</f>
        <v/>
      </c>
      <c r="C5116" t="str">
        <f t="shared" si="395"/>
        <v/>
      </c>
      <c r="D5116" t="str">
        <f t="shared" si="396"/>
        <v/>
      </c>
      <c r="E5116" t="str">
        <f t="shared" si="397"/>
        <v/>
      </c>
      <c r="F5116" t="str">
        <f>IF(D5116="","",INDEX(Knutepunkter!$B:$B,D5116+1))</f>
        <v/>
      </c>
      <c r="G5116" t="str">
        <f>IF(D5116="","",INDEX(Knutepunkter!$C:$C,D5116+1))</f>
        <v/>
      </c>
      <c r="H5116" t="str">
        <f>IF(D5116="","",INDEX(Knutepunkter!$D:$D,D5116+1))</f>
        <v/>
      </c>
      <c r="I5116" t="str">
        <f>IF(E5116="","",INDEX(Knutepunkter!$B:$B,E5116+1))</f>
        <v/>
      </c>
      <c r="J5116" t="str">
        <f>IF(E5116="","",INDEX(Knutepunkter!$C:$C,E5116+1))</f>
        <v/>
      </c>
      <c r="K5116" t="str">
        <f>IF(E5116="","",INDEX(Knutepunkter!$D:$D,E5116+1))</f>
        <v/>
      </c>
      <c r="L5116" t="str">
        <f t="shared" si="398"/>
        <v/>
      </c>
      <c r="M5116" t="str">
        <f t="shared" si="399"/>
        <v/>
      </c>
    </row>
    <row r="5117" spans="1:13" x14ac:dyDescent="0.3">
      <c r="A5117" t="str">
        <f>Segmenter!A5117</f>
        <v/>
      </c>
      <c r="B5117" t="str">
        <f>Segmenter!B5117</f>
        <v/>
      </c>
      <c r="C5117" t="str">
        <f t="shared" si="395"/>
        <v/>
      </c>
      <c r="D5117" t="str">
        <f t="shared" si="396"/>
        <v/>
      </c>
      <c r="E5117" t="str">
        <f t="shared" si="397"/>
        <v/>
      </c>
      <c r="F5117" t="str">
        <f>IF(D5117="","",INDEX(Knutepunkter!$B:$B,D5117+1))</f>
        <v/>
      </c>
      <c r="G5117" t="str">
        <f>IF(D5117="","",INDEX(Knutepunkter!$C:$C,D5117+1))</f>
        <v/>
      </c>
      <c r="H5117" t="str">
        <f>IF(D5117="","",INDEX(Knutepunkter!$D:$D,D5117+1))</f>
        <v/>
      </c>
      <c r="I5117" t="str">
        <f>IF(E5117="","",INDEX(Knutepunkter!$B:$B,E5117+1))</f>
        <v/>
      </c>
      <c r="J5117" t="str">
        <f>IF(E5117="","",INDEX(Knutepunkter!$C:$C,E5117+1))</f>
        <v/>
      </c>
      <c r="K5117" t="str">
        <f>IF(E5117="","",INDEX(Knutepunkter!$D:$D,E5117+1))</f>
        <v/>
      </c>
      <c r="L5117" t="str">
        <f t="shared" si="398"/>
        <v/>
      </c>
      <c r="M5117" t="str">
        <f t="shared" si="399"/>
        <v/>
      </c>
    </row>
    <row r="5118" spans="1:13" x14ac:dyDescent="0.3">
      <c r="A5118" t="str">
        <f>Segmenter!A5118</f>
        <v/>
      </c>
      <c r="B5118" t="str">
        <f>Segmenter!B5118</f>
        <v/>
      </c>
      <c r="C5118" t="str">
        <f t="shared" si="395"/>
        <v/>
      </c>
      <c r="D5118" t="str">
        <f t="shared" si="396"/>
        <v/>
      </c>
      <c r="E5118" t="str">
        <f t="shared" si="397"/>
        <v/>
      </c>
      <c r="F5118" t="str">
        <f>IF(D5118="","",INDEX(Knutepunkter!$B:$B,D5118+1))</f>
        <v/>
      </c>
      <c r="G5118" t="str">
        <f>IF(D5118="","",INDEX(Knutepunkter!$C:$C,D5118+1))</f>
        <v/>
      </c>
      <c r="H5118" t="str">
        <f>IF(D5118="","",INDEX(Knutepunkter!$D:$D,D5118+1))</f>
        <v/>
      </c>
      <c r="I5118" t="str">
        <f>IF(E5118="","",INDEX(Knutepunkter!$B:$B,E5118+1))</f>
        <v/>
      </c>
      <c r="J5118" t="str">
        <f>IF(E5118="","",INDEX(Knutepunkter!$C:$C,E5118+1))</f>
        <v/>
      </c>
      <c r="K5118" t="str">
        <f>IF(E5118="","",INDEX(Knutepunkter!$D:$D,E5118+1))</f>
        <v/>
      </c>
      <c r="L5118" t="str">
        <f t="shared" si="398"/>
        <v/>
      </c>
      <c r="M5118" t="str">
        <f t="shared" si="399"/>
        <v/>
      </c>
    </row>
    <row r="5119" spans="1:13" x14ac:dyDescent="0.3">
      <c r="A5119" t="str">
        <f>Segmenter!A5119</f>
        <v/>
      </c>
      <c r="B5119" t="str">
        <f>Segmenter!B5119</f>
        <v/>
      </c>
      <c r="C5119" t="str">
        <f t="shared" si="395"/>
        <v/>
      </c>
      <c r="D5119" t="str">
        <f t="shared" si="396"/>
        <v/>
      </c>
      <c r="E5119" t="str">
        <f t="shared" si="397"/>
        <v/>
      </c>
      <c r="F5119" t="str">
        <f>IF(D5119="","",INDEX(Knutepunkter!$B:$B,D5119+1))</f>
        <v/>
      </c>
      <c r="G5119" t="str">
        <f>IF(D5119="","",INDEX(Knutepunkter!$C:$C,D5119+1))</f>
        <v/>
      </c>
      <c r="H5119" t="str">
        <f>IF(D5119="","",INDEX(Knutepunkter!$D:$D,D5119+1))</f>
        <v/>
      </c>
      <c r="I5119" t="str">
        <f>IF(E5119="","",INDEX(Knutepunkter!$B:$B,E5119+1))</f>
        <v/>
      </c>
      <c r="J5119" t="str">
        <f>IF(E5119="","",INDEX(Knutepunkter!$C:$C,E5119+1))</f>
        <v/>
      </c>
      <c r="K5119" t="str">
        <f>IF(E5119="","",INDEX(Knutepunkter!$D:$D,E5119+1))</f>
        <v/>
      </c>
      <c r="L5119" t="str">
        <f t="shared" si="398"/>
        <v/>
      </c>
      <c r="M5119" t="str">
        <f t="shared" si="399"/>
        <v/>
      </c>
    </row>
    <row r="5120" spans="1:13" x14ac:dyDescent="0.3">
      <c r="A5120" t="str">
        <f>Segmenter!A5120</f>
        <v/>
      </c>
      <c r="B5120" t="str">
        <f>Segmenter!B5120</f>
        <v/>
      </c>
      <c r="C5120" t="str">
        <f t="shared" si="395"/>
        <v/>
      </c>
      <c r="D5120" t="str">
        <f t="shared" si="396"/>
        <v/>
      </c>
      <c r="E5120" t="str">
        <f t="shared" si="397"/>
        <v/>
      </c>
      <c r="F5120" t="str">
        <f>IF(D5120="","",INDEX(Knutepunkter!$B:$B,D5120+1))</f>
        <v/>
      </c>
      <c r="G5120" t="str">
        <f>IF(D5120="","",INDEX(Knutepunkter!$C:$C,D5120+1))</f>
        <v/>
      </c>
      <c r="H5120" t="str">
        <f>IF(D5120="","",INDEX(Knutepunkter!$D:$D,D5120+1))</f>
        <v/>
      </c>
      <c r="I5120" t="str">
        <f>IF(E5120="","",INDEX(Knutepunkter!$B:$B,E5120+1))</f>
        <v/>
      </c>
      <c r="J5120" t="str">
        <f>IF(E5120="","",INDEX(Knutepunkter!$C:$C,E5120+1))</f>
        <v/>
      </c>
      <c r="K5120" t="str">
        <f>IF(E5120="","",INDEX(Knutepunkter!$D:$D,E5120+1))</f>
        <v/>
      </c>
      <c r="L5120" t="str">
        <f t="shared" si="398"/>
        <v/>
      </c>
      <c r="M5120" t="str">
        <f t="shared" si="399"/>
        <v/>
      </c>
    </row>
    <row r="5121" spans="1:13" x14ac:dyDescent="0.3">
      <c r="A5121" t="str">
        <f>Segmenter!A5121</f>
        <v/>
      </c>
      <c r="B5121" t="str">
        <f>Segmenter!B5121</f>
        <v/>
      </c>
      <c r="C5121" t="str">
        <f t="shared" si="395"/>
        <v/>
      </c>
      <c r="D5121" t="str">
        <f t="shared" si="396"/>
        <v/>
      </c>
      <c r="E5121" t="str">
        <f t="shared" si="397"/>
        <v/>
      </c>
      <c r="F5121" t="str">
        <f>IF(D5121="","",INDEX(Knutepunkter!$B:$B,D5121+1))</f>
        <v/>
      </c>
      <c r="G5121" t="str">
        <f>IF(D5121="","",INDEX(Knutepunkter!$C:$C,D5121+1))</f>
        <v/>
      </c>
      <c r="H5121" t="str">
        <f>IF(D5121="","",INDEX(Knutepunkter!$D:$D,D5121+1))</f>
        <v/>
      </c>
      <c r="I5121" t="str">
        <f>IF(E5121="","",INDEX(Knutepunkter!$B:$B,E5121+1))</f>
        <v/>
      </c>
      <c r="J5121" t="str">
        <f>IF(E5121="","",INDEX(Knutepunkter!$C:$C,E5121+1))</f>
        <v/>
      </c>
      <c r="K5121" t="str">
        <f>IF(E5121="","",INDEX(Knutepunkter!$D:$D,E5121+1))</f>
        <v/>
      </c>
      <c r="L5121" t="str">
        <f t="shared" si="398"/>
        <v/>
      </c>
      <c r="M5121" t="str">
        <f t="shared" si="399"/>
        <v/>
      </c>
    </row>
    <row r="5122" spans="1:13" x14ac:dyDescent="0.3">
      <c r="A5122" t="str">
        <f>Segmenter!A5122</f>
        <v/>
      </c>
      <c r="B5122" t="str">
        <f>Segmenter!B5122</f>
        <v/>
      </c>
      <c r="C5122" t="str">
        <f t="shared" ref="C5122:C5185" si="400">IF(B5122="","",IF(AND(F5122=I5122,G5122=J5122,H5122&lt;&gt;K5122),"Søyle","Bjelke"))</f>
        <v/>
      </c>
      <c r="D5122" t="str">
        <f t="shared" ref="D5122:D5185" si="401">IF(B5122="","",VALUE(LEFT(B5122,FIND(" -&gt; ",B5122)-1)))</f>
        <v/>
      </c>
      <c r="E5122" t="str">
        <f t="shared" ref="E5122:E5185" si="402">IF(B5122="","",VALUE(MID(B5122,FIND(" -&gt; ",B5122)+4,99)))</f>
        <v/>
      </c>
      <c r="F5122" t="str">
        <f>IF(D5122="","",INDEX(Knutepunkter!$B:$B,D5122+1))</f>
        <v/>
      </c>
      <c r="G5122" t="str">
        <f>IF(D5122="","",INDEX(Knutepunkter!$C:$C,D5122+1))</f>
        <v/>
      </c>
      <c r="H5122" t="str">
        <f>IF(D5122="","",INDEX(Knutepunkter!$D:$D,D5122+1))</f>
        <v/>
      </c>
      <c r="I5122" t="str">
        <f>IF(E5122="","",INDEX(Knutepunkter!$B:$B,E5122+1))</f>
        <v/>
      </c>
      <c r="J5122" t="str">
        <f>IF(E5122="","",INDEX(Knutepunkter!$C:$C,E5122+1))</f>
        <v/>
      </c>
      <c r="K5122" t="str">
        <f>IF(E5122="","",INDEX(Knutepunkter!$D:$D,E5122+1))</f>
        <v/>
      </c>
      <c r="L5122" t="str">
        <f t="shared" ref="L5122:L5185" si="403">IF(B5122="","",SQRT((I5122-F5122)^2+(J5122-G5122)^2+(K5122-H5122)^2))</f>
        <v/>
      </c>
      <c r="M5122" t="str">
        <f t="shared" ref="M5122:M5185" si="404">IF(L5122="","",L5122/1000)</f>
        <v/>
      </c>
    </row>
    <row r="5123" spans="1:13" x14ac:dyDescent="0.3">
      <c r="A5123" t="str">
        <f>Segmenter!A5123</f>
        <v/>
      </c>
      <c r="B5123" t="str">
        <f>Segmenter!B5123</f>
        <v/>
      </c>
      <c r="C5123" t="str">
        <f t="shared" si="400"/>
        <v/>
      </c>
      <c r="D5123" t="str">
        <f t="shared" si="401"/>
        <v/>
      </c>
      <c r="E5123" t="str">
        <f t="shared" si="402"/>
        <v/>
      </c>
      <c r="F5123" t="str">
        <f>IF(D5123="","",INDEX(Knutepunkter!$B:$B,D5123+1))</f>
        <v/>
      </c>
      <c r="G5123" t="str">
        <f>IF(D5123="","",INDEX(Knutepunkter!$C:$C,D5123+1))</f>
        <v/>
      </c>
      <c r="H5123" t="str">
        <f>IF(D5123="","",INDEX(Knutepunkter!$D:$D,D5123+1))</f>
        <v/>
      </c>
      <c r="I5123" t="str">
        <f>IF(E5123="","",INDEX(Knutepunkter!$B:$B,E5123+1))</f>
        <v/>
      </c>
      <c r="J5123" t="str">
        <f>IF(E5123="","",INDEX(Knutepunkter!$C:$C,E5123+1))</f>
        <v/>
      </c>
      <c r="K5123" t="str">
        <f>IF(E5123="","",INDEX(Knutepunkter!$D:$D,E5123+1))</f>
        <v/>
      </c>
      <c r="L5123" t="str">
        <f t="shared" si="403"/>
        <v/>
      </c>
      <c r="M5123" t="str">
        <f t="shared" si="404"/>
        <v/>
      </c>
    </row>
    <row r="5124" spans="1:13" x14ac:dyDescent="0.3">
      <c r="A5124" t="str">
        <f>Segmenter!A5124</f>
        <v/>
      </c>
      <c r="B5124" t="str">
        <f>Segmenter!B5124</f>
        <v/>
      </c>
      <c r="C5124" t="str">
        <f t="shared" si="400"/>
        <v/>
      </c>
      <c r="D5124" t="str">
        <f t="shared" si="401"/>
        <v/>
      </c>
      <c r="E5124" t="str">
        <f t="shared" si="402"/>
        <v/>
      </c>
      <c r="F5124" t="str">
        <f>IF(D5124="","",INDEX(Knutepunkter!$B:$B,D5124+1))</f>
        <v/>
      </c>
      <c r="G5124" t="str">
        <f>IF(D5124="","",INDEX(Knutepunkter!$C:$C,D5124+1))</f>
        <v/>
      </c>
      <c r="H5124" t="str">
        <f>IF(D5124="","",INDEX(Knutepunkter!$D:$D,D5124+1))</f>
        <v/>
      </c>
      <c r="I5124" t="str">
        <f>IF(E5124="","",INDEX(Knutepunkter!$B:$B,E5124+1))</f>
        <v/>
      </c>
      <c r="J5124" t="str">
        <f>IF(E5124="","",INDEX(Knutepunkter!$C:$C,E5124+1))</f>
        <v/>
      </c>
      <c r="K5124" t="str">
        <f>IF(E5124="","",INDEX(Knutepunkter!$D:$D,E5124+1))</f>
        <v/>
      </c>
      <c r="L5124" t="str">
        <f t="shared" si="403"/>
        <v/>
      </c>
      <c r="M5124" t="str">
        <f t="shared" si="404"/>
        <v/>
      </c>
    </row>
    <row r="5125" spans="1:13" x14ac:dyDescent="0.3">
      <c r="A5125" t="str">
        <f>Segmenter!A5125</f>
        <v/>
      </c>
      <c r="B5125" t="str">
        <f>Segmenter!B5125</f>
        <v/>
      </c>
      <c r="C5125" t="str">
        <f t="shared" si="400"/>
        <v/>
      </c>
      <c r="D5125" t="str">
        <f t="shared" si="401"/>
        <v/>
      </c>
      <c r="E5125" t="str">
        <f t="shared" si="402"/>
        <v/>
      </c>
      <c r="F5125" t="str">
        <f>IF(D5125="","",INDEX(Knutepunkter!$B:$B,D5125+1))</f>
        <v/>
      </c>
      <c r="G5125" t="str">
        <f>IF(D5125="","",INDEX(Knutepunkter!$C:$C,D5125+1))</f>
        <v/>
      </c>
      <c r="H5125" t="str">
        <f>IF(D5125="","",INDEX(Knutepunkter!$D:$D,D5125+1))</f>
        <v/>
      </c>
      <c r="I5125" t="str">
        <f>IF(E5125="","",INDEX(Knutepunkter!$B:$B,E5125+1))</f>
        <v/>
      </c>
      <c r="J5125" t="str">
        <f>IF(E5125="","",INDEX(Knutepunkter!$C:$C,E5125+1))</f>
        <v/>
      </c>
      <c r="K5125" t="str">
        <f>IF(E5125="","",INDEX(Knutepunkter!$D:$D,E5125+1))</f>
        <v/>
      </c>
      <c r="L5125" t="str">
        <f t="shared" si="403"/>
        <v/>
      </c>
      <c r="M5125" t="str">
        <f t="shared" si="404"/>
        <v/>
      </c>
    </row>
    <row r="5126" spans="1:13" x14ac:dyDescent="0.3">
      <c r="A5126" t="str">
        <f>Segmenter!A5126</f>
        <v/>
      </c>
      <c r="B5126" t="str">
        <f>Segmenter!B5126</f>
        <v/>
      </c>
      <c r="C5126" t="str">
        <f t="shared" si="400"/>
        <v/>
      </c>
      <c r="D5126" t="str">
        <f t="shared" si="401"/>
        <v/>
      </c>
      <c r="E5126" t="str">
        <f t="shared" si="402"/>
        <v/>
      </c>
      <c r="F5126" t="str">
        <f>IF(D5126="","",INDEX(Knutepunkter!$B:$B,D5126+1))</f>
        <v/>
      </c>
      <c r="G5126" t="str">
        <f>IF(D5126="","",INDEX(Knutepunkter!$C:$C,D5126+1))</f>
        <v/>
      </c>
      <c r="H5126" t="str">
        <f>IF(D5126="","",INDEX(Knutepunkter!$D:$D,D5126+1))</f>
        <v/>
      </c>
      <c r="I5126" t="str">
        <f>IF(E5126="","",INDEX(Knutepunkter!$B:$B,E5126+1))</f>
        <v/>
      </c>
      <c r="J5126" t="str">
        <f>IF(E5126="","",INDEX(Knutepunkter!$C:$C,E5126+1))</f>
        <v/>
      </c>
      <c r="K5126" t="str">
        <f>IF(E5126="","",INDEX(Knutepunkter!$D:$D,E5126+1))</f>
        <v/>
      </c>
      <c r="L5126" t="str">
        <f t="shared" si="403"/>
        <v/>
      </c>
      <c r="M5126" t="str">
        <f t="shared" si="404"/>
        <v/>
      </c>
    </row>
    <row r="5127" spans="1:13" x14ac:dyDescent="0.3">
      <c r="A5127" t="str">
        <f>Segmenter!A5127</f>
        <v/>
      </c>
      <c r="B5127" t="str">
        <f>Segmenter!B5127</f>
        <v/>
      </c>
      <c r="C5127" t="str">
        <f t="shared" si="400"/>
        <v/>
      </c>
      <c r="D5127" t="str">
        <f t="shared" si="401"/>
        <v/>
      </c>
      <c r="E5127" t="str">
        <f t="shared" si="402"/>
        <v/>
      </c>
      <c r="F5127" t="str">
        <f>IF(D5127="","",INDEX(Knutepunkter!$B:$B,D5127+1))</f>
        <v/>
      </c>
      <c r="G5127" t="str">
        <f>IF(D5127="","",INDEX(Knutepunkter!$C:$C,D5127+1))</f>
        <v/>
      </c>
      <c r="H5127" t="str">
        <f>IF(D5127="","",INDEX(Knutepunkter!$D:$D,D5127+1))</f>
        <v/>
      </c>
      <c r="I5127" t="str">
        <f>IF(E5127="","",INDEX(Knutepunkter!$B:$B,E5127+1))</f>
        <v/>
      </c>
      <c r="J5127" t="str">
        <f>IF(E5127="","",INDEX(Knutepunkter!$C:$C,E5127+1))</f>
        <v/>
      </c>
      <c r="K5127" t="str">
        <f>IF(E5127="","",INDEX(Knutepunkter!$D:$D,E5127+1))</f>
        <v/>
      </c>
      <c r="L5127" t="str">
        <f t="shared" si="403"/>
        <v/>
      </c>
      <c r="M5127" t="str">
        <f t="shared" si="404"/>
        <v/>
      </c>
    </row>
    <row r="5128" spans="1:13" x14ac:dyDescent="0.3">
      <c r="A5128" t="str">
        <f>Segmenter!A5128</f>
        <v/>
      </c>
      <c r="B5128" t="str">
        <f>Segmenter!B5128</f>
        <v/>
      </c>
      <c r="C5128" t="str">
        <f t="shared" si="400"/>
        <v/>
      </c>
      <c r="D5128" t="str">
        <f t="shared" si="401"/>
        <v/>
      </c>
      <c r="E5128" t="str">
        <f t="shared" si="402"/>
        <v/>
      </c>
      <c r="F5128" t="str">
        <f>IF(D5128="","",INDEX(Knutepunkter!$B:$B,D5128+1))</f>
        <v/>
      </c>
      <c r="G5128" t="str">
        <f>IF(D5128="","",INDEX(Knutepunkter!$C:$C,D5128+1))</f>
        <v/>
      </c>
      <c r="H5128" t="str">
        <f>IF(D5128="","",INDEX(Knutepunkter!$D:$D,D5128+1))</f>
        <v/>
      </c>
      <c r="I5128" t="str">
        <f>IF(E5128="","",INDEX(Knutepunkter!$B:$B,E5128+1))</f>
        <v/>
      </c>
      <c r="J5128" t="str">
        <f>IF(E5128="","",INDEX(Knutepunkter!$C:$C,E5128+1))</f>
        <v/>
      </c>
      <c r="K5128" t="str">
        <f>IF(E5128="","",INDEX(Knutepunkter!$D:$D,E5128+1))</f>
        <v/>
      </c>
      <c r="L5128" t="str">
        <f t="shared" si="403"/>
        <v/>
      </c>
      <c r="M5128" t="str">
        <f t="shared" si="404"/>
        <v/>
      </c>
    </row>
    <row r="5129" spans="1:13" x14ac:dyDescent="0.3">
      <c r="A5129" t="str">
        <f>Segmenter!A5129</f>
        <v/>
      </c>
      <c r="B5129" t="str">
        <f>Segmenter!B5129</f>
        <v/>
      </c>
      <c r="C5129" t="str">
        <f t="shared" si="400"/>
        <v/>
      </c>
      <c r="D5129" t="str">
        <f t="shared" si="401"/>
        <v/>
      </c>
      <c r="E5129" t="str">
        <f t="shared" si="402"/>
        <v/>
      </c>
      <c r="F5129" t="str">
        <f>IF(D5129="","",INDEX(Knutepunkter!$B:$B,D5129+1))</f>
        <v/>
      </c>
      <c r="G5129" t="str">
        <f>IF(D5129="","",INDEX(Knutepunkter!$C:$C,D5129+1))</f>
        <v/>
      </c>
      <c r="H5129" t="str">
        <f>IF(D5129="","",INDEX(Knutepunkter!$D:$D,D5129+1))</f>
        <v/>
      </c>
      <c r="I5129" t="str">
        <f>IF(E5129="","",INDEX(Knutepunkter!$B:$B,E5129+1))</f>
        <v/>
      </c>
      <c r="J5129" t="str">
        <f>IF(E5129="","",INDEX(Knutepunkter!$C:$C,E5129+1))</f>
        <v/>
      </c>
      <c r="K5129" t="str">
        <f>IF(E5129="","",INDEX(Knutepunkter!$D:$D,E5129+1))</f>
        <v/>
      </c>
      <c r="L5129" t="str">
        <f t="shared" si="403"/>
        <v/>
      </c>
      <c r="M5129" t="str">
        <f t="shared" si="404"/>
        <v/>
      </c>
    </row>
    <row r="5130" spans="1:13" x14ac:dyDescent="0.3">
      <c r="A5130" t="str">
        <f>Segmenter!A5130</f>
        <v/>
      </c>
      <c r="B5130" t="str">
        <f>Segmenter!B5130</f>
        <v/>
      </c>
      <c r="C5130" t="str">
        <f t="shared" si="400"/>
        <v/>
      </c>
      <c r="D5130" t="str">
        <f t="shared" si="401"/>
        <v/>
      </c>
      <c r="E5130" t="str">
        <f t="shared" si="402"/>
        <v/>
      </c>
      <c r="F5130" t="str">
        <f>IF(D5130="","",INDEX(Knutepunkter!$B:$B,D5130+1))</f>
        <v/>
      </c>
      <c r="G5130" t="str">
        <f>IF(D5130="","",INDEX(Knutepunkter!$C:$C,D5130+1))</f>
        <v/>
      </c>
      <c r="H5130" t="str">
        <f>IF(D5130="","",INDEX(Knutepunkter!$D:$D,D5130+1))</f>
        <v/>
      </c>
      <c r="I5130" t="str">
        <f>IF(E5130="","",INDEX(Knutepunkter!$B:$B,E5130+1))</f>
        <v/>
      </c>
      <c r="J5130" t="str">
        <f>IF(E5130="","",INDEX(Knutepunkter!$C:$C,E5130+1))</f>
        <v/>
      </c>
      <c r="K5130" t="str">
        <f>IF(E5130="","",INDEX(Knutepunkter!$D:$D,E5130+1))</f>
        <v/>
      </c>
      <c r="L5130" t="str">
        <f t="shared" si="403"/>
        <v/>
      </c>
      <c r="M5130" t="str">
        <f t="shared" si="404"/>
        <v/>
      </c>
    </row>
    <row r="5131" spans="1:13" x14ac:dyDescent="0.3">
      <c r="A5131" t="str">
        <f>Segmenter!A5131</f>
        <v/>
      </c>
      <c r="B5131" t="str">
        <f>Segmenter!B5131</f>
        <v/>
      </c>
      <c r="C5131" t="str">
        <f t="shared" si="400"/>
        <v/>
      </c>
      <c r="D5131" t="str">
        <f t="shared" si="401"/>
        <v/>
      </c>
      <c r="E5131" t="str">
        <f t="shared" si="402"/>
        <v/>
      </c>
      <c r="F5131" t="str">
        <f>IF(D5131="","",INDEX(Knutepunkter!$B:$B,D5131+1))</f>
        <v/>
      </c>
      <c r="G5131" t="str">
        <f>IF(D5131="","",INDEX(Knutepunkter!$C:$C,D5131+1))</f>
        <v/>
      </c>
      <c r="H5131" t="str">
        <f>IF(D5131="","",INDEX(Knutepunkter!$D:$D,D5131+1))</f>
        <v/>
      </c>
      <c r="I5131" t="str">
        <f>IF(E5131="","",INDEX(Knutepunkter!$B:$B,E5131+1))</f>
        <v/>
      </c>
      <c r="J5131" t="str">
        <f>IF(E5131="","",INDEX(Knutepunkter!$C:$C,E5131+1))</f>
        <v/>
      </c>
      <c r="K5131" t="str">
        <f>IF(E5131="","",INDEX(Knutepunkter!$D:$D,E5131+1))</f>
        <v/>
      </c>
      <c r="L5131" t="str">
        <f t="shared" si="403"/>
        <v/>
      </c>
      <c r="M5131" t="str">
        <f t="shared" si="404"/>
        <v/>
      </c>
    </row>
    <row r="5132" spans="1:13" x14ac:dyDescent="0.3">
      <c r="A5132" t="str">
        <f>Segmenter!A5132</f>
        <v/>
      </c>
      <c r="B5132" t="str">
        <f>Segmenter!B5132</f>
        <v/>
      </c>
      <c r="C5132" t="str">
        <f t="shared" si="400"/>
        <v/>
      </c>
      <c r="D5132" t="str">
        <f t="shared" si="401"/>
        <v/>
      </c>
      <c r="E5132" t="str">
        <f t="shared" si="402"/>
        <v/>
      </c>
      <c r="F5132" t="str">
        <f>IF(D5132="","",INDEX(Knutepunkter!$B:$B,D5132+1))</f>
        <v/>
      </c>
      <c r="G5132" t="str">
        <f>IF(D5132="","",INDEX(Knutepunkter!$C:$C,D5132+1))</f>
        <v/>
      </c>
      <c r="H5132" t="str">
        <f>IF(D5132="","",INDEX(Knutepunkter!$D:$D,D5132+1))</f>
        <v/>
      </c>
      <c r="I5132" t="str">
        <f>IF(E5132="","",INDEX(Knutepunkter!$B:$B,E5132+1))</f>
        <v/>
      </c>
      <c r="J5132" t="str">
        <f>IF(E5132="","",INDEX(Knutepunkter!$C:$C,E5132+1))</f>
        <v/>
      </c>
      <c r="K5132" t="str">
        <f>IF(E5132="","",INDEX(Knutepunkter!$D:$D,E5132+1))</f>
        <v/>
      </c>
      <c r="L5132" t="str">
        <f t="shared" si="403"/>
        <v/>
      </c>
      <c r="M5132" t="str">
        <f t="shared" si="404"/>
        <v/>
      </c>
    </row>
    <row r="5133" spans="1:13" x14ac:dyDescent="0.3">
      <c r="A5133" t="str">
        <f>Segmenter!A5133</f>
        <v/>
      </c>
      <c r="B5133" t="str">
        <f>Segmenter!B5133</f>
        <v/>
      </c>
      <c r="C5133" t="str">
        <f t="shared" si="400"/>
        <v/>
      </c>
      <c r="D5133" t="str">
        <f t="shared" si="401"/>
        <v/>
      </c>
      <c r="E5133" t="str">
        <f t="shared" si="402"/>
        <v/>
      </c>
      <c r="F5133" t="str">
        <f>IF(D5133="","",INDEX(Knutepunkter!$B:$B,D5133+1))</f>
        <v/>
      </c>
      <c r="G5133" t="str">
        <f>IF(D5133="","",INDEX(Knutepunkter!$C:$C,D5133+1))</f>
        <v/>
      </c>
      <c r="H5133" t="str">
        <f>IF(D5133="","",INDEX(Knutepunkter!$D:$D,D5133+1))</f>
        <v/>
      </c>
      <c r="I5133" t="str">
        <f>IF(E5133="","",INDEX(Knutepunkter!$B:$B,E5133+1))</f>
        <v/>
      </c>
      <c r="J5133" t="str">
        <f>IF(E5133="","",INDEX(Knutepunkter!$C:$C,E5133+1))</f>
        <v/>
      </c>
      <c r="K5133" t="str">
        <f>IF(E5133="","",INDEX(Knutepunkter!$D:$D,E5133+1))</f>
        <v/>
      </c>
      <c r="L5133" t="str">
        <f t="shared" si="403"/>
        <v/>
      </c>
      <c r="M5133" t="str">
        <f t="shared" si="404"/>
        <v/>
      </c>
    </row>
    <row r="5134" spans="1:13" x14ac:dyDescent="0.3">
      <c r="A5134" t="str">
        <f>Segmenter!A5134</f>
        <v/>
      </c>
      <c r="B5134" t="str">
        <f>Segmenter!B5134</f>
        <v/>
      </c>
      <c r="C5134" t="str">
        <f t="shared" si="400"/>
        <v/>
      </c>
      <c r="D5134" t="str">
        <f t="shared" si="401"/>
        <v/>
      </c>
      <c r="E5134" t="str">
        <f t="shared" si="402"/>
        <v/>
      </c>
      <c r="F5134" t="str">
        <f>IF(D5134="","",INDEX(Knutepunkter!$B:$B,D5134+1))</f>
        <v/>
      </c>
      <c r="G5134" t="str">
        <f>IF(D5134="","",INDEX(Knutepunkter!$C:$C,D5134+1))</f>
        <v/>
      </c>
      <c r="H5134" t="str">
        <f>IF(D5134="","",INDEX(Knutepunkter!$D:$D,D5134+1))</f>
        <v/>
      </c>
      <c r="I5134" t="str">
        <f>IF(E5134="","",INDEX(Knutepunkter!$B:$B,E5134+1))</f>
        <v/>
      </c>
      <c r="J5134" t="str">
        <f>IF(E5134="","",INDEX(Knutepunkter!$C:$C,E5134+1))</f>
        <v/>
      </c>
      <c r="K5134" t="str">
        <f>IF(E5134="","",INDEX(Knutepunkter!$D:$D,E5134+1))</f>
        <v/>
      </c>
      <c r="L5134" t="str">
        <f t="shared" si="403"/>
        <v/>
      </c>
      <c r="M5134" t="str">
        <f t="shared" si="404"/>
        <v/>
      </c>
    </row>
    <row r="5135" spans="1:13" x14ac:dyDescent="0.3">
      <c r="A5135" t="str">
        <f>Segmenter!A5135</f>
        <v/>
      </c>
      <c r="B5135" t="str">
        <f>Segmenter!B5135</f>
        <v/>
      </c>
      <c r="C5135" t="str">
        <f t="shared" si="400"/>
        <v/>
      </c>
      <c r="D5135" t="str">
        <f t="shared" si="401"/>
        <v/>
      </c>
      <c r="E5135" t="str">
        <f t="shared" si="402"/>
        <v/>
      </c>
      <c r="F5135" t="str">
        <f>IF(D5135="","",INDEX(Knutepunkter!$B:$B,D5135+1))</f>
        <v/>
      </c>
      <c r="G5135" t="str">
        <f>IF(D5135="","",INDEX(Knutepunkter!$C:$C,D5135+1))</f>
        <v/>
      </c>
      <c r="H5135" t="str">
        <f>IF(D5135="","",INDEX(Knutepunkter!$D:$D,D5135+1))</f>
        <v/>
      </c>
      <c r="I5135" t="str">
        <f>IF(E5135="","",INDEX(Knutepunkter!$B:$B,E5135+1))</f>
        <v/>
      </c>
      <c r="J5135" t="str">
        <f>IF(E5135="","",INDEX(Knutepunkter!$C:$C,E5135+1))</f>
        <v/>
      </c>
      <c r="K5135" t="str">
        <f>IF(E5135="","",INDEX(Knutepunkter!$D:$D,E5135+1))</f>
        <v/>
      </c>
      <c r="L5135" t="str">
        <f t="shared" si="403"/>
        <v/>
      </c>
      <c r="M5135" t="str">
        <f t="shared" si="404"/>
        <v/>
      </c>
    </row>
    <row r="5136" spans="1:13" x14ac:dyDescent="0.3">
      <c r="A5136" t="str">
        <f>Segmenter!A5136</f>
        <v/>
      </c>
      <c r="B5136" t="str">
        <f>Segmenter!B5136</f>
        <v/>
      </c>
      <c r="C5136" t="str">
        <f t="shared" si="400"/>
        <v/>
      </c>
      <c r="D5136" t="str">
        <f t="shared" si="401"/>
        <v/>
      </c>
      <c r="E5136" t="str">
        <f t="shared" si="402"/>
        <v/>
      </c>
      <c r="F5136" t="str">
        <f>IF(D5136="","",INDEX(Knutepunkter!$B:$B,D5136+1))</f>
        <v/>
      </c>
      <c r="G5136" t="str">
        <f>IF(D5136="","",INDEX(Knutepunkter!$C:$C,D5136+1))</f>
        <v/>
      </c>
      <c r="H5136" t="str">
        <f>IF(D5136="","",INDEX(Knutepunkter!$D:$D,D5136+1))</f>
        <v/>
      </c>
      <c r="I5136" t="str">
        <f>IF(E5136="","",INDEX(Knutepunkter!$B:$B,E5136+1))</f>
        <v/>
      </c>
      <c r="J5136" t="str">
        <f>IF(E5136="","",INDEX(Knutepunkter!$C:$C,E5136+1))</f>
        <v/>
      </c>
      <c r="K5136" t="str">
        <f>IF(E5136="","",INDEX(Knutepunkter!$D:$D,E5136+1))</f>
        <v/>
      </c>
      <c r="L5136" t="str">
        <f t="shared" si="403"/>
        <v/>
      </c>
      <c r="M5136" t="str">
        <f t="shared" si="404"/>
        <v/>
      </c>
    </row>
    <row r="5137" spans="1:13" x14ac:dyDescent="0.3">
      <c r="A5137" t="str">
        <f>Segmenter!A5137</f>
        <v/>
      </c>
      <c r="B5137" t="str">
        <f>Segmenter!B5137</f>
        <v/>
      </c>
      <c r="C5137" t="str">
        <f t="shared" si="400"/>
        <v/>
      </c>
      <c r="D5137" t="str">
        <f t="shared" si="401"/>
        <v/>
      </c>
      <c r="E5137" t="str">
        <f t="shared" si="402"/>
        <v/>
      </c>
      <c r="F5137" t="str">
        <f>IF(D5137="","",INDEX(Knutepunkter!$B:$B,D5137+1))</f>
        <v/>
      </c>
      <c r="G5137" t="str">
        <f>IF(D5137="","",INDEX(Knutepunkter!$C:$C,D5137+1))</f>
        <v/>
      </c>
      <c r="H5137" t="str">
        <f>IF(D5137="","",INDEX(Knutepunkter!$D:$D,D5137+1))</f>
        <v/>
      </c>
      <c r="I5137" t="str">
        <f>IF(E5137="","",INDEX(Knutepunkter!$B:$B,E5137+1))</f>
        <v/>
      </c>
      <c r="J5137" t="str">
        <f>IF(E5137="","",INDEX(Knutepunkter!$C:$C,E5137+1))</f>
        <v/>
      </c>
      <c r="K5137" t="str">
        <f>IF(E5137="","",INDEX(Knutepunkter!$D:$D,E5137+1))</f>
        <v/>
      </c>
      <c r="L5137" t="str">
        <f t="shared" si="403"/>
        <v/>
      </c>
      <c r="M5137" t="str">
        <f t="shared" si="404"/>
        <v/>
      </c>
    </row>
    <row r="5138" spans="1:13" x14ac:dyDescent="0.3">
      <c r="A5138" t="str">
        <f>Segmenter!A5138</f>
        <v/>
      </c>
      <c r="B5138" t="str">
        <f>Segmenter!B5138</f>
        <v/>
      </c>
      <c r="C5138" t="str">
        <f t="shared" si="400"/>
        <v/>
      </c>
      <c r="D5138" t="str">
        <f t="shared" si="401"/>
        <v/>
      </c>
      <c r="E5138" t="str">
        <f t="shared" si="402"/>
        <v/>
      </c>
      <c r="F5138" t="str">
        <f>IF(D5138="","",INDEX(Knutepunkter!$B:$B,D5138+1))</f>
        <v/>
      </c>
      <c r="G5138" t="str">
        <f>IF(D5138="","",INDEX(Knutepunkter!$C:$C,D5138+1))</f>
        <v/>
      </c>
      <c r="H5138" t="str">
        <f>IF(D5138="","",INDEX(Knutepunkter!$D:$D,D5138+1))</f>
        <v/>
      </c>
      <c r="I5138" t="str">
        <f>IF(E5138="","",INDEX(Knutepunkter!$B:$B,E5138+1))</f>
        <v/>
      </c>
      <c r="J5138" t="str">
        <f>IF(E5138="","",INDEX(Knutepunkter!$C:$C,E5138+1))</f>
        <v/>
      </c>
      <c r="K5138" t="str">
        <f>IF(E5138="","",INDEX(Knutepunkter!$D:$D,E5138+1))</f>
        <v/>
      </c>
      <c r="L5138" t="str">
        <f t="shared" si="403"/>
        <v/>
      </c>
      <c r="M5138" t="str">
        <f t="shared" si="404"/>
        <v/>
      </c>
    </row>
    <row r="5139" spans="1:13" x14ac:dyDescent="0.3">
      <c r="A5139" t="str">
        <f>Segmenter!A5139</f>
        <v/>
      </c>
      <c r="B5139" t="str">
        <f>Segmenter!B5139</f>
        <v/>
      </c>
      <c r="C5139" t="str">
        <f t="shared" si="400"/>
        <v/>
      </c>
      <c r="D5139" t="str">
        <f t="shared" si="401"/>
        <v/>
      </c>
      <c r="E5139" t="str">
        <f t="shared" si="402"/>
        <v/>
      </c>
      <c r="F5139" t="str">
        <f>IF(D5139="","",INDEX(Knutepunkter!$B:$B,D5139+1))</f>
        <v/>
      </c>
      <c r="G5139" t="str">
        <f>IF(D5139="","",INDEX(Knutepunkter!$C:$C,D5139+1))</f>
        <v/>
      </c>
      <c r="H5139" t="str">
        <f>IF(D5139="","",INDEX(Knutepunkter!$D:$D,D5139+1))</f>
        <v/>
      </c>
      <c r="I5139" t="str">
        <f>IF(E5139="","",INDEX(Knutepunkter!$B:$B,E5139+1))</f>
        <v/>
      </c>
      <c r="J5139" t="str">
        <f>IF(E5139="","",INDEX(Knutepunkter!$C:$C,E5139+1))</f>
        <v/>
      </c>
      <c r="K5139" t="str">
        <f>IF(E5139="","",INDEX(Knutepunkter!$D:$D,E5139+1))</f>
        <v/>
      </c>
      <c r="L5139" t="str">
        <f t="shared" si="403"/>
        <v/>
      </c>
      <c r="M5139" t="str">
        <f t="shared" si="404"/>
        <v/>
      </c>
    </row>
    <row r="5140" spans="1:13" x14ac:dyDescent="0.3">
      <c r="A5140" t="str">
        <f>Segmenter!A5140</f>
        <v/>
      </c>
      <c r="B5140" t="str">
        <f>Segmenter!B5140</f>
        <v/>
      </c>
      <c r="C5140" t="str">
        <f t="shared" si="400"/>
        <v/>
      </c>
      <c r="D5140" t="str">
        <f t="shared" si="401"/>
        <v/>
      </c>
      <c r="E5140" t="str">
        <f t="shared" si="402"/>
        <v/>
      </c>
      <c r="F5140" t="str">
        <f>IF(D5140="","",INDEX(Knutepunkter!$B:$B,D5140+1))</f>
        <v/>
      </c>
      <c r="G5140" t="str">
        <f>IF(D5140="","",INDEX(Knutepunkter!$C:$C,D5140+1))</f>
        <v/>
      </c>
      <c r="H5140" t="str">
        <f>IF(D5140="","",INDEX(Knutepunkter!$D:$D,D5140+1))</f>
        <v/>
      </c>
      <c r="I5140" t="str">
        <f>IF(E5140="","",INDEX(Knutepunkter!$B:$B,E5140+1))</f>
        <v/>
      </c>
      <c r="J5140" t="str">
        <f>IF(E5140="","",INDEX(Knutepunkter!$C:$C,E5140+1))</f>
        <v/>
      </c>
      <c r="K5140" t="str">
        <f>IF(E5140="","",INDEX(Knutepunkter!$D:$D,E5140+1))</f>
        <v/>
      </c>
      <c r="L5140" t="str">
        <f t="shared" si="403"/>
        <v/>
      </c>
      <c r="M5140" t="str">
        <f t="shared" si="404"/>
        <v/>
      </c>
    </row>
    <row r="5141" spans="1:13" x14ac:dyDescent="0.3">
      <c r="A5141" t="str">
        <f>Segmenter!A5141</f>
        <v/>
      </c>
      <c r="B5141" t="str">
        <f>Segmenter!B5141</f>
        <v/>
      </c>
      <c r="C5141" t="str">
        <f t="shared" si="400"/>
        <v/>
      </c>
      <c r="D5141" t="str">
        <f t="shared" si="401"/>
        <v/>
      </c>
      <c r="E5141" t="str">
        <f t="shared" si="402"/>
        <v/>
      </c>
      <c r="F5141" t="str">
        <f>IF(D5141="","",INDEX(Knutepunkter!$B:$B,D5141+1))</f>
        <v/>
      </c>
      <c r="G5141" t="str">
        <f>IF(D5141="","",INDEX(Knutepunkter!$C:$C,D5141+1))</f>
        <v/>
      </c>
      <c r="H5141" t="str">
        <f>IF(D5141="","",INDEX(Knutepunkter!$D:$D,D5141+1))</f>
        <v/>
      </c>
      <c r="I5141" t="str">
        <f>IF(E5141="","",INDEX(Knutepunkter!$B:$B,E5141+1))</f>
        <v/>
      </c>
      <c r="J5141" t="str">
        <f>IF(E5141="","",INDEX(Knutepunkter!$C:$C,E5141+1))</f>
        <v/>
      </c>
      <c r="K5141" t="str">
        <f>IF(E5141="","",INDEX(Knutepunkter!$D:$D,E5141+1))</f>
        <v/>
      </c>
      <c r="L5141" t="str">
        <f t="shared" si="403"/>
        <v/>
      </c>
      <c r="M5141" t="str">
        <f t="shared" si="404"/>
        <v/>
      </c>
    </row>
    <row r="5142" spans="1:13" x14ac:dyDescent="0.3">
      <c r="A5142" t="str">
        <f>Segmenter!A5142</f>
        <v/>
      </c>
      <c r="B5142" t="str">
        <f>Segmenter!B5142</f>
        <v/>
      </c>
      <c r="C5142" t="str">
        <f t="shared" si="400"/>
        <v/>
      </c>
      <c r="D5142" t="str">
        <f t="shared" si="401"/>
        <v/>
      </c>
      <c r="E5142" t="str">
        <f t="shared" si="402"/>
        <v/>
      </c>
      <c r="F5142" t="str">
        <f>IF(D5142="","",INDEX(Knutepunkter!$B:$B,D5142+1))</f>
        <v/>
      </c>
      <c r="G5142" t="str">
        <f>IF(D5142="","",INDEX(Knutepunkter!$C:$C,D5142+1))</f>
        <v/>
      </c>
      <c r="H5142" t="str">
        <f>IF(D5142="","",INDEX(Knutepunkter!$D:$D,D5142+1))</f>
        <v/>
      </c>
      <c r="I5142" t="str">
        <f>IF(E5142="","",INDEX(Knutepunkter!$B:$B,E5142+1))</f>
        <v/>
      </c>
      <c r="J5142" t="str">
        <f>IF(E5142="","",INDEX(Knutepunkter!$C:$C,E5142+1))</f>
        <v/>
      </c>
      <c r="K5142" t="str">
        <f>IF(E5142="","",INDEX(Knutepunkter!$D:$D,E5142+1))</f>
        <v/>
      </c>
      <c r="L5142" t="str">
        <f t="shared" si="403"/>
        <v/>
      </c>
      <c r="M5142" t="str">
        <f t="shared" si="404"/>
        <v/>
      </c>
    </row>
    <row r="5143" spans="1:13" x14ac:dyDescent="0.3">
      <c r="A5143" t="str">
        <f>Segmenter!A5143</f>
        <v/>
      </c>
      <c r="B5143" t="str">
        <f>Segmenter!B5143</f>
        <v/>
      </c>
      <c r="C5143" t="str">
        <f t="shared" si="400"/>
        <v/>
      </c>
      <c r="D5143" t="str">
        <f t="shared" si="401"/>
        <v/>
      </c>
      <c r="E5143" t="str">
        <f t="shared" si="402"/>
        <v/>
      </c>
      <c r="F5143" t="str">
        <f>IF(D5143="","",INDEX(Knutepunkter!$B:$B,D5143+1))</f>
        <v/>
      </c>
      <c r="G5143" t="str">
        <f>IF(D5143="","",INDEX(Knutepunkter!$C:$C,D5143+1))</f>
        <v/>
      </c>
      <c r="H5143" t="str">
        <f>IF(D5143="","",INDEX(Knutepunkter!$D:$D,D5143+1))</f>
        <v/>
      </c>
      <c r="I5143" t="str">
        <f>IF(E5143="","",INDEX(Knutepunkter!$B:$B,E5143+1))</f>
        <v/>
      </c>
      <c r="J5143" t="str">
        <f>IF(E5143="","",INDEX(Knutepunkter!$C:$C,E5143+1))</f>
        <v/>
      </c>
      <c r="K5143" t="str">
        <f>IF(E5143="","",INDEX(Knutepunkter!$D:$D,E5143+1))</f>
        <v/>
      </c>
      <c r="L5143" t="str">
        <f t="shared" si="403"/>
        <v/>
      </c>
      <c r="M5143" t="str">
        <f t="shared" si="404"/>
        <v/>
      </c>
    </row>
    <row r="5144" spans="1:13" x14ac:dyDescent="0.3">
      <c r="A5144" t="str">
        <f>Segmenter!A5144</f>
        <v/>
      </c>
      <c r="B5144" t="str">
        <f>Segmenter!B5144</f>
        <v/>
      </c>
      <c r="C5144" t="str">
        <f t="shared" si="400"/>
        <v/>
      </c>
      <c r="D5144" t="str">
        <f t="shared" si="401"/>
        <v/>
      </c>
      <c r="E5144" t="str">
        <f t="shared" si="402"/>
        <v/>
      </c>
      <c r="F5144" t="str">
        <f>IF(D5144="","",INDEX(Knutepunkter!$B:$B,D5144+1))</f>
        <v/>
      </c>
      <c r="G5144" t="str">
        <f>IF(D5144="","",INDEX(Knutepunkter!$C:$C,D5144+1))</f>
        <v/>
      </c>
      <c r="H5144" t="str">
        <f>IF(D5144="","",INDEX(Knutepunkter!$D:$D,D5144+1))</f>
        <v/>
      </c>
      <c r="I5144" t="str">
        <f>IF(E5144="","",INDEX(Knutepunkter!$B:$B,E5144+1))</f>
        <v/>
      </c>
      <c r="J5144" t="str">
        <f>IF(E5144="","",INDEX(Knutepunkter!$C:$C,E5144+1))</f>
        <v/>
      </c>
      <c r="K5144" t="str">
        <f>IF(E5144="","",INDEX(Knutepunkter!$D:$D,E5144+1))</f>
        <v/>
      </c>
      <c r="L5144" t="str">
        <f t="shared" si="403"/>
        <v/>
      </c>
      <c r="M5144" t="str">
        <f t="shared" si="404"/>
        <v/>
      </c>
    </row>
    <row r="5145" spans="1:13" x14ac:dyDescent="0.3">
      <c r="A5145" t="str">
        <f>Segmenter!A5145</f>
        <v/>
      </c>
      <c r="B5145" t="str">
        <f>Segmenter!B5145</f>
        <v/>
      </c>
      <c r="C5145" t="str">
        <f t="shared" si="400"/>
        <v/>
      </c>
      <c r="D5145" t="str">
        <f t="shared" si="401"/>
        <v/>
      </c>
      <c r="E5145" t="str">
        <f t="shared" si="402"/>
        <v/>
      </c>
      <c r="F5145" t="str">
        <f>IF(D5145="","",INDEX(Knutepunkter!$B:$B,D5145+1))</f>
        <v/>
      </c>
      <c r="G5145" t="str">
        <f>IF(D5145="","",INDEX(Knutepunkter!$C:$C,D5145+1))</f>
        <v/>
      </c>
      <c r="H5145" t="str">
        <f>IF(D5145="","",INDEX(Knutepunkter!$D:$D,D5145+1))</f>
        <v/>
      </c>
      <c r="I5145" t="str">
        <f>IF(E5145="","",INDEX(Knutepunkter!$B:$B,E5145+1))</f>
        <v/>
      </c>
      <c r="J5145" t="str">
        <f>IF(E5145="","",INDEX(Knutepunkter!$C:$C,E5145+1))</f>
        <v/>
      </c>
      <c r="K5145" t="str">
        <f>IF(E5145="","",INDEX(Knutepunkter!$D:$D,E5145+1))</f>
        <v/>
      </c>
      <c r="L5145" t="str">
        <f t="shared" si="403"/>
        <v/>
      </c>
      <c r="M5145" t="str">
        <f t="shared" si="404"/>
        <v/>
      </c>
    </row>
    <row r="5146" spans="1:13" x14ac:dyDescent="0.3">
      <c r="A5146" t="str">
        <f>Segmenter!A5146</f>
        <v/>
      </c>
      <c r="B5146" t="str">
        <f>Segmenter!B5146</f>
        <v/>
      </c>
      <c r="C5146" t="str">
        <f t="shared" si="400"/>
        <v/>
      </c>
      <c r="D5146" t="str">
        <f t="shared" si="401"/>
        <v/>
      </c>
      <c r="E5146" t="str">
        <f t="shared" si="402"/>
        <v/>
      </c>
      <c r="F5146" t="str">
        <f>IF(D5146="","",INDEX(Knutepunkter!$B:$B,D5146+1))</f>
        <v/>
      </c>
      <c r="G5146" t="str">
        <f>IF(D5146="","",INDEX(Knutepunkter!$C:$C,D5146+1))</f>
        <v/>
      </c>
      <c r="H5146" t="str">
        <f>IF(D5146="","",INDEX(Knutepunkter!$D:$D,D5146+1))</f>
        <v/>
      </c>
      <c r="I5146" t="str">
        <f>IF(E5146="","",INDEX(Knutepunkter!$B:$B,E5146+1))</f>
        <v/>
      </c>
      <c r="J5146" t="str">
        <f>IF(E5146="","",INDEX(Knutepunkter!$C:$C,E5146+1))</f>
        <v/>
      </c>
      <c r="K5146" t="str">
        <f>IF(E5146="","",INDEX(Knutepunkter!$D:$D,E5146+1))</f>
        <v/>
      </c>
      <c r="L5146" t="str">
        <f t="shared" si="403"/>
        <v/>
      </c>
      <c r="M5146" t="str">
        <f t="shared" si="404"/>
        <v/>
      </c>
    </row>
    <row r="5147" spans="1:13" x14ac:dyDescent="0.3">
      <c r="A5147" t="str">
        <f>Segmenter!A5147</f>
        <v/>
      </c>
      <c r="B5147" t="str">
        <f>Segmenter!B5147</f>
        <v/>
      </c>
      <c r="C5147" t="str">
        <f t="shared" si="400"/>
        <v/>
      </c>
      <c r="D5147" t="str">
        <f t="shared" si="401"/>
        <v/>
      </c>
      <c r="E5147" t="str">
        <f t="shared" si="402"/>
        <v/>
      </c>
      <c r="F5147" t="str">
        <f>IF(D5147="","",INDEX(Knutepunkter!$B:$B,D5147+1))</f>
        <v/>
      </c>
      <c r="G5147" t="str">
        <f>IF(D5147="","",INDEX(Knutepunkter!$C:$C,D5147+1))</f>
        <v/>
      </c>
      <c r="H5147" t="str">
        <f>IF(D5147="","",INDEX(Knutepunkter!$D:$D,D5147+1))</f>
        <v/>
      </c>
      <c r="I5147" t="str">
        <f>IF(E5147="","",INDEX(Knutepunkter!$B:$B,E5147+1))</f>
        <v/>
      </c>
      <c r="J5147" t="str">
        <f>IF(E5147="","",INDEX(Knutepunkter!$C:$C,E5147+1))</f>
        <v/>
      </c>
      <c r="K5147" t="str">
        <f>IF(E5147="","",INDEX(Knutepunkter!$D:$D,E5147+1))</f>
        <v/>
      </c>
      <c r="L5147" t="str">
        <f t="shared" si="403"/>
        <v/>
      </c>
      <c r="M5147" t="str">
        <f t="shared" si="404"/>
        <v/>
      </c>
    </row>
    <row r="5148" spans="1:13" x14ac:dyDescent="0.3">
      <c r="A5148" t="str">
        <f>Segmenter!A5148</f>
        <v/>
      </c>
      <c r="B5148" t="str">
        <f>Segmenter!B5148</f>
        <v/>
      </c>
      <c r="C5148" t="str">
        <f t="shared" si="400"/>
        <v/>
      </c>
      <c r="D5148" t="str">
        <f t="shared" si="401"/>
        <v/>
      </c>
      <c r="E5148" t="str">
        <f t="shared" si="402"/>
        <v/>
      </c>
      <c r="F5148" t="str">
        <f>IF(D5148="","",INDEX(Knutepunkter!$B:$B,D5148+1))</f>
        <v/>
      </c>
      <c r="G5148" t="str">
        <f>IF(D5148="","",INDEX(Knutepunkter!$C:$C,D5148+1))</f>
        <v/>
      </c>
      <c r="H5148" t="str">
        <f>IF(D5148="","",INDEX(Knutepunkter!$D:$D,D5148+1))</f>
        <v/>
      </c>
      <c r="I5148" t="str">
        <f>IF(E5148="","",INDEX(Knutepunkter!$B:$B,E5148+1))</f>
        <v/>
      </c>
      <c r="J5148" t="str">
        <f>IF(E5148="","",INDEX(Knutepunkter!$C:$C,E5148+1))</f>
        <v/>
      </c>
      <c r="K5148" t="str">
        <f>IF(E5148="","",INDEX(Knutepunkter!$D:$D,E5148+1))</f>
        <v/>
      </c>
      <c r="L5148" t="str">
        <f t="shared" si="403"/>
        <v/>
      </c>
      <c r="M5148" t="str">
        <f t="shared" si="404"/>
        <v/>
      </c>
    </row>
    <row r="5149" spans="1:13" x14ac:dyDescent="0.3">
      <c r="A5149" t="str">
        <f>Segmenter!A5149</f>
        <v/>
      </c>
      <c r="B5149" t="str">
        <f>Segmenter!B5149</f>
        <v/>
      </c>
      <c r="C5149" t="str">
        <f t="shared" si="400"/>
        <v/>
      </c>
      <c r="D5149" t="str">
        <f t="shared" si="401"/>
        <v/>
      </c>
      <c r="E5149" t="str">
        <f t="shared" si="402"/>
        <v/>
      </c>
      <c r="F5149" t="str">
        <f>IF(D5149="","",INDEX(Knutepunkter!$B:$B,D5149+1))</f>
        <v/>
      </c>
      <c r="G5149" t="str">
        <f>IF(D5149="","",INDEX(Knutepunkter!$C:$C,D5149+1))</f>
        <v/>
      </c>
      <c r="H5149" t="str">
        <f>IF(D5149="","",INDEX(Knutepunkter!$D:$D,D5149+1))</f>
        <v/>
      </c>
      <c r="I5149" t="str">
        <f>IF(E5149="","",INDEX(Knutepunkter!$B:$B,E5149+1))</f>
        <v/>
      </c>
      <c r="J5149" t="str">
        <f>IF(E5149="","",INDEX(Knutepunkter!$C:$C,E5149+1))</f>
        <v/>
      </c>
      <c r="K5149" t="str">
        <f>IF(E5149="","",INDEX(Knutepunkter!$D:$D,E5149+1))</f>
        <v/>
      </c>
      <c r="L5149" t="str">
        <f t="shared" si="403"/>
        <v/>
      </c>
      <c r="M5149" t="str">
        <f t="shared" si="404"/>
        <v/>
      </c>
    </row>
    <row r="5150" spans="1:13" x14ac:dyDescent="0.3">
      <c r="A5150" t="str">
        <f>Segmenter!A5150</f>
        <v/>
      </c>
      <c r="B5150" t="str">
        <f>Segmenter!B5150</f>
        <v/>
      </c>
      <c r="C5150" t="str">
        <f t="shared" si="400"/>
        <v/>
      </c>
      <c r="D5150" t="str">
        <f t="shared" si="401"/>
        <v/>
      </c>
      <c r="E5150" t="str">
        <f t="shared" si="402"/>
        <v/>
      </c>
      <c r="F5150" t="str">
        <f>IF(D5150="","",INDEX(Knutepunkter!$B:$B,D5150+1))</f>
        <v/>
      </c>
      <c r="G5150" t="str">
        <f>IF(D5150="","",INDEX(Knutepunkter!$C:$C,D5150+1))</f>
        <v/>
      </c>
      <c r="H5150" t="str">
        <f>IF(D5150="","",INDEX(Knutepunkter!$D:$D,D5150+1))</f>
        <v/>
      </c>
      <c r="I5150" t="str">
        <f>IF(E5150="","",INDEX(Knutepunkter!$B:$B,E5150+1))</f>
        <v/>
      </c>
      <c r="J5150" t="str">
        <f>IF(E5150="","",INDEX(Knutepunkter!$C:$C,E5150+1))</f>
        <v/>
      </c>
      <c r="K5150" t="str">
        <f>IF(E5150="","",INDEX(Knutepunkter!$D:$D,E5150+1))</f>
        <v/>
      </c>
      <c r="L5150" t="str">
        <f t="shared" si="403"/>
        <v/>
      </c>
      <c r="M5150" t="str">
        <f t="shared" si="404"/>
        <v/>
      </c>
    </row>
    <row r="5151" spans="1:13" x14ac:dyDescent="0.3">
      <c r="A5151" t="str">
        <f>Segmenter!A5151</f>
        <v/>
      </c>
      <c r="B5151" t="str">
        <f>Segmenter!B5151</f>
        <v/>
      </c>
      <c r="C5151" t="str">
        <f t="shared" si="400"/>
        <v/>
      </c>
      <c r="D5151" t="str">
        <f t="shared" si="401"/>
        <v/>
      </c>
      <c r="E5151" t="str">
        <f t="shared" si="402"/>
        <v/>
      </c>
      <c r="F5151" t="str">
        <f>IF(D5151="","",INDEX(Knutepunkter!$B:$B,D5151+1))</f>
        <v/>
      </c>
      <c r="G5151" t="str">
        <f>IF(D5151="","",INDEX(Knutepunkter!$C:$C,D5151+1))</f>
        <v/>
      </c>
      <c r="H5151" t="str">
        <f>IF(D5151="","",INDEX(Knutepunkter!$D:$D,D5151+1))</f>
        <v/>
      </c>
      <c r="I5151" t="str">
        <f>IF(E5151="","",INDEX(Knutepunkter!$B:$B,E5151+1))</f>
        <v/>
      </c>
      <c r="J5151" t="str">
        <f>IF(E5151="","",INDEX(Knutepunkter!$C:$C,E5151+1))</f>
        <v/>
      </c>
      <c r="K5151" t="str">
        <f>IF(E5151="","",INDEX(Knutepunkter!$D:$D,E5151+1))</f>
        <v/>
      </c>
      <c r="L5151" t="str">
        <f t="shared" si="403"/>
        <v/>
      </c>
      <c r="M5151" t="str">
        <f t="shared" si="404"/>
        <v/>
      </c>
    </row>
    <row r="5152" spans="1:13" x14ac:dyDescent="0.3">
      <c r="A5152" t="str">
        <f>Segmenter!A5152</f>
        <v/>
      </c>
      <c r="B5152" t="str">
        <f>Segmenter!B5152</f>
        <v/>
      </c>
      <c r="C5152" t="str">
        <f t="shared" si="400"/>
        <v/>
      </c>
      <c r="D5152" t="str">
        <f t="shared" si="401"/>
        <v/>
      </c>
      <c r="E5152" t="str">
        <f t="shared" si="402"/>
        <v/>
      </c>
      <c r="F5152" t="str">
        <f>IF(D5152="","",INDEX(Knutepunkter!$B:$B,D5152+1))</f>
        <v/>
      </c>
      <c r="G5152" t="str">
        <f>IF(D5152="","",INDEX(Knutepunkter!$C:$C,D5152+1))</f>
        <v/>
      </c>
      <c r="H5152" t="str">
        <f>IF(D5152="","",INDEX(Knutepunkter!$D:$D,D5152+1))</f>
        <v/>
      </c>
      <c r="I5152" t="str">
        <f>IF(E5152="","",INDEX(Knutepunkter!$B:$B,E5152+1))</f>
        <v/>
      </c>
      <c r="J5152" t="str">
        <f>IF(E5152="","",INDEX(Knutepunkter!$C:$C,E5152+1))</f>
        <v/>
      </c>
      <c r="K5152" t="str">
        <f>IF(E5152="","",INDEX(Knutepunkter!$D:$D,E5152+1))</f>
        <v/>
      </c>
      <c r="L5152" t="str">
        <f t="shared" si="403"/>
        <v/>
      </c>
      <c r="M5152" t="str">
        <f t="shared" si="404"/>
        <v/>
      </c>
    </row>
    <row r="5153" spans="1:13" x14ac:dyDescent="0.3">
      <c r="A5153" t="str">
        <f>Segmenter!A5153</f>
        <v/>
      </c>
      <c r="B5153" t="str">
        <f>Segmenter!B5153</f>
        <v/>
      </c>
      <c r="C5153" t="str">
        <f t="shared" si="400"/>
        <v/>
      </c>
      <c r="D5153" t="str">
        <f t="shared" si="401"/>
        <v/>
      </c>
      <c r="E5153" t="str">
        <f t="shared" si="402"/>
        <v/>
      </c>
      <c r="F5153" t="str">
        <f>IF(D5153="","",INDEX(Knutepunkter!$B:$B,D5153+1))</f>
        <v/>
      </c>
      <c r="G5153" t="str">
        <f>IF(D5153="","",INDEX(Knutepunkter!$C:$C,D5153+1))</f>
        <v/>
      </c>
      <c r="H5153" t="str">
        <f>IF(D5153="","",INDEX(Knutepunkter!$D:$D,D5153+1))</f>
        <v/>
      </c>
      <c r="I5153" t="str">
        <f>IF(E5153="","",INDEX(Knutepunkter!$B:$B,E5153+1))</f>
        <v/>
      </c>
      <c r="J5153" t="str">
        <f>IF(E5153="","",INDEX(Knutepunkter!$C:$C,E5153+1))</f>
        <v/>
      </c>
      <c r="K5153" t="str">
        <f>IF(E5153="","",INDEX(Knutepunkter!$D:$D,E5153+1))</f>
        <v/>
      </c>
      <c r="L5153" t="str">
        <f t="shared" si="403"/>
        <v/>
      </c>
      <c r="M5153" t="str">
        <f t="shared" si="404"/>
        <v/>
      </c>
    </row>
    <row r="5154" spans="1:13" x14ac:dyDescent="0.3">
      <c r="A5154" t="str">
        <f>Segmenter!A5154</f>
        <v/>
      </c>
      <c r="B5154" t="str">
        <f>Segmenter!B5154</f>
        <v/>
      </c>
      <c r="C5154" t="str">
        <f t="shared" si="400"/>
        <v/>
      </c>
      <c r="D5154" t="str">
        <f t="shared" si="401"/>
        <v/>
      </c>
      <c r="E5154" t="str">
        <f t="shared" si="402"/>
        <v/>
      </c>
      <c r="F5154" t="str">
        <f>IF(D5154="","",INDEX(Knutepunkter!$B:$B,D5154+1))</f>
        <v/>
      </c>
      <c r="G5154" t="str">
        <f>IF(D5154="","",INDEX(Knutepunkter!$C:$C,D5154+1))</f>
        <v/>
      </c>
      <c r="H5154" t="str">
        <f>IF(D5154="","",INDEX(Knutepunkter!$D:$D,D5154+1))</f>
        <v/>
      </c>
      <c r="I5154" t="str">
        <f>IF(E5154="","",INDEX(Knutepunkter!$B:$B,E5154+1))</f>
        <v/>
      </c>
      <c r="J5154" t="str">
        <f>IF(E5154="","",INDEX(Knutepunkter!$C:$C,E5154+1))</f>
        <v/>
      </c>
      <c r="K5154" t="str">
        <f>IF(E5154="","",INDEX(Knutepunkter!$D:$D,E5154+1))</f>
        <v/>
      </c>
      <c r="L5154" t="str">
        <f t="shared" si="403"/>
        <v/>
      </c>
      <c r="M5154" t="str">
        <f t="shared" si="404"/>
        <v/>
      </c>
    </row>
    <row r="5155" spans="1:13" x14ac:dyDescent="0.3">
      <c r="A5155" t="str">
        <f>Segmenter!A5155</f>
        <v/>
      </c>
      <c r="B5155" t="str">
        <f>Segmenter!B5155</f>
        <v/>
      </c>
      <c r="C5155" t="str">
        <f t="shared" si="400"/>
        <v/>
      </c>
      <c r="D5155" t="str">
        <f t="shared" si="401"/>
        <v/>
      </c>
      <c r="E5155" t="str">
        <f t="shared" si="402"/>
        <v/>
      </c>
      <c r="F5155" t="str">
        <f>IF(D5155="","",INDEX(Knutepunkter!$B:$B,D5155+1))</f>
        <v/>
      </c>
      <c r="G5155" t="str">
        <f>IF(D5155="","",INDEX(Knutepunkter!$C:$C,D5155+1))</f>
        <v/>
      </c>
      <c r="H5155" t="str">
        <f>IF(D5155="","",INDEX(Knutepunkter!$D:$D,D5155+1))</f>
        <v/>
      </c>
      <c r="I5155" t="str">
        <f>IF(E5155="","",INDEX(Knutepunkter!$B:$B,E5155+1))</f>
        <v/>
      </c>
      <c r="J5155" t="str">
        <f>IF(E5155="","",INDEX(Knutepunkter!$C:$C,E5155+1))</f>
        <v/>
      </c>
      <c r="K5155" t="str">
        <f>IF(E5155="","",INDEX(Knutepunkter!$D:$D,E5155+1))</f>
        <v/>
      </c>
      <c r="L5155" t="str">
        <f t="shared" si="403"/>
        <v/>
      </c>
      <c r="M5155" t="str">
        <f t="shared" si="404"/>
        <v/>
      </c>
    </row>
    <row r="5156" spans="1:13" x14ac:dyDescent="0.3">
      <c r="A5156" t="str">
        <f>Segmenter!A5156</f>
        <v/>
      </c>
      <c r="B5156" t="str">
        <f>Segmenter!B5156</f>
        <v/>
      </c>
      <c r="C5156" t="str">
        <f t="shared" si="400"/>
        <v/>
      </c>
      <c r="D5156" t="str">
        <f t="shared" si="401"/>
        <v/>
      </c>
      <c r="E5156" t="str">
        <f t="shared" si="402"/>
        <v/>
      </c>
      <c r="F5156" t="str">
        <f>IF(D5156="","",INDEX(Knutepunkter!$B:$B,D5156+1))</f>
        <v/>
      </c>
      <c r="G5156" t="str">
        <f>IF(D5156="","",INDEX(Knutepunkter!$C:$C,D5156+1))</f>
        <v/>
      </c>
      <c r="H5156" t="str">
        <f>IF(D5156="","",INDEX(Knutepunkter!$D:$D,D5156+1))</f>
        <v/>
      </c>
      <c r="I5156" t="str">
        <f>IF(E5156="","",INDEX(Knutepunkter!$B:$B,E5156+1))</f>
        <v/>
      </c>
      <c r="J5156" t="str">
        <f>IF(E5156="","",INDEX(Knutepunkter!$C:$C,E5156+1))</f>
        <v/>
      </c>
      <c r="K5156" t="str">
        <f>IF(E5156="","",INDEX(Knutepunkter!$D:$D,E5156+1))</f>
        <v/>
      </c>
      <c r="L5156" t="str">
        <f t="shared" si="403"/>
        <v/>
      </c>
      <c r="M5156" t="str">
        <f t="shared" si="404"/>
        <v/>
      </c>
    </row>
    <row r="5157" spans="1:13" x14ac:dyDescent="0.3">
      <c r="A5157" t="str">
        <f>Segmenter!A5157</f>
        <v/>
      </c>
      <c r="B5157" t="str">
        <f>Segmenter!B5157</f>
        <v/>
      </c>
      <c r="C5157" t="str">
        <f t="shared" si="400"/>
        <v/>
      </c>
      <c r="D5157" t="str">
        <f t="shared" si="401"/>
        <v/>
      </c>
      <c r="E5157" t="str">
        <f t="shared" si="402"/>
        <v/>
      </c>
      <c r="F5157" t="str">
        <f>IF(D5157="","",INDEX(Knutepunkter!$B:$B,D5157+1))</f>
        <v/>
      </c>
      <c r="G5157" t="str">
        <f>IF(D5157="","",INDEX(Knutepunkter!$C:$C,D5157+1))</f>
        <v/>
      </c>
      <c r="H5157" t="str">
        <f>IF(D5157="","",INDEX(Knutepunkter!$D:$D,D5157+1))</f>
        <v/>
      </c>
      <c r="I5157" t="str">
        <f>IF(E5157="","",INDEX(Knutepunkter!$B:$B,E5157+1))</f>
        <v/>
      </c>
      <c r="J5157" t="str">
        <f>IF(E5157="","",INDEX(Knutepunkter!$C:$C,E5157+1))</f>
        <v/>
      </c>
      <c r="K5157" t="str">
        <f>IF(E5157="","",INDEX(Knutepunkter!$D:$D,E5157+1))</f>
        <v/>
      </c>
      <c r="L5157" t="str">
        <f t="shared" si="403"/>
        <v/>
      </c>
      <c r="M5157" t="str">
        <f t="shared" si="404"/>
        <v/>
      </c>
    </row>
    <row r="5158" spans="1:13" x14ac:dyDescent="0.3">
      <c r="A5158" t="str">
        <f>Segmenter!A5158</f>
        <v/>
      </c>
      <c r="B5158" t="str">
        <f>Segmenter!B5158</f>
        <v/>
      </c>
      <c r="C5158" t="str">
        <f t="shared" si="400"/>
        <v/>
      </c>
      <c r="D5158" t="str">
        <f t="shared" si="401"/>
        <v/>
      </c>
      <c r="E5158" t="str">
        <f t="shared" si="402"/>
        <v/>
      </c>
      <c r="F5158" t="str">
        <f>IF(D5158="","",INDEX(Knutepunkter!$B:$B,D5158+1))</f>
        <v/>
      </c>
      <c r="G5158" t="str">
        <f>IF(D5158="","",INDEX(Knutepunkter!$C:$C,D5158+1))</f>
        <v/>
      </c>
      <c r="H5158" t="str">
        <f>IF(D5158="","",INDEX(Knutepunkter!$D:$D,D5158+1))</f>
        <v/>
      </c>
      <c r="I5158" t="str">
        <f>IF(E5158="","",INDEX(Knutepunkter!$B:$B,E5158+1))</f>
        <v/>
      </c>
      <c r="J5158" t="str">
        <f>IF(E5158="","",INDEX(Knutepunkter!$C:$C,E5158+1))</f>
        <v/>
      </c>
      <c r="K5158" t="str">
        <f>IF(E5158="","",INDEX(Knutepunkter!$D:$D,E5158+1))</f>
        <v/>
      </c>
      <c r="L5158" t="str">
        <f t="shared" si="403"/>
        <v/>
      </c>
      <c r="M5158" t="str">
        <f t="shared" si="404"/>
        <v/>
      </c>
    </row>
    <row r="5159" spans="1:13" x14ac:dyDescent="0.3">
      <c r="A5159" t="str">
        <f>Segmenter!A5159</f>
        <v/>
      </c>
      <c r="B5159" t="str">
        <f>Segmenter!B5159</f>
        <v/>
      </c>
      <c r="C5159" t="str">
        <f t="shared" si="400"/>
        <v/>
      </c>
      <c r="D5159" t="str">
        <f t="shared" si="401"/>
        <v/>
      </c>
      <c r="E5159" t="str">
        <f t="shared" si="402"/>
        <v/>
      </c>
      <c r="F5159" t="str">
        <f>IF(D5159="","",INDEX(Knutepunkter!$B:$B,D5159+1))</f>
        <v/>
      </c>
      <c r="G5159" t="str">
        <f>IF(D5159="","",INDEX(Knutepunkter!$C:$C,D5159+1))</f>
        <v/>
      </c>
      <c r="H5159" t="str">
        <f>IF(D5159="","",INDEX(Knutepunkter!$D:$D,D5159+1))</f>
        <v/>
      </c>
      <c r="I5159" t="str">
        <f>IF(E5159="","",INDEX(Knutepunkter!$B:$B,E5159+1))</f>
        <v/>
      </c>
      <c r="J5159" t="str">
        <f>IF(E5159="","",INDEX(Knutepunkter!$C:$C,E5159+1))</f>
        <v/>
      </c>
      <c r="K5159" t="str">
        <f>IF(E5159="","",INDEX(Knutepunkter!$D:$D,E5159+1))</f>
        <v/>
      </c>
      <c r="L5159" t="str">
        <f t="shared" si="403"/>
        <v/>
      </c>
      <c r="M5159" t="str">
        <f t="shared" si="404"/>
        <v/>
      </c>
    </row>
    <row r="5160" spans="1:13" x14ac:dyDescent="0.3">
      <c r="A5160" t="str">
        <f>Segmenter!A5160</f>
        <v/>
      </c>
      <c r="B5160" t="str">
        <f>Segmenter!B5160</f>
        <v/>
      </c>
      <c r="C5160" t="str">
        <f t="shared" si="400"/>
        <v/>
      </c>
      <c r="D5160" t="str">
        <f t="shared" si="401"/>
        <v/>
      </c>
      <c r="E5160" t="str">
        <f t="shared" si="402"/>
        <v/>
      </c>
      <c r="F5160" t="str">
        <f>IF(D5160="","",INDEX(Knutepunkter!$B:$B,D5160+1))</f>
        <v/>
      </c>
      <c r="G5160" t="str">
        <f>IF(D5160="","",INDEX(Knutepunkter!$C:$C,D5160+1))</f>
        <v/>
      </c>
      <c r="H5160" t="str">
        <f>IF(D5160="","",INDEX(Knutepunkter!$D:$D,D5160+1))</f>
        <v/>
      </c>
      <c r="I5160" t="str">
        <f>IF(E5160="","",INDEX(Knutepunkter!$B:$B,E5160+1))</f>
        <v/>
      </c>
      <c r="J5160" t="str">
        <f>IF(E5160="","",INDEX(Knutepunkter!$C:$C,E5160+1))</f>
        <v/>
      </c>
      <c r="K5160" t="str">
        <f>IF(E5160="","",INDEX(Knutepunkter!$D:$D,E5160+1))</f>
        <v/>
      </c>
      <c r="L5160" t="str">
        <f t="shared" si="403"/>
        <v/>
      </c>
      <c r="M5160" t="str">
        <f t="shared" si="404"/>
        <v/>
      </c>
    </row>
    <row r="5161" spans="1:13" x14ac:dyDescent="0.3">
      <c r="A5161" t="str">
        <f>Segmenter!A5161</f>
        <v/>
      </c>
      <c r="B5161" t="str">
        <f>Segmenter!B5161</f>
        <v/>
      </c>
      <c r="C5161" t="str">
        <f t="shared" si="400"/>
        <v/>
      </c>
      <c r="D5161" t="str">
        <f t="shared" si="401"/>
        <v/>
      </c>
      <c r="E5161" t="str">
        <f t="shared" si="402"/>
        <v/>
      </c>
      <c r="F5161" t="str">
        <f>IF(D5161="","",INDEX(Knutepunkter!$B:$B,D5161+1))</f>
        <v/>
      </c>
      <c r="G5161" t="str">
        <f>IF(D5161="","",INDEX(Knutepunkter!$C:$C,D5161+1))</f>
        <v/>
      </c>
      <c r="H5161" t="str">
        <f>IF(D5161="","",INDEX(Knutepunkter!$D:$D,D5161+1))</f>
        <v/>
      </c>
      <c r="I5161" t="str">
        <f>IF(E5161="","",INDEX(Knutepunkter!$B:$B,E5161+1))</f>
        <v/>
      </c>
      <c r="J5161" t="str">
        <f>IF(E5161="","",INDEX(Knutepunkter!$C:$C,E5161+1))</f>
        <v/>
      </c>
      <c r="K5161" t="str">
        <f>IF(E5161="","",INDEX(Knutepunkter!$D:$D,E5161+1))</f>
        <v/>
      </c>
      <c r="L5161" t="str">
        <f t="shared" si="403"/>
        <v/>
      </c>
      <c r="M5161" t="str">
        <f t="shared" si="404"/>
        <v/>
      </c>
    </row>
    <row r="5162" spans="1:13" x14ac:dyDescent="0.3">
      <c r="A5162" t="str">
        <f>Segmenter!A5162</f>
        <v/>
      </c>
      <c r="B5162" t="str">
        <f>Segmenter!B5162</f>
        <v/>
      </c>
      <c r="C5162" t="str">
        <f t="shared" si="400"/>
        <v/>
      </c>
      <c r="D5162" t="str">
        <f t="shared" si="401"/>
        <v/>
      </c>
      <c r="E5162" t="str">
        <f t="shared" si="402"/>
        <v/>
      </c>
      <c r="F5162" t="str">
        <f>IF(D5162="","",INDEX(Knutepunkter!$B:$B,D5162+1))</f>
        <v/>
      </c>
      <c r="G5162" t="str">
        <f>IF(D5162="","",INDEX(Knutepunkter!$C:$C,D5162+1))</f>
        <v/>
      </c>
      <c r="H5162" t="str">
        <f>IF(D5162="","",INDEX(Knutepunkter!$D:$D,D5162+1))</f>
        <v/>
      </c>
      <c r="I5162" t="str">
        <f>IF(E5162="","",INDEX(Knutepunkter!$B:$B,E5162+1))</f>
        <v/>
      </c>
      <c r="J5162" t="str">
        <f>IF(E5162="","",INDEX(Knutepunkter!$C:$C,E5162+1))</f>
        <v/>
      </c>
      <c r="K5162" t="str">
        <f>IF(E5162="","",INDEX(Knutepunkter!$D:$D,E5162+1))</f>
        <v/>
      </c>
      <c r="L5162" t="str">
        <f t="shared" si="403"/>
        <v/>
      </c>
      <c r="M5162" t="str">
        <f t="shared" si="404"/>
        <v/>
      </c>
    </row>
    <row r="5163" spans="1:13" x14ac:dyDescent="0.3">
      <c r="A5163" t="str">
        <f>Segmenter!A5163</f>
        <v/>
      </c>
      <c r="B5163" t="str">
        <f>Segmenter!B5163</f>
        <v/>
      </c>
      <c r="C5163" t="str">
        <f t="shared" si="400"/>
        <v/>
      </c>
      <c r="D5163" t="str">
        <f t="shared" si="401"/>
        <v/>
      </c>
      <c r="E5163" t="str">
        <f t="shared" si="402"/>
        <v/>
      </c>
      <c r="F5163" t="str">
        <f>IF(D5163="","",INDEX(Knutepunkter!$B:$B,D5163+1))</f>
        <v/>
      </c>
      <c r="G5163" t="str">
        <f>IF(D5163="","",INDEX(Knutepunkter!$C:$C,D5163+1))</f>
        <v/>
      </c>
      <c r="H5163" t="str">
        <f>IF(D5163="","",INDEX(Knutepunkter!$D:$D,D5163+1))</f>
        <v/>
      </c>
      <c r="I5163" t="str">
        <f>IF(E5163="","",INDEX(Knutepunkter!$B:$B,E5163+1))</f>
        <v/>
      </c>
      <c r="J5163" t="str">
        <f>IF(E5163="","",INDEX(Knutepunkter!$C:$C,E5163+1))</f>
        <v/>
      </c>
      <c r="K5163" t="str">
        <f>IF(E5163="","",INDEX(Knutepunkter!$D:$D,E5163+1))</f>
        <v/>
      </c>
      <c r="L5163" t="str">
        <f t="shared" si="403"/>
        <v/>
      </c>
      <c r="M5163" t="str">
        <f t="shared" si="404"/>
        <v/>
      </c>
    </row>
    <row r="5164" spans="1:13" x14ac:dyDescent="0.3">
      <c r="A5164" t="str">
        <f>Segmenter!A5164</f>
        <v/>
      </c>
      <c r="B5164" t="str">
        <f>Segmenter!B5164</f>
        <v/>
      </c>
      <c r="C5164" t="str">
        <f t="shared" si="400"/>
        <v/>
      </c>
      <c r="D5164" t="str">
        <f t="shared" si="401"/>
        <v/>
      </c>
      <c r="E5164" t="str">
        <f t="shared" si="402"/>
        <v/>
      </c>
      <c r="F5164" t="str">
        <f>IF(D5164="","",INDEX(Knutepunkter!$B:$B,D5164+1))</f>
        <v/>
      </c>
      <c r="G5164" t="str">
        <f>IF(D5164="","",INDEX(Knutepunkter!$C:$C,D5164+1))</f>
        <v/>
      </c>
      <c r="H5164" t="str">
        <f>IF(D5164="","",INDEX(Knutepunkter!$D:$D,D5164+1))</f>
        <v/>
      </c>
      <c r="I5164" t="str">
        <f>IF(E5164="","",INDEX(Knutepunkter!$B:$B,E5164+1))</f>
        <v/>
      </c>
      <c r="J5164" t="str">
        <f>IF(E5164="","",INDEX(Knutepunkter!$C:$C,E5164+1))</f>
        <v/>
      </c>
      <c r="K5164" t="str">
        <f>IF(E5164="","",INDEX(Knutepunkter!$D:$D,E5164+1))</f>
        <v/>
      </c>
      <c r="L5164" t="str">
        <f t="shared" si="403"/>
        <v/>
      </c>
      <c r="M5164" t="str">
        <f t="shared" si="404"/>
        <v/>
      </c>
    </row>
    <row r="5165" spans="1:13" x14ac:dyDescent="0.3">
      <c r="A5165" t="str">
        <f>Segmenter!A5165</f>
        <v/>
      </c>
      <c r="B5165" t="str">
        <f>Segmenter!B5165</f>
        <v/>
      </c>
      <c r="C5165" t="str">
        <f t="shared" si="400"/>
        <v/>
      </c>
      <c r="D5165" t="str">
        <f t="shared" si="401"/>
        <v/>
      </c>
      <c r="E5165" t="str">
        <f t="shared" si="402"/>
        <v/>
      </c>
      <c r="F5165" t="str">
        <f>IF(D5165="","",INDEX(Knutepunkter!$B:$B,D5165+1))</f>
        <v/>
      </c>
      <c r="G5165" t="str">
        <f>IF(D5165="","",INDEX(Knutepunkter!$C:$C,D5165+1))</f>
        <v/>
      </c>
      <c r="H5165" t="str">
        <f>IF(D5165="","",INDEX(Knutepunkter!$D:$D,D5165+1))</f>
        <v/>
      </c>
      <c r="I5165" t="str">
        <f>IF(E5165="","",INDEX(Knutepunkter!$B:$B,E5165+1))</f>
        <v/>
      </c>
      <c r="J5165" t="str">
        <f>IF(E5165="","",INDEX(Knutepunkter!$C:$C,E5165+1))</f>
        <v/>
      </c>
      <c r="K5165" t="str">
        <f>IF(E5165="","",INDEX(Knutepunkter!$D:$D,E5165+1))</f>
        <v/>
      </c>
      <c r="L5165" t="str">
        <f t="shared" si="403"/>
        <v/>
      </c>
      <c r="M5165" t="str">
        <f t="shared" si="404"/>
        <v/>
      </c>
    </row>
    <row r="5166" spans="1:13" x14ac:dyDescent="0.3">
      <c r="A5166" t="str">
        <f>Segmenter!A5166</f>
        <v/>
      </c>
      <c r="B5166" t="str">
        <f>Segmenter!B5166</f>
        <v/>
      </c>
      <c r="C5166" t="str">
        <f t="shared" si="400"/>
        <v/>
      </c>
      <c r="D5166" t="str">
        <f t="shared" si="401"/>
        <v/>
      </c>
      <c r="E5166" t="str">
        <f t="shared" si="402"/>
        <v/>
      </c>
      <c r="F5166" t="str">
        <f>IF(D5166="","",INDEX(Knutepunkter!$B:$B,D5166+1))</f>
        <v/>
      </c>
      <c r="G5166" t="str">
        <f>IF(D5166="","",INDEX(Knutepunkter!$C:$C,D5166+1))</f>
        <v/>
      </c>
      <c r="H5166" t="str">
        <f>IF(D5166="","",INDEX(Knutepunkter!$D:$D,D5166+1))</f>
        <v/>
      </c>
      <c r="I5166" t="str">
        <f>IF(E5166="","",INDEX(Knutepunkter!$B:$B,E5166+1))</f>
        <v/>
      </c>
      <c r="J5166" t="str">
        <f>IF(E5166="","",INDEX(Knutepunkter!$C:$C,E5166+1))</f>
        <v/>
      </c>
      <c r="K5166" t="str">
        <f>IF(E5166="","",INDEX(Knutepunkter!$D:$D,E5166+1))</f>
        <v/>
      </c>
      <c r="L5166" t="str">
        <f t="shared" si="403"/>
        <v/>
      </c>
      <c r="M5166" t="str">
        <f t="shared" si="404"/>
        <v/>
      </c>
    </row>
    <row r="5167" spans="1:13" x14ac:dyDescent="0.3">
      <c r="A5167" t="str">
        <f>Segmenter!A5167</f>
        <v/>
      </c>
      <c r="B5167" t="str">
        <f>Segmenter!B5167</f>
        <v/>
      </c>
      <c r="C5167" t="str">
        <f t="shared" si="400"/>
        <v/>
      </c>
      <c r="D5167" t="str">
        <f t="shared" si="401"/>
        <v/>
      </c>
      <c r="E5167" t="str">
        <f t="shared" si="402"/>
        <v/>
      </c>
      <c r="F5167" t="str">
        <f>IF(D5167="","",INDEX(Knutepunkter!$B:$B,D5167+1))</f>
        <v/>
      </c>
      <c r="G5167" t="str">
        <f>IF(D5167="","",INDEX(Knutepunkter!$C:$C,D5167+1))</f>
        <v/>
      </c>
      <c r="H5167" t="str">
        <f>IF(D5167="","",INDEX(Knutepunkter!$D:$D,D5167+1))</f>
        <v/>
      </c>
      <c r="I5167" t="str">
        <f>IF(E5167="","",INDEX(Knutepunkter!$B:$B,E5167+1))</f>
        <v/>
      </c>
      <c r="J5167" t="str">
        <f>IF(E5167="","",INDEX(Knutepunkter!$C:$C,E5167+1))</f>
        <v/>
      </c>
      <c r="K5167" t="str">
        <f>IF(E5167="","",INDEX(Knutepunkter!$D:$D,E5167+1))</f>
        <v/>
      </c>
      <c r="L5167" t="str">
        <f t="shared" si="403"/>
        <v/>
      </c>
      <c r="M5167" t="str">
        <f t="shared" si="404"/>
        <v/>
      </c>
    </row>
    <row r="5168" spans="1:13" x14ac:dyDescent="0.3">
      <c r="A5168" t="str">
        <f>Segmenter!A5168</f>
        <v/>
      </c>
      <c r="B5168" t="str">
        <f>Segmenter!B5168</f>
        <v/>
      </c>
      <c r="C5168" t="str">
        <f t="shared" si="400"/>
        <v/>
      </c>
      <c r="D5168" t="str">
        <f t="shared" si="401"/>
        <v/>
      </c>
      <c r="E5168" t="str">
        <f t="shared" si="402"/>
        <v/>
      </c>
      <c r="F5168" t="str">
        <f>IF(D5168="","",INDEX(Knutepunkter!$B:$B,D5168+1))</f>
        <v/>
      </c>
      <c r="G5168" t="str">
        <f>IF(D5168="","",INDEX(Knutepunkter!$C:$C,D5168+1))</f>
        <v/>
      </c>
      <c r="H5168" t="str">
        <f>IF(D5168="","",INDEX(Knutepunkter!$D:$D,D5168+1))</f>
        <v/>
      </c>
      <c r="I5168" t="str">
        <f>IF(E5168="","",INDEX(Knutepunkter!$B:$B,E5168+1))</f>
        <v/>
      </c>
      <c r="J5168" t="str">
        <f>IF(E5168="","",INDEX(Knutepunkter!$C:$C,E5168+1))</f>
        <v/>
      </c>
      <c r="K5168" t="str">
        <f>IF(E5168="","",INDEX(Knutepunkter!$D:$D,E5168+1))</f>
        <v/>
      </c>
      <c r="L5168" t="str">
        <f t="shared" si="403"/>
        <v/>
      </c>
      <c r="M5168" t="str">
        <f t="shared" si="404"/>
        <v/>
      </c>
    </row>
    <row r="5169" spans="1:13" x14ac:dyDescent="0.3">
      <c r="A5169" t="str">
        <f>Segmenter!A5169</f>
        <v/>
      </c>
      <c r="B5169" t="str">
        <f>Segmenter!B5169</f>
        <v/>
      </c>
      <c r="C5169" t="str">
        <f t="shared" si="400"/>
        <v/>
      </c>
      <c r="D5169" t="str">
        <f t="shared" si="401"/>
        <v/>
      </c>
      <c r="E5169" t="str">
        <f t="shared" si="402"/>
        <v/>
      </c>
      <c r="F5169" t="str">
        <f>IF(D5169="","",INDEX(Knutepunkter!$B:$B,D5169+1))</f>
        <v/>
      </c>
      <c r="G5169" t="str">
        <f>IF(D5169="","",INDEX(Knutepunkter!$C:$C,D5169+1))</f>
        <v/>
      </c>
      <c r="H5169" t="str">
        <f>IF(D5169="","",INDEX(Knutepunkter!$D:$D,D5169+1))</f>
        <v/>
      </c>
      <c r="I5169" t="str">
        <f>IF(E5169="","",INDEX(Knutepunkter!$B:$B,E5169+1))</f>
        <v/>
      </c>
      <c r="J5169" t="str">
        <f>IF(E5169="","",INDEX(Knutepunkter!$C:$C,E5169+1))</f>
        <v/>
      </c>
      <c r="K5169" t="str">
        <f>IF(E5169="","",INDEX(Knutepunkter!$D:$D,E5169+1))</f>
        <v/>
      </c>
      <c r="L5169" t="str">
        <f t="shared" si="403"/>
        <v/>
      </c>
      <c r="M5169" t="str">
        <f t="shared" si="404"/>
        <v/>
      </c>
    </row>
    <row r="5170" spans="1:13" x14ac:dyDescent="0.3">
      <c r="A5170" t="str">
        <f>Segmenter!A5170</f>
        <v/>
      </c>
      <c r="B5170" t="str">
        <f>Segmenter!B5170</f>
        <v/>
      </c>
      <c r="C5170" t="str">
        <f t="shared" si="400"/>
        <v/>
      </c>
      <c r="D5170" t="str">
        <f t="shared" si="401"/>
        <v/>
      </c>
      <c r="E5170" t="str">
        <f t="shared" si="402"/>
        <v/>
      </c>
      <c r="F5170" t="str">
        <f>IF(D5170="","",INDEX(Knutepunkter!$B:$B,D5170+1))</f>
        <v/>
      </c>
      <c r="G5170" t="str">
        <f>IF(D5170="","",INDEX(Knutepunkter!$C:$C,D5170+1))</f>
        <v/>
      </c>
      <c r="H5170" t="str">
        <f>IF(D5170="","",INDEX(Knutepunkter!$D:$D,D5170+1))</f>
        <v/>
      </c>
      <c r="I5170" t="str">
        <f>IF(E5170="","",INDEX(Knutepunkter!$B:$B,E5170+1))</f>
        <v/>
      </c>
      <c r="J5170" t="str">
        <f>IF(E5170="","",INDEX(Knutepunkter!$C:$C,E5170+1))</f>
        <v/>
      </c>
      <c r="K5170" t="str">
        <f>IF(E5170="","",INDEX(Knutepunkter!$D:$D,E5170+1))</f>
        <v/>
      </c>
      <c r="L5170" t="str">
        <f t="shared" si="403"/>
        <v/>
      </c>
      <c r="M5170" t="str">
        <f t="shared" si="404"/>
        <v/>
      </c>
    </row>
    <row r="5171" spans="1:13" x14ac:dyDescent="0.3">
      <c r="A5171" t="str">
        <f>Segmenter!A5171</f>
        <v/>
      </c>
      <c r="B5171" t="str">
        <f>Segmenter!B5171</f>
        <v/>
      </c>
      <c r="C5171" t="str">
        <f t="shared" si="400"/>
        <v/>
      </c>
      <c r="D5171" t="str">
        <f t="shared" si="401"/>
        <v/>
      </c>
      <c r="E5171" t="str">
        <f t="shared" si="402"/>
        <v/>
      </c>
      <c r="F5171" t="str">
        <f>IF(D5171="","",INDEX(Knutepunkter!$B:$B,D5171+1))</f>
        <v/>
      </c>
      <c r="G5171" t="str">
        <f>IF(D5171="","",INDEX(Knutepunkter!$C:$C,D5171+1))</f>
        <v/>
      </c>
      <c r="H5171" t="str">
        <f>IF(D5171="","",INDEX(Knutepunkter!$D:$D,D5171+1))</f>
        <v/>
      </c>
      <c r="I5171" t="str">
        <f>IF(E5171="","",INDEX(Knutepunkter!$B:$B,E5171+1))</f>
        <v/>
      </c>
      <c r="J5171" t="str">
        <f>IF(E5171="","",INDEX(Knutepunkter!$C:$C,E5171+1))</f>
        <v/>
      </c>
      <c r="K5171" t="str">
        <f>IF(E5171="","",INDEX(Knutepunkter!$D:$D,E5171+1))</f>
        <v/>
      </c>
      <c r="L5171" t="str">
        <f t="shared" si="403"/>
        <v/>
      </c>
      <c r="M5171" t="str">
        <f t="shared" si="404"/>
        <v/>
      </c>
    </row>
    <row r="5172" spans="1:13" x14ac:dyDescent="0.3">
      <c r="A5172" t="str">
        <f>Segmenter!A5172</f>
        <v/>
      </c>
      <c r="B5172" t="str">
        <f>Segmenter!B5172</f>
        <v/>
      </c>
      <c r="C5172" t="str">
        <f t="shared" si="400"/>
        <v/>
      </c>
      <c r="D5172" t="str">
        <f t="shared" si="401"/>
        <v/>
      </c>
      <c r="E5172" t="str">
        <f t="shared" si="402"/>
        <v/>
      </c>
      <c r="F5172" t="str">
        <f>IF(D5172="","",INDEX(Knutepunkter!$B:$B,D5172+1))</f>
        <v/>
      </c>
      <c r="G5172" t="str">
        <f>IF(D5172="","",INDEX(Knutepunkter!$C:$C,D5172+1))</f>
        <v/>
      </c>
      <c r="H5172" t="str">
        <f>IF(D5172="","",INDEX(Knutepunkter!$D:$D,D5172+1))</f>
        <v/>
      </c>
      <c r="I5172" t="str">
        <f>IF(E5172="","",INDEX(Knutepunkter!$B:$B,E5172+1))</f>
        <v/>
      </c>
      <c r="J5172" t="str">
        <f>IF(E5172="","",INDEX(Knutepunkter!$C:$C,E5172+1))</f>
        <v/>
      </c>
      <c r="K5172" t="str">
        <f>IF(E5172="","",INDEX(Knutepunkter!$D:$D,E5172+1))</f>
        <v/>
      </c>
      <c r="L5172" t="str">
        <f t="shared" si="403"/>
        <v/>
      </c>
      <c r="M5172" t="str">
        <f t="shared" si="404"/>
        <v/>
      </c>
    </row>
    <row r="5173" spans="1:13" x14ac:dyDescent="0.3">
      <c r="A5173" t="str">
        <f>Segmenter!A5173</f>
        <v/>
      </c>
      <c r="B5173" t="str">
        <f>Segmenter!B5173</f>
        <v/>
      </c>
      <c r="C5173" t="str">
        <f t="shared" si="400"/>
        <v/>
      </c>
      <c r="D5173" t="str">
        <f t="shared" si="401"/>
        <v/>
      </c>
      <c r="E5173" t="str">
        <f t="shared" si="402"/>
        <v/>
      </c>
      <c r="F5173" t="str">
        <f>IF(D5173="","",INDEX(Knutepunkter!$B:$B,D5173+1))</f>
        <v/>
      </c>
      <c r="G5173" t="str">
        <f>IF(D5173="","",INDEX(Knutepunkter!$C:$C,D5173+1))</f>
        <v/>
      </c>
      <c r="H5173" t="str">
        <f>IF(D5173="","",INDEX(Knutepunkter!$D:$D,D5173+1))</f>
        <v/>
      </c>
      <c r="I5173" t="str">
        <f>IF(E5173="","",INDEX(Knutepunkter!$B:$B,E5173+1))</f>
        <v/>
      </c>
      <c r="J5173" t="str">
        <f>IF(E5173="","",INDEX(Knutepunkter!$C:$C,E5173+1))</f>
        <v/>
      </c>
      <c r="K5173" t="str">
        <f>IF(E5173="","",INDEX(Knutepunkter!$D:$D,E5173+1))</f>
        <v/>
      </c>
      <c r="L5173" t="str">
        <f t="shared" si="403"/>
        <v/>
      </c>
      <c r="M5173" t="str">
        <f t="shared" si="404"/>
        <v/>
      </c>
    </row>
    <row r="5174" spans="1:13" x14ac:dyDescent="0.3">
      <c r="A5174" t="str">
        <f>Segmenter!A5174</f>
        <v/>
      </c>
      <c r="B5174" t="str">
        <f>Segmenter!B5174</f>
        <v/>
      </c>
      <c r="C5174" t="str">
        <f t="shared" si="400"/>
        <v/>
      </c>
      <c r="D5174" t="str">
        <f t="shared" si="401"/>
        <v/>
      </c>
      <c r="E5174" t="str">
        <f t="shared" si="402"/>
        <v/>
      </c>
      <c r="F5174" t="str">
        <f>IF(D5174="","",INDEX(Knutepunkter!$B:$B,D5174+1))</f>
        <v/>
      </c>
      <c r="G5174" t="str">
        <f>IF(D5174="","",INDEX(Knutepunkter!$C:$C,D5174+1))</f>
        <v/>
      </c>
      <c r="H5174" t="str">
        <f>IF(D5174="","",INDEX(Knutepunkter!$D:$D,D5174+1))</f>
        <v/>
      </c>
      <c r="I5174" t="str">
        <f>IF(E5174="","",INDEX(Knutepunkter!$B:$B,E5174+1))</f>
        <v/>
      </c>
      <c r="J5174" t="str">
        <f>IF(E5174="","",INDEX(Knutepunkter!$C:$C,E5174+1))</f>
        <v/>
      </c>
      <c r="K5174" t="str">
        <f>IF(E5174="","",INDEX(Knutepunkter!$D:$D,E5174+1))</f>
        <v/>
      </c>
      <c r="L5174" t="str">
        <f t="shared" si="403"/>
        <v/>
      </c>
      <c r="M5174" t="str">
        <f t="shared" si="404"/>
        <v/>
      </c>
    </row>
    <row r="5175" spans="1:13" x14ac:dyDescent="0.3">
      <c r="A5175" t="str">
        <f>Segmenter!A5175</f>
        <v/>
      </c>
      <c r="B5175" t="str">
        <f>Segmenter!B5175</f>
        <v/>
      </c>
      <c r="C5175" t="str">
        <f t="shared" si="400"/>
        <v/>
      </c>
      <c r="D5175" t="str">
        <f t="shared" si="401"/>
        <v/>
      </c>
      <c r="E5175" t="str">
        <f t="shared" si="402"/>
        <v/>
      </c>
      <c r="F5175" t="str">
        <f>IF(D5175="","",INDEX(Knutepunkter!$B:$B,D5175+1))</f>
        <v/>
      </c>
      <c r="G5175" t="str">
        <f>IF(D5175="","",INDEX(Knutepunkter!$C:$C,D5175+1))</f>
        <v/>
      </c>
      <c r="H5175" t="str">
        <f>IF(D5175="","",INDEX(Knutepunkter!$D:$D,D5175+1))</f>
        <v/>
      </c>
      <c r="I5175" t="str">
        <f>IF(E5175="","",INDEX(Knutepunkter!$B:$B,E5175+1))</f>
        <v/>
      </c>
      <c r="J5175" t="str">
        <f>IF(E5175="","",INDEX(Knutepunkter!$C:$C,E5175+1))</f>
        <v/>
      </c>
      <c r="K5175" t="str">
        <f>IF(E5175="","",INDEX(Knutepunkter!$D:$D,E5175+1))</f>
        <v/>
      </c>
      <c r="L5175" t="str">
        <f t="shared" si="403"/>
        <v/>
      </c>
      <c r="M5175" t="str">
        <f t="shared" si="404"/>
        <v/>
      </c>
    </row>
    <row r="5176" spans="1:13" x14ac:dyDescent="0.3">
      <c r="A5176" t="str">
        <f>Segmenter!A5176</f>
        <v/>
      </c>
      <c r="B5176" t="str">
        <f>Segmenter!B5176</f>
        <v/>
      </c>
      <c r="C5176" t="str">
        <f t="shared" si="400"/>
        <v/>
      </c>
      <c r="D5176" t="str">
        <f t="shared" si="401"/>
        <v/>
      </c>
      <c r="E5176" t="str">
        <f t="shared" si="402"/>
        <v/>
      </c>
      <c r="F5176" t="str">
        <f>IF(D5176="","",INDEX(Knutepunkter!$B:$B,D5176+1))</f>
        <v/>
      </c>
      <c r="G5176" t="str">
        <f>IF(D5176="","",INDEX(Knutepunkter!$C:$C,D5176+1))</f>
        <v/>
      </c>
      <c r="H5176" t="str">
        <f>IF(D5176="","",INDEX(Knutepunkter!$D:$D,D5176+1))</f>
        <v/>
      </c>
      <c r="I5176" t="str">
        <f>IF(E5176="","",INDEX(Knutepunkter!$B:$B,E5176+1))</f>
        <v/>
      </c>
      <c r="J5176" t="str">
        <f>IF(E5176="","",INDEX(Knutepunkter!$C:$C,E5176+1))</f>
        <v/>
      </c>
      <c r="K5176" t="str">
        <f>IF(E5176="","",INDEX(Knutepunkter!$D:$D,E5176+1))</f>
        <v/>
      </c>
      <c r="L5176" t="str">
        <f t="shared" si="403"/>
        <v/>
      </c>
      <c r="M5176" t="str">
        <f t="shared" si="404"/>
        <v/>
      </c>
    </row>
    <row r="5177" spans="1:13" x14ac:dyDescent="0.3">
      <c r="A5177" t="str">
        <f>Segmenter!A5177</f>
        <v/>
      </c>
      <c r="B5177" t="str">
        <f>Segmenter!B5177</f>
        <v/>
      </c>
      <c r="C5177" t="str">
        <f t="shared" si="400"/>
        <v/>
      </c>
      <c r="D5177" t="str">
        <f t="shared" si="401"/>
        <v/>
      </c>
      <c r="E5177" t="str">
        <f t="shared" si="402"/>
        <v/>
      </c>
      <c r="F5177" t="str">
        <f>IF(D5177="","",INDEX(Knutepunkter!$B:$B,D5177+1))</f>
        <v/>
      </c>
      <c r="G5177" t="str">
        <f>IF(D5177="","",INDEX(Knutepunkter!$C:$C,D5177+1))</f>
        <v/>
      </c>
      <c r="H5177" t="str">
        <f>IF(D5177="","",INDEX(Knutepunkter!$D:$D,D5177+1))</f>
        <v/>
      </c>
      <c r="I5177" t="str">
        <f>IF(E5177="","",INDEX(Knutepunkter!$B:$B,E5177+1))</f>
        <v/>
      </c>
      <c r="J5177" t="str">
        <f>IF(E5177="","",INDEX(Knutepunkter!$C:$C,E5177+1))</f>
        <v/>
      </c>
      <c r="K5177" t="str">
        <f>IF(E5177="","",INDEX(Knutepunkter!$D:$D,E5177+1))</f>
        <v/>
      </c>
      <c r="L5177" t="str">
        <f t="shared" si="403"/>
        <v/>
      </c>
      <c r="M5177" t="str">
        <f t="shared" si="404"/>
        <v/>
      </c>
    </row>
    <row r="5178" spans="1:13" x14ac:dyDescent="0.3">
      <c r="A5178" t="str">
        <f>Segmenter!A5178</f>
        <v/>
      </c>
      <c r="B5178" t="str">
        <f>Segmenter!B5178</f>
        <v/>
      </c>
      <c r="C5178" t="str">
        <f t="shared" si="400"/>
        <v/>
      </c>
      <c r="D5178" t="str">
        <f t="shared" si="401"/>
        <v/>
      </c>
      <c r="E5178" t="str">
        <f t="shared" si="402"/>
        <v/>
      </c>
      <c r="F5178" t="str">
        <f>IF(D5178="","",INDEX(Knutepunkter!$B:$B,D5178+1))</f>
        <v/>
      </c>
      <c r="G5178" t="str">
        <f>IF(D5178="","",INDEX(Knutepunkter!$C:$C,D5178+1))</f>
        <v/>
      </c>
      <c r="H5178" t="str">
        <f>IF(D5178="","",INDEX(Knutepunkter!$D:$D,D5178+1))</f>
        <v/>
      </c>
      <c r="I5178" t="str">
        <f>IF(E5178="","",INDEX(Knutepunkter!$B:$B,E5178+1))</f>
        <v/>
      </c>
      <c r="J5178" t="str">
        <f>IF(E5178="","",INDEX(Knutepunkter!$C:$C,E5178+1))</f>
        <v/>
      </c>
      <c r="K5178" t="str">
        <f>IF(E5178="","",INDEX(Knutepunkter!$D:$D,E5178+1))</f>
        <v/>
      </c>
      <c r="L5178" t="str">
        <f t="shared" si="403"/>
        <v/>
      </c>
      <c r="M5178" t="str">
        <f t="shared" si="404"/>
        <v/>
      </c>
    </row>
    <row r="5179" spans="1:13" x14ac:dyDescent="0.3">
      <c r="A5179" t="str">
        <f>Segmenter!A5179</f>
        <v/>
      </c>
      <c r="B5179" t="str">
        <f>Segmenter!B5179</f>
        <v/>
      </c>
      <c r="C5179" t="str">
        <f t="shared" si="400"/>
        <v/>
      </c>
      <c r="D5179" t="str">
        <f t="shared" si="401"/>
        <v/>
      </c>
      <c r="E5179" t="str">
        <f t="shared" si="402"/>
        <v/>
      </c>
      <c r="F5179" t="str">
        <f>IF(D5179="","",INDEX(Knutepunkter!$B:$B,D5179+1))</f>
        <v/>
      </c>
      <c r="G5179" t="str">
        <f>IF(D5179="","",INDEX(Knutepunkter!$C:$C,D5179+1))</f>
        <v/>
      </c>
      <c r="H5179" t="str">
        <f>IF(D5179="","",INDEX(Knutepunkter!$D:$D,D5179+1))</f>
        <v/>
      </c>
      <c r="I5179" t="str">
        <f>IF(E5179="","",INDEX(Knutepunkter!$B:$B,E5179+1))</f>
        <v/>
      </c>
      <c r="J5179" t="str">
        <f>IF(E5179="","",INDEX(Knutepunkter!$C:$C,E5179+1))</f>
        <v/>
      </c>
      <c r="K5179" t="str">
        <f>IF(E5179="","",INDEX(Knutepunkter!$D:$D,E5179+1))</f>
        <v/>
      </c>
      <c r="L5179" t="str">
        <f t="shared" si="403"/>
        <v/>
      </c>
      <c r="M5179" t="str">
        <f t="shared" si="404"/>
        <v/>
      </c>
    </row>
    <row r="5180" spans="1:13" x14ac:dyDescent="0.3">
      <c r="A5180" t="str">
        <f>Segmenter!A5180</f>
        <v/>
      </c>
      <c r="B5180" t="str">
        <f>Segmenter!B5180</f>
        <v/>
      </c>
      <c r="C5180" t="str">
        <f t="shared" si="400"/>
        <v/>
      </c>
      <c r="D5180" t="str">
        <f t="shared" si="401"/>
        <v/>
      </c>
      <c r="E5180" t="str">
        <f t="shared" si="402"/>
        <v/>
      </c>
      <c r="F5180" t="str">
        <f>IF(D5180="","",INDEX(Knutepunkter!$B:$B,D5180+1))</f>
        <v/>
      </c>
      <c r="G5180" t="str">
        <f>IF(D5180="","",INDEX(Knutepunkter!$C:$C,D5180+1))</f>
        <v/>
      </c>
      <c r="H5180" t="str">
        <f>IF(D5180="","",INDEX(Knutepunkter!$D:$D,D5180+1))</f>
        <v/>
      </c>
      <c r="I5180" t="str">
        <f>IF(E5180="","",INDEX(Knutepunkter!$B:$B,E5180+1))</f>
        <v/>
      </c>
      <c r="J5180" t="str">
        <f>IF(E5180="","",INDEX(Knutepunkter!$C:$C,E5180+1))</f>
        <v/>
      </c>
      <c r="K5180" t="str">
        <f>IF(E5180="","",INDEX(Knutepunkter!$D:$D,E5180+1))</f>
        <v/>
      </c>
      <c r="L5180" t="str">
        <f t="shared" si="403"/>
        <v/>
      </c>
      <c r="M5180" t="str">
        <f t="shared" si="404"/>
        <v/>
      </c>
    </row>
    <row r="5181" spans="1:13" x14ac:dyDescent="0.3">
      <c r="A5181" t="str">
        <f>Segmenter!A5181</f>
        <v/>
      </c>
      <c r="B5181" t="str">
        <f>Segmenter!B5181</f>
        <v/>
      </c>
      <c r="C5181" t="str">
        <f t="shared" si="400"/>
        <v/>
      </c>
      <c r="D5181" t="str">
        <f t="shared" si="401"/>
        <v/>
      </c>
      <c r="E5181" t="str">
        <f t="shared" si="402"/>
        <v/>
      </c>
      <c r="F5181" t="str">
        <f>IF(D5181="","",INDEX(Knutepunkter!$B:$B,D5181+1))</f>
        <v/>
      </c>
      <c r="G5181" t="str">
        <f>IF(D5181="","",INDEX(Knutepunkter!$C:$C,D5181+1))</f>
        <v/>
      </c>
      <c r="H5181" t="str">
        <f>IF(D5181="","",INDEX(Knutepunkter!$D:$D,D5181+1))</f>
        <v/>
      </c>
      <c r="I5181" t="str">
        <f>IF(E5181="","",INDEX(Knutepunkter!$B:$B,E5181+1))</f>
        <v/>
      </c>
      <c r="J5181" t="str">
        <f>IF(E5181="","",INDEX(Knutepunkter!$C:$C,E5181+1))</f>
        <v/>
      </c>
      <c r="K5181" t="str">
        <f>IF(E5181="","",INDEX(Knutepunkter!$D:$D,E5181+1))</f>
        <v/>
      </c>
      <c r="L5181" t="str">
        <f t="shared" si="403"/>
        <v/>
      </c>
      <c r="M5181" t="str">
        <f t="shared" si="404"/>
        <v/>
      </c>
    </row>
    <row r="5182" spans="1:13" x14ac:dyDescent="0.3">
      <c r="A5182" t="str">
        <f>Segmenter!A5182</f>
        <v/>
      </c>
      <c r="B5182" t="str">
        <f>Segmenter!B5182</f>
        <v/>
      </c>
      <c r="C5182" t="str">
        <f t="shared" si="400"/>
        <v/>
      </c>
      <c r="D5182" t="str">
        <f t="shared" si="401"/>
        <v/>
      </c>
      <c r="E5182" t="str">
        <f t="shared" si="402"/>
        <v/>
      </c>
      <c r="F5182" t="str">
        <f>IF(D5182="","",INDEX(Knutepunkter!$B:$B,D5182+1))</f>
        <v/>
      </c>
      <c r="G5182" t="str">
        <f>IF(D5182="","",INDEX(Knutepunkter!$C:$C,D5182+1))</f>
        <v/>
      </c>
      <c r="H5182" t="str">
        <f>IF(D5182="","",INDEX(Knutepunkter!$D:$D,D5182+1))</f>
        <v/>
      </c>
      <c r="I5182" t="str">
        <f>IF(E5182="","",INDEX(Knutepunkter!$B:$B,E5182+1))</f>
        <v/>
      </c>
      <c r="J5182" t="str">
        <f>IF(E5182="","",INDEX(Knutepunkter!$C:$C,E5182+1))</f>
        <v/>
      </c>
      <c r="K5182" t="str">
        <f>IF(E5182="","",INDEX(Knutepunkter!$D:$D,E5182+1))</f>
        <v/>
      </c>
      <c r="L5182" t="str">
        <f t="shared" si="403"/>
        <v/>
      </c>
      <c r="M5182" t="str">
        <f t="shared" si="404"/>
        <v/>
      </c>
    </row>
    <row r="5183" spans="1:13" x14ac:dyDescent="0.3">
      <c r="A5183" t="str">
        <f>Segmenter!A5183</f>
        <v/>
      </c>
      <c r="B5183" t="str">
        <f>Segmenter!B5183</f>
        <v/>
      </c>
      <c r="C5183" t="str">
        <f t="shared" si="400"/>
        <v/>
      </c>
      <c r="D5183" t="str">
        <f t="shared" si="401"/>
        <v/>
      </c>
      <c r="E5183" t="str">
        <f t="shared" si="402"/>
        <v/>
      </c>
      <c r="F5183" t="str">
        <f>IF(D5183="","",INDEX(Knutepunkter!$B:$B,D5183+1))</f>
        <v/>
      </c>
      <c r="G5183" t="str">
        <f>IF(D5183="","",INDEX(Knutepunkter!$C:$C,D5183+1))</f>
        <v/>
      </c>
      <c r="H5183" t="str">
        <f>IF(D5183="","",INDEX(Knutepunkter!$D:$D,D5183+1))</f>
        <v/>
      </c>
      <c r="I5183" t="str">
        <f>IF(E5183="","",INDEX(Knutepunkter!$B:$B,E5183+1))</f>
        <v/>
      </c>
      <c r="J5183" t="str">
        <f>IF(E5183="","",INDEX(Knutepunkter!$C:$C,E5183+1))</f>
        <v/>
      </c>
      <c r="K5183" t="str">
        <f>IF(E5183="","",INDEX(Knutepunkter!$D:$D,E5183+1))</f>
        <v/>
      </c>
      <c r="L5183" t="str">
        <f t="shared" si="403"/>
        <v/>
      </c>
      <c r="M5183" t="str">
        <f t="shared" si="404"/>
        <v/>
      </c>
    </row>
    <row r="5184" spans="1:13" x14ac:dyDescent="0.3">
      <c r="A5184" t="str">
        <f>Segmenter!A5184</f>
        <v/>
      </c>
      <c r="B5184" t="str">
        <f>Segmenter!B5184</f>
        <v/>
      </c>
      <c r="C5184" t="str">
        <f t="shared" si="400"/>
        <v/>
      </c>
      <c r="D5184" t="str">
        <f t="shared" si="401"/>
        <v/>
      </c>
      <c r="E5184" t="str">
        <f t="shared" si="402"/>
        <v/>
      </c>
      <c r="F5184" t="str">
        <f>IF(D5184="","",INDEX(Knutepunkter!$B:$B,D5184+1))</f>
        <v/>
      </c>
      <c r="G5184" t="str">
        <f>IF(D5184="","",INDEX(Knutepunkter!$C:$C,D5184+1))</f>
        <v/>
      </c>
      <c r="H5184" t="str">
        <f>IF(D5184="","",INDEX(Knutepunkter!$D:$D,D5184+1))</f>
        <v/>
      </c>
      <c r="I5184" t="str">
        <f>IF(E5184="","",INDEX(Knutepunkter!$B:$B,E5184+1))</f>
        <v/>
      </c>
      <c r="J5184" t="str">
        <f>IF(E5184="","",INDEX(Knutepunkter!$C:$C,E5184+1))</f>
        <v/>
      </c>
      <c r="K5184" t="str">
        <f>IF(E5184="","",INDEX(Knutepunkter!$D:$D,E5184+1))</f>
        <v/>
      </c>
      <c r="L5184" t="str">
        <f t="shared" si="403"/>
        <v/>
      </c>
      <c r="M5184" t="str">
        <f t="shared" si="404"/>
        <v/>
      </c>
    </row>
    <row r="5185" spans="1:13" x14ac:dyDescent="0.3">
      <c r="A5185" t="str">
        <f>Segmenter!A5185</f>
        <v/>
      </c>
      <c r="B5185" t="str">
        <f>Segmenter!B5185</f>
        <v/>
      </c>
      <c r="C5185" t="str">
        <f t="shared" si="400"/>
        <v/>
      </c>
      <c r="D5185" t="str">
        <f t="shared" si="401"/>
        <v/>
      </c>
      <c r="E5185" t="str">
        <f t="shared" si="402"/>
        <v/>
      </c>
      <c r="F5185" t="str">
        <f>IF(D5185="","",INDEX(Knutepunkter!$B:$B,D5185+1))</f>
        <v/>
      </c>
      <c r="G5185" t="str">
        <f>IF(D5185="","",INDEX(Knutepunkter!$C:$C,D5185+1))</f>
        <v/>
      </c>
      <c r="H5185" t="str">
        <f>IF(D5185="","",INDEX(Knutepunkter!$D:$D,D5185+1))</f>
        <v/>
      </c>
      <c r="I5185" t="str">
        <f>IF(E5185="","",INDEX(Knutepunkter!$B:$B,E5185+1))</f>
        <v/>
      </c>
      <c r="J5185" t="str">
        <f>IF(E5185="","",INDEX(Knutepunkter!$C:$C,E5185+1))</f>
        <v/>
      </c>
      <c r="K5185" t="str">
        <f>IF(E5185="","",INDEX(Knutepunkter!$D:$D,E5185+1))</f>
        <v/>
      </c>
      <c r="L5185" t="str">
        <f t="shared" si="403"/>
        <v/>
      </c>
      <c r="M5185" t="str">
        <f t="shared" si="404"/>
        <v/>
      </c>
    </row>
    <row r="5186" spans="1:13" x14ac:dyDescent="0.3">
      <c r="A5186" t="str">
        <f>Segmenter!A5186</f>
        <v/>
      </c>
      <c r="B5186" t="str">
        <f>Segmenter!B5186</f>
        <v/>
      </c>
      <c r="C5186" t="str">
        <f t="shared" ref="C5186:C5249" si="405">IF(B5186="","",IF(AND(F5186=I5186,G5186=J5186,H5186&lt;&gt;K5186),"Søyle","Bjelke"))</f>
        <v/>
      </c>
      <c r="D5186" t="str">
        <f t="shared" ref="D5186:D5249" si="406">IF(B5186="","",VALUE(LEFT(B5186,FIND(" -&gt; ",B5186)-1)))</f>
        <v/>
      </c>
      <c r="E5186" t="str">
        <f t="shared" ref="E5186:E5249" si="407">IF(B5186="","",VALUE(MID(B5186,FIND(" -&gt; ",B5186)+4,99)))</f>
        <v/>
      </c>
      <c r="F5186" t="str">
        <f>IF(D5186="","",INDEX(Knutepunkter!$B:$B,D5186+1))</f>
        <v/>
      </c>
      <c r="G5186" t="str">
        <f>IF(D5186="","",INDEX(Knutepunkter!$C:$C,D5186+1))</f>
        <v/>
      </c>
      <c r="H5186" t="str">
        <f>IF(D5186="","",INDEX(Knutepunkter!$D:$D,D5186+1))</f>
        <v/>
      </c>
      <c r="I5186" t="str">
        <f>IF(E5186="","",INDEX(Knutepunkter!$B:$B,E5186+1))</f>
        <v/>
      </c>
      <c r="J5186" t="str">
        <f>IF(E5186="","",INDEX(Knutepunkter!$C:$C,E5186+1))</f>
        <v/>
      </c>
      <c r="K5186" t="str">
        <f>IF(E5186="","",INDEX(Knutepunkter!$D:$D,E5186+1))</f>
        <v/>
      </c>
      <c r="L5186" t="str">
        <f t="shared" ref="L5186:L5249" si="408">IF(B5186="","",SQRT((I5186-F5186)^2+(J5186-G5186)^2+(K5186-H5186)^2))</f>
        <v/>
      </c>
      <c r="M5186" t="str">
        <f t="shared" ref="M5186:M5249" si="409">IF(L5186="","",L5186/1000)</f>
        <v/>
      </c>
    </row>
    <row r="5187" spans="1:13" x14ac:dyDescent="0.3">
      <c r="A5187" t="str">
        <f>Segmenter!A5187</f>
        <v/>
      </c>
      <c r="B5187" t="str">
        <f>Segmenter!B5187</f>
        <v/>
      </c>
      <c r="C5187" t="str">
        <f t="shared" si="405"/>
        <v/>
      </c>
      <c r="D5187" t="str">
        <f t="shared" si="406"/>
        <v/>
      </c>
      <c r="E5187" t="str">
        <f t="shared" si="407"/>
        <v/>
      </c>
      <c r="F5187" t="str">
        <f>IF(D5187="","",INDEX(Knutepunkter!$B:$B,D5187+1))</f>
        <v/>
      </c>
      <c r="G5187" t="str">
        <f>IF(D5187="","",INDEX(Knutepunkter!$C:$C,D5187+1))</f>
        <v/>
      </c>
      <c r="H5187" t="str">
        <f>IF(D5187="","",INDEX(Knutepunkter!$D:$D,D5187+1))</f>
        <v/>
      </c>
      <c r="I5187" t="str">
        <f>IF(E5187="","",INDEX(Knutepunkter!$B:$B,E5187+1))</f>
        <v/>
      </c>
      <c r="J5187" t="str">
        <f>IF(E5187="","",INDEX(Knutepunkter!$C:$C,E5187+1))</f>
        <v/>
      </c>
      <c r="K5187" t="str">
        <f>IF(E5187="","",INDEX(Knutepunkter!$D:$D,E5187+1))</f>
        <v/>
      </c>
      <c r="L5187" t="str">
        <f t="shared" si="408"/>
        <v/>
      </c>
      <c r="M5187" t="str">
        <f t="shared" si="409"/>
        <v/>
      </c>
    </row>
    <row r="5188" spans="1:13" x14ac:dyDescent="0.3">
      <c r="A5188" t="str">
        <f>Segmenter!A5188</f>
        <v/>
      </c>
      <c r="B5188" t="str">
        <f>Segmenter!B5188</f>
        <v/>
      </c>
      <c r="C5188" t="str">
        <f t="shared" si="405"/>
        <v/>
      </c>
      <c r="D5188" t="str">
        <f t="shared" si="406"/>
        <v/>
      </c>
      <c r="E5188" t="str">
        <f t="shared" si="407"/>
        <v/>
      </c>
      <c r="F5188" t="str">
        <f>IF(D5188="","",INDEX(Knutepunkter!$B:$B,D5188+1))</f>
        <v/>
      </c>
      <c r="G5188" t="str">
        <f>IF(D5188="","",INDEX(Knutepunkter!$C:$C,D5188+1))</f>
        <v/>
      </c>
      <c r="H5188" t="str">
        <f>IF(D5188="","",INDEX(Knutepunkter!$D:$D,D5188+1))</f>
        <v/>
      </c>
      <c r="I5188" t="str">
        <f>IF(E5188="","",INDEX(Knutepunkter!$B:$B,E5188+1))</f>
        <v/>
      </c>
      <c r="J5188" t="str">
        <f>IF(E5188="","",INDEX(Knutepunkter!$C:$C,E5188+1))</f>
        <v/>
      </c>
      <c r="K5188" t="str">
        <f>IF(E5188="","",INDEX(Knutepunkter!$D:$D,E5188+1))</f>
        <v/>
      </c>
      <c r="L5188" t="str">
        <f t="shared" si="408"/>
        <v/>
      </c>
      <c r="M5188" t="str">
        <f t="shared" si="409"/>
        <v/>
      </c>
    </row>
    <row r="5189" spans="1:13" x14ac:dyDescent="0.3">
      <c r="A5189" t="str">
        <f>Segmenter!A5189</f>
        <v/>
      </c>
      <c r="B5189" t="str">
        <f>Segmenter!B5189</f>
        <v/>
      </c>
      <c r="C5189" t="str">
        <f t="shared" si="405"/>
        <v/>
      </c>
      <c r="D5189" t="str">
        <f t="shared" si="406"/>
        <v/>
      </c>
      <c r="E5189" t="str">
        <f t="shared" si="407"/>
        <v/>
      </c>
      <c r="F5189" t="str">
        <f>IF(D5189="","",INDEX(Knutepunkter!$B:$B,D5189+1))</f>
        <v/>
      </c>
      <c r="G5189" t="str">
        <f>IF(D5189="","",INDEX(Knutepunkter!$C:$C,D5189+1))</f>
        <v/>
      </c>
      <c r="H5189" t="str">
        <f>IF(D5189="","",INDEX(Knutepunkter!$D:$D,D5189+1))</f>
        <v/>
      </c>
      <c r="I5189" t="str">
        <f>IF(E5189="","",INDEX(Knutepunkter!$B:$B,E5189+1))</f>
        <v/>
      </c>
      <c r="J5189" t="str">
        <f>IF(E5189="","",INDEX(Knutepunkter!$C:$C,E5189+1))</f>
        <v/>
      </c>
      <c r="K5189" t="str">
        <f>IF(E5189="","",INDEX(Knutepunkter!$D:$D,E5189+1))</f>
        <v/>
      </c>
      <c r="L5189" t="str">
        <f t="shared" si="408"/>
        <v/>
      </c>
      <c r="M5189" t="str">
        <f t="shared" si="409"/>
        <v/>
      </c>
    </row>
    <row r="5190" spans="1:13" x14ac:dyDescent="0.3">
      <c r="A5190" t="str">
        <f>Segmenter!A5190</f>
        <v/>
      </c>
      <c r="B5190" t="str">
        <f>Segmenter!B5190</f>
        <v/>
      </c>
      <c r="C5190" t="str">
        <f t="shared" si="405"/>
        <v/>
      </c>
      <c r="D5190" t="str">
        <f t="shared" si="406"/>
        <v/>
      </c>
      <c r="E5190" t="str">
        <f t="shared" si="407"/>
        <v/>
      </c>
      <c r="F5190" t="str">
        <f>IF(D5190="","",INDEX(Knutepunkter!$B:$B,D5190+1))</f>
        <v/>
      </c>
      <c r="G5190" t="str">
        <f>IF(D5190="","",INDEX(Knutepunkter!$C:$C,D5190+1))</f>
        <v/>
      </c>
      <c r="H5190" t="str">
        <f>IF(D5190="","",INDEX(Knutepunkter!$D:$D,D5190+1))</f>
        <v/>
      </c>
      <c r="I5190" t="str">
        <f>IF(E5190="","",INDEX(Knutepunkter!$B:$B,E5190+1))</f>
        <v/>
      </c>
      <c r="J5190" t="str">
        <f>IF(E5190="","",INDEX(Knutepunkter!$C:$C,E5190+1))</f>
        <v/>
      </c>
      <c r="K5190" t="str">
        <f>IF(E5190="","",INDEX(Knutepunkter!$D:$D,E5190+1))</f>
        <v/>
      </c>
      <c r="L5190" t="str">
        <f t="shared" si="408"/>
        <v/>
      </c>
      <c r="M5190" t="str">
        <f t="shared" si="409"/>
        <v/>
      </c>
    </row>
    <row r="5191" spans="1:13" x14ac:dyDescent="0.3">
      <c r="A5191" t="str">
        <f>Segmenter!A5191</f>
        <v/>
      </c>
      <c r="B5191" t="str">
        <f>Segmenter!B5191</f>
        <v/>
      </c>
      <c r="C5191" t="str">
        <f t="shared" si="405"/>
        <v/>
      </c>
      <c r="D5191" t="str">
        <f t="shared" si="406"/>
        <v/>
      </c>
      <c r="E5191" t="str">
        <f t="shared" si="407"/>
        <v/>
      </c>
      <c r="F5191" t="str">
        <f>IF(D5191="","",INDEX(Knutepunkter!$B:$B,D5191+1))</f>
        <v/>
      </c>
      <c r="G5191" t="str">
        <f>IF(D5191="","",INDEX(Knutepunkter!$C:$C,D5191+1))</f>
        <v/>
      </c>
      <c r="H5191" t="str">
        <f>IF(D5191="","",INDEX(Knutepunkter!$D:$D,D5191+1))</f>
        <v/>
      </c>
      <c r="I5191" t="str">
        <f>IF(E5191="","",INDEX(Knutepunkter!$B:$B,E5191+1))</f>
        <v/>
      </c>
      <c r="J5191" t="str">
        <f>IF(E5191="","",INDEX(Knutepunkter!$C:$C,E5191+1))</f>
        <v/>
      </c>
      <c r="K5191" t="str">
        <f>IF(E5191="","",INDEX(Knutepunkter!$D:$D,E5191+1))</f>
        <v/>
      </c>
      <c r="L5191" t="str">
        <f t="shared" si="408"/>
        <v/>
      </c>
      <c r="M5191" t="str">
        <f t="shared" si="409"/>
        <v/>
      </c>
    </row>
    <row r="5192" spans="1:13" x14ac:dyDescent="0.3">
      <c r="A5192" t="str">
        <f>Segmenter!A5192</f>
        <v/>
      </c>
      <c r="B5192" t="str">
        <f>Segmenter!B5192</f>
        <v/>
      </c>
      <c r="C5192" t="str">
        <f t="shared" si="405"/>
        <v/>
      </c>
      <c r="D5192" t="str">
        <f t="shared" si="406"/>
        <v/>
      </c>
      <c r="E5192" t="str">
        <f t="shared" si="407"/>
        <v/>
      </c>
      <c r="F5192" t="str">
        <f>IF(D5192="","",INDEX(Knutepunkter!$B:$B,D5192+1))</f>
        <v/>
      </c>
      <c r="G5192" t="str">
        <f>IF(D5192="","",INDEX(Knutepunkter!$C:$C,D5192+1))</f>
        <v/>
      </c>
      <c r="H5192" t="str">
        <f>IF(D5192="","",INDEX(Knutepunkter!$D:$D,D5192+1))</f>
        <v/>
      </c>
      <c r="I5192" t="str">
        <f>IF(E5192="","",INDEX(Knutepunkter!$B:$B,E5192+1))</f>
        <v/>
      </c>
      <c r="J5192" t="str">
        <f>IF(E5192="","",INDEX(Knutepunkter!$C:$C,E5192+1))</f>
        <v/>
      </c>
      <c r="K5192" t="str">
        <f>IF(E5192="","",INDEX(Knutepunkter!$D:$D,E5192+1))</f>
        <v/>
      </c>
      <c r="L5192" t="str">
        <f t="shared" si="408"/>
        <v/>
      </c>
      <c r="M5192" t="str">
        <f t="shared" si="409"/>
        <v/>
      </c>
    </row>
    <row r="5193" spans="1:13" x14ac:dyDescent="0.3">
      <c r="A5193" t="str">
        <f>Segmenter!A5193</f>
        <v/>
      </c>
      <c r="B5193" t="str">
        <f>Segmenter!B5193</f>
        <v/>
      </c>
      <c r="C5193" t="str">
        <f t="shared" si="405"/>
        <v/>
      </c>
      <c r="D5193" t="str">
        <f t="shared" si="406"/>
        <v/>
      </c>
      <c r="E5193" t="str">
        <f t="shared" si="407"/>
        <v/>
      </c>
      <c r="F5193" t="str">
        <f>IF(D5193="","",INDEX(Knutepunkter!$B:$B,D5193+1))</f>
        <v/>
      </c>
      <c r="G5193" t="str">
        <f>IF(D5193="","",INDEX(Knutepunkter!$C:$C,D5193+1))</f>
        <v/>
      </c>
      <c r="H5193" t="str">
        <f>IF(D5193="","",INDEX(Knutepunkter!$D:$D,D5193+1))</f>
        <v/>
      </c>
      <c r="I5193" t="str">
        <f>IF(E5193="","",INDEX(Knutepunkter!$B:$B,E5193+1))</f>
        <v/>
      </c>
      <c r="J5193" t="str">
        <f>IF(E5193="","",INDEX(Knutepunkter!$C:$C,E5193+1))</f>
        <v/>
      </c>
      <c r="K5193" t="str">
        <f>IF(E5193="","",INDEX(Knutepunkter!$D:$D,E5193+1))</f>
        <v/>
      </c>
      <c r="L5193" t="str">
        <f t="shared" si="408"/>
        <v/>
      </c>
      <c r="M5193" t="str">
        <f t="shared" si="409"/>
        <v/>
      </c>
    </row>
    <row r="5194" spans="1:13" x14ac:dyDescent="0.3">
      <c r="A5194" t="str">
        <f>Segmenter!A5194</f>
        <v/>
      </c>
      <c r="B5194" t="str">
        <f>Segmenter!B5194</f>
        <v/>
      </c>
      <c r="C5194" t="str">
        <f t="shared" si="405"/>
        <v/>
      </c>
      <c r="D5194" t="str">
        <f t="shared" si="406"/>
        <v/>
      </c>
      <c r="E5194" t="str">
        <f t="shared" si="407"/>
        <v/>
      </c>
      <c r="F5194" t="str">
        <f>IF(D5194="","",INDEX(Knutepunkter!$B:$B,D5194+1))</f>
        <v/>
      </c>
      <c r="G5194" t="str">
        <f>IF(D5194="","",INDEX(Knutepunkter!$C:$C,D5194+1))</f>
        <v/>
      </c>
      <c r="H5194" t="str">
        <f>IF(D5194="","",INDEX(Knutepunkter!$D:$D,D5194+1))</f>
        <v/>
      </c>
      <c r="I5194" t="str">
        <f>IF(E5194="","",INDEX(Knutepunkter!$B:$B,E5194+1))</f>
        <v/>
      </c>
      <c r="J5194" t="str">
        <f>IF(E5194="","",INDEX(Knutepunkter!$C:$C,E5194+1))</f>
        <v/>
      </c>
      <c r="K5194" t="str">
        <f>IF(E5194="","",INDEX(Knutepunkter!$D:$D,E5194+1))</f>
        <v/>
      </c>
      <c r="L5194" t="str">
        <f t="shared" si="408"/>
        <v/>
      </c>
      <c r="M5194" t="str">
        <f t="shared" si="409"/>
        <v/>
      </c>
    </row>
    <row r="5195" spans="1:13" x14ac:dyDescent="0.3">
      <c r="A5195" t="str">
        <f>Segmenter!A5195</f>
        <v/>
      </c>
      <c r="B5195" t="str">
        <f>Segmenter!B5195</f>
        <v/>
      </c>
      <c r="C5195" t="str">
        <f t="shared" si="405"/>
        <v/>
      </c>
      <c r="D5195" t="str">
        <f t="shared" si="406"/>
        <v/>
      </c>
      <c r="E5195" t="str">
        <f t="shared" si="407"/>
        <v/>
      </c>
      <c r="F5195" t="str">
        <f>IF(D5195="","",INDEX(Knutepunkter!$B:$B,D5195+1))</f>
        <v/>
      </c>
      <c r="G5195" t="str">
        <f>IF(D5195="","",INDEX(Knutepunkter!$C:$C,D5195+1))</f>
        <v/>
      </c>
      <c r="H5195" t="str">
        <f>IF(D5195="","",INDEX(Knutepunkter!$D:$D,D5195+1))</f>
        <v/>
      </c>
      <c r="I5195" t="str">
        <f>IF(E5195="","",INDEX(Knutepunkter!$B:$B,E5195+1))</f>
        <v/>
      </c>
      <c r="J5195" t="str">
        <f>IF(E5195="","",INDEX(Knutepunkter!$C:$C,E5195+1))</f>
        <v/>
      </c>
      <c r="K5195" t="str">
        <f>IF(E5195="","",INDEX(Knutepunkter!$D:$D,E5195+1))</f>
        <v/>
      </c>
      <c r="L5195" t="str">
        <f t="shared" si="408"/>
        <v/>
      </c>
      <c r="M5195" t="str">
        <f t="shared" si="409"/>
        <v/>
      </c>
    </row>
    <row r="5196" spans="1:13" x14ac:dyDescent="0.3">
      <c r="A5196" t="str">
        <f>Segmenter!A5196</f>
        <v/>
      </c>
      <c r="B5196" t="str">
        <f>Segmenter!B5196</f>
        <v/>
      </c>
      <c r="C5196" t="str">
        <f t="shared" si="405"/>
        <v/>
      </c>
      <c r="D5196" t="str">
        <f t="shared" si="406"/>
        <v/>
      </c>
      <c r="E5196" t="str">
        <f t="shared" si="407"/>
        <v/>
      </c>
      <c r="F5196" t="str">
        <f>IF(D5196="","",INDEX(Knutepunkter!$B:$B,D5196+1))</f>
        <v/>
      </c>
      <c r="G5196" t="str">
        <f>IF(D5196="","",INDEX(Knutepunkter!$C:$C,D5196+1))</f>
        <v/>
      </c>
      <c r="H5196" t="str">
        <f>IF(D5196="","",INDEX(Knutepunkter!$D:$D,D5196+1))</f>
        <v/>
      </c>
      <c r="I5196" t="str">
        <f>IF(E5196="","",INDEX(Knutepunkter!$B:$B,E5196+1))</f>
        <v/>
      </c>
      <c r="J5196" t="str">
        <f>IF(E5196="","",INDEX(Knutepunkter!$C:$C,E5196+1))</f>
        <v/>
      </c>
      <c r="K5196" t="str">
        <f>IF(E5196="","",INDEX(Knutepunkter!$D:$D,E5196+1))</f>
        <v/>
      </c>
      <c r="L5196" t="str">
        <f t="shared" si="408"/>
        <v/>
      </c>
      <c r="M5196" t="str">
        <f t="shared" si="409"/>
        <v/>
      </c>
    </row>
    <row r="5197" spans="1:13" x14ac:dyDescent="0.3">
      <c r="A5197" t="str">
        <f>Segmenter!A5197</f>
        <v/>
      </c>
      <c r="B5197" t="str">
        <f>Segmenter!B5197</f>
        <v/>
      </c>
      <c r="C5197" t="str">
        <f t="shared" si="405"/>
        <v/>
      </c>
      <c r="D5197" t="str">
        <f t="shared" si="406"/>
        <v/>
      </c>
      <c r="E5197" t="str">
        <f t="shared" si="407"/>
        <v/>
      </c>
      <c r="F5197" t="str">
        <f>IF(D5197="","",INDEX(Knutepunkter!$B:$B,D5197+1))</f>
        <v/>
      </c>
      <c r="G5197" t="str">
        <f>IF(D5197="","",INDEX(Knutepunkter!$C:$C,D5197+1))</f>
        <v/>
      </c>
      <c r="H5197" t="str">
        <f>IF(D5197="","",INDEX(Knutepunkter!$D:$D,D5197+1))</f>
        <v/>
      </c>
      <c r="I5197" t="str">
        <f>IF(E5197="","",INDEX(Knutepunkter!$B:$B,E5197+1))</f>
        <v/>
      </c>
      <c r="J5197" t="str">
        <f>IF(E5197="","",INDEX(Knutepunkter!$C:$C,E5197+1))</f>
        <v/>
      </c>
      <c r="K5197" t="str">
        <f>IF(E5197="","",INDEX(Knutepunkter!$D:$D,E5197+1))</f>
        <v/>
      </c>
      <c r="L5197" t="str">
        <f t="shared" si="408"/>
        <v/>
      </c>
      <c r="M5197" t="str">
        <f t="shared" si="409"/>
        <v/>
      </c>
    </row>
    <row r="5198" spans="1:13" x14ac:dyDescent="0.3">
      <c r="A5198" t="str">
        <f>Segmenter!A5198</f>
        <v/>
      </c>
      <c r="B5198" t="str">
        <f>Segmenter!B5198</f>
        <v/>
      </c>
      <c r="C5198" t="str">
        <f t="shared" si="405"/>
        <v/>
      </c>
      <c r="D5198" t="str">
        <f t="shared" si="406"/>
        <v/>
      </c>
      <c r="E5198" t="str">
        <f t="shared" si="407"/>
        <v/>
      </c>
      <c r="F5198" t="str">
        <f>IF(D5198="","",INDEX(Knutepunkter!$B:$B,D5198+1))</f>
        <v/>
      </c>
      <c r="G5198" t="str">
        <f>IF(D5198="","",INDEX(Knutepunkter!$C:$C,D5198+1))</f>
        <v/>
      </c>
      <c r="H5198" t="str">
        <f>IF(D5198="","",INDEX(Knutepunkter!$D:$D,D5198+1))</f>
        <v/>
      </c>
      <c r="I5198" t="str">
        <f>IF(E5198="","",INDEX(Knutepunkter!$B:$B,E5198+1))</f>
        <v/>
      </c>
      <c r="J5198" t="str">
        <f>IF(E5198="","",INDEX(Knutepunkter!$C:$C,E5198+1))</f>
        <v/>
      </c>
      <c r="K5198" t="str">
        <f>IF(E5198="","",INDEX(Knutepunkter!$D:$D,E5198+1))</f>
        <v/>
      </c>
      <c r="L5198" t="str">
        <f t="shared" si="408"/>
        <v/>
      </c>
      <c r="M5198" t="str">
        <f t="shared" si="409"/>
        <v/>
      </c>
    </row>
    <row r="5199" spans="1:13" x14ac:dyDescent="0.3">
      <c r="A5199" t="str">
        <f>Segmenter!A5199</f>
        <v/>
      </c>
      <c r="B5199" t="str">
        <f>Segmenter!B5199</f>
        <v/>
      </c>
      <c r="C5199" t="str">
        <f t="shared" si="405"/>
        <v/>
      </c>
      <c r="D5199" t="str">
        <f t="shared" si="406"/>
        <v/>
      </c>
      <c r="E5199" t="str">
        <f t="shared" si="407"/>
        <v/>
      </c>
      <c r="F5199" t="str">
        <f>IF(D5199="","",INDEX(Knutepunkter!$B:$B,D5199+1))</f>
        <v/>
      </c>
      <c r="G5199" t="str">
        <f>IF(D5199="","",INDEX(Knutepunkter!$C:$C,D5199+1))</f>
        <v/>
      </c>
      <c r="H5199" t="str">
        <f>IF(D5199="","",INDEX(Knutepunkter!$D:$D,D5199+1))</f>
        <v/>
      </c>
      <c r="I5199" t="str">
        <f>IF(E5199="","",INDEX(Knutepunkter!$B:$B,E5199+1))</f>
        <v/>
      </c>
      <c r="J5199" t="str">
        <f>IF(E5199="","",INDEX(Knutepunkter!$C:$C,E5199+1))</f>
        <v/>
      </c>
      <c r="K5199" t="str">
        <f>IF(E5199="","",INDEX(Knutepunkter!$D:$D,E5199+1))</f>
        <v/>
      </c>
      <c r="L5199" t="str">
        <f t="shared" si="408"/>
        <v/>
      </c>
      <c r="M5199" t="str">
        <f t="shared" si="409"/>
        <v/>
      </c>
    </row>
    <row r="5200" spans="1:13" x14ac:dyDescent="0.3">
      <c r="A5200" t="str">
        <f>Segmenter!A5200</f>
        <v/>
      </c>
      <c r="B5200" t="str">
        <f>Segmenter!B5200</f>
        <v/>
      </c>
      <c r="C5200" t="str">
        <f t="shared" si="405"/>
        <v/>
      </c>
      <c r="D5200" t="str">
        <f t="shared" si="406"/>
        <v/>
      </c>
      <c r="E5200" t="str">
        <f t="shared" si="407"/>
        <v/>
      </c>
      <c r="F5200" t="str">
        <f>IF(D5200="","",INDEX(Knutepunkter!$B:$B,D5200+1))</f>
        <v/>
      </c>
      <c r="G5200" t="str">
        <f>IF(D5200="","",INDEX(Knutepunkter!$C:$C,D5200+1))</f>
        <v/>
      </c>
      <c r="H5200" t="str">
        <f>IF(D5200="","",INDEX(Knutepunkter!$D:$D,D5200+1))</f>
        <v/>
      </c>
      <c r="I5200" t="str">
        <f>IF(E5200="","",INDEX(Knutepunkter!$B:$B,E5200+1))</f>
        <v/>
      </c>
      <c r="J5200" t="str">
        <f>IF(E5200="","",INDEX(Knutepunkter!$C:$C,E5200+1))</f>
        <v/>
      </c>
      <c r="K5200" t="str">
        <f>IF(E5200="","",INDEX(Knutepunkter!$D:$D,E5200+1))</f>
        <v/>
      </c>
      <c r="L5200" t="str">
        <f t="shared" si="408"/>
        <v/>
      </c>
      <c r="M5200" t="str">
        <f t="shared" si="409"/>
        <v/>
      </c>
    </row>
    <row r="5201" spans="1:13" x14ac:dyDescent="0.3">
      <c r="A5201" t="str">
        <f>Segmenter!A5201</f>
        <v/>
      </c>
      <c r="B5201" t="str">
        <f>Segmenter!B5201</f>
        <v/>
      </c>
      <c r="C5201" t="str">
        <f t="shared" si="405"/>
        <v/>
      </c>
      <c r="D5201" t="str">
        <f t="shared" si="406"/>
        <v/>
      </c>
      <c r="E5201" t="str">
        <f t="shared" si="407"/>
        <v/>
      </c>
      <c r="F5201" t="str">
        <f>IF(D5201="","",INDEX(Knutepunkter!$B:$B,D5201+1))</f>
        <v/>
      </c>
      <c r="G5201" t="str">
        <f>IF(D5201="","",INDEX(Knutepunkter!$C:$C,D5201+1))</f>
        <v/>
      </c>
      <c r="H5201" t="str">
        <f>IF(D5201="","",INDEX(Knutepunkter!$D:$D,D5201+1))</f>
        <v/>
      </c>
      <c r="I5201" t="str">
        <f>IF(E5201="","",INDEX(Knutepunkter!$B:$B,E5201+1))</f>
        <v/>
      </c>
      <c r="J5201" t="str">
        <f>IF(E5201="","",INDEX(Knutepunkter!$C:$C,E5201+1))</f>
        <v/>
      </c>
      <c r="K5201" t="str">
        <f>IF(E5201="","",INDEX(Knutepunkter!$D:$D,E5201+1))</f>
        <v/>
      </c>
      <c r="L5201" t="str">
        <f t="shared" si="408"/>
        <v/>
      </c>
      <c r="M5201" t="str">
        <f t="shared" si="409"/>
        <v/>
      </c>
    </row>
    <row r="5202" spans="1:13" x14ac:dyDescent="0.3">
      <c r="A5202" t="str">
        <f>Segmenter!A5202</f>
        <v/>
      </c>
      <c r="B5202" t="str">
        <f>Segmenter!B5202</f>
        <v/>
      </c>
      <c r="C5202" t="str">
        <f t="shared" si="405"/>
        <v/>
      </c>
      <c r="D5202" t="str">
        <f t="shared" si="406"/>
        <v/>
      </c>
      <c r="E5202" t="str">
        <f t="shared" si="407"/>
        <v/>
      </c>
      <c r="F5202" t="str">
        <f>IF(D5202="","",INDEX(Knutepunkter!$B:$B,D5202+1))</f>
        <v/>
      </c>
      <c r="G5202" t="str">
        <f>IF(D5202="","",INDEX(Knutepunkter!$C:$C,D5202+1))</f>
        <v/>
      </c>
      <c r="H5202" t="str">
        <f>IF(D5202="","",INDEX(Knutepunkter!$D:$D,D5202+1))</f>
        <v/>
      </c>
      <c r="I5202" t="str">
        <f>IF(E5202="","",INDEX(Knutepunkter!$B:$B,E5202+1))</f>
        <v/>
      </c>
      <c r="J5202" t="str">
        <f>IF(E5202="","",INDEX(Knutepunkter!$C:$C,E5202+1))</f>
        <v/>
      </c>
      <c r="K5202" t="str">
        <f>IF(E5202="","",INDEX(Knutepunkter!$D:$D,E5202+1))</f>
        <v/>
      </c>
      <c r="L5202" t="str">
        <f t="shared" si="408"/>
        <v/>
      </c>
      <c r="M5202" t="str">
        <f t="shared" si="409"/>
        <v/>
      </c>
    </row>
    <row r="5203" spans="1:13" x14ac:dyDescent="0.3">
      <c r="A5203" t="str">
        <f>Segmenter!A5203</f>
        <v/>
      </c>
      <c r="B5203" t="str">
        <f>Segmenter!B5203</f>
        <v/>
      </c>
      <c r="C5203" t="str">
        <f t="shared" si="405"/>
        <v/>
      </c>
      <c r="D5203" t="str">
        <f t="shared" si="406"/>
        <v/>
      </c>
      <c r="E5203" t="str">
        <f t="shared" si="407"/>
        <v/>
      </c>
      <c r="F5203" t="str">
        <f>IF(D5203="","",INDEX(Knutepunkter!$B:$B,D5203+1))</f>
        <v/>
      </c>
      <c r="G5203" t="str">
        <f>IF(D5203="","",INDEX(Knutepunkter!$C:$C,D5203+1))</f>
        <v/>
      </c>
      <c r="H5203" t="str">
        <f>IF(D5203="","",INDEX(Knutepunkter!$D:$D,D5203+1))</f>
        <v/>
      </c>
      <c r="I5203" t="str">
        <f>IF(E5203="","",INDEX(Knutepunkter!$B:$B,E5203+1))</f>
        <v/>
      </c>
      <c r="J5203" t="str">
        <f>IF(E5203="","",INDEX(Knutepunkter!$C:$C,E5203+1))</f>
        <v/>
      </c>
      <c r="K5203" t="str">
        <f>IF(E5203="","",INDEX(Knutepunkter!$D:$D,E5203+1))</f>
        <v/>
      </c>
      <c r="L5203" t="str">
        <f t="shared" si="408"/>
        <v/>
      </c>
      <c r="M5203" t="str">
        <f t="shared" si="409"/>
        <v/>
      </c>
    </row>
    <row r="5204" spans="1:13" x14ac:dyDescent="0.3">
      <c r="A5204" t="str">
        <f>Segmenter!A5204</f>
        <v/>
      </c>
      <c r="B5204" t="str">
        <f>Segmenter!B5204</f>
        <v/>
      </c>
      <c r="C5204" t="str">
        <f t="shared" si="405"/>
        <v/>
      </c>
      <c r="D5204" t="str">
        <f t="shared" si="406"/>
        <v/>
      </c>
      <c r="E5204" t="str">
        <f t="shared" si="407"/>
        <v/>
      </c>
      <c r="F5204" t="str">
        <f>IF(D5204="","",INDEX(Knutepunkter!$B:$B,D5204+1))</f>
        <v/>
      </c>
      <c r="G5204" t="str">
        <f>IF(D5204="","",INDEX(Knutepunkter!$C:$C,D5204+1))</f>
        <v/>
      </c>
      <c r="H5204" t="str">
        <f>IF(D5204="","",INDEX(Knutepunkter!$D:$D,D5204+1))</f>
        <v/>
      </c>
      <c r="I5204" t="str">
        <f>IF(E5204="","",INDEX(Knutepunkter!$B:$B,E5204+1))</f>
        <v/>
      </c>
      <c r="J5204" t="str">
        <f>IF(E5204="","",INDEX(Knutepunkter!$C:$C,E5204+1))</f>
        <v/>
      </c>
      <c r="K5204" t="str">
        <f>IF(E5204="","",INDEX(Knutepunkter!$D:$D,E5204+1))</f>
        <v/>
      </c>
      <c r="L5204" t="str">
        <f t="shared" si="408"/>
        <v/>
      </c>
      <c r="M5204" t="str">
        <f t="shared" si="409"/>
        <v/>
      </c>
    </row>
    <row r="5205" spans="1:13" x14ac:dyDescent="0.3">
      <c r="A5205" t="str">
        <f>Segmenter!A5205</f>
        <v/>
      </c>
      <c r="B5205" t="str">
        <f>Segmenter!B5205</f>
        <v/>
      </c>
      <c r="C5205" t="str">
        <f t="shared" si="405"/>
        <v/>
      </c>
      <c r="D5205" t="str">
        <f t="shared" si="406"/>
        <v/>
      </c>
      <c r="E5205" t="str">
        <f t="shared" si="407"/>
        <v/>
      </c>
      <c r="F5205" t="str">
        <f>IF(D5205="","",INDEX(Knutepunkter!$B:$B,D5205+1))</f>
        <v/>
      </c>
      <c r="G5205" t="str">
        <f>IF(D5205="","",INDEX(Knutepunkter!$C:$C,D5205+1))</f>
        <v/>
      </c>
      <c r="H5205" t="str">
        <f>IF(D5205="","",INDEX(Knutepunkter!$D:$D,D5205+1))</f>
        <v/>
      </c>
      <c r="I5205" t="str">
        <f>IF(E5205="","",INDEX(Knutepunkter!$B:$B,E5205+1))</f>
        <v/>
      </c>
      <c r="J5205" t="str">
        <f>IF(E5205="","",INDEX(Knutepunkter!$C:$C,E5205+1))</f>
        <v/>
      </c>
      <c r="K5205" t="str">
        <f>IF(E5205="","",INDEX(Knutepunkter!$D:$D,E5205+1))</f>
        <v/>
      </c>
      <c r="L5205" t="str">
        <f t="shared" si="408"/>
        <v/>
      </c>
      <c r="M5205" t="str">
        <f t="shared" si="409"/>
        <v/>
      </c>
    </row>
    <row r="5206" spans="1:13" x14ac:dyDescent="0.3">
      <c r="A5206" t="str">
        <f>Segmenter!A5206</f>
        <v/>
      </c>
      <c r="B5206" t="str">
        <f>Segmenter!B5206</f>
        <v/>
      </c>
      <c r="C5206" t="str">
        <f t="shared" si="405"/>
        <v/>
      </c>
      <c r="D5206" t="str">
        <f t="shared" si="406"/>
        <v/>
      </c>
      <c r="E5206" t="str">
        <f t="shared" si="407"/>
        <v/>
      </c>
      <c r="F5206" t="str">
        <f>IF(D5206="","",INDEX(Knutepunkter!$B:$B,D5206+1))</f>
        <v/>
      </c>
      <c r="G5206" t="str">
        <f>IF(D5206="","",INDEX(Knutepunkter!$C:$C,D5206+1))</f>
        <v/>
      </c>
      <c r="H5206" t="str">
        <f>IF(D5206="","",INDEX(Knutepunkter!$D:$D,D5206+1))</f>
        <v/>
      </c>
      <c r="I5206" t="str">
        <f>IF(E5206="","",INDEX(Knutepunkter!$B:$B,E5206+1))</f>
        <v/>
      </c>
      <c r="J5206" t="str">
        <f>IF(E5206="","",INDEX(Knutepunkter!$C:$C,E5206+1))</f>
        <v/>
      </c>
      <c r="K5206" t="str">
        <f>IF(E5206="","",INDEX(Knutepunkter!$D:$D,E5206+1))</f>
        <v/>
      </c>
      <c r="L5206" t="str">
        <f t="shared" si="408"/>
        <v/>
      </c>
      <c r="M5206" t="str">
        <f t="shared" si="409"/>
        <v/>
      </c>
    </row>
    <row r="5207" spans="1:13" x14ac:dyDescent="0.3">
      <c r="A5207" t="str">
        <f>Segmenter!A5207</f>
        <v/>
      </c>
      <c r="B5207" t="str">
        <f>Segmenter!B5207</f>
        <v/>
      </c>
      <c r="C5207" t="str">
        <f t="shared" si="405"/>
        <v/>
      </c>
      <c r="D5207" t="str">
        <f t="shared" si="406"/>
        <v/>
      </c>
      <c r="E5207" t="str">
        <f t="shared" si="407"/>
        <v/>
      </c>
      <c r="F5207" t="str">
        <f>IF(D5207="","",INDEX(Knutepunkter!$B:$B,D5207+1))</f>
        <v/>
      </c>
      <c r="G5207" t="str">
        <f>IF(D5207="","",INDEX(Knutepunkter!$C:$C,D5207+1))</f>
        <v/>
      </c>
      <c r="H5207" t="str">
        <f>IF(D5207="","",INDEX(Knutepunkter!$D:$D,D5207+1))</f>
        <v/>
      </c>
      <c r="I5207" t="str">
        <f>IF(E5207="","",INDEX(Knutepunkter!$B:$B,E5207+1))</f>
        <v/>
      </c>
      <c r="J5207" t="str">
        <f>IF(E5207="","",INDEX(Knutepunkter!$C:$C,E5207+1))</f>
        <v/>
      </c>
      <c r="K5207" t="str">
        <f>IF(E5207="","",INDEX(Knutepunkter!$D:$D,E5207+1))</f>
        <v/>
      </c>
      <c r="L5207" t="str">
        <f t="shared" si="408"/>
        <v/>
      </c>
      <c r="M5207" t="str">
        <f t="shared" si="409"/>
        <v/>
      </c>
    </row>
    <row r="5208" spans="1:13" x14ac:dyDescent="0.3">
      <c r="A5208" t="str">
        <f>Segmenter!A5208</f>
        <v/>
      </c>
      <c r="B5208" t="str">
        <f>Segmenter!B5208</f>
        <v/>
      </c>
      <c r="C5208" t="str">
        <f t="shared" si="405"/>
        <v/>
      </c>
      <c r="D5208" t="str">
        <f t="shared" si="406"/>
        <v/>
      </c>
      <c r="E5208" t="str">
        <f t="shared" si="407"/>
        <v/>
      </c>
      <c r="F5208" t="str">
        <f>IF(D5208="","",INDEX(Knutepunkter!$B:$B,D5208+1))</f>
        <v/>
      </c>
      <c r="G5208" t="str">
        <f>IF(D5208="","",INDEX(Knutepunkter!$C:$C,D5208+1))</f>
        <v/>
      </c>
      <c r="H5208" t="str">
        <f>IF(D5208="","",INDEX(Knutepunkter!$D:$D,D5208+1))</f>
        <v/>
      </c>
      <c r="I5208" t="str">
        <f>IF(E5208="","",INDEX(Knutepunkter!$B:$B,E5208+1))</f>
        <v/>
      </c>
      <c r="J5208" t="str">
        <f>IF(E5208="","",INDEX(Knutepunkter!$C:$C,E5208+1))</f>
        <v/>
      </c>
      <c r="K5208" t="str">
        <f>IF(E5208="","",INDEX(Knutepunkter!$D:$D,E5208+1))</f>
        <v/>
      </c>
      <c r="L5208" t="str">
        <f t="shared" si="408"/>
        <v/>
      </c>
      <c r="M5208" t="str">
        <f t="shared" si="409"/>
        <v/>
      </c>
    </row>
    <row r="5209" spans="1:13" x14ac:dyDescent="0.3">
      <c r="A5209" t="str">
        <f>Segmenter!A5209</f>
        <v/>
      </c>
      <c r="B5209" t="str">
        <f>Segmenter!B5209</f>
        <v/>
      </c>
      <c r="C5209" t="str">
        <f t="shared" si="405"/>
        <v/>
      </c>
      <c r="D5209" t="str">
        <f t="shared" si="406"/>
        <v/>
      </c>
      <c r="E5209" t="str">
        <f t="shared" si="407"/>
        <v/>
      </c>
      <c r="F5209" t="str">
        <f>IF(D5209="","",INDEX(Knutepunkter!$B:$B,D5209+1))</f>
        <v/>
      </c>
      <c r="G5209" t="str">
        <f>IF(D5209="","",INDEX(Knutepunkter!$C:$C,D5209+1))</f>
        <v/>
      </c>
      <c r="H5209" t="str">
        <f>IF(D5209="","",INDEX(Knutepunkter!$D:$D,D5209+1))</f>
        <v/>
      </c>
      <c r="I5209" t="str">
        <f>IF(E5209="","",INDEX(Knutepunkter!$B:$B,E5209+1))</f>
        <v/>
      </c>
      <c r="J5209" t="str">
        <f>IF(E5209="","",INDEX(Knutepunkter!$C:$C,E5209+1))</f>
        <v/>
      </c>
      <c r="K5209" t="str">
        <f>IF(E5209="","",INDEX(Knutepunkter!$D:$D,E5209+1))</f>
        <v/>
      </c>
      <c r="L5209" t="str">
        <f t="shared" si="408"/>
        <v/>
      </c>
      <c r="M5209" t="str">
        <f t="shared" si="409"/>
        <v/>
      </c>
    </row>
    <row r="5210" spans="1:13" x14ac:dyDescent="0.3">
      <c r="A5210" t="str">
        <f>Segmenter!A5210</f>
        <v/>
      </c>
      <c r="B5210" t="str">
        <f>Segmenter!B5210</f>
        <v/>
      </c>
      <c r="C5210" t="str">
        <f t="shared" si="405"/>
        <v/>
      </c>
      <c r="D5210" t="str">
        <f t="shared" si="406"/>
        <v/>
      </c>
      <c r="E5210" t="str">
        <f t="shared" si="407"/>
        <v/>
      </c>
      <c r="F5210" t="str">
        <f>IF(D5210="","",INDEX(Knutepunkter!$B:$B,D5210+1))</f>
        <v/>
      </c>
      <c r="G5210" t="str">
        <f>IF(D5210="","",INDEX(Knutepunkter!$C:$C,D5210+1))</f>
        <v/>
      </c>
      <c r="H5210" t="str">
        <f>IF(D5210="","",INDEX(Knutepunkter!$D:$D,D5210+1))</f>
        <v/>
      </c>
      <c r="I5210" t="str">
        <f>IF(E5210="","",INDEX(Knutepunkter!$B:$B,E5210+1))</f>
        <v/>
      </c>
      <c r="J5210" t="str">
        <f>IF(E5210="","",INDEX(Knutepunkter!$C:$C,E5210+1))</f>
        <v/>
      </c>
      <c r="K5210" t="str">
        <f>IF(E5210="","",INDEX(Knutepunkter!$D:$D,E5210+1))</f>
        <v/>
      </c>
      <c r="L5210" t="str">
        <f t="shared" si="408"/>
        <v/>
      </c>
      <c r="M5210" t="str">
        <f t="shared" si="409"/>
        <v/>
      </c>
    </row>
    <row r="5211" spans="1:13" x14ac:dyDescent="0.3">
      <c r="A5211" t="str">
        <f>Segmenter!A5211</f>
        <v/>
      </c>
      <c r="B5211" t="str">
        <f>Segmenter!B5211</f>
        <v/>
      </c>
      <c r="C5211" t="str">
        <f t="shared" si="405"/>
        <v/>
      </c>
      <c r="D5211" t="str">
        <f t="shared" si="406"/>
        <v/>
      </c>
      <c r="E5211" t="str">
        <f t="shared" si="407"/>
        <v/>
      </c>
      <c r="F5211" t="str">
        <f>IF(D5211="","",INDEX(Knutepunkter!$B:$B,D5211+1))</f>
        <v/>
      </c>
      <c r="G5211" t="str">
        <f>IF(D5211="","",INDEX(Knutepunkter!$C:$C,D5211+1))</f>
        <v/>
      </c>
      <c r="H5211" t="str">
        <f>IF(D5211="","",INDEX(Knutepunkter!$D:$D,D5211+1))</f>
        <v/>
      </c>
      <c r="I5211" t="str">
        <f>IF(E5211="","",INDEX(Knutepunkter!$B:$B,E5211+1))</f>
        <v/>
      </c>
      <c r="J5211" t="str">
        <f>IF(E5211="","",INDEX(Knutepunkter!$C:$C,E5211+1))</f>
        <v/>
      </c>
      <c r="K5211" t="str">
        <f>IF(E5211="","",INDEX(Knutepunkter!$D:$D,E5211+1))</f>
        <v/>
      </c>
      <c r="L5211" t="str">
        <f t="shared" si="408"/>
        <v/>
      </c>
      <c r="M5211" t="str">
        <f t="shared" si="409"/>
        <v/>
      </c>
    </row>
    <row r="5212" spans="1:13" x14ac:dyDescent="0.3">
      <c r="A5212" t="str">
        <f>Segmenter!A5212</f>
        <v/>
      </c>
      <c r="B5212" t="str">
        <f>Segmenter!B5212</f>
        <v/>
      </c>
      <c r="C5212" t="str">
        <f t="shared" si="405"/>
        <v/>
      </c>
      <c r="D5212" t="str">
        <f t="shared" si="406"/>
        <v/>
      </c>
      <c r="E5212" t="str">
        <f t="shared" si="407"/>
        <v/>
      </c>
      <c r="F5212" t="str">
        <f>IF(D5212="","",INDEX(Knutepunkter!$B:$B,D5212+1))</f>
        <v/>
      </c>
      <c r="G5212" t="str">
        <f>IF(D5212="","",INDEX(Knutepunkter!$C:$C,D5212+1))</f>
        <v/>
      </c>
      <c r="H5212" t="str">
        <f>IF(D5212="","",INDEX(Knutepunkter!$D:$D,D5212+1))</f>
        <v/>
      </c>
      <c r="I5212" t="str">
        <f>IF(E5212="","",INDEX(Knutepunkter!$B:$B,E5212+1))</f>
        <v/>
      </c>
      <c r="J5212" t="str">
        <f>IF(E5212="","",INDEX(Knutepunkter!$C:$C,E5212+1))</f>
        <v/>
      </c>
      <c r="K5212" t="str">
        <f>IF(E5212="","",INDEX(Knutepunkter!$D:$D,E5212+1))</f>
        <v/>
      </c>
      <c r="L5212" t="str">
        <f t="shared" si="408"/>
        <v/>
      </c>
      <c r="M5212" t="str">
        <f t="shared" si="409"/>
        <v/>
      </c>
    </row>
    <row r="5213" spans="1:13" x14ac:dyDescent="0.3">
      <c r="A5213" t="str">
        <f>Segmenter!A5213</f>
        <v/>
      </c>
      <c r="B5213" t="str">
        <f>Segmenter!B5213</f>
        <v/>
      </c>
      <c r="C5213" t="str">
        <f t="shared" si="405"/>
        <v/>
      </c>
      <c r="D5213" t="str">
        <f t="shared" si="406"/>
        <v/>
      </c>
      <c r="E5213" t="str">
        <f t="shared" si="407"/>
        <v/>
      </c>
      <c r="F5213" t="str">
        <f>IF(D5213="","",INDEX(Knutepunkter!$B:$B,D5213+1))</f>
        <v/>
      </c>
      <c r="G5213" t="str">
        <f>IF(D5213="","",INDEX(Knutepunkter!$C:$C,D5213+1))</f>
        <v/>
      </c>
      <c r="H5213" t="str">
        <f>IF(D5213="","",INDEX(Knutepunkter!$D:$D,D5213+1))</f>
        <v/>
      </c>
      <c r="I5213" t="str">
        <f>IF(E5213="","",INDEX(Knutepunkter!$B:$B,E5213+1))</f>
        <v/>
      </c>
      <c r="J5213" t="str">
        <f>IF(E5213="","",INDEX(Knutepunkter!$C:$C,E5213+1))</f>
        <v/>
      </c>
      <c r="K5213" t="str">
        <f>IF(E5213="","",INDEX(Knutepunkter!$D:$D,E5213+1))</f>
        <v/>
      </c>
      <c r="L5213" t="str">
        <f t="shared" si="408"/>
        <v/>
      </c>
      <c r="M5213" t="str">
        <f t="shared" si="409"/>
        <v/>
      </c>
    </row>
    <row r="5214" spans="1:13" x14ac:dyDescent="0.3">
      <c r="A5214" t="str">
        <f>Segmenter!A5214</f>
        <v/>
      </c>
      <c r="B5214" t="str">
        <f>Segmenter!B5214</f>
        <v/>
      </c>
      <c r="C5214" t="str">
        <f t="shared" si="405"/>
        <v/>
      </c>
      <c r="D5214" t="str">
        <f t="shared" si="406"/>
        <v/>
      </c>
      <c r="E5214" t="str">
        <f t="shared" si="407"/>
        <v/>
      </c>
      <c r="F5214" t="str">
        <f>IF(D5214="","",INDEX(Knutepunkter!$B:$B,D5214+1))</f>
        <v/>
      </c>
      <c r="G5214" t="str">
        <f>IF(D5214="","",INDEX(Knutepunkter!$C:$C,D5214+1))</f>
        <v/>
      </c>
      <c r="H5214" t="str">
        <f>IF(D5214="","",INDEX(Knutepunkter!$D:$D,D5214+1))</f>
        <v/>
      </c>
      <c r="I5214" t="str">
        <f>IF(E5214="","",INDEX(Knutepunkter!$B:$B,E5214+1))</f>
        <v/>
      </c>
      <c r="J5214" t="str">
        <f>IF(E5214="","",INDEX(Knutepunkter!$C:$C,E5214+1))</f>
        <v/>
      </c>
      <c r="K5214" t="str">
        <f>IF(E5214="","",INDEX(Knutepunkter!$D:$D,E5214+1))</f>
        <v/>
      </c>
      <c r="L5214" t="str">
        <f t="shared" si="408"/>
        <v/>
      </c>
      <c r="M5214" t="str">
        <f t="shared" si="409"/>
        <v/>
      </c>
    </row>
    <row r="5215" spans="1:13" x14ac:dyDescent="0.3">
      <c r="A5215" t="str">
        <f>Segmenter!A5215</f>
        <v/>
      </c>
      <c r="B5215" t="str">
        <f>Segmenter!B5215</f>
        <v/>
      </c>
      <c r="C5215" t="str">
        <f t="shared" si="405"/>
        <v/>
      </c>
      <c r="D5215" t="str">
        <f t="shared" si="406"/>
        <v/>
      </c>
      <c r="E5215" t="str">
        <f t="shared" si="407"/>
        <v/>
      </c>
      <c r="F5215" t="str">
        <f>IF(D5215="","",INDEX(Knutepunkter!$B:$B,D5215+1))</f>
        <v/>
      </c>
      <c r="G5215" t="str">
        <f>IF(D5215="","",INDEX(Knutepunkter!$C:$C,D5215+1))</f>
        <v/>
      </c>
      <c r="H5215" t="str">
        <f>IF(D5215="","",INDEX(Knutepunkter!$D:$D,D5215+1))</f>
        <v/>
      </c>
      <c r="I5215" t="str">
        <f>IF(E5215="","",INDEX(Knutepunkter!$B:$B,E5215+1))</f>
        <v/>
      </c>
      <c r="J5215" t="str">
        <f>IF(E5215="","",INDEX(Knutepunkter!$C:$C,E5215+1))</f>
        <v/>
      </c>
      <c r="K5215" t="str">
        <f>IF(E5215="","",INDEX(Knutepunkter!$D:$D,E5215+1))</f>
        <v/>
      </c>
      <c r="L5215" t="str">
        <f t="shared" si="408"/>
        <v/>
      </c>
      <c r="M5215" t="str">
        <f t="shared" si="409"/>
        <v/>
      </c>
    </row>
    <row r="5216" spans="1:13" x14ac:dyDescent="0.3">
      <c r="A5216" t="str">
        <f>Segmenter!A5216</f>
        <v/>
      </c>
      <c r="B5216" t="str">
        <f>Segmenter!B5216</f>
        <v/>
      </c>
      <c r="C5216" t="str">
        <f t="shared" si="405"/>
        <v/>
      </c>
      <c r="D5216" t="str">
        <f t="shared" si="406"/>
        <v/>
      </c>
      <c r="E5216" t="str">
        <f t="shared" si="407"/>
        <v/>
      </c>
      <c r="F5216" t="str">
        <f>IF(D5216="","",INDEX(Knutepunkter!$B:$B,D5216+1))</f>
        <v/>
      </c>
      <c r="G5216" t="str">
        <f>IF(D5216="","",INDEX(Knutepunkter!$C:$C,D5216+1))</f>
        <v/>
      </c>
      <c r="H5216" t="str">
        <f>IF(D5216="","",INDEX(Knutepunkter!$D:$D,D5216+1))</f>
        <v/>
      </c>
      <c r="I5216" t="str">
        <f>IF(E5216="","",INDEX(Knutepunkter!$B:$B,E5216+1))</f>
        <v/>
      </c>
      <c r="J5216" t="str">
        <f>IF(E5216="","",INDEX(Knutepunkter!$C:$C,E5216+1))</f>
        <v/>
      </c>
      <c r="K5216" t="str">
        <f>IF(E5216="","",INDEX(Knutepunkter!$D:$D,E5216+1))</f>
        <v/>
      </c>
      <c r="L5216" t="str">
        <f t="shared" si="408"/>
        <v/>
      </c>
      <c r="M5216" t="str">
        <f t="shared" si="409"/>
        <v/>
      </c>
    </row>
    <row r="5217" spans="1:13" x14ac:dyDescent="0.3">
      <c r="A5217" t="str">
        <f>Segmenter!A5217</f>
        <v/>
      </c>
      <c r="B5217" t="str">
        <f>Segmenter!B5217</f>
        <v/>
      </c>
      <c r="C5217" t="str">
        <f t="shared" si="405"/>
        <v/>
      </c>
      <c r="D5217" t="str">
        <f t="shared" si="406"/>
        <v/>
      </c>
      <c r="E5217" t="str">
        <f t="shared" si="407"/>
        <v/>
      </c>
      <c r="F5217" t="str">
        <f>IF(D5217="","",INDEX(Knutepunkter!$B:$B,D5217+1))</f>
        <v/>
      </c>
      <c r="G5217" t="str">
        <f>IF(D5217="","",INDEX(Knutepunkter!$C:$C,D5217+1))</f>
        <v/>
      </c>
      <c r="H5217" t="str">
        <f>IF(D5217="","",INDEX(Knutepunkter!$D:$D,D5217+1))</f>
        <v/>
      </c>
      <c r="I5217" t="str">
        <f>IF(E5217="","",INDEX(Knutepunkter!$B:$B,E5217+1))</f>
        <v/>
      </c>
      <c r="J5217" t="str">
        <f>IF(E5217="","",INDEX(Knutepunkter!$C:$C,E5217+1))</f>
        <v/>
      </c>
      <c r="K5217" t="str">
        <f>IF(E5217="","",INDEX(Knutepunkter!$D:$D,E5217+1))</f>
        <v/>
      </c>
      <c r="L5217" t="str">
        <f t="shared" si="408"/>
        <v/>
      </c>
      <c r="M5217" t="str">
        <f t="shared" si="409"/>
        <v/>
      </c>
    </row>
    <row r="5218" spans="1:13" x14ac:dyDescent="0.3">
      <c r="A5218" t="str">
        <f>Segmenter!A5218</f>
        <v/>
      </c>
      <c r="B5218" t="str">
        <f>Segmenter!B5218</f>
        <v/>
      </c>
      <c r="C5218" t="str">
        <f t="shared" si="405"/>
        <v/>
      </c>
      <c r="D5218" t="str">
        <f t="shared" si="406"/>
        <v/>
      </c>
      <c r="E5218" t="str">
        <f t="shared" si="407"/>
        <v/>
      </c>
      <c r="F5218" t="str">
        <f>IF(D5218="","",INDEX(Knutepunkter!$B:$B,D5218+1))</f>
        <v/>
      </c>
      <c r="G5218" t="str">
        <f>IF(D5218="","",INDEX(Knutepunkter!$C:$C,D5218+1))</f>
        <v/>
      </c>
      <c r="H5218" t="str">
        <f>IF(D5218="","",INDEX(Knutepunkter!$D:$D,D5218+1))</f>
        <v/>
      </c>
      <c r="I5218" t="str">
        <f>IF(E5218="","",INDEX(Knutepunkter!$B:$B,E5218+1))</f>
        <v/>
      </c>
      <c r="J5218" t="str">
        <f>IF(E5218="","",INDEX(Knutepunkter!$C:$C,E5218+1))</f>
        <v/>
      </c>
      <c r="K5218" t="str">
        <f>IF(E5218="","",INDEX(Knutepunkter!$D:$D,E5218+1))</f>
        <v/>
      </c>
      <c r="L5218" t="str">
        <f t="shared" si="408"/>
        <v/>
      </c>
      <c r="M5218" t="str">
        <f t="shared" si="409"/>
        <v/>
      </c>
    </row>
    <row r="5219" spans="1:13" x14ac:dyDescent="0.3">
      <c r="A5219" t="str">
        <f>Segmenter!A5219</f>
        <v/>
      </c>
      <c r="B5219" t="str">
        <f>Segmenter!B5219</f>
        <v/>
      </c>
      <c r="C5219" t="str">
        <f t="shared" si="405"/>
        <v/>
      </c>
      <c r="D5219" t="str">
        <f t="shared" si="406"/>
        <v/>
      </c>
      <c r="E5219" t="str">
        <f t="shared" si="407"/>
        <v/>
      </c>
      <c r="F5219" t="str">
        <f>IF(D5219="","",INDEX(Knutepunkter!$B:$B,D5219+1))</f>
        <v/>
      </c>
      <c r="G5219" t="str">
        <f>IF(D5219="","",INDEX(Knutepunkter!$C:$C,D5219+1))</f>
        <v/>
      </c>
      <c r="H5219" t="str">
        <f>IF(D5219="","",INDEX(Knutepunkter!$D:$D,D5219+1))</f>
        <v/>
      </c>
      <c r="I5219" t="str">
        <f>IF(E5219="","",INDEX(Knutepunkter!$B:$B,E5219+1))</f>
        <v/>
      </c>
      <c r="J5219" t="str">
        <f>IF(E5219="","",INDEX(Knutepunkter!$C:$C,E5219+1))</f>
        <v/>
      </c>
      <c r="K5219" t="str">
        <f>IF(E5219="","",INDEX(Knutepunkter!$D:$D,E5219+1))</f>
        <v/>
      </c>
      <c r="L5219" t="str">
        <f t="shared" si="408"/>
        <v/>
      </c>
      <c r="M5219" t="str">
        <f t="shared" si="409"/>
        <v/>
      </c>
    </row>
    <row r="5220" spans="1:13" x14ac:dyDescent="0.3">
      <c r="A5220" t="str">
        <f>Segmenter!A5220</f>
        <v/>
      </c>
      <c r="B5220" t="str">
        <f>Segmenter!B5220</f>
        <v/>
      </c>
      <c r="C5220" t="str">
        <f t="shared" si="405"/>
        <v/>
      </c>
      <c r="D5220" t="str">
        <f t="shared" si="406"/>
        <v/>
      </c>
      <c r="E5220" t="str">
        <f t="shared" si="407"/>
        <v/>
      </c>
      <c r="F5220" t="str">
        <f>IF(D5220="","",INDEX(Knutepunkter!$B:$B,D5220+1))</f>
        <v/>
      </c>
      <c r="G5220" t="str">
        <f>IF(D5220="","",INDEX(Knutepunkter!$C:$C,D5220+1))</f>
        <v/>
      </c>
      <c r="H5220" t="str">
        <f>IF(D5220="","",INDEX(Knutepunkter!$D:$D,D5220+1))</f>
        <v/>
      </c>
      <c r="I5220" t="str">
        <f>IF(E5220="","",INDEX(Knutepunkter!$B:$B,E5220+1))</f>
        <v/>
      </c>
      <c r="J5220" t="str">
        <f>IF(E5220="","",INDEX(Knutepunkter!$C:$C,E5220+1))</f>
        <v/>
      </c>
      <c r="K5220" t="str">
        <f>IF(E5220="","",INDEX(Knutepunkter!$D:$D,E5220+1))</f>
        <v/>
      </c>
      <c r="L5220" t="str">
        <f t="shared" si="408"/>
        <v/>
      </c>
      <c r="M5220" t="str">
        <f t="shared" si="409"/>
        <v/>
      </c>
    </row>
    <row r="5221" spans="1:13" x14ac:dyDescent="0.3">
      <c r="A5221" t="str">
        <f>Segmenter!A5221</f>
        <v/>
      </c>
      <c r="B5221" t="str">
        <f>Segmenter!B5221</f>
        <v/>
      </c>
      <c r="C5221" t="str">
        <f t="shared" si="405"/>
        <v/>
      </c>
      <c r="D5221" t="str">
        <f t="shared" si="406"/>
        <v/>
      </c>
      <c r="E5221" t="str">
        <f t="shared" si="407"/>
        <v/>
      </c>
      <c r="F5221" t="str">
        <f>IF(D5221="","",INDEX(Knutepunkter!$B:$B,D5221+1))</f>
        <v/>
      </c>
      <c r="G5221" t="str">
        <f>IF(D5221="","",INDEX(Knutepunkter!$C:$C,D5221+1))</f>
        <v/>
      </c>
      <c r="H5221" t="str">
        <f>IF(D5221="","",INDEX(Knutepunkter!$D:$D,D5221+1))</f>
        <v/>
      </c>
      <c r="I5221" t="str">
        <f>IF(E5221="","",INDEX(Knutepunkter!$B:$B,E5221+1))</f>
        <v/>
      </c>
      <c r="J5221" t="str">
        <f>IF(E5221="","",INDEX(Knutepunkter!$C:$C,E5221+1))</f>
        <v/>
      </c>
      <c r="K5221" t="str">
        <f>IF(E5221="","",INDEX(Knutepunkter!$D:$D,E5221+1))</f>
        <v/>
      </c>
      <c r="L5221" t="str">
        <f t="shared" si="408"/>
        <v/>
      </c>
      <c r="M5221" t="str">
        <f t="shared" si="409"/>
        <v/>
      </c>
    </row>
    <row r="5222" spans="1:13" x14ac:dyDescent="0.3">
      <c r="A5222" t="str">
        <f>Segmenter!A5222</f>
        <v/>
      </c>
      <c r="B5222" t="str">
        <f>Segmenter!B5222</f>
        <v/>
      </c>
      <c r="C5222" t="str">
        <f t="shared" si="405"/>
        <v/>
      </c>
      <c r="D5222" t="str">
        <f t="shared" si="406"/>
        <v/>
      </c>
      <c r="E5222" t="str">
        <f t="shared" si="407"/>
        <v/>
      </c>
      <c r="F5222" t="str">
        <f>IF(D5222="","",INDEX(Knutepunkter!$B:$B,D5222+1))</f>
        <v/>
      </c>
      <c r="G5222" t="str">
        <f>IF(D5222="","",INDEX(Knutepunkter!$C:$C,D5222+1))</f>
        <v/>
      </c>
      <c r="H5222" t="str">
        <f>IF(D5222="","",INDEX(Knutepunkter!$D:$D,D5222+1))</f>
        <v/>
      </c>
      <c r="I5222" t="str">
        <f>IF(E5222="","",INDEX(Knutepunkter!$B:$B,E5222+1))</f>
        <v/>
      </c>
      <c r="J5222" t="str">
        <f>IF(E5222="","",INDEX(Knutepunkter!$C:$C,E5222+1))</f>
        <v/>
      </c>
      <c r="K5222" t="str">
        <f>IF(E5222="","",INDEX(Knutepunkter!$D:$D,E5222+1))</f>
        <v/>
      </c>
      <c r="L5222" t="str">
        <f t="shared" si="408"/>
        <v/>
      </c>
      <c r="M5222" t="str">
        <f t="shared" si="409"/>
        <v/>
      </c>
    </row>
    <row r="5223" spans="1:13" x14ac:dyDescent="0.3">
      <c r="A5223" t="str">
        <f>Segmenter!A5223</f>
        <v/>
      </c>
      <c r="B5223" t="str">
        <f>Segmenter!B5223</f>
        <v/>
      </c>
      <c r="C5223" t="str">
        <f t="shared" si="405"/>
        <v/>
      </c>
      <c r="D5223" t="str">
        <f t="shared" si="406"/>
        <v/>
      </c>
      <c r="E5223" t="str">
        <f t="shared" si="407"/>
        <v/>
      </c>
      <c r="F5223" t="str">
        <f>IF(D5223="","",INDEX(Knutepunkter!$B:$B,D5223+1))</f>
        <v/>
      </c>
      <c r="G5223" t="str">
        <f>IF(D5223="","",INDEX(Knutepunkter!$C:$C,D5223+1))</f>
        <v/>
      </c>
      <c r="H5223" t="str">
        <f>IF(D5223="","",INDEX(Knutepunkter!$D:$D,D5223+1))</f>
        <v/>
      </c>
      <c r="I5223" t="str">
        <f>IF(E5223="","",INDEX(Knutepunkter!$B:$B,E5223+1))</f>
        <v/>
      </c>
      <c r="J5223" t="str">
        <f>IF(E5223="","",INDEX(Knutepunkter!$C:$C,E5223+1))</f>
        <v/>
      </c>
      <c r="K5223" t="str">
        <f>IF(E5223="","",INDEX(Knutepunkter!$D:$D,E5223+1))</f>
        <v/>
      </c>
      <c r="L5223" t="str">
        <f t="shared" si="408"/>
        <v/>
      </c>
      <c r="M5223" t="str">
        <f t="shared" si="409"/>
        <v/>
      </c>
    </row>
    <row r="5224" spans="1:13" x14ac:dyDescent="0.3">
      <c r="A5224" t="str">
        <f>Segmenter!A5224</f>
        <v/>
      </c>
      <c r="B5224" t="str">
        <f>Segmenter!B5224</f>
        <v/>
      </c>
      <c r="C5224" t="str">
        <f t="shared" si="405"/>
        <v/>
      </c>
      <c r="D5224" t="str">
        <f t="shared" si="406"/>
        <v/>
      </c>
      <c r="E5224" t="str">
        <f t="shared" si="407"/>
        <v/>
      </c>
      <c r="F5224" t="str">
        <f>IF(D5224="","",INDEX(Knutepunkter!$B:$B,D5224+1))</f>
        <v/>
      </c>
      <c r="G5224" t="str">
        <f>IF(D5224="","",INDEX(Knutepunkter!$C:$C,D5224+1))</f>
        <v/>
      </c>
      <c r="H5224" t="str">
        <f>IF(D5224="","",INDEX(Knutepunkter!$D:$D,D5224+1))</f>
        <v/>
      </c>
      <c r="I5224" t="str">
        <f>IF(E5224="","",INDEX(Knutepunkter!$B:$B,E5224+1))</f>
        <v/>
      </c>
      <c r="J5224" t="str">
        <f>IF(E5224="","",INDEX(Knutepunkter!$C:$C,E5224+1))</f>
        <v/>
      </c>
      <c r="K5224" t="str">
        <f>IF(E5224="","",INDEX(Knutepunkter!$D:$D,E5224+1))</f>
        <v/>
      </c>
      <c r="L5224" t="str">
        <f t="shared" si="408"/>
        <v/>
      </c>
      <c r="M5224" t="str">
        <f t="shared" si="409"/>
        <v/>
      </c>
    </row>
    <row r="5225" spans="1:13" x14ac:dyDescent="0.3">
      <c r="A5225" t="str">
        <f>Segmenter!A5225</f>
        <v/>
      </c>
      <c r="B5225" t="str">
        <f>Segmenter!B5225</f>
        <v/>
      </c>
      <c r="C5225" t="str">
        <f t="shared" si="405"/>
        <v/>
      </c>
      <c r="D5225" t="str">
        <f t="shared" si="406"/>
        <v/>
      </c>
      <c r="E5225" t="str">
        <f t="shared" si="407"/>
        <v/>
      </c>
      <c r="F5225" t="str">
        <f>IF(D5225="","",INDEX(Knutepunkter!$B:$B,D5225+1))</f>
        <v/>
      </c>
      <c r="G5225" t="str">
        <f>IF(D5225="","",INDEX(Knutepunkter!$C:$C,D5225+1))</f>
        <v/>
      </c>
      <c r="H5225" t="str">
        <f>IF(D5225="","",INDEX(Knutepunkter!$D:$D,D5225+1))</f>
        <v/>
      </c>
      <c r="I5225" t="str">
        <f>IF(E5225="","",INDEX(Knutepunkter!$B:$B,E5225+1))</f>
        <v/>
      </c>
      <c r="J5225" t="str">
        <f>IF(E5225="","",INDEX(Knutepunkter!$C:$C,E5225+1))</f>
        <v/>
      </c>
      <c r="K5225" t="str">
        <f>IF(E5225="","",INDEX(Knutepunkter!$D:$D,E5225+1))</f>
        <v/>
      </c>
      <c r="L5225" t="str">
        <f t="shared" si="408"/>
        <v/>
      </c>
      <c r="M5225" t="str">
        <f t="shared" si="409"/>
        <v/>
      </c>
    </row>
    <row r="5226" spans="1:13" x14ac:dyDescent="0.3">
      <c r="A5226" t="str">
        <f>Segmenter!A5226</f>
        <v/>
      </c>
      <c r="B5226" t="str">
        <f>Segmenter!B5226</f>
        <v/>
      </c>
      <c r="C5226" t="str">
        <f t="shared" si="405"/>
        <v/>
      </c>
      <c r="D5226" t="str">
        <f t="shared" si="406"/>
        <v/>
      </c>
      <c r="E5226" t="str">
        <f t="shared" si="407"/>
        <v/>
      </c>
      <c r="F5226" t="str">
        <f>IF(D5226="","",INDEX(Knutepunkter!$B:$B,D5226+1))</f>
        <v/>
      </c>
      <c r="G5226" t="str">
        <f>IF(D5226="","",INDEX(Knutepunkter!$C:$C,D5226+1))</f>
        <v/>
      </c>
      <c r="H5226" t="str">
        <f>IF(D5226="","",INDEX(Knutepunkter!$D:$D,D5226+1))</f>
        <v/>
      </c>
      <c r="I5226" t="str">
        <f>IF(E5226="","",INDEX(Knutepunkter!$B:$B,E5226+1))</f>
        <v/>
      </c>
      <c r="J5226" t="str">
        <f>IF(E5226="","",INDEX(Knutepunkter!$C:$C,E5226+1))</f>
        <v/>
      </c>
      <c r="K5226" t="str">
        <f>IF(E5226="","",INDEX(Knutepunkter!$D:$D,E5226+1))</f>
        <v/>
      </c>
      <c r="L5226" t="str">
        <f t="shared" si="408"/>
        <v/>
      </c>
      <c r="M5226" t="str">
        <f t="shared" si="409"/>
        <v/>
      </c>
    </row>
    <row r="5227" spans="1:13" x14ac:dyDescent="0.3">
      <c r="A5227" t="str">
        <f>Segmenter!A5227</f>
        <v/>
      </c>
      <c r="B5227" t="str">
        <f>Segmenter!B5227</f>
        <v/>
      </c>
      <c r="C5227" t="str">
        <f t="shared" si="405"/>
        <v/>
      </c>
      <c r="D5227" t="str">
        <f t="shared" si="406"/>
        <v/>
      </c>
      <c r="E5227" t="str">
        <f t="shared" si="407"/>
        <v/>
      </c>
      <c r="F5227" t="str">
        <f>IF(D5227="","",INDEX(Knutepunkter!$B:$B,D5227+1))</f>
        <v/>
      </c>
      <c r="G5227" t="str">
        <f>IF(D5227="","",INDEX(Knutepunkter!$C:$C,D5227+1))</f>
        <v/>
      </c>
      <c r="H5227" t="str">
        <f>IF(D5227="","",INDEX(Knutepunkter!$D:$D,D5227+1))</f>
        <v/>
      </c>
      <c r="I5227" t="str">
        <f>IF(E5227="","",INDEX(Knutepunkter!$B:$B,E5227+1))</f>
        <v/>
      </c>
      <c r="J5227" t="str">
        <f>IF(E5227="","",INDEX(Knutepunkter!$C:$C,E5227+1))</f>
        <v/>
      </c>
      <c r="K5227" t="str">
        <f>IF(E5227="","",INDEX(Knutepunkter!$D:$D,E5227+1))</f>
        <v/>
      </c>
      <c r="L5227" t="str">
        <f t="shared" si="408"/>
        <v/>
      </c>
      <c r="M5227" t="str">
        <f t="shared" si="409"/>
        <v/>
      </c>
    </row>
    <row r="5228" spans="1:13" x14ac:dyDescent="0.3">
      <c r="A5228" t="str">
        <f>Segmenter!A5228</f>
        <v/>
      </c>
      <c r="B5228" t="str">
        <f>Segmenter!B5228</f>
        <v/>
      </c>
      <c r="C5228" t="str">
        <f t="shared" si="405"/>
        <v/>
      </c>
      <c r="D5228" t="str">
        <f t="shared" si="406"/>
        <v/>
      </c>
      <c r="E5228" t="str">
        <f t="shared" si="407"/>
        <v/>
      </c>
      <c r="F5228" t="str">
        <f>IF(D5228="","",INDEX(Knutepunkter!$B:$B,D5228+1))</f>
        <v/>
      </c>
      <c r="G5228" t="str">
        <f>IF(D5228="","",INDEX(Knutepunkter!$C:$C,D5228+1))</f>
        <v/>
      </c>
      <c r="H5228" t="str">
        <f>IF(D5228="","",INDEX(Knutepunkter!$D:$D,D5228+1))</f>
        <v/>
      </c>
      <c r="I5228" t="str">
        <f>IF(E5228="","",INDEX(Knutepunkter!$B:$B,E5228+1))</f>
        <v/>
      </c>
      <c r="J5228" t="str">
        <f>IF(E5228="","",INDEX(Knutepunkter!$C:$C,E5228+1))</f>
        <v/>
      </c>
      <c r="K5228" t="str">
        <f>IF(E5228="","",INDEX(Knutepunkter!$D:$D,E5228+1))</f>
        <v/>
      </c>
      <c r="L5228" t="str">
        <f t="shared" si="408"/>
        <v/>
      </c>
      <c r="M5228" t="str">
        <f t="shared" si="409"/>
        <v/>
      </c>
    </row>
    <row r="5229" spans="1:13" x14ac:dyDescent="0.3">
      <c r="A5229" t="str">
        <f>Segmenter!A5229</f>
        <v/>
      </c>
      <c r="B5229" t="str">
        <f>Segmenter!B5229</f>
        <v/>
      </c>
      <c r="C5229" t="str">
        <f t="shared" si="405"/>
        <v/>
      </c>
      <c r="D5229" t="str">
        <f t="shared" si="406"/>
        <v/>
      </c>
      <c r="E5229" t="str">
        <f t="shared" si="407"/>
        <v/>
      </c>
      <c r="F5229" t="str">
        <f>IF(D5229="","",INDEX(Knutepunkter!$B:$B,D5229+1))</f>
        <v/>
      </c>
      <c r="G5229" t="str">
        <f>IF(D5229="","",INDEX(Knutepunkter!$C:$C,D5229+1))</f>
        <v/>
      </c>
      <c r="H5229" t="str">
        <f>IF(D5229="","",INDEX(Knutepunkter!$D:$D,D5229+1))</f>
        <v/>
      </c>
      <c r="I5229" t="str">
        <f>IF(E5229="","",INDEX(Knutepunkter!$B:$B,E5229+1))</f>
        <v/>
      </c>
      <c r="J5229" t="str">
        <f>IF(E5229="","",INDEX(Knutepunkter!$C:$C,E5229+1))</f>
        <v/>
      </c>
      <c r="K5229" t="str">
        <f>IF(E5229="","",INDEX(Knutepunkter!$D:$D,E5229+1))</f>
        <v/>
      </c>
      <c r="L5229" t="str">
        <f t="shared" si="408"/>
        <v/>
      </c>
      <c r="M5229" t="str">
        <f t="shared" si="409"/>
        <v/>
      </c>
    </row>
    <row r="5230" spans="1:13" x14ac:dyDescent="0.3">
      <c r="A5230" t="str">
        <f>Segmenter!A5230</f>
        <v/>
      </c>
      <c r="B5230" t="str">
        <f>Segmenter!B5230</f>
        <v/>
      </c>
      <c r="C5230" t="str">
        <f t="shared" si="405"/>
        <v/>
      </c>
      <c r="D5230" t="str">
        <f t="shared" si="406"/>
        <v/>
      </c>
      <c r="E5230" t="str">
        <f t="shared" si="407"/>
        <v/>
      </c>
      <c r="F5230" t="str">
        <f>IF(D5230="","",INDEX(Knutepunkter!$B:$B,D5230+1))</f>
        <v/>
      </c>
      <c r="G5230" t="str">
        <f>IF(D5230="","",INDEX(Knutepunkter!$C:$C,D5230+1))</f>
        <v/>
      </c>
      <c r="H5230" t="str">
        <f>IF(D5230="","",INDEX(Knutepunkter!$D:$D,D5230+1))</f>
        <v/>
      </c>
      <c r="I5230" t="str">
        <f>IF(E5230="","",INDEX(Knutepunkter!$B:$B,E5230+1))</f>
        <v/>
      </c>
      <c r="J5230" t="str">
        <f>IF(E5230="","",INDEX(Knutepunkter!$C:$C,E5230+1))</f>
        <v/>
      </c>
      <c r="K5230" t="str">
        <f>IF(E5230="","",INDEX(Knutepunkter!$D:$D,E5230+1))</f>
        <v/>
      </c>
      <c r="L5230" t="str">
        <f t="shared" si="408"/>
        <v/>
      </c>
      <c r="M5230" t="str">
        <f t="shared" si="409"/>
        <v/>
      </c>
    </row>
    <row r="5231" spans="1:13" x14ac:dyDescent="0.3">
      <c r="A5231" t="str">
        <f>Segmenter!A5231</f>
        <v/>
      </c>
      <c r="B5231" t="str">
        <f>Segmenter!B5231</f>
        <v/>
      </c>
      <c r="C5231" t="str">
        <f t="shared" si="405"/>
        <v/>
      </c>
      <c r="D5231" t="str">
        <f t="shared" si="406"/>
        <v/>
      </c>
      <c r="E5231" t="str">
        <f t="shared" si="407"/>
        <v/>
      </c>
      <c r="F5231" t="str">
        <f>IF(D5231="","",INDEX(Knutepunkter!$B:$B,D5231+1))</f>
        <v/>
      </c>
      <c r="G5231" t="str">
        <f>IF(D5231="","",INDEX(Knutepunkter!$C:$C,D5231+1))</f>
        <v/>
      </c>
      <c r="H5231" t="str">
        <f>IF(D5231="","",INDEX(Knutepunkter!$D:$D,D5231+1))</f>
        <v/>
      </c>
      <c r="I5231" t="str">
        <f>IF(E5231="","",INDEX(Knutepunkter!$B:$B,E5231+1))</f>
        <v/>
      </c>
      <c r="J5231" t="str">
        <f>IF(E5231="","",INDEX(Knutepunkter!$C:$C,E5231+1))</f>
        <v/>
      </c>
      <c r="K5231" t="str">
        <f>IF(E5231="","",INDEX(Knutepunkter!$D:$D,E5231+1))</f>
        <v/>
      </c>
      <c r="L5231" t="str">
        <f t="shared" si="408"/>
        <v/>
      </c>
      <c r="M5231" t="str">
        <f t="shared" si="409"/>
        <v/>
      </c>
    </row>
    <row r="5232" spans="1:13" x14ac:dyDescent="0.3">
      <c r="A5232" t="str">
        <f>Segmenter!A5232</f>
        <v/>
      </c>
      <c r="B5232" t="str">
        <f>Segmenter!B5232</f>
        <v/>
      </c>
      <c r="C5232" t="str">
        <f t="shared" si="405"/>
        <v/>
      </c>
      <c r="D5232" t="str">
        <f t="shared" si="406"/>
        <v/>
      </c>
      <c r="E5232" t="str">
        <f t="shared" si="407"/>
        <v/>
      </c>
      <c r="F5232" t="str">
        <f>IF(D5232="","",INDEX(Knutepunkter!$B:$B,D5232+1))</f>
        <v/>
      </c>
      <c r="G5232" t="str">
        <f>IF(D5232="","",INDEX(Knutepunkter!$C:$C,D5232+1))</f>
        <v/>
      </c>
      <c r="H5232" t="str">
        <f>IF(D5232="","",INDEX(Knutepunkter!$D:$D,D5232+1))</f>
        <v/>
      </c>
      <c r="I5232" t="str">
        <f>IF(E5232="","",INDEX(Knutepunkter!$B:$B,E5232+1))</f>
        <v/>
      </c>
      <c r="J5232" t="str">
        <f>IF(E5232="","",INDEX(Knutepunkter!$C:$C,E5232+1))</f>
        <v/>
      </c>
      <c r="K5232" t="str">
        <f>IF(E5232="","",INDEX(Knutepunkter!$D:$D,E5232+1))</f>
        <v/>
      </c>
      <c r="L5232" t="str">
        <f t="shared" si="408"/>
        <v/>
      </c>
      <c r="M5232" t="str">
        <f t="shared" si="409"/>
        <v/>
      </c>
    </row>
    <row r="5233" spans="1:13" x14ac:dyDescent="0.3">
      <c r="A5233" t="str">
        <f>Segmenter!A5233</f>
        <v/>
      </c>
      <c r="B5233" t="str">
        <f>Segmenter!B5233</f>
        <v/>
      </c>
      <c r="C5233" t="str">
        <f t="shared" si="405"/>
        <v/>
      </c>
      <c r="D5233" t="str">
        <f t="shared" si="406"/>
        <v/>
      </c>
      <c r="E5233" t="str">
        <f t="shared" si="407"/>
        <v/>
      </c>
      <c r="F5233" t="str">
        <f>IF(D5233="","",INDEX(Knutepunkter!$B:$B,D5233+1))</f>
        <v/>
      </c>
      <c r="G5233" t="str">
        <f>IF(D5233="","",INDEX(Knutepunkter!$C:$C,D5233+1))</f>
        <v/>
      </c>
      <c r="H5233" t="str">
        <f>IF(D5233="","",INDEX(Knutepunkter!$D:$D,D5233+1))</f>
        <v/>
      </c>
      <c r="I5233" t="str">
        <f>IF(E5233="","",INDEX(Knutepunkter!$B:$B,E5233+1))</f>
        <v/>
      </c>
      <c r="J5233" t="str">
        <f>IF(E5233="","",INDEX(Knutepunkter!$C:$C,E5233+1))</f>
        <v/>
      </c>
      <c r="K5233" t="str">
        <f>IF(E5233="","",INDEX(Knutepunkter!$D:$D,E5233+1))</f>
        <v/>
      </c>
      <c r="L5233" t="str">
        <f t="shared" si="408"/>
        <v/>
      </c>
      <c r="M5233" t="str">
        <f t="shared" si="409"/>
        <v/>
      </c>
    </row>
    <row r="5234" spans="1:13" x14ac:dyDescent="0.3">
      <c r="A5234" t="str">
        <f>Segmenter!A5234</f>
        <v/>
      </c>
      <c r="B5234" t="str">
        <f>Segmenter!B5234</f>
        <v/>
      </c>
      <c r="C5234" t="str">
        <f t="shared" si="405"/>
        <v/>
      </c>
      <c r="D5234" t="str">
        <f t="shared" si="406"/>
        <v/>
      </c>
      <c r="E5234" t="str">
        <f t="shared" si="407"/>
        <v/>
      </c>
      <c r="F5234" t="str">
        <f>IF(D5234="","",INDEX(Knutepunkter!$B:$B,D5234+1))</f>
        <v/>
      </c>
      <c r="G5234" t="str">
        <f>IF(D5234="","",INDEX(Knutepunkter!$C:$C,D5234+1))</f>
        <v/>
      </c>
      <c r="H5234" t="str">
        <f>IF(D5234="","",INDEX(Knutepunkter!$D:$D,D5234+1))</f>
        <v/>
      </c>
      <c r="I5234" t="str">
        <f>IF(E5234="","",INDEX(Knutepunkter!$B:$B,E5234+1))</f>
        <v/>
      </c>
      <c r="J5234" t="str">
        <f>IF(E5234="","",INDEX(Knutepunkter!$C:$C,E5234+1))</f>
        <v/>
      </c>
      <c r="K5234" t="str">
        <f>IF(E5234="","",INDEX(Knutepunkter!$D:$D,E5234+1))</f>
        <v/>
      </c>
      <c r="L5234" t="str">
        <f t="shared" si="408"/>
        <v/>
      </c>
      <c r="M5234" t="str">
        <f t="shared" si="409"/>
        <v/>
      </c>
    </row>
    <row r="5235" spans="1:13" x14ac:dyDescent="0.3">
      <c r="A5235" t="str">
        <f>Segmenter!A5235</f>
        <v/>
      </c>
      <c r="B5235" t="str">
        <f>Segmenter!B5235</f>
        <v/>
      </c>
      <c r="C5235" t="str">
        <f t="shared" si="405"/>
        <v/>
      </c>
      <c r="D5235" t="str">
        <f t="shared" si="406"/>
        <v/>
      </c>
      <c r="E5235" t="str">
        <f t="shared" si="407"/>
        <v/>
      </c>
      <c r="F5235" t="str">
        <f>IF(D5235="","",INDEX(Knutepunkter!$B:$B,D5235+1))</f>
        <v/>
      </c>
      <c r="G5235" t="str">
        <f>IF(D5235="","",INDEX(Knutepunkter!$C:$C,D5235+1))</f>
        <v/>
      </c>
      <c r="H5235" t="str">
        <f>IF(D5235="","",INDEX(Knutepunkter!$D:$D,D5235+1))</f>
        <v/>
      </c>
      <c r="I5235" t="str">
        <f>IF(E5235="","",INDEX(Knutepunkter!$B:$B,E5235+1))</f>
        <v/>
      </c>
      <c r="J5235" t="str">
        <f>IF(E5235="","",INDEX(Knutepunkter!$C:$C,E5235+1))</f>
        <v/>
      </c>
      <c r="K5235" t="str">
        <f>IF(E5235="","",INDEX(Knutepunkter!$D:$D,E5235+1))</f>
        <v/>
      </c>
      <c r="L5235" t="str">
        <f t="shared" si="408"/>
        <v/>
      </c>
      <c r="M5235" t="str">
        <f t="shared" si="409"/>
        <v/>
      </c>
    </row>
    <row r="5236" spans="1:13" x14ac:dyDescent="0.3">
      <c r="A5236" t="str">
        <f>Segmenter!A5236</f>
        <v/>
      </c>
      <c r="B5236" t="str">
        <f>Segmenter!B5236</f>
        <v/>
      </c>
      <c r="C5236" t="str">
        <f t="shared" si="405"/>
        <v/>
      </c>
      <c r="D5236" t="str">
        <f t="shared" si="406"/>
        <v/>
      </c>
      <c r="E5236" t="str">
        <f t="shared" si="407"/>
        <v/>
      </c>
      <c r="F5236" t="str">
        <f>IF(D5236="","",INDEX(Knutepunkter!$B:$B,D5236+1))</f>
        <v/>
      </c>
      <c r="G5236" t="str">
        <f>IF(D5236="","",INDEX(Knutepunkter!$C:$C,D5236+1))</f>
        <v/>
      </c>
      <c r="H5236" t="str">
        <f>IF(D5236="","",INDEX(Knutepunkter!$D:$D,D5236+1))</f>
        <v/>
      </c>
      <c r="I5236" t="str">
        <f>IF(E5236="","",INDEX(Knutepunkter!$B:$B,E5236+1))</f>
        <v/>
      </c>
      <c r="J5236" t="str">
        <f>IF(E5236="","",INDEX(Knutepunkter!$C:$C,E5236+1))</f>
        <v/>
      </c>
      <c r="K5236" t="str">
        <f>IF(E5236="","",INDEX(Knutepunkter!$D:$D,E5236+1))</f>
        <v/>
      </c>
      <c r="L5236" t="str">
        <f t="shared" si="408"/>
        <v/>
      </c>
      <c r="M5236" t="str">
        <f t="shared" si="409"/>
        <v/>
      </c>
    </row>
    <row r="5237" spans="1:13" x14ac:dyDescent="0.3">
      <c r="A5237" t="str">
        <f>Segmenter!A5237</f>
        <v/>
      </c>
      <c r="B5237" t="str">
        <f>Segmenter!B5237</f>
        <v/>
      </c>
      <c r="C5237" t="str">
        <f t="shared" si="405"/>
        <v/>
      </c>
      <c r="D5237" t="str">
        <f t="shared" si="406"/>
        <v/>
      </c>
      <c r="E5237" t="str">
        <f t="shared" si="407"/>
        <v/>
      </c>
      <c r="F5237" t="str">
        <f>IF(D5237="","",INDEX(Knutepunkter!$B:$B,D5237+1))</f>
        <v/>
      </c>
      <c r="G5237" t="str">
        <f>IF(D5237="","",INDEX(Knutepunkter!$C:$C,D5237+1))</f>
        <v/>
      </c>
      <c r="H5237" t="str">
        <f>IF(D5237="","",INDEX(Knutepunkter!$D:$D,D5237+1))</f>
        <v/>
      </c>
      <c r="I5237" t="str">
        <f>IF(E5237="","",INDEX(Knutepunkter!$B:$B,E5237+1))</f>
        <v/>
      </c>
      <c r="J5237" t="str">
        <f>IF(E5237="","",INDEX(Knutepunkter!$C:$C,E5237+1))</f>
        <v/>
      </c>
      <c r="K5237" t="str">
        <f>IF(E5237="","",INDEX(Knutepunkter!$D:$D,E5237+1))</f>
        <v/>
      </c>
      <c r="L5237" t="str">
        <f t="shared" si="408"/>
        <v/>
      </c>
      <c r="M5237" t="str">
        <f t="shared" si="409"/>
        <v/>
      </c>
    </row>
    <row r="5238" spans="1:13" x14ac:dyDescent="0.3">
      <c r="A5238" t="str">
        <f>Segmenter!A5238</f>
        <v/>
      </c>
      <c r="B5238" t="str">
        <f>Segmenter!B5238</f>
        <v/>
      </c>
      <c r="C5238" t="str">
        <f t="shared" si="405"/>
        <v/>
      </c>
      <c r="D5238" t="str">
        <f t="shared" si="406"/>
        <v/>
      </c>
      <c r="E5238" t="str">
        <f t="shared" si="407"/>
        <v/>
      </c>
      <c r="F5238" t="str">
        <f>IF(D5238="","",INDEX(Knutepunkter!$B:$B,D5238+1))</f>
        <v/>
      </c>
      <c r="G5238" t="str">
        <f>IF(D5238="","",INDEX(Knutepunkter!$C:$C,D5238+1))</f>
        <v/>
      </c>
      <c r="H5238" t="str">
        <f>IF(D5238="","",INDEX(Knutepunkter!$D:$D,D5238+1))</f>
        <v/>
      </c>
      <c r="I5238" t="str">
        <f>IF(E5238="","",INDEX(Knutepunkter!$B:$B,E5238+1))</f>
        <v/>
      </c>
      <c r="J5238" t="str">
        <f>IF(E5238="","",INDEX(Knutepunkter!$C:$C,E5238+1))</f>
        <v/>
      </c>
      <c r="K5238" t="str">
        <f>IF(E5238="","",INDEX(Knutepunkter!$D:$D,E5238+1))</f>
        <v/>
      </c>
      <c r="L5238" t="str">
        <f t="shared" si="408"/>
        <v/>
      </c>
      <c r="M5238" t="str">
        <f t="shared" si="409"/>
        <v/>
      </c>
    </row>
    <row r="5239" spans="1:13" x14ac:dyDescent="0.3">
      <c r="A5239" t="str">
        <f>Segmenter!A5239</f>
        <v/>
      </c>
      <c r="B5239" t="str">
        <f>Segmenter!B5239</f>
        <v/>
      </c>
      <c r="C5239" t="str">
        <f t="shared" si="405"/>
        <v/>
      </c>
      <c r="D5239" t="str">
        <f t="shared" si="406"/>
        <v/>
      </c>
      <c r="E5239" t="str">
        <f t="shared" si="407"/>
        <v/>
      </c>
      <c r="F5239" t="str">
        <f>IF(D5239="","",INDEX(Knutepunkter!$B:$B,D5239+1))</f>
        <v/>
      </c>
      <c r="G5239" t="str">
        <f>IF(D5239="","",INDEX(Knutepunkter!$C:$C,D5239+1))</f>
        <v/>
      </c>
      <c r="H5239" t="str">
        <f>IF(D5239="","",INDEX(Knutepunkter!$D:$D,D5239+1))</f>
        <v/>
      </c>
      <c r="I5239" t="str">
        <f>IF(E5239="","",INDEX(Knutepunkter!$B:$B,E5239+1))</f>
        <v/>
      </c>
      <c r="J5239" t="str">
        <f>IF(E5239="","",INDEX(Knutepunkter!$C:$C,E5239+1))</f>
        <v/>
      </c>
      <c r="K5239" t="str">
        <f>IF(E5239="","",INDEX(Knutepunkter!$D:$D,E5239+1))</f>
        <v/>
      </c>
      <c r="L5239" t="str">
        <f t="shared" si="408"/>
        <v/>
      </c>
      <c r="M5239" t="str">
        <f t="shared" si="409"/>
        <v/>
      </c>
    </row>
    <row r="5240" spans="1:13" x14ac:dyDescent="0.3">
      <c r="A5240" t="str">
        <f>Segmenter!A5240</f>
        <v/>
      </c>
      <c r="B5240" t="str">
        <f>Segmenter!B5240</f>
        <v/>
      </c>
      <c r="C5240" t="str">
        <f t="shared" si="405"/>
        <v/>
      </c>
      <c r="D5240" t="str">
        <f t="shared" si="406"/>
        <v/>
      </c>
      <c r="E5240" t="str">
        <f t="shared" si="407"/>
        <v/>
      </c>
      <c r="F5240" t="str">
        <f>IF(D5240="","",INDEX(Knutepunkter!$B:$B,D5240+1))</f>
        <v/>
      </c>
      <c r="G5240" t="str">
        <f>IF(D5240="","",INDEX(Knutepunkter!$C:$C,D5240+1))</f>
        <v/>
      </c>
      <c r="H5240" t="str">
        <f>IF(D5240="","",INDEX(Knutepunkter!$D:$D,D5240+1))</f>
        <v/>
      </c>
      <c r="I5240" t="str">
        <f>IF(E5240="","",INDEX(Knutepunkter!$B:$B,E5240+1))</f>
        <v/>
      </c>
      <c r="J5240" t="str">
        <f>IF(E5240="","",INDEX(Knutepunkter!$C:$C,E5240+1))</f>
        <v/>
      </c>
      <c r="K5240" t="str">
        <f>IF(E5240="","",INDEX(Knutepunkter!$D:$D,E5240+1))</f>
        <v/>
      </c>
      <c r="L5240" t="str">
        <f t="shared" si="408"/>
        <v/>
      </c>
      <c r="M5240" t="str">
        <f t="shared" si="409"/>
        <v/>
      </c>
    </row>
    <row r="5241" spans="1:13" x14ac:dyDescent="0.3">
      <c r="A5241" t="str">
        <f>Segmenter!A5241</f>
        <v/>
      </c>
      <c r="B5241" t="str">
        <f>Segmenter!B5241</f>
        <v/>
      </c>
      <c r="C5241" t="str">
        <f t="shared" si="405"/>
        <v/>
      </c>
      <c r="D5241" t="str">
        <f t="shared" si="406"/>
        <v/>
      </c>
      <c r="E5241" t="str">
        <f t="shared" si="407"/>
        <v/>
      </c>
      <c r="F5241" t="str">
        <f>IF(D5241="","",INDEX(Knutepunkter!$B:$B,D5241+1))</f>
        <v/>
      </c>
      <c r="G5241" t="str">
        <f>IF(D5241="","",INDEX(Knutepunkter!$C:$C,D5241+1))</f>
        <v/>
      </c>
      <c r="H5241" t="str">
        <f>IF(D5241="","",INDEX(Knutepunkter!$D:$D,D5241+1))</f>
        <v/>
      </c>
      <c r="I5241" t="str">
        <f>IF(E5241="","",INDEX(Knutepunkter!$B:$B,E5241+1))</f>
        <v/>
      </c>
      <c r="J5241" t="str">
        <f>IF(E5241="","",INDEX(Knutepunkter!$C:$C,E5241+1))</f>
        <v/>
      </c>
      <c r="K5241" t="str">
        <f>IF(E5241="","",INDEX(Knutepunkter!$D:$D,E5241+1))</f>
        <v/>
      </c>
      <c r="L5241" t="str">
        <f t="shared" si="408"/>
        <v/>
      </c>
      <c r="M5241" t="str">
        <f t="shared" si="409"/>
        <v/>
      </c>
    </row>
    <row r="5242" spans="1:13" x14ac:dyDescent="0.3">
      <c r="A5242" t="str">
        <f>Segmenter!A5242</f>
        <v/>
      </c>
      <c r="B5242" t="str">
        <f>Segmenter!B5242</f>
        <v/>
      </c>
      <c r="C5242" t="str">
        <f t="shared" si="405"/>
        <v/>
      </c>
      <c r="D5242" t="str">
        <f t="shared" si="406"/>
        <v/>
      </c>
      <c r="E5242" t="str">
        <f t="shared" si="407"/>
        <v/>
      </c>
      <c r="F5242" t="str">
        <f>IF(D5242="","",INDEX(Knutepunkter!$B:$B,D5242+1))</f>
        <v/>
      </c>
      <c r="G5242" t="str">
        <f>IF(D5242="","",INDEX(Knutepunkter!$C:$C,D5242+1))</f>
        <v/>
      </c>
      <c r="H5242" t="str">
        <f>IF(D5242="","",INDEX(Knutepunkter!$D:$D,D5242+1))</f>
        <v/>
      </c>
      <c r="I5242" t="str">
        <f>IF(E5242="","",INDEX(Knutepunkter!$B:$B,E5242+1))</f>
        <v/>
      </c>
      <c r="J5242" t="str">
        <f>IF(E5242="","",INDEX(Knutepunkter!$C:$C,E5242+1))</f>
        <v/>
      </c>
      <c r="K5242" t="str">
        <f>IF(E5242="","",INDEX(Knutepunkter!$D:$D,E5242+1))</f>
        <v/>
      </c>
      <c r="L5242" t="str">
        <f t="shared" si="408"/>
        <v/>
      </c>
      <c r="M5242" t="str">
        <f t="shared" si="409"/>
        <v/>
      </c>
    </row>
    <row r="5243" spans="1:13" x14ac:dyDescent="0.3">
      <c r="A5243" t="str">
        <f>Segmenter!A5243</f>
        <v/>
      </c>
      <c r="B5243" t="str">
        <f>Segmenter!B5243</f>
        <v/>
      </c>
      <c r="C5243" t="str">
        <f t="shared" si="405"/>
        <v/>
      </c>
      <c r="D5243" t="str">
        <f t="shared" si="406"/>
        <v/>
      </c>
      <c r="E5243" t="str">
        <f t="shared" si="407"/>
        <v/>
      </c>
      <c r="F5243" t="str">
        <f>IF(D5243="","",INDEX(Knutepunkter!$B:$B,D5243+1))</f>
        <v/>
      </c>
      <c r="G5243" t="str">
        <f>IF(D5243="","",INDEX(Knutepunkter!$C:$C,D5243+1))</f>
        <v/>
      </c>
      <c r="H5243" t="str">
        <f>IF(D5243="","",INDEX(Knutepunkter!$D:$D,D5243+1))</f>
        <v/>
      </c>
      <c r="I5243" t="str">
        <f>IF(E5243="","",INDEX(Knutepunkter!$B:$B,E5243+1))</f>
        <v/>
      </c>
      <c r="J5243" t="str">
        <f>IF(E5243="","",INDEX(Knutepunkter!$C:$C,E5243+1))</f>
        <v/>
      </c>
      <c r="K5243" t="str">
        <f>IF(E5243="","",INDEX(Knutepunkter!$D:$D,E5243+1))</f>
        <v/>
      </c>
      <c r="L5243" t="str">
        <f t="shared" si="408"/>
        <v/>
      </c>
      <c r="M5243" t="str">
        <f t="shared" si="409"/>
        <v/>
      </c>
    </row>
    <row r="5244" spans="1:13" x14ac:dyDescent="0.3">
      <c r="A5244" t="str">
        <f>Segmenter!A5244</f>
        <v/>
      </c>
      <c r="B5244" t="str">
        <f>Segmenter!B5244</f>
        <v/>
      </c>
      <c r="C5244" t="str">
        <f t="shared" si="405"/>
        <v/>
      </c>
      <c r="D5244" t="str">
        <f t="shared" si="406"/>
        <v/>
      </c>
      <c r="E5244" t="str">
        <f t="shared" si="407"/>
        <v/>
      </c>
      <c r="F5244" t="str">
        <f>IF(D5244="","",INDEX(Knutepunkter!$B:$B,D5244+1))</f>
        <v/>
      </c>
      <c r="G5244" t="str">
        <f>IF(D5244="","",INDEX(Knutepunkter!$C:$C,D5244+1))</f>
        <v/>
      </c>
      <c r="H5244" t="str">
        <f>IF(D5244="","",INDEX(Knutepunkter!$D:$D,D5244+1))</f>
        <v/>
      </c>
      <c r="I5244" t="str">
        <f>IF(E5244="","",INDEX(Knutepunkter!$B:$B,E5244+1))</f>
        <v/>
      </c>
      <c r="J5244" t="str">
        <f>IF(E5244="","",INDEX(Knutepunkter!$C:$C,E5244+1))</f>
        <v/>
      </c>
      <c r="K5244" t="str">
        <f>IF(E5244="","",INDEX(Knutepunkter!$D:$D,E5244+1))</f>
        <v/>
      </c>
      <c r="L5244" t="str">
        <f t="shared" si="408"/>
        <v/>
      </c>
      <c r="M5244" t="str">
        <f t="shared" si="409"/>
        <v/>
      </c>
    </row>
    <row r="5245" spans="1:13" x14ac:dyDescent="0.3">
      <c r="A5245" t="str">
        <f>Segmenter!A5245</f>
        <v/>
      </c>
      <c r="B5245" t="str">
        <f>Segmenter!B5245</f>
        <v/>
      </c>
      <c r="C5245" t="str">
        <f t="shared" si="405"/>
        <v/>
      </c>
      <c r="D5245" t="str">
        <f t="shared" si="406"/>
        <v/>
      </c>
      <c r="E5245" t="str">
        <f t="shared" si="407"/>
        <v/>
      </c>
      <c r="F5245" t="str">
        <f>IF(D5245="","",INDEX(Knutepunkter!$B:$B,D5245+1))</f>
        <v/>
      </c>
      <c r="G5245" t="str">
        <f>IF(D5245="","",INDEX(Knutepunkter!$C:$C,D5245+1))</f>
        <v/>
      </c>
      <c r="H5245" t="str">
        <f>IF(D5245="","",INDEX(Knutepunkter!$D:$D,D5245+1))</f>
        <v/>
      </c>
      <c r="I5245" t="str">
        <f>IF(E5245="","",INDEX(Knutepunkter!$B:$B,E5245+1))</f>
        <v/>
      </c>
      <c r="J5245" t="str">
        <f>IF(E5245="","",INDEX(Knutepunkter!$C:$C,E5245+1))</f>
        <v/>
      </c>
      <c r="K5245" t="str">
        <f>IF(E5245="","",INDEX(Knutepunkter!$D:$D,E5245+1))</f>
        <v/>
      </c>
      <c r="L5245" t="str">
        <f t="shared" si="408"/>
        <v/>
      </c>
      <c r="M5245" t="str">
        <f t="shared" si="409"/>
        <v/>
      </c>
    </row>
    <row r="5246" spans="1:13" x14ac:dyDescent="0.3">
      <c r="A5246" t="str">
        <f>Segmenter!A5246</f>
        <v/>
      </c>
      <c r="B5246" t="str">
        <f>Segmenter!B5246</f>
        <v/>
      </c>
      <c r="C5246" t="str">
        <f t="shared" si="405"/>
        <v/>
      </c>
      <c r="D5246" t="str">
        <f t="shared" si="406"/>
        <v/>
      </c>
      <c r="E5246" t="str">
        <f t="shared" si="407"/>
        <v/>
      </c>
      <c r="F5246" t="str">
        <f>IF(D5246="","",INDEX(Knutepunkter!$B:$B,D5246+1))</f>
        <v/>
      </c>
      <c r="G5246" t="str">
        <f>IF(D5246="","",INDEX(Knutepunkter!$C:$C,D5246+1))</f>
        <v/>
      </c>
      <c r="H5246" t="str">
        <f>IF(D5246="","",INDEX(Knutepunkter!$D:$D,D5246+1))</f>
        <v/>
      </c>
      <c r="I5246" t="str">
        <f>IF(E5246="","",INDEX(Knutepunkter!$B:$B,E5246+1))</f>
        <v/>
      </c>
      <c r="J5246" t="str">
        <f>IF(E5246="","",INDEX(Knutepunkter!$C:$C,E5246+1))</f>
        <v/>
      </c>
      <c r="K5246" t="str">
        <f>IF(E5246="","",INDEX(Knutepunkter!$D:$D,E5246+1))</f>
        <v/>
      </c>
      <c r="L5246" t="str">
        <f t="shared" si="408"/>
        <v/>
      </c>
      <c r="M5246" t="str">
        <f t="shared" si="409"/>
        <v/>
      </c>
    </row>
    <row r="5247" spans="1:13" x14ac:dyDescent="0.3">
      <c r="A5247" t="str">
        <f>Segmenter!A5247</f>
        <v/>
      </c>
      <c r="B5247" t="str">
        <f>Segmenter!B5247</f>
        <v/>
      </c>
      <c r="C5247" t="str">
        <f t="shared" si="405"/>
        <v/>
      </c>
      <c r="D5247" t="str">
        <f t="shared" si="406"/>
        <v/>
      </c>
      <c r="E5247" t="str">
        <f t="shared" si="407"/>
        <v/>
      </c>
      <c r="F5247" t="str">
        <f>IF(D5247="","",INDEX(Knutepunkter!$B:$B,D5247+1))</f>
        <v/>
      </c>
      <c r="G5247" t="str">
        <f>IF(D5247="","",INDEX(Knutepunkter!$C:$C,D5247+1))</f>
        <v/>
      </c>
      <c r="H5247" t="str">
        <f>IF(D5247="","",INDEX(Knutepunkter!$D:$D,D5247+1))</f>
        <v/>
      </c>
      <c r="I5247" t="str">
        <f>IF(E5247="","",INDEX(Knutepunkter!$B:$B,E5247+1))</f>
        <v/>
      </c>
      <c r="J5247" t="str">
        <f>IF(E5247="","",INDEX(Knutepunkter!$C:$C,E5247+1))</f>
        <v/>
      </c>
      <c r="K5247" t="str">
        <f>IF(E5247="","",INDEX(Knutepunkter!$D:$D,E5247+1))</f>
        <v/>
      </c>
      <c r="L5247" t="str">
        <f t="shared" si="408"/>
        <v/>
      </c>
      <c r="M5247" t="str">
        <f t="shared" si="409"/>
        <v/>
      </c>
    </row>
    <row r="5248" spans="1:13" x14ac:dyDescent="0.3">
      <c r="A5248" t="str">
        <f>Segmenter!A5248</f>
        <v/>
      </c>
      <c r="B5248" t="str">
        <f>Segmenter!B5248</f>
        <v/>
      </c>
      <c r="C5248" t="str">
        <f t="shared" si="405"/>
        <v/>
      </c>
      <c r="D5248" t="str">
        <f t="shared" si="406"/>
        <v/>
      </c>
      <c r="E5248" t="str">
        <f t="shared" si="407"/>
        <v/>
      </c>
      <c r="F5248" t="str">
        <f>IF(D5248="","",INDEX(Knutepunkter!$B:$B,D5248+1))</f>
        <v/>
      </c>
      <c r="G5248" t="str">
        <f>IF(D5248="","",INDEX(Knutepunkter!$C:$C,D5248+1))</f>
        <v/>
      </c>
      <c r="H5248" t="str">
        <f>IF(D5248="","",INDEX(Knutepunkter!$D:$D,D5248+1))</f>
        <v/>
      </c>
      <c r="I5248" t="str">
        <f>IF(E5248="","",INDEX(Knutepunkter!$B:$B,E5248+1))</f>
        <v/>
      </c>
      <c r="J5248" t="str">
        <f>IF(E5248="","",INDEX(Knutepunkter!$C:$C,E5248+1))</f>
        <v/>
      </c>
      <c r="K5248" t="str">
        <f>IF(E5248="","",INDEX(Knutepunkter!$D:$D,E5248+1))</f>
        <v/>
      </c>
      <c r="L5248" t="str">
        <f t="shared" si="408"/>
        <v/>
      </c>
      <c r="M5248" t="str">
        <f t="shared" si="409"/>
        <v/>
      </c>
    </row>
    <row r="5249" spans="1:13" x14ac:dyDescent="0.3">
      <c r="A5249" t="str">
        <f>Segmenter!A5249</f>
        <v/>
      </c>
      <c r="B5249" t="str">
        <f>Segmenter!B5249</f>
        <v/>
      </c>
      <c r="C5249" t="str">
        <f t="shared" si="405"/>
        <v/>
      </c>
      <c r="D5249" t="str">
        <f t="shared" si="406"/>
        <v/>
      </c>
      <c r="E5249" t="str">
        <f t="shared" si="407"/>
        <v/>
      </c>
      <c r="F5249" t="str">
        <f>IF(D5249="","",INDEX(Knutepunkter!$B:$B,D5249+1))</f>
        <v/>
      </c>
      <c r="G5249" t="str">
        <f>IF(D5249="","",INDEX(Knutepunkter!$C:$C,D5249+1))</f>
        <v/>
      </c>
      <c r="H5249" t="str">
        <f>IF(D5249="","",INDEX(Knutepunkter!$D:$D,D5249+1))</f>
        <v/>
      </c>
      <c r="I5249" t="str">
        <f>IF(E5249="","",INDEX(Knutepunkter!$B:$B,E5249+1))</f>
        <v/>
      </c>
      <c r="J5249" t="str">
        <f>IF(E5249="","",INDEX(Knutepunkter!$C:$C,E5249+1))</f>
        <v/>
      </c>
      <c r="K5249" t="str">
        <f>IF(E5249="","",INDEX(Knutepunkter!$D:$D,E5249+1))</f>
        <v/>
      </c>
      <c r="L5249" t="str">
        <f t="shared" si="408"/>
        <v/>
      </c>
      <c r="M5249" t="str">
        <f t="shared" si="409"/>
        <v/>
      </c>
    </row>
    <row r="5250" spans="1:13" x14ac:dyDescent="0.3">
      <c r="A5250" t="str">
        <f>Segmenter!A5250</f>
        <v/>
      </c>
      <c r="B5250" t="str">
        <f>Segmenter!B5250</f>
        <v/>
      </c>
      <c r="C5250" t="str">
        <f t="shared" ref="C5250:C5313" si="410">IF(B5250="","",IF(AND(F5250=I5250,G5250=J5250,H5250&lt;&gt;K5250),"Søyle","Bjelke"))</f>
        <v/>
      </c>
      <c r="D5250" t="str">
        <f t="shared" ref="D5250:D5313" si="411">IF(B5250="","",VALUE(LEFT(B5250,FIND(" -&gt; ",B5250)-1)))</f>
        <v/>
      </c>
      <c r="E5250" t="str">
        <f t="shared" ref="E5250:E5313" si="412">IF(B5250="","",VALUE(MID(B5250,FIND(" -&gt; ",B5250)+4,99)))</f>
        <v/>
      </c>
      <c r="F5250" t="str">
        <f>IF(D5250="","",INDEX(Knutepunkter!$B:$B,D5250+1))</f>
        <v/>
      </c>
      <c r="G5250" t="str">
        <f>IF(D5250="","",INDEX(Knutepunkter!$C:$C,D5250+1))</f>
        <v/>
      </c>
      <c r="H5250" t="str">
        <f>IF(D5250="","",INDEX(Knutepunkter!$D:$D,D5250+1))</f>
        <v/>
      </c>
      <c r="I5250" t="str">
        <f>IF(E5250="","",INDEX(Knutepunkter!$B:$B,E5250+1))</f>
        <v/>
      </c>
      <c r="J5250" t="str">
        <f>IF(E5250="","",INDEX(Knutepunkter!$C:$C,E5250+1))</f>
        <v/>
      </c>
      <c r="K5250" t="str">
        <f>IF(E5250="","",INDEX(Knutepunkter!$D:$D,E5250+1))</f>
        <v/>
      </c>
      <c r="L5250" t="str">
        <f t="shared" ref="L5250:L5313" si="413">IF(B5250="","",SQRT((I5250-F5250)^2+(J5250-G5250)^2+(K5250-H5250)^2))</f>
        <v/>
      </c>
      <c r="M5250" t="str">
        <f t="shared" ref="M5250:M5313" si="414">IF(L5250="","",L5250/1000)</f>
        <v/>
      </c>
    </row>
    <row r="5251" spans="1:13" x14ac:dyDescent="0.3">
      <c r="A5251" t="str">
        <f>Segmenter!A5251</f>
        <v/>
      </c>
      <c r="B5251" t="str">
        <f>Segmenter!B5251</f>
        <v/>
      </c>
      <c r="C5251" t="str">
        <f t="shared" si="410"/>
        <v/>
      </c>
      <c r="D5251" t="str">
        <f t="shared" si="411"/>
        <v/>
      </c>
      <c r="E5251" t="str">
        <f t="shared" si="412"/>
        <v/>
      </c>
      <c r="F5251" t="str">
        <f>IF(D5251="","",INDEX(Knutepunkter!$B:$B,D5251+1))</f>
        <v/>
      </c>
      <c r="G5251" t="str">
        <f>IF(D5251="","",INDEX(Knutepunkter!$C:$C,D5251+1))</f>
        <v/>
      </c>
      <c r="H5251" t="str">
        <f>IF(D5251="","",INDEX(Knutepunkter!$D:$D,D5251+1))</f>
        <v/>
      </c>
      <c r="I5251" t="str">
        <f>IF(E5251="","",INDEX(Knutepunkter!$B:$B,E5251+1))</f>
        <v/>
      </c>
      <c r="J5251" t="str">
        <f>IF(E5251="","",INDEX(Knutepunkter!$C:$C,E5251+1))</f>
        <v/>
      </c>
      <c r="K5251" t="str">
        <f>IF(E5251="","",INDEX(Knutepunkter!$D:$D,E5251+1))</f>
        <v/>
      </c>
      <c r="L5251" t="str">
        <f t="shared" si="413"/>
        <v/>
      </c>
      <c r="M5251" t="str">
        <f t="shared" si="414"/>
        <v/>
      </c>
    </row>
    <row r="5252" spans="1:13" x14ac:dyDescent="0.3">
      <c r="A5252" t="str">
        <f>Segmenter!A5252</f>
        <v/>
      </c>
      <c r="B5252" t="str">
        <f>Segmenter!B5252</f>
        <v/>
      </c>
      <c r="C5252" t="str">
        <f t="shared" si="410"/>
        <v/>
      </c>
      <c r="D5252" t="str">
        <f t="shared" si="411"/>
        <v/>
      </c>
      <c r="E5252" t="str">
        <f t="shared" si="412"/>
        <v/>
      </c>
      <c r="F5252" t="str">
        <f>IF(D5252="","",INDEX(Knutepunkter!$B:$B,D5252+1))</f>
        <v/>
      </c>
      <c r="G5252" t="str">
        <f>IF(D5252="","",INDEX(Knutepunkter!$C:$C,D5252+1))</f>
        <v/>
      </c>
      <c r="H5252" t="str">
        <f>IF(D5252="","",INDEX(Knutepunkter!$D:$D,D5252+1))</f>
        <v/>
      </c>
      <c r="I5252" t="str">
        <f>IF(E5252="","",INDEX(Knutepunkter!$B:$B,E5252+1))</f>
        <v/>
      </c>
      <c r="J5252" t="str">
        <f>IF(E5252="","",INDEX(Knutepunkter!$C:$C,E5252+1))</f>
        <v/>
      </c>
      <c r="K5252" t="str">
        <f>IF(E5252="","",INDEX(Knutepunkter!$D:$D,E5252+1))</f>
        <v/>
      </c>
      <c r="L5252" t="str">
        <f t="shared" si="413"/>
        <v/>
      </c>
      <c r="M5252" t="str">
        <f t="shared" si="414"/>
        <v/>
      </c>
    </row>
    <row r="5253" spans="1:13" x14ac:dyDescent="0.3">
      <c r="A5253" t="str">
        <f>Segmenter!A5253</f>
        <v/>
      </c>
      <c r="B5253" t="str">
        <f>Segmenter!B5253</f>
        <v/>
      </c>
      <c r="C5253" t="str">
        <f t="shared" si="410"/>
        <v/>
      </c>
      <c r="D5253" t="str">
        <f t="shared" si="411"/>
        <v/>
      </c>
      <c r="E5253" t="str">
        <f t="shared" si="412"/>
        <v/>
      </c>
      <c r="F5253" t="str">
        <f>IF(D5253="","",INDEX(Knutepunkter!$B:$B,D5253+1))</f>
        <v/>
      </c>
      <c r="G5253" t="str">
        <f>IF(D5253="","",INDEX(Knutepunkter!$C:$C,D5253+1))</f>
        <v/>
      </c>
      <c r="H5253" t="str">
        <f>IF(D5253="","",INDEX(Knutepunkter!$D:$D,D5253+1))</f>
        <v/>
      </c>
      <c r="I5253" t="str">
        <f>IF(E5253="","",INDEX(Knutepunkter!$B:$B,E5253+1))</f>
        <v/>
      </c>
      <c r="J5253" t="str">
        <f>IF(E5253="","",INDEX(Knutepunkter!$C:$C,E5253+1))</f>
        <v/>
      </c>
      <c r="K5253" t="str">
        <f>IF(E5253="","",INDEX(Knutepunkter!$D:$D,E5253+1))</f>
        <v/>
      </c>
      <c r="L5253" t="str">
        <f t="shared" si="413"/>
        <v/>
      </c>
      <c r="M5253" t="str">
        <f t="shared" si="414"/>
        <v/>
      </c>
    </row>
    <row r="5254" spans="1:13" x14ac:dyDescent="0.3">
      <c r="A5254" t="str">
        <f>Segmenter!A5254</f>
        <v/>
      </c>
      <c r="B5254" t="str">
        <f>Segmenter!B5254</f>
        <v/>
      </c>
      <c r="C5254" t="str">
        <f t="shared" si="410"/>
        <v/>
      </c>
      <c r="D5254" t="str">
        <f t="shared" si="411"/>
        <v/>
      </c>
      <c r="E5254" t="str">
        <f t="shared" si="412"/>
        <v/>
      </c>
      <c r="F5254" t="str">
        <f>IF(D5254="","",INDEX(Knutepunkter!$B:$B,D5254+1))</f>
        <v/>
      </c>
      <c r="G5254" t="str">
        <f>IF(D5254="","",INDEX(Knutepunkter!$C:$C,D5254+1))</f>
        <v/>
      </c>
      <c r="H5254" t="str">
        <f>IF(D5254="","",INDEX(Knutepunkter!$D:$D,D5254+1))</f>
        <v/>
      </c>
      <c r="I5254" t="str">
        <f>IF(E5254="","",INDEX(Knutepunkter!$B:$B,E5254+1))</f>
        <v/>
      </c>
      <c r="J5254" t="str">
        <f>IF(E5254="","",INDEX(Knutepunkter!$C:$C,E5254+1))</f>
        <v/>
      </c>
      <c r="K5254" t="str">
        <f>IF(E5254="","",INDEX(Knutepunkter!$D:$D,E5254+1))</f>
        <v/>
      </c>
      <c r="L5254" t="str">
        <f t="shared" si="413"/>
        <v/>
      </c>
      <c r="M5254" t="str">
        <f t="shared" si="414"/>
        <v/>
      </c>
    </row>
    <row r="5255" spans="1:13" x14ac:dyDescent="0.3">
      <c r="A5255" t="str">
        <f>Segmenter!A5255</f>
        <v/>
      </c>
      <c r="B5255" t="str">
        <f>Segmenter!B5255</f>
        <v/>
      </c>
      <c r="C5255" t="str">
        <f t="shared" si="410"/>
        <v/>
      </c>
      <c r="D5255" t="str">
        <f t="shared" si="411"/>
        <v/>
      </c>
      <c r="E5255" t="str">
        <f t="shared" si="412"/>
        <v/>
      </c>
      <c r="F5255" t="str">
        <f>IF(D5255="","",INDEX(Knutepunkter!$B:$B,D5255+1))</f>
        <v/>
      </c>
      <c r="G5255" t="str">
        <f>IF(D5255="","",INDEX(Knutepunkter!$C:$C,D5255+1))</f>
        <v/>
      </c>
      <c r="H5255" t="str">
        <f>IF(D5255="","",INDEX(Knutepunkter!$D:$D,D5255+1))</f>
        <v/>
      </c>
      <c r="I5255" t="str">
        <f>IF(E5255="","",INDEX(Knutepunkter!$B:$B,E5255+1))</f>
        <v/>
      </c>
      <c r="J5255" t="str">
        <f>IF(E5255="","",INDEX(Knutepunkter!$C:$C,E5255+1))</f>
        <v/>
      </c>
      <c r="K5255" t="str">
        <f>IF(E5255="","",INDEX(Knutepunkter!$D:$D,E5255+1))</f>
        <v/>
      </c>
      <c r="L5255" t="str">
        <f t="shared" si="413"/>
        <v/>
      </c>
      <c r="M5255" t="str">
        <f t="shared" si="414"/>
        <v/>
      </c>
    </row>
    <row r="5256" spans="1:13" x14ac:dyDescent="0.3">
      <c r="A5256" t="str">
        <f>Segmenter!A5256</f>
        <v/>
      </c>
      <c r="B5256" t="str">
        <f>Segmenter!B5256</f>
        <v/>
      </c>
      <c r="C5256" t="str">
        <f t="shared" si="410"/>
        <v/>
      </c>
      <c r="D5256" t="str">
        <f t="shared" si="411"/>
        <v/>
      </c>
      <c r="E5256" t="str">
        <f t="shared" si="412"/>
        <v/>
      </c>
      <c r="F5256" t="str">
        <f>IF(D5256="","",INDEX(Knutepunkter!$B:$B,D5256+1))</f>
        <v/>
      </c>
      <c r="G5256" t="str">
        <f>IF(D5256="","",INDEX(Knutepunkter!$C:$C,D5256+1))</f>
        <v/>
      </c>
      <c r="H5256" t="str">
        <f>IF(D5256="","",INDEX(Knutepunkter!$D:$D,D5256+1))</f>
        <v/>
      </c>
      <c r="I5256" t="str">
        <f>IF(E5256="","",INDEX(Knutepunkter!$B:$B,E5256+1))</f>
        <v/>
      </c>
      <c r="J5256" t="str">
        <f>IF(E5256="","",INDEX(Knutepunkter!$C:$C,E5256+1))</f>
        <v/>
      </c>
      <c r="K5256" t="str">
        <f>IF(E5256="","",INDEX(Knutepunkter!$D:$D,E5256+1))</f>
        <v/>
      </c>
      <c r="L5256" t="str">
        <f t="shared" si="413"/>
        <v/>
      </c>
      <c r="M5256" t="str">
        <f t="shared" si="414"/>
        <v/>
      </c>
    </row>
    <row r="5257" spans="1:13" x14ac:dyDescent="0.3">
      <c r="A5257" t="str">
        <f>Segmenter!A5257</f>
        <v/>
      </c>
      <c r="B5257" t="str">
        <f>Segmenter!B5257</f>
        <v/>
      </c>
      <c r="C5257" t="str">
        <f t="shared" si="410"/>
        <v/>
      </c>
      <c r="D5257" t="str">
        <f t="shared" si="411"/>
        <v/>
      </c>
      <c r="E5257" t="str">
        <f t="shared" si="412"/>
        <v/>
      </c>
      <c r="F5257" t="str">
        <f>IF(D5257="","",INDEX(Knutepunkter!$B:$B,D5257+1))</f>
        <v/>
      </c>
      <c r="G5257" t="str">
        <f>IF(D5257="","",INDEX(Knutepunkter!$C:$C,D5257+1))</f>
        <v/>
      </c>
      <c r="H5257" t="str">
        <f>IF(D5257="","",INDEX(Knutepunkter!$D:$D,D5257+1))</f>
        <v/>
      </c>
      <c r="I5257" t="str">
        <f>IF(E5257="","",INDEX(Knutepunkter!$B:$B,E5257+1))</f>
        <v/>
      </c>
      <c r="J5257" t="str">
        <f>IF(E5257="","",INDEX(Knutepunkter!$C:$C,E5257+1))</f>
        <v/>
      </c>
      <c r="K5257" t="str">
        <f>IF(E5257="","",INDEX(Knutepunkter!$D:$D,E5257+1))</f>
        <v/>
      </c>
      <c r="L5257" t="str">
        <f t="shared" si="413"/>
        <v/>
      </c>
      <c r="M5257" t="str">
        <f t="shared" si="414"/>
        <v/>
      </c>
    </row>
    <row r="5258" spans="1:13" x14ac:dyDescent="0.3">
      <c r="A5258" t="str">
        <f>Segmenter!A5258</f>
        <v/>
      </c>
      <c r="B5258" t="str">
        <f>Segmenter!B5258</f>
        <v/>
      </c>
      <c r="C5258" t="str">
        <f t="shared" si="410"/>
        <v/>
      </c>
      <c r="D5258" t="str">
        <f t="shared" si="411"/>
        <v/>
      </c>
      <c r="E5258" t="str">
        <f t="shared" si="412"/>
        <v/>
      </c>
      <c r="F5258" t="str">
        <f>IF(D5258="","",INDEX(Knutepunkter!$B:$B,D5258+1))</f>
        <v/>
      </c>
      <c r="G5258" t="str">
        <f>IF(D5258="","",INDEX(Knutepunkter!$C:$C,D5258+1))</f>
        <v/>
      </c>
      <c r="H5258" t="str">
        <f>IF(D5258="","",INDEX(Knutepunkter!$D:$D,D5258+1))</f>
        <v/>
      </c>
      <c r="I5258" t="str">
        <f>IF(E5258="","",INDEX(Knutepunkter!$B:$B,E5258+1))</f>
        <v/>
      </c>
      <c r="J5258" t="str">
        <f>IF(E5258="","",INDEX(Knutepunkter!$C:$C,E5258+1))</f>
        <v/>
      </c>
      <c r="K5258" t="str">
        <f>IF(E5258="","",INDEX(Knutepunkter!$D:$D,E5258+1))</f>
        <v/>
      </c>
      <c r="L5258" t="str">
        <f t="shared" si="413"/>
        <v/>
      </c>
      <c r="M5258" t="str">
        <f t="shared" si="414"/>
        <v/>
      </c>
    </row>
    <row r="5259" spans="1:13" x14ac:dyDescent="0.3">
      <c r="A5259" t="str">
        <f>Segmenter!A5259</f>
        <v/>
      </c>
      <c r="B5259" t="str">
        <f>Segmenter!B5259</f>
        <v/>
      </c>
      <c r="C5259" t="str">
        <f t="shared" si="410"/>
        <v/>
      </c>
      <c r="D5259" t="str">
        <f t="shared" si="411"/>
        <v/>
      </c>
      <c r="E5259" t="str">
        <f t="shared" si="412"/>
        <v/>
      </c>
      <c r="F5259" t="str">
        <f>IF(D5259="","",INDEX(Knutepunkter!$B:$B,D5259+1))</f>
        <v/>
      </c>
      <c r="G5259" t="str">
        <f>IF(D5259="","",INDEX(Knutepunkter!$C:$C,D5259+1))</f>
        <v/>
      </c>
      <c r="H5259" t="str">
        <f>IF(D5259="","",INDEX(Knutepunkter!$D:$D,D5259+1))</f>
        <v/>
      </c>
      <c r="I5259" t="str">
        <f>IF(E5259="","",INDEX(Knutepunkter!$B:$B,E5259+1))</f>
        <v/>
      </c>
      <c r="J5259" t="str">
        <f>IF(E5259="","",INDEX(Knutepunkter!$C:$C,E5259+1))</f>
        <v/>
      </c>
      <c r="K5259" t="str">
        <f>IF(E5259="","",INDEX(Knutepunkter!$D:$D,E5259+1))</f>
        <v/>
      </c>
      <c r="L5259" t="str">
        <f t="shared" si="413"/>
        <v/>
      </c>
      <c r="M5259" t="str">
        <f t="shared" si="414"/>
        <v/>
      </c>
    </row>
    <row r="5260" spans="1:13" x14ac:dyDescent="0.3">
      <c r="A5260" t="str">
        <f>Segmenter!A5260</f>
        <v/>
      </c>
      <c r="B5260" t="str">
        <f>Segmenter!B5260</f>
        <v/>
      </c>
      <c r="C5260" t="str">
        <f t="shared" si="410"/>
        <v/>
      </c>
      <c r="D5260" t="str">
        <f t="shared" si="411"/>
        <v/>
      </c>
      <c r="E5260" t="str">
        <f t="shared" si="412"/>
        <v/>
      </c>
      <c r="F5260" t="str">
        <f>IF(D5260="","",INDEX(Knutepunkter!$B:$B,D5260+1))</f>
        <v/>
      </c>
      <c r="G5260" t="str">
        <f>IF(D5260="","",INDEX(Knutepunkter!$C:$C,D5260+1))</f>
        <v/>
      </c>
      <c r="H5260" t="str">
        <f>IF(D5260="","",INDEX(Knutepunkter!$D:$D,D5260+1))</f>
        <v/>
      </c>
      <c r="I5260" t="str">
        <f>IF(E5260="","",INDEX(Knutepunkter!$B:$B,E5260+1))</f>
        <v/>
      </c>
      <c r="J5260" t="str">
        <f>IF(E5260="","",INDEX(Knutepunkter!$C:$C,E5260+1))</f>
        <v/>
      </c>
      <c r="K5260" t="str">
        <f>IF(E5260="","",INDEX(Knutepunkter!$D:$D,E5260+1))</f>
        <v/>
      </c>
      <c r="L5260" t="str">
        <f t="shared" si="413"/>
        <v/>
      </c>
      <c r="M5260" t="str">
        <f t="shared" si="414"/>
        <v/>
      </c>
    </row>
    <row r="5261" spans="1:13" x14ac:dyDescent="0.3">
      <c r="A5261" t="str">
        <f>Segmenter!A5261</f>
        <v/>
      </c>
      <c r="B5261" t="str">
        <f>Segmenter!B5261</f>
        <v/>
      </c>
      <c r="C5261" t="str">
        <f t="shared" si="410"/>
        <v/>
      </c>
      <c r="D5261" t="str">
        <f t="shared" si="411"/>
        <v/>
      </c>
      <c r="E5261" t="str">
        <f t="shared" si="412"/>
        <v/>
      </c>
      <c r="F5261" t="str">
        <f>IF(D5261="","",INDEX(Knutepunkter!$B:$B,D5261+1))</f>
        <v/>
      </c>
      <c r="G5261" t="str">
        <f>IF(D5261="","",INDEX(Knutepunkter!$C:$C,D5261+1))</f>
        <v/>
      </c>
      <c r="H5261" t="str">
        <f>IF(D5261="","",INDEX(Knutepunkter!$D:$D,D5261+1))</f>
        <v/>
      </c>
      <c r="I5261" t="str">
        <f>IF(E5261="","",INDEX(Knutepunkter!$B:$B,E5261+1))</f>
        <v/>
      </c>
      <c r="J5261" t="str">
        <f>IF(E5261="","",INDEX(Knutepunkter!$C:$C,E5261+1))</f>
        <v/>
      </c>
      <c r="K5261" t="str">
        <f>IF(E5261="","",INDEX(Knutepunkter!$D:$D,E5261+1))</f>
        <v/>
      </c>
      <c r="L5261" t="str">
        <f t="shared" si="413"/>
        <v/>
      </c>
      <c r="M5261" t="str">
        <f t="shared" si="414"/>
        <v/>
      </c>
    </row>
    <row r="5262" spans="1:13" x14ac:dyDescent="0.3">
      <c r="A5262" t="str">
        <f>Segmenter!A5262</f>
        <v/>
      </c>
      <c r="B5262" t="str">
        <f>Segmenter!B5262</f>
        <v/>
      </c>
      <c r="C5262" t="str">
        <f t="shared" si="410"/>
        <v/>
      </c>
      <c r="D5262" t="str">
        <f t="shared" si="411"/>
        <v/>
      </c>
      <c r="E5262" t="str">
        <f t="shared" si="412"/>
        <v/>
      </c>
      <c r="F5262" t="str">
        <f>IF(D5262="","",INDEX(Knutepunkter!$B:$B,D5262+1))</f>
        <v/>
      </c>
      <c r="G5262" t="str">
        <f>IF(D5262="","",INDEX(Knutepunkter!$C:$C,D5262+1))</f>
        <v/>
      </c>
      <c r="H5262" t="str">
        <f>IF(D5262="","",INDEX(Knutepunkter!$D:$D,D5262+1))</f>
        <v/>
      </c>
      <c r="I5262" t="str">
        <f>IF(E5262="","",INDEX(Knutepunkter!$B:$B,E5262+1))</f>
        <v/>
      </c>
      <c r="J5262" t="str">
        <f>IF(E5262="","",INDEX(Knutepunkter!$C:$C,E5262+1))</f>
        <v/>
      </c>
      <c r="K5262" t="str">
        <f>IF(E5262="","",INDEX(Knutepunkter!$D:$D,E5262+1))</f>
        <v/>
      </c>
      <c r="L5262" t="str">
        <f t="shared" si="413"/>
        <v/>
      </c>
      <c r="M5262" t="str">
        <f t="shared" si="414"/>
        <v/>
      </c>
    </row>
    <row r="5263" spans="1:13" x14ac:dyDescent="0.3">
      <c r="A5263" t="str">
        <f>Segmenter!A5263</f>
        <v/>
      </c>
      <c r="B5263" t="str">
        <f>Segmenter!B5263</f>
        <v/>
      </c>
      <c r="C5263" t="str">
        <f t="shared" si="410"/>
        <v/>
      </c>
      <c r="D5263" t="str">
        <f t="shared" si="411"/>
        <v/>
      </c>
      <c r="E5263" t="str">
        <f t="shared" si="412"/>
        <v/>
      </c>
      <c r="F5263" t="str">
        <f>IF(D5263="","",INDEX(Knutepunkter!$B:$B,D5263+1))</f>
        <v/>
      </c>
      <c r="G5263" t="str">
        <f>IF(D5263="","",INDEX(Knutepunkter!$C:$C,D5263+1))</f>
        <v/>
      </c>
      <c r="H5263" t="str">
        <f>IF(D5263="","",INDEX(Knutepunkter!$D:$D,D5263+1))</f>
        <v/>
      </c>
      <c r="I5263" t="str">
        <f>IF(E5263="","",INDEX(Knutepunkter!$B:$B,E5263+1))</f>
        <v/>
      </c>
      <c r="J5263" t="str">
        <f>IF(E5263="","",INDEX(Knutepunkter!$C:$C,E5263+1))</f>
        <v/>
      </c>
      <c r="K5263" t="str">
        <f>IF(E5263="","",INDEX(Knutepunkter!$D:$D,E5263+1))</f>
        <v/>
      </c>
      <c r="L5263" t="str">
        <f t="shared" si="413"/>
        <v/>
      </c>
      <c r="M5263" t="str">
        <f t="shared" si="414"/>
        <v/>
      </c>
    </row>
    <row r="5264" spans="1:13" x14ac:dyDescent="0.3">
      <c r="A5264" t="str">
        <f>Segmenter!A5264</f>
        <v/>
      </c>
      <c r="B5264" t="str">
        <f>Segmenter!B5264</f>
        <v/>
      </c>
      <c r="C5264" t="str">
        <f t="shared" si="410"/>
        <v/>
      </c>
      <c r="D5264" t="str">
        <f t="shared" si="411"/>
        <v/>
      </c>
      <c r="E5264" t="str">
        <f t="shared" si="412"/>
        <v/>
      </c>
      <c r="F5264" t="str">
        <f>IF(D5264="","",INDEX(Knutepunkter!$B:$B,D5264+1))</f>
        <v/>
      </c>
      <c r="G5264" t="str">
        <f>IF(D5264="","",INDEX(Knutepunkter!$C:$C,D5264+1))</f>
        <v/>
      </c>
      <c r="H5264" t="str">
        <f>IF(D5264="","",INDEX(Knutepunkter!$D:$D,D5264+1))</f>
        <v/>
      </c>
      <c r="I5264" t="str">
        <f>IF(E5264="","",INDEX(Knutepunkter!$B:$B,E5264+1))</f>
        <v/>
      </c>
      <c r="J5264" t="str">
        <f>IF(E5264="","",INDEX(Knutepunkter!$C:$C,E5264+1))</f>
        <v/>
      </c>
      <c r="K5264" t="str">
        <f>IF(E5264="","",INDEX(Knutepunkter!$D:$D,E5264+1))</f>
        <v/>
      </c>
      <c r="L5264" t="str">
        <f t="shared" si="413"/>
        <v/>
      </c>
      <c r="M5264" t="str">
        <f t="shared" si="414"/>
        <v/>
      </c>
    </row>
    <row r="5265" spans="1:13" x14ac:dyDescent="0.3">
      <c r="A5265" t="str">
        <f>Segmenter!A5265</f>
        <v/>
      </c>
      <c r="B5265" t="str">
        <f>Segmenter!B5265</f>
        <v/>
      </c>
      <c r="C5265" t="str">
        <f t="shared" si="410"/>
        <v/>
      </c>
      <c r="D5265" t="str">
        <f t="shared" si="411"/>
        <v/>
      </c>
      <c r="E5265" t="str">
        <f t="shared" si="412"/>
        <v/>
      </c>
      <c r="F5265" t="str">
        <f>IF(D5265="","",INDEX(Knutepunkter!$B:$B,D5265+1))</f>
        <v/>
      </c>
      <c r="G5265" t="str">
        <f>IF(D5265="","",INDEX(Knutepunkter!$C:$C,D5265+1))</f>
        <v/>
      </c>
      <c r="H5265" t="str">
        <f>IF(D5265="","",INDEX(Knutepunkter!$D:$D,D5265+1))</f>
        <v/>
      </c>
      <c r="I5265" t="str">
        <f>IF(E5265="","",INDEX(Knutepunkter!$B:$B,E5265+1))</f>
        <v/>
      </c>
      <c r="J5265" t="str">
        <f>IF(E5265="","",INDEX(Knutepunkter!$C:$C,E5265+1))</f>
        <v/>
      </c>
      <c r="K5265" t="str">
        <f>IF(E5265="","",INDEX(Knutepunkter!$D:$D,E5265+1))</f>
        <v/>
      </c>
      <c r="L5265" t="str">
        <f t="shared" si="413"/>
        <v/>
      </c>
      <c r="M5265" t="str">
        <f t="shared" si="414"/>
        <v/>
      </c>
    </row>
    <row r="5266" spans="1:13" x14ac:dyDescent="0.3">
      <c r="A5266" t="str">
        <f>Segmenter!A5266</f>
        <v/>
      </c>
      <c r="B5266" t="str">
        <f>Segmenter!B5266</f>
        <v/>
      </c>
      <c r="C5266" t="str">
        <f t="shared" si="410"/>
        <v/>
      </c>
      <c r="D5266" t="str">
        <f t="shared" si="411"/>
        <v/>
      </c>
      <c r="E5266" t="str">
        <f t="shared" si="412"/>
        <v/>
      </c>
      <c r="F5266" t="str">
        <f>IF(D5266="","",INDEX(Knutepunkter!$B:$B,D5266+1))</f>
        <v/>
      </c>
      <c r="G5266" t="str">
        <f>IF(D5266="","",INDEX(Knutepunkter!$C:$C,D5266+1))</f>
        <v/>
      </c>
      <c r="H5266" t="str">
        <f>IF(D5266="","",INDEX(Knutepunkter!$D:$D,D5266+1))</f>
        <v/>
      </c>
      <c r="I5266" t="str">
        <f>IF(E5266="","",INDEX(Knutepunkter!$B:$B,E5266+1))</f>
        <v/>
      </c>
      <c r="J5266" t="str">
        <f>IF(E5266="","",INDEX(Knutepunkter!$C:$C,E5266+1))</f>
        <v/>
      </c>
      <c r="K5266" t="str">
        <f>IF(E5266="","",INDEX(Knutepunkter!$D:$D,E5266+1))</f>
        <v/>
      </c>
      <c r="L5266" t="str">
        <f t="shared" si="413"/>
        <v/>
      </c>
      <c r="M5266" t="str">
        <f t="shared" si="414"/>
        <v/>
      </c>
    </row>
    <row r="5267" spans="1:13" x14ac:dyDescent="0.3">
      <c r="A5267" t="str">
        <f>Segmenter!A5267</f>
        <v/>
      </c>
      <c r="B5267" t="str">
        <f>Segmenter!B5267</f>
        <v/>
      </c>
      <c r="C5267" t="str">
        <f t="shared" si="410"/>
        <v/>
      </c>
      <c r="D5267" t="str">
        <f t="shared" si="411"/>
        <v/>
      </c>
      <c r="E5267" t="str">
        <f t="shared" si="412"/>
        <v/>
      </c>
      <c r="F5267" t="str">
        <f>IF(D5267="","",INDEX(Knutepunkter!$B:$B,D5267+1))</f>
        <v/>
      </c>
      <c r="G5267" t="str">
        <f>IF(D5267="","",INDEX(Knutepunkter!$C:$C,D5267+1))</f>
        <v/>
      </c>
      <c r="H5267" t="str">
        <f>IF(D5267="","",INDEX(Knutepunkter!$D:$D,D5267+1))</f>
        <v/>
      </c>
      <c r="I5267" t="str">
        <f>IF(E5267="","",INDEX(Knutepunkter!$B:$B,E5267+1))</f>
        <v/>
      </c>
      <c r="J5267" t="str">
        <f>IF(E5267="","",INDEX(Knutepunkter!$C:$C,E5267+1))</f>
        <v/>
      </c>
      <c r="K5267" t="str">
        <f>IF(E5267="","",INDEX(Knutepunkter!$D:$D,E5267+1))</f>
        <v/>
      </c>
      <c r="L5267" t="str">
        <f t="shared" si="413"/>
        <v/>
      </c>
      <c r="M5267" t="str">
        <f t="shared" si="414"/>
        <v/>
      </c>
    </row>
    <row r="5268" spans="1:13" x14ac:dyDescent="0.3">
      <c r="A5268" t="str">
        <f>Segmenter!A5268</f>
        <v/>
      </c>
      <c r="B5268" t="str">
        <f>Segmenter!B5268</f>
        <v/>
      </c>
      <c r="C5268" t="str">
        <f t="shared" si="410"/>
        <v/>
      </c>
      <c r="D5268" t="str">
        <f t="shared" si="411"/>
        <v/>
      </c>
      <c r="E5268" t="str">
        <f t="shared" si="412"/>
        <v/>
      </c>
      <c r="F5268" t="str">
        <f>IF(D5268="","",INDEX(Knutepunkter!$B:$B,D5268+1))</f>
        <v/>
      </c>
      <c r="G5268" t="str">
        <f>IF(D5268="","",INDEX(Knutepunkter!$C:$C,D5268+1))</f>
        <v/>
      </c>
      <c r="H5268" t="str">
        <f>IF(D5268="","",INDEX(Knutepunkter!$D:$D,D5268+1))</f>
        <v/>
      </c>
      <c r="I5268" t="str">
        <f>IF(E5268="","",INDEX(Knutepunkter!$B:$B,E5268+1))</f>
        <v/>
      </c>
      <c r="J5268" t="str">
        <f>IF(E5268="","",INDEX(Knutepunkter!$C:$C,E5268+1))</f>
        <v/>
      </c>
      <c r="K5268" t="str">
        <f>IF(E5268="","",INDEX(Knutepunkter!$D:$D,E5268+1))</f>
        <v/>
      </c>
      <c r="L5268" t="str">
        <f t="shared" si="413"/>
        <v/>
      </c>
      <c r="M5268" t="str">
        <f t="shared" si="414"/>
        <v/>
      </c>
    </row>
    <row r="5269" spans="1:13" x14ac:dyDescent="0.3">
      <c r="A5269" t="str">
        <f>Segmenter!A5269</f>
        <v/>
      </c>
      <c r="B5269" t="str">
        <f>Segmenter!B5269</f>
        <v/>
      </c>
      <c r="C5269" t="str">
        <f t="shared" si="410"/>
        <v/>
      </c>
      <c r="D5269" t="str">
        <f t="shared" si="411"/>
        <v/>
      </c>
      <c r="E5269" t="str">
        <f t="shared" si="412"/>
        <v/>
      </c>
      <c r="F5269" t="str">
        <f>IF(D5269="","",INDEX(Knutepunkter!$B:$B,D5269+1))</f>
        <v/>
      </c>
      <c r="G5269" t="str">
        <f>IF(D5269="","",INDEX(Knutepunkter!$C:$C,D5269+1))</f>
        <v/>
      </c>
      <c r="H5269" t="str">
        <f>IF(D5269="","",INDEX(Knutepunkter!$D:$D,D5269+1))</f>
        <v/>
      </c>
      <c r="I5269" t="str">
        <f>IF(E5269="","",INDEX(Knutepunkter!$B:$B,E5269+1))</f>
        <v/>
      </c>
      <c r="J5269" t="str">
        <f>IF(E5269="","",INDEX(Knutepunkter!$C:$C,E5269+1))</f>
        <v/>
      </c>
      <c r="K5269" t="str">
        <f>IF(E5269="","",INDEX(Knutepunkter!$D:$D,E5269+1))</f>
        <v/>
      </c>
      <c r="L5269" t="str">
        <f t="shared" si="413"/>
        <v/>
      </c>
      <c r="M5269" t="str">
        <f t="shared" si="414"/>
        <v/>
      </c>
    </row>
    <row r="5270" spans="1:13" x14ac:dyDescent="0.3">
      <c r="A5270" t="str">
        <f>Segmenter!A5270</f>
        <v/>
      </c>
      <c r="B5270" t="str">
        <f>Segmenter!B5270</f>
        <v/>
      </c>
      <c r="C5270" t="str">
        <f t="shared" si="410"/>
        <v/>
      </c>
      <c r="D5270" t="str">
        <f t="shared" si="411"/>
        <v/>
      </c>
      <c r="E5270" t="str">
        <f t="shared" si="412"/>
        <v/>
      </c>
      <c r="F5270" t="str">
        <f>IF(D5270="","",INDEX(Knutepunkter!$B:$B,D5270+1))</f>
        <v/>
      </c>
      <c r="G5270" t="str">
        <f>IF(D5270="","",INDEX(Knutepunkter!$C:$C,D5270+1))</f>
        <v/>
      </c>
      <c r="H5270" t="str">
        <f>IF(D5270="","",INDEX(Knutepunkter!$D:$D,D5270+1))</f>
        <v/>
      </c>
      <c r="I5270" t="str">
        <f>IF(E5270="","",INDEX(Knutepunkter!$B:$B,E5270+1))</f>
        <v/>
      </c>
      <c r="J5270" t="str">
        <f>IF(E5270="","",INDEX(Knutepunkter!$C:$C,E5270+1))</f>
        <v/>
      </c>
      <c r="K5270" t="str">
        <f>IF(E5270="","",INDEX(Knutepunkter!$D:$D,E5270+1))</f>
        <v/>
      </c>
      <c r="L5270" t="str">
        <f t="shared" si="413"/>
        <v/>
      </c>
      <c r="M5270" t="str">
        <f t="shared" si="414"/>
        <v/>
      </c>
    </row>
    <row r="5271" spans="1:13" x14ac:dyDescent="0.3">
      <c r="A5271" t="str">
        <f>Segmenter!A5271</f>
        <v/>
      </c>
      <c r="B5271" t="str">
        <f>Segmenter!B5271</f>
        <v/>
      </c>
      <c r="C5271" t="str">
        <f t="shared" si="410"/>
        <v/>
      </c>
      <c r="D5271" t="str">
        <f t="shared" si="411"/>
        <v/>
      </c>
      <c r="E5271" t="str">
        <f t="shared" si="412"/>
        <v/>
      </c>
      <c r="F5271" t="str">
        <f>IF(D5271="","",INDEX(Knutepunkter!$B:$B,D5271+1))</f>
        <v/>
      </c>
      <c r="G5271" t="str">
        <f>IF(D5271="","",INDEX(Knutepunkter!$C:$C,D5271+1))</f>
        <v/>
      </c>
      <c r="H5271" t="str">
        <f>IF(D5271="","",INDEX(Knutepunkter!$D:$D,D5271+1))</f>
        <v/>
      </c>
      <c r="I5271" t="str">
        <f>IF(E5271="","",INDEX(Knutepunkter!$B:$B,E5271+1))</f>
        <v/>
      </c>
      <c r="J5271" t="str">
        <f>IF(E5271="","",INDEX(Knutepunkter!$C:$C,E5271+1))</f>
        <v/>
      </c>
      <c r="K5271" t="str">
        <f>IF(E5271="","",INDEX(Knutepunkter!$D:$D,E5271+1))</f>
        <v/>
      </c>
      <c r="L5271" t="str">
        <f t="shared" si="413"/>
        <v/>
      </c>
      <c r="M5271" t="str">
        <f t="shared" si="414"/>
        <v/>
      </c>
    </row>
    <row r="5272" spans="1:13" x14ac:dyDescent="0.3">
      <c r="A5272" t="str">
        <f>Segmenter!A5272</f>
        <v/>
      </c>
      <c r="B5272" t="str">
        <f>Segmenter!B5272</f>
        <v/>
      </c>
      <c r="C5272" t="str">
        <f t="shared" si="410"/>
        <v/>
      </c>
      <c r="D5272" t="str">
        <f t="shared" si="411"/>
        <v/>
      </c>
      <c r="E5272" t="str">
        <f t="shared" si="412"/>
        <v/>
      </c>
      <c r="F5272" t="str">
        <f>IF(D5272="","",INDEX(Knutepunkter!$B:$B,D5272+1))</f>
        <v/>
      </c>
      <c r="G5272" t="str">
        <f>IF(D5272="","",INDEX(Knutepunkter!$C:$C,D5272+1))</f>
        <v/>
      </c>
      <c r="H5272" t="str">
        <f>IF(D5272="","",INDEX(Knutepunkter!$D:$D,D5272+1))</f>
        <v/>
      </c>
      <c r="I5272" t="str">
        <f>IF(E5272="","",INDEX(Knutepunkter!$B:$B,E5272+1))</f>
        <v/>
      </c>
      <c r="J5272" t="str">
        <f>IF(E5272="","",INDEX(Knutepunkter!$C:$C,E5272+1))</f>
        <v/>
      </c>
      <c r="K5272" t="str">
        <f>IF(E5272="","",INDEX(Knutepunkter!$D:$D,E5272+1))</f>
        <v/>
      </c>
      <c r="L5272" t="str">
        <f t="shared" si="413"/>
        <v/>
      </c>
      <c r="M5272" t="str">
        <f t="shared" si="414"/>
        <v/>
      </c>
    </row>
    <row r="5273" spans="1:13" x14ac:dyDescent="0.3">
      <c r="A5273" t="str">
        <f>Segmenter!A5273</f>
        <v/>
      </c>
      <c r="B5273" t="str">
        <f>Segmenter!B5273</f>
        <v/>
      </c>
      <c r="C5273" t="str">
        <f t="shared" si="410"/>
        <v/>
      </c>
      <c r="D5273" t="str">
        <f t="shared" si="411"/>
        <v/>
      </c>
      <c r="E5273" t="str">
        <f t="shared" si="412"/>
        <v/>
      </c>
      <c r="F5273" t="str">
        <f>IF(D5273="","",INDEX(Knutepunkter!$B:$B,D5273+1))</f>
        <v/>
      </c>
      <c r="G5273" t="str">
        <f>IF(D5273="","",INDEX(Knutepunkter!$C:$C,D5273+1))</f>
        <v/>
      </c>
      <c r="H5273" t="str">
        <f>IF(D5273="","",INDEX(Knutepunkter!$D:$D,D5273+1))</f>
        <v/>
      </c>
      <c r="I5273" t="str">
        <f>IF(E5273="","",INDEX(Knutepunkter!$B:$B,E5273+1))</f>
        <v/>
      </c>
      <c r="J5273" t="str">
        <f>IF(E5273="","",INDEX(Knutepunkter!$C:$C,E5273+1))</f>
        <v/>
      </c>
      <c r="K5273" t="str">
        <f>IF(E5273="","",INDEX(Knutepunkter!$D:$D,E5273+1))</f>
        <v/>
      </c>
      <c r="L5273" t="str">
        <f t="shared" si="413"/>
        <v/>
      </c>
      <c r="M5273" t="str">
        <f t="shared" si="414"/>
        <v/>
      </c>
    </row>
    <row r="5274" spans="1:13" x14ac:dyDescent="0.3">
      <c r="A5274" t="str">
        <f>Segmenter!A5274</f>
        <v/>
      </c>
      <c r="B5274" t="str">
        <f>Segmenter!B5274</f>
        <v/>
      </c>
      <c r="C5274" t="str">
        <f t="shared" si="410"/>
        <v/>
      </c>
      <c r="D5274" t="str">
        <f t="shared" si="411"/>
        <v/>
      </c>
      <c r="E5274" t="str">
        <f t="shared" si="412"/>
        <v/>
      </c>
      <c r="F5274" t="str">
        <f>IF(D5274="","",INDEX(Knutepunkter!$B:$B,D5274+1))</f>
        <v/>
      </c>
      <c r="G5274" t="str">
        <f>IF(D5274="","",INDEX(Knutepunkter!$C:$C,D5274+1))</f>
        <v/>
      </c>
      <c r="H5274" t="str">
        <f>IF(D5274="","",INDEX(Knutepunkter!$D:$D,D5274+1))</f>
        <v/>
      </c>
      <c r="I5274" t="str">
        <f>IF(E5274="","",INDEX(Knutepunkter!$B:$B,E5274+1))</f>
        <v/>
      </c>
      <c r="J5274" t="str">
        <f>IF(E5274="","",INDEX(Knutepunkter!$C:$C,E5274+1))</f>
        <v/>
      </c>
      <c r="K5274" t="str">
        <f>IF(E5274="","",INDEX(Knutepunkter!$D:$D,E5274+1))</f>
        <v/>
      </c>
      <c r="L5274" t="str">
        <f t="shared" si="413"/>
        <v/>
      </c>
      <c r="M5274" t="str">
        <f t="shared" si="414"/>
        <v/>
      </c>
    </row>
    <row r="5275" spans="1:13" x14ac:dyDescent="0.3">
      <c r="A5275" t="str">
        <f>Segmenter!A5275</f>
        <v/>
      </c>
      <c r="B5275" t="str">
        <f>Segmenter!B5275</f>
        <v/>
      </c>
      <c r="C5275" t="str">
        <f t="shared" si="410"/>
        <v/>
      </c>
      <c r="D5275" t="str">
        <f t="shared" si="411"/>
        <v/>
      </c>
      <c r="E5275" t="str">
        <f t="shared" si="412"/>
        <v/>
      </c>
      <c r="F5275" t="str">
        <f>IF(D5275="","",INDEX(Knutepunkter!$B:$B,D5275+1))</f>
        <v/>
      </c>
      <c r="G5275" t="str">
        <f>IF(D5275="","",INDEX(Knutepunkter!$C:$C,D5275+1))</f>
        <v/>
      </c>
      <c r="H5275" t="str">
        <f>IF(D5275="","",INDEX(Knutepunkter!$D:$D,D5275+1))</f>
        <v/>
      </c>
      <c r="I5275" t="str">
        <f>IF(E5275="","",INDEX(Knutepunkter!$B:$B,E5275+1))</f>
        <v/>
      </c>
      <c r="J5275" t="str">
        <f>IF(E5275="","",INDEX(Knutepunkter!$C:$C,E5275+1))</f>
        <v/>
      </c>
      <c r="K5275" t="str">
        <f>IF(E5275="","",INDEX(Knutepunkter!$D:$D,E5275+1))</f>
        <v/>
      </c>
      <c r="L5275" t="str">
        <f t="shared" si="413"/>
        <v/>
      </c>
      <c r="M5275" t="str">
        <f t="shared" si="414"/>
        <v/>
      </c>
    </row>
    <row r="5276" spans="1:13" x14ac:dyDescent="0.3">
      <c r="A5276" t="str">
        <f>Segmenter!A5276</f>
        <v/>
      </c>
      <c r="B5276" t="str">
        <f>Segmenter!B5276</f>
        <v/>
      </c>
      <c r="C5276" t="str">
        <f t="shared" si="410"/>
        <v/>
      </c>
      <c r="D5276" t="str">
        <f t="shared" si="411"/>
        <v/>
      </c>
      <c r="E5276" t="str">
        <f t="shared" si="412"/>
        <v/>
      </c>
      <c r="F5276" t="str">
        <f>IF(D5276="","",INDEX(Knutepunkter!$B:$B,D5276+1))</f>
        <v/>
      </c>
      <c r="G5276" t="str">
        <f>IF(D5276="","",INDEX(Knutepunkter!$C:$C,D5276+1))</f>
        <v/>
      </c>
      <c r="H5276" t="str">
        <f>IF(D5276="","",INDEX(Knutepunkter!$D:$D,D5276+1))</f>
        <v/>
      </c>
      <c r="I5276" t="str">
        <f>IF(E5276="","",INDEX(Knutepunkter!$B:$B,E5276+1))</f>
        <v/>
      </c>
      <c r="J5276" t="str">
        <f>IF(E5276="","",INDEX(Knutepunkter!$C:$C,E5276+1))</f>
        <v/>
      </c>
      <c r="K5276" t="str">
        <f>IF(E5276="","",INDEX(Knutepunkter!$D:$D,E5276+1))</f>
        <v/>
      </c>
      <c r="L5276" t="str">
        <f t="shared" si="413"/>
        <v/>
      </c>
      <c r="M5276" t="str">
        <f t="shared" si="414"/>
        <v/>
      </c>
    </row>
    <row r="5277" spans="1:13" x14ac:dyDescent="0.3">
      <c r="A5277" t="str">
        <f>Segmenter!A5277</f>
        <v/>
      </c>
      <c r="B5277" t="str">
        <f>Segmenter!B5277</f>
        <v/>
      </c>
      <c r="C5277" t="str">
        <f t="shared" si="410"/>
        <v/>
      </c>
      <c r="D5277" t="str">
        <f t="shared" si="411"/>
        <v/>
      </c>
      <c r="E5277" t="str">
        <f t="shared" si="412"/>
        <v/>
      </c>
      <c r="F5277" t="str">
        <f>IF(D5277="","",INDEX(Knutepunkter!$B:$B,D5277+1))</f>
        <v/>
      </c>
      <c r="G5277" t="str">
        <f>IF(D5277="","",INDEX(Knutepunkter!$C:$C,D5277+1))</f>
        <v/>
      </c>
      <c r="H5277" t="str">
        <f>IF(D5277="","",INDEX(Knutepunkter!$D:$D,D5277+1))</f>
        <v/>
      </c>
      <c r="I5277" t="str">
        <f>IF(E5277="","",INDEX(Knutepunkter!$B:$B,E5277+1))</f>
        <v/>
      </c>
      <c r="J5277" t="str">
        <f>IF(E5277="","",INDEX(Knutepunkter!$C:$C,E5277+1))</f>
        <v/>
      </c>
      <c r="K5277" t="str">
        <f>IF(E5277="","",INDEX(Knutepunkter!$D:$D,E5277+1))</f>
        <v/>
      </c>
      <c r="L5277" t="str">
        <f t="shared" si="413"/>
        <v/>
      </c>
      <c r="M5277" t="str">
        <f t="shared" si="414"/>
        <v/>
      </c>
    </row>
    <row r="5278" spans="1:13" x14ac:dyDescent="0.3">
      <c r="A5278" t="str">
        <f>Segmenter!A5278</f>
        <v/>
      </c>
      <c r="B5278" t="str">
        <f>Segmenter!B5278</f>
        <v/>
      </c>
      <c r="C5278" t="str">
        <f t="shared" si="410"/>
        <v/>
      </c>
      <c r="D5278" t="str">
        <f t="shared" si="411"/>
        <v/>
      </c>
      <c r="E5278" t="str">
        <f t="shared" si="412"/>
        <v/>
      </c>
      <c r="F5278" t="str">
        <f>IF(D5278="","",INDEX(Knutepunkter!$B:$B,D5278+1))</f>
        <v/>
      </c>
      <c r="G5278" t="str">
        <f>IF(D5278="","",INDEX(Knutepunkter!$C:$C,D5278+1))</f>
        <v/>
      </c>
      <c r="H5278" t="str">
        <f>IF(D5278="","",INDEX(Knutepunkter!$D:$D,D5278+1))</f>
        <v/>
      </c>
      <c r="I5278" t="str">
        <f>IF(E5278="","",INDEX(Knutepunkter!$B:$B,E5278+1))</f>
        <v/>
      </c>
      <c r="J5278" t="str">
        <f>IF(E5278="","",INDEX(Knutepunkter!$C:$C,E5278+1))</f>
        <v/>
      </c>
      <c r="K5278" t="str">
        <f>IF(E5278="","",INDEX(Knutepunkter!$D:$D,E5278+1))</f>
        <v/>
      </c>
      <c r="L5278" t="str">
        <f t="shared" si="413"/>
        <v/>
      </c>
      <c r="M5278" t="str">
        <f t="shared" si="414"/>
        <v/>
      </c>
    </row>
    <row r="5279" spans="1:13" x14ac:dyDescent="0.3">
      <c r="A5279" t="str">
        <f>Segmenter!A5279</f>
        <v/>
      </c>
      <c r="B5279" t="str">
        <f>Segmenter!B5279</f>
        <v/>
      </c>
      <c r="C5279" t="str">
        <f t="shared" si="410"/>
        <v/>
      </c>
      <c r="D5279" t="str">
        <f t="shared" si="411"/>
        <v/>
      </c>
      <c r="E5279" t="str">
        <f t="shared" si="412"/>
        <v/>
      </c>
      <c r="F5279" t="str">
        <f>IF(D5279="","",INDEX(Knutepunkter!$B:$B,D5279+1))</f>
        <v/>
      </c>
      <c r="G5279" t="str">
        <f>IF(D5279="","",INDEX(Knutepunkter!$C:$C,D5279+1))</f>
        <v/>
      </c>
      <c r="H5279" t="str">
        <f>IF(D5279="","",INDEX(Knutepunkter!$D:$D,D5279+1))</f>
        <v/>
      </c>
      <c r="I5279" t="str">
        <f>IF(E5279="","",INDEX(Knutepunkter!$B:$B,E5279+1))</f>
        <v/>
      </c>
      <c r="J5279" t="str">
        <f>IF(E5279="","",INDEX(Knutepunkter!$C:$C,E5279+1))</f>
        <v/>
      </c>
      <c r="K5279" t="str">
        <f>IF(E5279="","",INDEX(Knutepunkter!$D:$D,E5279+1))</f>
        <v/>
      </c>
      <c r="L5279" t="str">
        <f t="shared" si="413"/>
        <v/>
      </c>
      <c r="M5279" t="str">
        <f t="shared" si="414"/>
        <v/>
      </c>
    </row>
    <row r="5280" spans="1:13" x14ac:dyDescent="0.3">
      <c r="A5280" t="str">
        <f>Segmenter!A5280</f>
        <v/>
      </c>
      <c r="B5280" t="str">
        <f>Segmenter!B5280</f>
        <v/>
      </c>
      <c r="C5280" t="str">
        <f t="shared" si="410"/>
        <v/>
      </c>
      <c r="D5280" t="str">
        <f t="shared" si="411"/>
        <v/>
      </c>
      <c r="E5280" t="str">
        <f t="shared" si="412"/>
        <v/>
      </c>
      <c r="F5280" t="str">
        <f>IF(D5280="","",INDEX(Knutepunkter!$B:$B,D5280+1))</f>
        <v/>
      </c>
      <c r="G5280" t="str">
        <f>IF(D5280="","",INDEX(Knutepunkter!$C:$C,D5280+1))</f>
        <v/>
      </c>
      <c r="H5280" t="str">
        <f>IF(D5280="","",INDEX(Knutepunkter!$D:$D,D5280+1))</f>
        <v/>
      </c>
      <c r="I5280" t="str">
        <f>IF(E5280="","",INDEX(Knutepunkter!$B:$B,E5280+1))</f>
        <v/>
      </c>
      <c r="J5280" t="str">
        <f>IF(E5280="","",INDEX(Knutepunkter!$C:$C,E5280+1))</f>
        <v/>
      </c>
      <c r="K5280" t="str">
        <f>IF(E5280="","",INDEX(Knutepunkter!$D:$D,E5280+1))</f>
        <v/>
      </c>
      <c r="L5280" t="str">
        <f t="shared" si="413"/>
        <v/>
      </c>
      <c r="M5280" t="str">
        <f t="shared" si="414"/>
        <v/>
      </c>
    </row>
    <row r="5281" spans="1:13" x14ac:dyDescent="0.3">
      <c r="A5281" t="str">
        <f>Segmenter!A5281</f>
        <v/>
      </c>
      <c r="B5281" t="str">
        <f>Segmenter!B5281</f>
        <v/>
      </c>
      <c r="C5281" t="str">
        <f t="shared" si="410"/>
        <v/>
      </c>
      <c r="D5281" t="str">
        <f t="shared" si="411"/>
        <v/>
      </c>
      <c r="E5281" t="str">
        <f t="shared" si="412"/>
        <v/>
      </c>
      <c r="F5281" t="str">
        <f>IF(D5281="","",INDEX(Knutepunkter!$B:$B,D5281+1))</f>
        <v/>
      </c>
      <c r="G5281" t="str">
        <f>IF(D5281="","",INDEX(Knutepunkter!$C:$C,D5281+1))</f>
        <v/>
      </c>
      <c r="H5281" t="str">
        <f>IF(D5281="","",INDEX(Knutepunkter!$D:$D,D5281+1))</f>
        <v/>
      </c>
      <c r="I5281" t="str">
        <f>IF(E5281="","",INDEX(Knutepunkter!$B:$B,E5281+1))</f>
        <v/>
      </c>
      <c r="J5281" t="str">
        <f>IF(E5281="","",INDEX(Knutepunkter!$C:$C,E5281+1))</f>
        <v/>
      </c>
      <c r="K5281" t="str">
        <f>IF(E5281="","",INDEX(Knutepunkter!$D:$D,E5281+1))</f>
        <v/>
      </c>
      <c r="L5281" t="str">
        <f t="shared" si="413"/>
        <v/>
      </c>
      <c r="M5281" t="str">
        <f t="shared" si="414"/>
        <v/>
      </c>
    </row>
    <row r="5282" spans="1:13" x14ac:dyDescent="0.3">
      <c r="A5282" t="str">
        <f>Segmenter!A5282</f>
        <v/>
      </c>
      <c r="B5282" t="str">
        <f>Segmenter!B5282</f>
        <v/>
      </c>
      <c r="C5282" t="str">
        <f t="shared" si="410"/>
        <v/>
      </c>
      <c r="D5282" t="str">
        <f t="shared" si="411"/>
        <v/>
      </c>
      <c r="E5282" t="str">
        <f t="shared" si="412"/>
        <v/>
      </c>
      <c r="F5282" t="str">
        <f>IF(D5282="","",INDEX(Knutepunkter!$B:$B,D5282+1))</f>
        <v/>
      </c>
      <c r="G5282" t="str">
        <f>IF(D5282="","",INDEX(Knutepunkter!$C:$C,D5282+1))</f>
        <v/>
      </c>
      <c r="H5282" t="str">
        <f>IF(D5282="","",INDEX(Knutepunkter!$D:$D,D5282+1))</f>
        <v/>
      </c>
      <c r="I5282" t="str">
        <f>IF(E5282="","",INDEX(Knutepunkter!$B:$B,E5282+1))</f>
        <v/>
      </c>
      <c r="J5282" t="str">
        <f>IF(E5282="","",INDEX(Knutepunkter!$C:$C,E5282+1))</f>
        <v/>
      </c>
      <c r="K5282" t="str">
        <f>IF(E5282="","",INDEX(Knutepunkter!$D:$D,E5282+1))</f>
        <v/>
      </c>
      <c r="L5282" t="str">
        <f t="shared" si="413"/>
        <v/>
      </c>
      <c r="M5282" t="str">
        <f t="shared" si="414"/>
        <v/>
      </c>
    </row>
    <row r="5283" spans="1:13" x14ac:dyDescent="0.3">
      <c r="A5283" t="str">
        <f>Segmenter!A5283</f>
        <v/>
      </c>
      <c r="B5283" t="str">
        <f>Segmenter!B5283</f>
        <v/>
      </c>
      <c r="C5283" t="str">
        <f t="shared" si="410"/>
        <v/>
      </c>
      <c r="D5283" t="str">
        <f t="shared" si="411"/>
        <v/>
      </c>
      <c r="E5283" t="str">
        <f t="shared" si="412"/>
        <v/>
      </c>
      <c r="F5283" t="str">
        <f>IF(D5283="","",INDEX(Knutepunkter!$B:$B,D5283+1))</f>
        <v/>
      </c>
      <c r="G5283" t="str">
        <f>IF(D5283="","",INDEX(Knutepunkter!$C:$C,D5283+1))</f>
        <v/>
      </c>
      <c r="H5283" t="str">
        <f>IF(D5283="","",INDEX(Knutepunkter!$D:$D,D5283+1))</f>
        <v/>
      </c>
      <c r="I5283" t="str">
        <f>IF(E5283="","",INDEX(Knutepunkter!$B:$B,E5283+1))</f>
        <v/>
      </c>
      <c r="J5283" t="str">
        <f>IF(E5283="","",INDEX(Knutepunkter!$C:$C,E5283+1))</f>
        <v/>
      </c>
      <c r="K5283" t="str">
        <f>IF(E5283="","",INDEX(Knutepunkter!$D:$D,E5283+1))</f>
        <v/>
      </c>
      <c r="L5283" t="str">
        <f t="shared" si="413"/>
        <v/>
      </c>
      <c r="M5283" t="str">
        <f t="shared" si="414"/>
        <v/>
      </c>
    </row>
    <row r="5284" spans="1:13" x14ac:dyDescent="0.3">
      <c r="A5284" t="str">
        <f>Segmenter!A5284</f>
        <v/>
      </c>
      <c r="B5284" t="str">
        <f>Segmenter!B5284</f>
        <v/>
      </c>
      <c r="C5284" t="str">
        <f t="shared" si="410"/>
        <v/>
      </c>
      <c r="D5284" t="str">
        <f t="shared" si="411"/>
        <v/>
      </c>
      <c r="E5284" t="str">
        <f t="shared" si="412"/>
        <v/>
      </c>
      <c r="F5284" t="str">
        <f>IF(D5284="","",INDEX(Knutepunkter!$B:$B,D5284+1))</f>
        <v/>
      </c>
      <c r="G5284" t="str">
        <f>IF(D5284="","",INDEX(Knutepunkter!$C:$C,D5284+1))</f>
        <v/>
      </c>
      <c r="H5284" t="str">
        <f>IF(D5284="","",INDEX(Knutepunkter!$D:$D,D5284+1))</f>
        <v/>
      </c>
      <c r="I5284" t="str">
        <f>IF(E5284="","",INDEX(Knutepunkter!$B:$B,E5284+1))</f>
        <v/>
      </c>
      <c r="J5284" t="str">
        <f>IF(E5284="","",INDEX(Knutepunkter!$C:$C,E5284+1))</f>
        <v/>
      </c>
      <c r="K5284" t="str">
        <f>IF(E5284="","",INDEX(Knutepunkter!$D:$D,E5284+1))</f>
        <v/>
      </c>
      <c r="L5284" t="str">
        <f t="shared" si="413"/>
        <v/>
      </c>
      <c r="M5284" t="str">
        <f t="shared" si="414"/>
        <v/>
      </c>
    </row>
    <row r="5285" spans="1:13" x14ac:dyDescent="0.3">
      <c r="A5285" t="str">
        <f>Segmenter!A5285</f>
        <v/>
      </c>
      <c r="B5285" t="str">
        <f>Segmenter!B5285</f>
        <v/>
      </c>
      <c r="C5285" t="str">
        <f t="shared" si="410"/>
        <v/>
      </c>
      <c r="D5285" t="str">
        <f t="shared" si="411"/>
        <v/>
      </c>
      <c r="E5285" t="str">
        <f t="shared" si="412"/>
        <v/>
      </c>
      <c r="F5285" t="str">
        <f>IF(D5285="","",INDEX(Knutepunkter!$B:$B,D5285+1))</f>
        <v/>
      </c>
      <c r="G5285" t="str">
        <f>IF(D5285="","",INDEX(Knutepunkter!$C:$C,D5285+1))</f>
        <v/>
      </c>
      <c r="H5285" t="str">
        <f>IF(D5285="","",INDEX(Knutepunkter!$D:$D,D5285+1))</f>
        <v/>
      </c>
      <c r="I5285" t="str">
        <f>IF(E5285="","",INDEX(Knutepunkter!$B:$B,E5285+1))</f>
        <v/>
      </c>
      <c r="J5285" t="str">
        <f>IF(E5285="","",INDEX(Knutepunkter!$C:$C,E5285+1))</f>
        <v/>
      </c>
      <c r="K5285" t="str">
        <f>IF(E5285="","",INDEX(Knutepunkter!$D:$D,E5285+1))</f>
        <v/>
      </c>
      <c r="L5285" t="str">
        <f t="shared" si="413"/>
        <v/>
      </c>
      <c r="M5285" t="str">
        <f t="shared" si="414"/>
        <v/>
      </c>
    </row>
    <row r="5286" spans="1:13" x14ac:dyDescent="0.3">
      <c r="A5286" t="str">
        <f>Segmenter!A5286</f>
        <v/>
      </c>
      <c r="B5286" t="str">
        <f>Segmenter!B5286</f>
        <v/>
      </c>
      <c r="C5286" t="str">
        <f t="shared" si="410"/>
        <v/>
      </c>
      <c r="D5286" t="str">
        <f t="shared" si="411"/>
        <v/>
      </c>
      <c r="E5286" t="str">
        <f t="shared" si="412"/>
        <v/>
      </c>
      <c r="F5286" t="str">
        <f>IF(D5286="","",INDEX(Knutepunkter!$B:$B,D5286+1))</f>
        <v/>
      </c>
      <c r="G5286" t="str">
        <f>IF(D5286="","",INDEX(Knutepunkter!$C:$C,D5286+1))</f>
        <v/>
      </c>
      <c r="H5286" t="str">
        <f>IF(D5286="","",INDEX(Knutepunkter!$D:$D,D5286+1))</f>
        <v/>
      </c>
      <c r="I5286" t="str">
        <f>IF(E5286="","",INDEX(Knutepunkter!$B:$B,E5286+1))</f>
        <v/>
      </c>
      <c r="J5286" t="str">
        <f>IF(E5286="","",INDEX(Knutepunkter!$C:$C,E5286+1))</f>
        <v/>
      </c>
      <c r="K5286" t="str">
        <f>IF(E5286="","",INDEX(Knutepunkter!$D:$D,E5286+1))</f>
        <v/>
      </c>
      <c r="L5286" t="str">
        <f t="shared" si="413"/>
        <v/>
      </c>
      <c r="M5286" t="str">
        <f t="shared" si="414"/>
        <v/>
      </c>
    </row>
    <row r="5287" spans="1:13" x14ac:dyDescent="0.3">
      <c r="A5287" t="str">
        <f>Segmenter!A5287</f>
        <v/>
      </c>
      <c r="B5287" t="str">
        <f>Segmenter!B5287</f>
        <v/>
      </c>
      <c r="C5287" t="str">
        <f t="shared" si="410"/>
        <v/>
      </c>
      <c r="D5287" t="str">
        <f t="shared" si="411"/>
        <v/>
      </c>
      <c r="E5287" t="str">
        <f t="shared" si="412"/>
        <v/>
      </c>
      <c r="F5287" t="str">
        <f>IF(D5287="","",INDEX(Knutepunkter!$B:$B,D5287+1))</f>
        <v/>
      </c>
      <c r="G5287" t="str">
        <f>IF(D5287="","",INDEX(Knutepunkter!$C:$C,D5287+1))</f>
        <v/>
      </c>
      <c r="H5287" t="str">
        <f>IF(D5287="","",INDEX(Knutepunkter!$D:$D,D5287+1))</f>
        <v/>
      </c>
      <c r="I5287" t="str">
        <f>IF(E5287="","",INDEX(Knutepunkter!$B:$B,E5287+1))</f>
        <v/>
      </c>
      <c r="J5287" t="str">
        <f>IF(E5287="","",INDEX(Knutepunkter!$C:$C,E5287+1))</f>
        <v/>
      </c>
      <c r="K5287" t="str">
        <f>IF(E5287="","",INDEX(Knutepunkter!$D:$D,E5287+1))</f>
        <v/>
      </c>
      <c r="L5287" t="str">
        <f t="shared" si="413"/>
        <v/>
      </c>
      <c r="M5287" t="str">
        <f t="shared" si="414"/>
        <v/>
      </c>
    </row>
    <row r="5288" spans="1:13" x14ac:dyDescent="0.3">
      <c r="A5288" t="str">
        <f>Segmenter!A5288</f>
        <v/>
      </c>
      <c r="B5288" t="str">
        <f>Segmenter!B5288</f>
        <v/>
      </c>
      <c r="C5288" t="str">
        <f t="shared" si="410"/>
        <v/>
      </c>
      <c r="D5288" t="str">
        <f t="shared" si="411"/>
        <v/>
      </c>
      <c r="E5288" t="str">
        <f t="shared" si="412"/>
        <v/>
      </c>
      <c r="F5288" t="str">
        <f>IF(D5288="","",INDEX(Knutepunkter!$B:$B,D5288+1))</f>
        <v/>
      </c>
      <c r="G5288" t="str">
        <f>IF(D5288="","",INDEX(Knutepunkter!$C:$C,D5288+1))</f>
        <v/>
      </c>
      <c r="H5288" t="str">
        <f>IF(D5288="","",INDEX(Knutepunkter!$D:$D,D5288+1))</f>
        <v/>
      </c>
      <c r="I5288" t="str">
        <f>IF(E5288="","",INDEX(Knutepunkter!$B:$B,E5288+1))</f>
        <v/>
      </c>
      <c r="J5288" t="str">
        <f>IF(E5288="","",INDEX(Knutepunkter!$C:$C,E5288+1))</f>
        <v/>
      </c>
      <c r="K5288" t="str">
        <f>IF(E5288="","",INDEX(Knutepunkter!$D:$D,E5288+1))</f>
        <v/>
      </c>
      <c r="L5288" t="str">
        <f t="shared" si="413"/>
        <v/>
      </c>
      <c r="M5288" t="str">
        <f t="shared" si="414"/>
        <v/>
      </c>
    </row>
    <row r="5289" spans="1:13" x14ac:dyDescent="0.3">
      <c r="A5289" t="str">
        <f>Segmenter!A5289</f>
        <v/>
      </c>
      <c r="B5289" t="str">
        <f>Segmenter!B5289</f>
        <v/>
      </c>
      <c r="C5289" t="str">
        <f t="shared" si="410"/>
        <v/>
      </c>
      <c r="D5289" t="str">
        <f t="shared" si="411"/>
        <v/>
      </c>
      <c r="E5289" t="str">
        <f t="shared" si="412"/>
        <v/>
      </c>
      <c r="F5289" t="str">
        <f>IF(D5289="","",INDEX(Knutepunkter!$B:$B,D5289+1))</f>
        <v/>
      </c>
      <c r="G5289" t="str">
        <f>IF(D5289="","",INDEX(Knutepunkter!$C:$C,D5289+1))</f>
        <v/>
      </c>
      <c r="H5289" t="str">
        <f>IF(D5289="","",INDEX(Knutepunkter!$D:$D,D5289+1))</f>
        <v/>
      </c>
      <c r="I5289" t="str">
        <f>IF(E5289="","",INDEX(Knutepunkter!$B:$B,E5289+1))</f>
        <v/>
      </c>
      <c r="J5289" t="str">
        <f>IF(E5289="","",INDEX(Knutepunkter!$C:$C,E5289+1))</f>
        <v/>
      </c>
      <c r="K5289" t="str">
        <f>IF(E5289="","",INDEX(Knutepunkter!$D:$D,E5289+1))</f>
        <v/>
      </c>
      <c r="L5289" t="str">
        <f t="shared" si="413"/>
        <v/>
      </c>
      <c r="M5289" t="str">
        <f t="shared" si="414"/>
        <v/>
      </c>
    </row>
    <row r="5290" spans="1:13" x14ac:dyDescent="0.3">
      <c r="A5290" t="str">
        <f>Segmenter!A5290</f>
        <v/>
      </c>
      <c r="B5290" t="str">
        <f>Segmenter!B5290</f>
        <v/>
      </c>
      <c r="C5290" t="str">
        <f t="shared" si="410"/>
        <v/>
      </c>
      <c r="D5290" t="str">
        <f t="shared" si="411"/>
        <v/>
      </c>
      <c r="E5290" t="str">
        <f t="shared" si="412"/>
        <v/>
      </c>
      <c r="F5290" t="str">
        <f>IF(D5290="","",INDEX(Knutepunkter!$B:$B,D5290+1))</f>
        <v/>
      </c>
      <c r="G5290" t="str">
        <f>IF(D5290="","",INDEX(Knutepunkter!$C:$C,D5290+1))</f>
        <v/>
      </c>
      <c r="H5290" t="str">
        <f>IF(D5290="","",INDEX(Knutepunkter!$D:$D,D5290+1))</f>
        <v/>
      </c>
      <c r="I5290" t="str">
        <f>IF(E5290="","",INDEX(Knutepunkter!$B:$B,E5290+1))</f>
        <v/>
      </c>
      <c r="J5290" t="str">
        <f>IF(E5290="","",INDEX(Knutepunkter!$C:$C,E5290+1))</f>
        <v/>
      </c>
      <c r="K5290" t="str">
        <f>IF(E5290="","",INDEX(Knutepunkter!$D:$D,E5290+1))</f>
        <v/>
      </c>
      <c r="L5290" t="str">
        <f t="shared" si="413"/>
        <v/>
      </c>
      <c r="M5290" t="str">
        <f t="shared" si="414"/>
        <v/>
      </c>
    </row>
    <row r="5291" spans="1:13" x14ac:dyDescent="0.3">
      <c r="A5291" t="str">
        <f>Segmenter!A5291</f>
        <v/>
      </c>
      <c r="B5291" t="str">
        <f>Segmenter!B5291</f>
        <v/>
      </c>
      <c r="C5291" t="str">
        <f t="shared" si="410"/>
        <v/>
      </c>
      <c r="D5291" t="str">
        <f t="shared" si="411"/>
        <v/>
      </c>
      <c r="E5291" t="str">
        <f t="shared" si="412"/>
        <v/>
      </c>
      <c r="F5291" t="str">
        <f>IF(D5291="","",INDEX(Knutepunkter!$B:$B,D5291+1))</f>
        <v/>
      </c>
      <c r="G5291" t="str">
        <f>IF(D5291="","",INDEX(Knutepunkter!$C:$C,D5291+1))</f>
        <v/>
      </c>
      <c r="H5291" t="str">
        <f>IF(D5291="","",INDEX(Knutepunkter!$D:$D,D5291+1))</f>
        <v/>
      </c>
      <c r="I5291" t="str">
        <f>IF(E5291="","",INDEX(Knutepunkter!$B:$B,E5291+1))</f>
        <v/>
      </c>
      <c r="J5291" t="str">
        <f>IF(E5291="","",INDEX(Knutepunkter!$C:$C,E5291+1))</f>
        <v/>
      </c>
      <c r="K5291" t="str">
        <f>IF(E5291="","",INDEX(Knutepunkter!$D:$D,E5291+1))</f>
        <v/>
      </c>
      <c r="L5291" t="str">
        <f t="shared" si="413"/>
        <v/>
      </c>
      <c r="M5291" t="str">
        <f t="shared" si="414"/>
        <v/>
      </c>
    </row>
    <row r="5292" spans="1:13" x14ac:dyDescent="0.3">
      <c r="A5292" t="str">
        <f>Segmenter!A5292</f>
        <v/>
      </c>
      <c r="B5292" t="str">
        <f>Segmenter!B5292</f>
        <v/>
      </c>
      <c r="C5292" t="str">
        <f t="shared" si="410"/>
        <v/>
      </c>
      <c r="D5292" t="str">
        <f t="shared" si="411"/>
        <v/>
      </c>
      <c r="E5292" t="str">
        <f t="shared" si="412"/>
        <v/>
      </c>
      <c r="F5292" t="str">
        <f>IF(D5292="","",INDEX(Knutepunkter!$B:$B,D5292+1))</f>
        <v/>
      </c>
      <c r="G5292" t="str">
        <f>IF(D5292="","",INDEX(Knutepunkter!$C:$C,D5292+1))</f>
        <v/>
      </c>
      <c r="H5292" t="str">
        <f>IF(D5292="","",INDEX(Knutepunkter!$D:$D,D5292+1))</f>
        <v/>
      </c>
      <c r="I5292" t="str">
        <f>IF(E5292="","",INDEX(Knutepunkter!$B:$B,E5292+1))</f>
        <v/>
      </c>
      <c r="J5292" t="str">
        <f>IF(E5292="","",INDEX(Knutepunkter!$C:$C,E5292+1))</f>
        <v/>
      </c>
      <c r="K5292" t="str">
        <f>IF(E5292="","",INDEX(Knutepunkter!$D:$D,E5292+1))</f>
        <v/>
      </c>
      <c r="L5292" t="str">
        <f t="shared" si="413"/>
        <v/>
      </c>
      <c r="M5292" t="str">
        <f t="shared" si="414"/>
        <v/>
      </c>
    </row>
    <row r="5293" spans="1:13" x14ac:dyDescent="0.3">
      <c r="A5293" t="str">
        <f>Segmenter!A5293</f>
        <v/>
      </c>
      <c r="B5293" t="str">
        <f>Segmenter!B5293</f>
        <v/>
      </c>
      <c r="C5293" t="str">
        <f t="shared" si="410"/>
        <v/>
      </c>
      <c r="D5293" t="str">
        <f t="shared" si="411"/>
        <v/>
      </c>
      <c r="E5293" t="str">
        <f t="shared" si="412"/>
        <v/>
      </c>
      <c r="F5293" t="str">
        <f>IF(D5293="","",INDEX(Knutepunkter!$B:$B,D5293+1))</f>
        <v/>
      </c>
      <c r="G5293" t="str">
        <f>IF(D5293="","",INDEX(Knutepunkter!$C:$C,D5293+1))</f>
        <v/>
      </c>
      <c r="H5293" t="str">
        <f>IF(D5293="","",INDEX(Knutepunkter!$D:$D,D5293+1))</f>
        <v/>
      </c>
      <c r="I5293" t="str">
        <f>IF(E5293="","",INDEX(Knutepunkter!$B:$B,E5293+1))</f>
        <v/>
      </c>
      <c r="J5293" t="str">
        <f>IF(E5293="","",INDEX(Knutepunkter!$C:$C,E5293+1))</f>
        <v/>
      </c>
      <c r="K5293" t="str">
        <f>IF(E5293="","",INDEX(Knutepunkter!$D:$D,E5293+1))</f>
        <v/>
      </c>
      <c r="L5293" t="str">
        <f t="shared" si="413"/>
        <v/>
      </c>
      <c r="M5293" t="str">
        <f t="shared" si="414"/>
        <v/>
      </c>
    </row>
    <row r="5294" spans="1:13" x14ac:dyDescent="0.3">
      <c r="A5294" t="str">
        <f>Segmenter!A5294</f>
        <v/>
      </c>
      <c r="B5294" t="str">
        <f>Segmenter!B5294</f>
        <v/>
      </c>
      <c r="C5294" t="str">
        <f t="shared" si="410"/>
        <v/>
      </c>
      <c r="D5294" t="str">
        <f t="shared" si="411"/>
        <v/>
      </c>
      <c r="E5294" t="str">
        <f t="shared" si="412"/>
        <v/>
      </c>
      <c r="F5294" t="str">
        <f>IF(D5294="","",INDEX(Knutepunkter!$B:$B,D5294+1))</f>
        <v/>
      </c>
      <c r="G5294" t="str">
        <f>IF(D5294="","",INDEX(Knutepunkter!$C:$C,D5294+1))</f>
        <v/>
      </c>
      <c r="H5294" t="str">
        <f>IF(D5294="","",INDEX(Knutepunkter!$D:$D,D5294+1))</f>
        <v/>
      </c>
      <c r="I5294" t="str">
        <f>IF(E5294="","",INDEX(Knutepunkter!$B:$B,E5294+1))</f>
        <v/>
      </c>
      <c r="J5294" t="str">
        <f>IF(E5294="","",INDEX(Knutepunkter!$C:$C,E5294+1))</f>
        <v/>
      </c>
      <c r="K5294" t="str">
        <f>IF(E5294="","",INDEX(Knutepunkter!$D:$D,E5294+1))</f>
        <v/>
      </c>
      <c r="L5294" t="str">
        <f t="shared" si="413"/>
        <v/>
      </c>
      <c r="M5294" t="str">
        <f t="shared" si="414"/>
        <v/>
      </c>
    </row>
    <row r="5295" spans="1:13" x14ac:dyDescent="0.3">
      <c r="A5295" t="str">
        <f>Segmenter!A5295</f>
        <v/>
      </c>
      <c r="B5295" t="str">
        <f>Segmenter!B5295</f>
        <v/>
      </c>
      <c r="C5295" t="str">
        <f t="shared" si="410"/>
        <v/>
      </c>
      <c r="D5295" t="str">
        <f t="shared" si="411"/>
        <v/>
      </c>
      <c r="E5295" t="str">
        <f t="shared" si="412"/>
        <v/>
      </c>
      <c r="F5295" t="str">
        <f>IF(D5295="","",INDEX(Knutepunkter!$B:$B,D5295+1))</f>
        <v/>
      </c>
      <c r="G5295" t="str">
        <f>IF(D5295="","",INDEX(Knutepunkter!$C:$C,D5295+1))</f>
        <v/>
      </c>
      <c r="H5295" t="str">
        <f>IF(D5295="","",INDEX(Knutepunkter!$D:$D,D5295+1))</f>
        <v/>
      </c>
      <c r="I5295" t="str">
        <f>IF(E5295="","",INDEX(Knutepunkter!$B:$B,E5295+1))</f>
        <v/>
      </c>
      <c r="J5295" t="str">
        <f>IF(E5295="","",INDEX(Knutepunkter!$C:$C,E5295+1))</f>
        <v/>
      </c>
      <c r="K5295" t="str">
        <f>IF(E5295="","",INDEX(Knutepunkter!$D:$D,E5295+1))</f>
        <v/>
      </c>
      <c r="L5295" t="str">
        <f t="shared" si="413"/>
        <v/>
      </c>
      <c r="M5295" t="str">
        <f t="shared" si="414"/>
        <v/>
      </c>
    </row>
    <row r="5296" spans="1:13" x14ac:dyDescent="0.3">
      <c r="A5296" t="str">
        <f>Segmenter!A5296</f>
        <v/>
      </c>
      <c r="B5296" t="str">
        <f>Segmenter!B5296</f>
        <v/>
      </c>
      <c r="C5296" t="str">
        <f t="shared" si="410"/>
        <v/>
      </c>
      <c r="D5296" t="str">
        <f t="shared" si="411"/>
        <v/>
      </c>
      <c r="E5296" t="str">
        <f t="shared" si="412"/>
        <v/>
      </c>
      <c r="F5296" t="str">
        <f>IF(D5296="","",INDEX(Knutepunkter!$B:$B,D5296+1))</f>
        <v/>
      </c>
      <c r="G5296" t="str">
        <f>IF(D5296="","",INDEX(Knutepunkter!$C:$C,D5296+1))</f>
        <v/>
      </c>
      <c r="H5296" t="str">
        <f>IF(D5296="","",INDEX(Knutepunkter!$D:$D,D5296+1))</f>
        <v/>
      </c>
      <c r="I5296" t="str">
        <f>IF(E5296="","",INDEX(Knutepunkter!$B:$B,E5296+1))</f>
        <v/>
      </c>
      <c r="J5296" t="str">
        <f>IF(E5296="","",INDEX(Knutepunkter!$C:$C,E5296+1))</f>
        <v/>
      </c>
      <c r="K5296" t="str">
        <f>IF(E5296="","",INDEX(Knutepunkter!$D:$D,E5296+1))</f>
        <v/>
      </c>
      <c r="L5296" t="str">
        <f t="shared" si="413"/>
        <v/>
      </c>
      <c r="M5296" t="str">
        <f t="shared" si="414"/>
        <v/>
      </c>
    </row>
    <row r="5297" spans="1:13" x14ac:dyDescent="0.3">
      <c r="A5297" t="str">
        <f>Segmenter!A5297</f>
        <v/>
      </c>
      <c r="B5297" t="str">
        <f>Segmenter!B5297</f>
        <v/>
      </c>
      <c r="C5297" t="str">
        <f t="shared" si="410"/>
        <v/>
      </c>
      <c r="D5297" t="str">
        <f t="shared" si="411"/>
        <v/>
      </c>
      <c r="E5297" t="str">
        <f t="shared" si="412"/>
        <v/>
      </c>
      <c r="F5297" t="str">
        <f>IF(D5297="","",INDEX(Knutepunkter!$B:$B,D5297+1))</f>
        <v/>
      </c>
      <c r="G5297" t="str">
        <f>IF(D5297="","",INDEX(Knutepunkter!$C:$C,D5297+1))</f>
        <v/>
      </c>
      <c r="H5297" t="str">
        <f>IF(D5297="","",INDEX(Knutepunkter!$D:$D,D5297+1))</f>
        <v/>
      </c>
      <c r="I5297" t="str">
        <f>IF(E5297="","",INDEX(Knutepunkter!$B:$B,E5297+1))</f>
        <v/>
      </c>
      <c r="J5297" t="str">
        <f>IF(E5297="","",INDEX(Knutepunkter!$C:$C,E5297+1))</f>
        <v/>
      </c>
      <c r="K5297" t="str">
        <f>IF(E5297="","",INDEX(Knutepunkter!$D:$D,E5297+1))</f>
        <v/>
      </c>
      <c r="L5297" t="str">
        <f t="shared" si="413"/>
        <v/>
      </c>
      <c r="M5297" t="str">
        <f t="shared" si="414"/>
        <v/>
      </c>
    </row>
    <row r="5298" spans="1:13" x14ac:dyDescent="0.3">
      <c r="A5298" t="str">
        <f>Segmenter!A5298</f>
        <v/>
      </c>
      <c r="B5298" t="str">
        <f>Segmenter!B5298</f>
        <v/>
      </c>
      <c r="C5298" t="str">
        <f t="shared" si="410"/>
        <v/>
      </c>
      <c r="D5298" t="str">
        <f t="shared" si="411"/>
        <v/>
      </c>
      <c r="E5298" t="str">
        <f t="shared" si="412"/>
        <v/>
      </c>
      <c r="F5298" t="str">
        <f>IF(D5298="","",INDEX(Knutepunkter!$B:$B,D5298+1))</f>
        <v/>
      </c>
      <c r="G5298" t="str">
        <f>IF(D5298="","",INDEX(Knutepunkter!$C:$C,D5298+1))</f>
        <v/>
      </c>
      <c r="H5298" t="str">
        <f>IF(D5298="","",INDEX(Knutepunkter!$D:$D,D5298+1))</f>
        <v/>
      </c>
      <c r="I5298" t="str">
        <f>IF(E5298="","",INDEX(Knutepunkter!$B:$B,E5298+1))</f>
        <v/>
      </c>
      <c r="J5298" t="str">
        <f>IF(E5298="","",INDEX(Knutepunkter!$C:$C,E5298+1))</f>
        <v/>
      </c>
      <c r="K5298" t="str">
        <f>IF(E5298="","",INDEX(Knutepunkter!$D:$D,E5298+1))</f>
        <v/>
      </c>
      <c r="L5298" t="str">
        <f t="shared" si="413"/>
        <v/>
      </c>
      <c r="M5298" t="str">
        <f t="shared" si="414"/>
        <v/>
      </c>
    </row>
    <row r="5299" spans="1:13" x14ac:dyDescent="0.3">
      <c r="A5299" t="str">
        <f>Segmenter!A5299</f>
        <v/>
      </c>
      <c r="B5299" t="str">
        <f>Segmenter!B5299</f>
        <v/>
      </c>
      <c r="C5299" t="str">
        <f t="shared" si="410"/>
        <v/>
      </c>
      <c r="D5299" t="str">
        <f t="shared" si="411"/>
        <v/>
      </c>
      <c r="E5299" t="str">
        <f t="shared" si="412"/>
        <v/>
      </c>
      <c r="F5299" t="str">
        <f>IF(D5299="","",INDEX(Knutepunkter!$B:$B,D5299+1))</f>
        <v/>
      </c>
      <c r="G5299" t="str">
        <f>IF(D5299="","",INDEX(Knutepunkter!$C:$C,D5299+1))</f>
        <v/>
      </c>
      <c r="H5299" t="str">
        <f>IF(D5299="","",INDEX(Knutepunkter!$D:$D,D5299+1))</f>
        <v/>
      </c>
      <c r="I5299" t="str">
        <f>IF(E5299="","",INDEX(Knutepunkter!$B:$B,E5299+1))</f>
        <v/>
      </c>
      <c r="J5299" t="str">
        <f>IF(E5299="","",INDEX(Knutepunkter!$C:$C,E5299+1))</f>
        <v/>
      </c>
      <c r="K5299" t="str">
        <f>IF(E5299="","",INDEX(Knutepunkter!$D:$D,E5299+1))</f>
        <v/>
      </c>
      <c r="L5299" t="str">
        <f t="shared" si="413"/>
        <v/>
      </c>
      <c r="M5299" t="str">
        <f t="shared" si="414"/>
        <v/>
      </c>
    </row>
    <row r="5300" spans="1:13" x14ac:dyDescent="0.3">
      <c r="A5300" t="str">
        <f>Segmenter!A5300</f>
        <v/>
      </c>
      <c r="B5300" t="str">
        <f>Segmenter!B5300</f>
        <v/>
      </c>
      <c r="C5300" t="str">
        <f t="shared" si="410"/>
        <v/>
      </c>
      <c r="D5300" t="str">
        <f t="shared" si="411"/>
        <v/>
      </c>
      <c r="E5300" t="str">
        <f t="shared" si="412"/>
        <v/>
      </c>
      <c r="F5300" t="str">
        <f>IF(D5300="","",INDEX(Knutepunkter!$B:$B,D5300+1))</f>
        <v/>
      </c>
      <c r="G5300" t="str">
        <f>IF(D5300="","",INDEX(Knutepunkter!$C:$C,D5300+1))</f>
        <v/>
      </c>
      <c r="H5300" t="str">
        <f>IF(D5300="","",INDEX(Knutepunkter!$D:$D,D5300+1))</f>
        <v/>
      </c>
      <c r="I5300" t="str">
        <f>IF(E5300="","",INDEX(Knutepunkter!$B:$B,E5300+1))</f>
        <v/>
      </c>
      <c r="J5300" t="str">
        <f>IF(E5300="","",INDEX(Knutepunkter!$C:$C,E5300+1))</f>
        <v/>
      </c>
      <c r="K5300" t="str">
        <f>IF(E5300="","",INDEX(Knutepunkter!$D:$D,E5300+1))</f>
        <v/>
      </c>
      <c r="L5300" t="str">
        <f t="shared" si="413"/>
        <v/>
      </c>
      <c r="M5300" t="str">
        <f t="shared" si="414"/>
        <v/>
      </c>
    </row>
    <row r="5301" spans="1:13" x14ac:dyDescent="0.3">
      <c r="A5301" t="str">
        <f>Segmenter!A5301</f>
        <v/>
      </c>
      <c r="B5301" t="str">
        <f>Segmenter!B5301</f>
        <v/>
      </c>
      <c r="C5301" t="str">
        <f t="shared" si="410"/>
        <v/>
      </c>
      <c r="D5301" t="str">
        <f t="shared" si="411"/>
        <v/>
      </c>
      <c r="E5301" t="str">
        <f t="shared" si="412"/>
        <v/>
      </c>
      <c r="F5301" t="str">
        <f>IF(D5301="","",INDEX(Knutepunkter!$B:$B,D5301+1))</f>
        <v/>
      </c>
      <c r="G5301" t="str">
        <f>IF(D5301="","",INDEX(Knutepunkter!$C:$C,D5301+1))</f>
        <v/>
      </c>
      <c r="H5301" t="str">
        <f>IF(D5301="","",INDEX(Knutepunkter!$D:$D,D5301+1))</f>
        <v/>
      </c>
      <c r="I5301" t="str">
        <f>IF(E5301="","",INDEX(Knutepunkter!$B:$B,E5301+1))</f>
        <v/>
      </c>
      <c r="J5301" t="str">
        <f>IF(E5301="","",INDEX(Knutepunkter!$C:$C,E5301+1))</f>
        <v/>
      </c>
      <c r="K5301" t="str">
        <f>IF(E5301="","",INDEX(Knutepunkter!$D:$D,E5301+1))</f>
        <v/>
      </c>
      <c r="L5301" t="str">
        <f t="shared" si="413"/>
        <v/>
      </c>
      <c r="M5301" t="str">
        <f t="shared" si="414"/>
        <v/>
      </c>
    </row>
    <row r="5302" spans="1:13" x14ac:dyDescent="0.3">
      <c r="A5302" t="str">
        <f>Segmenter!A5302</f>
        <v/>
      </c>
      <c r="B5302" t="str">
        <f>Segmenter!B5302</f>
        <v/>
      </c>
      <c r="C5302" t="str">
        <f t="shared" si="410"/>
        <v/>
      </c>
      <c r="D5302" t="str">
        <f t="shared" si="411"/>
        <v/>
      </c>
      <c r="E5302" t="str">
        <f t="shared" si="412"/>
        <v/>
      </c>
      <c r="F5302" t="str">
        <f>IF(D5302="","",INDEX(Knutepunkter!$B:$B,D5302+1))</f>
        <v/>
      </c>
      <c r="G5302" t="str">
        <f>IF(D5302="","",INDEX(Knutepunkter!$C:$C,D5302+1))</f>
        <v/>
      </c>
      <c r="H5302" t="str">
        <f>IF(D5302="","",INDEX(Knutepunkter!$D:$D,D5302+1))</f>
        <v/>
      </c>
      <c r="I5302" t="str">
        <f>IF(E5302="","",INDEX(Knutepunkter!$B:$B,E5302+1))</f>
        <v/>
      </c>
      <c r="J5302" t="str">
        <f>IF(E5302="","",INDEX(Knutepunkter!$C:$C,E5302+1))</f>
        <v/>
      </c>
      <c r="K5302" t="str">
        <f>IF(E5302="","",INDEX(Knutepunkter!$D:$D,E5302+1))</f>
        <v/>
      </c>
      <c r="L5302" t="str">
        <f t="shared" si="413"/>
        <v/>
      </c>
      <c r="M5302" t="str">
        <f t="shared" si="414"/>
        <v/>
      </c>
    </row>
    <row r="5303" spans="1:13" x14ac:dyDescent="0.3">
      <c r="A5303" t="str">
        <f>Segmenter!A5303</f>
        <v/>
      </c>
      <c r="B5303" t="str">
        <f>Segmenter!B5303</f>
        <v/>
      </c>
      <c r="C5303" t="str">
        <f t="shared" si="410"/>
        <v/>
      </c>
      <c r="D5303" t="str">
        <f t="shared" si="411"/>
        <v/>
      </c>
      <c r="E5303" t="str">
        <f t="shared" si="412"/>
        <v/>
      </c>
      <c r="F5303" t="str">
        <f>IF(D5303="","",INDEX(Knutepunkter!$B:$B,D5303+1))</f>
        <v/>
      </c>
      <c r="G5303" t="str">
        <f>IF(D5303="","",INDEX(Knutepunkter!$C:$C,D5303+1))</f>
        <v/>
      </c>
      <c r="H5303" t="str">
        <f>IF(D5303="","",INDEX(Knutepunkter!$D:$D,D5303+1))</f>
        <v/>
      </c>
      <c r="I5303" t="str">
        <f>IF(E5303="","",INDEX(Knutepunkter!$B:$B,E5303+1))</f>
        <v/>
      </c>
      <c r="J5303" t="str">
        <f>IF(E5303="","",INDEX(Knutepunkter!$C:$C,E5303+1))</f>
        <v/>
      </c>
      <c r="K5303" t="str">
        <f>IF(E5303="","",INDEX(Knutepunkter!$D:$D,E5303+1))</f>
        <v/>
      </c>
      <c r="L5303" t="str">
        <f t="shared" si="413"/>
        <v/>
      </c>
      <c r="M5303" t="str">
        <f t="shared" si="414"/>
        <v/>
      </c>
    </row>
    <row r="5304" spans="1:13" x14ac:dyDescent="0.3">
      <c r="A5304" t="str">
        <f>Segmenter!A5304</f>
        <v/>
      </c>
      <c r="B5304" t="str">
        <f>Segmenter!B5304</f>
        <v/>
      </c>
      <c r="C5304" t="str">
        <f t="shared" si="410"/>
        <v/>
      </c>
      <c r="D5304" t="str">
        <f t="shared" si="411"/>
        <v/>
      </c>
      <c r="E5304" t="str">
        <f t="shared" si="412"/>
        <v/>
      </c>
      <c r="F5304" t="str">
        <f>IF(D5304="","",INDEX(Knutepunkter!$B:$B,D5304+1))</f>
        <v/>
      </c>
      <c r="G5304" t="str">
        <f>IF(D5304="","",INDEX(Knutepunkter!$C:$C,D5304+1))</f>
        <v/>
      </c>
      <c r="H5304" t="str">
        <f>IF(D5304="","",INDEX(Knutepunkter!$D:$D,D5304+1))</f>
        <v/>
      </c>
      <c r="I5304" t="str">
        <f>IF(E5304="","",INDEX(Knutepunkter!$B:$B,E5304+1))</f>
        <v/>
      </c>
      <c r="J5304" t="str">
        <f>IF(E5304="","",INDEX(Knutepunkter!$C:$C,E5304+1))</f>
        <v/>
      </c>
      <c r="K5304" t="str">
        <f>IF(E5304="","",INDEX(Knutepunkter!$D:$D,E5304+1))</f>
        <v/>
      </c>
      <c r="L5304" t="str">
        <f t="shared" si="413"/>
        <v/>
      </c>
      <c r="M5304" t="str">
        <f t="shared" si="414"/>
        <v/>
      </c>
    </row>
    <row r="5305" spans="1:13" x14ac:dyDescent="0.3">
      <c r="A5305" t="str">
        <f>Segmenter!A5305</f>
        <v/>
      </c>
      <c r="B5305" t="str">
        <f>Segmenter!B5305</f>
        <v/>
      </c>
      <c r="C5305" t="str">
        <f t="shared" si="410"/>
        <v/>
      </c>
      <c r="D5305" t="str">
        <f t="shared" si="411"/>
        <v/>
      </c>
      <c r="E5305" t="str">
        <f t="shared" si="412"/>
        <v/>
      </c>
      <c r="F5305" t="str">
        <f>IF(D5305="","",INDEX(Knutepunkter!$B:$B,D5305+1))</f>
        <v/>
      </c>
      <c r="G5305" t="str">
        <f>IF(D5305="","",INDEX(Knutepunkter!$C:$C,D5305+1))</f>
        <v/>
      </c>
      <c r="H5305" t="str">
        <f>IF(D5305="","",INDEX(Knutepunkter!$D:$D,D5305+1))</f>
        <v/>
      </c>
      <c r="I5305" t="str">
        <f>IF(E5305="","",INDEX(Knutepunkter!$B:$B,E5305+1))</f>
        <v/>
      </c>
      <c r="J5305" t="str">
        <f>IF(E5305="","",INDEX(Knutepunkter!$C:$C,E5305+1))</f>
        <v/>
      </c>
      <c r="K5305" t="str">
        <f>IF(E5305="","",INDEX(Knutepunkter!$D:$D,E5305+1))</f>
        <v/>
      </c>
      <c r="L5305" t="str">
        <f t="shared" si="413"/>
        <v/>
      </c>
      <c r="M5305" t="str">
        <f t="shared" si="414"/>
        <v/>
      </c>
    </row>
    <row r="5306" spans="1:13" x14ac:dyDescent="0.3">
      <c r="A5306" t="str">
        <f>Segmenter!A5306</f>
        <v/>
      </c>
      <c r="B5306" t="str">
        <f>Segmenter!B5306</f>
        <v/>
      </c>
      <c r="C5306" t="str">
        <f t="shared" si="410"/>
        <v/>
      </c>
      <c r="D5306" t="str">
        <f t="shared" si="411"/>
        <v/>
      </c>
      <c r="E5306" t="str">
        <f t="shared" si="412"/>
        <v/>
      </c>
      <c r="F5306" t="str">
        <f>IF(D5306="","",INDEX(Knutepunkter!$B:$B,D5306+1))</f>
        <v/>
      </c>
      <c r="G5306" t="str">
        <f>IF(D5306="","",INDEX(Knutepunkter!$C:$C,D5306+1))</f>
        <v/>
      </c>
      <c r="H5306" t="str">
        <f>IF(D5306="","",INDEX(Knutepunkter!$D:$D,D5306+1))</f>
        <v/>
      </c>
      <c r="I5306" t="str">
        <f>IF(E5306="","",INDEX(Knutepunkter!$B:$B,E5306+1))</f>
        <v/>
      </c>
      <c r="J5306" t="str">
        <f>IF(E5306="","",INDEX(Knutepunkter!$C:$C,E5306+1))</f>
        <v/>
      </c>
      <c r="K5306" t="str">
        <f>IF(E5306="","",INDEX(Knutepunkter!$D:$D,E5306+1))</f>
        <v/>
      </c>
      <c r="L5306" t="str">
        <f t="shared" si="413"/>
        <v/>
      </c>
      <c r="M5306" t="str">
        <f t="shared" si="414"/>
        <v/>
      </c>
    </row>
    <row r="5307" spans="1:13" x14ac:dyDescent="0.3">
      <c r="A5307" t="str">
        <f>Segmenter!A5307</f>
        <v/>
      </c>
      <c r="B5307" t="str">
        <f>Segmenter!B5307</f>
        <v/>
      </c>
      <c r="C5307" t="str">
        <f t="shared" si="410"/>
        <v/>
      </c>
      <c r="D5307" t="str">
        <f t="shared" si="411"/>
        <v/>
      </c>
      <c r="E5307" t="str">
        <f t="shared" si="412"/>
        <v/>
      </c>
      <c r="F5307" t="str">
        <f>IF(D5307="","",INDEX(Knutepunkter!$B:$B,D5307+1))</f>
        <v/>
      </c>
      <c r="G5307" t="str">
        <f>IF(D5307="","",INDEX(Knutepunkter!$C:$C,D5307+1))</f>
        <v/>
      </c>
      <c r="H5307" t="str">
        <f>IF(D5307="","",INDEX(Knutepunkter!$D:$D,D5307+1))</f>
        <v/>
      </c>
      <c r="I5307" t="str">
        <f>IF(E5307="","",INDEX(Knutepunkter!$B:$B,E5307+1))</f>
        <v/>
      </c>
      <c r="J5307" t="str">
        <f>IF(E5307="","",INDEX(Knutepunkter!$C:$C,E5307+1))</f>
        <v/>
      </c>
      <c r="K5307" t="str">
        <f>IF(E5307="","",INDEX(Knutepunkter!$D:$D,E5307+1))</f>
        <v/>
      </c>
      <c r="L5307" t="str">
        <f t="shared" si="413"/>
        <v/>
      </c>
      <c r="M5307" t="str">
        <f t="shared" si="414"/>
        <v/>
      </c>
    </row>
    <row r="5308" spans="1:13" x14ac:dyDescent="0.3">
      <c r="A5308" t="str">
        <f>Segmenter!A5308</f>
        <v/>
      </c>
      <c r="B5308" t="str">
        <f>Segmenter!B5308</f>
        <v/>
      </c>
      <c r="C5308" t="str">
        <f t="shared" si="410"/>
        <v/>
      </c>
      <c r="D5308" t="str">
        <f t="shared" si="411"/>
        <v/>
      </c>
      <c r="E5308" t="str">
        <f t="shared" si="412"/>
        <v/>
      </c>
      <c r="F5308" t="str">
        <f>IF(D5308="","",INDEX(Knutepunkter!$B:$B,D5308+1))</f>
        <v/>
      </c>
      <c r="G5308" t="str">
        <f>IF(D5308="","",INDEX(Knutepunkter!$C:$C,D5308+1))</f>
        <v/>
      </c>
      <c r="H5308" t="str">
        <f>IF(D5308="","",INDEX(Knutepunkter!$D:$D,D5308+1))</f>
        <v/>
      </c>
      <c r="I5308" t="str">
        <f>IF(E5308="","",INDEX(Knutepunkter!$B:$B,E5308+1))</f>
        <v/>
      </c>
      <c r="J5308" t="str">
        <f>IF(E5308="","",INDEX(Knutepunkter!$C:$C,E5308+1))</f>
        <v/>
      </c>
      <c r="K5308" t="str">
        <f>IF(E5308="","",INDEX(Knutepunkter!$D:$D,E5308+1))</f>
        <v/>
      </c>
      <c r="L5308" t="str">
        <f t="shared" si="413"/>
        <v/>
      </c>
      <c r="M5308" t="str">
        <f t="shared" si="414"/>
        <v/>
      </c>
    </row>
    <row r="5309" spans="1:13" x14ac:dyDescent="0.3">
      <c r="A5309" t="str">
        <f>Segmenter!A5309</f>
        <v/>
      </c>
      <c r="B5309" t="str">
        <f>Segmenter!B5309</f>
        <v/>
      </c>
      <c r="C5309" t="str">
        <f t="shared" si="410"/>
        <v/>
      </c>
      <c r="D5309" t="str">
        <f t="shared" si="411"/>
        <v/>
      </c>
      <c r="E5309" t="str">
        <f t="shared" si="412"/>
        <v/>
      </c>
      <c r="F5309" t="str">
        <f>IF(D5309="","",INDEX(Knutepunkter!$B:$B,D5309+1))</f>
        <v/>
      </c>
      <c r="G5309" t="str">
        <f>IF(D5309="","",INDEX(Knutepunkter!$C:$C,D5309+1))</f>
        <v/>
      </c>
      <c r="H5309" t="str">
        <f>IF(D5309="","",INDEX(Knutepunkter!$D:$D,D5309+1))</f>
        <v/>
      </c>
      <c r="I5309" t="str">
        <f>IF(E5309="","",INDEX(Knutepunkter!$B:$B,E5309+1))</f>
        <v/>
      </c>
      <c r="J5309" t="str">
        <f>IF(E5309="","",INDEX(Knutepunkter!$C:$C,E5309+1))</f>
        <v/>
      </c>
      <c r="K5309" t="str">
        <f>IF(E5309="","",INDEX(Knutepunkter!$D:$D,E5309+1))</f>
        <v/>
      </c>
      <c r="L5309" t="str">
        <f t="shared" si="413"/>
        <v/>
      </c>
      <c r="M5309" t="str">
        <f t="shared" si="414"/>
        <v/>
      </c>
    </row>
    <row r="5310" spans="1:13" x14ac:dyDescent="0.3">
      <c r="A5310" t="str">
        <f>Segmenter!A5310</f>
        <v/>
      </c>
      <c r="B5310" t="str">
        <f>Segmenter!B5310</f>
        <v/>
      </c>
      <c r="C5310" t="str">
        <f t="shared" si="410"/>
        <v/>
      </c>
      <c r="D5310" t="str">
        <f t="shared" si="411"/>
        <v/>
      </c>
      <c r="E5310" t="str">
        <f t="shared" si="412"/>
        <v/>
      </c>
      <c r="F5310" t="str">
        <f>IF(D5310="","",INDEX(Knutepunkter!$B:$B,D5310+1))</f>
        <v/>
      </c>
      <c r="G5310" t="str">
        <f>IF(D5310="","",INDEX(Knutepunkter!$C:$C,D5310+1))</f>
        <v/>
      </c>
      <c r="H5310" t="str">
        <f>IF(D5310="","",INDEX(Knutepunkter!$D:$D,D5310+1))</f>
        <v/>
      </c>
      <c r="I5310" t="str">
        <f>IF(E5310="","",INDEX(Knutepunkter!$B:$B,E5310+1))</f>
        <v/>
      </c>
      <c r="J5310" t="str">
        <f>IF(E5310="","",INDEX(Knutepunkter!$C:$C,E5310+1))</f>
        <v/>
      </c>
      <c r="K5310" t="str">
        <f>IF(E5310="","",INDEX(Knutepunkter!$D:$D,E5310+1))</f>
        <v/>
      </c>
      <c r="L5310" t="str">
        <f t="shared" si="413"/>
        <v/>
      </c>
      <c r="M5310" t="str">
        <f t="shared" si="414"/>
        <v/>
      </c>
    </row>
    <row r="5311" spans="1:13" x14ac:dyDescent="0.3">
      <c r="A5311" t="str">
        <f>Segmenter!A5311</f>
        <v/>
      </c>
      <c r="B5311" t="str">
        <f>Segmenter!B5311</f>
        <v/>
      </c>
      <c r="C5311" t="str">
        <f t="shared" si="410"/>
        <v/>
      </c>
      <c r="D5311" t="str">
        <f t="shared" si="411"/>
        <v/>
      </c>
      <c r="E5311" t="str">
        <f t="shared" si="412"/>
        <v/>
      </c>
      <c r="F5311" t="str">
        <f>IF(D5311="","",INDEX(Knutepunkter!$B:$B,D5311+1))</f>
        <v/>
      </c>
      <c r="G5311" t="str">
        <f>IF(D5311="","",INDEX(Knutepunkter!$C:$C,D5311+1))</f>
        <v/>
      </c>
      <c r="H5311" t="str">
        <f>IF(D5311="","",INDEX(Knutepunkter!$D:$D,D5311+1))</f>
        <v/>
      </c>
      <c r="I5311" t="str">
        <f>IF(E5311="","",INDEX(Knutepunkter!$B:$B,E5311+1))</f>
        <v/>
      </c>
      <c r="J5311" t="str">
        <f>IF(E5311="","",INDEX(Knutepunkter!$C:$C,E5311+1))</f>
        <v/>
      </c>
      <c r="K5311" t="str">
        <f>IF(E5311="","",INDEX(Knutepunkter!$D:$D,E5311+1))</f>
        <v/>
      </c>
      <c r="L5311" t="str">
        <f t="shared" si="413"/>
        <v/>
      </c>
      <c r="M5311" t="str">
        <f t="shared" si="414"/>
        <v/>
      </c>
    </row>
    <row r="5312" spans="1:13" x14ac:dyDescent="0.3">
      <c r="A5312" t="str">
        <f>Segmenter!A5312</f>
        <v/>
      </c>
      <c r="B5312" t="str">
        <f>Segmenter!B5312</f>
        <v/>
      </c>
      <c r="C5312" t="str">
        <f t="shared" si="410"/>
        <v/>
      </c>
      <c r="D5312" t="str">
        <f t="shared" si="411"/>
        <v/>
      </c>
      <c r="E5312" t="str">
        <f t="shared" si="412"/>
        <v/>
      </c>
      <c r="F5312" t="str">
        <f>IF(D5312="","",INDEX(Knutepunkter!$B:$B,D5312+1))</f>
        <v/>
      </c>
      <c r="G5312" t="str">
        <f>IF(D5312="","",INDEX(Knutepunkter!$C:$C,D5312+1))</f>
        <v/>
      </c>
      <c r="H5312" t="str">
        <f>IF(D5312="","",INDEX(Knutepunkter!$D:$D,D5312+1))</f>
        <v/>
      </c>
      <c r="I5312" t="str">
        <f>IF(E5312="","",INDEX(Knutepunkter!$B:$B,E5312+1))</f>
        <v/>
      </c>
      <c r="J5312" t="str">
        <f>IF(E5312="","",INDEX(Knutepunkter!$C:$C,E5312+1))</f>
        <v/>
      </c>
      <c r="K5312" t="str">
        <f>IF(E5312="","",INDEX(Knutepunkter!$D:$D,E5312+1))</f>
        <v/>
      </c>
      <c r="L5312" t="str">
        <f t="shared" si="413"/>
        <v/>
      </c>
      <c r="M5312" t="str">
        <f t="shared" si="414"/>
        <v/>
      </c>
    </row>
    <row r="5313" spans="1:13" x14ac:dyDescent="0.3">
      <c r="A5313" t="str">
        <f>Segmenter!A5313</f>
        <v/>
      </c>
      <c r="B5313" t="str">
        <f>Segmenter!B5313</f>
        <v/>
      </c>
      <c r="C5313" t="str">
        <f t="shared" si="410"/>
        <v/>
      </c>
      <c r="D5313" t="str">
        <f t="shared" si="411"/>
        <v/>
      </c>
      <c r="E5313" t="str">
        <f t="shared" si="412"/>
        <v/>
      </c>
      <c r="F5313" t="str">
        <f>IF(D5313="","",INDEX(Knutepunkter!$B:$B,D5313+1))</f>
        <v/>
      </c>
      <c r="G5313" t="str">
        <f>IF(D5313="","",INDEX(Knutepunkter!$C:$C,D5313+1))</f>
        <v/>
      </c>
      <c r="H5313" t="str">
        <f>IF(D5313="","",INDEX(Knutepunkter!$D:$D,D5313+1))</f>
        <v/>
      </c>
      <c r="I5313" t="str">
        <f>IF(E5313="","",INDEX(Knutepunkter!$B:$B,E5313+1))</f>
        <v/>
      </c>
      <c r="J5313" t="str">
        <f>IF(E5313="","",INDEX(Knutepunkter!$C:$C,E5313+1))</f>
        <v/>
      </c>
      <c r="K5313" t="str">
        <f>IF(E5313="","",INDEX(Knutepunkter!$D:$D,E5313+1))</f>
        <v/>
      </c>
      <c r="L5313" t="str">
        <f t="shared" si="413"/>
        <v/>
      </c>
      <c r="M5313" t="str">
        <f t="shared" si="414"/>
        <v/>
      </c>
    </row>
    <row r="5314" spans="1:13" x14ac:dyDescent="0.3">
      <c r="A5314" t="str">
        <f>Segmenter!A5314</f>
        <v/>
      </c>
      <c r="B5314" t="str">
        <f>Segmenter!B5314</f>
        <v/>
      </c>
      <c r="C5314" t="str">
        <f t="shared" ref="C5314:C5377" si="415">IF(B5314="","",IF(AND(F5314=I5314,G5314=J5314,H5314&lt;&gt;K5314),"Søyle","Bjelke"))</f>
        <v/>
      </c>
      <c r="D5314" t="str">
        <f t="shared" ref="D5314:D5377" si="416">IF(B5314="","",VALUE(LEFT(B5314,FIND(" -&gt; ",B5314)-1)))</f>
        <v/>
      </c>
      <c r="E5314" t="str">
        <f t="shared" ref="E5314:E5377" si="417">IF(B5314="","",VALUE(MID(B5314,FIND(" -&gt; ",B5314)+4,99)))</f>
        <v/>
      </c>
      <c r="F5314" t="str">
        <f>IF(D5314="","",INDEX(Knutepunkter!$B:$B,D5314+1))</f>
        <v/>
      </c>
      <c r="G5314" t="str">
        <f>IF(D5314="","",INDEX(Knutepunkter!$C:$C,D5314+1))</f>
        <v/>
      </c>
      <c r="H5314" t="str">
        <f>IF(D5314="","",INDEX(Knutepunkter!$D:$D,D5314+1))</f>
        <v/>
      </c>
      <c r="I5314" t="str">
        <f>IF(E5314="","",INDEX(Knutepunkter!$B:$B,E5314+1))</f>
        <v/>
      </c>
      <c r="J5314" t="str">
        <f>IF(E5314="","",INDEX(Knutepunkter!$C:$C,E5314+1))</f>
        <v/>
      </c>
      <c r="K5314" t="str">
        <f>IF(E5314="","",INDEX(Knutepunkter!$D:$D,E5314+1))</f>
        <v/>
      </c>
      <c r="L5314" t="str">
        <f t="shared" ref="L5314:L5377" si="418">IF(B5314="","",SQRT((I5314-F5314)^2+(J5314-G5314)^2+(K5314-H5314)^2))</f>
        <v/>
      </c>
      <c r="M5314" t="str">
        <f t="shared" ref="M5314:M5377" si="419">IF(L5314="","",L5314/1000)</f>
        <v/>
      </c>
    </row>
    <row r="5315" spans="1:13" x14ac:dyDescent="0.3">
      <c r="A5315" t="str">
        <f>Segmenter!A5315</f>
        <v/>
      </c>
      <c r="B5315" t="str">
        <f>Segmenter!B5315</f>
        <v/>
      </c>
      <c r="C5315" t="str">
        <f t="shared" si="415"/>
        <v/>
      </c>
      <c r="D5315" t="str">
        <f t="shared" si="416"/>
        <v/>
      </c>
      <c r="E5315" t="str">
        <f t="shared" si="417"/>
        <v/>
      </c>
      <c r="F5315" t="str">
        <f>IF(D5315="","",INDEX(Knutepunkter!$B:$B,D5315+1))</f>
        <v/>
      </c>
      <c r="G5315" t="str">
        <f>IF(D5315="","",INDEX(Knutepunkter!$C:$C,D5315+1))</f>
        <v/>
      </c>
      <c r="H5315" t="str">
        <f>IF(D5315="","",INDEX(Knutepunkter!$D:$D,D5315+1))</f>
        <v/>
      </c>
      <c r="I5315" t="str">
        <f>IF(E5315="","",INDEX(Knutepunkter!$B:$B,E5315+1))</f>
        <v/>
      </c>
      <c r="J5315" t="str">
        <f>IF(E5315="","",INDEX(Knutepunkter!$C:$C,E5315+1))</f>
        <v/>
      </c>
      <c r="K5315" t="str">
        <f>IF(E5315="","",INDEX(Knutepunkter!$D:$D,E5315+1))</f>
        <v/>
      </c>
      <c r="L5315" t="str">
        <f t="shared" si="418"/>
        <v/>
      </c>
      <c r="M5315" t="str">
        <f t="shared" si="419"/>
        <v/>
      </c>
    </row>
    <row r="5316" spans="1:13" x14ac:dyDescent="0.3">
      <c r="A5316" t="str">
        <f>Segmenter!A5316</f>
        <v/>
      </c>
      <c r="B5316" t="str">
        <f>Segmenter!B5316</f>
        <v/>
      </c>
      <c r="C5316" t="str">
        <f t="shared" si="415"/>
        <v/>
      </c>
      <c r="D5316" t="str">
        <f t="shared" si="416"/>
        <v/>
      </c>
      <c r="E5316" t="str">
        <f t="shared" si="417"/>
        <v/>
      </c>
      <c r="F5316" t="str">
        <f>IF(D5316="","",INDEX(Knutepunkter!$B:$B,D5316+1))</f>
        <v/>
      </c>
      <c r="G5316" t="str">
        <f>IF(D5316="","",INDEX(Knutepunkter!$C:$C,D5316+1))</f>
        <v/>
      </c>
      <c r="H5316" t="str">
        <f>IF(D5316="","",INDEX(Knutepunkter!$D:$D,D5316+1))</f>
        <v/>
      </c>
      <c r="I5316" t="str">
        <f>IF(E5316="","",INDEX(Knutepunkter!$B:$B,E5316+1))</f>
        <v/>
      </c>
      <c r="J5316" t="str">
        <f>IF(E5316="","",INDEX(Knutepunkter!$C:$C,E5316+1))</f>
        <v/>
      </c>
      <c r="K5316" t="str">
        <f>IF(E5316="","",INDEX(Knutepunkter!$D:$D,E5316+1))</f>
        <v/>
      </c>
      <c r="L5316" t="str">
        <f t="shared" si="418"/>
        <v/>
      </c>
      <c r="M5316" t="str">
        <f t="shared" si="419"/>
        <v/>
      </c>
    </row>
    <row r="5317" spans="1:13" x14ac:dyDescent="0.3">
      <c r="A5317" t="str">
        <f>Segmenter!A5317</f>
        <v/>
      </c>
      <c r="B5317" t="str">
        <f>Segmenter!B5317</f>
        <v/>
      </c>
      <c r="C5317" t="str">
        <f t="shared" si="415"/>
        <v/>
      </c>
      <c r="D5317" t="str">
        <f t="shared" si="416"/>
        <v/>
      </c>
      <c r="E5317" t="str">
        <f t="shared" si="417"/>
        <v/>
      </c>
      <c r="F5317" t="str">
        <f>IF(D5317="","",INDEX(Knutepunkter!$B:$B,D5317+1))</f>
        <v/>
      </c>
      <c r="G5317" t="str">
        <f>IF(D5317="","",INDEX(Knutepunkter!$C:$C,D5317+1))</f>
        <v/>
      </c>
      <c r="H5317" t="str">
        <f>IF(D5317="","",INDEX(Knutepunkter!$D:$D,D5317+1))</f>
        <v/>
      </c>
      <c r="I5317" t="str">
        <f>IF(E5317="","",INDEX(Knutepunkter!$B:$B,E5317+1))</f>
        <v/>
      </c>
      <c r="J5317" t="str">
        <f>IF(E5317="","",INDEX(Knutepunkter!$C:$C,E5317+1))</f>
        <v/>
      </c>
      <c r="K5317" t="str">
        <f>IF(E5317="","",INDEX(Knutepunkter!$D:$D,E5317+1))</f>
        <v/>
      </c>
      <c r="L5317" t="str">
        <f t="shared" si="418"/>
        <v/>
      </c>
      <c r="M5317" t="str">
        <f t="shared" si="419"/>
        <v/>
      </c>
    </row>
    <row r="5318" spans="1:13" x14ac:dyDescent="0.3">
      <c r="A5318" t="str">
        <f>Segmenter!A5318</f>
        <v/>
      </c>
      <c r="B5318" t="str">
        <f>Segmenter!B5318</f>
        <v/>
      </c>
      <c r="C5318" t="str">
        <f t="shared" si="415"/>
        <v/>
      </c>
      <c r="D5318" t="str">
        <f t="shared" si="416"/>
        <v/>
      </c>
      <c r="E5318" t="str">
        <f t="shared" si="417"/>
        <v/>
      </c>
      <c r="F5318" t="str">
        <f>IF(D5318="","",INDEX(Knutepunkter!$B:$B,D5318+1))</f>
        <v/>
      </c>
      <c r="G5318" t="str">
        <f>IF(D5318="","",INDEX(Knutepunkter!$C:$C,D5318+1))</f>
        <v/>
      </c>
      <c r="H5318" t="str">
        <f>IF(D5318="","",INDEX(Knutepunkter!$D:$D,D5318+1))</f>
        <v/>
      </c>
      <c r="I5318" t="str">
        <f>IF(E5318="","",INDEX(Knutepunkter!$B:$B,E5318+1))</f>
        <v/>
      </c>
      <c r="J5318" t="str">
        <f>IF(E5318="","",INDEX(Knutepunkter!$C:$C,E5318+1))</f>
        <v/>
      </c>
      <c r="K5318" t="str">
        <f>IF(E5318="","",INDEX(Knutepunkter!$D:$D,E5318+1))</f>
        <v/>
      </c>
      <c r="L5318" t="str">
        <f t="shared" si="418"/>
        <v/>
      </c>
      <c r="M5318" t="str">
        <f t="shared" si="419"/>
        <v/>
      </c>
    </row>
    <row r="5319" spans="1:13" x14ac:dyDescent="0.3">
      <c r="A5319" t="str">
        <f>Segmenter!A5319</f>
        <v/>
      </c>
      <c r="B5319" t="str">
        <f>Segmenter!B5319</f>
        <v/>
      </c>
      <c r="C5319" t="str">
        <f t="shared" si="415"/>
        <v/>
      </c>
      <c r="D5319" t="str">
        <f t="shared" si="416"/>
        <v/>
      </c>
      <c r="E5319" t="str">
        <f t="shared" si="417"/>
        <v/>
      </c>
      <c r="F5319" t="str">
        <f>IF(D5319="","",INDEX(Knutepunkter!$B:$B,D5319+1))</f>
        <v/>
      </c>
      <c r="G5319" t="str">
        <f>IF(D5319="","",INDEX(Knutepunkter!$C:$C,D5319+1))</f>
        <v/>
      </c>
      <c r="H5319" t="str">
        <f>IF(D5319="","",INDEX(Knutepunkter!$D:$D,D5319+1))</f>
        <v/>
      </c>
      <c r="I5319" t="str">
        <f>IF(E5319="","",INDEX(Knutepunkter!$B:$B,E5319+1))</f>
        <v/>
      </c>
      <c r="J5319" t="str">
        <f>IF(E5319="","",INDEX(Knutepunkter!$C:$C,E5319+1))</f>
        <v/>
      </c>
      <c r="K5319" t="str">
        <f>IF(E5319="","",INDEX(Knutepunkter!$D:$D,E5319+1))</f>
        <v/>
      </c>
      <c r="L5319" t="str">
        <f t="shared" si="418"/>
        <v/>
      </c>
      <c r="M5319" t="str">
        <f t="shared" si="419"/>
        <v/>
      </c>
    </row>
    <row r="5320" spans="1:13" x14ac:dyDescent="0.3">
      <c r="A5320" t="str">
        <f>Segmenter!A5320</f>
        <v/>
      </c>
      <c r="B5320" t="str">
        <f>Segmenter!B5320</f>
        <v/>
      </c>
      <c r="C5320" t="str">
        <f t="shared" si="415"/>
        <v/>
      </c>
      <c r="D5320" t="str">
        <f t="shared" si="416"/>
        <v/>
      </c>
      <c r="E5320" t="str">
        <f t="shared" si="417"/>
        <v/>
      </c>
      <c r="F5320" t="str">
        <f>IF(D5320="","",INDEX(Knutepunkter!$B:$B,D5320+1))</f>
        <v/>
      </c>
      <c r="G5320" t="str">
        <f>IF(D5320="","",INDEX(Knutepunkter!$C:$C,D5320+1))</f>
        <v/>
      </c>
      <c r="H5320" t="str">
        <f>IF(D5320="","",INDEX(Knutepunkter!$D:$D,D5320+1))</f>
        <v/>
      </c>
      <c r="I5320" t="str">
        <f>IF(E5320="","",INDEX(Knutepunkter!$B:$B,E5320+1))</f>
        <v/>
      </c>
      <c r="J5320" t="str">
        <f>IF(E5320="","",INDEX(Knutepunkter!$C:$C,E5320+1))</f>
        <v/>
      </c>
      <c r="K5320" t="str">
        <f>IF(E5320="","",INDEX(Knutepunkter!$D:$D,E5320+1))</f>
        <v/>
      </c>
      <c r="L5320" t="str">
        <f t="shared" si="418"/>
        <v/>
      </c>
      <c r="M5320" t="str">
        <f t="shared" si="419"/>
        <v/>
      </c>
    </row>
    <row r="5321" spans="1:13" x14ac:dyDescent="0.3">
      <c r="A5321" t="str">
        <f>Segmenter!A5321</f>
        <v/>
      </c>
      <c r="B5321" t="str">
        <f>Segmenter!B5321</f>
        <v/>
      </c>
      <c r="C5321" t="str">
        <f t="shared" si="415"/>
        <v/>
      </c>
      <c r="D5321" t="str">
        <f t="shared" si="416"/>
        <v/>
      </c>
      <c r="E5321" t="str">
        <f t="shared" si="417"/>
        <v/>
      </c>
      <c r="F5321" t="str">
        <f>IF(D5321="","",INDEX(Knutepunkter!$B:$B,D5321+1))</f>
        <v/>
      </c>
      <c r="G5321" t="str">
        <f>IF(D5321="","",INDEX(Knutepunkter!$C:$C,D5321+1))</f>
        <v/>
      </c>
      <c r="H5321" t="str">
        <f>IF(D5321="","",INDEX(Knutepunkter!$D:$D,D5321+1))</f>
        <v/>
      </c>
      <c r="I5321" t="str">
        <f>IF(E5321="","",INDEX(Knutepunkter!$B:$B,E5321+1))</f>
        <v/>
      </c>
      <c r="J5321" t="str">
        <f>IF(E5321="","",INDEX(Knutepunkter!$C:$C,E5321+1))</f>
        <v/>
      </c>
      <c r="K5321" t="str">
        <f>IF(E5321="","",INDEX(Knutepunkter!$D:$D,E5321+1))</f>
        <v/>
      </c>
      <c r="L5321" t="str">
        <f t="shared" si="418"/>
        <v/>
      </c>
      <c r="M5321" t="str">
        <f t="shared" si="419"/>
        <v/>
      </c>
    </row>
    <row r="5322" spans="1:13" x14ac:dyDescent="0.3">
      <c r="A5322" t="str">
        <f>Segmenter!A5322</f>
        <v/>
      </c>
      <c r="B5322" t="str">
        <f>Segmenter!B5322</f>
        <v/>
      </c>
      <c r="C5322" t="str">
        <f t="shared" si="415"/>
        <v/>
      </c>
      <c r="D5322" t="str">
        <f t="shared" si="416"/>
        <v/>
      </c>
      <c r="E5322" t="str">
        <f t="shared" si="417"/>
        <v/>
      </c>
      <c r="F5322" t="str">
        <f>IF(D5322="","",INDEX(Knutepunkter!$B:$B,D5322+1))</f>
        <v/>
      </c>
      <c r="G5322" t="str">
        <f>IF(D5322="","",INDEX(Knutepunkter!$C:$C,D5322+1))</f>
        <v/>
      </c>
      <c r="H5322" t="str">
        <f>IF(D5322="","",INDEX(Knutepunkter!$D:$D,D5322+1))</f>
        <v/>
      </c>
      <c r="I5322" t="str">
        <f>IF(E5322="","",INDEX(Knutepunkter!$B:$B,E5322+1))</f>
        <v/>
      </c>
      <c r="J5322" t="str">
        <f>IF(E5322="","",INDEX(Knutepunkter!$C:$C,E5322+1))</f>
        <v/>
      </c>
      <c r="K5322" t="str">
        <f>IF(E5322="","",INDEX(Knutepunkter!$D:$D,E5322+1))</f>
        <v/>
      </c>
      <c r="L5322" t="str">
        <f t="shared" si="418"/>
        <v/>
      </c>
      <c r="M5322" t="str">
        <f t="shared" si="419"/>
        <v/>
      </c>
    </row>
    <row r="5323" spans="1:13" x14ac:dyDescent="0.3">
      <c r="A5323" t="str">
        <f>Segmenter!A5323</f>
        <v/>
      </c>
      <c r="B5323" t="str">
        <f>Segmenter!B5323</f>
        <v/>
      </c>
      <c r="C5323" t="str">
        <f t="shared" si="415"/>
        <v/>
      </c>
      <c r="D5323" t="str">
        <f t="shared" si="416"/>
        <v/>
      </c>
      <c r="E5323" t="str">
        <f t="shared" si="417"/>
        <v/>
      </c>
      <c r="F5323" t="str">
        <f>IF(D5323="","",INDEX(Knutepunkter!$B:$B,D5323+1))</f>
        <v/>
      </c>
      <c r="G5323" t="str">
        <f>IF(D5323="","",INDEX(Knutepunkter!$C:$C,D5323+1))</f>
        <v/>
      </c>
      <c r="H5323" t="str">
        <f>IF(D5323="","",INDEX(Knutepunkter!$D:$D,D5323+1))</f>
        <v/>
      </c>
      <c r="I5323" t="str">
        <f>IF(E5323="","",INDEX(Knutepunkter!$B:$B,E5323+1))</f>
        <v/>
      </c>
      <c r="J5323" t="str">
        <f>IF(E5323="","",INDEX(Knutepunkter!$C:$C,E5323+1))</f>
        <v/>
      </c>
      <c r="K5323" t="str">
        <f>IF(E5323="","",INDEX(Knutepunkter!$D:$D,E5323+1))</f>
        <v/>
      </c>
      <c r="L5323" t="str">
        <f t="shared" si="418"/>
        <v/>
      </c>
      <c r="M5323" t="str">
        <f t="shared" si="419"/>
        <v/>
      </c>
    </row>
    <row r="5324" spans="1:13" x14ac:dyDescent="0.3">
      <c r="A5324" t="str">
        <f>Segmenter!A5324</f>
        <v/>
      </c>
      <c r="B5324" t="str">
        <f>Segmenter!B5324</f>
        <v/>
      </c>
      <c r="C5324" t="str">
        <f t="shared" si="415"/>
        <v/>
      </c>
      <c r="D5324" t="str">
        <f t="shared" si="416"/>
        <v/>
      </c>
      <c r="E5324" t="str">
        <f t="shared" si="417"/>
        <v/>
      </c>
      <c r="F5324" t="str">
        <f>IF(D5324="","",INDEX(Knutepunkter!$B:$B,D5324+1))</f>
        <v/>
      </c>
      <c r="G5324" t="str">
        <f>IF(D5324="","",INDEX(Knutepunkter!$C:$C,D5324+1))</f>
        <v/>
      </c>
      <c r="H5324" t="str">
        <f>IF(D5324="","",INDEX(Knutepunkter!$D:$D,D5324+1))</f>
        <v/>
      </c>
      <c r="I5324" t="str">
        <f>IF(E5324="","",INDEX(Knutepunkter!$B:$B,E5324+1))</f>
        <v/>
      </c>
      <c r="J5324" t="str">
        <f>IF(E5324="","",INDEX(Knutepunkter!$C:$C,E5324+1))</f>
        <v/>
      </c>
      <c r="K5324" t="str">
        <f>IF(E5324="","",INDEX(Knutepunkter!$D:$D,E5324+1))</f>
        <v/>
      </c>
      <c r="L5324" t="str">
        <f t="shared" si="418"/>
        <v/>
      </c>
      <c r="M5324" t="str">
        <f t="shared" si="419"/>
        <v/>
      </c>
    </row>
    <row r="5325" spans="1:13" x14ac:dyDescent="0.3">
      <c r="A5325" t="str">
        <f>Segmenter!A5325</f>
        <v/>
      </c>
      <c r="B5325" t="str">
        <f>Segmenter!B5325</f>
        <v/>
      </c>
      <c r="C5325" t="str">
        <f t="shared" si="415"/>
        <v/>
      </c>
      <c r="D5325" t="str">
        <f t="shared" si="416"/>
        <v/>
      </c>
      <c r="E5325" t="str">
        <f t="shared" si="417"/>
        <v/>
      </c>
      <c r="F5325" t="str">
        <f>IF(D5325="","",INDEX(Knutepunkter!$B:$B,D5325+1))</f>
        <v/>
      </c>
      <c r="G5325" t="str">
        <f>IF(D5325="","",INDEX(Knutepunkter!$C:$C,D5325+1))</f>
        <v/>
      </c>
      <c r="H5325" t="str">
        <f>IF(D5325="","",INDEX(Knutepunkter!$D:$D,D5325+1))</f>
        <v/>
      </c>
      <c r="I5325" t="str">
        <f>IF(E5325="","",INDEX(Knutepunkter!$B:$B,E5325+1))</f>
        <v/>
      </c>
      <c r="J5325" t="str">
        <f>IF(E5325="","",INDEX(Knutepunkter!$C:$C,E5325+1))</f>
        <v/>
      </c>
      <c r="K5325" t="str">
        <f>IF(E5325="","",INDEX(Knutepunkter!$D:$D,E5325+1))</f>
        <v/>
      </c>
      <c r="L5325" t="str">
        <f t="shared" si="418"/>
        <v/>
      </c>
      <c r="M5325" t="str">
        <f t="shared" si="419"/>
        <v/>
      </c>
    </row>
    <row r="5326" spans="1:13" x14ac:dyDescent="0.3">
      <c r="A5326" t="str">
        <f>Segmenter!A5326</f>
        <v/>
      </c>
      <c r="B5326" t="str">
        <f>Segmenter!B5326</f>
        <v/>
      </c>
      <c r="C5326" t="str">
        <f t="shared" si="415"/>
        <v/>
      </c>
      <c r="D5326" t="str">
        <f t="shared" si="416"/>
        <v/>
      </c>
      <c r="E5326" t="str">
        <f t="shared" si="417"/>
        <v/>
      </c>
      <c r="F5326" t="str">
        <f>IF(D5326="","",INDEX(Knutepunkter!$B:$B,D5326+1))</f>
        <v/>
      </c>
      <c r="G5326" t="str">
        <f>IF(D5326="","",INDEX(Knutepunkter!$C:$C,D5326+1))</f>
        <v/>
      </c>
      <c r="H5326" t="str">
        <f>IF(D5326="","",INDEX(Knutepunkter!$D:$D,D5326+1))</f>
        <v/>
      </c>
      <c r="I5326" t="str">
        <f>IF(E5326="","",INDEX(Knutepunkter!$B:$B,E5326+1))</f>
        <v/>
      </c>
      <c r="J5326" t="str">
        <f>IF(E5326="","",INDEX(Knutepunkter!$C:$C,E5326+1))</f>
        <v/>
      </c>
      <c r="K5326" t="str">
        <f>IF(E5326="","",INDEX(Knutepunkter!$D:$D,E5326+1))</f>
        <v/>
      </c>
      <c r="L5326" t="str">
        <f t="shared" si="418"/>
        <v/>
      </c>
      <c r="M5326" t="str">
        <f t="shared" si="419"/>
        <v/>
      </c>
    </row>
    <row r="5327" spans="1:13" x14ac:dyDescent="0.3">
      <c r="A5327" t="str">
        <f>Segmenter!A5327</f>
        <v/>
      </c>
      <c r="B5327" t="str">
        <f>Segmenter!B5327</f>
        <v/>
      </c>
      <c r="C5327" t="str">
        <f t="shared" si="415"/>
        <v/>
      </c>
      <c r="D5327" t="str">
        <f t="shared" si="416"/>
        <v/>
      </c>
      <c r="E5327" t="str">
        <f t="shared" si="417"/>
        <v/>
      </c>
      <c r="F5327" t="str">
        <f>IF(D5327="","",INDEX(Knutepunkter!$B:$B,D5327+1))</f>
        <v/>
      </c>
      <c r="G5327" t="str">
        <f>IF(D5327="","",INDEX(Knutepunkter!$C:$C,D5327+1))</f>
        <v/>
      </c>
      <c r="H5327" t="str">
        <f>IF(D5327="","",INDEX(Knutepunkter!$D:$D,D5327+1))</f>
        <v/>
      </c>
      <c r="I5327" t="str">
        <f>IF(E5327="","",INDEX(Knutepunkter!$B:$B,E5327+1))</f>
        <v/>
      </c>
      <c r="J5327" t="str">
        <f>IF(E5327="","",INDEX(Knutepunkter!$C:$C,E5327+1))</f>
        <v/>
      </c>
      <c r="K5327" t="str">
        <f>IF(E5327="","",INDEX(Knutepunkter!$D:$D,E5327+1))</f>
        <v/>
      </c>
      <c r="L5327" t="str">
        <f t="shared" si="418"/>
        <v/>
      </c>
      <c r="M5327" t="str">
        <f t="shared" si="419"/>
        <v/>
      </c>
    </row>
    <row r="5328" spans="1:13" x14ac:dyDescent="0.3">
      <c r="A5328" t="str">
        <f>Segmenter!A5328</f>
        <v/>
      </c>
      <c r="B5328" t="str">
        <f>Segmenter!B5328</f>
        <v/>
      </c>
      <c r="C5328" t="str">
        <f t="shared" si="415"/>
        <v/>
      </c>
      <c r="D5328" t="str">
        <f t="shared" si="416"/>
        <v/>
      </c>
      <c r="E5328" t="str">
        <f t="shared" si="417"/>
        <v/>
      </c>
      <c r="F5328" t="str">
        <f>IF(D5328="","",INDEX(Knutepunkter!$B:$B,D5328+1))</f>
        <v/>
      </c>
      <c r="G5328" t="str">
        <f>IF(D5328="","",INDEX(Knutepunkter!$C:$C,D5328+1))</f>
        <v/>
      </c>
      <c r="H5328" t="str">
        <f>IF(D5328="","",INDEX(Knutepunkter!$D:$D,D5328+1))</f>
        <v/>
      </c>
      <c r="I5328" t="str">
        <f>IF(E5328="","",INDEX(Knutepunkter!$B:$B,E5328+1))</f>
        <v/>
      </c>
      <c r="J5328" t="str">
        <f>IF(E5328="","",INDEX(Knutepunkter!$C:$C,E5328+1))</f>
        <v/>
      </c>
      <c r="K5328" t="str">
        <f>IF(E5328="","",INDEX(Knutepunkter!$D:$D,E5328+1))</f>
        <v/>
      </c>
      <c r="L5328" t="str">
        <f t="shared" si="418"/>
        <v/>
      </c>
      <c r="M5328" t="str">
        <f t="shared" si="419"/>
        <v/>
      </c>
    </row>
    <row r="5329" spans="1:13" x14ac:dyDescent="0.3">
      <c r="A5329" t="str">
        <f>Segmenter!A5329</f>
        <v/>
      </c>
      <c r="B5329" t="str">
        <f>Segmenter!B5329</f>
        <v/>
      </c>
      <c r="C5329" t="str">
        <f t="shared" si="415"/>
        <v/>
      </c>
      <c r="D5329" t="str">
        <f t="shared" si="416"/>
        <v/>
      </c>
      <c r="E5329" t="str">
        <f t="shared" si="417"/>
        <v/>
      </c>
      <c r="F5329" t="str">
        <f>IF(D5329="","",INDEX(Knutepunkter!$B:$B,D5329+1))</f>
        <v/>
      </c>
      <c r="G5329" t="str">
        <f>IF(D5329="","",INDEX(Knutepunkter!$C:$C,D5329+1))</f>
        <v/>
      </c>
      <c r="H5329" t="str">
        <f>IF(D5329="","",INDEX(Knutepunkter!$D:$D,D5329+1))</f>
        <v/>
      </c>
      <c r="I5329" t="str">
        <f>IF(E5329="","",INDEX(Knutepunkter!$B:$B,E5329+1))</f>
        <v/>
      </c>
      <c r="J5329" t="str">
        <f>IF(E5329="","",INDEX(Knutepunkter!$C:$C,E5329+1))</f>
        <v/>
      </c>
      <c r="K5329" t="str">
        <f>IF(E5329="","",INDEX(Knutepunkter!$D:$D,E5329+1))</f>
        <v/>
      </c>
      <c r="L5329" t="str">
        <f t="shared" si="418"/>
        <v/>
      </c>
      <c r="M5329" t="str">
        <f t="shared" si="419"/>
        <v/>
      </c>
    </row>
    <row r="5330" spans="1:13" x14ac:dyDescent="0.3">
      <c r="A5330" t="str">
        <f>Segmenter!A5330</f>
        <v/>
      </c>
      <c r="B5330" t="str">
        <f>Segmenter!B5330</f>
        <v/>
      </c>
      <c r="C5330" t="str">
        <f t="shared" si="415"/>
        <v/>
      </c>
      <c r="D5330" t="str">
        <f t="shared" si="416"/>
        <v/>
      </c>
      <c r="E5330" t="str">
        <f t="shared" si="417"/>
        <v/>
      </c>
      <c r="F5330" t="str">
        <f>IF(D5330="","",INDEX(Knutepunkter!$B:$B,D5330+1))</f>
        <v/>
      </c>
      <c r="G5330" t="str">
        <f>IF(D5330="","",INDEX(Knutepunkter!$C:$C,D5330+1))</f>
        <v/>
      </c>
      <c r="H5330" t="str">
        <f>IF(D5330="","",INDEX(Knutepunkter!$D:$D,D5330+1))</f>
        <v/>
      </c>
      <c r="I5330" t="str">
        <f>IF(E5330="","",INDEX(Knutepunkter!$B:$B,E5330+1))</f>
        <v/>
      </c>
      <c r="J5330" t="str">
        <f>IF(E5330="","",INDEX(Knutepunkter!$C:$C,E5330+1))</f>
        <v/>
      </c>
      <c r="K5330" t="str">
        <f>IF(E5330="","",INDEX(Knutepunkter!$D:$D,E5330+1))</f>
        <v/>
      </c>
      <c r="L5330" t="str">
        <f t="shared" si="418"/>
        <v/>
      </c>
      <c r="M5330" t="str">
        <f t="shared" si="419"/>
        <v/>
      </c>
    </row>
    <row r="5331" spans="1:13" x14ac:dyDescent="0.3">
      <c r="A5331" t="str">
        <f>Segmenter!A5331</f>
        <v/>
      </c>
      <c r="B5331" t="str">
        <f>Segmenter!B5331</f>
        <v/>
      </c>
      <c r="C5331" t="str">
        <f t="shared" si="415"/>
        <v/>
      </c>
      <c r="D5331" t="str">
        <f t="shared" si="416"/>
        <v/>
      </c>
      <c r="E5331" t="str">
        <f t="shared" si="417"/>
        <v/>
      </c>
      <c r="F5331" t="str">
        <f>IF(D5331="","",INDEX(Knutepunkter!$B:$B,D5331+1))</f>
        <v/>
      </c>
      <c r="G5331" t="str">
        <f>IF(D5331="","",INDEX(Knutepunkter!$C:$C,D5331+1))</f>
        <v/>
      </c>
      <c r="H5331" t="str">
        <f>IF(D5331="","",INDEX(Knutepunkter!$D:$D,D5331+1))</f>
        <v/>
      </c>
      <c r="I5331" t="str">
        <f>IF(E5331="","",INDEX(Knutepunkter!$B:$B,E5331+1))</f>
        <v/>
      </c>
      <c r="J5331" t="str">
        <f>IF(E5331="","",INDEX(Knutepunkter!$C:$C,E5331+1))</f>
        <v/>
      </c>
      <c r="K5331" t="str">
        <f>IF(E5331="","",INDEX(Knutepunkter!$D:$D,E5331+1))</f>
        <v/>
      </c>
      <c r="L5331" t="str">
        <f t="shared" si="418"/>
        <v/>
      </c>
      <c r="M5331" t="str">
        <f t="shared" si="419"/>
        <v/>
      </c>
    </row>
    <row r="5332" spans="1:13" x14ac:dyDescent="0.3">
      <c r="A5332" t="str">
        <f>Segmenter!A5332</f>
        <v/>
      </c>
      <c r="B5332" t="str">
        <f>Segmenter!B5332</f>
        <v/>
      </c>
      <c r="C5332" t="str">
        <f t="shared" si="415"/>
        <v/>
      </c>
      <c r="D5332" t="str">
        <f t="shared" si="416"/>
        <v/>
      </c>
      <c r="E5332" t="str">
        <f t="shared" si="417"/>
        <v/>
      </c>
      <c r="F5332" t="str">
        <f>IF(D5332="","",INDEX(Knutepunkter!$B:$B,D5332+1))</f>
        <v/>
      </c>
      <c r="G5332" t="str">
        <f>IF(D5332="","",INDEX(Knutepunkter!$C:$C,D5332+1))</f>
        <v/>
      </c>
      <c r="H5332" t="str">
        <f>IF(D5332="","",INDEX(Knutepunkter!$D:$D,D5332+1))</f>
        <v/>
      </c>
      <c r="I5332" t="str">
        <f>IF(E5332="","",INDEX(Knutepunkter!$B:$B,E5332+1))</f>
        <v/>
      </c>
      <c r="J5332" t="str">
        <f>IF(E5332="","",INDEX(Knutepunkter!$C:$C,E5332+1))</f>
        <v/>
      </c>
      <c r="K5332" t="str">
        <f>IF(E5332="","",INDEX(Knutepunkter!$D:$D,E5332+1))</f>
        <v/>
      </c>
      <c r="L5332" t="str">
        <f t="shared" si="418"/>
        <v/>
      </c>
      <c r="M5332" t="str">
        <f t="shared" si="419"/>
        <v/>
      </c>
    </row>
    <row r="5333" spans="1:13" x14ac:dyDescent="0.3">
      <c r="A5333" t="str">
        <f>Segmenter!A5333</f>
        <v/>
      </c>
      <c r="B5333" t="str">
        <f>Segmenter!B5333</f>
        <v/>
      </c>
      <c r="C5333" t="str">
        <f t="shared" si="415"/>
        <v/>
      </c>
      <c r="D5333" t="str">
        <f t="shared" si="416"/>
        <v/>
      </c>
      <c r="E5333" t="str">
        <f t="shared" si="417"/>
        <v/>
      </c>
      <c r="F5333" t="str">
        <f>IF(D5333="","",INDEX(Knutepunkter!$B:$B,D5333+1))</f>
        <v/>
      </c>
      <c r="G5333" t="str">
        <f>IF(D5333="","",INDEX(Knutepunkter!$C:$C,D5333+1))</f>
        <v/>
      </c>
      <c r="H5333" t="str">
        <f>IF(D5333="","",INDEX(Knutepunkter!$D:$D,D5333+1))</f>
        <v/>
      </c>
      <c r="I5333" t="str">
        <f>IF(E5333="","",INDEX(Knutepunkter!$B:$B,E5333+1))</f>
        <v/>
      </c>
      <c r="J5333" t="str">
        <f>IF(E5333="","",INDEX(Knutepunkter!$C:$C,E5333+1))</f>
        <v/>
      </c>
      <c r="K5333" t="str">
        <f>IF(E5333="","",INDEX(Knutepunkter!$D:$D,E5333+1))</f>
        <v/>
      </c>
      <c r="L5333" t="str">
        <f t="shared" si="418"/>
        <v/>
      </c>
      <c r="M5333" t="str">
        <f t="shared" si="419"/>
        <v/>
      </c>
    </row>
    <row r="5334" spans="1:13" x14ac:dyDescent="0.3">
      <c r="A5334" t="str">
        <f>Segmenter!A5334</f>
        <v/>
      </c>
      <c r="B5334" t="str">
        <f>Segmenter!B5334</f>
        <v/>
      </c>
      <c r="C5334" t="str">
        <f t="shared" si="415"/>
        <v/>
      </c>
      <c r="D5334" t="str">
        <f t="shared" si="416"/>
        <v/>
      </c>
      <c r="E5334" t="str">
        <f t="shared" si="417"/>
        <v/>
      </c>
      <c r="F5334" t="str">
        <f>IF(D5334="","",INDEX(Knutepunkter!$B:$B,D5334+1))</f>
        <v/>
      </c>
      <c r="G5334" t="str">
        <f>IF(D5334="","",INDEX(Knutepunkter!$C:$C,D5334+1))</f>
        <v/>
      </c>
      <c r="H5334" t="str">
        <f>IF(D5334="","",INDEX(Knutepunkter!$D:$D,D5334+1))</f>
        <v/>
      </c>
      <c r="I5334" t="str">
        <f>IF(E5334="","",INDEX(Knutepunkter!$B:$B,E5334+1))</f>
        <v/>
      </c>
      <c r="J5334" t="str">
        <f>IF(E5334="","",INDEX(Knutepunkter!$C:$C,E5334+1))</f>
        <v/>
      </c>
      <c r="K5334" t="str">
        <f>IF(E5334="","",INDEX(Knutepunkter!$D:$D,E5334+1))</f>
        <v/>
      </c>
      <c r="L5334" t="str">
        <f t="shared" si="418"/>
        <v/>
      </c>
      <c r="M5334" t="str">
        <f t="shared" si="419"/>
        <v/>
      </c>
    </row>
    <row r="5335" spans="1:13" x14ac:dyDescent="0.3">
      <c r="A5335" t="str">
        <f>Segmenter!A5335</f>
        <v/>
      </c>
      <c r="B5335" t="str">
        <f>Segmenter!B5335</f>
        <v/>
      </c>
      <c r="C5335" t="str">
        <f t="shared" si="415"/>
        <v/>
      </c>
      <c r="D5335" t="str">
        <f t="shared" si="416"/>
        <v/>
      </c>
      <c r="E5335" t="str">
        <f t="shared" si="417"/>
        <v/>
      </c>
      <c r="F5335" t="str">
        <f>IF(D5335="","",INDEX(Knutepunkter!$B:$B,D5335+1))</f>
        <v/>
      </c>
      <c r="G5335" t="str">
        <f>IF(D5335="","",INDEX(Knutepunkter!$C:$C,D5335+1))</f>
        <v/>
      </c>
      <c r="H5335" t="str">
        <f>IF(D5335="","",INDEX(Knutepunkter!$D:$D,D5335+1))</f>
        <v/>
      </c>
      <c r="I5335" t="str">
        <f>IF(E5335="","",INDEX(Knutepunkter!$B:$B,E5335+1))</f>
        <v/>
      </c>
      <c r="J5335" t="str">
        <f>IF(E5335="","",INDEX(Knutepunkter!$C:$C,E5335+1))</f>
        <v/>
      </c>
      <c r="K5335" t="str">
        <f>IF(E5335="","",INDEX(Knutepunkter!$D:$D,E5335+1))</f>
        <v/>
      </c>
      <c r="L5335" t="str">
        <f t="shared" si="418"/>
        <v/>
      </c>
      <c r="M5335" t="str">
        <f t="shared" si="419"/>
        <v/>
      </c>
    </row>
    <row r="5336" spans="1:13" x14ac:dyDescent="0.3">
      <c r="A5336" t="str">
        <f>Segmenter!A5336</f>
        <v/>
      </c>
      <c r="B5336" t="str">
        <f>Segmenter!B5336</f>
        <v/>
      </c>
      <c r="C5336" t="str">
        <f t="shared" si="415"/>
        <v/>
      </c>
      <c r="D5336" t="str">
        <f t="shared" si="416"/>
        <v/>
      </c>
      <c r="E5336" t="str">
        <f t="shared" si="417"/>
        <v/>
      </c>
      <c r="F5336" t="str">
        <f>IF(D5336="","",INDEX(Knutepunkter!$B:$B,D5336+1))</f>
        <v/>
      </c>
      <c r="G5336" t="str">
        <f>IF(D5336="","",INDEX(Knutepunkter!$C:$C,D5336+1))</f>
        <v/>
      </c>
      <c r="H5336" t="str">
        <f>IF(D5336="","",INDEX(Knutepunkter!$D:$D,D5336+1))</f>
        <v/>
      </c>
      <c r="I5336" t="str">
        <f>IF(E5336="","",INDEX(Knutepunkter!$B:$B,E5336+1))</f>
        <v/>
      </c>
      <c r="J5336" t="str">
        <f>IF(E5336="","",INDEX(Knutepunkter!$C:$C,E5336+1))</f>
        <v/>
      </c>
      <c r="K5336" t="str">
        <f>IF(E5336="","",INDEX(Knutepunkter!$D:$D,E5336+1))</f>
        <v/>
      </c>
      <c r="L5336" t="str">
        <f t="shared" si="418"/>
        <v/>
      </c>
      <c r="M5336" t="str">
        <f t="shared" si="419"/>
        <v/>
      </c>
    </row>
    <row r="5337" spans="1:13" x14ac:dyDescent="0.3">
      <c r="A5337" t="str">
        <f>Segmenter!A5337</f>
        <v/>
      </c>
      <c r="B5337" t="str">
        <f>Segmenter!B5337</f>
        <v/>
      </c>
      <c r="C5337" t="str">
        <f t="shared" si="415"/>
        <v/>
      </c>
      <c r="D5337" t="str">
        <f t="shared" si="416"/>
        <v/>
      </c>
      <c r="E5337" t="str">
        <f t="shared" si="417"/>
        <v/>
      </c>
      <c r="F5337" t="str">
        <f>IF(D5337="","",INDEX(Knutepunkter!$B:$B,D5337+1))</f>
        <v/>
      </c>
      <c r="G5337" t="str">
        <f>IF(D5337="","",INDEX(Knutepunkter!$C:$C,D5337+1))</f>
        <v/>
      </c>
      <c r="H5337" t="str">
        <f>IF(D5337="","",INDEX(Knutepunkter!$D:$D,D5337+1))</f>
        <v/>
      </c>
      <c r="I5337" t="str">
        <f>IF(E5337="","",INDEX(Knutepunkter!$B:$B,E5337+1))</f>
        <v/>
      </c>
      <c r="J5337" t="str">
        <f>IF(E5337="","",INDEX(Knutepunkter!$C:$C,E5337+1))</f>
        <v/>
      </c>
      <c r="K5337" t="str">
        <f>IF(E5337="","",INDEX(Knutepunkter!$D:$D,E5337+1))</f>
        <v/>
      </c>
      <c r="L5337" t="str">
        <f t="shared" si="418"/>
        <v/>
      </c>
      <c r="M5337" t="str">
        <f t="shared" si="419"/>
        <v/>
      </c>
    </row>
    <row r="5338" spans="1:13" x14ac:dyDescent="0.3">
      <c r="A5338" t="str">
        <f>Segmenter!A5338</f>
        <v/>
      </c>
      <c r="B5338" t="str">
        <f>Segmenter!B5338</f>
        <v/>
      </c>
      <c r="C5338" t="str">
        <f t="shared" si="415"/>
        <v/>
      </c>
      <c r="D5338" t="str">
        <f t="shared" si="416"/>
        <v/>
      </c>
      <c r="E5338" t="str">
        <f t="shared" si="417"/>
        <v/>
      </c>
      <c r="F5338" t="str">
        <f>IF(D5338="","",INDEX(Knutepunkter!$B:$B,D5338+1))</f>
        <v/>
      </c>
      <c r="G5338" t="str">
        <f>IF(D5338="","",INDEX(Knutepunkter!$C:$C,D5338+1))</f>
        <v/>
      </c>
      <c r="H5338" t="str">
        <f>IF(D5338="","",INDEX(Knutepunkter!$D:$D,D5338+1))</f>
        <v/>
      </c>
      <c r="I5338" t="str">
        <f>IF(E5338="","",INDEX(Knutepunkter!$B:$B,E5338+1))</f>
        <v/>
      </c>
      <c r="J5338" t="str">
        <f>IF(E5338="","",INDEX(Knutepunkter!$C:$C,E5338+1))</f>
        <v/>
      </c>
      <c r="K5338" t="str">
        <f>IF(E5338="","",INDEX(Knutepunkter!$D:$D,E5338+1))</f>
        <v/>
      </c>
      <c r="L5338" t="str">
        <f t="shared" si="418"/>
        <v/>
      </c>
      <c r="M5338" t="str">
        <f t="shared" si="419"/>
        <v/>
      </c>
    </row>
    <row r="5339" spans="1:13" x14ac:dyDescent="0.3">
      <c r="A5339" t="str">
        <f>Segmenter!A5339</f>
        <v/>
      </c>
      <c r="B5339" t="str">
        <f>Segmenter!B5339</f>
        <v/>
      </c>
      <c r="C5339" t="str">
        <f t="shared" si="415"/>
        <v/>
      </c>
      <c r="D5339" t="str">
        <f t="shared" si="416"/>
        <v/>
      </c>
      <c r="E5339" t="str">
        <f t="shared" si="417"/>
        <v/>
      </c>
      <c r="F5339" t="str">
        <f>IF(D5339="","",INDEX(Knutepunkter!$B:$B,D5339+1))</f>
        <v/>
      </c>
      <c r="G5339" t="str">
        <f>IF(D5339="","",INDEX(Knutepunkter!$C:$C,D5339+1))</f>
        <v/>
      </c>
      <c r="H5339" t="str">
        <f>IF(D5339="","",INDEX(Knutepunkter!$D:$D,D5339+1))</f>
        <v/>
      </c>
      <c r="I5339" t="str">
        <f>IF(E5339="","",INDEX(Knutepunkter!$B:$B,E5339+1))</f>
        <v/>
      </c>
      <c r="J5339" t="str">
        <f>IF(E5339="","",INDEX(Knutepunkter!$C:$C,E5339+1))</f>
        <v/>
      </c>
      <c r="K5339" t="str">
        <f>IF(E5339="","",INDEX(Knutepunkter!$D:$D,E5339+1))</f>
        <v/>
      </c>
      <c r="L5339" t="str">
        <f t="shared" si="418"/>
        <v/>
      </c>
      <c r="M5339" t="str">
        <f t="shared" si="419"/>
        <v/>
      </c>
    </row>
    <row r="5340" spans="1:13" x14ac:dyDescent="0.3">
      <c r="A5340" t="str">
        <f>Segmenter!A5340</f>
        <v/>
      </c>
      <c r="B5340" t="str">
        <f>Segmenter!B5340</f>
        <v/>
      </c>
      <c r="C5340" t="str">
        <f t="shared" si="415"/>
        <v/>
      </c>
      <c r="D5340" t="str">
        <f t="shared" si="416"/>
        <v/>
      </c>
      <c r="E5340" t="str">
        <f t="shared" si="417"/>
        <v/>
      </c>
      <c r="F5340" t="str">
        <f>IF(D5340="","",INDEX(Knutepunkter!$B:$B,D5340+1))</f>
        <v/>
      </c>
      <c r="G5340" t="str">
        <f>IF(D5340="","",INDEX(Knutepunkter!$C:$C,D5340+1))</f>
        <v/>
      </c>
      <c r="H5340" t="str">
        <f>IF(D5340="","",INDEX(Knutepunkter!$D:$D,D5340+1))</f>
        <v/>
      </c>
      <c r="I5340" t="str">
        <f>IF(E5340="","",INDEX(Knutepunkter!$B:$B,E5340+1))</f>
        <v/>
      </c>
      <c r="J5340" t="str">
        <f>IF(E5340="","",INDEX(Knutepunkter!$C:$C,E5340+1))</f>
        <v/>
      </c>
      <c r="K5340" t="str">
        <f>IF(E5340="","",INDEX(Knutepunkter!$D:$D,E5340+1))</f>
        <v/>
      </c>
      <c r="L5340" t="str">
        <f t="shared" si="418"/>
        <v/>
      </c>
      <c r="M5340" t="str">
        <f t="shared" si="419"/>
        <v/>
      </c>
    </row>
    <row r="5341" spans="1:13" x14ac:dyDescent="0.3">
      <c r="A5341" t="str">
        <f>Segmenter!A5341</f>
        <v/>
      </c>
      <c r="B5341" t="str">
        <f>Segmenter!B5341</f>
        <v/>
      </c>
      <c r="C5341" t="str">
        <f t="shared" si="415"/>
        <v/>
      </c>
      <c r="D5341" t="str">
        <f t="shared" si="416"/>
        <v/>
      </c>
      <c r="E5341" t="str">
        <f t="shared" si="417"/>
        <v/>
      </c>
      <c r="F5341" t="str">
        <f>IF(D5341="","",INDEX(Knutepunkter!$B:$B,D5341+1))</f>
        <v/>
      </c>
      <c r="G5341" t="str">
        <f>IF(D5341="","",INDEX(Knutepunkter!$C:$C,D5341+1))</f>
        <v/>
      </c>
      <c r="H5341" t="str">
        <f>IF(D5341="","",INDEX(Knutepunkter!$D:$D,D5341+1))</f>
        <v/>
      </c>
      <c r="I5341" t="str">
        <f>IF(E5341="","",INDEX(Knutepunkter!$B:$B,E5341+1))</f>
        <v/>
      </c>
      <c r="J5341" t="str">
        <f>IF(E5341="","",INDEX(Knutepunkter!$C:$C,E5341+1))</f>
        <v/>
      </c>
      <c r="K5341" t="str">
        <f>IF(E5341="","",INDEX(Knutepunkter!$D:$D,E5341+1))</f>
        <v/>
      </c>
      <c r="L5341" t="str">
        <f t="shared" si="418"/>
        <v/>
      </c>
      <c r="M5341" t="str">
        <f t="shared" si="419"/>
        <v/>
      </c>
    </row>
    <row r="5342" spans="1:13" x14ac:dyDescent="0.3">
      <c r="A5342" t="str">
        <f>Segmenter!A5342</f>
        <v/>
      </c>
      <c r="B5342" t="str">
        <f>Segmenter!B5342</f>
        <v/>
      </c>
      <c r="C5342" t="str">
        <f t="shared" si="415"/>
        <v/>
      </c>
      <c r="D5342" t="str">
        <f t="shared" si="416"/>
        <v/>
      </c>
      <c r="E5342" t="str">
        <f t="shared" si="417"/>
        <v/>
      </c>
      <c r="F5342" t="str">
        <f>IF(D5342="","",INDEX(Knutepunkter!$B:$B,D5342+1))</f>
        <v/>
      </c>
      <c r="G5342" t="str">
        <f>IF(D5342="","",INDEX(Knutepunkter!$C:$C,D5342+1))</f>
        <v/>
      </c>
      <c r="H5342" t="str">
        <f>IF(D5342="","",INDEX(Knutepunkter!$D:$D,D5342+1))</f>
        <v/>
      </c>
      <c r="I5342" t="str">
        <f>IF(E5342="","",INDEX(Knutepunkter!$B:$B,E5342+1))</f>
        <v/>
      </c>
      <c r="J5342" t="str">
        <f>IF(E5342="","",INDEX(Knutepunkter!$C:$C,E5342+1))</f>
        <v/>
      </c>
      <c r="K5342" t="str">
        <f>IF(E5342="","",INDEX(Knutepunkter!$D:$D,E5342+1))</f>
        <v/>
      </c>
      <c r="L5342" t="str">
        <f t="shared" si="418"/>
        <v/>
      </c>
      <c r="M5342" t="str">
        <f t="shared" si="419"/>
        <v/>
      </c>
    </row>
    <row r="5343" spans="1:13" x14ac:dyDescent="0.3">
      <c r="A5343" t="str">
        <f>Segmenter!A5343</f>
        <v/>
      </c>
      <c r="B5343" t="str">
        <f>Segmenter!B5343</f>
        <v/>
      </c>
      <c r="C5343" t="str">
        <f t="shared" si="415"/>
        <v/>
      </c>
      <c r="D5343" t="str">
        <f t="shared" si="416"/>
        <v/>
      </c>
      <c r="E5343" t="str">
        <f t="shared" si="417"/>
        <v/>
      </c>
      <c r="F5343" t="str">
        <f>IF(D5343="","",INDEX(Knutepunkter!$B:$B,D5343+1))</f>
        <v/>
      </c>
      <c r="G5343" t="str">
        <f>IF(D5343="","",INDEX(Knutepunkter!$C:$C,D5343+1))</f>
        <v/>
      </c>
      <c r="H5343" t="str">
        <f>IF(D5343="","",INDEX(Knutepunkter!$D:$D,D5343+1))</f>
        <v/>
      </c>
      <c r="I5343" t="str">
        <f>IF(E5343="","",INDEX(Knutepunkter!$B:$B,E5343+1))</f>
        <v/>
      </c>
      <c r="J5343" t="str">
        <f>IF(E5343="","",INDEX(Knutepunkter!$C:$C,E5343+1))</f>
        <v/>
      </c>
      <c r="K5343" t="str">
        <f>IF(E5343="","",INDEX(Knutepunkter!$D:$D,E5343+1))</f>
        <v/>
      </c>
      <c r="L5343" t="str">
        <f t="shared" si="418"/>
        <v/>
      </c>
      <c r="M5343" t="str">
        <f t="shared" si="419"/>
        <v/>
      </c>
    </row>
    <row r="5344" spans="1:13" x14ac:dyDescent="0.3">
      <c r="A5344" t="str">
        <f>Segmenter!A5344</f>
        <v/>
      </c>
      <c r="B5344" t="str">
        <f>Segmenter!B5344</f>
        <v/>
      </c>
      <c r="C5344" t="str">
        <f t="shared" si="415"/>
        <v/>
      </c>
      <c r="D5344" t="str">
        <f t="shared" si="416"/>
        <v/>
      </c>
      <c r="E5344" t="str">
        <f t="shared" si="417"/>
        <v/>
      </c>
      <c r="F5344" t="str">
        <f>IF(D5344="","",INDEX(Knutepunkter!$B:$B,D5344+1))</f>
        <v/>
      </c>
      <c r="G5344" t="str">
        <f>IF(D5344="","",INDEX(Knutepunkter!$C:$C,D5344+1))</f>
        <v/>
      </c>
      <c r="H5344" t="str">
        <f>IF(D5344="","",INDEX(Knutepunkter!$D:$D,D5344+1))</f>
        <v/>
      </c>
      <c r="I5344" t="str">
        <f>IF(E5344="","",INDEX(Knutepunkter!$B:$B,E5344+1))</f>
        <v/>
      </c>
      <c r="J5344" t="str">
        <f>IF(E5344="","",INDEX(Knutepunkter!$C:$C,E5344+1))</f>
        <v/>
      </c>
      <c r="K5344" t="str">
        <f>IF(E5344="","",INDEX(Knutepunkter!$D:$D,E5344+1))</f>
        <v/>
      </c>
      <c r="L5344" t="str">
        <f t="shared" si="418"/>
        <v/>
      </c>
      <c r="M5344" t="str">
        <f t="shared" si="419"/>
        <v/>
      </c>
    </row>
    <row r="5345" spans="1:13" x14ac:dyDescent="0.3">
      <c r="A5345" t="str">
        <f>Segmenter!A5345</f>
        <v/>
      </c>
      <c r="B5345" t="str">
        <f>Segmenter!B5345</f>
        <v/>
      </c>
      <c r="C5345" t="str">
        <f t="shared" si="415"/>
        <v/>
      </c>
      <c r="D5345" t="str">
        <f t="shared" si="416"/>
        <v/>
      </c>
      <c r="E5345" t="str">
        <f t="shared" si="417"/>
        <v/>
      </c>
      <c r="F5345" t="str">
        <f>IF(D5345="","",INDEX(Knutepunkter!$B:$B,D5345+1))</f>
        <v/>
      </c>
      <c r="G5345" t="str">
        <f>IF(D5345="","",INDEX(Knutepunkter!$C:$C,D5345+1))</f>
        <v/>
      </c>
      <c r="H5345" t="str">
        <f>IF(D5345="","",INDEX(Knutepunkter!$D:$D,D5345+1))</f>
        <v/>
      </c>
      <c r="I5345" t="str">
        <f>IF(E5345="","",INDEX(Knutepunkter!$B:$B,E5345+1))</f>
        <v/>
      </c>
      <c r="J5345" t="str">
        <f>IF(E5345="","",INDEX(Knutepunkter!$C:$C,E5345+1))</f>
        <v/>
      </c>
      <c r="K5345" t="str">
        <f>IF(E5345="","",INDEX(Knutepunkter!$D:$D,E5345+1))</f>
        <v/>
      </c>
      <c r="L5345" t="str">
        <f t="shared" si="418"/>
        <v/>
      </c>
      <c r="M5345" t="str">
        <f t="shared" si="419"/>
        <v/>
      </c>
    </row>
    <row r="5346" spans="1:13" x14ac:dyDescent="0.3">
      <c r="A5346" t="str">
        <f>Segmenter!A5346</f>
        <v/>
      </c>
      <c r="B5346" t="str">
        <f>Segmenter!B5346</f>
        <v/>
      </c>
      <c r="C5346" t="str">
        <f t="shared" si="415"/>
        <v/>
      </c>
      <c r="D5346" t="str">
        <f t="shared" si="416"/>
        <v/>
      </c>
      <c r="E5346" t="str">
        <f t="shared" si="417"/>
        <v/>
      </c>
      <c r="F5346" t="str">
        <f>IF(D5346="","",INDEX(Knutepunkter!$B:$B,D5346+1))</f>
        <v/>
      </c>
      <c r="G5346" t="str">
        <f>IF(D5346="","",INDEX(Knutepunkter!$C:$C,D5346+1))</f>
        <v/>
      </c>
      <c r="H5346" t="str">
        <f>IF(D5346="","",INDEX(Knutepunkter!$D:$D,D5346+1))</f>
        <v/>
      </c>
      <c r="I5346" t="str">
        <f>IF(E5346="","",INDEX(Knutepunkter!$B:$B,E5346+1))</f>
        <v/>
      </c>
      <c r="J5346" t="str">
        <f>IF(E5346="","",INDEX(Knutepunkter!$C:$C,E5346+1))</f>
        <v/>
      </c>
      <c r="K5346" t="str">
        <f>IF(E5346="","",INDEX(Knutepunkter!$D:$D,E5346+1))</f>
        <v/>
      </c>
      <c r="L5346" t="str">
        <f t="shared" si="418"/>
        <v/>
      </c>
      <c r="M5346" t="str">
        <f t="shared" si="419"/>
        <v/>
      </c>
    </row>
    <row r="5347" spans="1:13" x14ac:dyDescent="0.3">
      <c r="A5347" t="str">
        <f>Segmenter!A5347</f>
        <v/>
      </c>
      <c r="B5347" t="str">
        <f>Segmenter!B5347</f>
        <v/>
      </c>
      <c r="C5347" t="str">
        <f t="shared" si="415"/>
        <v/>
      </c>
      <c r="D5347" t="str">
        <f t="shared" si="416"/>
        <v/>
      </c>
      <c r="E5347" t="str">
        <f t="shared" si="417"/>
        <v/>
      </c>
      <c r="F5347" t="str">
        <f>IF(D5347="","",INDEX(Knutepunkter!$B:$B,D5347+1))</f>
        <v/>
      </c>
      <c r="G5347" t="str">
        <f>IF(D5347="","",INDEX(Knutepunkter!$C:$C,D5347+1))</f>
        <v/>
      </c>
      <c r="H5347" t="str">
        <f>IF(D5347="","",INDEX(Knutepunkter!$D:$D,D5347+1))</f>
        <v/>
      </c>
      <c r="I5347" t="str">
        <f>IF(E5347="","",INDEX(Knutepunkter!$B:$B,E5347+1))</f>
        <v/>
      </c>
      <c r="J5347" t="str">
        <f>IF(E5347="","",INDEX(Knutepunkter!$C:$C,E5347+1))</f>
        <v/>
      </c>
      <c r="K5347" t="str">
        <f>IF(E5347="","",INDEX(Knutepunkter!$D:$D,E5347+1))</f>
        <v/>
      </c>
      <c r="L5347" t="str">
        <f t="shared" si="418"/>
        <v/>
      </c>
      <c r="M5347" t="str">
        <f t="shared" si="419"/>
        <v/>
      </c>
    </row>
    <row r="5348" spans="1:13" x14ac:dyDescent="0.3">
      <c r="A5348" t="str">
        <f>Segmenter!A5348</f>
        <v/>
      </c>
      <c r="B5348" t="str">
        <f>Segmenter!B5348</f>
        <v/>
      </c>
      <c r="C5348" t="str">
        <f t="shared" si="415"/>
        <v/>
      </c>
      <c r="D5348" t="str">
        <f t="shared" si="416"/>
        <v/>
      </c>
      <c r="E5348" t="str">
        <f t="shared" si="417"/>
        <v/>
      </c>
      <c r="F5348" t="str">
        <f>IF(D5348="","",INDEX(Knutepunkter!$B:$B,D5348+1))</f>
        <v/>
      </c>
      <c r="G5348" t="str">
        <f>IF(D5348="","",INDEX(Knutepunkter!$C:$C,D5348+1))</f>
        <v/>
      </c>
      <c r="H5348" t="str">
        <f>IF(D5348="","",INDEX(Knutepunkter!$D:$D,D5348+1))</f>
        <v/>
      </c>
      <c r="I5348" t="str">
        <f>IF(E5348="","",INDEX(Knutepunkter!$B:$B,E5348+1))</f>
        <v/>
      </c>
      <c r="J5348" t="str">
        <f>IF(E5348="","",INDEX(Knutepunkter!$C:$C,E5348+1))</f>
        <v/>
      </c>
      <c r="K5348" t="str">
        <f>IF(E5348="","",INDEX(Knutepunkter!$D:$D,E5348+1))</f>
        <v/>
      </c>
      <c r="L5348" t="str">
        <f t="shared" si="418"/>
        <v/>
      </c>
      <c r="M5348" t="str">
        <f t="shared" si="419"/>
        <v/>
      </c>
    </row>
    <row r="5349" spans="1:13" x14ac:dyDescent="0.3">
      <c r="A5349" t="str">
        <f>Segmenter!A5349</f>
        <v/>
      </c>
      <c r="B5349" t="str">
        <f>Segmenter!B5349</f>
        <v/>
      </c>
      <c r="C5349" t="str">
        <f t="shared" si="415"/>
        <v/>
      </c>
      <c r="D5349" t="str">
        <f t="shared" si="416"/>
        <v/>
      </c>
      <c r="E5349" t="str">
        <f t="shared" si="417"/>
        <v/>
      </c>
      <c r="F5349" t="str">
        <f>IF(D5349="","",INDEX(Knutepunkter!$B:$B,D5349+1))</f>
        <v/>
      </c>
      <c r="G5349" t="str">
        <f>IF(D5349="","",INDEX(Knutepunkter!$C:$C,D5349+1))</f>
        <v/>
      </c>
      <c r="H5349" t="str">
        <f>IF(D5349="","",INDEX(Knutepunkter!$D:$D,D5349+1))</f>
        <v/>
      </c>
      <c r="I5349" t="str">
        <f>IF(E5349="","",INDEX(Knutepunkter!$B:$B,E5349+1))</f>
        <v/>
      </c>
      <c r="J5349" t="str">
        <f>IF(E5349="","",INDEX(Knutepunkter!$C:$C,E5349+1))</f>
        <v/>
      </c>
      <c r="K5349" t="str">
        <f>IF(E5349="","",INDEX(Knutepunkter!$D:$D,E5349+1))</f>
        <v/>
      </c>
      <c r="L5349" t="str">
        <f t="shared" si="418"/>
        <v/>
      </c>
      <c r="M5349" t="str">
        <f t="shared" si="419"/>
        <v/>
      </c>
    </row>
    <row r="5350" spans="1:13" x14ac:dyDescent="0.3">
      <c r="A5350" t="str">
        <f>Segmenter!A5350</f>
        <v/>
      </c>
      <c r="B5350" t="str">
        <f>Segmenter!B5350</f>
        <v/>
      </c>
      <c r="C5350" t="str">
        <f t="shared" si="415"/>
        <v/>
      </c>
      <c r="D5350" t="str">
        <f t="shared" si="416"/>
        <v/>
      </c>
      <c r="E5350" t="str">
        <f t="shared" si="417"/>
        <v/>
      </c>
      <c r="F5350" t="str">
        <f>IF(D5350="","",INDEX(Knutepunkter!$B:$B,D5350+1))</f>
        <v/>
      </c>
      <c r="G5350" t="str">
        <f>IF(D5350="","",INDEX(Knutepunkter!$C:$C,D5350+1))</f>
        <v/>
      </c>
      <c r="H5350" t="str">
        <f>IF(D5350="","",INDEX(Knutepunkter!$D:$D,D5350+1))</f>
        <v/>
      </c>
      <c r="I5350" t="str">
        <f>IF(E5350="","",INDEX(Knutepunkter!$B:$B,E5350+1))</f>
        <v/>
      </c>
      <c r="J5350" t="str">
        <f>IF(E5350="","",INDEX(Knutepunkter!$C:$C,E5350+1))</f>
        <v/>
      </c>
      <c r="K5350" t="str">
        <f>IF(E5350="","",INDEX(Knutepunkter!$D:$D,E5350+1))</f>
        <v/>
      </c>
      <c r="L5350" t="str">
        <f t="shared" si="418"/>
        <v/>
      </c>
      <c r="M5350" t="str">
        <f t="shared" si="419"/>
        <v/>
      </c>
    </row>
    <row r="5351" spans="1:13" x14ac:dyDescent="0.3">
      <c r="A5351" t="str">
        <f>Segmenter!A5351</f>
        <v/>
      </c>
      <c r="B5351" t="str">
        <f>Segmenter!B5351</f>
        <v/>
      </c>
      <c r="C5351" t="str">
        <f t="shared" si="415"/>
        <v/>
      </c>
      <c r="D5351" t="str">
        <f t="shared" si="416"/>
        <v/>
      </c>
      <c r="E5351" t="str">
        <f t="shared" si="417"/>
        <v/>
      </c>
      <c r="F5351" t="str">
        <f>IF(D5351="","",INDEX(Knutepunkter!$B:$B,D5351+1))</f>
        <v/>
      </c>
      <c r="G5351" t="str">
        <f>IF(D5351="","",INDEX(Knutepunkter!$C:$C,D5351+1))</f>
        <v/>
      </c>
      <c r="H5351" t="str">
        <f>IF(D5351="","",INDEX(Knutepunkter!$D:$D,D5351+1))</f>
        <v/>
      </c>
      <c r="I5351" t="str">
        <f>IF(E5351="","",INDEX(Knutepunkter!$B:$B,E5351+1))</f>
        <v/>
      </c>
      <c r="J5351" t="str">
        <f>IF(E5351="","",INDEX(Knutepunkter!$C:$C,E5351+1))</f>
        <v/>
      </c>
      <c r="K5351" t="str">
        <f>IF(E5351="","",INDEX(Knutepunkter!$D:$D,E5351+1))</f>
        <v/>
      </c>
      <c r="L5351" t="str">
        <f t="shared" si="418"/>
        <v/>
      </c>
      <c r="M5351" t="str">
        <f t="shared" si="419"/>
        <v/>
      </c>
    </row>
    <row r="5352" spans="1:13" x14ac:dyDescent="0.3">
      <c r="A5352" t="str">
        <f>Segmenter!A5352</f>
        <v/>
      </c>
      <c r="B5352" t="str">
        <f>Segmenter!B5352</f>
        <v/>
      </c>
      <c r="C5352" t="str">
        <f t="shared" si="415"/>
        <v/>
      </c>
      <c r="D5352" t="str">
        <f t="shared" si="416"/>
        <v/>
      </c>
      <c r="E5352" t="str">
        <f t="shared" si="417"/>
        <v/>
      </c>
      <c r="F5352" t="str">
        <f>IF(D5352="","",INDEX(Knutepunkter!$B:$B,D5352+1))</f>
        <v/>
      </c>
      <c r="G5352" t="str">
        <f>IF(D5352="","",INDEX(Knutepunkter!$C:$C,D5352+1))</f>
        <v/>
      </c>
      <c r="H5352" t="str">
        <f>IF(D5352="","",INDEX(Knutepunkter!$D:$D,D5352+1))</f>
        <v/>
      </c>
      <c r="I5352" t="str">
        <f>IF(E5352="","",INDEX(Knutepunkter!$B:$B,E5352+1))</f>
        <v/>
      </c>
      <c r="J5352" t="str">
        <f>IF(E5352="","",INDEX(Knutepunkter!$C:$C,E5352+1))</f>
        <v/>
      </c>
      <c r="K5352" t="str">
        <f>IF(E5352="","",INDEX(Knutepunkter!$D:$D,E5352+1))</f>
        <v/>
      </c>
      <c r="L5352" t="str">
        <f t="shared" si="418"/>
        <v/>
      </c>
      <c r="M5352" t="str">
        <f t="shared" si="419"/>
        <v/>
      </c>
    </row>
    <row r="5353" spans="1:13" x14ac:dyDescent="0.3">
      <c r="A5353" t="str">
        <f>Segmenter!A5353</f>
        <v/>
      </c>
      <c r="B5353" t="str">
        <f>Segmenter!B5353</f>
        <v/>
      </c>
      <c r="C5353" t="str">
        <f t="shared" si="415"/>
        <v/>
      </c>
      <c r="D5353" t="str">
        <f t="shared" si="416"/>
        <v/>
      </c>
      <c r="E5353" t="str">
        <f t="shared" si="417"/>
        <v/>
      </c>
      <c r="F5353" t="str">
        <f>IF(D5353="","",INDEX(Knutepunkter!$B:$B,D5353+1))</f>
        <v/>
      </c>
      <c r="G5353" t="str">
        <f>IF(D5353="","",INDEX(Knutepunkter!$C:$C,D5353+1))</f>
        <v/>
      </c>
      <c r="H5353" t="str">
        <f>IF(D5353="","",INDEX(Knutepunkter!$D:$D,D5353+1))</f>
        <v/>
      </c>
      <c r="I5353" t="str">
        <f>IF(E5353="","",INDEX(Knutepunkter!$B:$B,E5353+1))</f>
        <v/>
      </c>
      <c r="J5353" t="str">
        <f>IF(E5353="","",INDEX(Knutepunkter!$C:$C,E5353+1))</f>
        <v/>
      </c>
      <c r="K5353" t="str">
        <f>IF(E5353="","",INDEX(Knutepunkter!$D:$D,E5353+1))</f>
        <v/>
      </c>
      <c r="L5353" t="str">
        <f t="shared" si="418"/>
        <v/>
      </c>
      <c r="M5353" t="str">
        <f t="shared" si="419"/>
        <v/>
      </c>
    </row>
    <row r="5354" spans="1:13" x14ac:dyDescent="0.3">
      <c r="A5354" t="str">
        <f>Segmenter!A5354</f>
        <v/>
      </c>
      <c r="B5354" t="str">
        <f>Segmenter!B5354</f>
        <v/>
      </c>
      <c r="C5354" t="str">
        <f t="shared" si="415"/>
        <v/>
      </c>
      <c r="D5354" t="str">
        <f t="shared" si="416"/>
        <v/>
      </c>
      <c r="E5354" t="str">
        <f t="shared" si="417"/>
        <v/>
      </c>
      <c r="F5354" t="str">
        <f>IF(D5354="","",INDEX(Knutepunkter!$B:$B,D5354+1))</f>
        <v/>
      </c>
      <c r="G5354" t="str">
        <f>IF(D5354="","",INDEX(Knutepunkter!$C:$C,D5354+1))</f>
        <v/>
      </c>
      <c r="H5354" t="str">
        <f>IF(D5354="","",INDEX(Knutepunkter!$D:$D,D5354+1))</f>
        <v/>
      </c>
      <c r="I5354" t="str">
        <f>IF(E5354="","",INDEX(Knutepunkter!$B:$B,E5354+1))</f>
        <v/>
      </c>
      <c r="J5354" t="str">
        <f>IF(E5354="","",INDEX(Knutepunkter!$C:$C,E5354+1))</f>
        <v/>
      </c>
      <c r="K5354" t="str">
        <f>IF(E5354="","",INDEX(Knutepunkter!$D:$D,E5354+1))</f>
        <v/>
      </c>
      <c r="L5354" t="str">
        <f t="shared" si="418"/>
        <v/>
      </c>
      <c r="M5354" t="str">
        <f t="shared" si="419"/>
        <v/>
      </c>
    </row>
    <row r="5355" spans="1:13" x14ac:dyDescent="0.3">
      <c r="A5355" t="str">
        <f>Segmenter!A5355</f>
        <v/>
      </c>
      <c r="B5355" t="str">
        <f>Segmenter!B5355</f>
        <v/>
      </c>
      <c r="C5355" t="str">
        <f t="shared" si="415"/>
        <v/>
      </c>
      <c r="D5355" t="str">
        <f t="shared" si="416"/>
        <v/>
      </c>
      <c r="E5355" t="str">
        <f t="shared" si="417"/>
        <v/>
      </c>
      <c r="F5355" t="str">
        <f>IF(D5355="","",INDEX(Knutepunkter!$B:$B,D5355+1))</f>
        <v/>
      </c>
      <c r="G5355" t="str">
        <f>IF(D5355="","",INDEX(Knutepunkter!$C:$C,D5355+1))</f>
        <v/>
      </c>
      <c r="H5355" t="str">
        <f>IF(D5355="","",INDEX(Knutepunkter!$D:$D,D5355+1))</f>
        <v/>
      </c>
      <c r="I5355" t="str">
        <f>IF(E5355="","",INDEX(Knutepunkter!$B:$B,E5355+1))</f>
        <v/>
      </c>
      <c r="J5355" t="str">
        <f>IF(E5355="","",INDEX(Knutepunkter!$C:$C,E5355+1))</f>
        <v/>
      </c>
      <c r="K5355" t="str">
        <f>IF(E5355="","",INDEX(Knutepunkter!$D:$D,E5355+1))</f>
        <v/>
      </c>
      <c r="L5355" t="str">
        <f t="shared" si="418"/>
        <v/>
      </c>
      <c r="M5355" t="str">
        <f t="shared" si="419"/>
        <v/>
      </c>
    </row>
    <row r="5356" spans="1:13" x14ac:dyDescent="0.3">
      <c r="A5356" t="str">
        <f>Segmenter!A5356</f>
        <v/>
      </c>
      <c r="B5356" t="str">
        <f>Segmenter!B5356</f>
        <v/>
      </c>
      <c r="C5356" t="str">
        <f t="shared" si="415"/>
        <v/>
      </c>
      <c r="D5356" t="str">
        <f t="shared" si="416"/>
        <v/>
      </c>
      <c r="E5356" t="str">
        <f t="shared" si="417"/>
        <v/>
      </c>
      <c r="F5356" t="str">
        <f>IF(D5356="","",INDEX(Knutepunkter!$B:$B,D5356+1))</f>
        <v/>
      </c>
      <c r="G5356" t="str">
        <f>IF(D5356="","",INDEX(Knutepunkter!$C:$C,D5356+1))</f>
        <v/>
      </c>
      <c r="H5356" t="str">
        <f>IF(D5356="","",INDEX(Knutepunkter!$D:$D,D5356+1))</f>
        <v/>
      </c>
      <c r="I5356" t="str">
        <f>IF(E5356="","",INDEX(Knutepunkter!$B:$B,E5356+1))</f>
        <v/>
      </c>
      <c r="J5356" t="str">
        <f>IF(E5356="","",INDEX(Knutepunkter!$C:$C,E5356+1))</f>
        <v/>
      </c>
      <c r="K5356" t="str">
        <f>IF(E5356="","",INDEX(Knutepunkter!$D:$D,E5356+1))</f>
        <v/>
      </c>
      <c r="L5356" t="str">
        <f t="shared" si="418"/>
        <v/>
      </c>
      <c r="M5356" t="str">
        <f t="shared" si="419"/>
        <v/>
      </c>
    </row>
    <row r="5357" spans="1:13" x14ac:dyDescent="0.3">
      <c r="A5357" t="str">
        <f>Segmenter!A5357</f>
        <v/>
      </c>
      <c r="B5357" t="str">
        <f>Segmenter!B5357</f>
        <v/>
      </c>
      <c r="C5357" t="str">
        <f t="shared" si="415"/>
        <v/>
      </c>
      <c r="D5357" t="str">
        <f t="shared" si="416"/>
        <v/>
      </c>
      <c r="E5357" t="str">
        <f t="shared" si="417"/>
        <v/>
      </c>
      <c r="F5357" t="str">
        <f>IF(D5357="","",INDEX(Knutepunkter!$B:$B,D5357+1))</f>
        <v/>
      </c>
      <c r="G5357" t="str">
        <f>IF(D5357="","",INDEX(Knutepunkter!$C:$C,D5357+1))</f>
        <v/>
      </c>
      <c r="H5357" t="str">
        <f>IF(D5357="","",INDEX(Knutepunkter!$D:$D,D5357+1))</f>
        <v/>
      </c>
      <c r="I5357" t="str">
        <f>IF(E5357="","",INDEX(Knutepunkter!$B:$B,E5357+1))</f>
        <v/>
      </c>
      <c r="J5357" t="str">
        <f>IF(E5357="","",INDEX(Knutepunkter!$C:$C,E5357+1))</f>
        <v/>
      </c>
      <c r="K5357" t="str">
        <f>IF(E5357="","",INDEX(Knutepunkter!$D:$D,E5357+1))</f>
        <v/>
      </c>
      <c r="L5357" t="str">
        <f t="shared" si="418"/>
        <v/>
      </c>
      <c r="M5357" t="str">
        <f t="shared" si="419"/>
        <v/>
      </c>
    </row>
    <row r="5358" spans="1:13" x14ac:dyDescent="0.3">
      <c r="A5358" t="str">
        <f>Segmenter!A5358</f>
        <v/>
      </c>
      <c r="B5358" t="str">
        <f>Segmenter!B5358</f>
        <v/>
      </c>
      <c r="C5358" t="str">
        <f t="shared" si="415"/>
        <v/>
      </c>
      <c r="D5358" t="str">
        <f t="shared" si="416"/>
        <v/>
      </c>
      <c r="E5358" t="str">
        <f t="shared" si="417"/>
        <v/>
      </c>
      <c r="F5358" t="str">
        <f>IF(D5358="","",INDEX(Knutepunkter!$B:$B,D5358+1))</f>
        <v/>
      </c>
      <c r="G5358" t="str">
        <f>IF(D5358="","",INDEX(Knutepunkter!$C:$C,D5358+1))</f>
        <v/>
      </c>
      <c r="H5358" t="str">
        <f>IF(D5358="","",INDEX(Knutepunkter!$D:$D,D5358+1))</f>
        <v/>
      </c>
      <c r="I5358" t="str">
        <f>IF(E5358="","",INDEX(Knutepunkter!$B:$B,E5358+1))</f>
        <v/>
      </c>
      <c r="J5358" t="str">
        <f>IF(E5358="","",INDEX(Knutepunkter!$C:$C,E5358+1))</f>
        <v/>
      </c>
      <c r="K5358" t="str">
        <f>IF(E5358="","",INDEX(Knutepunkter!$D:$D,E5358+1))</f>
        <v/>
      </c>
      <c r="L5358" t="str">
        <f t="shared" si="418"/>
        <v/>
      </c>
      <c r="M5358" t="str">
        <f t="shared" si="419"/>
        <v/>
      </c>
    </row>
    <row r="5359" spans="1:13" x14ac:dyDescent="0.3">
      <c r="A5359" t="str">
        <f>Segmenter!A5359</f>
        <v/>
      </c>
      <c r="B5359" t="str">
        <f>Segmenter!B5359</f>
        <v/>
      </c>
      <c r="C5359" t="str">
        <f t="shared" si="415"/>
        <v/>
      </c>
      <c r="D5359" t="str">
        <f t="shared" si="416"/>
        <v/>
      </c>
      <c r="E5359" t="str">
        <f t="shared" si="417"/>
        <v/>
      </c>
      <c r="F5359" t="str">
        <f>IF(D5359="","",INDEX(Knutepunkter!$B:$B,D5359+1))</f>
        <v/>
      </c>
      <c r="G5359" t="str">
        <f>IF(D5359="","",INDEX(Knutepunkter!$C:$C,D5359+1))</f>
        <v/>
      </c>
      <c r="H5359" t="str">
        <f>IF(D5359="","",INDEX(Knutepunkter!$D:$D,D5359+1))</f>
        <v/>
      </c>
      <c r="I5359" t="str">
        <f>IF(E5359="","",INDEX(Knutepunkter!$B:$B,E5359+1))</f>
        <v/>
      </c>
      <c r="J5359" t="str">
        <f>IF(E5359="","",INDEX(Knutepunkter!$C:$C,E5359+1))</f>
        <v/>
      </c>
      <c r="K5359" t="str">
        <f>IF(E5359="","",INDEX(Knutepunkter!$D:$D,E5359+1))</f>
        <v/>
      </c>
      <c r="L5359" t="str">
        <f t="shared" si="418"/>
        <v/>
      </c>
      <c r="M5359" t="str">
        <f t="shared" si="419"/>
        <v/>
      </c>
    </row>
    <row r="5360" spans="1:13" x14ac:dyDescent="0.3">
      <c r="A5360" t="str">
        <f>Segmenter!A5360</f>
        <v/>
      </c>
      <c r="B5360" t="str">
        <f>Segmenter!B5360</f>
        <v/>
      </c>
      <c r="C5360" t="str">
        <f t="shared" si="415"/>
        <v/>
      </c>
      <c r="D5360" t="str">
        <f t="shared" si="416"/>
        <v/>
      </c>
      <c r="E5360" t="str">
        <f t="shared" si="417"/>
        <v/>
      </c>
      <c r="F5360" t="str">
        <f>IF(D5360="","",INDEX(Knutepunkter!$B:$B,D5360+1))</f>
        <v/>
      </c>
      <c r="G5360" t="str">
        <f>IF(D5360="","",INDEX(Knutepunkter!$C:$C,D5360+1))</f>
        <v/>
      </c>
      <c r="H5360" t="str">
        <f>IF(D5360="","",INDEX(Knutepunkter!$D:$D,D5360+1))</f>
        <v/>
      </c>
      <c r="I5360" t="str">
        <f>IF(E5360="","",INDEX(Knutepunkter!$B:$B,E5360+1))</f>
        <v/>
      </c>
      <c r="J5360" t="str">
        <f>IF(E5360="","",INDEX(Knutepunkter!$C:$C,E5360+1))</f>
        <v/>
      </c>
      <c r="K5360" t="str">
        <f>IF(E5360="","",INDEX(Knutepunkter!$D:$D,E5360+1))</f>
        <v/>
      </c>
      <c r="L5360" t="str">
        <f t="shared" si="418"/>
        <v/>
      </c>
      <c r="M5360" t="str">
        <f t="shared" si="419"/>
        <v/>
      </c>
    </row>
    <row r="5361" spans="1:13" x14ac:dyDescent="0.3">
      <c r="A5361" t="str">
        <f>Segmenter!A5361</f>
        <v/>
      </c>
      <c r="B5361" t="str">
        <f>Segmenter!B5361</f>
        <v/>
      </c>
      <c r="C5361" t="str">
        <f t="shared" si="415"/>
        <v/>
      </c>
      <c r="D5361" t="str">
        <f t="shared" si="416"/>
        <v/>
      </c>
      <c r="E5361" t="str">
        <f t="shared" si="417"/>
        <v/>
      </c>
      <c r="F5361" t="str">
        <f>IF(D5361="","",INDEX(Knutepunkter!$B:$B,D5361+1))</f>
        <v/>
      </c>
      <c r="G5361" t="str">
        <f>IF(D5361="","",INDEX(Knutepunkter!$C:$C,D5361+1))</f>
        <v/>
      </c>
      <c r="H5361" t="str">
        <f>IF(D5361="","",INDEX(Knutepunkter!$D:$D,D5361+1))</f>
        <v/>
      </c>
      <c r="I5361" t="str">
        <f>IF(E5361="","",INDEX(Knutepunkter!$B:$B,E5361+1))</f>
        <v/>
      </c>
      <c r="J5361" t="str">
        <f>IF(E5361="","",INDEX(Knutepunkter!$C:$C,E5361+1))</f>
        <v/>
      </c>
      <c r="K5361" t="str">
        <f>IF(E5361="","",INDEX(Knutepunkter!$D:$D,E5361+1))</f>
        <v/>
      </c>
      <c r="L5361" t="str">
        <f t="shared" si="418"/>
        <v/>
      </c>
      <c r="M5361" t="str">
        <f t="shared" si="419"/>
        <v/>
      </c>
    </row>
    <row r="5362" spans="1:13" x14ac:dyDescent="0.3">
      <c r="A5362" t="str">
        <f>Segmenter!A5362</f>
        <v/>
      </c>
      <c r="B5362" t="str">
        <f>Segmenter!B5362</f>
        <v/>
      </c>
      <c r="C5362" t="str">
        <f t="shared" si="415"/>
        <v/>
      </c>
      <c r="D5362" t="str">
        <f t="shared" si="416"/>
        <v/>
      </c>
      <c r="E5362" t="str">
        <f t="shared" si="417"/>
        <v/>
      </c>
      <c r="F5362" t="str">
        <f>IF(D5362="","",INDEX(Knutepunkter!$B:$B,D5362+1))</f>
        <v/>
      </c>
      <c r="G5362" t="str">
        <f>IF(D5362="","",INDEX(Knutepunkter!$C:$C,D5362+1))</f>
        <v/>
      </c>
      <c r="H5362" t="str">
        <f>IF(D5362="","",INDEX(Knutepunkter!$D:$D,D5362+1))</f>
        <v/>
      </c>
      <c r="I5362" t="str">
        <f>IF(E5362="","",INDEX(Knutepunkter!$B:$B,E5362+1))</f>
        <v/>
      </c>
      <c r="J5362" t="str">
        <f>IF(E5362="","",INDEX(Knutepunkter!$C:$C,E5362+1))</f>
        <v/>
      </c>
      <c r="K5362" t="str">
        <f>IF(E5362="","",INDEX(Knutepunkter!$D:$D,E5362+1))</f>
        <v/>
      </c>
      <c r="L5362" t="str">
        <f t="shared" si="418"/>
        <v/>
      </c>
      <c r="M5362" t="str">
        <f t="shared" si="419"/>
        <v/>
      </c>
    </row>
    <row r="5363" spans="1:13" x14ac:dyDescent="0.3">
      <c r="A5363" t="str">
        <f>Segmenter!A5363</f>
        <v/>
      </c>
      <c r="B5363" t="str">
        <f>Segmenter!B5363</f>
        <v/>
      </c>
      <c r="C5363" t="str">
        <f t="shared" si="415"/>
        <v/>
      </c>
      <c r="D5363" t="str">
        <f t="shared" si="416"/>
        <v/>
      </c>
      <c r="E5363" t="str">
        <f t="shared" si="417"/>
        <v/>
      </c>
      <c r="F5363" t="str">
        <f>IF(D5363="","",INDEX(Knutepunkter!$B:$B,D5363+1))</f>
        <v/>
      </c>
      <c r="G5363" t="str">
        <f>IF(D5363="","",INDEX(Knutepunkter!$C:$C,D5363+1))</f>
        <v/>
      </c>
      <c r="H5363" t="str">
        <f>IF(D5363="","",INDEX(Knutepunkter!$D:$D,D5363+1))</f>
        <v/>
      </c>
      <c r="I5363" t="str">
        <f>IF(E5363="","",INDEX(Knutepunkter!$B:$B,E5363+1))</f>
        <v/>
      </c>
      <c r="J5363" t="str">
        <f>IF(E5363="","",INDEX(Knutepunkter!$C:$C,E5363+1))</f>
        <v/>
      </c>
      <c r="K5363" t="str">
        <f>IF(E5363="","",INDEX(Knutepunkter!$D:$D,E5363+1))</f>
        <v/>
      </c>
      <c r="L5363" t="str">
        <f t="shared" si="418"/>
        <v/>
      </c>
      <c r="M5363" t="str">
        <f t="shared" si="419"/>
        <v/>
      </c>
    </row>
    <row r="5364" spans="1:13" x14ac:dyDescent="0.3">
      <c r="A5364" t="str">
        <f>Segmenter!A5364</f>
        <v/>
      </c>
      <c r="B5364" t="str">
        <f>Segmenter!B5364</f>
        <v/>
      </c>
      <c r="C5364" t="str">
        <f t="shared" si="415"/>
        <v/>
      </c>
      <c r="D5364" t="str">
        <f t="shared" si="416"/>
        <v/>
      </c>
      <c r="E5364" t="str">
        <f t="shared" si="417"/>
        <v/>
      </c>
      <c r="F5364" t="str">
        <f>IF(D5364="","",INDEX(Knutepunkter!$B:$B,D5364+1))</f>
        <v/>
      </c>
      <c r="G5364" t="str">
        <f>IF(D5364="","",INDEX(Knutepunkter!$C:$C,D5364+1))</f>
        <v/>
      </c>
      <c r="H5364" t="str">
        <f>IF(D5364="","",INDEX(Knutepunkter!$D:$D,D5364+1))</f>
        <v/>
      </c>
      <c r="I5364" t="str">
        <f>IF(E5364="","",INDEX(Knutepunkter!$B:$B,E5364+1))</f>
        <v/>
      </c>
      <c r="J5364" t="str">
        <f>IF(E5364="","",INDEX(Knutepunkter!$C:$C,E5364+1))</f>
        <v/>
      </c>
      <c r="K5364" t="str">
        <f>IF(E5364="","",INDEX(Knutepunkter!$D:$D,E5364+1))</f>
        <v/>
      </c>
      <c r="L5364" t="str">
        <f t="shared" si="418"/>
        <v/>
      </c>
      <c r="M5364" t="str">
        <f t="shared" si="419"/>
        <v/>
      </c>
    </row>
    <row r="5365" spans="1:13" x14ac:dyDescent="0.3">
      <c r="A5365" t="str">
        <f>Segmenter!A5365</f>
        <v/>
      </c>
      <c r="B5365" t="str">
        <f>Segmenter!B5365</f>
        <v/>
      </c>
      <c r="C5365" t="str">
        <f t="shared" si="415"/>
        <v/>
      </c>
      <c r="D5365" t="str">
        <f t="shared" si="416"/>
        <v/>
      </c>
      <c r="E5365" t="str">
        <f t="shared" si="417"/>
        <v/>
      </c>
      <c r="F5365" t="str">
        <f>IF(D5365="","",INDEX(Knutepunkter!$B:$B,D5365+1))</f>
        <v/>
      </c>
      <c r="G5365" t="str">
        <f>IF(D5365="","",INDEX(Knutepunkter!$C:$C,D5365+1))</f>
        <v/>
      </c>
      <c r="H5365" t="str">
        <f>IF(D5365="","",INDEX(Knutepunkter!$D:$D,D5365+1))</f>
        <v/>
      </c>
      <c r="I5365" t="str">
        <f>IF(E5365="","",INDEX(Knutepunkter!$B:$B,E5365+1))</f>
        <v/>
      </c>
      <c r="J5365" t="str">
        <f>IF(E5365="","",INDEX(Knutepunkter!$C:$C,E5365+1))</f>
        <v/>
      </c>
      <c r="K5365" t="str">
        <f>IF(E5365="","",INDEX(Knutepunkter!$D:$D,E5365+1))</f>
        <v/>
      </c>
      <c r="L5365" t="str">
        <f t="shared" si="418"/>
        <v/>
      </c>
      <c r="M5365" t="str">
        <f t="shared" si="419"/>
        <v/>
      </c>
    </row>
    <row r="5366" spans="1:13" x14ac:dyDescent="0.3">
      <c r="A5366" t="str">
        <f>Segmenter!A5366</f>
        <v/>
      </c>
      <c r="B5366" t="str">
        <f>Segmenter!B5366</f>
        <v/>
      </c>
      <c r="C5366" t="str">
        <f t="shared" si="415"/>
        <v/>
      </c>
      <c r="D5366" t="str">
        <f t="shared" si="416"/>
        <v/>
      </c>
      <c r="E5366" t="str">
        <f t="shared" si="417"/>
        <v/>
      </c>
      <c r="F5366" t="str">
        <f>IF(D5366="","",INDEX(Knutepunkter!$B:$B,D5366+1))</f>
        <v/>
      </c>
      <c r="G5366" t="str">
        <f>IF(D5366="","",INDEX(Knutepunkter!$C:$C,D5366+1))</f>
        <v/>
      </c>
      <c r="H5366" t="str">
        <f>IF(D5366="","",INDEX(Knutepunkter!$D:$D,D5366+1))</f>
        <v/>
      </c>
      <c r="I5366" t="str">
        <f>IF(E5366="","",INDEX(Knutepunkter!$B:$B,E5366+1))</f>
        <v/>
      </c>
      <c r="J5366" t="str">
        <f>IF(E5366="","",INDEX(Knutepunkter!$C:$C,E5366+1))</f>
        <v/>
      </c>
      <c r="K5366" t="str">
        <f>IF(E5366="","",INDEX(Knutepunkter!$D:$D,E5366+1))</f>
        <v/>
      </c>
      <c r="L5366" t="str">
        <f t="shared" si="418"/>
        <v/>
      </c>
      <c r="M5366" t="str">
        <f t="shared" si="419"/>
        <v/>
      </c>
    </row>
    <row r="5367" spans="1:13" x14ac:dyDescent="0.3">
      <c r="A5367" t="str">
        <f>Segmenter!A5367</f>
        <v/>
      </c>
      <c r="B5367" t="str">
        <f>Segmenter!B5367</f>
        <v/>
      </c>
      <c r="C5367" t="str">
        <f t="shared" si="415"/>
        <v/>
      </c>
      <c r="D5367" t="str">
        <f t="shared" si="416"/>
        <v/>
      </c>
      <c r="E5367" t="str">
        <f t="shared" si="417"/>
        <v/>
      </c>
      <c r="F5367" t="str">
        <f>IF(D5367="","",INDEX(Knutepunkter!$B:$B,D5367+1))</f>
        <v/>
      </c>
      <c r="G5367" t="str">
        <f>IF(D5367="","",INDEX(Knutepunkter!$C:$C,D5367+1))</f>
        <v/>
      </c>
      <c r="H5367" t="str">
        <f>IF(D5367="","",INDEX(Knutepunkter!$D:$D,D5367+1))</f>
        <v/>
      </c>
      <c r="I5367" t="str">
        <f>IF(E5367="","",INDEX(Knutepunkter!$B:$B,E5367+1))</f>
        <v/>
      </c>
      <c r="J5367" t="str">
        <f>IF(E5367="","",INDEX(Knutepunkter!$C:$C,E5367+1))</f>
        <v/>
      </c>
      <c r="K5367" t="str">
        <f>IF(E5367="","",INDEX(Knutepunkter!$D:$D,E5367+1))</f>
        <v/>
      </c>
      <c r="L5367" t="str">
        <f t="shared" si="418"/>
        <v/>
      </c>
      <c r="M5367" t="str">
        <f t="shared" si="419"/>
        <v/>
      </c>
    </row>
    <row r="5368" spans="1:13" x14ac:dyDescent="0.3">
      <c r="A5368" t="str">
        <f>Segmenter!A5368</f>
        <v/>
      </c>
      <c r="B5368" t="str">
        <f>Segmenter!B5368</f>
        <v/>
      </c>
      <c r="C5368" t="str">
        <f t="shared" si="415"/>
        <v/>
      </c>
      <c r="D5368" t="str">
        <f t="shared" si="416"/>
        <v/>
      </c>
      <c r="E5368" t="str">
        <f t="shared" si="417"/>
        <v/>
      </c>
      <c r="F5368" t="str">
        <f>IF(D5368="","",INDEX(Knutepunkter!$B:$B,D5368+1))</f>
        <v/>
      </c>
      <c r="G5368" t="str">
        <f>IF(D5368="","",INDEX(Knutepunkter!$C:$C,D5368+1))</f>
        <v/>
      </c>
      <c r="H5368" t="str">
        <f>IF(D5368="","",INDEX(Knutepunkter!$D:$D,D5368+1))</f>
        <v/>
      </c>
      <c r="I5368" t="str">
        <f>IF(E5368="","",INDEX(Knutepunkter!$B:$B,E5368+1))</f>
        <v/>
      </c>
      <c r="J5368" t="str">
        <f>IF(E5368="","",INDEX(Knutepunkter!$C:$C,E5368+1))</f>
        <v/>
      </c>
      <c r="K5368" t="str">
        <f>IF(E5368="","",INDEX(Knutepunkter!$D:$D,E5368+1))</f>
        <v/>
      </c>
      <c r="L5368" t="str">
        <f t="shared" si="418"/>
        <v/>
      </c>
      <c r="M5368" t="str">
        <f t="shared" si="419"/>
        <v/>
      </c>
    </row>
    <row r="5369" spans="1:13" x14ac:dyDescent="0.3">
      <c r="A5369" t="str">
        <f>Segmenter!A5369</f>
        <v/>
      </c>
      <c r="B5369" t="str">
        <f>Segmenter!B5369</f>
        <v/>
      </c>
      <c r="C5369" t="str">
        <f t="shared" si="415"/>
        <v/>
      </c>
      <c r="D5369" t="str">
        <f t="shared" si="416"/>
        <v/>
      </c>
      <c r="E5369" t="str">
        <f t="shared" si="417"/>
        <v/>
      </c>
      <c r="F5369" t="str">
        <f>IF(D5369="","",INDEX(Knutepunkter!$B:$B,D5369+1))</f>
        <v/>
      </c>
      <c r="G5369" t="str">
        <f>IF(D5369="","",INDEX(Knutepunkter!$C:$C,D5369+1))</f>
        <v/>
      </c>
      <c r="H5369" t="str">
        <f>IF(D5369="","",INDEX(Knutepunkter!$D:$D,D5369+1))</f>
        <v/>
      </c>
      <c r="I5369" t="str">
        <f>IF(E5369="","",INDEX(Knutepunkter!$B:$B,E5369+1))</f>
        <v/>
      </c>
      <c r="J5369" t="str">
        <f>IF(E5369="","",INDEX(Knutepunkter!$C:$C,E5369+1))</f>
        <v/>
      </c>
      <c r="K5369" t="str">
        <f>IF(E5369="","",INDEX(Knutepunkter!$D:$D,E5369+1))</f>
        <v/>
      </c>
      <c r="L5369" t="str">
        <f t="shared" si="418"/>
        <v/>
      </c>
      <c r="M5369" t="str">
        <f t="shared" si="419"/>
        <v/>
      </c>
    </row>
    <row r="5370" spans="1:13" x14ac:dyDescent="0.3">
      <c r="A5370" t="str">
        <f>Segmenter!A5370</f>
        <v/>
      </c>
      <c r="B5370" t="str">
        <f>Segmenter!B5370</f>
        <v/>
      </c>
      <c r="C5370" t="str">
        <f t="shared" si="415"/>
        <v/>
      </c>
      <c r="D5370" t="str">
        <f t="shared" si="416"/>
        <v/>
      </c>
      <c r="E5370" t="str">
        <f t="shared" si="417"/>
        <v/>
      </c>
      <c r="F5370" t="str">
        <f>IF(D5370="","",INDEX(Knutepunkter!$B:$B,D5370+1))</f>
        <v/>
      </c>
      <c r="G5370" t="str">
        <f>IF(D5370="","",INDEX(Knutepunkter!$C:$C,D5370+1))</f>
        <v/>
      </c>
      <c r="H5370" t="str">
        <f>IF(D5370="","",INDEX(Knutepunkter!$D:$D,D5370+1))</f>
        <v/>
      </c>
      <c r="I5370" t="str">
        <f>IF(E5370="","",INDEX(Knutepunkter!$B:$B,E5370+1))</f>
        <v/>
      </c>
      <c r="J5370" t="str">
        <f>IF(E5370="","",INDEX(Knutepunkter!$C:$C,E5370+1))</f>
        <v/>
      </c>
      <c r="K5370" t="str">
        <f>IF(E5370="","",INDEX(Knutepunkter!$D:$D,E5370+1))</f>
        <v/>
      </c>
      <c r="L5370" t="str">
        <f t="shared" si="418"/>
        <v/>
      </c>
      <c r="M5370" t="str">
        <f t="shared" si="419"/>
        <v/>
      </c>
    </row>
    <row r="5371" spans="1:13" x14ac:dyDescent="0.3">
      <c r="A5371" t="str">
        <f>Segmenter!A5371</f>
        <v/>
      </c>
      <c r="B5371" t="str">
        <f>Segmenter!B5371</f>
        <v/>
      </c>
      <c r="C5371" t="str">
        <f t="shared" si="415"/>
        <v/>
      </c>
      <c r="D5371" t="str">
        <f t="shared" si="416"/>
        <v/>
      </c>
      <c r="E5371" t="str">
        <f t="shared" si="417"/>
        <v/>
      </c>
      <c r="F5371" t="str">
        <f>IF(D5371="","",INDEX(Knutepunkter!$B:$B,D5371+1))</f>
        <v/>
      </c>
      <c r="G5371" t="str">
        <f>IF(D5371="","",INDEX(Knutepunkter!$C:$C,D5371+1))</f>
        <v/>
      </c>
      <c r="H5371" t="str">
        <f>IF(D5371="","",INDEX(Knutepunkter!$D:$D,D5371+1))</f>
        <v/>
      </c>
      <c r="I5371" t="str">
        <f>IF(E5371="","",INDEX(Knutepunkter!$B:$B,E5371+1))</f>
        <v/>
      </c>
      <c r="J5371" t="str">
        <f>IF(E5371="","",INDEX(Knutepunkter!$C:$C,E5371+1))</f>
        <v/>
      </c>
      <c r="K5371" t="str">
        <f>IF(E5371="","",INDEX(Knutepunkter!$D:$D,E5371+1))</f>
        <v/>
      </c>
      <c r="L5371" t="str">
        <f t="shared" si="418"/>
        <v/>
      </c>
      <c r="M5371" t="str">
        <f t="shared" si="419"/>
        <v/>
      </c>
    </row>
    <row r="5372" spans="1:13" x14ac:dyDescent="0.3">
      <c r="A5372" t="str">
        <f>Segmenter!A5372</f>
        <v/>
      </c>
      <c r="B5372" t="str">
        <f>Segmenter!B5372</f>
        <v/>
      </c>
      <c r="C5372" t="str">
        <f t="shared" si="415"/>
        <v/>
      </c>
      <c r="D5372" t="str">
        <f t="shared" si="416"/>
        <v/>
      </c>
      <c r="E5372" t="str">
        <f t="shared" si="417"/>
        <v/>
      </c>
      <c r="F5372" t="str">
        <f>IF(D5372="","",INDEX(Knutepunkter!$B:$B,D5372+1))</f>
        <v/>
      </c>
      <c r="G5372" t="str">
        <f>IF(D5372="","",INDEX(Knutepunkter!$C:$C,D5372+1))</f>
        <v/>
      </c>
      <c r="H5372" t="str">
        <f>IF(D5372="","",INDEX(Knutepunkter!$D:$D,D5372+1))</f>
        <v/>
      </c>
      <c r="I5372" t="str">
        <f>IF(E5372="","",INDEX(Knutepunkter!$B:$B,E5372+1))</f>
        <v/>
      </c>
      <c r="J5372" t="str">
        <f>IF(E5372="","",INDEX(Knutepunkter!$C:$C,E5372+1))</f>
        <v/>
      </c>
      <c r="K5372" t="str">
        <f>IF(E5372="","",INDEX(Knutepunkter!$D:$D,E5372+1))</f>
        <v/>
      </c>
      <c r="L5372" t="str">
        <f t="shared" si="418"/>
        <v/>
      </c>
      <c r="M5372" t="str">
        <f t="shared" si="419"/>
        <v/>
      </c>
    </row>
    <row r="5373" spans="1:13" x14ac:dyDescent="0.3">
      <c r="A5373" t="str">
        <f>Segmenter!A5373</f>
        <v/>
      </c>
      <c r="B5373" t="str">
        <f>Segmenter!B5373</f>
        <v/>
      </c>
      <c r="C5373" t="str">
        <f t="shared" si="415"/>
        <v/>
      </c>
      <c r="D5373" t="str">
        <f t="shared" si="416"/>
        <v/>
      </c>
      <c r="E5373" t="str">
        <f t="shared" si="417"/>
        <v/>
      </c>
      <c r="F5373" t="str">
        <f>IF(D5373="","",INDEX(Knutepunkter!$B:$B,D5373+1))</f>
        <v/>
      </c>
      <c r="G5373" t="str">
        <f>IF(D5373="","",INDEX(Knutepunkter!$C:$C,D5373+1))</f>
        <v/>
      </c>
      <c r="H5373" t="str">
        <f>IF(D5373="","",INDEX(Knutepunkter!$D:$D,D5373+1))</f>
        <v/>
      </c>
      <c r="I5373" t="str">
        <f>IF(E5373="","",INDEX(Knutepunkter!$B:$B,E5373+1))</f>
        <v/>
      </c>
      <c r="J5373" t="str">
        <f>IF(E5373="","",INDEX(Knutepunkter!$C:$C,E5373+1))</f>
        <v/>
      </c>
      <c r="K5373" t="str">
        <f>IF(E5373="","",INDEX(Knutepunkter!$D:$D,E5373+1))</f>
        <v/>
      </c>
      <c r="L5373" t="str">
        <f t="shared" si="418"/>
        <v/>
      </c>
      <c r="M5373" t="str">
        <f t="shared" si="419"/>
        <v/>
      </c>
    </row>
    <row r="5374" spans="1:13" x14ac:dyDescent="0.3">
      <c r="A5374" t="str">
        <f>Segmenter!A5374</f>
        <v/>
      </c>
      <c r="B5374" t="str">
        <f>Segmenter!B5374</f>
        <v/>
      </c>
      <c r="C5374" t="str">
        <f t="shared" si="415"/>
        <v/>
      </c>
      <c r="D5374" t="str">
        <f t="shared" si="416"/>
        <v/>
      </c>
      <c r="E5374" t="str">
        <f t="shared" si="417"/>
        <v/>
      </c>
      <c r="F5374" t="str">
        <f>IF(D5374="","",INDEX(Knutepunkter!$B:$B,D5374+1))</f>
        <v/>
      </c>
      <c r="G5374" t="str">
        <f>IF(D5374="","",INDEX(Knutepunkter!$C:$C,D5374+1))</f>
        <v/>
      </c>
      <c r="H5374" t="str">
        <f>IF(D5374="","",INDEX(Knutepunkter!$D:$D,D5374+1))</f>
        <v/>
      </c>
      <c r="I5374" t="str">
        <f>IF(E5374="","",INDEX(Knutepunkter!$B:$B,E5374+1))</f>
        <v/>
      </c>
      <c r="J5374" t="str">
        <f>IF(E5374="","",INDEX(Knutepunkter!$C:$C,E5374+1))</f>
        <v/>
      </c>
      <c r="K5374" t="str">
        <f>IF(E5374="","",INDEX(Knutepunkter!$D:$D,E5374+1))</f>
        <v/>
      </c>
      <c r="L5374" t="str">
        <f t="shared" si="418"/>
        <v/>
      </c>
      <c r="M5374" t="str">
        <f t="shared" si="419"/>
        <v/>
      </c>
    </row>
    <row r="5375" spans="1:13" x14ac:dyDescent="0.3">
      <c r="A5375" t="str">
        <f>Segmenter!A5375</f>
        <v/>
      </c>
      <c r="B5375" t="str">
        <f>Segmenter!B5375</f>
        <v/>
      </c>
      <c r="C5375" t="str">
        <f t="shared" si="415"/>
        <v/>
      </c>
      <c r="D5375" t="str">
        <f t="shared" si="416"/>
        <v/>
      </c>
      <c r="E5375" t="str">
        <f t="shared" si="417"/>
        <v/>
      </c>
      <c r="F5375" t="str">
        <f>IF(D5375="","",INDEX(Knutepunkter!$B:$B,D5375+1))</f>
        <v/>
      </c>
      <c r="G5375" t="str">
        <f>IF(D5375="","",INDEX(Knutepunkter!$C:$C,D5375+1))</f>
        <v/>
      </c>
      <c r="H5375" t="str">
        <f>IF(D5375="","",INDEX(Knutepunkter!$D:$D,D5375+1))</f>
        <v/>
      </c>
      <c r="I5375" t="str">
        <f>IF(E5375="","",INDEX(Knutepunkter!$B:$B,E5375+1))</f>
        <v/>
      </c>
      <c r="J5375" t="str">
        <f>IF(E5375="","",INDEX(Knutepunkter!$C:$C,E5375+1))</f>
        <v/>
      </c>
      <c r="K5375" t="str">
        <f>IF(E5375="","",INDEX(Knutepunkter!$D:$D,E5375+1))</f>
        <v/>
      </c>
      <c r="L5375" t="str">
        <f t="shared" si="418"/>
        <v/>
      </c>
      <c r="M5375" t="str">
        <f t="shared" si="419"/>
        <v/>
      </c>
    </row>
    <row r="5376" spans="1:13" x14ac:dyDescent="0.3">
      <c r="A5376" t="str">
        <f>Segmenter!A5376</f>
        <v/>
      </c>
      <c r="B5376" t="str">
        <f>Segmenter!B5376</f>
        <v/>
      </c>
      <c r="C5376" t="str">
        <f t="shared" si="415"/>
        <v/>
      </c>
      <c r="D5376" t="str">
        <f t="shared" si="416"/>
        <v/>
      </c>
      <c r="E5376" t="str">
        <f t="shared" si="417"/>
        <v/>
      </c>
      <c r="F5376" t="str">
        <f>IF(D5376="","",INDEX(Knutepunkter!$B:$B,D5376+1))</f>
        <v/>
      </c>
      <c r="G5376" t="str">
        <f>IF(D5376="","",INDEX(Knutepunkter!$C:$C,D5376+1))</f>
        <v/>
      </c>
      <c r="H5376" t="str">
        <f>IF(D5376="","",INDEX(Knutepunkter!$D:$D,D5376+1))</f>
        <v/>
      </c>
      <c r="I5376" t="str">
        <f>IF(E5376="","",INDEX(Knutepunkter!$B:$B,E5376+1))</f>
        <v/>
      </c>
      <c r="J5376" t="str">
        <f>IF(E5376="","",INDEX(Knutepunkter!$C:$C,E5376+1))</f>
        <v/>
      </c>
      <c r="K5376" t="str">
        <f>IF(E5376="","",INDEX(Knutepunkter!$D:$D,E5376+1))</f>
        <v/>
      </c>
      <c r="L5376" t="str">
        <f t="shared" si="418"/>
        <v/>
      </c>
      <c r="M5376" t="str">
        <f t="shared" si="419"/>
        <v/>
      </c>
    </row>
    <row r="5377" spans="1:13" x14ac:dyDescent="0.3">
      <c r="A5377" t="str">
        <f>Segmenter!A5377</f>
        <v/>
      </c>
      <c r="B5377" t="str">
        <f>Segmenter!B5377</f>
        <v/>
      </c>
      <c r="C5377" t="str">
        <f t="shared" si="415"/>
        <v/>
      </c>
      <c r="D5377" t="str">
        <f t="shared" si="416"/>
        <v/>
      </c>
      <c r="E5377" t="str">
        <f t="shared" si="417"/>
        <v/>
      </c>
      <c r="F5377" t="str">
        <f>IF(D5377="","",INDEX(Knutepunkter!$B:$B,D5377+1))</f>
        <v/>
      </c>
      <c r="G5377" t="str">
        <f>IF(D5377="","",INDEX(Knutepunkter!$C:$C,D5377+1))</f>
        <v/>
      </c>
      <c r="H5377" t="str">
        <f>IF(D5377="","",INDEX(Knutepunkter!$D:$D,D5377+1))</f>
        <v/>
      </c>
      <c r="I5377" t="str">
        <f>IF(E5377="","",INDEX(Knutepunkter!$B:$B,E5377+1))</f>
        <v/>
      </c>
      <c r="J5377" t="str">
        <f>IF(E5377="","",INDEX(Knutepunkter!$C:$C,E5377+1))</f>
        <v/>
      </c>
      <c r="K5377" t="str">
        <f>IF(E5377="","",INDEX(Knutepunkter!$D:$D,E5377+1))</f>
        <v/>
      </c>
      <c r="L5377" t="str">
        <f t="shared" si="418"/>
        <v/>
      </c>
      <c r="M5377" t="str">
        <f t="shared" si="419"/>
        <v/>
      </c>
    </row>
    <row r="5378" spans="1:13" x14ac:dyDescent="0.3">
      <c r="A5378" t="str">
        <f>Segmenter!A5378</f>
        <v/>
      </c>
      <c r="B5378" t="str">
        <f>Segmenter!B5378</f>
        <v/>
      </c>
      <c r="C5378" t="str">
        <f t="shared" ref="C5378:C5441" si="420">IF(B5378="","",IF(AND(F5378=I5378,G5378=J5378,H5378&lt;&gt;K5378),"Søyle","Bjelke"))</f>
        <v/>
      </c>
      <c r="D5378" t="str">
        <f t="shared" ref="D5378:D5441" si="421">IF(B5378="","",VALUE(LEFT(B5378,FIND(" -&gt; ",B5378)-1)))</f>
        <v/>
      </c>
      <c r="E5378" t="str">
        <f t="shared" ref="E5378:E5441" si="422">IF(B5378="","",VALUE(MID(B5378,FIND(" -&gt; ",B5378)+4,99)))</f>
        <v/>
      </c>
      <c r="F5378" t="str">
        <f>IF(D5378="","",INDEX(Knutepunkter!$B:$B,D5378+1))</f>
        <v/>
      </c>
      <c r="G5378" t="str">
        <f>IF(D5378="","",INDEX(Knutepunkter!$C:$C,D5378+1))</f>
        <v/>
      </c>
      <c r="H5378" t="str">
        <f>IF(D5378="","",INDEX(Knutepunkter!$D:$D,D5378+1))</f>
        <v/>
      </c>
      <c r="I5378" t="str">
        <f>IF(E5378="","",INDEX(Knutepunkter!$B:$B,E5378+1))</f>
        <v/>
      </c>
      <c r="J5378" t="str">
        <f>IF(E5378="","",INDEX(Knutepunkter!$C:$C,E5378+1))</f>
        <v/>
      </c>
      <c r="K5378" t="str">
        <f>IF(E5378="","",INDEX(Knutepunkter!$D:$D,E5378+1))</f>
        <v/>
      </c>
      <c r="L5378" t="str">
        <f t="shared" ref="L5378:L5441" si="423">IF(B5378="","",SQRT((I5378-F5378)^2+(J5378-G5378)^2+(K5378-H5378)^2))</f>
        <v/>
      </c>
      <c r="M5378" t="str">
        <f t="shared" ref="M5378:M5441" si="424">IF(L5378="","",L5378/1000)</f>
        <v/>
      </c>
    </row>
    <row r="5379" spans="1:13" x14ac:dyDescent="0.3">
      <c r="A5379" t="str">
        <f>Segmenter!A5379</f>
        <v/>
      </c>
      <c r="B5379" t="str">
        <f>Segmenter!B5379</f>
        <v/>
      </c>
      <c r="C5379" t="str">
        <f t="shared" si="420"/>
        <v/>
      </c>
      <c r="D5379" t="str">
        <f t="shared" si="421"/>
        <v/>
      </c>
      <c r="E5379" t="str">
        <f t="shared" si="422"/>
        <v/>
      </c>
      <c r="F5379" t="str">
        <f>IF(D5379="","",INDEX(Knutepunkter!$B:$B,D5379+1))</f>
        <v/>
      </c>
      <c r="G5379" t="str">
        <f>IF(D5379="","",INDEX(Knutepunkter!$C:$C,D5379+1))</f>
        <v/>
      </c>
      <c r="H5379" t="str">
        <f>IF(D5379="","",INDEX(Knutepunkter!$D:$D,D5379+1))</f>
        <v/>
      </c>
      <c r="I5379" t="str">
        <f>IF(E5379="","",INDEX(Knutepunkter!$B:$B,E5379+1))</f>
        <v/>
      </c>
      <c r="J5379" t="str">
        <f>IF(E5379="","",INDEX(Knutepunkter!$C:$C,E5379+1))</f>
        <v/>
      </c>
      <c r="K5379" t="str">
        <f>IF(E5379="","",INDEX(Knutepunkter!$D:$D,E5379+1))</f>
        <v/>
      </c>
      <c r="L5379" t="str">
        <f t="shared" si="423"/>
        <v/>
      </c>
      <c r="M5379" t="str">
        <f t="shared" si="424"/>
        <v/>
      </c>
    </row>
    <row r="5380" spans="1:13" x14ac:dyDescent="0.3">
      <c r="A5380" t="str">
        <f>Segmenter!A5380</f>
        <v/>
      </c>
      <c r="B5380" t="str">
        <f>Segmenter!B5380</f>
        <v/>
      </c>
      <c r="C5380" t="str">
        <f t="shared" si="420"/>
        <v/>
      </c>
      <c r="D5380" t="str">
        <f t="shared" si="421"/>
        <v/>
      </c>
      <c r="E5380" t="str">
        <f t="shared" si="422"/>
        <v/>
      </c>
      <c r="F5380" t="str">
        <f>IF(D5380="","",INDEX(Knutepunkter!$B:$B,D5380+1))</f>
        <v/>
      </c>
      <c r="G5380" t="str">
        <f>IF(D5380="","",INDEX(Knutepunkter!$C:$C,D5380+1))</f>
        <v/>
      </c>
      <c r="H5380" t="str">
        <f>IF(D5380="","",INDEX(Knutepunkter!$D:$D,D5380+1))</f>
        <v/>
      </c>
      <c r="I5380" t="str">
        <f>IF(E5380="","",INDEX(Knutepunkter!$B:$B,E5380+1))</f>
        <v/>
      </c>
      <c r="J5380" t="str">
        <f>IF(E5380="","",INDEX(Knutepunkter!$C:$C,E5380+1))</f>
        <v/>
      </c>
      <c r="K5380" t="str">
        <f>IF(E5380="","",INDEX(Knutepunkter!$D:$D,E5380+1))</f>
        <v/>
      </c>
      <c r="L5380" t="str">
        <f t="shared" si="423"/>
        <v/>
      </c>
      <c r="M5380" t="str">
        <f t="shared" si="424"/>
        <v/>
      </c>
    </row>
    <row r="5381" spans="1:13" x14ac:dyDescent="0.3">
      <c r="A5381" t="str">
        <f>Segmenter!A5381</f>
        <v/>
      </c>
      <c r="B5381" t="str">
        <f>Segmenter!B5381</f>
        <v/>
      </c>
      <c r="C5381" t="str">
        <f t="shared" si="420"/>
        <v/>
      </c>
      <c r="D5381" t="str">
        <f t="shared" si="421"/>
        <v/>
      </c>
      <c r="E5381" t="str">
        <f t="shared" si="422"/>
        <v/>
      </c>
      <c r="F5381" t="str">
        <f>IF(D5381="","",INDEX(Knutepunkter!$B:$B,D5381+1))</f>
        <v/>
      </c>
      <c r="G5381" t="str">
        <f>IF(D5381="","",INDEX(Knutepunkter!$C:$C,D5381+1))</f>
        <v/>
      </c>
      <c r="H5381" t="str">
        <f>IF(D5381="","",INDEX(Knutepunkter!$D:$D,D5381+1))</f>
        <v/>
      </c>
      <c r="I5381" t="str">
        <f>IF(E5381="","",INDEX(Knutepunkter!$B:$B,E5381+1))</f>
        <v/>
      </c>
      <c r="J5381" t="str">
        <f>IF(E5381="","",INDEX(Knutepunkter!$C:$C,E5381+1))</f>
        <v/>
      </c>
      <c r="K5381" t="str">
        <f>IF(E5381="","",INDEX(Knutepunkter!$D:$D,E5381+1))</f>
        <v/>
      </c>
      <c r="L5381" t="str">
        <f t="shared" si="423"/>
        <v/>
      </c>
      <c r="M5381" t="str">
        <f t="shared" si="424"/>
        <v/>
      </c>
    </row>
    <row r="5382" spans="1:13" x14ac:dyDescent="0.3">
      <c r="A5382" t="str">
        <f>Segmenter!A5382</f>
        <v/>
      </c>
      <c r="B5382" t="str">
        <f>Segmenter!B5382</f>
        <v/>
      </c>
      <c r="C5382" t="str">
        <f t="shared" si="420"/>
        <v/>
      </c>
      <c r="D5382" t="str">
        <f t="shared" si="421"/>
        <v/>
      </c>
      <c r="E5382" t="str">
        <f t="shared" si="422"/>
        <v/>
      </c>
      <c r="F5382" t="str">
        <f>IF(D5382="","",INDEX(Knutepunkter!$B:$B,D5382+1))</f>
        <v/>
      </c>
      <c r="G5382" t="str">
        <f>IF(D5382="","",INDEX(Knutepunkter!$C:$C,D5382+1))</f>
        <v/>
      </c>
      <c r="H5382" t="str">
        <f>IF(D5382="","",INDEX(Knutepunkter!$D:$D,D5382+1))</f>
        <v/>
      </c>
      <c r="I5382" t="str">
        <f>IF(E5382="","",INDEX(Knutepunkter!$B:$B,E5382+1))</f>
        <v/>
      </c>
      <c r="J5382" t="str">
        <f>IF(E5382="","",INDEX(Knutepunkter!$C:$C,E5382+1))</f>
        <v/>
      </c>
      <c r="K5382" t="str">
        <f>IF(E5382="","",INDEX(Knutepunkter!$D:$D,E5382+1))</f>
        <v/>
      </c>
      <c r="L5382" t="str">
        <f t="shared" si="423"/>
        <v/>
      </c>
      <c r="M5382" t="str">
        <f t="shared" si="424"/>
        <v/>
      </c>
    </row>
    <row r="5383" spans="1:13" x14ac:dyDescent="0.3">
      <c r="A5383" t="str">
        <f>Segmenter!A5383</f>
        <v/>
      </c>
      <c r="B5383" t="str">
        <f>Segmenter!B5383</f>
        <v/>
      </c>
      <c r="C5383" t="str">
        <f t="shared" si="420"/>
        <v/>
      </c>
      <c r="D5383" t="str">
        <f t="shared" si="421"/>
        <v/>
      </c>
      <c r="E5383" t="str">
        <f t="shared" si="422"/>
        <v/>
      </c>
      <c r="F5383" t="str">
        <f>IF(D5383="","",INDEX(Knutepunkter!$B:$B,D5383+1))</f>
        <v/>
      </c>
      <c r="G5383" t="str">
        <f>IF(D5383="","",INDEX(Knutepunkter!$C:$C,D5383+1))</f>
        <v/>
      </c>
      <c r="H5383" t="str">
        <f>IF(D5383="","",INDEX(Knutepunkter!$D:$D,D5383+1))</f>
        <v/>
      </c>
      <c r="I5383" t="str">
        <f>IF(E5383="","",INDEX(Knutepunkter!$B:$B,E5383+1))</f>
        <v/>
      </c>
      <c r="J5383" t="str">
        <f>IF(E5383="","",INDEX(Knutepunkter!$C:$C,E5383+1))</f>
        <v/>
      </c>
      <c r="K5383" t="str">
        <f>IF(E5383="","",INDEX(Knutepunkter!$D:$D,E5383+1))</f>
        <v/>
      </c>
      <c r="L5383" t="str">
        <f t="shared" si="423"/>
        <v/>
      </c>
      <c r="M5383" t="str">
        <f t="shared" si="424"/>
        <v/>
      </c>
    </row>
    <row r="5384" spans="1:13" x14ac:dyDescent="0.3">
      <c r="A5384" t="str">
        <f>Segmenter!A5384</f>
        <v/>
      </c>
      <c r="B5384" t="str">
        <f>Segmenter!B5384</f>
        <v/>
      </c>
      <c r="C5384" t="str">
        <f t="shared" si="420"/>
        <v/>
      </c>
      <c r="D5384" t="str">
        <f t="shared" si="421"/>
        <v/>
      </c>
      <c r="E5384" t="str">
        <f t="shared" si="422"/>
        <v/>
      </c>
      <c r="F5384" t="str">
        <f>IF(D5384="","",INDEX(Knutepunkter!$B:$B,D5384+1))</f>
        <v/>
      </c>
      <c r="G5384" t="str">
        <f>IF(D5384="","",INDEX(Knutepunkter!$C:$C,D5384+1))</f>
        <v/>
      </c>
      <c r="H5384" t="str">
        <f>IF(D5384="","",INDEX(Knutepunkter!$D:$D,D5384+1))</f>
        <v/>
      </c>
      <c r="I5384" t="str">
        <f>IF(E5384="","",INDEX(Knutepunkter!$B:$B,E5384+1))</f>
        <v/>
      </c>
      <c r="J5384" t="str">
        <f>IF(E5384="","",INDEX(Knutepunkter!$C:$C,E5384+1))</f>
        <v/>
      </c>
      <c r="K5384" t="str">
        <f>IF(E5384="","",INDEX(Knutepunkter!$D:$D,E5384+1))</f>
        <v/>
      </c>
      <c r="L5384" t="str">
        <f t="shared" si="423"/>
        <v/>
      </c>
      <c r="M5384" t="str">
        <f t="shared" si="424"/>
        <v/>
      </c>
    </row>
    <row r="5385" spans="1:13" x14ac:dyDescent="0.3">
      <c r="A5385" t="str">
        <f>Segmenter!A5385</f>
        <v/>
      </c>
      <c r="B5385" t="str">
        <f>Segmenter!B5385</f>
        <v/>
      </c>
      <c r="C5385" t="str">
        <f t="shared" si="420"/>
        <v/>
      </c>
      <c r="D5385" t="str">
        <f t="shared" si="421"/>
        <v/>
      </c>
      <c r="E5385" t="str">
        <f t="shared" si="422"/>
        <v/>
      </c>
      <c r="F5385" t="str">
        <f>IF(D5385="","",INDEX(Knutepunkter!$B:$B,D5385+1))</f>
        <v/>
      </c>
      <c r="G5385" t="str">
        <f>IF(D5385="","",INDEX(Knutepunkter!$C:$C,D5385+1))</f>
        <v/>
      </c>
      <c r="H5385" t="str">
        <f>IF(D5385="","",INDEX(Knutepunkter!$D:$D,D5385+1))</f>
        <v/>
      </c>
      <c r="I5385" t="str">
        <f>IF(E5385="","",INDEX(Knutepunkter!$B:$B,E5385+1))</f>
        <v/>
      </c>
      <c r="J5385" t="str">
        <f>IF(E5385="","",INDEX(Knutepunkter!$C:$C,E5385+1))</f>
        <v/>
      </c>
      <c r="K5385" t="str">
        <f>IF(E5385="","",INDEX(Knutepunkter!$D:$D,E5385+1))</f>
        <v/>
      </c>
      <c r="L5385" t="str">
        <f t="shared" si="423"/>
        <v/>
      </c>
      <c r="M5385" t="str">
        <f t="shared" si="424"/>
        <v/>
      </c>
    </row>
    <row r="5386" spans="1:13" x14ac:dyDescent="0.3">
      <c r="A5386" t="str">
        <f>Segmenter!A5386</f>
        <v/>
      </c>
      <c r="B5386" t="str">
        <f>Segmenter!B5386</f>
        <v/>
      </c>
      <c r="C5386" t="str">
        <f t="shared" si="420"/>
        <v/>
      </c>
      <c r="D5386" t="str">
        <f t="shared" si="421"/>
        <v/>
      </c>
      <c r="E5386" t="str">
        <f t="shared" si="422"/>
        <v/>
      </c>
      <c r="F5386" t="str">
        <f>IF(D5386="","",INDEX(Knutepunkter!$B:$B,D5386+1))</f>
        <v/>
      </c>
      <c r="G5386" t="str">
        <f>IF(D5386="","",INDEX(Knutepunkter!$C:$C,D5386+1))</f>
        <v/>
      </c>
      <c r="H5386" t="str">
        <f>IF(D5386="","",INDEX(Knutepunkter!$D:$D,D5386+1))</f>
        <v/>
      </c>
      <c r="I5386" t="str">
        <f>IF(E5386="","",INDEX(Knutepunkter!$B:$B,E5386+1))</f>
        <v/>
      </c>
      <c r="J5386" t="str">
        <f>IF(E5386="","",INDEX(Knutepunkter!$C:$C,E5386+1))</f>
        <v/>
      </c>
      <c r="K5386" t="str">
        <f>IF(E5386="","",INDEX(Knutepunkter!$D:$D,E5386+1))</f>
        <v/>
      </c>
      <c r="L5386" t="str">
        <f t="shared" si="423"/>
        <v/>
      </c>
      <c r="M5386" t="str">
        <f t="shared" si="424"/>
        <v/>
      </c>
    </row>
    <row r="5387" spans="1:13" x14ac:dyDescent="0.3">
      <c r="A5387" t="str">
        <f>Segmenter!A5387</f>
        <v/>
      </c>
      <c r="B5387" t="str">
        <f>Segmenter!B5387</f>
        <v/>
      </c>
      <c r="C5387" t="str">
        <f t="shared" si="420"/>
        <v/>
      </c>
      <c r="D5387" t="str">
        <f t="shared" si="421"/>
        <v/>
      </c>
      <c r="E5387" t="str">
        <f t="shared" si="422"/>
        <v/>
      </c>
      <c r="F5387" t="str">
        <f>IF(D5387="","",INDEX(Knutepunkter!$B:$B,D5387+1))</f>
        <v/>
      </c>
      <c r="G5387" t="str">
        <f>IF(D5387="","",INDEX(Knutepunkter!$C:$C,D5387+1))</f>
        <v/>
      </c>
      <c r="H5387" t="str">
        <f>IF(D5387="","",INDEX(Knutepunkter!$D:$D,D5387+1))</f>
        <v/>
      </c>
      <c r="I5387" t="str">
        <f>IF(E5387="","",INDEX(Knutepunkter!$B:$B,E5387+1))</f>
        <v/>
      </c>
      <c r="J5387" t="str">
        <f>IF(E5387="","",INDEX(Knutepunkter!$C:$C,E5387+1))</f>
        <v/>
      </c>
      <c r="K5387" t="str">
        <f>IF(E5387="","",INDEX(Knutepunkter!$D:$D,E5387+1))</f>
        <v/>
      </c>
      <c r="L5387" t="str">
        <f t="shared" si="423"/>
        <v/>
      </c>
      <c r="M5387" t="str">
        <f t="shared" si="424"/>
        <v/>
      </c>
    </row>
    <row r="5388" spans="1:13" x14ac:dyDescent="0.3">
      <c r="A5388" t="str">
        <f>Segmenter!A5388</f>
        <v/>
      </c>
      <c r="B5388" t="str">
        <f>Segmenter!B5388</f>
        <v/>
      </c>
      <c r="C5388" t="str">
        <f t="shared" si="420"/>
        <v/>
      </c>
      <c r="D5388" t="str">
        <f t="shared" si="421"/>
        <v/>
      </c>
      <c r="E5388" t="str">
        <f t="shared" si="422"/>
        <v/>
      </c>
      <c r="F5388" t="str">
        <f>IF(D5388="","",INDEX(Knutepunkter!$B:$B,D5388+1))</f>
        <v/>
      </c>
      <c r="G5388" t="str">
        <f>IF(D5388="","",INDEX(Knutepunkter!$C:$C,D5388+1))</f>
        <v/>
      </c>
      <c r="H5388" t="str">
        <f>IF(D5388="","",INDEX(Knutepunkter!$D:$D,D5388+1))</f>
        <v/>
      </c>
      <c r="I5388" t="str">
        <f>IF(E5388="","",INDEX(Knutepunkter!$B:$B,E5388+1))</f>
        <v/>
      </c>
      <c r="J5388" t="str">
        <f>IF(E5388="","",INDEX(Knutepunkter!$C:$C,E5388+1))</f>
        <v/>
      </c>
      <c r="K5388" t="str">
        <f>IF(E5388="","",INDEX(Knutepunkter!$D:$D,E5388+1))</f>
        <v/>
      </c>
      <c r="L5388" t="str">
        <f t="shared" si="423"/>
        <v/>
      </c>
      <c r="M5388" t="str">
        <f t="shared" si="424"/>
        <v/>
      </c>
    </row>
    <row r="5389" spans="1:13" x14ac:dyDescent="0.3">
      <c r="A5389" t="str">
        <f>Segmenter!A5389</f>
        <v/>
      </c>
      <c r="B5389" t="str">
        <f>Segmenter!B5389</f>
        <v/>
      </c>
      <c r="C5389" t="str">
        <f t="shared" si="420"/>
        <v/>
      </c>
      <c r="D5389" t="str">
        <f t="shared" si="421"/>
        <v/>
      </c>
      <c r="E5389" t="str">
        <f t="shared" si="422"/>
        <v/>
      </c>
      <c r="F5389" t="str">
        <f>IF(D5389="","",INDEX(Knutepunkter!$B:$B,D5389+1))</f>
        <v/>
      </c>
      <c r="G5389" t="str">
        <f>IF(D5389="","",INDEX(Knutepunkter!$C:$C,D5389+1))</f>
        <v/>
      </c>
      <c r="H5389" t="str">
        <f>IF(D5389="","",INDEX(Knutepunkter!$D:$D,D5389+1))</f>
        <v/>
      </c>
      <c r="I5389" t="str">
        <f>IF(E5389="","",INDEX(Knutepunkter!$B:$B,E5389+1))</f>
        <v/>
      </c>
      <c r="J5389" t="str">
        <f>IF(E5389="","",INDEX(Knutepunkter!$C:$C,E5389+1))</f>
        <v/>
      </c>
      <c r="K5389" t="str">
        <f>IF(E5389="","",INDEX(Knutepunkter!$D:$D,E5389+1))</f>
        <v/>
      </c>
      <c r="L5389" t="str">
        <f t="shared" si="423"/>
        <v/>
      </c>
      <c r="M5389" t="str">
        <f t="shared" si="424"/>
        <v/>
      </c>
    </row>
    <row r="5390" spans="1:13" x14ac:dyDescent="0.3">
      <c r="A5390" t="str">
        <f>Segmenter!A5390</f>
        <v/>
      </c>
      <c r="B5390" t="str">
        <f>Segmenter!B5390</f>
        <v/>
      </c>
      <c r="C5390" t="str">
        <f t="shared" si="420"/>
        <v/>
      </c>
      <c r="D5390" t="str">
        <f t="shared" si="421"/>
        <v/>
      </c>
      <c r="E5390" t="str">
        <f t="shared" si="422"/>
        <v/>
      </c>
      <c r="F5390" t="str">
        <f>IF(D5390="","",INDEX(Knutepunkter!$B:$B,D5390+1))</f>
        <v/>
      </c>
      <c r="G5390" t="str">
        <f>IF(D5390="","",INDEX(Knutepunkter!$C:$C,D5390+1))</f>
        <v/>
      </c>
      <c r="H5390" t="str">
        <f>IF(D5390="","",INDEX(Knutepunkter!$D:$D,D5390+1))</f>
        <v/>
      </c>
      <c r="I5390" t="str">
        <f>IF(E5390="","",INDEX(Knutepunkter!$B:$B,E5390+1))</f>
        <v/>
      </c>
      <c r="J5390" t="str">
        <f>IF(E5390="","",INDEX(Knutepunkter!$C:$C,E5390+1))</f>
        <v/>
      </c>
      <c r="K5390" t="str">
        <f>IF(E5390="","",INDEX(Knutepunkter!$D:$D,E5390+1))</f>
        <v/>
      </c>
      <c r="L5390" t="str">
        <f t="shared" si="423"/>
        <v/>
      </c>
      <c r="M5390" t="str">
        <f t="shared" si="424"/>
        <v/>
      </c>
    </row>
    <row r="5391" spans="1:13" x14ac:dyDescent="0.3">
      <c r="A5391" t="str">
        <f>Segmenter!A5391</f>
        <v/>
      </c>
      <c r="B5391" t="str">
        <f>Segmenter!B5391</f>
        <v/>
      </c>
      <c r="C5391" t="str">
        <f t="shared" si="420"/>
        <v/>
      </c>
      <c r="D5391" t="str">
        <f t="shared" si="421"/>
        <v/>
      </c>
      <c r="E5391" t="str">
        <f t="shared" si="422"/>
        <v/>
      </c>
      <c r="F5391" t="str">
        <f>IF(D5391="","",INDEX(Knutepunkter!$B:$B,D5391+1))</f>
        <v/>
      </c>
      <c r="G5391" t="str">
        <f>IF(D5391="","",INDEX(Knutepunkter!$C:$C,D5391+1))</f>
        <v/>
      </c>
      <c r="H5391" t="str">
        <f>IF(D5391="","",INDEX(Knutepunkter!$D:$D,D5391+1))</f>
        <v/>
      </c>
      <c r="I5391" t="str">
        <f>IF(E5391="","",INDEX(Knutepunkter!$B:$B,E5391+1))</f>
        <v/>
      </c>
      <c r="J5391" t="str">
        <f>IF(E5391="","",INDEX(Knutepunkter!$C:$C,E5391+1))</f>
        <v/>
      </c>
      <c r="K5391" t="str">
        <f>IF(E5391="","",INDEX(Knutepunkter!$D:$D,E5391+1))</f>
        <v/>
      </c>
      <c r="L5391" t="str">
        <f t="shared" si="423"/>
        <v/>
      </c>
      <c r="M5391" t="str">
        <f t="shared" si="424"/>
        <v/>
      </c>
    </row>
    <row r="5392" spans="1:13" x14ac:dyDescent="0.3">
      <c r="A5392" t="str">
        <f>Segmenter!A5392</f>
        <v/>
      </c>
      <c r="B5392" t="str">
        <f>Segmenter!B5392</f>
        <v/>
      </c>
      <c r="C5392" t="str">
        <f t="shared" si="420"/>
        <v/>
      </c>
      <c r="D5392" t="str">
        <f t="shared" si="421"/>
        <v/>
      </c>
      <c r="E5392" t="str">
        <f t="shared" si="422"/>
        <v/>
      </c>
      <c r="F5392" t="str">
        <f>IF(D5392="","",INDEX(Knutepunkter!$B:$B,D5392+1))</f>
        <v/>
      </c>
      <c r="G5392" t="str">
        <f>IF(D5392="","",INDEX(Knutepunkter!$C:$C,D5392+1))</f>
        <v/>
      </c>
      <c r="H5392" t="str">
        <f>IF(D5392="","",INDEX(Knutepunkter!$D:$D,D5392+1))</f>
        <v/>
      </c>
      <c r="I5392" t="str">
        <f>IF(E5392="","",INDEX(Knutepunkter!$B:$B,E5392+1))</f>
        <v/>
      </c>
      <c r="J5392" t="str">
        <f>IF(E5392="","",INDEX(Knutepunkter!$C:$C,E5392+1))</f>
        <v/>
      </c>
      <c r="K5392" t="str">
        <f>IF(E5392="","",INDEX(Knutepunkter!$D:$D,E5392+1))</f>
        <v/>
      </c>
      <c r="L5392" t="str">
        <f t="shared" si="423"/>
        <v/>
      </c>
      <c r="M5392" t="str">
        <f t="shared" si="424"/>
        <v/>
      </c>
    </row>
    <row r="5393" spans="1:13" x14ac:dyDescent="0.3">
      <c r="A5393" t="str">
        <f>Segmenter!A5393</f>
        <v/>
      </c>
      <c r="B5393" t="str">
        <f>Segmenter!B5393</f>
        <v/>
      </c>
      <c r="C5393" t="str">
        <f t="shared" si="420"/>
        <v/>
      </c>
      <c r="D5393" t="str">
        <f t="shared" si="421"/>
        <v/>
      </c>
      <c r="E5393" t="str">
        <f t="shared" si="422"/>
        <v/>
      </c>
      <c r="F5393" t="str">
        <f>IF(D5393="","",INDEX(Knutepunkter!$B:$B,D5393+1))</f>
        <v/>
      </c>
      <c r="G5393" t="str">
        <f>IF(D5393="","",INDEX(Knutepunkter!$C:$C,D5393+1))</f>
        <v/>
      </c>
      <c r="H5393" t="str">
        <f>IF(D5393="","",INDEX(Knutepunkter!$D:$D,D5393+1))</f>
        <v/>
      </c>
      <c r="I5393" t="str">
        <f>IF(E5393="","",INDEX(Knutepunkter!$B:$B,E5393+1))</f>
        <v/>
      </c>
      <c r="J5393" t="str">
        <f>IF(E5393="","",INDEX(Knutepunkter!$C:$C,E5393+1))</f>
        <v/>
      </c>
      <c r="K5393" t="str">
        <f>IF(E5393="","",INDEX(Knutepunkter!$D:$D,E5393+1))</f>
        <v/>
      </c>
      <c r="L5393" t="str">
        <f t="shared" si="423"/>
        <v/>
      </c>
      <c r="M5393" t="str">
        <f t="shared" si="424"/>
        <v/>
      </c>
    </row>
    <row r="5394" spans="1:13" x14ac:dyDescent="0.3">
      <c r="A5394" t="str">
        <f>Segmenter!A5394</f>
        <v/>
      </c>
      <c r="B5394" t="str">
        <f>Segmenter!B5394</f>
        <v/>
      </c>
      <c r="C5394" t="str">
        <f t="shared" si="420"/>
        <v/>
      </c>
      <c r="D5394" t="str">
        <f t="shared" si="421"/>
        <v/>
      </c>
      <c r="E5394" t="str">
        <f t="shared" si="422"/>
        <v/>
      </c>
      <c r="F5394" t="str">
        <f>IF(D5394="","",INDEX(Knutepunkter!$B:$B,D5394+1))</f>
        <v/>
      </c>
      <c r="G5394" t="str">
        <f>IF(D5394="","",INDEX(Knutepunkter!$C:$C,D5394+1))</f>
        <v/>
      </c>
      <c r="H5394" t="str">
        <f>IF(D5394="","",INDEX(Knutepunkter!$D:$D,D5394+1))</f>
        <v/>
      </c>
      <c r="I5394" t="str">
        <f>IF(E5394="","",INDEX(Knutepunkter!$B:$B,E5394+1))</f>
        <v/>
      </c>
      <c r="J5394" t="str">
        <f>IF(E5394="","",INDEX(Knutepunkter!$C:$C,E5394+1))</f>
        <v/>
      </c>
      <c r="K5394" t="str">
        <f>IF(E5394="","",INDEX(Knutepunkter!$D:$D,E5394+1))</f>
        <v/>
      </c>
      <c r="L5394" t="str">
        <f t="shared" si="423"/>
        <v/>
      </c>
      <c r="M5394" t="str">
        <f t="shared" si="424"/>
        <v/>
      </c>
    </row>
    <row r="5395" spans="1:13" x14ac:dyDescent="0.3">
      <c r="A5395" t="str">
        <f>Segmenter!A5395</f>
        <v/>
      </c>
      <c r="B5395" t="str">
        <f>Segmenter!B5395</f>
        <v/>
      </c>
      <c r="C5395" t="str">
        <f t="shared" si="420"/>
        <v/>
      </c>
      <c r="D5395" t="str">
        <f t="shared" si="421"/>
        <v/>
      </c>
      <c r="E5395" t="str">
        <f t="shared" si="422"/>
        <v/>
      </c>
      <c r="F5395" t="str">
        <f>IF(D5395="","",INDEX(Knutepunkter!$B:$B,D5395+1))</f>
        <v/>
      </c>
      <c r="G5395" t="str">
        <f>IF(D5395="","",INDEX(Knutepunkter!$C:$C,D5395+1))</f>
        <v/>
      </c>
      <c r="H5395" t="str">
        <f>IF(D5395="","",INDEX(Knutepunkter!$D:$D,D5395+1))</f>
        <v/>
      </c>
      <c r="I5395" t="str">
        <f>IF(E5395="","",INDEX(Knutepunkter!$B:$B,E5395+1))</f>
        <v/>
      </c>
      <c r="J5395" t="str">
        <f>IF(E5395="","",INDEX(Knutepunkter!$C:$C,E5395+1))</f>
        <v/>
      </c>
      <c r="K5395" t="str">
        <f>IF(E5395="","",INDEX(Knutepunkter!$D:$D,E5395+1))</f>
        <v/>
      </c>
      <c r="L5395" t="str">
        <f t="shared" si="423"/>
        <v/>
      </c>
      <c r="M5395" t="str">
        <f t="shared" si="424"/>
        <v/>
      </c>
    </row>
    <row r="5396" spans="1:13" x14ac:dyDescent="0.3">
      <c r="A5396" t="str">
        <f>Segmenter!A5396</f>
        <v/>
      </c>
      <c r="B5396" t="str">
        <f>Segmenter!B5396</f>
        <v/>
      </c>
      <c r="C5396" t="str">
        <f t="shared" si="420"/>
        <v/>
      </c>
      <c r="D5396" t="str">
        <f t="shared" si="421"/>
        <v/>
      </c>
      <c r="E5396" t="str">
        <f t="shared" si="422"/>
        <v/>
      </c>
      <c r="F5396" t="str">
        <f>IF(D5396="","",INDEX(Knutepunkter!$B:$B,D5396+1))</f>
        <v/>
      </c>
      <c r="G5396" t="str">
        <f>IF(D5396="","",INDEX(Knutepunkter!$C:$C,D5396+1))</f>
        <v/>
      </c>
      <c r="H5396" t="str">
        <f>IF(D5396="","",INDEX(Knutepunkter!$D:$D,D5396+1))</f>
        <v/>
      </c>
      <c r="I5396" t="str">
        <f>IF(E5396="","",INDEX(Knutepunkter!$B:$B,E5396+1))</f>
        <v/>
      </c>
      <c r="J5396" t="str">
        <f>IF(E5396="","",INDEX(Knutepunkter!$C:$C,E5396+1))</f>
        <v/>
      </c>
      <c r="K5396" t="str">
        <f>IF(E5396="","",INDEX(Knutepunkter!$D:$D,E5396+1))</f>
        <v/>
      </c>
      <c r="L5396" t="str">
        <f t="shared" si="423"/>
        <v/>
      </c>
      <c r="M5396" t="str">
        <f t="shared" si="424"/>
        <v/>
      </c>
    </row>
    <row r="5397" spans="1:13" x14ac:dyDescent="0.3">
      <c r="A5397" t="str">
        <f>Segmenter!A5397</f>
        <v/>
      </c>
      <c r="B5397" t="str">
        <f>Segmenter!B5397</f>
        <v/>
      </c>
      <c r="C5397" t="str">
        <f t="shared" si="420"/>
        <v/>
      </c>
      <c r="D5397" t="str">
        <f t="shared" si="421"/>
        <v/>
      </c>
      <c r="E5397" t="str">
        <f t="shared" si="422"/>
        <v/>
      </c>
      <c r="F5397" t="str">
        <f>IF(D5397="","",INDEX(Knutepunkter!$B:$B,D5397+1))</f>
        <v/>
      </c>
      <c r="G5397" t="str">
        <f>IF(D5397="","",INDEX(Knutepunkter!$C:$C,D5397+1))</f>
        <v/>
      </c>
      <c r="H5397" t="str">
        <f>IF(D5397="","",INDEX(Knutepunkter!$D:$D,D5397+1))</f>
        <v/>
      </c>
      <c r="I5397" t="str">
        <f>IF(E5397="","",INDEX(Knutepunkter!$B:$B,E5397+1))</f>
        <v/>
      </c>
      <c r="J5397" t="str">
        <f>IF(E5397="","",INDEX(Knutepunkter!$C:$C,E5397+1))</f>
        <v/>
      </c>
      <c r="K5397" t="str">
        <f>IF(E5397="","",INDEX(Knutepunkter!$D:$D,E5397+1))</f>
        <v/>
      </c>
      <c r="L5397" t="str">
        <f t="shared" si="423"/>
        <v/>
      </c>
      <c r="M5397" t="str">
        <f t="shared" si="424"/>
        <v/>
      </c>
    </row>
    <row r="5398" spans="1:13" x14ac:dyDescent="0.3">
      <c r="A5398" t="str">
        <f>Segmenter!A5398</f>
        <v/>
      </c>
      <c r="B5398" t="str">
        <f>Segmenter!B5398</f>
        <v/>
      </c>
      <c r="C5398" t="str">
        <f t="shared" si="420"/>
        <v/>
      </c>
      <c r="D5398" t="str">
        <f t="shared" si="421"/>
        <v/>
      </c>
      <c r="E5398" t="str">
        <f t="shared" si="422"/>
        <v/>
      </c>
      <c r="F5398" t="str">
        <f>IF(D5398="","",INDEX(Knutepunkter!$B:$B,D5398+1))</f>
        <v/>
      </c>
      <c r="G5398" t="str">
        <f>IF(D5398="","",INDEX(Knutepunkter!$C:$C,D5398+1))</f>
        <v/>
      </c>
      <c r="H5398" t="str">
        <f>IF(D5398="","",INDEX(Knutepunkter!$D:$D,D5398+1))</f>
        <v/>
      </c>
      <c r="I5398" t="str">
        <f>IF(E5398="","",INDEX(Knutepunkter!$B:$B,E5398+1))</f>
        <v/>
      </c>
      <c r="J5398" t="str">
        <f>IF(E5398="","",INDEX(Knutepunkter!$C:$C,E5398+1))</f>
        <v/>
      </c>
      <c r="K5398" t="str">
        <f>IF(E5398="","",INDEX(Knutepunkter!$D:$D,E5398+1))</f>
        <v/>
      </c>
      <c r="L5398" t="str">
        <f t="shared" si="423"/>
        <v/>
      </c>
      <c r="M5398" t="str">
        <f t="shared" si="424"/>
        <v/>
      </c>
    </row>
    <row r="5399" spans="1:13" x14ac:dyDescent="0.3">
      <c r="A5399" t="str">
        <f>Segmenter!A5399</f>
        <v/>
      </c>
      <c r="B5399" t="str">
        <f>Segmenter!B5399</f>
        <v/>
      </c>
      <c r="C5399" t="str">
        <f t="shared" si="420"/>
        <v/>
      </c>
      <c r="D5399" t="str">
        <f t="shared" si="421"/>
        <v/>
      </c>
      <c r="E5399" t="str">
        <f t="shared" si="422"/>
        <v/>
      </c>
      <c r="F5399" t="str">
        <f>IF(D5399="","",INDEX(Knutepunkter!$B:$B,D5399+1))</f>
        <v/>
      </c>
      <c r="G5399" t="str">
        <f>IF(D5399="","",INDEX(Knutepunkter!$C:$C,D5399+1))</f>
        <v/>
      </c>
      <c r="H5399" t="str">
        <f>IF(D5399="","",INDEX(Knutepunkter!$D:$D,D5399+1))</f>
        <v/>
      </c>
      <c r="I5399" t="str">
        <f>IF(E5399="","",INDEX(Knutepunkter!$B:$B,E5399+1))</f>
        <v/>
      </c>
      <c r="J5399" t="str">
        <f>IF(E5399="","",INDEX(Knutepunkter!$C:$C,E5399+1))</f>
        <v/>
      </c>
      <c r="K5399" t="str">
        <f>IF(E5399="","",INDEX(Knutepunkter!$D:$D,E5399+1))</f>
        <v/>
      </c>
      <c r="L5399" t="str">
        <f t="shared" si="423"/>
        <v/>
      </c>
      <c r="M5399" t="str">
        <f t="shared" si="424"/>
        <v/>
      </c>
    </row>
    <row r="5400" spans="1:13" x14ac:dyDescent="0.3">
      <c r="A5400" t="str">
        <f>Segmenter!A5400</f>
        <v/>
      </c>
      <c r="B5400" t="str">
        <f>Segmenter!B5400</f>
        <v/>
      </c>
      <c r="C5400" t="str">
        <f t="shared" si="420"/>
        <v/>
      </c>
      <c r="D5400" t="str">
        <f t="shared" si="421"/>
        <v/>
      </c>
      <c r="E5400" t="str">
        <f t="shared" si="422"/>
        <v/>
      </c>
      <c r="F5400" t="str">
        <f>IF(D5400="","",INDEX(Knutepunkter!$B:$B,D5400+1))</f>
        <v/>
      </c>
      <c r="G5400" t="str">
        <f>IF(D5400="","",INDEX(Knutepunkter!$C:$C,D5400+1))</f>
        <v/>
      </c>
      <c r="H5400" t="str">
        <f>IF(D5400="","",INDEX(Knutepunkter!$D:$D,D5400+1))</f>
        <v/>
      </c>
      <c r="I5400" t="str">
        <f>IF(E5400="","",INDEX(Knutepunkter!$B:$B,E5400+1))</f>
        <v/>
      </c>
      <c r="J5400" t="str">
        <f>IF(E5400="","",INDEX(Knutepunkter!$C:$C,E5400+1))</f>
        <v/>
      </c>
      <c r="K5400" t="str">
        <f>IF(E5400="","",INDEX(Knutepunkter!$D:$D,E5400+1))</f>
        <v/>
      </c>
      <c r="L5400" t="str">
        <f t="shared" si="423"/>
        <v/>
      </c>
      <c r="M5400" t="str">
        <f t="shared" si="424"/>
        <v/>
      </c>
    </row>
    <row r="5401" spans="1:13" x14ac:dyDescent="0.3">
      <c r="A5401" t="str">
        <f>Segmenter!A5401</f>
        <v/>
      </c>
      <c r="B5401" t="str">
        <f>Segmenter!B5401</f>
        <v/>
      </c>
      <c r="C5401" t="str">
        <f t="shared" si="420"/>
        <v/>
      </c>
      <c r="D5401" t="str">
        <f t="shared" si="421"/>
        <v/>
      </c>
      <c r="E5401" t="str">
        <f t="shared" si="422"/>
        <v/>
      </c>
      <c r="F5401" t="str">
        <f>IF(D5401="","",INDEX(Knutepunkter!$B:$B,D5401+1))</f>
        <v/>
      </c>
      <c r="G5401" t="str">
        <f>IF(D5401="","",INDEX(Knutepunkter!$C:$C,D5401+1))</f>
        <v/>
      </c>
      <c r="H5401" t="str">
        <f>IF(D5401="","",INDEX(Knutepunkter!$D:$D,D5401+1))</f>
        <v/>
      </c>
      <c r="I5401" t="str">
        <f>IF(E5401="","",INDEX(Knutepunkter!$B:$B,E5401+1))</f>
        <v/>
      </c>
      <c r="J5401" t="str">
        <f>IF(E5401="","",INDEX(Knutepunkter!$C:$C,E5401+1))</f>
        <v/>
      </c>
      <c r="K5401" t="str">
        <f>IF(E5401="","",INDEX(Knutepunkter!$D:$D,E5401+1))</f>
        <v/>
      </c>
      <c r="L5401" t="str">
        <f t="shared" si="423"/>
        <v/>
      </c>
      <c r="M5401" t="str">
        <f t="shared" si="424"/>
        <v/>
      </c>
    </row>
    <row r="5402" spans="1:13" x14ac:dyDescent="0.3">
      <c r="A5402" t="str">
        <f>Segmenter!A5402</f>
        <v/>
      </c>
      <c r="B5402" t="str">
        <f>Segmenter!B5402</f>
        <v/>
      </c>
      <c r="C5402" t="str">
        <f t="shared" si="420"/>
        <v/>
      </c>
      <c r="D5402" t="str">
        <f t="shared" si="421"/>
        <v/>
      </c>
      <c r="E5402" t="str">
        <f t="shared" si="422"/>
        <v/>
      </c>
      <c r="F5402" t="str">
        <f>IF(D5402="","",INDEX(Knutepunkter!$B:$B,D5402+1))</f>
        <v/>
      </c>
      <c r="G5402" t="str">
        <f>IF(D5402="","",INDEX(Knutepunkter!$C:$C,D5402+1))</f>
        <v/>
      </c>
      <c r="H5402" t="str">
        <f>IF(D5402="","",INDEX(Knutepunkter!$D:$D,D5402+1))</f>
        <v/>
      </c>
      <c r="I5402" t="str">
        <f>IF(E5402="","",INDEX(Knutepunkter!$B:$B,E5402+1))</f>
        <v/>
      </c>
      <c r="J5402" t="str">
        <f>IF(E5402="","",INDEX(Knutepunkter!$C:$C,E5402+1))</f>
        <v/>
      </c>
      <c r="K5402" t="str">
        <f>IF(E5402="","",INDEX(Knutepunkter!$D:$D,E5402+1))</f>
        <v/>
      </c>
      <c r="L5402" t="str">
        <f t="shared" si="423"/>
        <v/>
      </c>
      <c r="M5402" t="str">
        <f t="shared" si="424"/>
        <v/>
      </c>
    </row>
    <row r="5403" spans="1:13" x14ac:dyDescent="0.3">
      <c r="A5403" t="str">
        <f>Segmenter!A5403</f>
        <v/>
      </c>
      <c r="B5403" t="str">
        <f>Segmenter!B5403</f>
        <v/>
      </c>
      <c r="C5403" t="str">
        <f t="shared" si="420"/>
        <v/>
      </c>
      <c r="D5403" t="str">
        <f t="shared" si="421"/>
        <v/>
      </c>
      <c r="E5403" t="str">
        <f t="shared" si="422"/>
        <v/>
      </c>
      <c r="F5403" t="str">
        <f>IF(D5403="","",INDEX(Knutepunkter!$B:$B,D5403+1))</f>
        <v/>
      </c>
      <c r="G5403" t="str">
        <f>IF(D5403="","",INDEX(Knutepunkter!$C:$C,D5403+1))</f>
        <v/>
      </c>
      <c r="H5403" t="str">
        <f>IF(D5403="","",INDEX(Knutepunkter!$D:$D,D5403+1))</f>
        <v/>
      </c>
      <c r="I5403" t="str">
        <f>IF(E5403="","",INDEX(Knutepunkter!$B:$B,E5403+1))</f>
        <v/>
      </c>
      <c r="J5403" t="str">
        <f>IF(E5403="","",INDEX(Knutepunkter!$C:$C,E5403+1))</f>
        <v/>
      </c>
      <c r="K5403" t="str">
        <f>IF(E5403="","",INDEX(Knutepunkter!$D:$D,E5403+1))</f>
        <v/>
      </c>
      <c r="L5403" t="str">
        <f t="shared" si="423"/>
        <v/>
      </c>
      <c r="M5403" t="str">
        <f t="shared" si="424"/>
        <v/>
      </c>
    </row>
    <row r="5404" spans="1:13" x14ac:dyDescent="0.3">
      <c r="A5404" t="str">
        <f>Segmenter!A5404</f>
        <v/>
      </c>
      <c r="B5404" t="str">
        <f>Segmenter!B5404</f>
        <v/>
      </c>
      <c r="C5404" t="str">
        <f t="shared" si="420"/>
        <v/>
      </c>
      <c r="D5404" t="str">
        <f t="shared" si="421"/>
        <v/>
      </c>
      <c r="E5404" t="str">
        <f t="shared" si="422"/>
        <v/>
      </c>
      <c r="F5404" t="str">
        <f>IF(D5404="","",INDEX(Knutepunkter!$B:$B,D5404+1))</f>
        <v/>
      </c>
      <c r="G5404" t="str">
        <f>IF(D5404="","",INDEX(Knutepunkter!$C:$C,D5404+1))</f>
        <v/>
      </c>
      <c r="H5404" t="str">
        <f>IF(D5404="","",INDEX(Knutepunkter!$D:$D,D5404+1))</f>
        <v/>
      </c>
      <c r="I5404" t="str">
        <f>IF(E5404="","",INDEX(Knutepunkter!$B:$B,E5404+1))</f>
        <v/>
      </c>
      <c r="J5404" t="str">
        <f>IF(E5404="","",INDEX(Knutepunkter!$C:$C,E5404+1))</f>
        <v/>
      </c>
      <c r="K5404" t="str">
        <f>IF(E5404="","",INDEX(Knutepunkter!$D:$D,E5404+1))</f>
        <v/>
      </c>
      <c r="L5404" t="str">
        <f t="shared" si="423"/>
        <v/>
      </c>
      <c r="M5404" t="str">
        <f t="shared" si="424"/>
        <v/>
      </c>
    </row>
    <row r="5405" spans="1:13" x14ac:dyDescent="0.3">
      <c r="A5405" t="str">
        <f>Segmenter!A5405</f>
        <v/>
      </c>
      <c r="B5405" t="str">
        <f>Segmenter!B5405</f>
        <v/>
      </c>
      <c r="C5405" t="str">
        <f t="shared" si="420"/>
        <v/>
      </c>
      <c r="D5405" t="str">
        <f t="shared" si="421"/>
        <v/>
      </c>
      <c r="E5405" t="str">
        <f t="shared" si="422"/>
        <v/>
      </c>
      <c r="F5405" t="str">
        <f>IF(D5405="","",INDEX(Knutepunkter!$B:$B,D5405+1))</f>
        <v/>
      </c>
      <c r="G5405" t="str">
        <f>IF(D5405="","",INDEX(Knutepunkter!$C:$C,D5405+1))</f>
        <v/>
      </c>
      <c r="H5405" t="str">
        <f>IF(D5405="","",INDEX(Knutepunkter!$D:$D,D5405+1))</f>
        <v/>
      </c>
      <c r="I5405" t="str">
        <f>IF(E5405="","",INDEX(Knutepunkter!$B:$B,E5405+1))</f>
        <v/>
      </c>
      <c r="J5405" t="str">
        <f>IF(E5405="","",INDEX(Knutepunkter!$C:$C,E5405+1))</f>
        <v/>
      </c>
      <c r="K5405" t="str">
        <f>IF(E5405="","",INDEX(Knutepunkter!$D:$D,E5405+1))</f>
        <v/>
      </c>
      <c r="L5405" t="str">
        <f t="shared" si="423"/>
        <v/>
      </c>
      <c r="M5405" t="str">
        <f t="shared" si="424"/>
        <v/>
      </c>
    </row>
    <row r="5406" spans="1:13" x14ac:dyDescent="0.3">
      <c r="A5406" t="str">
        <f>Segmenter!A5406</f>
        <v/>
      </c>
      <c r="B5406" t="str">
        <f>Segmenter!B5406</f>
        <v/>
      </c>
      <c r="C5406" t="str">
        <f t="shared" si="420"/>
        <v/>
      </c>
      <c r="D5406" t="str">
        <f t="shared" si="421"/>
        <v/>
      </c>
      <c r="E5406" t="str">
        <f t="shared" si="422"/>
        <v/>
      </c>
      <c r="F5406" t="str">
        <f>IF(D5406="","",INDEX(Knutepunkter!$B:$B,D5406+1))</f>
        <v/>
      </c>
      <c r="G5406" t="str">
        <f>IF(D5406="","",INDEX(Knutepunkter!$C:$C,D5406+1))</f>
        <v/>
      </c>
      <c r="H5406" t="str">
        <f>IF(D5406="","",INDEX(Knutepunkter!$D:$D,D5406+1))</f>
        <v/>
      </c>
      <c r="I5406" t="str">
        <f>IF(E5406="","",INDEX(Knutepunkter!$B:$B,E5406+1))</f>
        <v/>
      </c>
      <c r="J5406" t="str">
        <f>IF(E5406="","",INDEX(Knutepunkter!$C:$C,E5406+1))</f>
        <v/>
      </c>
      <c r="K5406" t="str">
        <f>IF(E5406="","",INDEX(Knutepunkter!$D:$D,E5406+1))</f>
        <v/>
      </c>
      <c r="L5406" t="str">
        <f t="shared" si="423"/>
        <v/>
      </c>
      <c r="M5406" t="str">
        <f t="shared" si="424"/>
        <v/>
      </c>
    </row>
    <row r="5407" spans="1:13" x14ac:dyDescent="0.3">
      <c r="A5407" t="str">
        <f>Segmenter!A5407</f>
        <v/>
      </c>
      <c r="B5407" t="str">
        <f>Segmenter!B5407</f>
        <v/>
      </c>
      <c r="C5407" t="str">
        <f t="shared" si="420"/>
        <v/>
      </c>
      <c r="D5407" t="str">
        <f t="shared" si="421"/>
        <v/>
      </c>
      <c r="E5407" t="str">
        <f t="shared" si="422"/>
        <v/>
      </c>
      <c r="F5407" t="str">
        <f>IF(D5407="","",INDEX(Knutepunkter!$B:$B,D5407+1))</f>
        <v/>
      </c>
      <c r="G5407" t="str">
        <f>IF(D5407="","",INDEX(Knutepunkter!$C:$C,D5407+1))</f>
        <v/>
      </c>
      <c r="H5407" t="str">
        <f>IF(D5407="","",INDEX(Knutepunkter!$D:$D,D5407+1))</f>
        <v/>
      </c>
      <c r="I5407" t="str">
        <f>IF(E5407="","",INDEX(Knutepunkter!$B:$B,E5407+1))</f>
        <v/>
      </c>
      <c r="J5407" t="str">
        <f>IF(E5407="","",INDEX(Knutepunkter!$C:$C,E5407+1))</f>
        <v/>
      </c>
      <c r="K5407" t="str">
        <f>IF(E5407="","",INDEX(Knutepunkter!$D:$D,E5407+1))</f>
        <v/>
      </c>
      <c r="L5407" t="str">
        <f t="shared" si="423"/>
        <v/>
      </c>
      <c r="M5407" t="str">
        <f t="shared" si="424"/>
        <v/>
      </c>
    </row>
    <row r="5408" spans="1:13" x14ac:dyDescent="0.3">
      <c r="A5408" t="str">
        <f>Segmenter!A5408</f>
        <v/>
      </c>
      <c r="B5408" t="str">
        <f>Segmenter!B5408</f>
        <v/>
      </c>
      <c r="C5408" t="str">
        <f t="shared" si="420"/>
        <v/>
      </c>
      <c r="D5408" t="str">
        <f t="shared" si="421"/>
        <v/>
      </c>
      <c r="E5408" t="str">
        <f t="shared" si="422"/>
        <v/>
      </c>
      <c r="F5408" t="str">
        <f>IF(D5408="","",INDEX(Knutepunkter!$B:$B,D5408+1))</f>
        <v/>
      </c>
      <c r="G5408" t="str">
        <f>IF(D5408="","",INDEX(Knutepunkter!$C:$C,D5408+1))</f>
        <v/>
      </c>
      <c r="H5408" t="str">
        <f>IF(D5408="","",INDEX(Knutepunkter!$D:$D,D5408+1))</f>
        <v/>
      </c>
      <c r="I5408" t="str">
        <f>IF(E5408="","",INDEX(Knutepunkter!$B:$B,E5408+1))</f>
        <v/>
      </c>
      <c r="J5408" t="str">
        <f>IF(E5408="","",INDEX(Knutepunkter!$C:$C,E5408+1))</f>
        <v/>
      </c>
      <c r="K5408" t="str">
        <f>IF(E5408="","",INDEX(Knutepunkter!$D:$D,E5408+1))</f>
        <v/>
      </c>
      <c r="L5408" t="str">
        <f t="shared" si="423"/>
        <v/>
      </c>
      <c r="M5408" t="str">
        <f t="shared" si="424"/>
        <v/>
      </c>
    </row>
    <row r="5409" spans="1:13" x14ac:dyDescent="0.3">
      <c r="A5409" t="str">
        <f>Segmenter!A5409</f>
        <v/>
      </c>
      <c r="B5409" t="str">
        <f>Segmenter!B5409</f>
        <v/>
      </c>
      <c r="C5409" t="str">
        <f t="shared" si="420"/>
        <v/>
      </c>
      <c r="D5409" t="str">
        <f t="shared" si="421"/>
        <v/>
      </c>
      <c r="E5409" t="str">
        <f t="shared" si="422"/>
        <v/>
      </c>
      <c r="F5409" t="str">
        <f>IF(D5409="","",INDEX(Knutepunkter!$B:$B,D5409+1))</f>
        <v/>
      </c>
      <c r="G5409" t="str">
        <f>IF(D5409="","",INDEX(Knutepunkter!$C:$C,D5409+1))</f>
        <v/>
      </c>
      <c r="H5409" t="str">
        <f>IF(D5409="","",INDEX(Knutepunkter!$D:$D,D5409+1))</f>
        <v/>
      </c>
      <c r="I5409" t="str">
        <f>IF(E5409="","",INDEX(Knutepunkter!$B:$B,E5409+1))</f>
        <v/>
      </c>
      <c r="J5409" t="str">
        <f>IF(E5409="","",INDEX(Knutepunkter!$C:$C,E5409+1))</f>
        <v/>
      </c>
      <c r="K5409" t="str">
        <f>IF(E5409="","",INDEX(Knutepunkter!$D:$D,E5409+1))</f>
        <v/>
      </c>
      <c r="L5409" t="str">
        <f t="shared" si="423"/>
        <v/>
      </c>
      <c r="M5409" t="str">
        <f t="shared" si="424"/>
        <v/>
      </c>
    </row>
    <row r="5410" spans="1:13" x14ac:dyDescent="0.3">
      <c r="A5410" t="str">
        <f>Segmenter!A5410</f>
        <v/>
      </c>
      <c r="B5410" t="str">
        <f>Segmenter!B5410</f>
        <v/>
      </c>
      <c r="C5410" t="str">
        <f t="shared" si="420"/>
        <v/>
      </c>
      <c r="D5410" t="str">
        <f t="shared" si="421"/>
        <v/>
      </c>
      <c r="E5410" t="str">
        <f t="shared" si="422"/>
        <v/>
      </c>
      <c r="F5410" t="str">
        <f>IF(D5410="","",INDEX(Knutepunkter!$B:$B,D5410+1))</f>
        <v/>
      </c>
      <c r="G5410" t="str">
        <f>IF(D5410="","",INDEX(Knutepunkter!$C:$C,D5410+1))</f>
        <v/>
      </c>
      <c r="H5410" t="str">
        <f>IF(D5410="","",INDEX(Knutepunkter!$D:$D,D5410+1))</f>
        <v/>
      </c>
      <c r="I5410" t="str">
        <f>IF(E5410="","",INDEX(Knutepunkter!$B:$B,E5410+1))</f>
        <v/>
      </c>
      <c r="J5410" t="str">
        <f>IF(E5410="","",INDEX(Knutepunkter!$C:$C,E5410+1))</f>
        <v/>
      </c>
      <c r="K5410" t="str">
        <f>IF(E5410="","",INDEX(Knutepunkter!$D:$D,E5410+1))</f>
        <v/>
      </c>
      <c r="L5410" t="str">
        <f t="shared" si="423"/>
        <v/>
      </c>
      <c r="M5410" t="str">
        <f t="shared" si="424"/>
        <v/>
      </c>
    </row>
    <row r="5411" spans="1:13" x14ac:dyDescent="0.3">
      <c r="A5411" t="str">
        <f>Segmenter!A5411</f>
        <v/>
      </c>
      <c r="B5411" t="str">
        <f>Segmenter!B5411</f>
        <v/>
      </c>
      <c r="C5411" t="str">
        <f t="shared" si="420"/>
        <v/>
      </c>
      <c r="D5411" t="str">
        <f t="shared" si="421"/>
        <v/>
      </c>
      <c r="E5411" t="str">
        <f t="shared" si="422"/>
        <v/>
      </c>
      <c r="F5411" t="str">
        <f>IF(D5411="","",INDEX(Knutepunkter!$B:$B,D5411+1))</f>
        <v/>
      </c>
      <c r="G5411" t="str">
        <f>IF(D5411="","",INDEX(Knutepunkter!$C:$C,D5411+1))</f>
        <v/>
      </c>
      <c r="H5411" t="str">
        <f>IF(D5411="","",INDEX(Knutepunkter!$D:$D,D5411+1))</f>
        <v/>
      </c>
      <c r="I5411" t="str">
        <f>IF(E5411="","",INDEX(Knutepunkter!$B:$B,E5411+1))</f>
        <v/>
      </c>
      <c r="J5411" t="str">
        <f>IF(E5411="","",INDEX(Knutepunkter!$C:$C,E5411+1))</f>
        <v/>
      </c>
      <c r="K5411" t="str">
        <f>IF(E5411="","",INDEX(Knutepunkter!$D:$D,E5411+1))</f>
        <v/>
      </c>
      <c r="L5411" t="str">
        <f t="shared" si="423"/>
        <v/>
      </c>
      <c r="M5411" t="str">
        <f t="shared" si="424"/>
        <v/>
      </c>
    </row>
    <row r="5412" spans="1:13" x14ac:dyDescent="0.3">
      <c r="A5412" t="str">
        <f>Segmenter!A5412</f>
        <v/>
      </c>
      <c r="B5412" t="str">
        <f>Segmenter!B5412</f>
        <v/>
      </c>
      <c r="C5412" t="str">
        <f t="shared" si="420"/>
        <v/>
      </c>
      <c r="D5412" t="str">
        <f t="shared" si="421"/>
        <v/>
      </c>
      <c r="E5412" t="str">
        <f t="shared" si="422"/>
        <v/>
      </c>
      <c r="F5412" t="str">
        <f>IF(D5412="","",INDEX(Knutepunkter!$B:$B,D5412+1))</f>
        <v/>
      </c>
      <c r="G5412" t="str">
        <f>IF(D5412="","",INDEX(Knutepunkter!$C:$C,D5412+1))</f>
        <v/>
      </c>
      <c r="H5412" t="str">
        <f>IF(D5412="","",INDEX(Knutepunkter!$D:$D,D5412+1))</f>
        <v/>
      </c>
      <c r="I5412" t="str">
        <f>IF(E5412="","",INDEX(Knutepunkter!$B:$B,E5412+1))</f>
        <v/>
      </c>
      <c r="J5412" t="str">
        <f>IF(E5412="","",INDEX(Knutepunkter!$C:$C,E5412+1))</f>
        <v/>
      </c>
      <c r="K5412" t="str">
        <f>IF(E5412="","",INDEX(Knutepunkter!$D:$D,E5412+1))</f>
        <v/>
      </c>
      <c r="L5412" t="str">
        <f t="shared" si="423"/>
        <v/>
      </c>
      <c r="M5412" t="str">
        <f t="shared" si="424"/>
        <v/>
      </c>
    </row>
    <row r="5413" spans="1:13" x14ac:dyDescent="0.3">
      <c r="A5413" t="str">
        <f>Segmenter!A5413</f>
        <v/>
      </c>
      <c r="B5413" t="str">
        <f>Segmenter!B5413</f>
        <v/>
      </c>
      <c r="C5413" t="str">
        <f t="shared" si="420"/>
        <v/>
      </c>
      <c r="D5413" t="str">
        <f t="shared" si="421"/>
        <v/>
      </c>
      <c r="E5413" t="str">
        <f t="shared" si="422"/>
        <v/>
      </c>
      <c r="F5413" t="str">
        <f>IF(D5413="","",INDEX(Knutepunkter!$B:$B,D5413+1))</f>
        <v/>
      </c>
      <c r="G5413" t="str">
        <f>IF(D5413="","",INDEX(Knutepunkter!$C:$C,D5413+1))</f>
        <v/>
      </c>
      <c r="H5413" t="str">
        <f>IF(D5413="","",INDEX(Knutepunkter!$D:$D,D5413+1))</f>
        <v/>
      </c>
      <c r="I5413" t="str">
        <f>IF(E5413="","",INDEX(Knutepunkter!$B:$B,E5413+1))</f>
        <v/>
      </c>
      <c r="J5413" t="str">
        <f>IF(E5413="","",INDEX(Knutepunkter!$C:$C,E5413+1))</f>
        <v/>
      </c>
      <c r="K5413" t="str">
        <f>IF(E5413="","",INDEX(Knutepunkter!$D:$D,E5413+1))</f>
        <v/>
      </c>
      <c r="L5413" t="str">
        <f t="shared" si="423"/>
        <v/>
      </c>
      <c r="M5413" t="str">
        <f t="shared" si="424"/>
        <v/>
      </c>
    </row>
    <row r="5414" spans="1:13" x14ac:dyDescent="0.3">
      <c r="A5414" t="str">
        <f>Segmenter!A5414</f>
        <v/>
      </c>
      <c r="B5414" t="str">
        <f>Segmenter!B5414</f>
        <v/>
      </c>
      <c r="C5414" t="str">
        <f t="shared" si="420"/>
        <v/>
      </c>
      <c r="D5414" t="str">
        <f t="shared" si="421"/>
        <v/>
      </c>
      <c r="E5414" t="str">
        <f t="shared" si="422"/>
        <v/>
      </c>
      <c r="F5414" t="str">
        <f>IF(D5414="","",INDEX(Knutepunkter!$B:$B,D5414+1))</f>
        <v/>
      </c>
      <c r="G5414" t="str">
        <f>IF(D5414="","",INDEX(Knutepunkter!$C:$C,D5414+1))</f>
        <v/>
      </c>
      <c r="H5414" t="str">
        <f>IF(D5414="","",INDEX(Knutepunkter!$D:$D,D5414+1))</f>
        <v/>
      </c>
      <c r="I5414" t="str">
        <f>IF(E5414="","",INDEX(Knutepunkter!$B:$B,E5414+1))</f>
        <v/>
      </c>
      <c r="J5414" t="str">
        <f>IF(E5414="","",INDEX(Knutepunkter!$C:$C,E5414+1))</f>
        <v/>
      </c>
      <c r="K5414" t="str">
        <f>IF(E5414="","",INDEX(Knutepunkter!$D:$D,E5414+1))</f>
        <v/>
      </c>
      <c r="L5414" t="str">
        <f t="shared" si="423"/>
        <v/>
      </c>
      <c r="M5414" t="str">
        <f t="shared" si="424"/>
        <v/>
      </c>
    </row>
    <row r="5415" spans="1:13" x14ac:dyDescent="0.3">
      <c r="A5415" t="str">
        <f>Segmenter!A5415</f>
        <v/>
      </c>
      <c r="B5415" t="str">
        <f>Segmenter!B5415</f>
        <v/>
      </c>
      <c r="C5415" t="str">
        <f t="shared" si="420"/>
        <v/>
      </c>
      <c r="D5415" t="str">
        <f t="shared" si="421"/>
        <v/>
      </c>
      <c r="E5415" t="str">
        <f t="shared" si="422"/>
        <v/>
      </c>
      <c r="F5415" t="str">
        <f>IF(D5415="","",INDEX(Knutepunkter!$B:$B,D5415+1))</f>
        <v/>
      </c>
      <c r="G5415" t="str">
        <f>IF(D5415="","",INDEX(Knutepunkter!$C:$C,D5415+1))</f>
        <v/>
      </c>
      <c r="H5415" t="str">
        <f>IF(D5415="","",INDEX(Knutepunkter!$D:$D,D5415+1))</f>
        <v/>
      </c>
      <c r="I5415" t="str">
        <f>IF(E5415="","",INDEX(Knutepunkter!$B:$B,E5415+1))</f>
        <v/>
      </c>
      <c r="J5415" t="str">
        <f>IF(E5415="","",INDEX(Knutepunkter!$C:$C,E5415+1))</f>
        <v/>
      </c>
      <c r="K5415" t="str">
        <f>IF(E5415="","",INDEX(Knutepunkter!$D:$D,E5415+1))</f>
        <v/>
      </c>
      <c r="L5415" t="str">
        <f t="shared" si="423"/>
        <v/>
      </c>
      <c r="M5415" t="str">
        <f t="shared" si="424"/>
        <v/>
      </c>
    </row>
    <row r="5416" spans="1:13" x14ac:dyDescent="0.3">
      <c r="A5416" t="str">
        <f>Segmenter!A5416</f>
        <v/>
      </c>
      <c r="B5416" t="str">
        <f>Segmenter!B5416</f>
        <v/>
      </c>
      <c r="C5416" t="str">
        <f t="shared" si="420"/>
        <v/>
      </c>
      <c r="D5416" t="str">
        <f t="shared" si="421"/>
        <v/>
      </c>
      <c r="E5416" t="str">
        <f t="shared" si="422"/>
        <v/>
      </c>
      <c r="F5416" t="str">
        <f>IF(D5416="","",INDEX(Knutepunkter!$B:$B,D5416+1))</f>
        <v/>
      </c>
      <c r="G5416" t="str">
        <f>IF(D5416="","",INDEX(Knutepunkter!$C:$C,D5416+1))</f>
        <v/>
      </c>
      <c r="H5416" t="str">
        <f>IF(D5416="","",INDEX(Knutepunkter!$D:$D,D5416+1))</f>
        <v/>
      </c>
      <c r="I5416" t="str">
        <f>IF(E5416="","",INDEX(Knutepunkter!$B:$B,E5416+1))</f>
        <v/>
      </c>
      <c r="J5416" t="str">
        <f>IF(E5416="","",INDEX(Knutepunkter!$C:$C,E5416+1))</f>
        <v/>
      </c>
      <c r="K5416" t="str">
        <f>IF(E5416="","",INDEX(Knutepunkter!$D:$D,E5416+1))</f>
        <v/>
      </c>
      <c r="L5416" t="str">
        <f t="shared" si="423"/>
        <v/>
      </c>
      <c r="M5416" t="str">
        <f t="shared" si="424"/>
        <v/>
      </c>
    </row>
    <row r="5417" spans="1:13" x14ac:dyDescent="0.3">
      <c r="A5417" t="str">
        <f>Segmenter!A5417</f>
        <v/>
      </c>
      <c r="B5417" t="str">
        <f>Segmenter!B5417</f>
        <v/>
      </c>
      <c r="C5417" t="str">
        <f t="shared" si="420"/>
        <v/>
      </c>
      <c r="D5417" t="str">
        <f t="shared" si="421"/>
        <v/>
      </c>
      <c r="E5417" t="str">
        <f t="shared" si="422"/>
        <v/>
      </c>
      <c r="F5417" t="str">
        <f>IF(D5417="","",INDEX(Knutepunkter!$B:$B,D5417+1))</f>
        <v/>
      </c>
      <c r="G5417" t="str">
        <f>IF(D5417="","",INDEX(Knutepunkter!$C:$C,D5417+1))</f>
        <v/>
      </c>
      <c r="H5417" t="str">
        <f>IF(D5417="","",INDEX(Knutepunkter!$D:$D,D5417+1))</f>
        <v/>
      </c>
      <c r="I5417" t="str">
        <f>IF(E5417="","",INDEX(Knutepunkter!$B:$B,E5417+1))</f>
        <v/>
      </c>
      <c r="J5417" t="str">
        <f>IF(E5417="","",INDEX(Knutepunkter!$C:$C,E5417+1))</f>
        <v/>
      </c>
      <c r="K5417" t="str">
        <f>IF(E5417="","",INDEX(Knutepunkter!$D:$D,E5417+1))</f>
        <v/>
      </c>
      <c r="L5417" t="str">
        <f t="shared" si="423"/>
        <v/>
      </c>
      <c r="M5417" t="str">
        <f t="shared" si="424"/>
        <v/>
      </c>
    </row>
    <row r="5418" spans="1:13" x14ac:dyDescent="0.3">
      <c r="A5418" t="str">
        <f>Segmenter!A5418</f>
        <v/>
      </c>
      <c r="B5418" t="str">
        <f>Segmenter!B5418</f>
        <v/>
      </c>
      <c r="C5418" t="str">
        <f t="shared" si="420"/>
        <v/>
      </c>
      <c r="D5418" t="str">
        <f t="shared" si="421"/>
        <v/>
      </c>
      <c r="E5418" t="str">
        <f t="shared" si="422"/>
        <v/>
      </c>
      <c r="F5418" t="str">
        <f>IF(D5418="","",INDEX(Knutepunkter!$B:$B,D5418+1))</f>
        <v/>
      </c>
      <c r="G5418" t="str">
        <f>IF(D5418="","",INDEX(Knutepunkter!$C:$C,D5418+1))</f>
        <v/>
      </c>
      <c r="H5418" t="str">
        <f>IF(D5418="","",INDEX(Knutepunkter!$D:$D,D5418+1))</f>
        <v/>
      </c>
      <c r="I5418" t="str">
        <f>IF(E5418="","",INDEX(Knutepunkter!$B:$B,E5418+1))</f>
        <v/>
      </c>
      <c r="J5418" t="str">
        <f>IF(E5418="","",INDEX(Knutepunkter!$C:$C,E5418+1))</f>
        <v/>
      </c>
      <c r="K5418" t="str">
        <f>IF(E5418="","",INDEX(Knutepunkter!$D:$D,E5418+1))</f>
        <v/>
      </c>
      <c r="L5418" t="str">
        <f t="shared" si="423"/>
        <v/>
      </c>
      <c r="M5418" t="str">
        <f t="shared" si="424"/>
        <v/>
      </c>
    </row>
    <row r="5419" spans="1:13" x14ac:dyDescent="0.3">
      <c r="A5419" t="str">
        <f>Segmenter!A5419</f>
        <v/>
      </c>
      <c r="B5419" t="str">
        <f>Segmenter!B5419</f>
        <v/>
      </c>
      <c r="C5419" t="str">
        <f t="shared" si="420"/>
        <v/>
      </c>
      <c r="D5419" t="str">
        <f t="shared" si="421"/>
        <v/>
      </c>
      <c r="E5419" t="str">
        <f t="shared" si="422"/>
        <v/>
      </c>
      <c r="F5419" t="str">
        <f>IF(D5419="","",INDEX(Knutepunkter!$B:$B,D5419+1))</f>
        <v/>
      </c>
      <c r="G5419" t="str">
        <f>IF(D5419="","",INDEX(Knutepunkter!$C:$C,D5419+1))</f>
        <v/>
      </c>
      <c r="H5419" t="str">
        <f>IF(D5419="","",INDEX(Knutepunkter!$D:$D,D5419+1))</f>
        <v/>
      </c>
      <c r="I5419" t="str">
        <f>IF(E5419="","",INDEX(Knutepunkter!$B:$B,E5419+1))</f>
        <v/>
      </c>
      <c r="J5419" t="str">
        <f>IF(E5419="","",INDEX(Knutepunkter!$C:$C,E5419+1))</f>
        <v/>
      </c>
      <c r="K5419" t="str">
        <f>IF(E5419="","",INDEX(Knutepunkter!$D:$D,E5419+1))</f>
        <v/>
      </c>
      <c r="L5419" t="str">
        <f t="shared" si="423"/>
        <v/>
      </c>
      <c r="M5419" t="str">
        <f t="shared" si="424"/>
        <v/>
      </c>
    </row>
    <row r="5420" spans="1:13" x14ac:dyDescent="0.3">
      <c r="A5420" t="str">
        <f>Segmenter!A5420</f>
        <v/>
      </c>
      <c r="B5420" t="str">
        <f>Segmenter!B5420</f>
        <v/>
      </c>
      <c r="C5420" t="str">
        <f t="shared" si="420"/>
        <v/>
      </c>
      <c r="D5420" t="str">
        <f t="shared" si="421"/>
        <v/>
      </c>
      <c r="E5420" t="str">
        <f t="shared" si="422"/>
        <v/>
      </c>
      <c r="F5420" t="str">
        <f>IF(D5420="","",INDEX(Knutepunkter!$B:$B,D5420+1))</f>
        <v/>
      </c>
      <c r="G5420" t="str">
        <f>IF(D5420="","",INDEX(Knutepunkter!$C:$C,D5420+1))</f>
        <v/>
      </c>
      <c r="H5420" t="str">
        <f>IF(D5420="","",INDEX(Knutepunkter!$D:$D,D5420+1))</f>
        <v/>
      </c>
      <c r="I5420" t="str">
        <f>IF(E5420="","",INDEX(Knutepunkter!$B:$B,E5420+1))</f>
        <v/>
      </c>
      <c r="J5420" t="str">
        <f>IF(E5420="","",INDEX(Knutepunkter!$C:$C,E5420+1))</f>
        <v/>
      </c>
      <c r="K5420" t="str">
        <f>IF(E5420="","",INDEX(Knutepunkter!$D:$D,E5420+1))</f>
        <v/>
      </c>
      <c r="L5420" t="str">
        <f t="shared" si="423"/>
        <v/>
      </c>
      <c r="M5420" t="str">
        <f t="shared" si="424"/>
        <v/>
      </c>
    </row>
    <row r="5421" spans="1:13" x14ac:dyDescent="0.3">
      <c r="A5421" t="str">
        <f>Segmenter!A5421</f>
        <v/>
      </c>
      <c r="B5421" t="str">
        <f>Segmenter!B5421</f>
        <v/>
      </c>
      <c r="C5421" t="str">
        <f t="shared" si="420"/>
        <v/>
      </c>
      <c r="D5421" t="str">
        <f t="shared" si="421"/>
        <v/>
      </c>
      <c r="E5421" t="str">
        <f t="shared" si="422"/>
        <v/>
      </c>
      <c r="F5421" t="str">
        <f>IF(D5421="","",INDEX(Knutepunkter!$B:$B,D5421+1))</f>
        <v/>
      </c>
      <c r="G5421" t="str">
        <f>IF(D5421="","",INDEX(Knutepunkter!$C:$C,D5421+1))</f>
        <v/>
      </c>
      <c r="H5421" t="str">
        <f>IF(D5421="","",INDEX(Knutepunkter!$D:$D,D5421+1))</f>
        <v/>
      </c>
      <c r="I5421" t="str">
        <f>IF(E5421="","",INDEX(Knutepunkter!$B:$B,E5421+1))</f>
        <v/>
      </c>
      <c r="J5421" t="str">
        <f>IF(E5421="","",INDEX(Knutepunkter!$C:$C,E5421+1))</f>
        <v/>
      </c>
      <c r="K5421" t="str">
        <f>IF(E5421="","",INDEX(Knutepunkter!$D:$D,E5421+1))</f>
        <v/>
      </c>
      <c r="L5421" t="str">
        <f t="shared" si="423"/>
        <v/>
      </c>
      <c r="M5421" t="str">
        <f t="shared" si="424"/>
        <v/>
      </c>
    </row>
    <row r="5422" spans="1:13" x14ac:dyDescent="0.3">
      <c r="A5422" t="str">
        <f>Segmenter!A5422</f>
        <v/>
      </c>
      <c r="B5422" t="str">
        <f>Segmenter!B5422</f>
        <v/>
      </c>
      <c r="C5422" t="str">
        <f t="shared" si="420"/>
        <v/>
      </c>
      <c r="D5422" t="str">
        <f t="shared" si="421"/>
        <v/>
      </c>
      <c r="E5422" t="str">
        <f t="shared" si="422"/>
        <v/>
      </c>
      <c r="F5422" t="str">
        <f>IF(D5422="","",INDEX(Knutepunkter!$B:$B,D5422+1))</f>
        <v/>
      </c>
      <c r="G5422" t="str">
        <f>IF(D5422="","",INDEX(Knutepunkter!$C:$C,D5422+1))</f>
        <v/>
      </c>
      <c r="H5422" t="str">
        <f>IF(D5422="","",INDEX(Knutepunkter!$D:$D,D5422+1))</f>
        <v/>
      </c>
      <c r="I5422" t="str">
        <f>IF(E5422="","",INDEX(Knutepunkter!$B:$B,E5422+1))</f>
        <v/>
      </c>
      <c r="J5422" t="str">
        <f>IF(E5422="","",INDEX(Knutepunkter!$C:$C,E5422+1))</f>
        <v/>
      </c>
      <c r="K5422" t="str">
        <f>IF(E5422="","",INDEX(Knutepunkter!$D:$D,E5422+1))</f>
        <v/>
      </c>
      <c r="L5422" t="str">
        <f t="shared" si="423"/>
        <v/>
      </c>
      <c r="M5422" t="str">
        <f t="shared" si="424"/>
        <v/>
      </c>
    </row>
    <row r="5423" spans="1:13" x14ac:dyDescent="0.3">
      <c r="A5423" t="str">
        <f>Segmenter!A5423</f>
        <v/>
      </c>
      <c r="B5423" t="str">
        <f>Segmenter!B5423</f>
        <v/>
      </c>
      <c r="C5423" t="str">
        <f t="shared" si="420"/>
        <v/>
      </c>
      <c r="D5423" t="str">
        <f t="shared" si="421"/>
        <v/>
      </c>
      <c r="E5423" t="str">
        <f t="shared" si="422"/>
        <v/>
      </c>
      <c r="F5423" t="str">
        <f>IF(D5423="","",INDEX(Knutepunkter!$B:$B,D5423+1))</f>
        <v/>
      </c>
      <c r="G5423" t="str">
        <f>IF(D5423="","",INDEX(Knutepunkter!$C:$C,D5423+1))</f>
        <v/>
      </c>
      <c r="H5423" t="str">
        <f>IF(D5423="","",INDEX(Knutepunkter!$D:$D,D5423+1))</f>
        <v/>
      </c>
      <c r="I5423" t="str">
        <f>IF(E5423="","",INDEX(Knutepunkter!$B:$B,E5423+1))</f>
        <v/>
      </c>
      <c r="J5423" t="str">
        <f>IF(E5423="","",INDEX(Knutepunkter!$C:$C,E5423+1))</f>
        <v/>
      </c>
      <c r="K5423" t="str">
        <f>IF(E5423="","",INDEX(Knutepunkter!$D:$D,E5423+1))</f>
        <v/>
      </c>
      <c r="L5423" t="str">
        <f t="shared" si="423"/>
        <v/>
      </c>
      <c r="M5423" t="str">
        <f t="shared" si="424"/>
        <v/>
      </c>
    </row>
    <row r="5424" spans="1:13" x14ac:dyDescent="0.3">
      <c r="A5424" t="str">
        <f>Segmenter!A5424</f>
        <v/>
      </c>
      <c r="B5424" t="str">
        <f>Segmenter!B5424</f>
        <v/>
      </c>
      <c r="C5424" t="str">
        <f t="shared" si="420"/>
        <v/>
      </c>
      <c r="D5424" t="str">
        <f t="shared" si="421"/>
        <v/>
      </c>
      <c r="E5424" t="str">
        <f t="shared" si="422"/>
        <v/>
      </c>
      <c r="F5424" t="str">
        <f>IF(D5424="","",INDEX(Knutepunkter!$B:$B,D5424+1))</f>
        <v/>
      </c>
      <c r="G5424" t="str">
        <f>IF(D5424="","",INDEX(Knutepunkter!$C:$C,D5424+1))</f>
        <v/>
      </c>
      <c r="H5424" t="str">
        <f>IF(D5424="","",INDEX(Knutepunkter!$D:$D,D5424+1))</f>
        <v/>
      </c>
      <c r="I5424" t="str">
        <f>IF(E5424="","",INDEX(Knutepunkter!$B:$B,E5424+1))</f>
        <v/>
      </c>
      <c r="J5424" t="str">
        <f>IF(E5424="","",INDEX(Knutepunkter!$C:$C,E5424+1))</f>
        <v/>
      </c>
      <c r="K5424" t="str">
        <f>IF(E5424="","",INDEX(Knutepunkter!$D:$D,E5424+1))</f>
        <v/>
      </c>
      <c r="L5424" t="str">
        <f t="shared" si="423"/>
        <v/>
      </c>
      <c r="M5424" t="str">
        <f t="shared" si="424"/>
        <v/>
      </c>
    </row>
    <row r="5425" spans="1:13" x14ac:dyDescent="0.3">
      <c r="A5425" t="str">
        <f>Segmenter!A5425</f>
        <v/>
      </c>
      <c r="B5425" t="str">
        <f>Segmenter!B5425</f>
        <v/>
      </c>
      <c r="C5425" t="str">
        <f t="shared" si="420"/>
        <v/>
      </c>
      <c r="D5425" t="str">
        <f t="shared" si="421"/>
        <v/>
      </c>
      <c r="E5425" t="str">
        <f t="shared" si="422"/>
        <v/>
      </c>
      <c r="F5425" t="str">
        <f>IF(D5425="","",INDEX(Knutepunkter!$B:$B,D5425+1))</f>
        <v/>
      </c>
      <c r="G5425" t="str">
        <f>IF(D5425="","",INDEX(Knutepunkter!$C:$C,D5425+1))</f>
        <v/>
      </c>
      <c r="H5425" t="str">
        <f>IF(D5425="","",INDEX(Knutepunkter!$D:$D,D5425+1))</f>
        <v/>
      </c>
      <c r="I5425" t="str">
        <f>IF(E5425="","",INDEX(Knutepunkter!$B:$B,E5425+1))</f>
        <v/>
      </c>
      <c r="J5425" t="str">
        <f>IF(E5425="","",INDEX(Knutepunkter!$C:$C,E5425+1))</f>
        <v/>
      </c>
      <c r="K5425" t="str">
        <f>IF(E5425="","",INDEX(Knutepunkter!$D:$D,E5425+1))</f>
        <v/>
      </c>
      <c r="L5425" t="str">
        <f t="shared" si="423"/>
        <v/>
      </c>
      <c r="M5425" t="str">
        <f t="shared" si="424"/>
        <v/>
      </c>
    </row>
    <row r="5426" spans="1:13" x14ac:dyDescent="0.3">
      <c r="A5426" t="str">
        <f>Segmenter!A5426</f>
        <v/>
      </c>
      <c r="B5426" t="str">
        <f>Segmenter!B5426</f>
        <v/>
      </c>
      <c r="C5426" t="str">
        <f t="shared" si="420"/>
        <v/>
      </c>
      <c r="D5426" t="str">
        <f t="shared" si="421"/>
        <v/>
      </c>
      <c r="E5426" t="str">
        <f t="shared" si="422"/>
        <v/>
      </c>
      <c r="F5426" t="str">
        <f>IF(D5426="","",INDEX(Knutepunkter!$B:$B,D5426+1))</f>
        <v/>
      </c>
      <c r="G5426" t="str">
        <f>IF(D5426="","",INDEX(Knutepunkter!$C:$C,D5426+1))</f>
        <v/>
      </c>
      <c r="H5426" t="str">
        <f>IF(D5426="","",INDEX(Knutepunkter!$D:$D,D5426+1))</f>
        <v/>
      </c>
      <c r="I5426" t="str">
        <f>IF(E5426="","",INDEX(Knutepunkter!$B:$B,E5426+1))</f>
        <v/>
      </c>
      <c r="J5426" t="str">
        <f>IF(E5426="","",INDEX(Knutepunkter!$C:$C,E5426+1))</f>
        <v/>
      </c>
      <c r="K5426" t="str">
        <f>IF(E5426="","",INDEX(Knutepunkter!$D:$D,E5426+1))</f>
        <v/>
      </c>
      <c r="L5426" t="str">
        <f t="shared" si="423"/>
        <v/>
      </c>
      <c r="M5426" t="str">
        <f t="shared" si="424"/>
        <v/>
      </c>
    </row>
    <row r="5427" spans="1:13" x14ac:dyDescent="0.3">
      <c r="A5427" t="str">
        <f>Segmenter!A5427</f>
        <v/>
      </c>
      <c r="B5427" t="str">
        <f>Segmenter!B5427</f>
        <v/>
      </c>
      <c r="C5427" t="str">
        <f t="shared" si="420"/>
        <v/>
      </c>
      <c r="D5427" t="str">
        <f t="shared" si="421"/>
        <v/>
      </c>
      <c r="E5427" t="str">
        <f t="shared" si="422"/>
        <v/>
      </c>
      <c r="F5427" t="str">
        <f>IF(D5427="","",INDEX(Knutepunkter!$B:$B,D5427+1))</f>
        <v/>
      </c>
      <c r="G5427" t="str">
        <f>IF(D5427="","",INDEX(Knutepunkter!$C:$C,D5427+1))</f>
        <v/>
      </c>
      <c r="H5427" t="str">
        <f>IF(D5427="","",INDEX(Knutepunkter!$D:$D,D5427+1))</f>
        <v/>
      </c>
      <c r="I5427" t="str">
        <f>IF(E5427="","",INDEX(Knutepunkter!$B:$B,E5427+1))</f>
        <v/>
      </c>
      <c r="J5427" t="str">
        <f>IF(E5427="","",INDEX(Knutepunkter!$C:$C,E5427+1))</f>
        <v/>
      </c>
      <c r="K5427" t="str">
        <f>IF(E5427="","",INDEX(Knutepunkter!$D:$D,E5427+1))</f>
        <v/>
      </c>
      <c r="L5427" t="str">
        <f t="shared" si="423"/>
        <v/>
      </c>
      <c r="M5427" t="str">
        <f t="shared" si="424"/>
        <v/>
      </c>
    </row>
    <row r="5428" spans="1:13" x14ac:dyDescent="0.3">
      <c r="A5428" t="str">
        <f>Segmenter!A5428</f>
        <v/>
      </c>
      <c r="B5428" t="str">
        <f>Segmenter!B5428</f>
        <v/>
      </c>
      <c r="C5428" t="str">
        <f t="shared" si="420"/>
        <v/>
      </c>
      <c r="D5428" t="str">
        <f t="shared" si="421"/>
        <v/>
      </c>
      <c r="E5428" t="str">
        <f t="shared" si="422"/>
        <v/>
      </c>
      <c r="F5428" t="str">
        <f>IF(D5428="","",INDEX(Knutepunkter!$B:$B,D5428+1))</f>
        <v/>
      </c>
      <c r="G5428" t="str">
        <f>IF(D5428="","",INDEX(Knutepunkter!$C:$C,D5428+1))</f>
        <v/>
      </c>
      <c r="H5428" t="str">
        <f>IF(D5428="","",INDEX(Knutepunkter!$D:$D,D5428+1))</f>
        <v/>
      </c>
      <c r="I5428" t="str">
        <f>IF(E5428="","",INDEX(Knutepunkter!$B:$B,E5428+1))</f>
        <v/>
      </c>
      <c r="J5428" t="str">
        <f>IF(E5428="","",INDEX(Knutepunkter!$C:$C,E5428+1))</f>
        <v/>
      </c>
      <c r="K5428" t="str">
        <f>IF(E5428="","",INDEX(Knutepunkter!$D:$D,E5428+1))</f>
        <v/>
      </c>
      <c r="L5428" t="str">
        <f t="shared" si="423"/>
        <v/>
      </c>
      <c r="M5428" t="str">
        <f t="shared" si="424"/>
        <v/>
      </c>
    </row>
    <row r="5429" spans="1:13" x14ac:dyDescent="0.3">
      <c r="A5429" t="str">
        <f>Segmenter!A5429</f>
        <v/>
      </c>
      <c r="B5429" t="str">
        <f>Segmenter!B5429</f>
        <v/>
      </c>
      <c r="C5429" t="str">
        <f t="shared" si="420"/>
        <v/>
      </c>
      <c r="D5429" t="str">
        <f t="shared" si="421"/>
        <v/>
      </c>
      <c r="E5429" t="str">
        <f t="shared" si="422"/>
        <v/>
      </c>
      <c r="F5429" t="str">
        <f>IF(D5429="","",INDEX(Knutepunkter!$B:$B,D5429+1))</f>
        <v/>
      </c>
      <c r="G5429" t="str">
        <f>IF(D5429="","",INDEX(Knutepunkter!$C:$C,D5429+1))</f>
        <v/>
      </c>
      <c r="H5429" t="str">
        <f>IF(D5429="","",INDEX(Knutepunkter!$D:$D,D5429+1))</f>
        <v/>
      </c>
      <c r="I5429" t="str">
        <f>IF(E5429="","",INDEX(Knutepunkter!$B:$B,E5429+1))</f>
        <v/>
      </c>
      <c r="J5429" t="str">
        <f>IF(E5429="","",INDEX(Knutepunkter!$C:$C,E5429+1))</f>
        <v/>
      </c>
      <c r="K5429" t="str">
        <f>IF(E5429="","",INDEX(Knutepunkter!$D:$D,E5429+1))</f>
        <v/>
      </c>
      <c r="L5429" t="str">
        <f t="shared" si="423"/>
        <v/>
      </c>
      <c r="M5429" t="str">
        <f t="shared" si="424"/>
        <v/>
      </c>
    </row>
    <row r="5430" spans="1:13" x14ac:dyDescent="0.3">
      <c r="A5430" t="str">
        <f>Segmenter!A5430</f>
        <v/>
      </c>
      <c r="B5430" t="str">
        <f>Segmenter!B5430</f>
        <v/>
      </c>
      <c r="C5430" t="str">
        <f t="shared" si="420"/>
        <v/>
      </c>
      <c r="D5430" t="str">
        <f t="shared" si="421"/>
        <v/>
      </c>
      <c r="E5430" t="str">
        <f t="shared" si="422"/>
        <v/>
      </c>
      <c r="F5430" t="str">
        <f>IF(D5430="","",INDEX(Knutepunkter!$B:$B,D5430+1))</f>
        <v/>
      </c>
      <c r="G5430" t="str">
        <f>IF(D5430="","",INDEX(Knutepunkter!$C:$C,D5430+1))</f>
        <v/>
      </c>
      <c r="H5430" t="str">
        <f>IF(D5430="","",INDEX(Knutepunkter!$D:$D,D5430+1))</f>
        <v/>
      </c>
      <c r="I5430" t="str">
        <f>IF(E5430="","",INDEX(Knutepunkter!$B:$B,E5430+1))</f>
        <v/>
      </c>
      <c r="J5430" t="str">
        <f>IF(E5430="","",INDEX(Knutepunkter!$C:$C,E5430+1))</f>
        <v/>
      </c>
      <c r="K5430" t="str">
        <f>IF(E5430="","",INDEX(Knutepunkter!$D:$D,E5430+1))</f>
        <v/>
      </c>
      <c r="L5430" t="str">
        <f t="shared" si="423"/>
        <v/>
      </c>
      <c r="M5430" t="str">
        <f t="shared" si="424"/>
        <v/>
      </c>
    </row>
    <row r="5431" spans="1:13" x14ac:dyDescent="0.3">
      <c r="A5431" t="str">
        <f>Segmenter!A5431</f>
        <v/>
      </c>
      <c r="B5431" t="str">
        <f>Segmenter!B5431</f>
        <v/>
      </c>
      <c r="C5431" t="str">
        <f t="shared" si="420"/>
        <v/>
      </c>
      <c r="D5431" t="str">
        <f t="shared" si="421"/>
        <v/>
      </c>
      <c r="E5431" t="str">
        <f t="shared" si="422"/>
        <v/>
      </c>
      <c r="F5431" t="str">
        <f>IF(D5431="","",INDEX(Knutepunkter!$B:$B,D5431+1))</f>
        <v/>
      </c>
      <c r="G5431" t="str">
        <f>IF(D5431="","",INDEX(Knutepunkter!$C:$C,D5431+1))</f>
        <v/>
      </c>
      <c r="H5431" t="str">
        <f>IF(D5431="","",INDEX(Knutepunkter!$D:$D,D5431+1))</f>
        <v/>
      </c>
      <c r="I5431" t="str">
        <f>IF(E5431="","",INDEX(Knutepunkter!$B:$B,E5431+1))</f>
        <v/>
      </c>
      <c r="J5431" t="str">
        <f>IF(E5431="","",INDEX(Knutepunkter!$C:$C,E5431+1))</f>
        <v/>
      </c>
      <c r="K5431" t="str">
        <f>IF(E5431="","",INDEX(Knutepunkter!$D:$D,E5431+1))</f>
        <v/>
      </c>
      <c r="L5431" t="str">
        <f t="shared" si="423"/>
        <v/>
      </c>
      <c r="M5431" t="str">
        <f t="shared" si="424"/>
        <v/>
      </c>
    </row>
    <row r="5432" spans="1:13" x14ac:dyDescent="0.3">
      <c r="A5432" t="str">
        <f>Segmenter!A5432</f>
        <v/>
      </c>
      <c r="B5432" t="str">
        <f>Segmenter!B5432</f>
        <v/>
      </c>
      <c r="C5432" t="str">
        <f t="shared" si="420"/>
        <v/>
      </c>
      <c r="D5432" t="str">
        <f t="shared" si="421"/>
        <v/>
      </c>
      <c r="E5432" t="str">
        <f t="shared" si="422"/>
        <v/>
      </c>
      <c r="F5432" t="str">
        <f>IF(D5432="","",INDEX(Knutepunkter!$B:$B,D5432+1))</f>
        <v/>
      </c>
      <c r="G5432" t="str">
        <f>IF(D5432="","",INDEX(Knutepunkter!$C:$C,D5432+1))</f>
        <v/>
      </c>
      <c r="H5432" t="str">
        <f>IF(D5432="","",INDEX(Knutepunkter!$D:$D,D5432+1))</f>
        <v/>
      </c>
      <c r="I5432" t="str">
        <f>IF(E5432="","",INDEX(Knutepunkter!$B:$B,E5432+1))</f>
        <v/>
      </c>
      <c r="J5432" t="str">
        <f>IF(E5432="","",INDEX(Knutepunkter!$C:$C,E5432+1))</f>
        <v/>
      </c>
      <c r="K5432" t="str">
        <f>IF(E5432="","",INDEX(Knutepunkter!$D:$D,E5432+1))</f>
        <v/>
      </c>
      <c r="L5432" t="str">
        <f t="shared" si="423"/>
        <v/>
      </c>
      <c r="M5432" t="str">
        <f t="shared" si="424"/>
        <v/>
      </c>
    </row>
    <row r="5433" spans="1:13" x14ac:dyDescent="0.3">
      <c r="A5433" t="str">
        <f>Segmenter!A5433</f>
        <v/>
      </c>
      <c r="B5433" t="str">
        <f>Segmenter!B5433</f>
        <v/>
      </c>
      <c r="C5433" t="str">
        <f t="shared" si="420"/>
        <v/>
      </c>
      <c r="D5433" t="str">
        <f t="shared" si="421"/>
        <v/>
      </c>
      <c r="E5433" t="str">
        <f t="shared" si="422"/>
        <v/>
      </c>
      <c r="F5433" t="str">
        <f>IF(D5433="","",INDEX(Knutepunkter!$B:$B,D5433+1))</f>
        <v/>
      </c>
      <c r="G5433" t="str">
        <f>IF(D5433="","",INDEX(Knutepunkter!$C:$C,D5433+1))</f>
        <v/>
      </c>
      <c r="H5433" t="str">
        <f>IF(D5433="","",INDEX(Knutepunkter!$D:$D,D5433+1))</f>
        <v/>
      </c>
      <c r="I5433" t="str">
        <f>IF(E5433="","",INDEX(Knutepunkter!$B:$B,E5433+1))</f>
        <v/>
      </c>
      <c r="J5433" t="str">
        <f>IF(E5433="","",INDEX(Knutepunkter!$C:$C,E5433+1))</f>
        <v/>
      </c>
      <c r="K5433" t="str">
        <f>IF(E5433="","",INDEX(Knutepunkter!$D:$D,E5433+1))</f>
        <v/>
      </c>
      <c r="L5433" t="str">
        <f t="shared" si="423"/>
        <v/>
      </c>
      <c r="M5433" t="str">
        <f t="shared" si="424"/>
        <v/>
      </c>
    </row>
    <row r="5434" spans="1:13" x14ac:dyDescent="0.3">
      <c r="A5434" t="str">
        <f>Segmenter!A5434</f>
        <v/>
      </c>
      <c r="B5434" t="str">
        <f>Segmenter!B5434</f>
        <v/>
      </c>
      <c r="C5434" t="str">
        <f t="shared" si="420"/>
        <v/>
      </c>
      <c r="D5434" t="str">
        <f t="shared" si="421"/>
        <v/>
      </c>
      <c r="E5434" t="str">
        <f t="shared" si="422"/>
        <v/>
      </c>
      <c r="F5434" t="str">
        <f>IF(D5434="","",INDEX(Knutepunkter!$B:$B,D5434+1))</f>
        <v/>
      </c>
      <c r="G5434" t="str">
        <f>IF(D5434="","",INDEX(Knutepunkter!$C:$C,D5434+1))</f>
        <v/>
      </c>
      <c r="H5434" t="str">
        <f>IF(D5434="","",INDEX(Knutepunkter!$D:$D,D5434+1))</f>
        <v/>
      </c>
      <c r="I5434" t="str">
        <f>IF(E5434="","",INDEX(Knutepunkter!$B:$B,E5434+1))</f>
        <v/>
      </c>
      <c r="J5434" t="str">
        <f>IF(E5434="","",INDEX(Knutepunkter!$C:$C,E5434+1))</f>
        <v/>
      </c>
      <c r="K5434" t="str">
        <f>IF(E5434="","",INDEX(Knutepunkter!$D:$D,E5434+1))</f>
        <v/>
      </c>
      <c r="L5434" t="str">
        <f t="shared" si="423"/>
        <v/>
      </c>
      <c r="M5434" t="str">
        <f t="shared" si="424"/>
        <v/>
      </c>
    </row>
    <row r="5435" spans="1:13" x14ac:dyDescent="0.3">
      <c r="A5435" t="str">
        <f>Segmenter!A5435</f>
        <v/>
      </c>
      <c r="B5435" t="str">
        <f>Segmenter!B5435</f>
        <v/>
      </c>
      <c r="C5435" t="str">
        <f t="shared" si="420"/>
        <v/>
      </c>
      <c r="D5435" t="str">
        <f t="shared" si="421"/>
        <v/>
      </c>
      <c r="E5435" t="str">
        <f t="shared" si="422"/>
        <v/>
      </c>
      <c r="F5435" t="str">
        <f>IF(D5435="","",INDEX(Knutepunkter!$B:$B,D5435+1))</f>
        <v/>
      </c>
      <c r="G5435" t="str">
        <f>IF(D5435="","",INDEX(Knutepunkter!$C:$C,D5435+1))</f>
        <v/>
      </c>
      <c r="H5435" t="str">
        <f>IF(D5435="","",INDEX(Knutepunkter!$D:$D,D5435+1))</f>
        <v/>
      </c>
      <c r="I5435" t="str">
        <f>IF(E5435="","",INDEX(Knutepunkter!$B:$B,E5435+1))</f>
        <v/>
      </c>
      <c r="J5435" t="str">
        <f>IF(E5435="","",INDEX(Knutepunkter!$C:$C,E5435+1))</f>
        <v/>
      </c>
      <c r="K5435" t="str">
        <f>IF(E5435="","",INDEX(Knutepunkter!$D:$D,E5435+1))</f>
        <v/>
      </c>
      <c r="L5435" t="str">
        <f t="shared" si="423"/>
        <v/>
      </c>
      <c r="M5435" t="str">
        <f t="shared" si="424"/>
        <v/>
      </c>
    </row>
    <row r="5436" spans="1:13" x14ac:dyDescent="0.3">
      <c r="A5436" t="str">
        <f>Segmenter!A5436</f>
        <v/>
      </c>
      <c r="B5436" t="str">
        <f>Segmenter!B5436</f>
        <v/>
      </c>
      <c r="C5436" t="str">
        <f t="shared" si="420"/>
        <v/>
      </c>
      <c r="D5436" t="str">
        <f t="shared" si="421"/>
        <v/>
      </c>
      <c r="E5436" t="str">
        <f t="shared" si="422"/>
        <v/>
      </c>
      <c r="F5436" t="str">
        <f>IF(D5436="","",INDEX(Knutepunkter!$B:$B,D5436+1))</f>
        <v/>
      </c>
      <c r="G5436" t="str">
        <f>IF(D5436="","",INDEX(Knutepunkter!$C:$C,D5436+1))</f>
        <v/>
      </c>
      <c r="H5436" t="str">
        <f>IF(D5436="","",INDEX(Knutepunkter!$D:$D,D5436+1))</f>
        <v/>
      </c>
      <c r="I5436" t="str">
        <f>IF(E5436="","",INDEX(Knutepunkter!$B:$B,E5436+1))</f>
        <v/>
      </c>
      <c r="J5436" t="str">
        <f>IF(E5436="","",INDEX(Knutepunkter!$C:$C,E5436+1))</f>
        <v/>
      </c>
      <c r="K5436" t="str">
        <f>IF(E5436="","",INDEX(Knutepunkter!$D:$D,E5436+1))</f>
        <v/>
      </c>
      <c r="L5436" t="str">
        <f t="shared" si="423"/>
        <v/>
      </c>
      <c r="M5436" t="str">
        <f t="shared" si="424"/>
        <v/>
      </c>
    </row>
    <row r="5437" spans="1:13" x14ac:dyDescent="0.3">
      <c r="A5437" t="str">
        <f>Segmenter!A5437</f>
        <v/>
      </c>
      <c r="B5437" t="str">
        <f>Segmenter!B5437</f>
        <v/>
      </c>
      <c r="C5437" t="str">
        <f t="shared" si="420"/>
        <v/>
      </c>
      <c r="D5437" t="str">
        <f t="shared" si="421"/>
        <v/>
      </c>
      <c r="E5437" t="str">
        <f t="shared" si="422"/>
        <v/>
      </c>
      <c r="F5437" t="str">
        <f>IF(D5437="","",INDEX(Knutepunkter!$B:$B,D5437+1))</f>
        <v/>
      </c>
      <c r="G5437" t="str">
        <f>IF(D5437="","",INDEX(Knutepunkter!$C:$C,D5437+1))</f>
        <v/>
      </c>
      <c r="H5437" t="str">
        <f>IF(D5437="","",INDEX(Knutepunkter!$D:$D,D5437+1))</f>
        <v/>
      </c>
      <c r="I5437" t="str">
        <f>IF(E5437="","",INDEX(Knutepunkter!$B:$B,E5437+1))</f>
        <v/>
      </c>
      <c r="J5437" t="str">
        <f>IF(E5437="","",INDEX(Knutepunkter!$C:$C,E5437+1))</f>
        <v/>
      </c>
      <c r="K5437" t="str">
        <f>IF(E5437="","",INDEX(Knutepunkter!$D:$D,E5437+1))</f>
        <v/>
      </c>
      <c r="L5437" t="str">
        <f t="shared" si="423"/>
        <v/>
      </c>
      <c r="M5437" t="str">
        <f t="shared" si="424"/>
        <v/>
      </c>
    </row>
    <row r="5438" spans="1:13" x14ac:dyDescent="0.3">
      <c r="A5438" t="str">
        <f>Segmenter!A5438</f>
        <v/>
      </c>
      <c r="B5438" t="str">
        <f>Segmenter!B5438</f>
        <v/>
      </c>
      <c r="C5438" t="str">
        <f t="shared" si="420"/>
        <v/>
      </c>
      <c r="D5438" t="str">
        <f t="shared" si="421"/>
        <v/>
      </c>
      <c r="E5438" t="str">
        <f t="shared" si="422"/>
        <v/>
      </c>
      <c r="F5438" t="str">
        <f>IF(D5438="","",INDEX(Knutepunkter!$B:$B,D5438+1))</f>
        <v/>
      </c>
      <c r="G5438" t="str">
        <f>IF(D5438="","",INDEX(Knutepunkter!$C:$C,D5438+1))</f>
        <v/>
      </c>
      <c r="H5438" t="str">
        <f>IF(D5438="","",INDEX(Knutepunkter!$D:$D,D5438+1))</f>
        <v/>
      </c>
      <c r="I5438" t="str">
        <f>IF(E5438="","",INDEX(Knutepunkter!$B:$B,E5438+1))</f>
        <v/>
      </c>
      <c r="J5438" t="str">
        <f>IF(E5438="","",INDEX(Knutepunkter!$C:$C,E5438+1))</f>
        <v/>
      </c>
      <c r="K5438" t="str">
        <f>IF(E5438="","",INDEX(Knutepunkter!$D:$D,E5438+1))</f>
        <v/>
      </c>
      <c r="L5438" t="str">
        <f t="shared" si="423"/>
        <v/>
      </c>
      <c r="M5438" t="str">
        <f t="shared" si="424"/>
        <v/>
      </c>
    </row>
    <row r="5439" spans="1:13" x14ac:dyDescent="0.3">
      <c r="A5439" t="str">
        <f>Segmenter!A5439</f>
        <v/>
      </c>
      <c r="B5439" t="str">
        <f>Segmenter!B5439</f>
        <v/>
      </c>
      <c r="C5439" t="str">
        <f t="shared" si="420"/>
        <v/>
      </c>
      <c r="D5439" t="str">
        <f t="shared" si="421"/>
        <v/>
      </c>
      <c r="E5439" t="str">
        <f t="shared" si="422"/>
        <v/>
      </c>
      <c r="F5439" t="str">
        <f>IF(D5439="","",INDEX(Knutepunkter!$B:$B,D5439+1))</f>
        <v/>
      </c>
      <c r="G5439" t="str">
        <f>IF(D5439="","",INDEX(Knutepunkter!$C:$C,D5439+1))</f>
        <v/>
      </c>
      <c r="H5439" t="str">
        <f>IF(D5439="","",INDEX(Knutepunkter!$D:$D,D5439+1))</f>
        <v/>
      </c>
      <c r="I5439" t="str">
        <f>IF(E5439="","",INDEX(Knutepunkter!$B:$B,E5439+1))</f>
        <v/>
      </c>
      <c r="J5439" t="str">
        <f>IF(E5439="","",INDEX(Knutepunkter!$C:$C,E5439+1))</f>
        <v/>
      </c>
      <c r="K5439" t="str">
        <f>IF(E5439="","",INDEX(Knutepunkter!$D:$D,E5439+1))</f>
        <v/>
      </c>
      <c r="L5439" t="str">
        <f t="shared" si="423"/>
        <v/>
      </c>
      <c r="M5439" t="str">
        <f t="shared" si="424"/>
        <v/>
      </c>
    </row>
    <row r="5440" spans="1:13" x14ac:dyDescent="0.3">
      <c r="A5440" t="str">
        <f>Segmenter!A5440</f>
        <v/>
      </c>
      <c r="B5440" t="str">
        <f>Segmenter!B5440</f>
        <v/>
      </c>
      <c r="C5440" t="str">
        <f t="shared" si="420"/>
        <v/>
      </c>
      <c r="D5440" t="str">
        <f t="shared" si="421"/>
        <v/>
      </c>
      <c r="E5440" t="str">
        <f t="shared" si="422"/>
        <v/>
      </c>
      <c r="F5440" t="str">
        <f>IF(D5440="","",INDEX(Knutepunkter!$B:$B,D5440+1))</f>
        <v/>
      </c>
      <c r="G5440" t="str">
        <f>IF(D5440="","",INDEX(Knutepunkter!$C:$C,D5440+1))</f>
        <v/>
      </c>
      <c r="H5440" t="str">
        <f>IF(D5440="","",INDEX(Knutepunkter!$D:$D,D5440+1))</f>
        <v/>
      </c>
      <c r="I5440" t="str">
        <f>IF(E5440="","",INDEX(Knutepunkter!$B:$B,E5440+1))</f>
        <v/>
      </c>
      <c r="J5440" t="str">
        <f>IF(E5440="","",INDEX(Knutepunkter!$C:$C,E5440+1))</f>
        <v/>
      </c>
      <c r="K5440" t="str">
        <f>IF(E5440="","",INDEX(Knutepunkter!$D:$D,E5440+1))</f>
        <v/>
      </c>
      <c r="L5440" t="str">
        <f t="shared" si="423"/>
        <v/>
      </c>
      <c r="M5440" t="str">
        <f t="shared" si="424"/>
        <v/>
      </c>
    </row>
    <row r="5441" spans="1:13" x14ac:dyDescent="0.3">
      <c r="A5441" t="str">
        <f>Segmenter!A5441</f>
        <v/>
      </c>
      <c r="B5441" t="str">
        <f>Segmenter!B5441</f>
        <v/>
      </c>
      <c r="C5441" t="str">
        <f t="shared" si="420"/>
        <v/>
      </c>
      <c r="D5441" t="str">
        <f t="shared" si="421"/>
        <v/>
      </c>
      <c r="E5441" t="str">
        <f t="shared" si="422"/>
        <v/>
      </c>
      <c r="F5441" t="str">
        <f>IF(D5441="","",INDEX(Knutepunkter!$B:$B,D5441+1))</f>
        <v/>
      </c>
      <c r="G5441" t="str">
        <f>IF(D5441="","",INDEX(Knutepunkter!$C:$C,D5441+1))</f>
        <v/>
      </c>
      <c r="H5441" t="str">
        <f>IF(D5441="","",INDEX(Knutepunkter!$D:$D,D5441+1))</f>
        <v/>
      </c>
      <c r="I5441" t="str">
        <f>IF(E5441="","",INDEX(Knutepunkter!$B:$B,E5441+1))</f>
        <v/>
      </c>
      <c r="J5441" t="str">
        <f>IF(E5441="","",INDEX(Knutepunkter!$C:$C,E5441+1))</f>
        <v/>
      </c>
      <c r="K5441" t="str">
        <f>IF(E5441="","",INDEX(Knutepunkter!$D:$D,E5441+1))</f>
        <v/>
      </c>
      <c r="L5441" t="str">
        <f t="shared" si="423"/>
        <v/>
      </c>
      <c r="M5441" t="str">
        <f t="shared" si="424"/>
        <v/>
      </c>
    </row>
    <row r="5442" spans="1:13" x14ac:dyDescent="0.3">
      <c r="A5442" t="str">
        <f>Segmenter!A5442</f>
        <v/>
      </c>
      <c r="B5442" t="str">
        <f>Segmenter!B5442</f>
        <v/>
      </c>
      <c r="C5442" t="str">
        <f t="shared" ref="C5442:C5505" si="425">IF(B5442="","",IF(AND(F5442=I5442,G5442=J5442,H5442&lt;&gt;K5442),"Søyle","Bjelke"))</f>
        <v/>
      </c>
      <c r="D5442" t="str">
        <f t="shared" ref="D5442:D5505" si="426">IF(B5442="","",VALUE(LEFT(B5442,FIND(" -&gt; ",B5442)-1)))</f>
        <v/>
      </c>
      <c r="E5442" t="str">
        <f t="shared" ref="E5442:E5505" si="427">IF(B5442="","",VALUE(MID(B5442,FIND(" -&gt; ",B5442)+4,99)))</f>
        <v/>
      </c>
      <c r="F5442" t="str">
        <f>IF(D5442="","",INDEX(Knutepunkter!$B:$B,D5442+1))</f>
        <v/>
      </c>
      <c r="G5442" t="str">
        <f>IF(D5442="","",INDEX(Knutepunkter!$C:$C,D5442+1))</f>
        <v/>
      </c>
      <c r="H5442" t="str">
        <f>IF(D5442="","",INDEX(Knutepunkter!$D:$D,D5442+1))</f>
        <v/>
      </c>
      <c r="I5442" t="str">
        <f>IF(E5442="","",INDEX(Knutepunkter!$B:$B,E5442+1))</f>
        <v/>
      </c>
      <c r="J5442" t="str">
        <f>IF(E5442="","",INDEX(Knutepunkter!$C:$C,E5442+1))</f>
        <v/>
      </c>
      <c r="K5442" t="str">
        <f>IF(E5442="","",INDEX(Knutepunkter!$D:$D,E5442+1))</f>
        <v/>
      </c>
      <c r="L5442" t="str">
        <f t="shared" ref="L5442:L5505" si="428">IF(B5442="","",SQRT((I5442-F5442)^2+(J5442-G5442)^2+(K5442-H5442)^2))</f>
        <v/>
      </c>
      <c r="M5442" t="str">
        <f t="shared" ref="M5442:M5505" si="429">IF(L5442="","",L5442/1000)</f>
        <v/>
      </c>
    </row>
    <row r="5443" spans="1:13" x14ac:dyDescent="0.3">
      <c r="A5443" t="str">
        <f>Segmenter!A5443</f>
        <v/>
      </c>
      <c r="B5443" t="str">
        <f>Segmenter!B5443</f>
        <v/>
      </c>
      <c r="C5443" t="str">
        <f t="shared" si="425"/>
        <v/>
      </c>
      <c r="D5443" t="str">
        <f t="shared" si="426"/>
        <v/>
      </c>
      <c r="E5443" t="str">
        <f t="shared" si="427"/>
        <v/>
      </c>
      <c r="F5443" t="str">
        <f>IF(D5443="","",INDEX(Knutepunkter!$B:$B,D5443+1))</f>
        <v/>
      </c>
      <c r="G5443" t="str">
        <f>IF(D5443="","",INDEX(Knutepunkter!$C:$C,D5443+1))</f>
        <v/>
      </c>
      <c r="H5443" t="str">
        <f>IF(D5443="","",INDEX(Knutepunkter!$D:$D,D5443+1))</f>
        <v/>
      </c>
      <c r="I5443" t="str">
        <f>IF(E5443="","",INDEX(Knutepunkter!$B:$B,E5443+1))</f>
        <v/>
      </c>
      <c r="J5443" t="str">
        <f>IF(E5443="","",INDEX(Knutepunkter!$C:$C,E5443+1))</f>
        <v/>
      </c>
      <c r="K5443" t="str">
        <f>IF(E5443="","",INDEX(Knutepunkter!$D:$D,E5443+1))</f>
        <v/>
      </c>
      <c r="L5443" t="str">
        <f t="shared" si="428"/>
        <v/>
      </c>
      <c r="M5443" t="str">
        <f t="shared" si="429"/>
        <v/>
      </c>
    </row>
    <row r="5444" spans="1:13" x14ac:dyDescent="0.3">
      <c r="A5444" t="str">
        <f>Segmenter!A5444</f>
        <v/>
      </c>
      <c r="B5444" t="str">
        <f>Segmenter!B5444</f>
        <v/>
      </c>
      <c r="C5444" t="str">
        <f t="shared" si="425"/>
        <v/>
      </c>
      <c r="D5444" t="str">
        <f t="shared" si="426"/>
        <v/>
      </c>
      <c r="E5444" t="str">
        <f t="shared" si="427"/>
        <v/>
      </c>
      <c r="F5444" t="str">
        <f>IF(D5444="","",INDEX(Knutepunkter!$B:$B,D5444+1))</f>
        <v/>
      </c>
      <c r="G5444" t="str">
        <f>IF(D5444="","",INDEX(Knutepunkter!$C:$C,D5444+1))</f>
        <v/>
      </c>
      <c r="H5444" t="str">
        <f>IF(D5444="","",INDEX(Knutepunkter!$D:$D,D5444+1))</f>
        <v/>
      </c>
      <c r="I5444" t="str">
        <f>IF(E5444="","",INDEX(Knutepunkter!$B:$B,E5444+1))</f>
        <v/>
      </c>
      <c r="J5444" t="str">
        <f>IF(E5444="","",INDEX(Knutepunkter!$C:$C,E5444+1))</f>
        <v/>
      </c>
      <c r="K5444" t="str">
        <f>IF(E5444="","",INDEX(Knutepunkter!$D:$D,E5444+1))</f>
        <v/>
      </c>
      <c r="L5444" t="str">
        <f t="shared" si="428"/>
        <v/>
      </c>
      <c r="M5444" t="str">
        <f t="shared" si="429"/>
        <v/>
      </c>
    </row>
    <row r="5445" spans="1:13" x14ac:dyDescent="0.3">
      <c r="A5445" t="str">
        <f>Segmenter!A5445</f>
        <v/>
      </c>
      <c r="B5445" t="str">
        <f>Segmenter!B5445</f>
        <v/>
      </c>
      <c r="C5445" t="str">
        <f t="shared" si="425"/>
        <v/>
      </c>
      <c r="D5445" t="str">
        <f t="shared" si="426"/>
        <v/>
      </c>
      <c r="E5445" t="str">
        <f t="shared" si="427"/>
        <v/>
      </c>
      <c r="F5445" t="str">
        <f>IF(D5445="","",INDEX(Knutepunkter!$B:$B,D5445+1))</f>
        <v/>
      </c>
      <c r="G5445" t="str">
        <f>IF(D5445="","",INDEX(Knutepunkter!$C:$C,D5445+1))</f>
        <v/>
      </c>
      <c r="H5445" t="str">
        <f>IF(D5445="","",INDEX(Knutepunkter!$D:$D,D5445+1))</f>
        <v/>
      </c>
      <c r="I5445" t="str">
        <f>IF(E5445="","",INDEX(Knutepunkter!$B:$B,E5445+1))</f>
        <v/>
      </c>
      <c r="J5445" t="str">
        <f>IF(E5445="","",INDEX(Knutepunkter!$C:$C,E5445+1))</f>
        <v/>
      </c>
      <c r="K5445" t="str">
        <f>IF(E5445="","",INDEX(Knutepunkter!$D:$D,E5445+1))</f>
        <v/>
      </c>
      <c r="L5445" t="str">
        <f t="shared" si="428"/>
        <v/>
      </c>
      <c r="M5445" t="str">
        <f t="shared" si="429"/>
        <v/>
      </c>
    </row>
    <row r="5446" spans="1:13" x14ac:dyDescent="0.3">
      <c r="A5446" t="str">
        <f>Segmenter!A5446</f>
        <v/>
      </c>
      <c r="B5446" t="str">
        <f>Segmenter!B5446</f>
        <v/>
      </c>
      <c r="C5446" t="str">
        <f t="shared" si="425"/>
        <v/>
      </c>
      <c r="D5446" t="str">
        <f t="shared" si="426"/>
        <v/>
      </c>
      <c r="E5446" t="str">
        <f t="shared" si="427"/>
        <v/>
      </c>
      <c r="F5446" t="str">
        <f>IF(D5446="","",INDEX(Knutepunkter!$B:$B,D5446+1))</f>
        <v/>
      </c>
      <c r="G5446" t="str">
        <f>IF(D5446="","",INDEX(Knutepunkter!$C:$C,D5446+1))</f>
        <v/>
      </c>
      <c r="H5446" t="str">
        <f>IF(D5446="","",INDEX(Knutepunkter!$D:$D,D5446+1))</f>
        <v/>
      </c>
      <c r="I5446" t="str">
        <f>IF(E5446="","",INDEX(Knutepunkter!$B:$B,E5446+1))</f>
        <v/>
      </c>
      <c r="J5446" t="str">
        <f>IF(E5446="","",INDEX(Knutepunkter!$C:$C,E5446+1))</f>
        <v/>
      </c>
      <c r="K5446" t="str">
        <f>IF(E5446="","",INDEX(Knutepunkter!$D:$D,E5446+1))</f>
        <v/>
      </c>
      <c r="L5446" t="str">
        <f t="shared" si="428"/>
        <v/>
      </c>
      <c r="M5446" t="str">
        <f t="shared" si="429"/>
        <v/>
      </c>
    </row>
    <row r="5447" spans="1:13" x14ac:dyDescent="0.3">
      <c r="A5447" t="str">
        <f>Segmenter!A5447</f>
        <v/>
      </c>
      <c r="B5447" t="str">
        <f>Segmenter!B5447</f>
        <v/>
      </c>
      <c r="C5447" t="str">
        <f t="shared" si="425"/>
        <v/>
      </c>
      <c r="D5447" t="str">
        <f t="shared" si="426"/>
        <v/>
      </c>
      <c r="E5447" t="str">
        <f t="shared" si="427"/>
        <v/>
      </c>
      <c r="F5447" t="str">
        <f>IF(D5447="","",INDEX(Knutepunkter!$B:$B,D5447+1))</f>
        <v/>
      </c>
      <c r="G5447" t="str">
        <f>IF(D5447="","",INDEX(Knutepunkter!$C:$C,D5447+1))</f>
        <v/>
      </c>
      <c r="H5447" t="str">
        <f>IF(D5447="","",INDEX(Knutepunkter!$D:$D,D5447+1))</f>
        <v/>
      </c>
      <c r="I5447" t="str">
        <f>IF(E5447="","",INDEX(Knutepunkter!$B:$B,E5447+1))</f>
        <v/>
      </c>
      <c r="J5447" t="str">
        <f>IF(E5447="","",INDEX(Knutepunkter!$C:$C,E5447+1))</f>
        <v/>
      </c>
      <c r="K5447" t="str">
        <f>IF(E5447="","",INDEX(Knutepunkter!$D:$D,E5447+1))</f>
        <v/>
      </c>
      <c r="L5447" t="str">
        <f t="shared" si="428"/>
        <v/>
      </c>
      <c r="M5447" t="str">
        <f t="shared" si="429"/>
        <v/>
      </c>
    </row>
    <row r="5448" spans="1:13" x14ac:dyDescent="0.3">
      <c r="A5448" t="str">
        <f>Segmenter!A5448</f>
        <v/>
      </c>
      <c r="B5448" t="str">
        <f>Segmenter!B5448</f>
        <v/>
      </c>
      <c r="C5448" t="str">
        <f t="shared" si="425"/>
        <v/>
      </c>
      <c r="D5448" t="str">
        <f t="shared" si="426"/>
        <v/>
      </c>
      <c r="E5448" t="str">
        <f t="shared" si="427"/>
        <v/>
      </c>
      <c r="F5448" t="str">
        <f>IF(D5448="","",INDEX(Knutepunkter!$B:$B,D5448+1))</f>
        <v/>
      </c>
      <c r="G5448" t="str">
        <f>IF(D5448="","",INDEX(Knutepunkter!$C:$C,D5448+1))</f>
        <v/>
      </c>
      <c r="H5448" t="str">
        <f>IF(D5448="","",INDEX(Knutepunkter!$D:$D,D5448+1))</f>
        <v/>
      </c>
      <c r="I5448" t="str">
        <f>IF(E5448="","",INDEX(Knutepunkter!$B:$B,E5448+1))</f>
        <v/>
      </c>
      <c r="J5448" t="str">
        <f>IF(E5448="","",INDEX(Knutepunkter!$C:$C,E5448+1))</f>
        <v/>
      </c>
      <c r="K5448" t="str">
        <f>IF(E5448="","",INDEX(Knutepunkter!$D:$D,E5448+1))</f>
        <v/>
      </c>
      <c r="L5448" t="str">
        <f t="shared" si="428"/>
        <v/>
      </c>
      <c r="M5448" t="str">
        <f t="shared" si="429"/>
        <v/>
      </c>
    </row>
    <row r="5449" spans="1:13" x14ac:dyDescent="0.3">
      <c r="A5449" t="str">
        <f>Segmenter!A5449</f>
        <v/>
      </c>
      <c r="B5449" t="str">
        <f>Segmenter!B5449</f>
        <v/>
      </c>
      <c r="C5449" t="str">
        <f t="shared" si="425"/>
        <v/>
      </c>
      <c r="D5449" t="str">
        <f t="shared" si="426"/>
        <v/>
      </c>
      <c r="E5449" t="str">
        <f t="shared" si="427"/>
        <v/>
      </c>
      <c r="F5449" t="str">
        <f>IF(D5449="","",INDEX(Knutepunkter!$B:$B,D5449+1))</f>
        <v/>
      </c>
      <c r="G5449" t="str">
        <f>IF(D5449="","",INDEX(Knutepunkter!$C:$C,D5449+1))</f>
        <v/>
      </c>
      <c r="H5449" t="str">
        <f>IF(D5449="","",INDEX(Knutepunkter!$D:$D,D5449+1))</f>
        <v/>
      </c>
      <c r="I5449" t="str">
        <f>IF(E5449="","",INDEX(Knutepunkter!$B:$B,E5449+1))</f>
        <v/>
      </c>
      <c r="J5449" t="str">
        <f>IF(E5449="","",INDEX(Knutepunkter!$C:$C,E5449+1))</f>
        <v/>
      </c>
      <c r="K5449" t="str">
        <f>IF(E5449="","",INDEX(Knutepunkter!$D:$D,E5449+1))</f>
        <v/>
      </c>
      <c r="L5449" t="str">
        <f t="shared" si="428"/>
        <v/>
      </c>
      <c r="M5449" t="str">
        <f t="shared" si="429"/>
        <v/>
      </c>
    </row>
    <row r="5450" spans="1:13" x14ac:dyDescent="0.3">
      <c r="A5450" t="str">
        <f>Segmenter!A5450</f>
        <v/>
      </c>
      <c r="B5450" t="str">
        <f>Segmenter!B5450</f>
        <v/>
      </c>
      <c r="C5450" t="str">
        <f t="shared" si="425"/>
        <v/>
      </c>
      <c r="D5450" t="str">
        <f t="shared" si="426"/>
        <v/>
      </c>
      <c r="E5450" t="str">
        <f t="shared" si="427"/>
        <v/>
      </c>
      <c r="F5450" t="str">
        <f>IF(D5450="","",INDEX(Knutepunkter!$B:$B,D5450+1))</f>
        <v/>
      </c>
      <c r="G5450" t="str">
        <f>IF(D5450="","",INDEX(Knutepunkter!$C:$C,D5450+1))</f>
        <v/>
      </c>
      <c r="H5450" t="str">
        <f>IF(D5450="","",INDEX(Knutepunkter!$D:$D,D5450+1))</f>
        <v/>
      </c>
      <c r="I5450" t="str">
        <f>IF(E5450="","",INDEX(Knutepunkter!$B:$B,E5450+1))</f>
        <v/>
      </c>
      <c r="J5450" t="str">
        <f>IF(E5450="","",INDEX(Knutepunkter!$C:$C,E5450+1))</f>
        <v/>
      </c>
      <c r="K5450" t="str">
        <f>IF(E5450="","",INDEX(Knutepunkter!$D:$D,E5450+1))</f>
        <v/>
      </c>
      <c r="L5450" t="str">
        <f t="shared" si="428"/>
        <v/>
      </c>
      <c r="M5450" t="str">
        <f t="shared" si="429"/>
        <v/>
      </c>
    </row>
    <row r="5451" spans="1:13" x14ac:dyDescent="0.3">
      <c r="A5451" t="str">
        <f>Segmenter!A5451</f>
        <v/>
      </c>
      <c r="B5451" t="str">
        <f>Segmenter!B5451</f>
        <v/>
      </c>
      <c r="C5451" t="str">
        <f t="shared" si="425"/>
        <v/>
      </c>
      <c r="D5451" t="str">
        <f t="shared" si="426"/>
        <v/>
      </c>
      <c r="E5451" t="str">
        <f t="shared" si="427"/>
        <v/>
      </c>
      <c r="F5451" t="str">
        <f>IF(D5451="","",INDEX(Knutepunkter!$B:$B,D5451+1))</f>
        <v/>
      </c>
      <c r="G5451" t="str">
        <f>IF(D5451="","",INDEX(Knutepunkter!$C:$C,D5451+1))</f>
        <v/>
      </c>
      <c r="H5451" t="str">
        <f>IF(D5451="","",INDEX(Knutepunkter!$D:$D,D5451+1))</f>
        <v/>
      </c>
      <c r="I5451" t="str">
        <f>IF(E5451="","",INDEX(Knutepunkter!$B:$B,E5451+1))</f>
        <v/>
      </c>
      <c r="J5451" t="str">
        <f>IF(E5451="","",INDEX(Knutepunkter!$C:$C,E5451+1))</f>
        <v/>
      </c>
      <c r="K5451" t="str">
        <f>IF(E5451="","",INDEX(Knutepunkter!$D:$D,E5451+1))</f>
        <v/>
      </c>
      <c r="L5451" t="str">
        <f t="shared" si="428"/>
        <v/>
      </c>
      <c r="M5451" t="str">
        <f t="shared" si="429"/>
        <v/>
      </c>
    </row>
    <row r="5452" spans="1:13" x14ac:dyDescent="0.3">
      <c r="A5452" t="str">
        <f>Segmenter!A5452</f>
        <v/>
      </c>
      <c r="B5452" t="str">
        <f>Segmenter!B5452</f>
        <v/>
      </c>
      <c r="C5452" t="str">
        <f t="shared" si="425"/>
        <v/>
      </c>
      <c r="D5452" t="str">
        <f t="shared" si="426"/>
        <v/>
      </c>
      <c r="E5452" t="str">
        <f t="shared" si="427"/>
        <v/>
      </c>
      <c r="F5452" t="str">
        <f>IF(D5452="","",INDEX(Knutepunkter!$B:$B,D5452+1))</f>
        <v/>
      </c>
      <c r="G5452" t="str">
        <f>IF(D5452="","",INDEX(Knutepunkter!$C:$C,D5452+1))</f>
        <v/>
      </c>
      <c r="H5452" t="str">
        <f>IF(D5452="","",INDEX(Knutepunkter!$D:$D,D5452+1))</f>
        <v/>
      </c>
      <c r="I5452" t="str">
        <f>IF(E5452="","",INDEX(Knutepunkter!$B:$B,E5452+1))</f>
        <v/>
      </c>
      <c r="J5452" t="str">
        <f>IF(E5452="","",INDEX(Knutepunkter!$C:$C,E5452+1))</f>
        <v/>
      </c>
      <c r="K5452" t="str">
        <f>IF(E5452="","",INDEX(Knutepunkter!$D:$D,E5452+1))</f>
        <v/>
      </c>
      <c r="L5452" t="str">
        <f t="shared" si="428"/>
        <v/>
      </c>
      <c r="M5452" t="str">
        <f t="shared" si="429"/>
        <v/>
      </c>
    </row>
    <row r="5453" spans="1:13" x14ac:dyDescent="0.3">
      <c r="A5453" t="str">
        <f>Segmenter!A5453</f>
        <v/>
      </c>
      <c r="B5453" t="str">
        <f>Segmenter!B5453</f>
        <v/>
      </c>
      <c r="C5453" t="str">
        <f t="shared" si="425"/>
        <v/>
      </c>
      <c r="D5453" t="str">
        <f t="shared" si="426"/>
        <v/>
      </c>
      <c r="E5453" t="str">
        <f t="shared" si="427"/>
        <v/>
      </c>
      <c r="F5453" t="str">
        <f>IF(D5453="","",INDEX(Knutepunkter!$B:$B,D5453+1))</f>
        <v/>
      </c>
      <c r="G5453" t="str">
        <f>IF(D5453="","",INDEX(Knutepunkter!$C:$C,D5453+1))</f>
        <v/>
      </c>
      <c r="H5453" t="str">
        <f>IF(D5453="","",INDEX(Knutepunkter!$D:$D,D5453+1))</f>
        <v/>
      </c>
      <c r="I5453" t="str">
        <f>IF(E5453="","",INDEX(Knutepunkter!$B:$B,E5453+1))</f>
        <v/>
      </c>
      <c r="J5453" t="str">
        <f>IF(E5453="","",INDEX(Knutepunkter!$C:$C,E5453+1))</f>
        <v/>
      </c>
      <c r="K5453" t="str">
        <f>IF(E5453="","",INDEX(Knutepunkter!$D:$D,E5453+1))</f>
        <v/>
      </c>
      <c r="L5453" t="str">
        <f t="shared" si="428"/>
        <v/>
      </c>
      <c r="M5453" t="str">
        <f t="shared" si="429"/>
        <v/>
      </c>
    </row>
    <row r="5454" spans="1:13" x14ac:dyDescent="0.3">
      <c r="A5454" t="str">
        <f>Segmenter!A5454</f>
        <v/>
      </c>
      <c r="B5454" t="str">
        <f>Segmenter!B5454</f>
        <v/>
      </c>
      <c r="C5454" t="str">
        <f t="shared" si="425"/>
        <v/>
      </c>
      <c r="D5454" t="str">
        <f t="shared" si="426"/>
        <v/>
      </c>
      <c r="E5454" t="str">
        <f t="shared" si="427"/>
        <v/>
      </c>
      <c r="F5454" t="str">
        <f>IF(D5454="","",INDEX(Knutepunkter!$B:$B,D5454+1))</f>
        <v/>
      </c>
      <c r="G5454" t="str">
        <f>IF(D5454="","",INDEX(Knutepunkter!$C:$C,D5454+1))</f>
        <v/>
      </c>
      <c r="H5454" t="str">
        <f>IF(D5454="","",INDEX(Knutepunkter!$D:$D,D5454+1))</f>
        <v/>
      </c>
      <c r="I5454" t="str">
        <f>IF(E5454="","",INDEX(Knutepunkter!$B:$B,E5454+1))</f>
        <v/>
      </c>
      <c r="J5454" t="str">
        <f>IF(E5454="","",INDEX(Knutepunkter!$C:$C,E5454+1))</f>
        <v/>
      </c>
      <c r="K5454" t="str">
        <f>IF(E5454="","",INDEX(Knutepunkter!$D:$D,E5454+1))</f>
        <v/>
      </c>
      <c r="L5454" t="str">
        <f t="shared" si="428"/>
        <v/>
      </c>
      <c r="M5454" t="str">
        <f t="shared" si="429"/>
        <v/>
      </c>
    </row>
    <row r="5455" spans="1:13" x14ac:dyDescent="0.3">
      <c r="A5455" t="str">
        <f>Segmenter!A5455</f>
        <v/>
      </c>
      <c r="B5455" t="str">
        <f>Segmenter!B5455</f>
        <v/>
      </c>
      <c r="C5455" t="str">
        <f t="shared" si="425"/>
        <v/>
      </c>
      <c r="D5455" t="str">
        <f t="shared" si="426"/>
        <v/>
      </c>
      <c r="E5455" t="str">
        <f t="shared" si="427"/>
        <v/>
      </c>
      <c r="F5455" t="str">
        <f>IF(D5455="","",INDEX(Knutepunkter!$B:$B,D5455+1))</f>
        <v/>
      </c>
      <c r="G5455" t="str">
        <f>IF(D5455="","",INDEX(Knutepunkter!$C:$C,D5455+1))</f>
        <v/>
      </c>
      <c r="H5455" t="str">
        <f>IF(D5455="","",INDEX(Knutepunkter!$D:$D,D5455+1))</f>
        <v/>
      </c>
      <c r="I5455" t="str">
        <f>IF(E5455="","",INDEX(Knutepunkter!$B:$B,E5455+1))</f>
        <v/>
      </c>
      <c r="J5455" t="str">
        <f>IF(E5455="","",INDEX(Knutepunkter!$C:$C,E5455+1))</f>
        <v/>
      </c>
      <c r="K5455" t="str">
        <f>IF(E5455="","",INDEX(Knutepunkter!$D:$D,E5455+1))</f>
        <v/>
      </c>
      <c r="L5455" t="str">
        <f t="shared" si="428"/>
        <v/>
      </c>
      <c r="M5455" t="str">
        <f t="shared" si="429"/>
        <v/>
      </c>
    </row>
    <row r="5456" spans="1:13" x14ac:dyDescent="0.3">
      <c r="A5456" t="str">
        <f>Segmenter!A5456</f>
        <v/>
      </c>
      <c r="B5456" t="str">
        <f>Segmenter!B5456</f>
        <v/>
      </c>
      <c r="C5456" t="str">
        <f t="shared" si="425"/>
        <v/>
      </c>
      <c r="D5456" t="str">
        <f t="shared" si="426"/>
        <v/>
      </c>
      <c r="E5456" t="str">
        <f t="shared" si="427"/>
        <v/>
      </c>
      <c r="F5456" t="str">
        <f>IF(D5456="","",INDEX(Knutepunkter!$B:$B,D5456+1))</f>
        <v/>
      </c>
      <c r="G5456" t="str">
        <f>IF(D5456="","",INDEX(Knutepunkter!$C:$C,D5456+1))</f>
        <v/>
      </c>
      <c r="H5456" t="str">
        <f>IF(D5456="","",INDEX(Knutepunkter!$D:$D,D5456+1))</f>
        <v/>
      </c>
      <c r="I5456" t="str">
        <f>IF(E5456="","",INDEX(Knutepunkter!$B:$B,E5456+1))</f>
        <v/>
      </c>
      <c r="J5456" t="str">
        <f>IF(E5456="","",INDEX(Knutepunkter!$C:$C,E5456+1))</f>
        <v/>
      </c>
      <c r="K5456" t="str">
        <f>IF(E5456="","",INDEX(Knutepunkter!$D:$D,E5456+1))</f>
        <v/>
      </c>
      <c r="L5456" t="str">
        <f t="shared" si="428"/>
        <v/>
      </c>
      <c r="M5456" t="str">
        <f t="shared" si="429"/>
        <v/>
      </c>
    </row>
    <row r="5457" spans="1:13" x14ac:dyDescent="0.3">
      <c r="A5457" t="str">
        <f>Segmenter!A5457</f>
        <v/>
      </c>
      <c r="B5457" t="str">
        <f>Segmenter!B5457</f>
        <v/>
      </c>
      <c r="C5457" t="str">
        <f t="shared" si="425"/>
        <v/>
      </c>
      <c r="D5457" t="str">
        <f t="shared" si="426"/>
        <v/>
      </c>
      <c r="E5457" t="str">
        <f t="shared" si="427"/>
        <v/>
      </c>
      <c r="F5457" t="str">
        <f>IF(D5457="","",INDEX(Knutepunkter!$B:$B,D5457+1))</f>
        <v/>
      </c>
      <c r="G5457" t="str">
        <f>IF(D5457="","",INDEX(Knutepunkter!$C:$C,D5457+1))</f>
        <v/>
      </c>
      <c r="H5457" t="str">
        <f>IF(D5457="","",INDEX(Knutepunkter!$D:$D,D5457+1))</f>
        <v/>
      </c>
      <c r="I5457" t="str">
        <f>IF(E5457="","",INDEX(Knutepunkter!$B:$B,E5457+1))</f>
        <v/>
      </c>
      <c r="J5457" t="str">
        <f>IF(E5457="","",INDEX(Knutepunkter!$C:$C,E5457+1))</f>
        <v/>
      </c>
      <c r="K5457" t="str">
        <f>IF(E5457="","",INDEX(Knutepunkter!$D:$D,E5457+1))</f>
        <v/>
      </c>
      <c r="L5457" t="str">
        <f t="shared" si="428"/>
        <v/>
      </c>
      <c r="M5457" t="str">
        <f t="shared" si="429"/>
        <v/>
      </c>
    </row>
    <row r="5458" spans="1:13" x14ac:dyDescent="0.3">
      <c r="A5458" t="str">
        <f>Segmenter!A5458</f>
        <v/>
      </c>
      <c r="B5458" t="str">
        <f>Segmenter!B5458</f>
        <v/>
      </c>
      <c r="C5458" t="str">
        <f t="shared" si="425"/>
        <v/>
      </c>
      <c r="D5458" t="str">
        <f t="shared" si="426"/>
        <v/>
      </c>
      <c r="E5458" t="str">
        <f t="shared" si="427"/>
        <v/>
      </c>
      <c r="F5458" t="str">
        <f>IF(D5458="","",INDEX(Knutepunkter!$B:$B,D5458+1))</f>
        <v/>
      </c>
      <c r="G5458" t="str">
        <f>IF(D5458="","",INDEX(Knutepunkter!$C:$C,D5458+1))</f>
        <v/>
      </c>
      <c r="H5458" t="str">
        <f>IF(D5458="","",INDEX(Knutepunkter!$D:$D,D5458+1))</f>
        <v/>
      </c>
      <c r="I5458" t="str">
        <f>IF(E5458="","",INDEX(Knutepunkter!$B:$B,E5458+1))</f>
        <v/>
      </c>
      <c r="J5458" t="str">
        <f>IF(E5458="","",INDEX(Knutepunkter!$C:$C,E5458+1))</f>
        <v/>
      </c>
      <c r="K5458" t="str">
        <f>IF(E5458="","",INDEX(Knutepunkter!$D:$D,E5458+1))</f>
        <v/>
      </c>
      <c r="L5458" t="str">
        <f t="shared" si="428"/>
        <v/>
      </c>
      <c r="M5458" t="str">
        <f t="shared" si="429"/>
        <v/>
      </c>
    </row>
    <row r="5459" spans="1:13" x14ac:dyDescent="0.3">
      <c r="A5459" t="str">
        <f>Segmenter!A5459</f>
        <v/>
      </c>
      <c r="B5459" t="str">
        <f>Segmenter!B5459</f>
        <v/>
      </c>
      <c r="C5459" t="str">
        <f t="shared" si="425"/>
        <v/>
      </c>
      <c r="D5459" t="str">
        <f t="shared" si="426"/>
        <v/>
      </c>
      <c r="E5459" t="str">
        <f t="shared" si="427"/>
        <v/>
      </c>
      <c r="F5459" t="str">
        <f>IF(D5459="","",INDEX(Knutepunkter!$B:$B,D5459+1))</f>
        <v/>
      </c>
      <c r="G5459" t="str">
        <f>IF(D5459="","",INDEX(Knutepunkter!$C:$C,D5459+1))</f>
        <v/>
      </c>
      <c r="H5459" t="str">
        <f>IF(D5459="","",INDEX(Knutepunkter!$D:$D,D5459+1))</f>
        <v/>
      </c>
      <c r="I5459" t="str">
        <f>IF(E5459="","",INDEX(Knutepunkter!$B:$B,E5459+1))</f>
        <v/>
      </c>
      <c r="J5459" t="str">
        <f>IF(E5459="","",INDEX(Knutepunkter!$C:$C,E5459+1))</f>
        <v/>
      </c>
      <c r="K5459" t="str">
        <f>IF(E5459="","",INDEX(Knutepunkter!$D:$D,E5459+1))</f>
        <v/>
      </c>
      <c r="L5459" t="str">
        <f t="shared" si="428"/>
        <v/>
      </c>
      <c r="M5459" t="str">
        <f t="shared" si="429"/>
        <v/>
      </c>
    </row>
    <row r="5460" spans="1:13" x14ac:dyDescent="0.3">
      <c r="A5460" t="str">
        <f>Segmenter!A5460</f>
        <v/>
      </c>
      <c r="B5460" t="str">
        <f>Segmenter!B5460</f>
        <v/>
      </c>
      <c r="C5460" t="str">
        <f t="shared" si="425"/>
        <v/>
      </c>
      <c r="D5460" t="str">
        <f t="shared" si="426"/>
        <v/>
      </c>
      <c r="E5460" t="str">
        <f t="shared" si="427"/>
        <v/>
      </c>
      <c r="F5460" t="str">
        <f>IF(D5460="","",INDEX(Knutepunkter!$B:$B,D5460+1))</f>
        <v/>
      </c>
      <c r="G5460" t="str">
        <f>IF(D5460="","",INDEX(Knutepunkter!$C:$C,D5460+1))</f>
        <v/>
      </c>
      <c r="H5460" t="str">
        <f>IF(D5460="","",INDEX(Knutepunkter!$D:$D,D5460+1))</f>
        <v/>
      </c>
      <c r="I5460" t="str">
        <f>IF(E5460="","",INDEX(Knutepunkter!$B:$B,E5460+1))</f>
        <v/>
      </c>
      <c r="J5460" t="str">
        <f>IF(E5460="","",INDEX(Knutepunkter!$C:$C,E5460+1))</f>
        <v/>
      </c>
      <c r="K5460" t="str">
        <f>IF(E5460="","",INDEX(Knutepunkter!$D:$D,E5460+1))</f>
        <v/>
      </c>
      <c r="L5460" t="str">
        <f t="shared" si="428"/>
        <v/>
      </c>
      <c r="M5460" t="str">
        <f t="shared" si="429"/>
        <v/>
      </c>
    </row>
    <row r="5461" spans="1:13" x14ac:dyDescent="0.3">
      <c r="A5461" t="str">
        <f>Segmenter!A5461</f>
        <v/>
      </c>
      <c r="B5461" t="str">
        <f>Segmenter!B5461</f>
        <v/>
      </c>
      <c r="C5461" t="str">
        <f t="shared" si="425"/>
        <v/>
      </c>
      <c r="D5461" t="str">
        <f t="shared" si="426"/>
        <v/>
      </c>
      <c r="E5461" t="str">
        <f t="shared" si="427"/>
        <v/>
      </c>
      <c r="F5461" t="str">
        <f>IF(D5461="","",INDEX(Knutepunkter!$B:$B,D5461+1))</f>
        <v/>
      </c>
      <c r="G5461" t="str">
        <f>IF(D5461="","",INDEX(Knutepunkter!$C:$C,D5461+1))</f>
        <v/>
      </c>
      <c r="H5461" t="str">
        <f>IF(D5461="","",INDEX(Knutepunkter!$D:$D,D5461+1))</f>
        <v/>
      </c>
      <c r="I5461" t="str">
        <f>IF(E5461="","",INDEX(Knutepunkter!$B:$B,E5461+1))</f>
        <v/>
      </c>
      <c r="J5461" t="str">
        <f>IF(E5461="","",INDEX(Knutepunkter!$C:$C,E5461+1))</f>
        <v/>
      </c>
      <c r="K5461" t="str">
        <f>IF(E5461="","",INDEX(Knutepunkter!$D:$D,E5461+1))</f>
        <v/>
      </c>
      <c r="L5461" t="str">
        <f t="shared" si="428"/>
        <v/>
      </c>
      <c r="M5461" t="str">
        <f t="shared" si="429"/>
        <v/>
      </c>
    </row>
    <row r="5462" spans="1:13" x14ac:dyDescent="0.3">
      <c r="A5462" t="str">
        <f>Segmenter!A5462</f>
        <v/>
      </c>
      <c r="B5462" t="str">
        <f>Segmenter!B5462</f>
        <v/>
      </c>
      <c r="C5462" t="str">
        <f t="shared" si="425"/>
        <v/>
      </c>
      <c r="D5462" t="str">
        <f t="shared" si="426"/>
        <v/>
      </c>
      <c r="E5462" t="str">
        <f t="shared" si="427"/>
        <v/>
      </c>
      <c r="F5462" t="str">
        <f>IF(D5462="","",INDEX(Knutepunkter!$B:$B,D5462+1))</f>
        <v/>
      </c>
      <c r="G5462" t="str">
        <f>IF(D5462="","",INDEX(Knutepunkter!$C:$C,D5462+1))</f>
        <v/>
      </c>
      <c r="H5462" t="str">
        <f>IF(D5462="","",INDEX(Knutepunkter!$D:$D,D5462+1))</f>
        <v/>
      </c>
      <c r="I5462" t="str">
        <f>IF(E5462="","",INDEX(Knutepunkter!$B:$B,E5462+1))</f>
        <v/>
      </c>
      <c r="J5462" t="str">
        <f>IF(E5462="","",INDEX(Knutepunkter!$C:$C,E5462+1))</f>
        <v/>
      </c>
      <c r="K5462" t="str">
        <f>IF(E5462="","",INDEX(Knutepunkter!$D:$D,E5462+1))</f>
        <v/>
      </c>
      <c r="L5462" t="str">
        <f t="shared" si="428"/>
        <v/>
      </c>
      <c r="M5462" t="str">
        <f t="shared" si="429"/>
        <v/>
      </c>
    </row>
    <row r="5463" spans="1:13" x14ac:dyDescent="0.3">
      <c r="A5463" t="str">
        <f>Segmenter!A5463</f>
        <v/>
      </c>
      <c r="B5463" t="str">
        <f>Segmenter!B5463</f>
        <v/>
      </c>
      <c r="C5463" t="str">
        <f t="shared" si="425"/>
        <v/>
      </c>
      <c r="D5463" t="str">
        <f t="shared" si="426"/>
        <v/>
      </c>
      <c r="E5463" t="str">
        <f t="shared" si="427"/>
        <v/>
      </c>
      <c r="F5463" t="str">
        <f>IF(D5463="","",INDEX(Knutepunkter!$B:$B,D5463+1))</f>
        <v/>
      </c>
      <c r="G5463" t="str">
        <f>IF(D5463="","",INDEX(Knutepunkter!$C:$C,D5463+1))</f>
        <v/>
      </c>
      <c r="H5463" t="str">
        <f>IF(D5463="","",INDEX(Knutepunkter!$D:$D,D5463+1))</f>
        <v/>
      </c>
      <c r="I5463" t="str">
        <f>IF(E5463="","",INDEX(Knutepunkter!$B:$B,E5463+1))</f>
        <v/>
      </c>
      <c r="J5463" t="str">
        <f>IF(E5463="","",INDEX(Knutepunkter!$C:$C,E5463+1))</f>
        <v/>
      </c>
      <c r="K5463" t="str">
        <f>IF(E5463="","",INDEX(Knutepunkter!$D:$D,E5463+1))</f>
        <v/>
      </c>
      <c r="L5463" t="str">
        <f t="shared" si="428"/>
        <v/>
      </c>
      <c r="M5463" t="str">
        <f t="shared" si="429"/>
        <v/>
      </c>
    </row>
    <row r="5464" spans="1:13" x14ac:dyDescent="0.3">
      <c r="A5464" t="str">
        <f>Segmenter!A5464</f>
        <v/>
      </c>
      <c r="B5464" t="str">
        <f>Segmenter!B5464</f>
        <v/>
      </c>
      <c r="C5464" t="str">
        <f t="shared" si="425"/>
        <v/>
      </c>
      <c r="D5464" t="str">
        <f t="shared" si="426"/>
        <v/>
      </c>
      <c r="E5464" t="str">
        <f t="shared" si="427"/>
        <v/>
      </c>
      <c r="F5464" t="str">
        <f>IF(D5464="","",INDEX(Knutepunkter!$B:$B,D5464+1))</f>
        <v/>
      </c>
      <c r="G5464" t="str">
        <f>IF(D5464="","",INDEX(Knutepunkter!$C:$C,D5464+1))</f>
        <v/>
      </c>
      <c r="H5464" t="str">
        <f>IF(D5464="","",INDEX(Knutepunkter!$D:$D,D5464+1))</f>
        <v/>
      </c>
      <c r="I5464" t="str">
        <f>IF(E5464="","",INDEX(Knutepunkter!$B:$B,E5464+1))</f>
        <v/>
      </c>
      <c r="J5464" t="str">
        <f>IF(E5464="","",INDEX(Knutepunkter!$C:$C,E5464+1))</f>
        <v/>
      </c>
      <c r="K5464" t="str">
        <f>IF(E5464="","",INDEX(Knutepunkter!$D:$D,E5464+1))</f>
        <v/>
      </c>
      <c r="L5464" t="str">
        <f t="shared" si="428"/>
        <v/>
      </c>
      <c r="M5464" t="str">
        <f t="shared" si="429"/>
        <v/>
      </c>
    </row>
    <row r="5465" spans="1:13" x14ac:dyDescent="0.3">
      <c r="A5465" t="str">
        <f>Segmenter!A5465</f>
        <v/>
      </c>
      <c r="B5465" t="str">
        <f>Segmenter!B5465</f>
        <v/>
      </c>
      <c r="C5465" t="str">
        <f t="shared" si="425"/>
        <v/>
      </c>
      <c r="D5465" t="str">
        <f t="shared" si="426"/>
        <v/>
      </c>
      <c r="E5465" t="str">
        <f t="shared" si="427"/>
        <v/>
      </c>
      <c r="F5465" t="str">
        <f>IF(D5465="","",INDEX(Knutepunkter!$B:$B,D5465+1))</f>
        <v/>
      </c>
      <c r="G5465" t="str">
        <f>IF(D5465="","",INDEX(Knutepunkter!$C:$C,D5465+1))</f>
        <v/>
      </c>
      <c r="H5465" t="str">
        <f>IF(D5465="","",INDEX(Knutepunkter!$D:$D,D5465+1))</f>
        <v/>
      </c>
      <c r="I5465" t="str">
        <f>IF(E5465="","",INDEX(Knutepunkter!$B:$B,E5465+1))</f>
        <v/>
      </c>
      <c r="J5465" t="str">
        <f>IF(E5465="","",INDEX(Knutepunkter!$C:$C,E5465+1))</f>
        <v/>
      </c>
      <c r="K5465" t="str">
        <f>IF(E5465="","",INDEX(Knutepunkter!$D:$D,E5465+1))</f>
        <v/>
      </c>
      <c r="L5465" t="str">
        <f t="shared" si="428"/>
        <v/>
      </c>
      <c r="M5465" t="str">
        <f t="shared" si="429"/>
        <v/>
      </c>
    </row>
    <row r="5466" spans="1:13" x14ac:dyDescent="0.3">
      <c r="A5466" t="str">
        <f>Segmenter!A5466</f>
        <v/>
      </c>
      <c r="B5466" t="str">
        <f>Segmenter!B5466</f>
        <v/>
      </c>
      <c r="C5466" t="str">
        <f t="shared" si="425"/>
        <v/>
      </c>
      <c r="D5466" t="str">
        <f t="shared" si="426"/>
        <v/>
      </c>
      <c r="E5466" t="str">
        <f t="shared" si="427"/>
        <v/>
      </c>
      <c r="F5466" t="str">
        <f>IF(D5466="","",INDEX(Knutepunkter!$B:$B,D5466+1))</f>
        <v/>
      </c>
      <c r="G5466" t="str">
        <f>IF(D5466="","",INDEX(Knutepunkter!$C:$C,D5466+1))</f>
        <v/>
      </c>
      <c r="H5466" t="str">
        <f>IF(D5466="","",INDEX(Knutepunkter!$D:$D,D5466+1))</f>
        <v/>
      </c>
      <c r="I5466" t="str">
        <f>IF(E5466="","",INDEX(Knutepunkter!$B:$B,E5466+1))</f>
        <v/>
      </c>
      <c r="J5466" t="str">
        <f>IF(E5466="","",INDEX(Knutepunkter!$C:$C,E5466+1))</f>
        <v/>
      </c>
      <c r="K5466" t="str">
        <f>IF(E5466="","",INDEX(Knutepunkter!$D:$D,E5466+1))</f>
        <v/>
      </c>
      <c r="L5466" t="str">
        <f t="shared" si="428"/>
        <v/>
      </c>
      <c r="M5466" t="str">
        <f t="shared" si="429"/>
        <v/>
      </c>
    </row>
    <row r="5467" spans="1:13" x14ac:dyDescent="0.3">
      <c r="A5467" t="str">
        <f>Segmenter!A5467</f>
        <v/>
      </c>
      <c r="B5467" t="str">
        <f>Segmenter!B5467</f>
        <v/>
      </c>
      <c r="C5467" t="str">
        <f t="shared" si="425"/>
        <v/>
      </c>
      <c r="D5467" t="str">
        <f t="shared" si="426"/>
        <v/>
      </c>
      <c r="E5467" t="str">
        <f t="shared" si="427"/>
        <v/>
      </c>
      <c r="F5467" t="str">
        <f>IF(D5467="","",INDEX(Knutepunkter!$B:$B,D5467+1))</f>
        <v/>
      </c>
      <c r="G5467" t="str">
        <f>IF(D5467="","",INDEX(Knutepunkter!$C:$C,D5467+1))</f>
        <v/>
      </c>
      <c r="H5467" t="str">
        <f>IF(D5467="","",INDEX(Knutepunkter!$D:$D,D5467+1))</f>
        <v/>
      </c>
      <c r="I5467" t="str">
        <f>IF(E5467="","",INDEX(Knutepunkter!$B:$B,E5467+1))</f>
        <v/>
      </c>
      <c r="J5467" t="str">
        <f>IF(E5467="","",INDEX(Knutepunkter!$C:$C,E5467+1))</f>
        <v/>
      </c>
      <c r="K5467" t="str">
        <f>IF(E5467="","",INDEX(Knutepunkter!$D:$D,E5467+1))</f>
        <v/>
      </c>
      <c r="L5467" t="str">
        <f t="shared" si="428"/>
        <v/>
      </c>
      <c r="M5467" t="str">
        <f t="shared" si="429"/>
        <v/>
      </c>
    </row>
    <row r="5468" spans="1:13" x14ac:dyDescent="0.3">
      <c r="A5468" t="str">
        <f>Segmenter!A5468</f>
        <v/>
      </c>
      <c r="B5468" t="str">
        <f>Segmenter!B5468</f>
        <v/>
      </c>
      <c r="C5468" t="str">
        <f t="shared" si="425"/>
        <v/>
      </c>
      <c r="D5468" t="str">
        <f t="shared" si="426"/>
        <v/>
      </c>
      <c r="E5468" t="str">
        <f t="shared" si="427"/>
        <v/>
      </c>
      <c r="F5468" t="str">
        <f>IF(D5468="","",INDEX(Knutepunkter!$B:$B,D5468+1))</f>
        <v/>
      </c>
      <c r="G5468" t="str">
        <f>IF(D5468="","",INDEX(Knutepunkter!$C:$C,D5468+1))</f>
        <v/>
      </c>
      <c r="H5468" t="str">
        <f>IF(D5468="","",INDEX(Knutepunkter!$D:$D,D5468+1))</f>
        <v/>
      </c>
      <c r="I5468" t="str">
        <f>IF(E5468="","",INDEX(Knutepunkter!$B:$B,E5468+1))</f>
        <v/>
      </c>
      <c r="J5468" t="str">
        <f>IF(E5468="","",INDEX(Knutepunkter!$C:$C,E5468+1))</f>
        <v/>
      </c>
      <c r="K5468" t="str">
        <f>IF(E5468="","",INDEX(Knutepunkter!$D:$D,E5468+1))</f>
        <v/>
      </c>
      <c r="L5468" t="str">
        <f t="shared" si="428"/>
        <v/>
      </c>
      <c r="M5468" t="str">
        <f t="shared" si="429"/>
        <v/>
      </c>
    </row>
    <row r="5469" spans="1:13" x14ac:dyDescent="0.3">
      <c r="A5469" t="str">
        <f>Segmenter!A5469</f>
        <v/>
      </c>
      <c r="B5469" t="str">
        <f>Segmenter!B5469</f>
        <v/>
      </c>
      <c r="C5469" t="str">
        <f t="shared" si="425"/>
        <v/>
      </c>
      <c r="D5469" t="str">
        <f t="shared" si="426"/>
        <v/>
      </c>
      <c r="E5469" t="str">
        <f t="shared" si="427"/>
        <v/>
      </c>
      <c r="F5469" t="str">
        <f>IF(D5469="","",INDEX(Knutepunkter!$B:$B,D5469+1))</f>
        <v/>
      </c>
      <c r="G5469" t="str">
        <f>IF(D5469="","",INDEX(Knutepunkter!$C:$C,D5469+1))</f>
        <v/>
      </c>
      <c r="H5469" t="str">
        <f>IF(D5469="","",INDEX(Knutepunkter!$D:$D,D5469+1))</f>
        <v/>
      </c>
      <c r="I5469" t="str">
        <f>IF(E5469="","",INDEX(Knutepunkter!$B:$B,E5469+1))</f>
        <v/>
      </c>
      <c r="J5469" t="str">
        <f>IF(E5469="","",INDEX(Knutepunkter!$C:$C,E5469+1))</f>
        <v/>
      </c>
      <c r="K5469" t="str">
        <f>IF(E5469="","",INDEX(Knutepunkter!$D:$D,E5469+1))</f>
        <v/>
      </c>
      <c r="L5469" t="str">
        <f t="shared" si="428"/>
        <v/>
      </c>
      <c r="M5469" t="str">
        <f t="shared" si="429"/>
        <v/>
      </c>
    </row>
    <row r="5470" spans="1:13" x14ac:dyDescent="0.3">
      <c r="A5470" t="str">
        <f>Segmenter!A5470</f>
        <v/>
      </c>
      <c r="B5470" t="str">
        <f>Segmenter!B5470</f>
        <v/>
      </c>
      <c r="C5470" t="str">
        <f t="shared" si="425"/>
        <v/>
      </c>
      <c r="D5470" t="str">
        <f t="shared" si="426"/>
        <v/>
      </c>
      <c r="E5470" t="str">
        <f t="shared" si="427"/>
        <v/>
      </c>
      <c r="F5470" t="str">
        <f>IF(D5470="","",INDEX(Knutepunkter!$B:$B,D5470+1))</f>
        <v/>
      </c>
      <c r="G5470" t="str">
        <f>IF(D5470="","",INDEX(Knutepunkter!$C:$C,D5470+1))</f>
        <v/>
      </c>
      <c r="H5470" t="str">
        <f>IF(D5470="","",INDEX(Knutepunkter!$D:$D,D5470+1))</f>
        <v/>
      </c>
      <c r="I5470" t="str">
        <f>IF(E5470="","",INDEX(Knutepunkter!$B:$B,E5470+1))</f>
        <v/>
      </c>
      <c r="J5470" t="str">
        <f>IF(E5470="","",INDEX(Knutepunkter!$C:$C,E5470+1))</f>
        <v/>
      </c>
      <c r="K5470" t="str">
        <f>IF(E5470="","",INDEX(Knutepunkter!$D:$D,E5470+1))</f>
        <v/>
      </c>
      <c r="L5470" t="str">
        <f t="shared" si="428"/>
        <v/>
      </c>
      <c r="M5470" t="str">
        <f t="shared" si="429"/>
        <v/>
      </c>
    </row>
    <row r="5471" spans="1:13" x14ac:dyDescent="0.3">
      <c r="A5471" t="str">
        <f>Segmenter!A5471</f>
        <v/>
      </c>
      <c r="B5471" t="str">
        <f>Segmenter!B5471</f>
        <v/>
      </c>
      <c r="C5471" t="str">
        <f t="shared" si="425"/>
        <v/>
      </c>
      <c r="D5471" t="str">
        <f t="shared" si="426"/>
        <v/>
      </c>
      <c r="E5471" t="str">
        <f t="shared" si="427"/>
        <v/>
      </c>
      <c r="F5471" t="str">
        <f>IF(D5471="","",INDEX(Knutepunkter!$B:$B,D5471+1))</f>
        <v/>
      </c>
      <c r="G5471" t="str">
        <f>IF(D5471="","",INDEX(Knutepunkter!$C:$C,D5471+1))</f>
        <v/>
      </c>
      <c r="H5471" t="str">
        <f>IF(D5471="","",INDEX(Knutepunkter!$D:$D,D5471+1))</f>
        <v/>
      </c>
      <c r="I5471" t="str">
        <f>IF(E5471="","",INDEX(Knutepunkter!$B:$B,E5471+1))</f>
        <v/>
      </c>
      <c r="J5471" t="str">
        <f>IF(E5471="","",INDEX(Knutepunkter!$C:$C,E5471+1))</f>
        <v/>
      </c>
      <c r="K5471" t="str">
        <f>IF(E5471="","",INDEX(Knutepunkter!$D:$D,E5471+1))</f>
        <v/>
      </c>
      <c r="L5471" t="str">
        <f t="shared" si="428"/>
        <v/>
      </c>
      <c r="M5471" t="str">
        <f t="shared" si="429"/>
        <v/>
      </c>
    </row>
    <row r="5472" spans="1:13" x14ac:dyDescent="0.3">
      <c r="A5472" t="str">
        <f>Segmenter!A5472</f>
        <v/>
      </c>
      <c r="B5472" t="str">
        <f>Segmenter!B5472</f>
        <v/>
      </c>
      <c r="C5472" t="str">
        <f t="shared" si="425"/>
        <v/>
      </c>
      <c r="D5472" t="str">
        <f t="shared" si="426"/>
        <v/>
      </c>
      <c r="E5472" t="str">
        <f t="shared" si="427"/>
        <v/>
      </c>
      <c r="F5472" t="str">
        <f>IF(D5472="","",INDEX(Knutepunkter!$B:$B,D5472+1))</f>
        <v/>
      </c>
      <c r="G5472" t="str">
        <f>IF(D5472="","",INDEX(Knutepunkter!$C:$C,D5472+1))</f>
        <v/>
      </c>
      <c r="H5472" t="str">
        <f>IF(D5472="","",INDEX(Knutepunkter!$D:$D,D5472+1))</f>
        <v/>
      </c>
      <c r="I5472" t="str">
        <f>IF(E5472="","",INDEX(Knutepunkter!$B:$B,E5472+1))</f>
        <v/>
      </c>
      <c r="J5472" t="str">
        <f>IF(E5472="","",INDEX(Knutepunkter!$C:$C,E5472+1))</f>
        <v/>
      </c>
      <c r="K5472" t="str">
        <f>IF(E5472="","",INDEX(Knutepunkter!$D:$D,E5472+1))</f>
        <v/>
      </c>
      <c r="L5472" t="str">
        <f t="shared" si="428"/>
        <v/>
      </c>
      <c r="M5472" t="str">
        <f t="shared" si="429"/>
        <v/>
      </c>
    </row>
    <row r="5473" spans="1:13" x14ac:dyDescent="0.3">
      <c r="A5473" t="str">
        <f>Segmenter!A5473</f>
        <v/>
      </c>
      <c r="B5473" t="str">
        <f>Segmenter!B5473</f>
        <v/>
      </c>
      <c r="C5473" t="str">
        <f t="shared" si="425"/>
        <v/>
      </c>
      <c r="D5473" t="str">
        <f t="shared" si="426"/>
        <v/>
      </c>
      <c r="E5473" t="str">
        <f t="shared" si="427"/>
        <v/>
      </c>
      <c r="F5473" t="str">
        <f>IF(D5473="","",INDEX(Knutepunkter!$B:$B,D5473+1))</f>
        <v/>
      </c>
      <c r="G5473" t="str">
        <f>IF(D5473="","",INDEX(Knutepunkter!$C:$C,D5473+1))</f>
        <v/>
      </c>
      <c r="H5473" t="str">
        <f>IF(D5473="","",INDEX(Knutepunkter!$D:$D,D5473+1))</f>
        <v/>
      </c>
      <c r="I5473" t="str">
        <f>IF(E5473="","",INDEX(Knutepunkter!$B:$B,E5473+1))</f>
        <v/>
      </c>
      <c r="J5473" t="str">
        <f>IF(E5473="","",INDEX(Knutepunkter!$C:$C,E5473+1))</f>
        <v/>
      </c>
      <c r="K5473" t="str">
        <f>IF(E5473="","",INDEX(Knutepunkter!$D:$D,E5473+1))</f>
        <v/>
      </c>
      <c r="L5473" t="str">
        <f t="shared" si="428"/>
        <v/>
      </c>
      <c r="M5473" t="str">
        <f t="shared" si="429"/>
        <v/>
      </c>
    </row>
    <row r="5474" spans="1:13" x14ac:dyDescent="0.3">
      <c r="A5474" t="str">
        <f>Segmenter!A5474</f>
        <v/>
      </c>
      <c r="B5474" t="str">
        <f>Segmenter!B5474</f>
        <v/>
      </c>
      <c r="C5474" t="str">
        <f t="shared" si="425"/>
        <v/>
      </c>
      <c r="D5474" t="str">
        <f t="shared" si="426"/>
        <v/>
      </c>
      <c r="E5474" t="str">
        <f t="shared" si="427"/>
        <v/>
      </c>
      <c r="F5474" t="str">
        <f>IF(D5474="","",INDEX(Knutepunkter!$B:$B,D5474+1))</f>
        <v/>
      </c>
      <c r="G5474" t="str">
        <f>IF(D5474="","",INDEX(Knutepunkter!$C:$C,D5474+1))</f>
        <v/>
      </c>
      <c r="H5474" t="str">
        <f>IF(D5474="","",INDEX(Knutepunkter!$D:$D,D5474+1))</f>
        <v/>
      </c>
      <c r="I5474" t="str">
        <f>IF(E5474="","",INDEX(Knutepunkter!$B:$B,E5474+1))</f>
        <v/>
      </c>
      <c r="J5474" t="str">
        <f>IF(E5474="","",INDEX(Knutepunkter!$C:$C,E5474+1))</f>
        <v/>
      </c>
      <c r="K5474" t="str">
        <f>IF(E5474="","",INDEX(Knutepunkter!$D:$D,E5474+1))</f>
        <v/>
      </c>
      <c r="L5474" t="str">
        <f t="shared" si="428"/>
        <v/>
      </c>
      <c r="M5474" t="str">
        <f t="shared" si="429"/>
        <v/>
      </c>
    </row>
    <row r="5475" spans="1:13" x14ac:dyDescent="0.3">
      <c r="A5475" t="str">
        <f>Segmenter!A5475</f>
        <v/>
      </c>
      <c r="B5475" t="str">
        <f>Segmenter!B5475</f>
        <v/>
      </c>
      <c r="C5475" t="str">
        <f t="shared" si="425"/>
        <v/>
      </c>
      <c r="D5475" t="str">
        <f t="shared" si="426"/>
        <v/>
      </c>
      <c r="E5475" t="str">
        <f t="shared" si="427"/>
        <v/>
      </c>
      <c r="F5475" t="str">
        <f>IF(D5475="","",INDEX(Knutepunkter!$B:$B,D5475+1))</f>
        <v/>
      </c>
      <c r="G5475" t="str">
        <f>IF(D5475="","",INDEX(Knutepunkter!$C:$C,D5475+1))</f>
        <v/>
      </c>
      <c r="H5475" t="str">
        <f>IF(D5475="","",INDEX(Knutepunkter!$D:$D,D5475+1))</f>
        <v/>
      </c>
      <c r="I5475" t="str">
        <f>IF(E5475="","",INDEX(Knutepunkter!$B:$B,E5475+1))</f>
        <v/>
      </c>
      <c r="J5475" t="str">
        <f>IF(E5475="","",INDEX(Knutepunkter!$C:$C,E5475+1))</f>
        <v/>
      </c>
      <c r="K5475" t="str">
        <f>IF(E5475="","",INDEX(Knutepunkter!$D:$D,E5475+1))</f>
        <v/>
      </c>
      <c r="L5475" t="str">
        <f t="shared" si="428"/>
        <v/>
      </c>
      <c r="M5475" t="str">
        <f t="shared" si="429"/>
        <v/>
      </c>
    </row>
    <row r="5476" spans="1:13" x14ac:dyDescent="0.3">
      <c r="A5476" t="str">
        <f>Segmenter!A5476</f>
        <v/>
      </c>
      <c r="B5476" t="str">
        <f>Segmenter!B5476</f>
        <v/>
      </c>
      <c r="C5476" t="str">
        <f t="shared" si="425"/>
        <v/>
      </c>
      <c r="D5476" t="str">
        <f t="shared" si="426"/>
        <v/>
      </c>
      <c r="E5476" t="str">
        <f t="shared" si="427"/>
        <v/>
      </c>
      <c r="F5476" t="str">
        <f>IF(D5476="","",INDEX(Knutepunkter!$B:$B,D5476+1))</f>
        <v/>
      </c>
      <c r="G5476" t="str">
        <f>IF(D5476="","",INDEX(Knutepunkter!$C:$C,D5476+1))</f>
        <v/>
      </c>
      <c r="H5476" t="str">
        <f>IF(D5476="","",INDEX(Knutepunkter!$D:$D,D5476+1))</f>
        <v/>
      </c>
      <c r="I5476" t="str">
        <f>IF(E5476="","",INDEX(Knutepunkter!$B:$B,E5476+1))</f>
        <v/>
      </c>
      <c r="J5476" t="str">
        <f>IF(E5476="","",INDEX(Knutepunkter!$C:$C,E5476+1))</f>
        <v/>
      </c>
      <c r="K5476" t="str">
        <f>IF(E5476="","",INDEX(Knutepunkter!$D:$D,E5476+1))</f>
        <v/>
      </c>
      <c r="L5476" t="str">
        <f t="shared" si="428"/>
        <v/>
      </c>
      <c r="M5476" t="str">
        <f t="shared" si="429"/>
        <v/>
      </c>
    </row>
    <row r="5477" spans="1:13" x14ac:dyDescent="0.3">
      <c r="A5477" t="str">
        <f>Segmenter!A5477</f>
        <v/>
      </c>
      <c r="B5477" t="str">
        <f>Segmenter!B5477</f>
        <v/>
      </c>
      <c r="C5477" t="str">
        <f t="shared" si="425"/>
        <v/>
      </c>
      <c r="D5477" t="str">
        <f t="shared" si="426"/>
        <v/>
      </c>
      <c r="E5477" t="str">
        <f t="shared" si="427"/>
        <v/>
      </c>
      <c r="F5477" t="str">
        <f>IF(D5477="","",INDEX(Knutepunkter!$B:$B,D5477+1))</f>
        <v/>
      </c>
      <c r="G5477" t="str">
        <f>IF(D5477="","",INDEX(Knutepunkter!$C:$C,D5477+1))</f>
        <v/>
      </c>
      <c r="H5477" t="str">
        <f>IF(D5477="","",INDEX(Knutepunkter!$D:$D,D5477+1))</f>
        <v/>
      </c>
      <c r="I5477" t="str">
        <f>IF(E5477="","",INDEX(Knutepunkter!$B:$B,E5477+1))</f>
        <v/>
      </c>
      <c r="J5477" t="str">
        <f>IF(E5477="","",INDEX(Knutepunkter!$C:$C,E5477+1))</f>
        <v/>
      </c>
      <c r="K5477" t="str">
        <f>IF(E5477="","",INDEX(Knutepunkter!$D:$D,E5477+1))</f>
        <v/>
      </c>
      <c r="L5477" t="str">
        <f t="shared" si="428"/>
        <v/>
      </c>
      <c r="M5477" t="str">
        <f t="shared" si="429"/>
        <v/>
      </c>
    </row>
    <row r="5478" spans="1:13" x14ac:dyDescent="0.3">
      <c r="A5478" t="str">
        <f>Segmenter!A5478</f>
        <v/>
      </c>
      <c r="B5478" t="str">
        <f>Segmenter!B5478</f>
        <v/>
      </c>
      <c r="C5478" t="str">
        <f t="shared" si="425"/>
        <v/>
      </c>
      <c r="D5478" t="str">
        <f t="shared" si="426"/>
        <v/>
      </c>
      <c r="E5478" t="str">
        <f t="shared" si="427"/>
        <v/>
      </c>
      <c r="F5478" t="str">
        <f>IF(D5478="","",INDEX(Knutepunkter!$B:$B,D5478+1))</f>
        <v/>
      </c>
      <c r="G5478" t="str">
        <f>IF(D5478="","",INDEX(Knutepunkter!$C:$C,D5478+1))</f>
        <v/>
      </c>
      <c r="H5478" t="str">
        <f>IF(D5478="","",INDEX(Knutepunkter!$D:$D,D5478+1))</f>
        <v/>
      </c>
      <c r="I5478" t="str">
        <f>IF(E5478="","",INDEX(Knutepunkter!$B:$B,E5478+1))</f>
        <v/>
      </c>
      <c r="J5478" t="str">
        <f>IF(E5478="","",INDEX(Knutepunkter!$C:$C,E5478+1))</f>
        <v/>
      </c>
      <c r="K5478" t="str">
        <f>IF(E5478="","",INDEX(Knutepunkter!$D:$D,E5478+1))</f>
        <v/>
      </c>
      <c r="L5478" t="str">
        <f t="shared" si="428"/>
        <v/>
      </c>
      <c r="M5478" t="str">
        <f t="shared" si="429"/>
        <v/>
      </c>
    </row>
    <row r="5479" spans="1:13" x14ac:dyDescent="0.3">
      <c r="A5479" t="str">
        <f>Segmenter!A5479</f>
        <v/>
      </c>
      <c r="B5479" t="str">
        <f>Segmenter!B5479</f>
        <v/>
      </c>
      <c r="C5479" t="str">
        <f t="shared" si="425"/>
        <v/>
      </c>
      <c r="D5479" t="str">
        <f t="shared" si="426"/>
        <v/>
      </c>
      <c r="E5479" t="str">
        <f t="shared" si="427"/>
        <v/>
      </c>
      <c r="F5479" t="str">
        <f>IF(D5479="","",INDEX(Knutepunkter!$B:$B,D5479+1))</f>
        <v/>
      </c>
      <c r="G5479" t="str">
        <f>IF(D5479="","",INDEX(Knutepunkter!$C:$C,D5479+1))</f>
        <v/>
      </c>
      <c r="H5479" t="str">
        <f>IF(D5479="","",INDEX(Knutepunkter!$D:$D,D5479+1))</f>
        <v/>
      </c>
      <c r="I5479" t="str">
        <f>IF(E5479="","",INDEX(Knutepunkter!$B:$B,E5479+1))</f>
        <v/>
      </c>
      <c r="J5479" t="str">
        <f>IF(E5479="","",INDEX(Knutepunkter!$C:$C,E5479+1))</f>
        <v/>
      </c>
      <c r="K5479" t="str">
        <f>IF(E5479="","",INDEX(Knutepunkter!$D:$D,E5479+1))</f>
        <v/>
      </c>
      <c r="L5479" t="str">
        <f t="shared" si="428"/>
        <v/>
      </c>
      <c r="M5479" t="str">
        <f t="shared" si="429"/>
        <v/>
      </c>
    </row>
    <row r="5480" spans="1:13" x14ac:dyDescent="0.3">
      <c r="A5480" t="str">
        <f>Segmenter!A5480</f>
        <v/>
      </c>
      <c r="B5480" t="str">
        <f>Segmenter!B5480</f>
        <v/>
      </c>
      <c r="C5480" t="str">
        <f t="shared" si="425"/>
        <v/>
      </c>
      <c r="D5480" t="str">
        <f t="shared" si="426"/>
        <v/>
      </c>
      <c r="E5480" t="str">
        <f t="shared" si="427"/>
        <v/>
      </c>
      <c r="F5480" t="str">
        <f>IF(D5480="","",INDEX(Knutepunkter!$B:$B,D5480+1))</f>
        <v/>
      </c>
      <c r="G5480" t="str">
        <f>IF(D5480="","",INDEX(Knutepunkter!$C:$C,D5480+1))</f>
        <v/>
      </c>
      <c r="H5480" t="str">
        <f>IF(D5480="","",INDEX(Knutepunkter!$D:$D,D5480+1))</f>
        <v/>
      </c>
      <c r="I5480" t="str">
        <f>IF(E5480="","",INDEX(Knutepunkter!$B:$B,E5480+1))</f>
        <v/>
      </c>
      <c r="J5480" t="str">
        <f>IF(E5480="","",INDEX(Knutepunkter!$C:$C,E5480+1))</f>
        <v/>
      </c>
      <c r="K5480" t="str">
        <f>IF(E5480="","",INDEX(Knutepunkter!$D:$D,E5480+1))</f>
        <v/>
      </c>
      <c r="L5480" t="str">
        <f t="shared" si="428"/>
        <v/>
      </c>
      <c r="M5480" t="str">
        <f t="shared" si="429"/>
        <v/>
      </c>
    </row>
    <row r="5481" spans="1:13" x14ac:dyDescent="0.3">
      <c r="A5481" t="str">
        <f>Segmenter!A5481</f>
        <v/>
      </c>
      <c r="B5481" t="str">
        <f>Segmenter!B5481</f>
        <v/>
      </c>
      <c r="C5481" t="str">
        <f t="shared" si="425"/>
        <v/>
      </c>
      <c r="D5481" t="str">
        <f t="shared" si="426"/>
        <v/>
      </c>
      <c r="E5481" t="str">
        <f t="shared" si="427"/>
        <v/>
      </c>
      <c r="F5481" t="str">
        <f>IF(D5481="","",INDEX(Knutepunkter!$B:$B,D5481+1))</f>
        <v/>
      </c>
      <c r="G5481" t="str">
        <f>IF(D5481="","",INDEX(Knutepunkter!$C:$C,D5481+1))</f>
        <v/>
      </c>
      <c r="H5481" t="str">
        <f>IF(D5481="","",INDEX(Knutepunkter!$D:$D,D5481+1))</f>
        <v/>
      </c>
      <c r="I5481" t="str">
        <f>IF(E5481="","",INDEX(Knutepunkter!$B:$B,E5481+1))</f>
        <v/>
      </c>
      <c r="J5481" t="str">
        <f>IF(E5481="","",INDEX(Knutepunkter!$C:$C,E5481+1))</f>
        <v/>
      </c>
      <c r="K5481" t="str">
        <f>IF(E5481="","",INDEX(Knutepunkter!$D:$D,E5481+1))</f>
        <v/>
      </c>
      <c r="L5481" t="str">
        <f t="shared" si="428"/>
        <v/>
      </c>
      <c r="M5481" t="str">
        <f t="shared" si="429"/>
        <v/>
      </c>
    </row>
    <row r="5482" spans="1:13" x14ac:dyDescent="0.3">
      <c r="A5482" t="str">
        <f>Segmenter!A5482</f>
        <v/>
      </c>
      <c r="B5482" t="str">
        <f>Segmenter!B5482</f>
        <v/>
      </c>
      <c r="C5482" t="str">
        <f t="shared" si="425"/>
        <v/>
      </c>
      <c r="D5482" t="str">
        <f t="shared" si="426"/>
        <v/>
      </c>
      <c r="E5482" t="str">
        <f t="shared" si="427"/>
        <v/>
      </c>
      <c r="F5482" t="str">
        <f>IF(D5482="","",INDEX(Knutepunkter!$B:$B,D5482+1))</f>
        <v/>
      </c>
      <c r="G5482" t="str">
        <f>IF(D5482="","",INDEX(Knutepunkter!$C:$C,D5482+1))</f>
        <v/>
      </c>
      <c r="H5482" t="str">
        <f>IF(D5482="","",INDEX(Knutepunkter!$D:$D,D5482+1))</f>
        <v/>
      </c>
      <c r="I5482" t="str">
        <f>IF(E5482="","",INDEX(Knutepunkter!$B:$B,E5482+1))</f>
        <v/>
      </c>
      <c r="J5482" t="str">
        <f>IF(E5482="","",INDEX(Knutepunkter!$C:$C,E5482+1))</f>
        <v/>
      </c>
      <c r="K5482" t="str">
        <f>IF(E5482="","",INDEX(Knutepunkter!$D:$D,E5482+1))</f>
        <v/>
      </c>
      <c r="L5482" t="str">
        <f t="shared" si="428"/>
        <v/>
      </c>
      <c r="M5482" t="str">
        <f t="shared" si="429"/>
        <v/>
      </c>
    </row>
    <row r="5483" spans="1:13" x14ac:dyDescent="0.3">
      <c r="A5483" t="str">
        <f>Segmenter!A5483</f>
        <v/>
      </c>
      <c r="B5483" t="str">
        <f>Segmenter!B5483</f>
        <v/>
      </c>
      <c r="C5483" t="str">
        <f t="shared" si="425"/>
        <v/>
      </c>
      <c r="D5483" t="str">
        <f t="shared" si="426"/>
        <v/>
      </c>
      <c r="E5483" t="str">
        <f t="shared" si="427"/>
        <v/>
      </c>
      <c r="F5483" t="str">
        <f>IF(D5483="","",INDEX(Knutepunkter!$B:$B,D5483+1))</f>
        <v/>
      </c>
      <c r="G5483" t="str">
        <f>IF(D5483="","",INDEX(Knutepunkter!$C:$C,D5483+1))</f>
        <v/>
      </c>
      <c r="H5483" t="str">
        <f>IF(D5483="","",INDEX(Knutepunkter!$D:$D,D5483+1))</f>
        <v/>
      </c>
      <c r="I5483" t="str">
        <f>IF(E5483="","",INDEX(Knutepunkter!$B:$B,E5483+1))</f>
        <v/>
      </c>
      <c r="J5483" t="str">
        <f>IF(E5483="","",INDEX(Knutepunkter!$C:$C,E5483+1))</f>
        <v/>
      </c>
      <c r="K5483" t="str">
        <f>IF(E5483="","",INDEX(Knutepunkter!$D:$D,E5483+1))</f>
        <v/>
      </c>
      <c r="L5483" t="str">
        <f t="shared" si="428"/>
        <v/>
      </c>
      <c r="M5483" t="str">
        <f t="shared" si="429"/>
        <v/>
      </c>
    </row>
    <row r="5484" spans="1:13" x14ac:dyDescent="0.3">
      <c r="A5484" t="str">
        <f>Segmenter!A5484</f>
        <v/>
      </c>
      <c r="B5484" t="str">
        <f>Segmenter!B5484</f>
        <v/>
      </c>
      <c r="C5484" t="str">
        <f t="shared" si="425"/>
        <v/>
      </c>
      <c r="D5484" t="str">
        <f t="shared" si="426"/>
        <v/>
      </c>
      <c r="E5484" t="str">
        <f t="shared" si="427"/>
        <v/>
      </c>
      <c r="F5484" t="str">
        <f>IF(D5484="","",INDEX(Knutepunkter!$B:$B,D5484+1))</f>
        <v/>
      </c>
      <c r="G5484" t="str">
        <f>IF(D5484="","",INDEX(Knutepunkter!$C:$C,D5484+1))</f>
        <v/>
      </c>
      <c r="H5484" t="str">
        <f>IF(D5484="","",INDEX(Knutepunkter!$D:$D,D5484+1))</f>
        <v/>
      </c>
      <c r="I5484" t="str">
        <f>IF(E5484="","",INDEX(Knutepunkter!$B:$B,E5484+1))</f>
        <v/>
      </c>
      <c r="J5484" t="str">
        <f>IF(E5484="","",INDEX(Knutepunkter!$C:$C,E5484+1))</f>
        <v/>
      </c>
      <c r="K5484" t="str">
        <f>IF(E5484="","",INDEX(Knutepunkter!$D:$D,E5484+1))</f>
        <v/>
      </c>
      <c r="L5484" t="str">
        <f t="shared" si="428"/>
        <v/>
      </c>
      <c r="M5484" t="str">
        <f t="shared" si="429"/>
        <v/>
      </c>
    </row>
    <row r="5485" spans="1:13" x14ac:dyDescent="0.3">
      <c r="A5485" t="str">
        <f>Segmenter!A5485</f>
        <v/>
      </c>
      <c r="B5485" t="str">
        <f>Segmenter!B5485</f>
        <v/>
      </c>
      <c r="C5485" t="str">
        <f t="shared" si="425"/>
        <v/>
      </c>
      <c r="D5485" t="str">
        <f t="shared" si="426"/>
        <v/>
      </c>
      <c r="E5485" t="str">
        <f t="shared" si="427"/>
        <v/>
      </c>
      <c r="F5485" t="str">
        <f>IF(D5485="","",INDEX(Knutepunkter!$B:$B,D5485+1))</f>
        <v/>
      </c>
      <c r="G5485" t="str">
        <f>IF(D5485="","",INDEX(Knutepunkter!$C:$C,D5485+1))</f>
        <v/>
      </c>
      <c r="H5485" t="str">
        <f>IF(D5485="","",INDEX(Knutepunkter!$D:$D,D5485+1))</f>
        <v/>
      </c>
      <c r="I5485" t="str">
        <f>IF(E5485="","",INDEX(Knutepunkter!$B:$B,E5485+1))</f>
        <v/>
      </c>
      <c r="J5485" t="str">
        <f>IF(E5485="","",INDEX(Knutepunkter!$C:$C,E5485+1))</f>
        <v/>
      </c>
      <c r="K5485" t="str">
        <f>IF(E5485="","",INDEX(Knutepunkter!$D:$D,E5485+1))</f>
        <v/>
      </c>
      <c r="L5485" t="str">
        <f t="shared" si="428"/>
        <v/>
      </c>
      <c r="M5485" t="str">
        <f t="shared" si="429"/>
        <v/>
      </c>
    </row>
    <row r="5486" spans="1:13" x14ac:dyDescent="0.3">
      <c r="A5486" t="str">
        <f>Segmenter!A5486</f>
        <v/>
      </c>
      <c r="B5486" t="str">
        <f>Segmenter!B5486</f>
        <v/>
      </c>
      <c r="C5486" t="str">
        <f t="shared" si="425"/>
        <v/>
      </c>
      <c r="D5486" t="str">
        <f t="shared" si="426"/>
        <v/>
      </c>
      <c r="E5486" t="str">
        <f t="shared" si="427"/>
        <v/>
      </c>
      <c r="F5486" t="str">
        <f>IF(D5486="","",INDEX(Knutepunkter!$B:$B,D5486+1))</f>
        <v/>
      </c>
      <c r="G5486" t="str">
        <f>IF(D5486="","",INDEX(Knutepunkter!$C:$C,D5486+1))</f>
        <v/>
      </c>
      <c r="H5486" t="str">
        <f>IF(D5486="","",INDEX(Knutepunkter!$D:$D,D5486+1))</f>
        <v/>
      </c>
      <c r="I5486" t="str">
        <f>IF(E5486="","",INDEX(Knutepunkter!$B:$B,E5486+1))</f>
        <v/>
      </c>
      <c r="J5486" t="str">
        <f>IF(E5486="","",INDEX(Knutepunkter!$C:$C,E5486+1))</f>
        <v/>
      </c>
      <c r="K5486" t="str">
        <f>IF(E5486="","",INDEX(Knutepunkter!$D:$D,E5486+1))</f>
        <v/>
      </c>
      <c r="L5486" t="str">
        <f t="shared" si="428"/>
        <v/>
      </c>
      <c r="M5486" t="str">
        <f t="shared" si="429"/>
        <v/>
      </c>
    </row>
    <row r="5487" spans="1:13" x14ac:dyDescent="0.3">
      <c r="A5487" t="str">
        <f>Segmenter!A5487</f>
        <v/>
      </c>
      <c r="B5487" t="str">
        <f>Segmenter!B5487</f>
        <v/>
      </c>
      <c r="C5487" t="str">
        <f t="shared" si="425"/>
        <v/>
      </c>
      <c r="D5487" t="str">
        <f t="shared" si="426"/>
        <v/>
      </c>
      <c r="E5487" t="str">
        <f t="shared" si="427"/>
        <v/>
      </c>
      <c r="F5487" t="str">
        <f>IF(D5487="","",INDEX(Knutepunkter!$B:$B,D5487+1))</f>
        <v/>
      </c>
      <c r="G5487" t="str">
        <f>IF(D5487="","",INDEX(Knutepunkter!$C:$C,D5487+1))</f>
        <v/>
      </c>
      <c r="H5487" t="str">
        <f>IF(D5487="","",INDEX(Knutepunkter!$D:$D,D5487+1))</f>
        <v/>
      </c>
      <c r="I5487" t="str">
        <f>IF(E5487="","",INDEX(Knutepunkter!$B:$B,E5487+1))</f>
        <v/>
      </c>
      <c r="J5487" t="str">
        <f>IF(E5487="","",INDEX(Knutepunkter!$C:$C,E5487+1))</f>
        <v/>
      </c>
      <c r="K5487" t="str">
        <f>IF(E5487="","",INDEX(Knutepunkter!$D:$D,E5487+1))</f>
        <v/>
      </c>
      <c r="L5487" t="str">
        <f t="shared" si="428"/>
        <v/>
      </c>
      <c r="M5487" t="str">
        <f t="shared" si="429"/>
        <v/>
      </c>
    </row>
    <row r="5488" spans="1:13" x14ac:dyDescent="0.3">
      <c r="A5488" t="str">
        <f>Segmenter!A5488</f>
        <v/>
      </c>
      <c r="B5488" t="str">
        <f>Segmenter!B5488</f>
        <v/>
      </c>
      <c r="C5488" t="str">
        <f t="shared" si="425"/>
        <v/>
      </c>
      <c r="D5488" t="str">
        <f t="shared" si="426"/>
        <v/>
      </c>
      <c r="E5488" t="str">
        <f t="shared" si="427"/>
        <v/>
      </c>
      <c r="F5488" t="str">
        <f>IF(D5488="","",INDEX(Knutepunkter!$B:$B,D5488+1))</f>
        <v/>
      </c>
      <c r="G5488" t="str">
        <f>IF(D5488="","",INDEX(Knutepunkter!$C:$C,D5488+1))</f>
        <v/>
      </c>
      <c r="H5488" t="str">
        <f>IF(D5488="","",INDEX(Knutepunkter!$D:$D,D5488+1))</f>
        <v/>
      </c>
      <c r="I5488" t="str">
        <f>IF(E5488="","",INDEX(Knutepunkter!$B:$B,E5488+1))</f>
        <v/>
      </c>
      <c r="J5488" t="str">
        <f>IF(E5488="","",INDEX(Knutepunkter!$C:$C,E5488+1))</f>
        <v/>
      </c>
      <c r="K5488" t="str">
        <f>IF(E5488="","",INDEX(Knutepunkter!$D:$D,E5488+1))</f>
        <v/>
      </c>
      <c r="L5488" t="str">
        <f t="shared" si="428"/>
        <v/>
      </c>
      <c r="M5488" t="str">
        <f t="shared" si="429"/>
        <v/>
      </c>
    </row>
    <row r="5489" spans="1:13" x14ac:dyDescent="0.3">
      <c r="A5489" t="str">
        <f>Segmenter!A5489</f>
        <v/>
      </c>
      <c r="B5489" t="str">
        <f>Segmenter!B5489</f>
        <v/>
      </c>
      <c r="C5489" t="str">
        <f t="shared" si="425"/>
        <v/>
      </c>
      <c r="D5489" t="str">
        <f t="shared" si="426"/>
        <v/>
      </c>
      <c r="E5489" t="str">
        <f t="shared" si="427"/>
        <v/>
      </c>
      <c r="F5489" t="str">
        <f>IF(D5489="","",INDEX(Knutepunkter!$B:$B,D5489+1))</f>
        <v/>
      </c>
      <c r="G5489" t="str">
        <f>IF(D5489="","",INDEX(Knutepunkter!$C:$C,D5489+1))</f>
        <v/>
      </c>
      <c r="H5489" t="str">
        <f>IF(D5489="","",INDEX(Knutepunkter!$D:$D,D5489+1))</f>
        <v/>
      </c>
      <c r="I5489" t="str">
        <f>IF(E5489="","",INDEX(Knutepunkter!$B:$B,E5489+1))</f>
        <v/>
      </c>
      <c r="J5489" t="str">
        <f>IF(E5489="","",INDEX(Knutepunkter!$C:$C,E5489+1))</f>
        <v/>
      </c>
      <c r="K5489" t="str">
        <f>IF(E5489="","",INDEX(Knutepunkter!$D:$D,E5489+1))</f>
        <v/>
      </c>
      <c r="L5489" t="str">
        <f t="shared" si="428"/>
        <v/>
      </c>
      <c r="M5489" t="str">
        <f t="shared" si="429"/>
        <v/>
      </c>
    </row>
    <row r="5490" spans="1:13" x14ac:dyDescent="0.3">
      <c r="A5490" t="str">
        <f>Segmenter!A5490</f>
        <v/>
      </c>
      <c r="B5490" t="str">
        <f>Segmenter!B5490</f>
        <v/>
      </c>
      <c r="C5490" t="str">
        <f t="shared" si="425"/>
        <v/>
      </c>
      <c r="D5490" t="str">
        <f t="shared" si="426"/>
        <v/>
      </c>
      <c r="E5490" t="str">
        <f t="shared" si="427"/>
        <v/>
      </c>
      <c r="F5490" t="str">
        <f>IF(D5490="","",INDEX(Knutepunkter!$B:$B,D5490+1))</f>
        <v/>
      </c>
      <c r="G5490" t="str">
        <f>IF(D5490="","",INDEX(Knutepunkter!$C:$C,D5490+1))</f>
        <v/>
      </c>
      <c r="H5490" t="str">
        <f>IF(D5490="","",INDEX(Knutepunkter!$D:$D,D5490+1))</f>
        <v/>
      </c>
      <c r="I5490" t="str">
        <f>IF(E5490="","",INDEX(Knutepunkter!$B:$B,E5490+1))</f>
        <v/>
      </c>
      <c r="J5490" t="str">
        <f>IF(E5490="","",INDEX(Knutepunkter!$C:$C,E5490+1))</f>
        <v/>
      </c>
      <c r="K5490" t="str">
        <f>IF(E5490="","",INDEX(Knutepunkter!$D:$D,E5490+1))</f>
        <v/>
      </c>
      <c r="L5490" t="str">
        <f t="shared" si="428"/>
        <v/>
      </c>
      <c r="M5490" t="str">
        <f t="shared" si="429"/>
        <v/>
      </c>
    </row>
    <row r="5491" spans="1:13" x14ac:dyDescent="0.3">
      <c r="A5491" t="str">
        <f>Segmenter!A5491</f>
        <v/>
      </c>
      <c r="B5491" t="str">
        <f>Segmenter!B5491</f>
        <v/>
      </c>
      <c r="C5491" t="str">
        <f t="shared" si="425"/>
        <v/>
      </c>
      <c r="D5491" t="str">
        <f t="shared" si="426"/>
        <v/>
      </c>
      <c r="E5491" t="str">
        <f t="shared" si="427"/>
        <v/>
      </c>
      <c r="F5491" t="str">
        <f>IF(D5491="","",INDEX(Knutepunkter!$B:$B,D5491+1))</f>
        <v/>
      </c>
      <c r="G5491" t="str">
        <f>IF(D5491="","",INDEX(Knutepunkter!$C:$C,D5491+1))</f>
        <v/>
      </c>
      <c r="H5491" t="str">
        <f>IF(D5491="","",INDEX(Knutepunkter!$D:$D,D5491+1))</f>
        <v/>
      </c>
      <c r="I5491" t="str">
        <f>IF(E5491="","",INDEX(Knutepunkter!$B:$B,E5491+1))</f>
        <v/>
      </c>
      <c r="J5491" t="str">
        <f>IF(E5491="","",INDEX(Knutepunkter!$C:$C,E5491+1))</f>
        <v/>
      </c>
      <c r="K5491" t="str">
        <f>IF(E5491="","",INDEX(Knutepunkter!$D:$D,E5491+1))</f>
        <v/>
      </c>
      <c r="L5491" t="str">
        <f t="shared" si="428"/>
        <v/>
      </c>
      <c r="M5491" t="str">
        <f t="shared" si="429"/>
        <v/>
      </c>
    </row>
    <row r="5492" spans="1:13" x14ac:dyDescent="0.3">
      <c r="A5492" t="str">
        <f>Segmenter!A5492</f>
        <v/>
      </c>
      <c r="B5492" t="str">
        <f>Segmenter!B5492</f>
        <v/>
      </c>
      <c r="C5492" t="str">
        <f t="shared" si="425"/>
        <v/>
      </c>
      <c r="D5492" t="str">
        <f t="shared" si="426"/>
        <v/>
      </c>
      <c r="E5492" t="str">
        <f t="shared" si="427"/>
        <v/>
      </c>
      <c r="F5492" t="str">
        <f>IF(D5492="","",INDEX(Knutepunkter!$B:$B,D5492+1))</f>
        <v/>
      </c>
      <c r="G5492" t="str">
        <f>IF(D5492="","",INDEX(Knutepunkter!$C:$C,D5492+1))</f>
        <v/>
      </c>
      <c r="H5492" t="str">
        <f>IF(D5492="","",INDEX(Knutepunkter!$D:$D,D5492+1))</f>
        <v/>
      </c>
      <c r="I5492" t="str">
        <f>IF(E5492="","",INDEX(Knutepunkter!$B:$B,E5492+1))</f>
        <v/>
      </c>
      <c r="J5492" t="str">
        <f>IF(E5492="","",INDEX(Knutepunkter!$C:$C,E5492+1))</f>
        <v/>
      </c>
      <c r="K5492" t="str">
        <f>IF(E5492="","",INDEX(Knutepunkter!$D:$D,E5492+1))</f>
        <v/>
      </c>
      <c r="L5492" t="str">
        <f t="shared" si="428"/>
        <v/>
      </c>
      <c r="M5492" t="str">
        <f t="shared" si="429"/>
        <v/>
      </c>
    </row>
    <row r="5493" spans="1:13" x14ac:dyDescent="0.3">
      <c r="A5493" t="str">
        <f>Segmenter!A5493</f>
        <v/>
      </c>
      <c r="B5493" t="str">
        <f>Segmenter!B5493</f>
        <v/>
      </c>
      <c r="C5493" t="str">
        <f t="shared" si="425"/>
        <v/>
      </c>
      <c r="D5493" t="str">
        <f t="shared" si="426"/>
        <v/>
      </c>
      <c r="E5493" t="str">
        <f t="shared" si="427"/>
        <v/>
      </c>
      <c r="F5493" t="str">
        <f>IF(D5493="","",INDEX(Knutepunkter!$B:$B,D5493+1))</f>
        <v/>
      </c>
      <c r="G5493" t="str">
        <f>IF(D5493="","",INDEX(Knutepunkter!$C:$C,D5493+1))</f>
        <v/>
      </c>
      <c r="H5493" t="str">
        <f>IF(D5493="","",INDEX(Knutepunkter!$D:$D,D5493+1))</f>
        <v/>
      </c>
      <c r="I5493" t="str">
        <f>IF(E5493="","",INDEX(Knutepunkter!$B:$B,E5493+1))</f>
        <v/>
      </c>
      <c r="J5493" t="str">
        <f>IF(E5493="","",INDEX(Knutepunkter!$C:$C,E5493+1))</f>
        <v/>
      </c>
      <c r="K5493" t="str">
        <f>IF(E5493="","",INDEX(Knutepunkter!$D:$D,E5493+1))</f>
        <v/>
      </c>
      <c r="L5493" t="str">
        <f t="shared" si="428"/>
        <v/>
      </c>
      <c r="M5493" t="str">
        <f t="shared" si="429"/>
        <v/>
      </c>
    </row>
    <row r="5494" spans="1:13" x14ac:dyDescent="0.3">
      <c r="A5494" t="str">
        <f>Segmenter!A5494</f>
        <v/>
      </c>
      <c r="B5494" t="str">
        <f>Segmenter!B5494</f>
        <v/>
      </c>
      <c r="C5494" t="str">
        <f t="shared" si="425"/>
        <v/>
      </c>
      <c r="D5494" t="str">
        <f t="shared" si="426"/>
        <v/>
      </c>
      <c r="E5494" t="str">
        <f t="shared" si="427"/>
        <v/>
      </c>
      <c r="F5494" t="str">
        <f>IF(D5494="","",INDEX(Knutepunkter!$B:$B,D5494+1))</f>
        <v/>
      </c>
      <c r="G5494" t="str">
        <f>IF(D5494="","",INDEX(Knutepunkter!$C:$C,D5494+1))</f>
        <v/>
      </c>
      <c r="H5494" t="str">
        <f>IF(D5494="","",INDEX(Knutepunkter!$D:$D,D5494+1))</f>
        <v/>
      </c>
      <c r="I5494" t="str">
        <f>IF(E5494="","",INDEX(Knutepunkter!$B:$B,E5494+1))</f>
        <v/>
      </c>
      <c r="J5494" t="str">
        <f>IF(E5494="","",INDEX(Knutepunkter!$C:$C,E5494+1))</f>
        <v/>
      </c>
      <c r="K5494" t="str">
        <f>IF(E5494="","",INDEX(Knutepunkter!$D:$D,E5494+1))</f>
        <v/>
      </c>
      <c r="L5494" t="str">
        <f t="shared" si="428"/>
        <v/>
      </c>
      <c r="M5494" t="str">
        <f t="shared" si="429"/>
        <v/>
      </c>
    </row>
    <row r="5495" spans="1:13" x14ac:dyDescent="0.3">
      <c r="A5495" t="str">
        <f>Segmenter!A5495</f>
        <v/>
      </c>
      <c r="B5495" t="str">
        <f>Segmenter!B5495</f>
        <v/>
      </c>
      <c r="C5495" t="str">
        <f t="shared" si="425"/>
        <v/>
      </c>
      <c r="D5495" t="str">
        <f t="shared" si="426"/>
        <v/>
      </c>
      <c r="E5495" t="str">
        <f t="shared" si="427"/>
        <v/>
      </c>
      <c r="F5495" t="str">
        <f>IF(D5495="","",INDEX(Knutepunkter!$B:$B,D5495+1))</f>
        <v/>
      </c>
      <c r="G5495" t="str">
        <f>IF(D5495="","",INDEX(Knutepunkter!$C:$C,D5495+1))</f>
        <v/>
      </c>
      <c r="H5495" t="str">
        <f>IF(D5495="","",INDEX(Knutepunkter!$D:$D,D5495+1))</f>
        <v/>
      </c>
      <c r="I5495" t="str">
        <f>IF(E5495="","",INDEX(Knutepunkter!$B:$B,E5495+1))</f>
        <v/>
      </c>
      <c r="J5495" t="str">
        <f>IF(E5495="","",INDEX(Knutepunkter!$C:$C,E5495+1))</f>
        <v/>
      </c>
      <c r="K5495" t="str">
        <f>IF(E5495="","",INDEX(Knutepunkter!$D:$D,E5495+1))</f>
        <v/>
      </c>
      <c r="L5495" t="str">
        <f t="shared" si="428"/>
        <v/>
      </c>
      <c r="M5495" t="str">
        <f t="shared" si="429"/>
        <v/>
      </c>
    </row>
    <row r="5496" spans="1:13" x14ac:dyDescent="0.3">
      <c r="A5496" t="str">
        <f>Segmenter!A5496</f>
        <v/>
      </c>
      <c r="B5496" t="str">
        <f>Segmenter!B5496</f>
        <v/>
      </c>
      <c r="C5496" t="str">
        <f t="shared" si="425"/>
        <v/>
      </c>
      <c r="D5496" t="str">
        <f t="shared" si="426"/>
        <v/>
      </c>
      <c r="E5496" t="str">
        <f t="shared" si="427"/>
        <v/>
      </c>
      <c r="F5496" t="str">
        <f>IF(D5496="","",INDEX(Knutepunkter!$B:$B,D5496+1))</f>
        <v/>
      </c>
      <c r="G5496" t="str">
        <f>IF(D5496="","",INDEX(Knutepunkter!$C:$C,D5496+1))</f>
        <v/>
      </c>
      <c r="H5496" t="str">
        <f>IF(D5496="","",INDEX(Knutepunkter!$D:$D,D5496+1))</f>
        <v/>
      </c>
      <c r="I5496" t="str">
        <f>IF(E5496="","",INDEX(Knutepunkter!$B:$B,E5496+1))</f>
        <v/>
      </c>
      <c r="J5496" t="str">
        <f>IF(E5496="","",INDEX(Knutepunkter!$C:$C,E5496+1))</f>
        <v/>
      </c>
      <c r="K5496" t="str">
        <f>IF(E5496="","",INDEX(Knutepunkter!$D:$D,E5496+1))</f>
        <v/>
      </c>
      <c r="L5496" t="str">
        <f t="shared" si="428"/>
        <v/>
      </c>
      <c r="M5496" t="str">
        <f t="shared" si="429"/>
        <v/>
      </c>
    </row>
    <row r="5497" spans="1:13" x14ac:dyDescent="0.3">
      <c r="A5497" t="str">
        <f>Segmenter!A5497</f>
        <v/>
      </c>
      <c r="B5497" t="str">
        <f>Segmenter!B5497</f>
        <v/>
      </c>
      <c r="C5497" t="str">
        <f t="shared" si="425"/>
        <v/>
      </c>
      <c r="D5497" t="str">
        <f t="shared" si="426"/>
        <v/>
      </c>
      <c r="E5497" t="str">
        <f t="shared" si="427"/>
        <v/>
      </c>
      <c r="F5497" t="str">
        <f>IF(D5497="","",INDEX(Knutepunkter!$B:$B,D5497+1))</f>
        <v/>
      </c>
      <c r="G5497" t="str">
        <f>IF(D5497="","",INDEX(Knutepunkter!$C:$C,D5497+1))</f>
        <v/>
      </c>
      <c r="H5497" t="str">
        <f>IF(D5497="","",INDEX(Knutepunkter!$D:$D,D5497+1))</f>
        <v/>
      </c>
      <c r="I5497" t="str">
        <f>IF(E5497="","",INDEX(Knutepunkter!$B:$B,E5497+1))</f>
        <v/>
      </c>
      <c r="J5497" t="str">
        <f>IF(E5497="","",INDEX(Knutepunkter!$C:$C,E5497+1))</f>
        <v/>
      </c>
      <c r="K5497" t="str">
        <f>IF(E5497="","",INDEX(Knutepunkter!$D:$D,E5497+1))</f>
        <v/>
      </c>
      <c r="L5497" t="str">
        <f t="shared" si="428"/>
        <v/>
      </c>
      <c r="M5497" t="str">
        <f t="shared" si="429"/>
        <v/>
      </c>
    </row>
    <row r="5498" spans="1:13" x14ac:dyDescent="0.3">
      <c r="A5498" t="str">
        <f>Segmenter!A5498</f>
        <v/>
      </c>
      <c r="B5498" t="str">
        <f>Segmenter!B5498</f>
        <v/>
      </c>
      <c r="C5498" t="str">
        <f t="shared" si="425"/>
        <v/>
      </c>
      <c r="D5498" t="str">
        <f t="shared" si="426"/>
        <v/>
      </c>
      <c r="E5498" t="str">
        <f t="shared" si="427"/>
        <v/>
      </c>
      <c r="F5498" t="str">
        <f>IF(D5498="","",INDEX(Knutepunkter!$B:$B,D5498+1))</f>
        <v/>
      </c>
      <c r="G5498" t="str">
        <f>IF(D5498="","",INDEX(Knutepunkter!$C:$C,D5498+1))</f>
        <v/>
      </c>
      <c r="H5498" t="str">
        <f>IF(D5498="","",INDEX(Knutepunkter!$D:$D,D5498+1))</f>
        <v/>
      </c>
      <c r="I5498" t="str">
        <f>IF(E5498="","",INDEX(Knutepunkter!$B:$B,E5498+1))</f>
        <v/>
      </c>
      <c r="J5498" t="str">
        <f>IF(E5498="","",INDEX(Knutepunkter!$C:$C,E5498+1))</f>
        <v/>
      </c>
      <c r="K5498" t="str">
        <f>IF(E5498="","",INDEX(Knutepunkter!$D:$D,E5498+1))</f>
        <v/>
      </c>
      <c r="L5498" t="str">
        <f t="shared" si="428"/>
        <v/>
      </c>
      <c r="M5498" t="str">
        <f t="shared" si="429"/>
        <v/>
      </c>
    </row>
    <row r="5499" spans="1:13" x14ac:dyDescent="0.3">
      <c r="A5499" t="str">
        <f>Segmenter!A5499</f>
        <v/>
      </c>
      <c r="B5499" t="str">
        <f>Segmenter!B5499</f>
        <v/>
      </c>
      <c r="C5499" t="str">
        <f t="shared" si="425"/>
        <v/>
      </c>
      <c r="D5499" t="str">
        <f t="shared" si="426"/>
        <v/>
      </c>
      <c r="E5499" t="str">
        <f t="shared" si="427"/>
        <v/>
      </c>
      <c r="F5499" t="str">
        <f>IF(D5499="","",INDEX(Knutepunkter!$B:$B,D5499+1))</f>
        <v/>
      </c>
      <c r="G5499" t="str">
        <f>IF(D5499="","",INDEX(Knutepunkter!$C:$C,D5499+1))</f>
        <v/>
      </c>
      <c r="H5499" t="str">
        <f>IF(D5499="","",INDEX(Knutepunkter!$D:$D,D5499+1))</f>
        <v/>
      </c>
      <c r="I5499" t="str">
        <f>IF(E5499="","",INDEX(Knutepunkter!$B:$B,E5499+1))</f>
        <v/>
      </c>
      <c r="J5499" t="str">
        <f>IF(E5499="","",INDEX(Knutepunkter!$C:$C,E5499+1))</f>
        <v/>
      </c>
      <c r="K5499" t="str">
        <f>IF(E5499="","",INDEX(Knutepunkter!$D:$D,E5499+1))</f>
        <v/>
      </c>
      <c r="L5499" t="str">
        <f t="shared" si="428"/>
        <v/>
      </c>
      <c r="M5499" t="str">
        <f t="shared" si="429"/>
        <v/>
      </c>
    </row>
    <row r="5500" spans="1:13" x14ac:dyDescent="0.3">
      <c r="A5500" t="str">
        <f>Segmenter!A5500</f>
        <v/>
      </c>
      <c r="B5500" t="str">
        <f>Segmenter!B5500</f>
        <v/>
      </c>
      <c r="C5500" t="str">
        <f t="shared" si="425"/>
        <v/>
      </c>
      <c r="D5500" t="str">
        <f t="shared" si="426"/>
        <v/>
      </c>
      <c r="E5500" t="str">
        <f t="shared" si="427"/>
        <v/>
      </c>
      <c r="F5500" t="str">
        <f>IF(D5500="","",INDEX(Knutepunkter!$B:$B,D5500+1))</f>
        <v/>
      </c>
      <c r="G5500" t="str">
        <f>IF(D5500="","",INDEX(Knutepunkter!$C:$C,D5500+1))</f>
        <v/>
      </c>
      <c r="H5500" t="str">
        <f>IF(D5500="","",INDEX(Knutepunkter!$D:$D,D5500+1))</f>
        <v/>
      </c>
      <c r="I5500" t="str">
        <f>IF(E5500="","",INDEX(Knutepunkter!$B:$B,E5500+1))</f>
        <v/>
      </c>
      <c r="J5500" t="str">
        <f>IF(E5500="","",INDEX(Knutepunkter!$C:$C,E5500+1))</f>
        <v/>
      </c>
      <c r="K5500" t="str">
        <f>IF(E5500="","",INDEX(Knutepunkter!$D:$D,E5500+1))</f>
        <v/>
      </c>
      <c r="L5500" t="str">
        <f t="shared" si="428"/>
        <v/>
      </c>
      <c r="M5500" t="str">
        <f t="shared" si="429"/>
        <v/>
      </c>
    </row>
    <row r="5501" spans="1:13" x14ac:dyDescent="0.3">
      <c r="A5501" t="str">
        <f>Segmenter!A5501</f>
        <v/>
      </c>
      <c r="B5501" t="str">
        <f>Segmenter!B5501</f>
        <v/>
      </c>
      <c r="C5501" t="str">
        <f t="shared" si="425"/>
        <v/>
      </c>
      <c r="D5501" t="str">
        <f t="shared" si="426"/>
        <v/>
      </c>
      <c r="E5501" t="str">
        <f t="shared" si="427"/>
        <v/>
      </c>
      <c r="F5501" t="str">
        <f>IF(D5501="","",INDEX(Knutepunkter!$B:$B,D5501+1))</f>
        <v/>
      </c>
      <c r="G5501" t="str">
        <f>IF(D5501="","",INDEX(Knutepunkter!$C:$C,D5501+1))</f>
        <v/>
      </c>
      <c r="H5501" t="str">
        <f>IF(D5501="","",INDEX(Knutepunkter!$D:$D,D5501+1))</f>
        <v/>
      </c>
      <c r="I5501" t="str">
        <f>IF(E5501="","",INDEX(Knutepunkter!$B:$B,E5501+1))</f>
        <v/>
      </c>
      <c r="J5501" t="str">
        <f>IF(E5501="","",INDEX(Knutepunkter!$C:$C,E5501+1))</f>
        <v/>
      </c>
      <c r="K5501" t="str">
        <f>IF(E5501="","",INDEX(Knutepunkter!$D:$D,E5501+1))</f>
        <v/>
      </c>
      <c r="L5501" t="str">
        <f t="shared" si="428"/>
        <v/>
      </c>
      <c r="M5501" t="str">
        <f t="shared" si="429"/>
        <v/>
      </c>
    </row>
    <row r="5502" spans="1:13" x14ac:dyDescent="0.3">
      <c r="A5502" t="str">
        <f>Segmenter!A5502</f>
        <v/>
      </c>
      <c r="B5502" t="str">
        <f>Segmenter!B5502</f>
        <v/>
      </c>
      <c r="C5502" t="str">
        <f t="shared" si="425"/>
        <v/>
      </c>
      <c r="D5502" t="str">
        <f t="shared" si="426"/>
        <v/>
      </c>
      <c r="E5502" t="str">
        <f t="shared" si="427"/>
        <v/>
      </c>
      <c r="F5502" t="str">
        <f>IF(D5502="","",INDEX(Knutepunkter!$B:$B,D5502+1))</f>
        <v/>
      </c>
      <c r="G5502" t="str">
        <f>IF(D5502="","",INDEX(Knutepunkter!$C:$C,D5502+1))</f>
        <v/>
      </c>
      <c r="H5502" t="str">
        <f>IF(D5502="","",INDEX(Knutepunkter!$D:$D,D5502+1))</f>
        <v/>
      </c>
      <c r="I5502" t="str">
        <f>IF(E5502="","",INDEX(Knutepunkter!$B:$B,E5502+1))</f>
        <v/>
      </c>
      <c r="J5502" t="str">
        <f>IF(E5502="","",INDEX(Knutepunkter!$C:$C,E5502+1))</f>
        <v/>
      </c>
      <c r="K5502" t="str">
        <f>IF(E5502="","",INDEX(Knutepunkter!$D:$D,E5502+1))</f>
        <v/>
      </c>
      <c r="L5502" t="str">
        <f t="shared" si="428"/>
        <v/>
      </c>
      <c r="M5502" t="str">
        <f t="shared" si="429"/>
        <v/>
      </c>
    </row>
    <row r="5503" spans="1:13" x14ac:dyDescent="0.3">
      <c r="A5503" t="str">
        <f>Segmenter!A5503</f>
        <v/>
      </c>
      <c r="B5503" t="str">
        <f>Segmenter!B5503</f>
        <v/>
      </c>
      <c r="C5503" t="str">
        <f t="shared" si="425"/>
        <v/>
      </c>
      <c r="D5503" t="str">
        <f t="shared" si="426"/>
        <v/>
      </c>
      <c r="E5503" t="str">
        <f t="shared" si="427"/>
        <v/>
      </c>
      <c r="F5503" t="str">
        <f>IF(D5503="","",INDEX(Knutepunkter!$B:$B,D5503+1))</f>
        <v/>
      </c>
      <c r="G5503" t="str">
        <f>IF(D5503="","",INDEX(Knutepunkter!$C:$C,D5503+1))</f>
        <v/>
      </c>
      <c r="H5503" t="str">
        <f>IF(D5503="","",INDEX(Knutepunkter!$D:$D,D5503+1))</f>
        <v/>
      </c>
      <c r="I5503" t="str">
        <f>IF(E5503="","",INDEX(Knutepunkter!$B:$B,E5503+1))</f>
        <v/>
      </c>
      <c r="J5503" t="str">
        <f>IF(E5503="","",INDEX(Knutepunkter!$C:$C,E5503+1))</f>
        <v/>
      </c>
      <c r="K5503" t="str">
        <f>IF(E5503="","",INDEX(Knutepunkter!$D:$D,E5503+1))</f>
        <v/>
      </c>
      <c r="L5503" t="str">
        <f t="shared" si="428"/>
        <v/>
      </c>
      <c r="M5503" t="str">
        <f t="shared" si="429"/>
        <v/>
      </c>
    </row>
    <row r="5504" spans="1:13" x14ac:dyDescent="0.3">
      <c r="A5504" t="str">
        <f>Segmenter!A5504</f>
        <v/>
      </c>
      <c r="B5504" t="str">
        <f>Segmenter!B5504</f>
        <v/>
      </c>
      <c r="C5504" t="str">
        <f t="shared" si="425"/>
        <v/>
      </c>
      <c r="D5504" t="str">
        <f t="shared" si="426"/>
        <v/>
      </c>
      <c r="E5504" t="str">
        <f t="shared" si="427"/>
        <v/>
      </c>
      <c r="F5504" t="str">
        <f>IF(D5504="","",INDEX(Knutepunkter!$B:$B,D5504+1))</f>
        <v/>
      </c>
      <c r="G5504" t="str">
        <f>IF(D5504="","",INDEX(Knutepunkter!$C:$C,D5504+1))</f>
        <v/>
      </c>
      <c r="H5504" t="str">
        <f>IF(D5504="","",INDEX(Knutepunkter!$D:$D,D5504+1))</f>
        <v/>
      </c>
      <c r="I5504" t="str">
        <f>IF(E5504="","",INDEX(Knutepunkter!$B:$B,E5504+1))</f>
        <v/>
      </c>
      <c r="J5504" t="str">
        <f>IF(E5504="","",INDEX(Knutepunkter!$C:$C,E5504+1))</f>
        <v/>
      </c>
      <c r="K5504" t="str">
        <f>IF(E5504="","",INDEX(Knutepunkter!$D:$D,E5504+1))</f>
        <v/>
      </c>
      <c r="L5504" t="str">
        <f t="shared" si="428"/>
        <v/>
      </c>
      <c r="M5504" t="str">
        <f t="shared" si="429"/>
        <v/>
      </c>
    </row>
    <row r="5505" spans="1:13" x14ac:dyDescent="0.3">
      <c r="A5505" t="str">
        <f>Segmenter!A5505</f>
        <v/>
      </c>
      <c r="B5505" t="str">
        <f>Segmenter!B5505</f>
        <v/>
      </c>
      <c r="C5505" t="str">
        <f t="shared" si="425"/>
        <v/>
      </c>
      <c r="D5505" t="str">
        <f t="shared" si="426"/>
        <v/>
      </c>
      <c r="E5505" t="str">
        <f t="shared" si="427"/>
        <v/>
      </c>
      <c r="F5505" t="str">
        <f>IF(D5505="","",INDEX(Knutepunkter!$B:$B,D5505+1))</f>
        <v/>
      </c>
      <c r="G5505" t="str">
        <f>IF(D5505="","",INDEX(Knutepunkter!$C:$C,D5505+1))</f>
        <v/>
      </c>
      <c r="H5505" t="str">
        <f>IF(D5505="","",INDEX(Knutepunkter!$D:$D,D5505+1))</f>
        <v/>
      </c>
      <c r="I5505" t="str">
        <f>IF(E5505="","",INDEX(Knutepunkter!$B:$B,E5505+1))</f>
        <v/>
      </c>
      <c r="J5505" t="str">
        <f>IF(E5505="","",INDEX(Knutepunkter!$C:$C,E5505+1))</f>
        <v/>
      </c>
      <c r="K5505" t="str">
        <f>IF(E5505="","",INDEX(Knutepunkter!$D:$D,E5505+1))</f>
        <v/>
      </c>
      <c r="L5505" t="str">
        <f t="shared" si="428"/>
        <v/>
      </c>
      <c r="M5505" t="str">
        <f t="shared" si="429"/>
        <v/>
      </c>
    </row>
    <row r="5506" spans="1:13" x14ac:dyDescent="0.3">
      <c r="A5506" t="str">
        <f>Segmenter!A5506</f>
        <v/>
      </c>
      <c r="B5506" t="str">
        <f>Segmenter!B5506</f>
        <v/>
      </c>
      <c r="C5506" t="str">
        <f t="shared" ref="C5506:C5569" si="430">IF(B5506="","",IF(AND(F5506=I5506,G5506=J5506,H5506&lt;&gt;K5506),"Søyle","Bjelke"))</f>
        <v/>
      </c>
      <c r="D5506" t="str">
        <f t="shared" ref="D5506:D5569" si="431">IF(B5506="","",VALUE(LEFT(B5506,FIND(" -&gt; ",B5506)-1)))</f>
        <v/>
      </c>
      <c r="E5506" t="str">
        <f t="shared" ref="E5506:E5569" si="432">IF(B5506="","",VALUE(MID(B5506,FIND(" -&gt; ",B5506)+4,99)))</f>
        <v/>
      </c>
      <c r="F5506" t="str">
        <f>IF(D5506="","",INDEX(Knutepunkter!$B:$B,D5506+1))</f>
        <v/>
      </c>
      <c r="G5506" t="str">
        <f>IF(D5506="","",INDEX(Knutepunkter!$C:$C,D5506+1))</f>
        <v/>
      </c>
      <c r="H5506" t="str">
        <f>IF(D5506="","",INDEX(Knutepunkter!$D:$D,D5506+1))</f>
        <v/>
      </c>
      <c r="I5506" t="str">
        <f>IF(E5506="","",INDEX(Knutepunkter!$B:$B,E5506+1))</f>
        <v/>
      </c>
      <c r="J5506" t="str">
        <f>IF(E5506="","",INDEX(Knutepunkter!$C:$C,E5506+1))</f>
        <v/>
      </c>
      <c r="K5506" t="str">
        <f>IF(E5506="","",INDEX(Knutepunkter!$D:$D,E5506+1))</f>
        <v/>
      </c>
      <c r="L5506" t="str">
        <f t="shared" ref="L5506:L5569" si="433">IF(B5506="","",SQRT((I5506-F5506)^2+(J5506-G5506)^2+(K5506-H5506)^2))</f>
        <v/>
      </c>
      <c r="M5506" t="str">
        <f t="shared" ref="M5506:M5569" si="434">IF(L5506="","",L5506/1000)</f>
        <v/>
      </c>
    </row>
    <row r="5507" spans="1:13" x14ac:dyDescent="0.3">
      <c r="A5507" t="str">
        <f>Segmenter!A5507</f>
        <v/>
      </c>
      <c r="B5507" t="str">
        <f>Segmenter!B5507</f>
        <v/>
      </c>
      <c r="C5507" t="str">
        <f t="shared" si="430"/>
        <v/>
      </c>
      <c r="D5507" t="str">
        <f t="shared" si="431"/>
        <v/>
      </c>
      <c r="E5507" t="str">
        <f t="shared" si="432"/>
        <v/>
      </c>
      <c r="F5507" t="str">
        <f>IF(D5507="","",INDEX(Knutepunkter!$B:$B,D5507+1))</f>
        <v/>
      </c>
      <c r="G5507" t="str">
        <f>IF(D5507="","",INDEX(Knutepunkter!$C:$C,D5507+1))</f>
        <v/>
      </c>
      <c r="H5507" t="str">
        <f>IF(D5507="","",INDEX(Knutepunkter!$D:$D,D5507+1))</f>
        <v/>
      </c>
      <c r="I5507" t="str">
        <f>IF(E5507="","",INDEX(Knutepunkter!$B:$B,E5507+1))</f>
        <v/>
      </c>
      <c r="J5507" t="str">
        <f>IF(E5507="","",INDEX(Knutepunkter!$C:$C,E5507+1))</f>
        <v/>
      </c>
      <c r="K5507" t="str">
        <f>IF(E5507="","",INDEX(Knutepunkter!$D:$D,E5507+1))</f>
        <v/>
      </c>
      <c r="L5507" t="str">
        <f t="shared" si="433"/>
        <v/>
      </c>
      <c r="M5507" t="str">
        <f t="shared" si="434"/>
        <v/>
      </c>
    </row>
    <row r="5508" spans="1:13" x14ac:dyDescent="0.3">
      <c r="A5508" t="str">
        <f>Segmenter!A5508</f>
        <v/>
      </c>
      <c r="B5508" t="str">
        <f>Segmenter!B5508</f>
        <v/>
      </c>
      <c r="C5508" t="str">
        <f t="shared" si="430"/>
        <v/>
      </c>
      <c r="D5508" t="str">
        <f t="shared" si="431"/>
        <v/>
      </c>
      <c r="E5508" t="str">
        <f t="shared" si="432"/>
        <v/>
      </c>
      <c r="F5508" t="str">
        <f>IF(D5508="","",INDEX(Knutepunkter!$B:$B,D5508+1))</f>
        <v/>
      </c>
      <c r="G5508" t="str">
        <f>IF(D5508="","",INDEX(Knutepunkter!$C:$C,D5508+1))</f>
        <v/>
      </c>
      <c r="H5508" t="str">
        <f>IF(D5508="","",INDEX(Knutepunkter!$D:$D,D5508+1))</f>
        <v/>
      </c>
      <c r="I5508" t="str">
        <f>IF(E5508="","",INDEX(Knutepunkter!$B:$B,E5508+1))</f>
        <v/>
      </c>
      <c r="J5508" t="str">
        <f>IF(E5508="","",INDEX(Knutepunkter!$C:$C,E5508+1))</f>
        <v/>
      </c>
      <c r="K5508" t="str">
        <f>IF(E5508="","",INDEX(Knutepunkter!$D:$D,E5508+1))</f>
        <v/>
      </c>
      <c r="L5508" t="str">
        <f t="shared" si="433"/>
        <v/>
      </c>
      <c r="M5508" t="str">
        <f t="shared" si="434"/>
        <v/>
      </c>
    </row>
    <row r="5509" spans="1:13" x14ac:dyDescent="0.3">
      <c r="A5509" t="str">
        <f>Segmenter!A5509</f>
        <v/>
      </c>
      <c r="B5509" t="str">
        <f>Segmenter!B5509</f>
        <v/>
      </c>
      <c r="C5509" t="str">
        <f t="shared" si="430"/>
        <v/>
      </c>
      <c r="D5509" t="str">
        <f t="shared" si="431"/>
        <v/>
      </c>
      <c r="E5509" t="str">
        <f t="shared" si="432"/>
        <v/>
      </c>
      <c r="F5509" t="str">
        <f>IF(D5509="","",INDEX(Knutepunkter!$B:$B,D5509+1))</f>
        <v/>
      </c>
      <c r="G5509" t="str">
        <f>IF(D5509="","",INDEX(Knutepunkter!$C:$C,D5509+1))</f>
        <v/>
      </c>
      <c r="H5509" t="str">
        <f>IF(D5509="","",INDEX(Knutepunkter!$D:$D,D5509+1))</f>
        <v/>
      </c>
      <c r="I5509" t="str">
        <f>IF(E5509="","",INDEX(Knutepunkter!$B:$B,E5509+1))</f>
        <v/>
      </c>
      <c r="J5509" t="str">
        <f>IF(E5509="","",INDEX(Knutepunkter!$C:$C,E5509+1))</f>
        <v/>
      </c>
      <c r="K5509" t="str">
        <f>IF(E5509="","",INDEX(Knutepunkter!$D:$D,E5509+1))</f>
        <v/>
      </c>
      <c r="L5509" t="str">
        <f t="shared" si="433"/>
        <v/>
      </c>
      <c r="M5509" t="str">
        <f t="shared" si="434"/>
        <v/>
      </c>
    </row>
    <row r="5510" spans="1:13" x14ac:dyDescent="0.3">
      <c r="A5510" t="str">
        <f>Segmenter!A5510</f>
        <v/>
      </c>
      <c r="B5510" t="str">
        <f>Segmenter!B5510</f>
        <v/>
      </c>
      <c r="C5510" t="str">
        <f t="shared" si="430"/>
        <v/>
      </c>
      <c r="D5510" t="str">
        <f t="shared" si="431"/>
        <v/>
      </c>
      <c r="E5510" t="str">
        <f t="shared" si="432"/>
        <v/>
      </c>
      <c r="F5510" t="str">
        <f>IF(D5510="","",INDEX(Knutepunkter!$B:$B,D5510+1))</f>
        <v/>
      </c>
      <c r="G5510" t="str">
        <f>IF(D5510="","",INDEX(Knutepunkter!$C:$C,D5510+1))</f>
        <v/>
      </c>
      <c r="H5510" t="str">
        <f>IF(D5510="","",INDEX(Knutepunkter!$D:$D,D5510+1))</f>
        <v/>
      </c>
      <c r="I5510" t="str">
        <f>IF(E5510="","",INDEX(Knutepunkter!$B:$B,E5510+1))</f>
        <v/>
      </c>
      <c r="J5510" t="str">
        <f>IF(E5510="","",INDEX(Knutepunkter!$C:$C,E5510+1))</f>
        <v/>
      </c>
      <c r="K5510" t="str">
        <f>IF(E5510="","",INDEX(Knutepunkter!$D:$D,E5510+1))</f>
        <v/>
      </c>
      <c r="L5510" t="str">
        <f t="shared" si="433"/>
        <v/>
      </c>
      <c r="M5510" t="str">
        <f t="shared" si="434"/>
        <v/>
      </c>
    </row>
    <row r="5511" spans="1:13" x14ac:dyDescent="0.3">
      <c r="A5511" t="str">
        <f>Segmenter!A5511</f>
        <v/>
      </c>
      <c r="B5511" t="str">
        <f>Segmenter!B5511</f>
        <v/>
      </c>
      <c r="C5511" t="str">
        <f t="shared" si="430"/>
        <v/>
      </c>
      <c r="D5511" t="str">
        <f t="shared" si="431"/>
        <v/>
      </c>
      <c r="E5511" t="str">
        <f t="shared" si="432"/>
        <v/>
      </c>
      <c r="F5511" t="str">
        <f>IF(D5511="","",INDEX(Knutepunkter!$B:$B,D5511+1))</f>
        <v/>
      </c>
      <c r="G5511" t="str">
        <f>IF(D5511="","",INDEX(Knutepunkter!$C:$C,D5511+1))</f>
        <v/>
      </c>
      <c r="H5511" t="str">
        <f>IF(D5511="","",INDEX(Knutepunkter!$D:$D,D5511+1))</f>
        <v/>
      </c>
      <c r="I5511" t="str">
        <f>IF(E5511="","",INDEX(Knutepunkter!$B:$B,E5511+1))</f>
        <v/>
      </c>
      <c r="J5511" t="str">
        <f>IF(E5511="","",INDEX(Knutepunkter!$C:$C,E5511+1))</f>
        <v/>
      </c>
      <c r="K5511" t="str">
        <f>IF(E5511="","",INDEX(Knutepunkter!$D:$D,E5511+1))</f>
        <v/>
      </c>
      <c r="L5511" t="str">
        <f t="shared" si="433"/>
        <v/>
      </c>
      <c r="M5511" t="str">
        <f t="shared" si="434"/>
        <v/>
      </c>
    </row>
    <row r="5512" spans="1:13" x14ac:dyDescent="0.3">
      <c r="A5512" t="str">
        <f>Segmenter!A5512</f>
        <v/>
      </c>
      <c r="B5512" t="str">
        <f>Segmenter!B5512</f>
        <v/>
      </c>
      <c r="C5512" t="str">
        <f t="shared" si="430"/>
        <v/>
      </c>
      <c r="D5512" t="str">
        <f t="shared" si="431"/>
        <v/>
      </c>
      <c r="E5512" t="str">
        <f t="shared" si="432"/>
        <v/>
      </c>
      <c r="F5512" t="str">
        <f>IF(D5512="","",INDEX(Knutepunkter!$B:$B,D5512+1))</f>
        <v/>
      </c>
      <c r="G5512" t="str">
        <f>IF(D5512="","",INDEX(Knutepunkter!$C:$C,D5512+1))</f>
        <v/>
      </c>
      <c r="H5512" t="str">
        <f>IF(D5512="","",INDEX(Knutepunkter!$D:$D,D5512+1))</f>
        <v/>
      </c>
      <c r="I5512" t="str">
        <f>IF(E5512="","",INDEX(Knutepunkter!$B:$B,E5512+1))</f>
        <v/>
      </c>
      <c r="J5512" t="str">
        <f>IF(E5512="","",INDEX(Knutepunkter!$C:$C,E5512+1))</f>
        <v/>
      </c>
      <c r="K5512" t="str">
        <f>IF(E5512="","",INDEX(Knutepunkter!$D:$D,E5512+1))</f>
        <v/>
      </c>
      <c r="L5512" t="str">
        <f t="shared" si="433"/>
        <v/>
      </c>
      <c r="M5512" t="str">
        <f t="shared" si="434"/>
        <v/>
      </c>
    </row>
    <row r="5513" spans="1:13" x14ac:dyDescent="0.3">
      <c r="A5513" t="str">
        <f>Segmenter!A5513</f>
        <v/>
      </c>
      <c r="B5513" t="str">
        <f>Segmenter!B5513</f>
        <v/>
      </c>
      <c r="C5513" t="str">
        <f t="shared" si="430"/>
        <v/>
      </c>
      <c r="D5513" t="str">
        <f t="shared" si="431"/>
        <v/>
      </c>
      <c r="E5513" t="str">
        <f t="shared" si="432"/>
        <v/>
      </c>
      <c r="F5513" t="str">
        <f>IF(D5513="","",INDEX(Knutepunkter!$B:$B,D5513+1))</f>
        <v/>
      </c>
      <c r="G5513" t="str">
        <f>IF(D5513="","",INDEX(Knutepunkter!$C:$C,D5513+1))</f>
        <v/>
      </c>
      <c r="H5513" t="str">
        <f>IF(D5513="","",INDEX(Knutepunkter!$D:$D,D5513+1))</f>
        <v/>
      </c>
      <c r="I5513" t="str">
        <f>IF(E5513="","",INDEX(Knutepunkter!$B:$B,E5513+1))</f>
        <v/>
      </c>
      <c r="J5513" t="str">
        <f>IF(E5513="","",INDEX(Knutepunkter!$C:$C,E5513+1))</f>
        <v/>
      </c>
      <c r="K5513" t="str">
        <f>IF(E5513="","",INDEX(Knutepunkter!$D:$D,E5513+1))</f>
        <v/>
      </c>
      <c r="L5513" t="str">
        <f t="shared" si="433"/>
        <v/>
      </c>
      <c r="M5513" t="str">
        <f t="shared" si="434"/>
        <v/>
      </c>
    </row>
    <row r="5514" spans="1:13" x14ac:dyDescent="0.3">
      <c r="A5514" t="str">
        <f>Segmenter!A5514</f>
        <v/>
      </c>
      <c r="B5514" t="str">
        <f>Segmenter!B5514</f>
        <v/>
      </c>
      <c r="C5514" t="str">
        <f t="shared" si="430"/>
        <v/>
      </c>
      <c r="D5514" t="str">
        <f t="shared" si="431"/>
        <v/>
      </c>
      <c r="E5514" t="str">
        <f t="shared" si="432"/>
        <v/>
      </c>
      <c r="F5514" t="str">
        <f>IF(D5514="","",INDEX(Knutepunkter!$B:$B,D5514+1))</f>
        <v/>
      </c>
      <c r="G5514" t="str">
        <f>IF(D5514="","",INDEX(Knutepunkter!$C:$C,D5514+1))</f>
        <v/>
      </c>
      <c r="H5514" t="str">
        <f>IF(D5514="","",INDEX(Knutepunkter!$D:$D,D5514+1))</f>
        <v/>
      </c>
      <c r="I5514" t="str">
        <f>IF(E5514="","",INDEX(Knutepunkter!$B:$B,E5514+1))</f>
        <v/>
      </c>
      <c r="J5514" t="str">
        <f>IF(E5514="","",INDEX(Knutepunkter!$C:$C,E5514+1))</f>
        <v/>
      </c>
      <c r="K5514" t="str">
        <f>IF(E5514="","",INDEX(Knutepunkter!$D:$D,E5514+1))</f>
        <v/>
      </c>
      <c r="L5514" t="str">
        <f t="shared" si="433"/>
        <v/>
      </c>
      <c r="M5514" t="str">
        <f t="shared" si="434"/>
        <v/>
      </c>
    </row>
    <row r="5515" spans="1:13" x14ac:dyDescent="0.3">
      <c r="A5515" t="str">
        <f>Segmenter!A5515</f>
        <v/>
      </c>
      <c r="B5515" t="str">
        <f>Segmenter!B5515</f>
        <v/>
      </c>
      <c r="C5515" t="str">
        <f t="shared" si="430"/>
        <v/>
      </c>
      <c r="D5515" t="str">
        <f t="shared" si="431"/>
        <v/>
      </c>
      <c r="E5515" t="str">
        <f t="shared" si="432"/>
        <v/>
      </c>
      <c r="F5515" t="str">
        <f>IF(D5515="","",INDEX(Knutepunkter!$B:$B,D5515+1))</f>
        <v/>
      </c>
      <c r="G5515" t="str">
        <f>IF(D5515="","",INDEX(Knutepunkter!$C:$C,D5515+1))</f>
        <v/>
      </c>
      <c r="H5515" t="str">
        <f>IF(D5515="","",INDEX(Knutepunkter!$D:$D,D5515+1))</f>
        <v/>
      </c>
      <c r="I5515" t="str">
        <f>IF(E5515="","",INDEX(Knutepunkter!$B:$B,E5515+1))</f>
        <v/>
      </c>
      <c r="J5515" t="str">
        <f>IF(E5515="","",INDEX(Knutepunkter!$C:$C,E5515+1))</f>
        <v/>
      </c>
      <c r="K5515" t="str">
        <f>IF(E5515="","",INDEX(Knutepunkter!$D:$D,E5515+1))</f>
        <v/>
      </c>
      <c r="L5515" t="str">
        <f t="shared" si="433"/>
        <v/>
      </c>
      <c r="M5515" t="str">
        <f t="shared" si="434"/>
        <v/>
      </c>
    </row>
    <row r="5516" spans="1:13" x14ac:dyDescent="0.3">
      <c r="A5516" t="str">
        <f>Segmenter!A5516</f>
        <v/>
      </c>
      <c r="B5516" t="str">
        <f>Segmenter!B5516</f>
        <v/>
      </c>
      <c r="C5516" t="str">
        <f t="shared" si="430"/>
        <v/>
      </c>
      <c r="D5516" t="str">
        <f t="shared" si="431"/>
        <v/>
      </c>
      <c r="E5516" t="str">
        <f t="shared" si="432"/>
        <v/>
      </c>
      <c r="F5516" t="str">
        <f>IF(D5516="","",INDEX(Knutepunkter!$B:$B,D5516+1))</f>
        <v/>
      </c>
      <c r="G5516" t="str">
        <f>IF(D5516="","",INDEX(Knutepunkter!$C:$C,D5516+1))</f>
        <v/>
      </c>
      <c r="H5516" t="str">
        <f>IF(D5516="","",INDEX(Knutepunkter!$D:$D,D5516+1))</f>
        <v/>
      </c>
      <c r="I5516" t="str">
        <f>IF(E5516="","",INDEX(Knutepunkter!$B:$B,E5516+1))</f>
        <v/>
      </c>
      <c r="J5516" t="str">
        <f>IF(E5516="","",INDEX(Knutepunkter!$C:$C,E5516+1))</f>
        <v/>
      </c>
      <c r="K5516" t="str">
        <f>IF(E5516="","",INDEX(Knutepunkter!$D:$D,E5516+1))</f>
        <v/>
      </c>
      <c r="L5516" t="str">
        <f t="shared" si="433"/>
        <v/>
      </c>
      <c r="M5516" t="str">
        <f t="shared" si="434"/>
        <v/>
      </c>
    </row>
    <row r="5517" spans="1:13" x14ac:dyDescent="0.3">
      <c r="A5517" t="str">
        <f>Segmenter!A5517</f>
        <v/>
      </c>
      <c r="B5517" t="str">
        <f>Segmenter!B5517</f>
        <v/>
      </c>
      <c r="C5517" t="str">
        <f t="shared" si="430"/>
        <v/>
      </c>
      <c r="D5517" t="str">
        <f t="shared" si="431"/>
        <v/>
      </c>
      <c r="E5517" t="str">
        <f t="shared" si="432"/>
        <v/>
      </c>
      <c r="F5517" t="str">
        <f>IF(D5517="","",INDEX(Knutepunkter!$B:$B,D5517+1))</f>
        <v/>
      </c>
      <c r="G5517" t="str">
        <f>IF(D5517="","",INDEX(Knutepunkter!$C:$C,D5517+1))</f>
        <v/>
      </c>
      <c r="H5517" t="str">
        <f>IF(D5517="","",INDEX(Knutepunkter!$D:$D,D5517+1))</f>
        <v/>
      </c>
      <c r="I5517" t="str">
        <f>IF(E5517="","",INDEX(Knutepunkter!$B:$B,E5517+1))</f>
        <v/>
      </c>
      <c r="J5517" t="str">
        <f>IF(E5517="","",INDEX(Knutepunkter!$C:$C,E5517+1))</f>
        <v/>
      </c>
      <c r="K5517" t="str">
        <f>IF(E5517="","",INDEX(Knutepunkter!$D:$D,E5517+1))</f>
        <v/>
      </c>
      <c r="L5517" t="str">
        <f t="shared" si="433"/>
        <v/>
      </c>
      <c r="M5517" t="str">
        <f t="shared" si="434"/>
        <v/>
      </c>
    </row>
    <row r="5518" spans="1:13" x14ac:dyDescent="0.3">
      <c r="A5518" t="str">
        <f>Segmenter!A5518</f>
        <v/>
      </c>
      <c r="B5518" t="str">
        <f>Segmenter!B5518</f>
        <v/>
      </c>
      <c r="C5518" t="str">
        <f t="shared" si="430"/>
        <v/>
      </c>
      <c r="D5518" t="str">
        <f t="shared" si="431"/>
        <v/>
      </c>
      <c r="E5518" t="str">
        <f t="shared" si="432"/>
        <v/>
      </c>
      <c r="F5518" t="str">
        <f>IF(D5518="","",INDEX(Knutepunkter!$B:$B,D5518+1))</f>
        <v/>
      </c>
      <c r="G5518" t="str">
        <f>IF(D5518="","",INDEX(Knutepunkter!$C:$C,D5518+1))</f>
        <v/>
      </c>
      <c r="H5518" t="str">
        <f>IF(D5518="","",INDEX(Knutepunkter!$D:$D,D5518+1))</f>
        <v/>
      </c>
      <c r="I5518" t="str">
        <f>IF(E5518="","",INDEX(Knutepunkter!$B:$B,E5518+1))</f>
        <v/>
      </c>
      <c r="J5518" t="str">
        <f>IF(E5518="","",INDEX(Knutepunkter!$C:$C,E5518+1))</f>
        <v/>
      </c>
      <c r="K5518" t="str">
        <f>IF(E5518="","",INDEX(Knutepunkter!$D:$D,E5518+1))</f>
        <v/>
      </c>
      <c r="L5518" t="str">
        <f t="shared" si="433"/>
        <v/>
      </c>
      <c r="M5518" t="str">
        <f t="shared" si="434"/>
        <v/>
      </c>
    </row>
    <row r="5519" spans="1:13" x14ac:dyDescent="0.3">
      <c r="A5519" t="str">
        <f>Segmenter!A5519</f>
        <v/>
      </c>
      <c r="B5519" t="str">
        <f>Segmenter!B5519</f>
        <v/>
      </c>
      <c r="C5519" t="str">
        <f t="shared" si="430"/>
        <v/>
      </c>
      <c r="D5519" t="str">
        <f t="shared" si="431"/>
        <v/>
      </c>
      <c r="E5519" t="str">
        <f t="shared" si="432"/>
        <v/>
      </c>
      <c r="F5519" t="str">
        <f>IF(D5519="","",INDEX(Knutepunkter!$B:$B,D5519+1))</f>
        <v/>
      </c>
      <c r="G5519" t="str">
        <f>IF(D5519="","",INDEX(Knutepunkter!$C:$C,D5519+1))</f>
        <v/>
      </c>
      <c r="H5519" t="str">
        <f>IF(D5519="","",INDEX(Knutepunkter!$D:$D,D5519+1))</f>
        <v/>
      </c>
      <c r="I5519" t="str">
        <f>IF(E5519="","",INDEX(Knutepunkter!$B:$B,E5519+1))</f>
        <v/>
      </c>
      <c r="J5519" t="str">
        <f>IF(E5519="","",INDEX(Knutepunkter!$C:$C,E5519+1))</f>
        <v/>
      </c>
      <c r="K5519" t="str">
        <f>IF(E5519="","",INDEX(Knutepunkter!$D:$D,E5519+1))</f>
        <v/>
      </c>
      <c r="L5519" t="str">
        <f t="shared" si="433"/>
        <v/>
      </c>
      <c r="M5519" t="str">
        <f t="shared" si="434"/>
        <v/>
      </c>
    </row>
    <row r="5520" spans="1:13" x14ac:dyDescent="0.3">
      <c r="A5520" t="str">
        <f>Segmenter!A5520</f>
        <v/>
      </c>
      <c r="B5520" t="str">
        <f>Segmenter!B5520</f>
        <v/>
      </c>
      <c r="C5520" t="str">
        <f t="shared" si="430"/>
        <v/>
      </c>
      <c r="D5520" t="str">
        <f t="shared" si="431"/>
        <v/>
      </c>
      <c r="E5520" t="str">
        <f t="shared" si="432"/>
        <v/>
      </c>
      <c r="F5520" t="str">
        <f>IF(D5520="","",INDEX(Knutepunkter!$B:$B,D5520+1))</f>
        <v/>
      </c>
      <c r="G5520" t="str">
        <f>IF(D5520="","",INDEX(Knutepunkter!$C:$C,D5520+1))</f>
        <v/>
      </c>
      <c r="H5520" t="str">
        <f>IF(D5520="","",INDEX(Knutepunkter!$D:$D,D5520+1))</f>
        <v/>
      </c>
      <c r="I5520" t="str">
        <f>IF(E5520="","",INDEX(Knutepunkter!$B:$B,E5520+1))</f>
        <v/>
      </c>
      <c r="J5520" t="str">
        <f>IF(E5520="","",INDEX(Knutepunkter!$C:$C,E5520+1))</f>
        <v/>
      </c>
      <c r="K5520" t="str">
        <f>IF(E5520="","",INDEX(Knutepunkter!$D:$D,E5520+1))</f>
        <v/>
      </c>
      <c r="L5520" t="str">
        <f t="shared" si="433"/>
        <v/>
      </c>
      <c r="M5520" t="str">
        <f t="shared" si="434"/>
        <v/>
      </c>
    </row>
    <row r="5521" spans="1:13" x14ac:dyDescent="0.3">
      <c r="A5521" t="str">
        <f>Segmenter!A5521</f>
        <v/>
      </c>
      <c r="B5521" t="str">
        <f>Segmenter!B5521</f>
        <v/>
      </c>
      <c r="C5521" t="str">
        <f t="shared" si="430"/>
        <v/>
      </c>
      <c r="D5521" t="str">
        <f t="shared" si="431"/>
        <v/>
      </c>
      <c r="E5521" t="str">
        <f t="shared" si="432"/>
        <v/>
      </c>
      <c r="F5521" t="str">
        <f>IF(D5521="","",INDEX(Knutepunkter!$B:$B,D5521+1))</f>
        <v/>
      </c>
      <c r="G5521" t="str">
        <f>IF(D5521="","",INDEX(Knutepunkter!$C:$C,D5521+1))</f>
        <v/>
      </c>
      <c r="H5521" t="str">
        <f>IF(D5521="","",INDEX(Knutepunkter!$D:$D,D5521+1))</f>
        <v/>
      </c>
      <c r="I5521" t="str">
        <f>IF(E5521="","",INDEX(Knutepunkter!$B:$B,E5521+1))</f>
        <v/>
      </c>
      <c r="J5521" t="str">
        <f>IF(E5521="","",INDEX(Knutepunkter!$C:$C,E5521+1))</f>
        <v/>
      </c>
      <c r="K5521" t="str">
        <f>IF(E5521="","",INDEX(Knutepunkter!$D:$D,E5521+1))</f>
        <v/>
      </c>
      <c r="L5521" t="str">
        <f t="shared" si="433"/>
        <v/>
      </c>
      <c r="M5521" t="str">
        <f t="shared" si="434"/>
        <v/>
      </c>
    </row>
    <row r="5522" spans="1:13" x14ac:dyDescent="0.3">
      <c r="A5522" t="str">
        <f>Segmenter!A5522</f>
        <v/>
      </c>
      <c r="B5522" t="str">
        <f>Segmenter!B5522</f>
        <v/>
      </c>
      <c r="C5522" t="str">
        <f t="shared" si="430"/>
        <v/>
      </c>
      <c r="D5522" t="str">
        <f t="shared" si="431"/>
        <v/>
      </c>
      <c r="E5522" t="str">
        <f t="shared" si="432"/>
        <v/>
      </c>
      <c r="F5522" t="str">
        <f>IF(D5522="","",INDEX(Knutepunkter!$B:$B,D5522+1))</f>
        <v/>
      </c>
      <c r="G5522" t="str">
        <f>IF(D5522="","",INDEX(Knutepunkter!$C:$C,D5522+1))</f>
        <v/>
      </c>
      <c r="H5522" t="str">
        <f>IF(D5522="","",INDEX(Knutepunkter!$D:$D,D5522+1))</f>
        <v/>
      </c>
      <c r="I5522" t="str">
        <f>IF(E5522="","",INDEX(Knutepunkter!$B:$B,E5522+1))</f>
        <v/>
      </c>
      <c r="J5522" t="str">
        <f>IF(E5522="","",INDEX(Knutepunkter!$C:$C,E5522+1))</f>
        <v/>
      </c>
      <c r="K5522" t="str">
        <f>IF(E5522="","",INDEX(Knutepunkter!$D:$D,E5522+1))</f>
        <v/>
      </c>
      <c r="L5522" t="str">
        <f t="shared" si="433"/>
        <v/>
      </c>
      <c r="M5522" t="str">
        <f t="shared" si="434"/>
        <v/>
      </c>
    </row>
    <row r="5523" spans="1:13" x14ac:dyDescent="0.3">
      <c r="A5523" t="str">
        <f>Segmenter!A5523</f>
        <v/>
      </c>
      <c r="B5523" t="str">
        <f>Segmenter!B5523</f>
        <v/>
      </c>
      <c r="C5523" t="str">
        <f t="shared" si="430"/>
        <v/>
      </c>
      <c r="D5523" t="str">
        <f t="shared" si="431"/>
        <v/>
      </c>
      <c r="E5523" t="str">
        <f t="shared" si="432"/>
        <v/>
      </c>
      <c r="F5523" t="str">
        <f>IF(D5523="","",INDEX(Knutepunkter!$B:$B,D5523+1))</f>
        <v/>
      </c>
      <c r="G5523" t="str">
        <f>IF(D5523="","",INDEX(Knutepunkter!$C:$C,D5523+1))</f>
        <v/>
      </c>
      <c r="H5523" t="str">
        <f>IF(D5523="","",INDEX(Knutepunkter!$D:$D,D5523+1))</f>
        <v/>
      </c>
      <c r="I5523" t="str">
        <f>IF(E5523="","",INDEX(Knutepunkter!$B:$B,E5523+1))</f>
        <v/>
      </c>
      <c r="J5523" t="str">
        <f>IF(E5523="","",INDEX(Knutepunkter!$C:$C,E5523+1))</f>
        <v/>
      </c>
      <c r="K5523" t="str">
        <f>IF(E5523="","",INDEX(Knutepunkter!$D:$D,E5523+1))</f>
        <v/>
      </c>
      <c r="L5523" t="str">
        <f t="shared" si="433"/>
        <v/>
      </c>
      <c r="M5523" t="str">
        <f t="shared" si="434"/>
        <v/>
      </c>
    </row>
    <row r="5524" spans="1:13" x14ac:dyDescent="0.3">
      <c r="A5524" t="str">
        <f>Segmenter!A5524</f>
        <v/>
      </c>
      <c r="B5524" t="str">
        <f>Segmenter!B5524</f>
        <v/>
      </c>
      <c r="C5524" t="str">
        <f t="shared" si="430"/>
        <v/>
      </c>
      <c r="D5524" t="str">
        <f t="shared" si="431"/>
        <v/>
      </c>
      <c r="E5524" t="str">
        <f t="shared" si="432"/>
        <v/>
      </c>
      <c r="F5524" t="str">
        <f>IF(D5524="","",INDEX(Knutepunkter!$B:$B,D5524+1))</f>
        <v/>
      </c>
      <c r="G5524" t="str">
        <f>IF(D5524="","",INDEX(Knutepunkter!$C:$C,D5524+1))</f>
        <v/>
      </c>
      <c r="H5524" t="str">
        <f>IF(D5524="","",INDEX(Knutepunkter!$D:$D,D5524+1))</f>
        <v/>
      </c>
      <c r="I5524" t="str">
        <f>IF(E5524="","",INDEX(Knutepunkter!$B:$B,E5524+1))</f>
        <v/>
      </c>
      <c r="J5524" t="str">
        <f>IF(E5524="","",INDEX(Knutepunkter!$C:$C,E5524+1))</f>
        <v/>
      </c>
      <c r="K5524" t="str">
        <f>IF(E5524="","",INDEX(Knutepunkter!$D:$D,E5524+1))</f>
        <v/>
      </c>
      <c r="L5524" t="str">
        <f t="shared" si="433"/>
        <v/>
      </c>
      <c r="M5524" t="str">
        <f t="shared" si="434"/>
        <v/>
      </c>
    </row>
    <row r="5525" spans="1:13" x14ac:dyDescent="0.3">
      <c r="A5525" t="str">
        <f>Segmenter!A5525</f>
        <v/>
      </c>
      <c r="B5525" t="str">
        <f>Segmenter!B5525</f>
        <v/>
      </c>
      <c r="C5525" t="str">
        <f t="shared" si="430"/>
        <v/>
      </c>
      <c r="D5525" t="str">
        <f t="shared" si="431"/>
        <v/>
      </c>
      <c r="E5525" t="str">
        <f t="shared" si="432"/>
        <v/>
      </c>
      <c r="F5525" t="str">
        <f>IF(D5525="","",INDEX(Knutepunkter!$B:$B,D5525+1))</f>
        <v/>
      </c>
      <c r="G5525" t="str">
        <f>IF(D5525="","",INDEX(Knutepunkter!$C:$C,D5525+1))</f>
        <v/>
      </c>
      <c r="H5525" t="str">
        <f>IF(D5525="","",INDEX(Knutepunkter!$D:$D,D5525+1))</f>
        <v/>
      </c>
      <c r="I5525" t="str">
        <f>IF(E5525="","",INDEX(Knutepunkter!$B:$B,E5525+1))</f>
        <v/>
      </c>
      <c r="J5525" t="str">
        <f>IF(E5525="","",INDEX(Knutepunkter!$C:$C,E5525+1))</f>
        <v/>
      </c>
      <c r="K5525" t="str">
        <f>IF(E5525="","",INDEX(Knutepunkter!$D:$D,E5525+1))</f>
        <v/>
      </c>
      <c r="L5525" t="str">
        <f t="shared" si="433"/>
        <v/>
      </c>
      <c r="M5525" t="str">
        <f t="shared" si="434"/>
        <v/>
      </c>
    </row>
    <row r="5526" spans="1:13" x14ac:dyDescent="0.3">
      <c r="A5526" t="str">
        <f>Segmenter!A5526</f>
        <v/>
      </c>
      <c r="B5526" t="str">
        <f>Segmenter!B5526</f>
        <v/>
      </c>
      <c r="C5526" t="str">
        <f t="shared" si="430"/>
        <v/>
      </c>
      <c r="D5526" t="str">
        <f t="shared" si="431"/>
        <v/>
      </c>
      <c r="E5526" t="str">
        <f t="shared" si="432"/>
        <v/>
      </c>
      <c r="F5526" t="str">
        <f>IF(D5526="","",INDEX(Knutepunkter!$B:$B,D5526+1))</f>
        <v/>
      </c>
      <c r="G5526" t="str">
        <f>IF(D5526="","",INDEX(Knutepunkter!$C:$C,D5526+1))</f>
        <v/>
      </c>
      <c r="H5526" t="str">
        <f>IF(D5526="","",INDEX(Knutepunkter!$D:$D,D5526+1))</f>
        <v/>
      </c>
      <c r="I5526" t="str">
        <f>IF(E5526="","",INDEX(Knutepunkter!$B:$B,E5526+1))</f>
        <v/>
      </c>
      <c r="J5526" t="str">
        <f>IF(E5526="","",INDEX(Knutepunkter!$C:$C,E5526+1))</f>
        <v/>
      </c>
      <c r="K5526" t="str">
        <f>IF(E5526="","",INDEX(Knutepunkter!$D:$D,E5526+1))</f>
        <v/>
      </c>
      <c r="L5526" t="str">
        <f t="shared" si="433"/>
        <v/>
      </c>
      <c r="M5526" t="str">
        <f t="shared" si="434"/>
        <v/>
      </c>
    </row>
    <row r="5527" spans="1:13" x14ac:dyDescent="0.3">
      <c r="A5527" t="str">
        <f>Segmenter!A5527</f>
        <v/>
      </c>
      <c r="B5527" t="str">
        <f>Segmenter!B5527</f>
        <v/>
      </c>
      <c r="C5527" t="str">
        <f t="shared" si="430"/>
        <v/>
      </c>
      <c r="D5527" t="str">
        <f t="shared" si="431"/>
        <v/>
      </c>
      <c r="E5527" t="str">
        <f t="shared" si="432"/>
        <v/>
      </c>
      <c r="F5527" t="str">
        <f>IF(D5527="","",INDEX(Knutepunkter!$B:$B,D5527+1))</f>
        <v/>
      </c>
      <c r="G5527" t="str">
        <f>IF(D5527="","",INDEX(Knutepunkter!$C:$C,D5527+1))</f>
        <v/>
      </c>
      <c r="H5527" t="str">
        <f>IF(D5527="","",INDEX(Knutepunkter!$D:$D,D5527+1))</f>
        <v/>
      </c>
      <c r="I5527" t="str">
        <f>IF(E5527="","",INDEX(Knutepunkter!$B:$B,E5527+1))</f>
        <v/>
      </c>
      <c r="J5527" t="str">
        <f>IF(E5527="","",INDEX(Knutepunkter!$C:$C,E5527+1))</f>
        <v/>
      </c>
      <c r="K5527" t="str">
        <f>IF(E5527="","",INDEX(Knutepunkter!$D:$D,E5527+1))</f>
        <v/>
      </c>
      <c r="L5527" t="str">
        <f t="shared" si="433"/>
        <v/>
      </c>
      <c r="M5527" t="str">
        <f t="shared" si="434"/>
        <v/>
      </c>
    </row>
    <row r="5528" spans="1:13" x14ac:dyDescent="0.3">
      <c r="A5528" t="str">
        <f>Segmenter!A5528</f>
        <v/>
      </c>
      <c r="B5528" t="str">
        <f>Segmenter!B5528</f>
        <v/>
      </c>
      <c r="C5528" t="str">
        <f t="shared" si="430"/>
        <v/>
      </c>
      <c r="D5528" t="str">
        <f t="shared" si="431"/>
        <v/>
      </c>
      <c r="E5528" t="str">
        <f t="shared" si="432"/>
        <v/>
      </c>
      <c r="F5528" t="str">
        <f>IF(D5528="","",INDEX(Knutepunkter!$B:$B,D5528+1))</f>
        <v/>
      </c>
      <c r="G5528" t="str">
        <f>IF(D5528="","",INDEX(Knutepunkter!$C:$C,D5528+1))</f>
        <v/>
      </c>
      <c r="H5528" t="str">
        <f>IF(D5528="","",INDEX(Knutepunkter!$D:$D,D5528+1))</f>
        <v/>
      </c>
      <c r="I5528" t="str">
        <f>IF(E5528="","",INDEX(Knutepunkter!$B:$B,E5528+1))</f>
        <v/>
      </c>
      <c r="J5528" t="str">
        <f>IF(E5528="","",INDEX(Knutepunkter!$C:$C,E5528+1))</f>
        <v/>
      </c>
      <c r="K5528" t="str">
        <f>IF(E5528="","",INDEX(Knutepunkter!$D:$D,E5528+1))</f>
        <v/>
      </c>
      <c r="L5528" t="str">
        <f t="shared" si="433"/>
        <v/>
      </c>
      <c r="M5528" t="str">
        <f t="shared" si="434"/>
        <v/>
      </c>
    </row>
    <row r="5529" spans="1:13" x14ac:dyDescent="0.3">
      <c r="A5529" t="str">
        <f>Segmenter!A5529</f>
        <v/>
      </c>
      <c r="B5529" t="str">
        <f>Segmenter!B5529</f>
        <v/>
      </c>
      <c r="C5529" t="str">
        <f t="shared" si="430"/>
        <v/>
      </c>
      <c r="D5529" t="str">
        <f t="shared" si="431"/>
        <v/>
      </c>
      <c r="E5529" t="str">
        <f t="shared" si="432"/>
        <v/>
      </c>
      <c r="F5529" t="str">
        <f>IF(D5529="","",INDEX(Knutepunkter!$B:$B,D5529+1))</f>
        <v/>
      </c>
      <c r="G5529" t="str">
        <f>IF(D5529="","",INDEX(Knutepunkter!$C:$C,D5529+1))</f>
        <v/>
      </c>
      <c r="H5529" t="str">
        <f>IF(D5529="","",INDEX(Knutepunkter!$D:$D,D5529+1))</f>
        <v/>
      </c>
      <c r="I5529" t="str">
        <f>IF(E5529="","",INDEX(Knutepunkter!$B:$B,E5529+1))</f>
        <v/>
      </c>
      <c r="J5529" t="str">
        <f>IF(E5529="","",INDEX(Knutepunkter!$C:$C,E5529+1))</f>
        <v/>
      </c>
      <c r="K5529" t="str">
        <f>IF(E5529="","",INDEX(Knutepunkter!$D:$D,E5529+1))</f>
        <v/>
      </c>
      <c r="L5529" t="str">
        <f t="shared" si="433"/>
        <v/>
      </c>
      <c r="M5529" t="str">
        <f t="shared" si="434"/>
        <v/>
      </c>
    </row>
    <row r="5530" spans="1:13" x14ac:dyDescent="0.3">
      <c r="A5530" t="str">
        <f>Segmenter!A5530</f>
        <v/>
      </c>
      <c r="B5530" t="str">
        <f>Segmenter!B5530</f>
        <v/>
      </c>
      <c r="C5530" t="str">
        <f t="shared" si="430"/>
        <v/>
      </c>
      <c r="D5530" t="str">
        <f t="shared" si="431"/>
        <v/>
      </c>
      <c r="E5530" t="str">
        <f t="shared" si="432"/>
        <v/>
      </c>
      <c r="F5530" t="str">
        <f>IF(D5530="","",INDEX(Knutepunkter!$B:$B,D5530+1))</f>
        <v/>
      </c>
      <c r="G5530" t="str">
        <f>IF(D5530="","",INDEX(Knutepunkter!$C:$C,D5530+1))</f>
        <v/>
      </c>
      <c r="H5530" t="str">
        <f>IF(D5530="","",INDEX(Knutepunkter!$D:$D,D5530+1))</f>
        <v/>
      </c>
      <c r="I5530" t="str">
        <f>IF(E5530="","",INDEX(Knutepunkter!$B:$B,E5530+1))</f>
        <v/>
      </c>
      <c r="J5530" t="str">
        <f>IF(E5530="","",INDEX(Knutepunkter!$C:$C,E5530+1))</f>
        <v/>
      </c>
      <c r="K5530" t="str">
        <f>IF(E5530="","",INDEX(Knutepunkter!$D:$D,E5530+1))</f>
        <v/>
      </c>
      <c r="L5530" t="str">
        <f t="shared" si="433"/>
        <v/>
      </c>
      <c r="M5530" t="str">
        <f t="shared" si="434"/>
        <v/>
      </c>
    </row>
    <row r="5531" spans="1:13" x14ac:dyDescent="0.3">
      <c r="A5531" t="str">
        <f>Segmenter!A5531</f>
        <v/>
      </c>
      <c r="B5531" t="str">
        <f>Segmenter!B5531</f>
        <v/>
      </c>
      <c r="C5531" t="str">
        <f t="shared" si="430"/>
        <v/>
      </c>
      <c r="D5531" t="str">
        <f t="shared" si="431"/>
        <v/>
      </c>
      <c r="E5531" t="str">
        <f t="shared" si="432"/>
        <v/>
      </c>
      <c r="F5531" t="str">
        <f>IF(D5531="","",INDEX(Knutepunkter!$B:$B,D5531+1))</f>
        <v/>
      </c>
      <c r="G5531" t="str">
        <f>IF(D5531="","",INDEX(Knutepunkter!$C:$C,D5531+1))</f>
        <v/>
      </c>
      <c r="H5531" t="str">
        <f>IF(D5531="","",INDEX(Knutepunkter!$D:$D,D5531+1))</f>
        <v/>
      </c>
      <c r="I5531" t="str">
        <f>IF(E5531="","",INDEX(Knutepunkter!$B:$B,E5531+1))</f>
        <v/>
      </c>
      <c r="J5531" t="str">
        <f>IF(E5531="","",INDEX(Knutepunkter!$C:$C,E5531+1))</f>
        <v/>
      </c>
      <c r="K5531" t="str">
        <f>IF(E5531="","",INDEX(Knutepunkter!$D:$D,E5531+1))</f>
        <v/>
      </c>
      <c r="L5531" t="str">
        <f t="shared" si="433"/>
        <v/>
      </c>
      <c r="M5531" t="str">
        <f t="shared" si="434"/>
        <v/>
      </c>
    </row>
    <row r="5532" spans="1:13" x14ac:dyDescent="0.3">
      <c r="A5532" t="str">
        <f>Segmenter!A5532</f>
        <v/>
      </c>
      <c r="B5532" t="str">
        <f>Segmenter!B5532</f>
        <v/>
      </c>
      <c r="C5532" t="str">
        <f t="shared" si="430"/>
        <v/>
      </c>
      <c r="D5532" t="str">
        <f t="shared" si="431"/>
        <v/>
      </c>
      <c r="E5532" t="str">
        <f t="shared" si="432"/>
        <v/>
      </c>
      <c r="F5532" t="str">
        <f>IF(D5532="","",INDEX(Knutepunkter!$B:$B,D5532+1))</f>
        <v/>
      </c>
      <c r="G5532" t="str">
        <f>IF(D5532="","",INDEX(Knutepunkter!$C:$C,D5532+1))</f>
        <v/>
      </c>
      <c r="H5532" t="str">
        <f>IF(D5532="","",INDEX(Knutepunkter!$D:$D,D5532+1))</f>
        <v/>
      </c>
      <c r="I5532" t="str">
        <f>IF(E5532="","",INDEX(Knutepunkter!$B:$B,E5532+1))</f>
        <v/>
      </c>
      <c r="J5532" t="str">
        <f>IF(E5532="","",INDEX(Knutepunkter!$C:$C,E5532+1))</f>
        <v/>
      </c>
      <c r="K5532" t="str">
        <f>IF(E5532="","",INDEX(Knutepunkter!$D:$D,E5532+1))</f>
        <v/>
      </c>
      <c r="L5532" t="str">
        <f t="shared" si="433"/>
        <v/>
      </c>
      <c r="M5532" t="str">
        <f t="shared" si="434"/>
        <v/>
      </c>
    </row>
    <row r="5533" spans="1:13" x14ac:dyDescent="0.3">
      <c r="A5533" t="str">
        <f>Segmenter!A5533</f>
        <v/>
      </c>
      <c r="B5533" t="str">
        <f>Segmenter!B5533</f>
        <v/>
      </c>
      <c r="C5533" t="str">
        <f t="shared" si="430"/>
        <v/>
      </c>
      <c r="D5533" t="str">
        <f t="shared" si="431"/>
        <v/>
      </c>
      <c r="E5533" t="str">
        <f t="shared" si="432"/>
        <v/>
      </c>
      <c r="F5533" t="str">
        <f>IF(D5533="","",INDEX(Knutepunkter!$B:$B,D5533+1))</f>
        <v/>
      </c>
      <c r="G5533" t="str">
        <f>IF(D5533="","",INDEX(Knutepunkter!$C:$C,D5533+1))</f>
        <v/>
      </c>
      <c r="H5533" t="str">
        <f>IF(D5533="","",INDEX(Knutepunkter!$D:$D,D5533+1))</f>
        <v/>
      </c>
      <c r="I5533" t="str">
        <f>IF(E5533="","",INDEX(Knutepunkter!$B:$B,E5533+1))</f>
        <v/>
      </c>
      <c r="J5533" t="str">
        <f>IF(E5533="","",INDEX(Knutepunkter!$C:$C,E5533+1))</f>
        <v/>
      </c>
      <c r="K5533" t="str">
        <f>IF(E5533="","",INDEX(Knutepunkter!$D:$D,E5533+1))</f>
        <v/>
      </c>
      <c r="L5533" t="str">
        <f t="shared" si="433"/>
        <v/>
      </c>
      <c r="M5533" t="str">
        <f t="shared" si="434"/>
        <v/>
      </c>
    </row>
    <row r="5534" spans="1:13" x14ac:dyDescent="0.3">
      <c r="A5534" t="str">
        <f>Segmenter!A5534</f>
        <v/>
      </c>
      <c r="B5534" t="str">
        <f>Segmenter!B5534</f>
        <v/>
      </c>
      <c r="C5534" t="str">
        <f t="shared" si="430"/>
        <v/>
      </c>
      <c r="D5534" t="str">
        <f t="shared" si="431"/>
        <v/>
      </c>
      <c r="E5534" t="str">
        <f t="shared" si="432"/>
        <v/>
      </c>
      <c r="F5534" t="str">
        <f>IF(D5534="","",INDEX(Knutepunkter!$B:$B,D5534+1))</f>
        <v/>
      </c>
      <c r="G5534" t="str">
        <f>IF(D5534="","",INDEX(Knutepunkter!$C:$C,D5534+1))</f>
        <v/>
      </c>
      <c r="H5534" t="str">
        <f>IF(D5534="","",INDEX(Knutepunkter!$D:$D,D5534+1))</f>
        <v/>
      </c>
      <c r="I5534" t="str">
        <f>IF(E5534="","",INDEX(Knutepunkter!$B:$B,E5534+1))</f>
        <v/>
      </c>
      <c r="J5534" t="str">
        <f>IF(E5534="","",INDEX(Knutepunkter!$C:$C,E5534+1))</f>
        <v/>
      </c>
      <c r="K5534" t="str">
        <f>IF(E5534="","",INDEX(Knutepunkter!$D:$D,E5534+1))</f>
        <v/>
      </c>
      <c r="L5534" t="str">
        <f t="shared" si="433"/>
        <v/>
      </c>
      <c r="M5534" t="str">
        <f t="shared" si="434"/>
        <v/>
      </c>
    </row>
    <row r="5535" spans="1:13" x14ac:dyDescent="0.3">
      <c r="A5535" t="str">
        <f>Segmenter!A5535</f>
        <v/>
      </c>
      <c r="B5535" t="str">
        <f>Segmenter!B5535</f>
        <v/>
      </c>
      <c r="C5535" t="str">
        <f t="shared" si="430"/>
        <v/>
      </c>
      <c r="D5535" t="str">
        <f t="shared" si="431"/>
        <v/>
      </c>
      <c r="E5535" t="str">
        <f t="shared" si="432"/>
        <v/>
      </c>
      <c r="F5535" t="str">
        <f>IF(D5535="","",INDEX(Knutepunkter!$B:$B,D5535+1))</f>
        <v/>
      </c>
      <c r="G5535" t="str">
        <f>IF(D5535="","",INDEX(Knutepunkter!$C:$C,D5535+1))</f>
        <v/>
      </c>
      <c r="H5535" t="str">
        <f>IF(D5535="","",INDEX(Knutepunkter!$D:$D,D5535+1))</f>
        <v/>
      </c>
      <c r="I5535" t="str">
        <f>IF(E5535="","",INDEX(Knutepunkter!$B:$B,E5535+1))</f>
        <v/>
      </c>
      <c r="J5535" t="str">
        <f>IF(E5535="","",INDEX(Knutepunkter!$C:$C,E5535+1))</f>
        <v/>
      </c>
      <c r="K5535" t="str">
        <f>IF(E5535="","",INDEX(Knutepunkter!$D:$D,E5535+1))</f>
        <v/>
      </c>
      <c r="L5535" t="str">
        <f t="shared" si="433"/>
        <v/>
      </c>
      <c r="M5535" t="str">
        <f t="shared" si="434"/>
        <v/>
      </c>
    </row>
    <row r="5536" spans="1:13" x14ac:dyDescent="0.3">
      <c r="A5536" t="str">
        <f>Segmenter!A5536</f>
        <v/>
      </c>
      <c r="B5536" t="str">
        <f>Segmenter!B5536</f>
        <v/>
      </c>
      <c r="C5536" t="str">
        <f t="shared" si="430"/>
        <v/>
      </c>
      <c r="D5536" t="str">
        <f t="shared" si="431"/>
        <v/>
      </c>
      <c r="E5536" t="str">
        <f t="shared" si="432"/>
        <v/>
      </c>
      <c r="F5536" t="str">
        <f>IF(D5536="","",INDEX(Knutepunkter!$B:$B,D5536+1))</f>
        <v/>
      </c>
      <c r="G5536" t="str">
        <f>IF(D5536="","",INDEX(Knutepunkter!$C:$C,D5536+1))</f>
        <v/>
      </c>
      <c r="H5536" t="str">
        <f>IF(D5536="","",INDEX(Knutepunkter!$D:$D,D5536+1))</f>
        <v/>
      </c>
      <c r="I5536" t="str">
        <f>IF(E5536="","",INDEX(Knutepunkter!$B:$B,E5536+1))</f>
        <v/>
      </c>
      <c r="J5536" t="str">
        <f>IF(E5536="","",INDEX(Knutepunkter!$C:$C,E5536+1))</f>
        <v/>
      </c>
      <c r="K5536" t="str">
        <f>IF(E5536="","",INDEX(Knutepunkter!$D:$D,E5536+1))</f>
        <v/>
      </c>
      <c r="L5536" t="str">
        <f t="shared" si="433"/>
        <v/>
      </c>
      <c r="M5536" t="str">
        <f t="shared" si="434"/>
        <v/>
      </c>
    </row>
    <row r="5537" spans="1:13" x14ac:dyDescent="0.3">
      <c r="A5537" t="str">
        <f>Segmenter!A5537</f>
        <v/>
      </c>
      <c r="B5537" t="str">
        <f>Segmenter!B5537</f>
        <v/>
      </c>
      <c r="C5537" t="str">
        <f t="shared" si="430"/>
        <v/>
      </c>
      <c r="D5537" t="str">
        <f t="shared" si="431"/>
        <v/>
      </c>
      <c r="E5537" t="str">
        <f t="shared" si="432"/>
        <v/>
      </c>
      <c r="F5537" t="str">
        <f>IF(D5537="","",INDEX(Knutepunkter!$B:$B,D5537+1))</f>
        <v/>
      </c>
      <c r="G5537" t="str">
        <f>IF(D5537="","",INDEX(Knutepunkter!$C:$C,D5537+1))</f>
        <v/>
      </c>
      <c r="H5537" t="str">
        <f>IF(D5537="","",INDEX(Knutepunkter!$D:$D,D5537+1))</f>
        <v/>
      </c>
      <c r="I5537" t="str">
        <f>IF(E5537="","",INDEX(Knutepunkter!$B:$B,E5537+1))</f>
        <v/>
      </c>
      <c r="J5537" t="str">
        <f>IF(E5537="","",INDEX(Knutepunkter!$C:$C,E5537+1))</f>
        <v/>
      </c>
      <c r="K5537" t="str">
        <f>IF(E5537="","",INDEX(Knutepunkter!$D:$D,E5537+1))</f>
        <v/>
      </c>
      <c r="L5537" t="str">
        <f t="shared" si="433"/>
        <v/>
      </c>
      <c r="M5537" t="str">
        <f t="shared" si="434"/>
        <v/>
      </c>
    </row>
    <row r="5538" spans="1:13" x14ac:dyDescent="0.3">
      <c r="A5538" t="str">
        <f>Segmenter!A5538</f>
        <v/>
      </c>
      <c r="B5538" t="str">
        <f>Segmenter!B5538</f>
        <v/>
      </c>
      <c r="C5538" t="str">
        <f t="shared" si="430"/>
        <v/>
      </c>
      <c r="D5538" t="str">
        <f t="shared" si="431"/>
        <v/>
      </c>
      <c r="E5538" t="str">
        <f t="shared" si="432"/>
        <v/>
      </c>
      <c r="F5538" t="str">
        <f>IF(D5538="","",INDEX(Knutepunkter!$B:$B,D5538+1))</f>
        <v/>
      </c>
      <c r="G5538" t="str">
        <f>IF(D5538="","",INDEX(Knutepunkter!$C:$C,D5538+1))</f>
        <v/>
      </c>
      <c r="H5538" t="str">
        <f>IF(D5538="","",INDEX(Knutepunkter!$D:$D,D5538+1))</f>
        <v/>
      </c>
      <c r="I5538" t="str">
        <f>IF(E5538="","",INDEX(Knutepunkter!$B:$B,E5538+1))</f>
        <v/>
      </c>
      <c r="J5538" t="str">
        <f>IF(E5538="","",INDEX(Knutepunkter!$C:$C,E5538+1))</f>
        <v/>
      </c>
      <c r="K5538" t="str">
        <f>IF(E5538="","",INDEX(Knutepunkter!$D:$D,E5538+1))</f>
        <v/>
      </c>
      <c r="L5538" t="str">
        <f t="shared" si="433"/>
        <v/>
      </c>
      <c r="M5538" t="str">
        <f t="shared" si="434"/>
        <v/>
      </c>
    </row>
    <row r="5539" spans="1:13" x14ac:dyDescent="0.3">
      <c r="A5539" t="str">
        <f>Segmenter!A5539</f>
        <v/>
      </c>
      <c r="B5539" t="str">
        <f>Segmenter!B5539</f>
        <v/>
      </c>
      <c r="C5539" t="str">
        <f t="shared" si="430"/>
        <v/>
      </c>
      <c r="D5539" t="str">
        <f t="shared" si="431"/>
        <v/>
      </c>
      <c r="E5539" t="str">
        <f t="shared" si="432"/>
        <v/>
      </c>
      <c r="F5539" t="str">
        <f>IF(D5539="","",INDEX(Knutepunkter!$B:$B,D5539+1))</f>
        <v/>
      </c>
      <c r="G5539" t="str">
        <f>IF(D5539="","",INDEX(Knutepunkter!$C:$C,D5539+1))</f>
        <v/>
      </c>
      <c r="H5539" t="str">
        <f>IF(D5539="","",INDEX(Knutepunkter!$D:$D,D5539+1))</f>
        <v/>
      </c>
      <c r="I5539" t="str">
        <f>IF(E5539="","",INDEX(Knutepunkter!$B:$B,E5539+1))</f>
        <v/>
      </c>
      <c r="J5539" t="str">
        <f>IF(E5539="","",INDEX(Knutepunkter!$C:$C,E5539+1))</f>
        <v/>
      </c>
      <c r="K5539" t="str">
        <f>IF(E5539="","",INDEX(Knutepunkter!$D:$D,E5539+1))</f>
        <v/>
      </c>
      <c r="L5539" t="str">
        <f t="shared" si="433"/>
        <v/>
      </c>
      <c r="M5539" t="str">
        <f t="shared" si="434"/>
        <v/>
      </c>
    </row>
    <row r="5540" spans="1:13" x14ac:dyDescent="0.3">
      <c r="A5540" t="str">
        <f>Segmenter!A5540</f>
        <v/>
      </c>
      <c r="B5540" t="str">
        <f>Segmenter!B5540</f>
        <v/>
      </c>
      <c r="C5540" t="str">
        <f t="shared" si="430"/>
        <v/>
      </c>
      <c r="D5540" t="str">
        <f t="shared" si="431"/>
        <v/>
      </c>
      <c r="E5540" t="str">
        <f t="shared" si="432"/>
        <v/>
      </c>
      <c r="F5540" t="str">
        <f>IF(D5540="","",INDEX(Knutepunkter!$B:$B,D5540+1))</f>
        <v/>
      </c>
      <c r="G5540" t="str">
        <f>IF(D5540="","",INDEX(Knutepunkter!$C:$C,D5540+1))</f>
        <v/>
      </c>
      <c r="H5540" t="str">
        <f>IF(D5540="","",INDEX(Knutepunkter!$D:$D,D5540+1))</f>
        <v/>
      </c>
      <c r="I5540" t="str">
        <f>IF(E5540="","",INDEX(Knutepunkter!$B:$B,E5540+1))</f>
        <v/>
      </c>
      <c r="J5540" t="str">
        <f>IF(E5540="","",INDEX(Knutepunkter!$C:$C,E5540+1))</f>
        <v/>
      </c>
      <c r="K5540" t="str">
        <f>IF(E5540="","",INDEX(Knutepunkter!$D:$D,E5540+1))</f>
        <v/>
      </c>
      <c r="L5540" t="str">
        <f t="shared" si="433"/>
        <v/>
      </c>
      <c r="M5540" t="str">
        <f t="shared" si="434"/>
        <v/>
      </c>
    </row>
    <row r="5541" spans="1:13" x14ac:dyDescent="0.3">
      <c r="A5541" t="str">
        <f>Segmenter!A5541</f>
        <v/>
      </c>
      <c r="B5541" t="str">
        <f>Segmenter!B5541</f>
        <v/>
      </c>
      <c r="C5541" t="str">
        <f t="shared" si="430"/>
        <v/>
      </c>
      <c r="D5541" t="str">
        <f t="shared" si="431"/>
        <v/>
      </c>
      <c r="E5541" t="str">
        <f t="shared" si="432"/>
        <v/>
      </c>
      <c r="F5541" t="str">
        <f>IF(D5541="","",INDEX(Knutepunkter!$B:$B,D5541+1))</f>
        <v/>
      </c>
      <c r="G5541" t="str">
        <f>IF(D5541="","",INDEX(Knutepunkter!$C:$C,D5541+1))</f>
        <v/>
      </c>
      <c r="H5541" t="str">
        <f>IF(D5541="","",INDEX(Knutepunkter!$D:$D,D5541+1))</f>
        <v/>
      </c>
      <c r="I5541" t="str">
        <f>IF(E5541="","",INDEX(Knutepunkter!$B:$B,E5541+1))</f>
        <v/>
      </c>
      <c r="J5541" t="str">
        <f>IF(E5541="","",INDEX(Knutepunkter!$C:$C,E5541+1))</f>
        <v/>
      </c>
      <c r="K5541" t="str">
        <f>IF(E5541="","",INDEX(Knutepunkter!$D:$D,E5541+1))</f>
        <v/>
      </c>
      <c r="L5541" t="str">
        <f t="shared" si="433"/>
        <v/>
      </c>
      <c r="M5541" t="str">
        <f t="shared" si="434"/>
        <v/>
      </c>
    </row>
    <row r="5542" spans="1:13" x14ac:dyDescent="0.3">
      <c r="A5542" t="str">
        <f>Segmenter!A5542</f>
        <v/>
      </c>
      <c r="B5542" t="str">
        <f>Segmenter!B5542</f>
        <v/>
      </c>
      <c r="C5542" t="str">
        <f t="shared" si="430"/>
        <v/>
      </c>
      <c r="D5542" t="str">
        <f t="shared" si="431"/>
        <v/>
      </c>
      <c r="E5542" t="str">
        <f t="shared" si="432"/>
        <v/>
      </c>
      <c r="F5542" t="str">
        <f>IF(D5542="","",INDEX(Knutepunkter!$B:$B,D5542+1))</f>
        <v/>
      </c>
      <c r="G5542" t="str">
        <f>IF(D5542="","",INDEX(Knutepunkter!$C:$C,D5542+1))</f>
        <v/>
      </c>
      <c r="H5542" t="str">
        <f>IF(D5542="","",INDEX(Knutepunkter!$D:$D,D5542+1))</f>
        <v/>
      </c>
      <c r="I5542" t="str">
        <f>IF(E5542="","",INDEX(Knutepunkter!$B:$B,E5542+1))</f>
        <v/>
      </c>
      <c r="J5542" t="str">
        <f>IF(E5542="","",INDEX(Knutepunkter!$C:$C,E5542+1))</f>
        <v/>
      </c>
      <c r="K5542" t="str">
        <f>IF(E5542="","",INDEX(Knutepunkter!$D:$D,E5542+1))</f>
        <v/>
      </c>
      <c r="L5542" t="str">
        <f t="shared" si="433"/>
        <v/>
      </c>
      <c r="M5542" t="str">
        <f t="shared" si="434"/>
        <v/>
      </c>
    </row>
    <row r="5543" spans="1:13" x14ac:dyDescent="0.3">
      <c r="A5543" t="str">
        <f>Segmenter!A5543</f>
        <v/>
      </c>
      <c r="B5543" t="str">
        <f>Segmenter!B5543</f>
        <v/>
      </c>
      <c r="C5543" t="str">
        <f t="shared" si="430"/>
        <v/>
      </c>
      <c r="D5543" t="str">
        <f t="shared" si="431"/>
        <v/>
      </c>
      <c r="E5543" t="str">
        <f t="shared" si="432"/>
        <v/>
      </c>
      <c r="F5543" t="str">
        <f>IF(D5543="","",INDEX(Knutepunkter!$B:$B,D5543+1))</f>
        <v/>
      </c>
      <c r="G5543" t="str">
        <f>IF(D5543="","",INDEX(Knutepunkter!$C:$C,D5543+1))</f>
        <v/>
      </c>
      <c r="H5543" t="str">
        <f>IF(D5543="","",INDEX(Knutepunkter!$D:$D,D5543+1))</f>
        <v/>
      </c>
      <c r="I5543" t="str">
        <f>IF(E5543="","",INDEX(Knutepunkter!$B:$B,E5543+1))</f>
        <v/>
      </c>
      <c r="J5543" t="str">
        <f>IF(E5543="","",INDEX(Knutepunkter!$C:$C,E5543+1))</f>
        <v/>
      </c>
      <c r="K5543" t="str">
        <f>IF(E5543="","",INDEX(Knutepunkter!$D:$D,E5543+1))</f>
        <v/>
      </c>
      <c r="L5543" t="str">
        <f t="shared" si="433"/>
        <v/>
      </c>
      <c r="M5543" t="str">
        <f t="shared" si="434"/>
        <v/>
      </c>
    </row>
    <row r="5544" spans="1:13" x14ac:dyDescent="0.3">
      <c r="A5544" t="str">
        <f>Segmenter!A5544</f>
        <v/>
      </c>
      <c r="B5544" t="str">
        <f>Segmenter!B5544</f>
        <v/>
      </c>
      <c r="C5544" t="str">
        <f t="shared" si="430"/>
        <v/>
      </c>
      <c r="D5544" t="str">
        <f t="shared" si="431"/>
        <v/>
      </c>
      <c r="E5544" t="str">
        <f t="shared" si="432"/>
        <v/>
      </c>
      <c r="F5544" t="str">
        <f>IF(D5544="","",INDEX(Knutepunkter!$B:$B,D5544+1))</f>
        <v/>
      </c>
      <c r="G5544" t="str">
        <f>IF(D5544="","",INDEX(Knutepunkter!$C:$C,D5544+1))</f>
        <v/>
      </c>
      <c r="H5544" t="str">
        <f>IF(D5544="","",INDEX(Knutepunkter!$D:$D,D5544+1))</f>
        <v/>
      </c>
      <c r="I5544" t="str">
        <f>IF(E5544="","",INDEX(Knutepunkter!$B:$B,E5544+1))</f>
        <v/>
      </c>
      <c r="J5544" t="str">
        <f>IF(E5544="","",INDEX(Knutepunkter!$C:$C,E5544+1))</f>
        <v/>
      </c>
      <c r="K5544" t="str">
        <f>IF(E5544="","",INDEX(Knutepunkter!$D:$D,E5544+1))</f>
        <v/>
      </c>
      <c r="L5544" t="str">
        <f t="shared" si="433"/>
        <v/>
      </c>
      <c r="M5544" t="str">
        <f t="shared" si="434"/>
        <v/>
      </c>
    </row>
    <row r="5545" spans="1:13" x14ac:dyDescent="0.3">
      <c r="A5545" t="str">
        <f>Segmenter!A5545</f>
        <v/>
      </c>
      <c r="B5545" t="str">
        <f>Segmenter!B5545</f>
        <v/>
      </c>
      <c r="C5545" t="str">
        <f t="shared" si="430"/>
        <v/>
      </c>
      <c r="D5545" t="str">
        <f t="shared" si="431"/>
        <v/>
      </c>
      <c r="E5545" t="str">
        <f t="shared" si="432"/>
        <v/>
      </c>
      <c r="F5545" t="str">
        <f>IF(D5545="","",INDEX(Knutepunkter!$B:$B,D5545+1))</f>
        <v/>
      </c>
      <c r="G5545" t="str">
        <f>IF(D5545="","",INDEX(Knutepunkter!$C:$C,D5545+1))</f>
        <v/>
      </c>
      <c r="H5545" t="str">
        <f>IF(D5545="","",INDEX(Knutepunkter!$D:$D,D5545+1))</f>
        <v/>
      </c>
      <c r="I5545" t="str">
        <f>IF(E5545="","",INDEX(Knutepunkter!$B:$B,E5545+1))</f>
        <v/>
      </c>
      <c r="J5545" t="str">
        <f>IF(E5545="","",INDEX(Knutepunkter!$C:$C,E5545+1))</f>
        <v/>
      </c>
      <c r="K5545" t="str">
        <f>IF(E5545="","",INDEX(Knutepunkter!$D:$D,E5545+1))</f>
        <v/>
      </c>
      <c r="L5545" t="str">
        <f t="shared" si="433"/>
        <v/>
      </c>
      <c r="M5545" t="str">
        <f t="shared" si="434"/>
        <v/>
      </c>
    </row>
    <row r="5546" spans="1:13" x14ac:dyDescent="0.3">
      <c r="A5546" t="str">
        <f>Segmenter!A5546</f>
        <v/>
      </c>
      <c r="B5546" t="str">
        <f>Segmenter!B5546</f>
        <v/>
      </c>
      <c r="C5546" t="str">
        <f t="shared" si="430"/>
        <v/>
      </c>
      <c r="D5546" t="str">
        <f t="shared" si="431"/>
        <v/>
      </c>
      <c r="E5546" t="str">
        <f t="shared" si="432"/>
        <v/>
      </c>
      <c r="F5546" t="str">
        <f>IF(D5546="","",INDEX(Knutepunkter!$B:$B,D5546+1))</f>
        <v/>
      </c>
      <c r="G5546" t="str">
        <f>IF(D5546="","",INDEX(Knutepunkter!$C:$C,D5546+1))</f>
        <v/>
      </c>
      <c r="H5546" t="str">
        <f>IF(D5546="","",INDEX(Knutepunkter!$D:$D,D5546+1))</f>
        <v/>
      </c>
      <c r="I5546" t="str">
        <f>IF(E5546="","",INDEX(Knutepunkter!$B:$B,E5546+1))</f>
        <v/>
      </c>
      <c r="J5546" t="str">
        <f>IF(E5546="","",INDEX(Knutepunkter!$C:$C,E5546+1))</f>
        <v/>
      </c>
      <c r="K5546" t="str">
        <f>IF(E5546="","",INDEX(Knutepunkter!$D:$D,E5546+1))</f>
        <v/>
      </c>
      <c r="L5546" t="str">
        <f t="shared" si="433"/>
        <v/>
      </c>
      <c r="M5546" t="str">
        <f t="shared" si="434"/>
        <v/>
      </c>
    </row>
    <row r="5547" spans="1:13" x14ac:dyDescent="0.3">
      <c r="A5547" t="str">
        <f>Segmenter!A5547</f>
        <v/>
      </c>
      <c r="B5547" t="str">
        <f>Segmenter!B5547</f>
        <v/>
      </c>
      <c r="C5547" t="str">
        <f t="shared" si="430"/>
        <v/>
      </c>
      <c r="D5547" t="str">
        <f t="shared" si="431"/>
        <v/>
      </c>
      <c r="E5547" t="str">
        <f t="shared" si="432"/>
        <v/>
      </c>
      <c r="F5547" t="str">
        <f>IF(D5547="","",INDEX(Knutepunkter!$B:$B,D5547+1))</f>
        <v/>
      </c>
      <c r="G5547" t="str">
        <f>IF(D5547="","",INDEX(Knutepunkter!$C:$C,D5547+1))</f>
        <v/>
      </c>
      <c r="H5547" t="str">
        <f>IF(D5547="","",INDEX(Knutepunkter!$D:$D,D5547+1))</f>
        <v/>
      </c>
      <c r="I5547" t="str">
        <f>IF(E5547="","",INDEX(Knutepunkter!$B:$B,E5547+1))</f>
        <v/>
      </c>
      <c r="J5547" t="str">
        <f>IF(E5547="","",INDEX(Knutepunkter!$C:$C,E5547+1))</f>
        <v/>
      </c>
      <c r="K5547" t="str">
        <f>IF(E5547="","",INDEX(Knutepunkter!$D:$D,E5547+1))</f>
        <v/>
      </c>
      <c r="L5547" t="str">
        <f t="shared" si="433"/>
        <v/>
      </c>
      <c r="M5547" t="str">
        <f t="shared" si="434"/>
        <v/>
      </c>
    </row>
    <row r="5548" spans="1:13" x14ac:dyDescent="0.3">
      <c r="A5548" t="str">
        <f>Segmenter!A5548</f>
        <v/>
      </c>
      <c r="B5548" t="str">
        <f>Segmenter!B5548</f>
        <v/>
      </c>
      <c r="C5548" t="str">
        <f t="shared" si="430"/>
        <v/>
      </c>
      <c r="D5548" t="str">
        <f t="shared" si="431"/>
        <v/>
      </c>
      <c r="E5548" t="str">
        <f t="shared" si="432"/>
        <v/>
      </c>
      <c r="F5548" t="str">
        <f>IF(D5548="","",INDEX(Knutepunkter!$B:$B,D5548+1))</f>
        <v/>
      </c>
      <c r="G5548" t="str">
        <f>IF(D5548="","",INDEX(Knutepunkter!$C:$C,D5548+1))</f>
        <v/>
      </c>
      <c r="H5548" t="str">
        <f>IF(D5548="","",INDEX(Knutepunkter!$D:$D,D5548+1))</f>
        <v/>
      </c>
      <c r="I5548" t="str">
        <f>IF(E5548="","",INDEX(Knutepunkter!$B:$B,E5548+1))</f>
        <v/>
      </c>
      <c r="J5548" t="str">
        <f>IF(E5548="","",INDEX(Knutepunkter!$C:$C,E5548+1))</f>
        <v/>
      </c>
      <c r="K5548" t="str">
        <f>IF(E5548="","",INDEX(Knutepunkter!$D:$D,E5548+1))</f>
        <v/>
      </c>
      <c r="L5548" t="str">
        <f t="shared" si="433"/>
        <v/>
      </c>
      <c r="M5548" t="str">
        <f t="shared" si="434"/>
        <v/>
      </c>
    </row>
    <row r="5549" spans="1:13" x14ac:dyDescent="0.3">
      <c r="A5549" t="str">
        <f>Segmenter!A5549</f>
        <v/>
      </c>
      <c r="B5549" t="str">
        <f>Segmenter!B5549</f>
        <v/>
      </c>
      <c r="C5549" t="str">
        <f t="shared" si="430"/>
        <v/>
      </c>
      <c r="D5549" t="str">
        <f t="shared" si="431"/>
        <v/>
      </c>
      <c r="E5549" t="str">
        <f t="shared" si="432"/>
        <v/>
      </c>
      <c r="F5549" t="str">
        <f>IF(D5549="","",INDEX(Knutepunkter!$B:$B,D5549+1))</f>
        <v/>
      </c>
      <c r="G5549" t="str">
        <f>IF(D5549="","",INDEX(Knutepunkter!$C:$C,D5549+1))</f>
        <v/>
      </c>
      <c r="H5549" t="str">
        <f>IF(D5549="","",INDEX(Knutepunkter!$D:$D,D5549+1))</f>
        <v/>
      </c>
      <c r="I5549" t="str">
        <f>IF(E5549="","",INDEX(Knutepunkter!$B:$B,E5549+1))</f>
        <v/>
      </c>
      <c r="J5549" t="str">
        <f>IF(E5549="","",INDEX(Knutepunkter!$C:$C,E5549+1))</f>
        <v/>
      </c>
      <c r="K5549" t="str">
        <f>IF(E5549="","",INDEX(Knutepunkter!$D:$D,E5549+1))</f>
        <v/>
      </c>
      <c r="L5549" t="str">
        <f t="shared" si="433"/>
        <v/>
      </c>
      <c r="M5549" t="str">
        <f t="shared" si="434"/>
        <v/>
      </c>
    </row>
    <row r="5550" spans="1:13" x14ac:dyDescent="0.3">
      <c r="A5550" t="str">
        <f>Segmenter!A5550</f>
        <v/>
      </c>
      <c r="B5550" t="str">
        <f>Segmenter!B5550</f>
        <v/>
      </c>
      <c r="C5550" t="str">
        <f t="shared" si="430"/>
        <v/>
      </c>
      <c r="D5550" t="str">
        <f t="shared" si="431"/>
        <v/>
      </c>
      <c r="E5550" t="str">
        <f t="shared" si="432"/>
        <v/>
      </c>
      <c r="F5550" t="str">
        <f>IF(D5550="","",INDEX(Knutepunkter!$B:$B,D5550+1))</f>
        <v/>
      </c>
      <c r="G5550" t="str">
        <f>IF(D5550="","",INDEX(Knutepunkter!$C:$C,D5550+1))</f>
        <v/>
      </c>
      <c r="H5550" t="str">
        <f>IF(D5550="","",INDEX(Knutepunkter!$D:$D,D5550+1))</f>
        <v/>
      </c>
      <c r="I5550" t="str">
        <f>IF(E5550="","",INDEX(Knutepunkter!$B:$B,E5550+1))</f>
        <v/>
      </c>
      <c r="J5550" t="str">
        <f>IF(E5550="","",INDEX(Knutepunkter!$C:$C,E5550+1))</f>
        <v/>
      </c>
      <c r="K5550" t="str">
        <f>IF(E5550="","",INDEX(Knutepunkter!$D:$D,E5550+1))</f>
        <v/>
      </c>
      <c r="L5550" t="str">
        <f t="shared" si="433"/>
        <v/>
      </c>
      <c r="M5550" t="str">
        <f t="shared" si="434"/>
        <v/>
      </c>
    </row>
    <row r="5551" spans="1:13" x14ac:dyDescent="0.3">
      <c r="A5551" t="str">
        <f>Segmenter!A5551</f>
        <v/>
      </c>
      <c r="B5551" t="str">
        <f>Segmenter!B5551</f>
        <v/>
      </c>
      <c r="C5551" t="str">
        <f t="shared" si="430"/>
        <v/>
      </c>
      <c r="D5551" t="str">
        <f t="shared" si="431"/>
        <v/>
      </c>
      <c r="E5551" t="str">
        <f t="shared" si="432"/>
        <v/>
      </c>
      <c r="F5551" t="str">
        <f>IF(D5551="","",INDEX(Knutepunkter!$B:$B,D5551+1))</f>
        <v/>
      </c>
      <c r="G5551" t="str">
        <f>IF(D5551="","",INDEX(Knutepunkter!$C:$C,D5551+1))</f>
        <v/>
      </c>
      <c r="H5551" t="str">
        <f>IF(D5551="","",INDEX(Knutepunkter!$D:$D,D5551+1))</f>
        <v/>
      </c>
      <c r="I5551" t="str">
        <f>IF(E5551="","",INDEX(Knutepunkter!$B:$B,E5551+1))</f>
        <v/>
      </c>
      <c r="J5551" t="str">
        <f>IF(E5551="","",INDEX(Knutepunkter!$C:$C,E5551+1))</f>
        <v/>
      </c>
      <c r="K5551" t="str">
        <f>IF(E5551="","",INDEX(Knutepunkter!$D:$D,E5551+1))</f>
        <v/>
      </c>
      <c r="L5551" t="str">
        <f t="shared" si="433"/>
        <v/>
      </c>
      <c r="M5551" t="str">
        <f t="shared" si="434"/>
        <v/>
      </c>
    </row>
    <row r="5552" spans="1:13" x14ac:dyDescent="0.3">
      <c r="A5552" t="str">
        <f>Segmenter!A5552</f>
        <v/>
      </c>
      <c r="B5552" t="str">
        <f>Segmenter!B5552</f>
        <v/>
      </c>
      <c r="C5552" t="str">
        <f t="shared" si="430"/>
        <v/>
      </c>
      <c r="D5552" t="str">
        <f t="shared" si="431"/>
        <v/>
      </c>
      <c r="E5552" t="str">
        <f t="shared" si="432"/>
        <v/>
      </c>
      <c r="F5552" t="str">
        <f>IF(D5552="","",INDEX(Knutepunkter!$B:$B,D5552+1))</f>
        <v/>
      </c>
      <c r="G5552" t="str">
        <f>IF(D5552="","",INDEX(Knutepunkter!$C:$C,D5552+1))</f>
        <v/>
      </c>
      <c r="H5552" t="str">
        <f>IF(D5552="","",INDEX(Knutepunkter!$D:$D,D5552+1))</f>
        <v/>
      </c>
      <c r="I5552" t="str">
        <f>IF(E5552="","",INDEX(Knutepunkter!$B:$B,E5552+1))</f>
        <v/>
      </c>
      <c r="J5552" t="str">
        <f>IF(E5552="","",INDEX(Knutepunkter!$C:$C,E5552+1))</f>
        <v/>
      </c>
      <c r="K5552" t="str">
        <f>IF(E5552="","",INDEX(Knutepunkter!$D:$D,E5552+1))</f>
        <v/>
      </c>
      <c r="L5552" t="str">
        <f t="shared" si="433"/>
        <v/>
      </c>
      <c r="M5552" t="str">
        <f t="shared" si="434"/>
        <v/>
      </c>
    </row>
    <row r="5553" spans="1:13" x14ac:dyDescent="0.3">
      <c r="A5553" t="str">
        <f>Segmenter!A5553</f>
        <v/>
      </c>
      <c r="B5553" t="str">
        <f>Segmenter!B5553</f>
        <v/>
      </c>
      <c r="C5553" t="str">
        <f t="shared" si="430"/>
        <v/>
      </c>
      <c r="D5553" t="str">
        <f t="shared" si="431"/>
        <v/>
      </c>
      <c r="E5553" t="str">
        <f t="shared" si="432"/>
        <v/>
      </c>
      <c r="F5553" t="str">
        <f>IF(D5553="","",INDEX(Knutepunkter!$B:$B,D5553+1))</f>
        <v/>
      </c>
      <c r="G5553" t="str">
        <f>IF(D5553="","",INDEX(Knutepunkter!$C:$C,D5553+1))</f>
        <v/>
      </c>
      <c r="H5553" t="str">
        <f>IF(D5553="","",INDEX(Knutepunkter!$D:$D,D5553+1))</f>
        <v/>
      </c>
      <c r="I5553" t="str">
        <f>IF(E5553="","",INDEX(Knutepunkter!$B:$B,E5553+1))</f>
        <v/>
      </c>
      <c r="J5553" t="str">
        <f>IF(E5553="","",INDEX(Knutepunkter!$C:$C,E5553+1))</f>
        <v/>
      </c>
      <c r="K5553" t="str">
        <f>IF(E5553="","",INDEX(Knutepunkter!$D:$D,E5553+1))</f>
        <v/>
      </c>
      <c r="L5553" t="str">
        <f t="shared" si="433"/>
        <v/>
      </c>
      <c r="M5553" t="str">
        <f t="shared" si="434"/>
        <v/>
      </c>
    </row>
    <row r="5554" spans="1:13" x14ac:dyDescent="0.3">
      <c r="A5554" t="str">
        <f>Segmenter!A5554</f>
        <v/>
      </c>
      <c r="B5554" t="str">
        <f>Segmenter!B5554</f>
        <v/>
      </c>
      <c r="C5554" t="str">
        <f t="shared" si="430"/>
        <v/>
      </c>
      <c r="D5554" t="str">
        <f t="shared" si="431"/>
        <v/>
      </c>
      <c r="E5554" t="str">
        <f t="shared" si="432"/>
        <v/>
      </c>
      <c r="F5554" t="str">
        <f>IF(D5554="","",INDEX(Knutepunkter!$B:$B,D5554+1))</f>
        <v/>
      </c>
      <c r="G5554" t="str">
        <f>IF(D5554="","",INDEX(Knutepunkter!$C:$C,D5554+1))</f>
        <v/>
      </c>
      <c r="H5554" t="str">
        <f>IF(D5554="","",INDEX(Knutepunkter!$D:$D,D5554+1))</f>
        <v/>
      </c>
      <c r="I5554" t="str">
        <f>IF(E5554="","",INDEX(Knutepunkter!$B:$B,E5554+1))</f>
        <v/>
      </c>
      <c r="J5554" t="str">
        <f>IF(E5554="","",INDEX(Knutepunkter!$C:$C,E5554+1))</f>
        <v/>
      </c>
      <c r="K5554" t="str">
        <f>IF(E5554="","",INDEX(Knutepunkter!$D:$D,E5554+1))</f>
        <v/>
      </c>
      <c r="L5554" t="str">
        <f t="shared" si="433"/>
        <v/>
      </c>
      <c r="M5554" t="str">
        <f t="shared" si="434"/>
        <v/>
      </c>
    </row>
    <row r="5555" spans="1:13" x14ac:dyDescent="0.3">
      <c r="A5555" t="str">
        <f>Segmenter!A5555</f>
        <v/>
      </c>
      <c r="B5555" t="str">
        <f>Segmenter!B5555</f>
        <v/>
      </c>
      <c r="C5555" t="str">
        <f t="shared" si="430"/>
        <v/>
      </c>
      <c r="D5555" t="str">
        <f t="shared" si="431"/>
        <v/>
      </c>
      <c r="E5555" t="str">
        <f t="shared" si="432"/>
        <v/>
      </c>
      <c r="F5555" t="str">
        <f>IF(D5555="","",INDEX(Knutepunkter!$B:$B,D5555+1))</f>
        <v/>
      </c>
      <c r="G5555" t="str">
        <f>IF(D5555="","",INDEX(Knutepunkter!$C:$C,D5555+1))</f>
        <v/>
      </c>
      <c r="H5555" t="str">
        <f>IF(D5555="","",INDEX(Knutepunkter!$D:$D,D5555+1))</f>
        <v/>
      </c>
      <c r="I5555" t="str">
        <f>IF(E5555="","",INDEX(Knutepunkter!$B:$B,E5555+1))</f>
        <v/>
      </c>
      <c r="J5555" t="str">
        <f>IF(E5555="","",INDEX(Knutepunkter!$C:$C,E5555+1))</f>
        <v/>
      </c>
      <c r="K5555" t="str">
        <f>IF(E5555="","",INDEX(Knutepunkter!$D:$D,E5555+1))</f>
        <v/>
      </c>
      <c r="L5555" t="str">
        <f t="shared" si="433"/>
        <v/>
      </c>
      <c r="M5555" t="str">
        <f t="shared" si="434"/>
        <v/>
      </c>
    </row>
    <row r="5556" spans="1:13" x14ac:dyDescent="0.3">
      <c r="A5556" t="str">
        <f>Segmenter!A5556</f>
        <v/>
      </c>
      <c r="B5556" t="str">
        <f>Segmenter!B5556</f>
        <v/>
      </c>
      <c r="C5556" t="str">
        <f t="shared" si="430"/>
        <v/>
      </c>
      <c r="D5556" t="str">
        <f t="shared" si="431"/>
        <v/>
      </c>
      <c r="E5556" t="str">
        <f t="shared" si="432"/>
        <v/>
      </c>
      <c r="F5556" t="str">
        <f>IF(D5556="","",INDEX(Knutepunkter!$B:$B,D5556+1))</f>
        <v/>
      </c>
      <c r="G5556" t="str">
        <f>IF(D5556="","",INDEX(Knutepunkter!$C:$C,D5556+1))</f>
        <v/>
      </c>
      <c r="H5556" t="str">
        <f>IF(D5556="","",INDEX(Knutepunkter!$D:$D,D5556+1))</f>
        <v/>
      </c>
      <c r="I5556" t="str">
        <f>IF(E5556="","",INDEX(Knutepunkter!$B:$B,E5556+1))</f>
        <v/>
      </c>
      <c r="J5556" t="str">
        <f>IF(E5556="","",INDEX(Knutepunkter!$C:$C,E5556+1))</f>
        <v/>
      </c>
      <c r="K5556" t="str">
        <f>IF(E5556="","",INDEX(Knutepunkter!$D:$D,E5556+1))</f>
        <v/>
      </c>
      <c r="L5556" t="str">
        <f t="shared" si="433"/>
        <v/>
      </c>
      <c r="M5556" t="str">
        <f t="shared" si="434"/>
        <v/>
      </c>
    </row>
    <row r="5557" spans="1:13" x14ac:dyDescent="0.3">
      <c r="A5557" t="str">
        <f>Segmenter!A5557</f>
        <v/>
      </c>
      <c r="B5557" t="str">
        <f>Segmenter!B5557</f>
        <v/>
      </c>
      <c r="C5557" t="str">
        <f t="shared" si="430"/>
        <v/>
      </c>
      <c r="D5557" t="str">
        <f t="shared" si="431"/>
        <v/>
      </c>
      <c r="E5557" t="str">
        <f t="shared" si="432"/>
        <v/>
      </c>
      <c r="F5557" t="str">
        <f>IF(D5557="","",INDEX(Knutepunkter!$B:$B,D5557+1))</f>
        <v/>
      </c>
      <c r="G5557" t="str">
        <f>IF(D5557="","",INDEX(Knutepunkter!$C:$C,D5557+1))</f>
        <v/>
      </c>
      <c r="H5557" t="str">
        <f>IF(D5557="","",INDEX(Knutepunkter!$D:$D,D5557+1))</f>
        <v/>
      </c>
      <c r="I5557" t="str">
        <f>IF(E5557="","",INDEX(Knutepunkter!$B:$B,E5557+1))</f>
        <v/>
      </c>
      <c r="J5557" t="str">
        <f>IF(E5557="","",INDEX(Knutepunkter!$C:$C,E5557+1))</f>
        <v/>
      </c>
      <c r="K5557" t="str">
        <f>IF(E5557="","",INDEX(Knutepunkter!$D:$D,E5557+1))</f>
        <v/>
      </c>
      <c r="L5557" t="str">
        <f t="shared" si="433"/>
        <v/>
      </c>
      <c r="M5557" t="str">
        <f t="shared" si="434"/>
        <v/>
      </c>
    </row>
    <row r="5558" spans="1:13" x14ac:dyDescent="0.3">
      <c r="A5558" t="str">
        <f>Segmenter!A5558</f>
        <v/>
      </c>
      <c r="B5558" t="str">
        <f>Segmenter!B5558</f>
        <v/>
      </c>
      <c r="C5558" t="str">
        <f t="shared" si="430"/>
        <v/>
      </c>
      <c r="D5558" t="str">
        <f t="shared" si="431"/>
        <v/>
      </c>
      <c r="E5558" t="str">
        <f t="shared" si="432"/>
        <v/>
      </c>
      <c r="F5558" t="str">
        <f>IF(D5558="","",INDEX(Knutepunkter!$B:$B,D5558+1))</f>
        <v/>
      </c>
      <c r="G5558" t="str">
        <f>IF(D5558="","",INDEX(Knutepunkter!$C:$C,D5558+1))</f>
        <v/>
      </c>
      <c r="H5558" t="str">
        <f>IF(D5558="","",INDEX(Knutepunkter!$D:$D,D5558+1))</f>
        <v/>
      </c>
      <c r="I5558" t="str">
        <f>IF(E5558="","",INDEX(Knutepunkter!$B:$B,E5558+1))</f>
        <v/>
      </c>
      <c r="J5558" t="str">
        <f>IF(E5558="","",INDEX(Knutepunkter!$C:$C,E5558+1))</f>
        <v/>
      </c>
      <c r="K5558" t="str">
        <f>IF(E5558="","",INDEX(Knutepunkter!$D:$D,E5558+1))</f>
        <v/>
      </c>
      <c r="L5558" t="str">
        <f t="shared" si="433"/>
        <v/>
      </c>
      <c r="M5558" t="str">
        <f t="shared" si="434"/>
        <v/>
      </c>
    </row>
    <row r="5559" spans="1:13" x14ac:dyDescent="0.3">
      <c r="A5559" t="str">
        <f>Segmenter!A5559</f>
        <v/>
      </c>
      <c r="B5559" t="str">
        <f>Segmenter!B5559</f>
        <v/>
      </c>
      <c r="C5559" t="str">
        <f t="shared" si="430"/>
        <v/>
      </c>
      <c r="D5559" t="str">
        <f t="shared" si="431"/>
        <v/>
      </c>
      <c r="E5559" t="str">
        <f t="shared" si="432"/>
        <v/>
      </c>
      <c r="F5559" t="str">
        <f>IF(D5559="","",INDEX(Knutepunkter!$B:$B,D5559+1))</f>
        <v/>
      </c>
      <c r="G5559" t="str">
        <f>IF(D5559="","",INDEX(Knutepunkter!$C:$C,D5559+1))</f>
        <v/>
      </c>
      <c r="H5559" t="str">
        <f>IF(D5559="","",INDEX(Knutepunkter!$D:$D,D5559+1))</f>
        <v/>
      </c>
      <c r="I5559" t="str">
        <f>IF(E5559="","",INDEX(Knutepunkter!$B:$B,E5559+1))</f>
        <v/>
      </c>
      <c r="J5559" t="str">
        <f>IF(E5559="","",INDEX(Knutepunkter!$C:$C,E5559+1))</f>
        <v/>
      </c>
      <c r="K5559" t="str">
        <f>IF(E5559="","",INDEX(Knutepunkter!$D:$D,E5559+1))</f>
        <v/>
      </c>
      <c r="L5559" t="str">
        <f t="shared" si="433"/>
        <v/>
      </c>
      <c r="M5559" t="str">
        <f t="shared" si="434"/>
        <v/>
      </c>
    </row>
    <row r="5560" spans="1:13" x14ac:dyDescent="0.3">
      <c r="A5560" t="str">
        <f>Segmenter!A5560</f>
        <v/>
      </c>
      <c r="B5560" t="str">
        <f>Segmenter!B5560</f>
        <v/>
      </c>
      <c r="C5560" t="str">
        <f t="shared" si="430"/>
        <v/>
      </c>
      <c r="D5560" t="str">
        <f t="shared" si="431"/>
        <v/>
      </c>
      <c r="E5560" t="str">
        <f t="shared" si="432"/>
        <v/>
      </c>
      <c r="F5560" t="str">
        <f>IF(D5560="","",INDEX(Knutepunkter!$B:$B,D5560+1))</f>
        <v/>
      </c>
      <c r="G5560" t="str">
        <f>IF(D5560="","",INDEX(Knutepunkter!$C:$C,D5560+1))</f>
        <v/>
      </c>
      <c r="H5560" t="str">
        <f>IF(D5560="","",INDEX(Knutepunkter!$D:$D,D5560+1))</f>
        <v/>
      </c>
      <c r="I5560" t="str">
        <f>IF(E5560="","",INDEX(Knutepunkter!$B:$B,E5560+1))</f>
        <v/>
      </c>
      <c r="J5560" t="str">
        <f>IF(E5560="","",INDEX(Knutepunkter!$C:$C,E5560+1))</f>
        <v/>
      </c>
      <c r="K5560" t="str">
        <f>IF(E5560="","",INDEX(Knutepunkter!$D:$D,E5560+1))</f>
        <v/>
      </c>
      <c r="L5560" t="str">
        <f t="shared" si="433"/>
        <v/>
      </c>
      <c r="M5560" t="str">
        <f t="shared" si="434"/>
        <v/>
      </c>
    </row>
    <row r="5561" spans="1:13" x14ac:dyDescent="0.3">
      <c r="A5561" t="str">
        <f>Segmenter!A5561</f>
        <v/>
      </c>
      <c r="B5561" t="str">
        <f>Segmenter!B5561</f>
        <v/>
      </c>
      <c r="C5561" t="str">
        <f t="shared" si="430"/>
        <v/>
      </c>
      <c r="D5561" t="str">
        <f t="shared" si="431"/>
        <v/>
      </c>
      <c r="E5561" t="str">
        <f t="shared" si="432"/>
        <v/>
      </c>
      <c r="F5561" t="str">
        <f>IF(D5561="","",INDEX(Knutepunkter!$B:$B,D5561+1))</f>
        <v/>
      </c>
      <c r="G5561" t="str">
        <f>IF(D5561="","",INDEX(Knutepunkter!$C:$C,D5561+1))</f>
        <v/>
      </c>
      <c r="H5561" t="str">
        <f>IF(D5561="","",INDEX(Knutepunkter!$D:$D,D5561+1))</f>
        <v/>
      </c>
      <c r="I5561" t="str">
        <f>IF(E5561="","",INDEX(Knutepunkter!$B:$B,E5561+1))</f>
        <v/>
      </c>
      <c r="J5561" t="str">
        <f>IF(E5561="","",INDEX(Knutepunkter!$C:$C,E5561+1))</f>
        <v/>
      </c>
      <c r="K5561" t="str">
        <f>IF(E5561="","",INDEX(Knutepunkter!$D:$D,E5561+1))</f>
        <v/>
      </c>
      <c r="L5561" t="str">
        <f t="shared" si="433"/>
        <v/>
      </c>
      <c r="M5561" t="str">
        <f t="shared" si="434"/>
        <v/>
      </c>
    </row>
    <row r="5562" spans="1:13" x14ac:dyDescent="0.3">
      <c r="A5562" t="str">
        <f>Segmenter!A5562</f>
        <v/>
      </c>
      <c r="B5562" t="str">
        <f>Segmenter!B5562</f>
        <v/>
      </c>
      <c r="C5562" t="str">
        <f t="shared" si="430"/>
        <v/>
      </c>
      <c r="D5562" t="str">
        <f t="shared" si="431"/>
        <v/>
      </c>
      <c r="E5562" t="str">
        <f t="shared" si="432"/>
        <v/>
      </c>
      <c r="F5562" t="str">
        <f>IF(D5562="","",INDEX(Knutepunkter!$B:$B,D5562+1))</f>
        <v/>
      </c>
      <c r="G5562" t="str">
        <f>IF(D5562="","",INDEX(Knutepunkter!$C:$C,D5562+1))</f>
        <v/>
      </c>
      <c r="H5562" t="str">
        <f>IF(D5562="","",INDEX(Knutepunkter!$D:$D,D5562+1))</f>
        <v/>
      </c>
      <c r="I5562" t="str">
        <f>IF(E5562="","",INDEX(Knutepunkter!$B:$B,E5562+1))</f>
        <v/>
      </c>
      <c r="J5562" t="str">
        <f>IF(E5562="","",INDEX(Knutepunkter!$C:$C,E5562+1))</f>
        <v/>
      </c>
      <c r="K5562" t="str">
        <f>IF(E5562="","",INDEX(Knutepunkter!$D:$D,E5562+1))</f>
        <v/>
      </c>
      <c r="L5562" t="str">
        <f t="shared" si="433"/>
        <v/>
      </c>
      <c r="M5562" t="str">
        <f t="shared" si="434"/>
        <v/>
      </c>
    </row>
    <row r="5563" spans="1:13" x14ac:dyDescent="0.3">
      <c r="A5563" t="str">
        <f>Segmenter!A5563</f>
        <v/>
      </c>
      <c r="B5563" t="str">
        <f>Segmenter!B5563</f>
        <v/>
      </c>
      <c r="C5563" t="str">
        <f t="shared" si="430"/>
        <v/>
      </c>
      <c r="D5563" t="str">
        <f t="shared" si="431"/>
        <v/>
      </c>
      <c r="E5563" t="str">
        <f t="shared" si="432"/>
        <v/>
      </c>
      <c r="F5563" t="str">
        <f>IF(D5563="","",INDEX(Knutepunkter!$B:$B,D5563+1))</f>
        <v/>
      </c>
      <c r="G5563" t="str">
        <f>IF(D5563="","",INDEX(Knutepunkter!$C:$C,D5563+1))</f>
        <v/>
      </c>
      <c r="H5563" t="str">
        <f>IF(D5563="","",INDEX(Knutepunkter!$D:$D,D5563+1))</f>
        <v/>
      </c>
      <c r="I5563" t="str">
        <f>IF(E5563="","",INDEX(Knutepunkter!$B:$B,E5563+1))</f>
        <v/>
      </c>
      <c r="J5563" t="str">
        <f>IF(E5563="","",INDEX(Knutepunkter!$C:$C,E5563+1))</f>
        <v/>
      </c>
      <c r="K5563" t="str">
        <f>IF(E5563="","",INDEX(Knutepunkter!$D:$D,E5563+1))</f>
        <v/>
      </c>
      <c r="L5563" t="str">
        <f t="shared" si="433"/>
        <v/>
      </c>
      <c r="M5563" t="str">
        <f t="shared" si="434"/>
        <v/>
      </c>
    </row>
    <row r="5564" spans="1:13" x14ac:dyDescent="0.3">
      <c r="A5564" t="str">
        <f>Segmenter!A5564</f>
        <v/>
      </c>
      <c r="B5564" t="str">
        <f>Segmenter!B5564</f>
        <v/>
      </c>
      <c r="C5564" t="str">
        <f t="shared" si="430"/>
        <v/>
      </c>
      <c r="D5564" t="str">
        <f t="shared" si="431"/>
        <v/>
      </c>
      <c r="E5564" t="str">
        <f t="shared" si="432"/>
        <v/>
      </c>
      <c r="F5564" t="str">
        <f>IF(D5564="","",INDEX(Knutepunkter!$B:$B,D5564+1))</f>
        <v/>
      </c>
      <c r="G5564" t="str">
        <f>IF(D5564="","",INDEX(Knutepunkter!$C:$C,D5564+1))</f>
        <v/>
      </c>
      <c r="H5564" t="str">
        <f>IF(D5564="","",INDEX(Knutepunkter!$D:$D,D5564+1))</f>
        <v/>
      </c>
      <c r="I5564" t="str">
        <f>IF(E5564="","",INDEX(Knutepunkter!$B:$B,E5564+1))</f>
        <v/>
      </c>
      <c r="J5564" t="str">
        <f>IF(E5564="","",INDEX(Knutepunkter!$C:$C,E5564+1))</f>
        <v/>
      </c>
      <c r="K5564" t="str">
        <f>IF(E5564="","",INDEX(Knutepunkter!$D:$D,E5564+1))</f>
        <v/>
      </c>
      <c r="L5564" t="str">
        <f t="shared" si="433"/>
        <v/>
      </c>
      <c r="M5564" t="str">
        <f t="shared" si="434"/>
        <v/>
      </c>
    </row>
    <row r="5565" spans="1:13" x14ac:dyDescent="0.3">
      <c r="A5565" t="str">
        <f>Segmenter!A5565</f>
        <v/>
      </c>
      <c r="B5565" t="str">
        <f>Segmenter!B5565</f>
        <v/>
      </c>
      <c r="C5565" t="str">
        <f t="shared" si="430"/>
        <v/>
      </c>
      <c r="D5565" t="str">
        <f t="shared" si="431"/>
        <v/>
      </c>
      <c r="E5565" t="str">
        <f t="shared" si="432"/>
        <v/>
      </c>
      <c r="F5565" t="str">
        <f>IF(D5565="","",INDEX(Knutepunkter!$B:$B,D5565+1))</f>
        <v/>
      </c>
      <c r="G5565" t="str">
        <f>IF(D5565="","",INDEX(Knutepunkter!$C:$C,D5565+1))</f>
        <v/>
      </c>
      <c r="H5565" t="str">
        <f>IF(D5565="","",INDEX(Knutepunkter!$D:$D,D5565+1))</f>
        <v/>
      </c>
      <c r="I5565" t="str">
        <f>IF(E5565="","",INDEX(Knutepunkter!$B:$B,E5565+1))</f>
        <v/>
      </c>
      <c r="J5565" t="str">
        <f>IF(E5565="","",INDEX(Knutepunkter!$C:$C,E5565+1))</f>
        <v/>
      </c>
      <c r="K5565" t="str">
        <f>IF(E5565="","",INDEX(Knutepunkter!$D:$D,E5565+1))</f>
        <v/>
      </c>
      <c r="L5565" t="str">
        <f t="shared" si="433"/>
        <v/>
      </c>
      <c r="M5565" t="str">
        <f t="shared" si="434"/>
        <v/>
      </c>
    </row>
    <row r="5566" spans="1:13" x14ac:dyDescent="0.3">
      <c r="A5566" t="str">
        <f>Segmenter!A5566</f>
        <v/>
      </c>
      <c r="B5566" t="str">
        <f>Segmenter!B5566</f>
        <v/>
      </c>
      <c r="C5566" t="str">
        <f t="shared" si="430"/>
        <v/>
      </c>
      <c r="D5566" t="str">
        <f t="shared" si="431"/>
        <v/>
      </c>
      <c r="E5566" t="str">
        <f t="shared" si="432"/>
        <v/>
      </c>
      <c r="F5566" t="str">
        <f>IF(D5566="","",INDEX(Knutepunkter!$B:$B,D5566+1))</f>
        <v/>
      </c>
      <c r="G5566" t="str">
        <f>IF(D5566="","",INDEX(Knutepunkter!$C:$C,D5566+1))</f>
        <v/>
      </c>
      <c r="H5566" t="str">
        <f>IF(D5566="","",INDEX(Knutepunkter!$D:$D,D5566+1))</f>
        <v/>
      </c>
      <c r="I5566" t="str">
        <f>IF(E5566="","",INDEX(Knutepunkter!$B:$B,E5566+1))</f>
        <v/>
      </c>
      <c r="J5566" t="str">
        <f>IF(E5566="","",INDEX(Knutepunkter!$C:$C,E5566+1))</f>
        <v/>
      </c>
      <c r="K5566" t="str">
        <f>IF(E5566="","",INDEX(Knutepunkter!$D:$D,E5566+1))</f>
        <v/>
      </c>
      <c r="L5566" t="str">
        <f t="shared" si="433"/>
        <v/>
      </c>
      <c r="M5566" t="str">
        <f t="shared" si="434"/>
        <v/>
      </c>
    </row>
    <row r="5567" spans="1:13" x14ac:dyDescent="0.3">
      <c r="A5567" t="str">
        <f>Segmenter!A5567</f>
        <v/>
      </c>
      <c r="B5567" t="str">
        <f>Segmenter!B5567</f>
        <v/>
      </c>
      <c r="C5567" t="str">
        <f t="shared" si="430"/>
        <v/>
      </c>
      <c r="D5567" t="str">
        <f t="shared" si="431"/>
        <v/>
      </c>
      <c r="E5567" t="str">
        <f t="shared" si="432"/>
        <v/>
      </c>
      <c r="F5567" t="str">
        <f>IF(D5567="","",INDEX(Knutepunkter!$B:$B,D5567+1))</f>
        <v/>
      </c>
      <c r="G5567" t="str">
        <f>IF(D5567="","",INDEX(Knutepunkter!$C:$C,D5567+1))</f>
        <v/>
      </c>
      <c r="H5567" t="str">
        <f>IF(D5567="","",INDEX(Knutepunkter!$D:$D,D5567+1))</f>
        <v/>
      </c>
      <c r="I5567" t="str">
        <f>IF(E5567="","",INDEX(Knutepunkter!$B:$B,E5567+1))</f>
        <v/>
      </c>
      <c r="J5567" t="str">
        <f>IF(E5567="","",INDEX(Knutepunkter!$C:$C,E5567+1))</f>
        <v/>
      </c>
      <c r="K5567" t="str">
        <f>IF(E5567="","",INDEX(Knutepunkter!$D:$D,E5567+1))</f>
        <v/>
      </c>
      <c r="L5567" t="str">
        <f t="shared" si="433"/>
        <v/>
      </c>
      <c r="M5567" t="str">
        <f t="shared" si="434"/>
        <v/>
      </c>
    </row>
    <row r="5568" spans="1:13" x14ac:dyDescent="0.3">
      <c r="A5568" t="str">
        <f>Segmenter!A5568</f>
        <v/>
      </c>
      <c r="B5568" t="str">
        <f>Segmenter!B5568</f>
        <v/>
      </c>
      <c r="C5568" t="str">
        <f t="shared" si="430"/>
        <v/>
      </c>
      <c r="D5568" t="str">
        <f t="shared" si="431"/>
        <v/>
      </c>
      <c r="E5568" t="str">
        <f t="shared" si="432"/>
        <v/>
      </c>
      <c r="F5568" t="str">
        <f>IF(D5568="","",INDEX(Knutepunkter!$B:$B,D5568+1))</f>
        <v/>
      </c>
      <c r="G5568" t="str">
        <f>IF(D5568="","",INDEX(Knutepunkter!$C:$C,D5568+1))</f>
        <v/>
      </c>
      <c r="H5568" t="str">
        <f>IF(D5568="","",INDEX(Knutepunkter!$D:$D,D5568+1))</f>
        <v/>
      </c>
      <c r="I5568" t="str">
        <f>IF(E5568="","",INDEX(Knutepunkter!$B:$B,E5568+1))</f>
        <v/>
      </c>
      <c r="J5568" t="str">
        <f>IF(E5568="","",INDEX(Knutepunkter!$C:$C,E5568+1))</f>
        <v/>
      </c>
      <c r="K5568" t="str">
        <f>IF(E5568="","",INDEX(Knutepunkter!$D:$D,E5568+1))</f>
        <v/>
      </c>
      <c r="L5568" t="str">
        <f t="shared" si="433"/>
        <v/>
      </c>
      <c r="M5568" t="str">
        <f t="shared" si="434"/>
        <v/>
      </c>
    </row>
    <row r="5569" spans="1:13" x14ac:dyDescent="0.3">
      <c r="A5569" t="str">
        <f>Segmenter!A5569</f>
        <v/>
      </c>
      <c r="B5569" t="str">
        <f>Segmenter!B5569</f>
        <v/>
      </c>
      <c r="C5569" t="str">
        <f t="shared" si="430"/>
        <v/>
      </c>
      <c r="D5569" t="str">
        <f t="shared" si="431"/>
        <v/>
      </c>
      <c r="E5569" t="str">
        <f t="shared" si="432"/>
        <v/>
      </c>
      <c r="F5569" t="str">
        <f>IF(D5569="","",INDEX(Knutepunkter!$B:$B,D5569+1))</f>
        <v/>
      </c>
      <c r="G5569" t="str">
        <f>IF(D5569="","",INDEX(Knutepunkter!$C:$C,D5569+1))</f>
        <v/>
      </c>
      <c r="H5569" t="str">
        <f>IF(D5569="","",INDEX(Knutepunkter!$D:$D,D5569+1))</f>
        <v/>
      </c>
      <c r="I5569" t="str">
        <f>IF(E5569="","",INDEX(Knutepunkter!$B:$B,E5569+1))</f>
        <v/>
      </c>
      <c r="J5569" t="str">
        <f>IF(E5569="","",INDEX(Knutepunkter!$C:$C,E5569+1))</f>
        <v/>
      </c>
      <c r="K5569" t="str">
        <f>IF(E5569="","",INDEX(Knutepunkter!$D:$D,E5569+1))</f>
        <v/>
      </c>
      <c r="L5569" t="str">
        <f t="shared" si="433"/>
        <v/>
      </c>
      <c r="M5569" t="str">
        <f t="shared" si="434"/>
        <v/>
      </c>
    </row>
    <row r="5570" spans="1:13" x14ac:dyDescent="0.3">
      <c r="A5570" t="str">
        <f>Segmenter!A5570</f>
        <v/>
      </c>
      <c r="B5570" t="str">
        <f>Segmenter!B5570</f>
        <v/>
      </c>
      <c r="C5570" t="str">
        <f t="shared" ref="C5570:C5633" si="435">IF(B5570="","",IF(AND(F5570=I5570,G5570=J5570,H5570&lt;&gt;K5570),"Søyle","Bjelke"))</f>
        <v/>
      </c>
      <c r="D5570" t="str">
        <f t="shared" ref="D5570:D5633" si="436">IF(B5570="","",VALUE(LEFT(B5570,FIND(" -&gt; ",B5570)-1)))</f>
        <v/>
      </c>
      <c r="E5570" t="str">
        <f t="shared" ref="E5570:E5633" si="437">IF(B5570="","",VALUE(MID(B5570,FIND(" -&gt; ",B5570)+4,99)))</f>
        <v/>
      </c>
      <c r="F5570" t="str">
        <f>IF(D5570="","",INDEX(Knutepunkter!$B:$B,D5570+1))</f>
        <v/>
      </c>
      <c r="G5570" t="str">
        <f>IF(D5570="","",INDEX(Knutepunkter!$C:$C,D5570+1))</f>
        <v/>
      </c>
      <c r="H5570" t="str">
        <f>IF(D5570="","",INDEX(Knutepunkter!$D:$D,D5570+1))</f>
        <v/>
      </c>
      <c r="I5570" t="str">
        <f>IF(E5570="","",INDEX(Knutepunkter!$B:$B,E5570+1))</f>
        <v/>
      </c>
      <c r="J5570" t="str">
        <f>IF(E5570="","",INDEX(Knutepunkter!$C:$C,E5570+1))</f>
        <v/>
      </c>
      <c r="K5570" t="str">
        <f>IF(E5570="","",INDEX(Knutepunkter!$D:$D,E5570+1))</f>
        <v/>
      </c>
      <c r="L5570" t="str">
        <f t="shared" ref="L5570:L5633" si="438">IF(B5570="","",SQRT((I5570-F5570)^2+(J5570-G5570)^2+(K5570-H5570)^2))</f>
        <v/>
      </c>
      <c r="M5570" t="str">
        <f t="shared" ref="M5570:M5633" si="439">IF(L5570="","",L5570/1000)</f>
        <v/>
      </c>
    </row>
    <row r="5571" spans="1:13" x14ac:dyDescent="0.3">
      <c r="A5571" t="str">
        <f>Segmenter!A5571</f>
        <v/>
      </c>
      <c r="B5571" t="str">
        <f>Segmenter!B5571</f>
        <v/>
      </c>
      <c r="C5571" t="str">
        <f t="shared" si="435"/>
        <v/>
      </c>
      <c r="D5571" t="str">
        <f t="shared" si="436"/>
        <v/>
      </c>
      <c r="E5571" t="str">
        <f t="shared" si="437"/>
        <v/>
      </c>
      <c r="F5571" t="str">
        <f>IF(D5571="","",INDEX(Knutepunkter!$B:$B,D5571+1))</f>
        <v/>
      </c>
      <c r="G5571" t="str">
        <f>IF(D5571="","",INDEX(Knutepunkter!$C:$C,D5571+1))</f>
        <v/>
      </c>
      <c r="H5571" t="str">
        <f>IF(D5571="","",INDEX(Knutepunkter!$D:$D,D5571+1))</f>
        <v/>
      </c>
      <c r="I5571" t="str">
        <f>IF(E5571="","",INDEX(Knutepunkter!$B:$B,E5571+1))</f>
        <v/>
      </c>
      <c r="J5571" t="str">
        <f>IF(E5571="","",INDEX(Knutepunkter!$C:$C,E5571+1))</f>
        <v/>
      </c>
      <c r="K5571" t="str">
        <f>IF(E5571="","",INDEX(Knutepunkter!$D:$D,E5571+1))</f>
        <v/>
      </c>
      <c r="L5571" t="str">
        <f t="shared" si="438"/>
        <v/>
      </c>
      <c r="M5571" t="str">
        <f t="shared" si="439"/>
        <v/>
      </c>
    </row>
    <row r="5572" spans="1:13" x14ac:dyDescent="0.3">
      <c r="A5572" t="str">
        <f>Segmenter!A5572</f>
        <v/>
      </c>
      <c r="B5572" t="str">
        <f>Segmenter!B5572</f>
        <v/>
      </c>
      <c r="C5572" t="str">
        <f t="shared" si="435"/>
        <v/>
      </c>
      <c r="D5572" t="str">
        <f t="shared" si="436"/>
        <v/>
      </c>
      <c r="E5572" t="str">
        <f t="shared" si="437"/>
        <v/>
      </c>
      <c r="F5572" t="str">
        <f>IF(D5572="","",INDEX(Knutepunkter!$B:$B,D5572+1))</f>
        <v/>
      </c>
      <c r="G5572" t="str">
        <f>IF(D5572="","",INDEX(Knutepunkter!$C:$C,D5572+1))</f>
        <v/>
      </c>
      <c r="H5572" t="str">
        <f>IF(D5572="","",INDEX(Knutepunkter!$D:$D,D5572+1))</f>
        <v/>
      </c>
      <c r="I5572" t="str">
        <f>IF(E5572="","",INDEX(Knutepunkter!$B:$B,E5572+1))</f>
        <v/>
      </c>
      <c r="J5572" t="str">
        <f>IF(E5572="","",INDEX(Knutepunkter!$C:$C,E5572+1))</f>
        <v/>
      </c>
      <c r="K5572" t="str">
        <f>IF(E5572="","",INDEX(Knutepunkter!$D:$D,E5572+1))</f>
        <v/>
      </c>
      <c r="L5572" t="str">
        <f t="shared" si="438"/>
        <v/>
      </c>
      <c r="M5572" t="str">
        <f t="shared" si="439"/>
        <v/>
      </c>
    </row>
    <row r="5573" spans="1:13" x14ac:dyDescent="0.3">
      <c r="A5573" t="str">
        <f>Segmenter!A5573</f>
        <v/>
      </c>
      <c r="B5573" t="str">
        <f>Segmenter!B5573</f>
        <v/>
      </c>
      <c r="C5573" t="str">
        <f t="shared" si="435"/>
        <v/>
      </c>
      <c r="D5573" t="str">
        <f t="shared" si="436"/>
        <v/>
      </c>
      <c r="E5573" t="str">
        <f t="shared" si="437"/>
        <v/>
      </c>
      <c r="F5573" t="str">
        <f>IF(D5573="","",INDEX(Knutepunkter!$B:$B,D5573+1))</f>
        <v/>
      </c>
      <c r="G5573" t="str">
        <f>IF(D5573="","",INDEX(Knutepunkter!$C:$C,D5573+1))</f>
        <v/>
      </c>
      <c r="H5573" t="str">
        <f>IF(D5573="","",INDEX(Knutepunkter!$D:$D,D5573+1))</f>
        <v/>
      </c>
      <c r="I5573" t="str">
        <f>IF(E5573="","",INDEX(Knutepunkter!$B:$B,E5573+1))</f>
        <v/>
      </c>
      <c r="J5573" t="str">
        <f>IF(E5573="","",INDEX(Knutepunkter!$C:$C,E5573+1))</f>
        <v/>
      </c>
      <c r="K5573" t="str">
        <f>IF(E5573="","",INDEX(Knutepunkter!$D:$D,E5573+1))</f>
        <v/>
      </c>
      <c r="L5573" t="str">
        <f t="shared" si="438"/>
        <v/>
      </c>
      <c r="M5573" t="str">
        <f t="shared" si="439"/>
        <v/>
      </c>
    </row>
    <row r="5574" spans="1:13" x14ac:dyDescent="0.3">
      <c r="A5574" t="str">
        <f>Segmenter!A5574</f>
        <v/>
      </c>
      <c r="B5574" t="str">
        <f>Segmenter!B5574</f>
        <v/>
      </c>
      <c r="C5574" t="str">
        <f t="shared" si="435"/>
        <v/>
      </c>
      <c r="D5574" t="str">
        <f t="shared" si="436"/>
        <v/>
      </c>
      <c r="E5574" t="str">
        <f t="shared" si="437"/>
        <v/>
      </c>
      <c r="F5574" t="str">
        <f>IF(D5574="","",INDEX(Knutepunkter!$B:$B,D5574+1))</f>
        <v/>
      </c>
      <c r="G5574" t="str">
        <f>IF(D5574="","",INDEX(Knutepunkter!$C:$C,D5574+1))</f>
        <v/>
      </c>
      <c r="H5574" t="str">
        <f>IF(D5574="","",INDEX(Knutepunkter!$D:$D,D5574+1))</f>
        <v/>
      </c>
      <c r="I5574" t="str">
        <f>IF(E5574="","",INDEX(Knutepunkter!$B:$B,E5574+1))</f>
        <v/>
      </c>
      <c r="J5574" t="str">
        <f>IF(E5574="","",INDEX(Knutepunkter!$C:$C,E5574+1))</f>
        <v/>
      </c>
      <c r="K5574" t="str">
        <f>IF(E5574="","",INDEX(Knutepunkter!$D:$D,E5574+1))</f>
        <v/>
      </c>
      <c r="L5574" t="str">
        <f t="shared" si="438"/>
        <v/>
      </c>
      <c r="M5574" t="str">
        <f t="shared" si="439"/>
        <v/>
      </c>
    </row>
    <row r="5575" spans="1:13" x14ac:dyDescent="0.3">
      <c r="A5575" t="str">
        <f>Segmenter!A5575</f>
        <v/>
      </c>
      <c r="B5575" t="str">
        <f>Segmenter!B5575</f>
        <v/>
      </c>
      <c r="C5575" t="str">
        <f t="shared" si="435"/>
        <v/>
      </c>
      <c r="D5575" t="str">
        <f t="shared" si="436"/>
        <v/>
      </c>
      <c r="E5575" t="str">
        <f t="shared" si="437"/>
        <v/>
      </c>
      <c r="F5575" t="str">
        <f>IF(D5575="","",INDEX(Knutepunkter!$B:$B,D5575+1))</f>
        <v/>
      </c>
      <c r="G5575" t="str">
        <f>IF(D5575="","",INDEX(Knutepunkter!$C:$C,D5575+1))</f>
        <v/>
      </c>
      <c r="H5575" t="str">
        <f>IF(D5575="","",INDEX(Knutepunkter!$D:$D,D5575+1))</f>
        <v/>
      </c>
      <c r="I5575" t="str">
        <f>IF(E5575="","",INDEX(Knutepunkter!$B:$B,E5575+1))</f>
        <v/>
      </c>
      <c r="J5575" t="str">
        <f>IF(E5575="","",INDEX(Knutepunkter!$C:$C,E5575+1))</f>
        <v/>
      </c>
      <c r="K5575" t="str">
        <f>IF(E5575="","",INDEX(Knutepunkter!$D:$D,E5575+1))</f>
        <v/>
      </c>
      <c r="L5575" t="str">
        <f t="shared" si="438"/>
        <v/>
      </c>
      <c r="M5575" t="str">
        <f t="shared" si="439"/>
        <v/>
      </c>
    </row>
    <row r="5576" spans="1:13" x14ac:dyDescent="0.3">
      <c r="A5576" t="str">
        <f>Segmenter!A5576</f>
        <v/>
      </c>
      <c r="B5576" t="str">
        <f>Segmenter!B5576</f>
        <v/>
      </c>
      <c r="C5576" t="str">
        <f t="shared" si="435"/>
        <v/>
      </c>
      <c r="D5576" t="str">
        <f t="shared" si="436"/>
        <v/>
      </c>
      <c r="E5576" t="str">
        <f t="shared" si="437"/>
        <v/>
      </c>
      <c r="F5576" t="str">
        <f>IF(D5576="","",INDEX(Knutepunkter!$B:$B,D5576+1))</f>
        <v/>
      </c>
      <c r="G5576" t="str">
        <f>IF(D5576="","",INDEX(Knutepunkter!$C:$C,D5576+1))</f>
        <v/>
      </c>
      <c r="H5576" t="str">
        <f>IF(D5576="","",INDEX(Knutepunkter!$D:$D,D5576+1))</f>
        <v/>
      </c>
      <c r="I5576" t="str">
        <f>IF(E5576="","",INDEX(Knutepunkter!$B:$B,E5576+1))</f>
        <v/>
      </c>
      <c r="J5576" t="str">
        <f>IF(E5576="","",INDEX(Knutepunkter!$C:$C,E5576+1))</f>
        <v/>
      </c>
      <c r="K5576" t="str">
        <f>IF(E5576="","",INDEX(Knutepunkter!$D:$D,E5576+1))</f>
        <v/>
      </c>
      <c r="L5576" t="str">
        <f t="shared" si="438"/>
        <v/>
      </c>
      <c r="M5576" t="str">
        <f t="shared" si="439"/>
        <v/>
      </c>
    </row>
    <row r="5577" spans="1:13" x14ac:dyDescent="0.3">
      <c r="A5577" t="str">
        <f>Segmenter!A5577</f>
        <v/>
      </c>
      <c r="B5577" t="str">
        <f>Segmenter!B5577</f>
        <v/>
      </c>
      <c r="C5577" t="str">
        <f t="shared" si="435"/>
        <v/>
      </c>
      <c r="D5577" t="str">
        <f t="shared" si="436"/>
        <v/>
      </c>
      <c r="E5577" t="str">
        <f t="shared" si="437"/>
        <v/>
      </c>
      <c r="F5577" t="str">
        <f>IF(D5577="","",INDEX(Knutepunkter!$B:$B,D5577+1))</f>
        <v/>
      </c>
      <c r="G5577" t="str">
        <f>IF(D5577="","",INDEX(Knutepunkter!$C:$C,D5577+1))</f>
        <v/>
      </c>
      <c r="H5577" t="str">
        <f>IF(D5577="","",INDEX(Knutepunkter!$D:$D,D5577+1))</f>
        <v/>
      </c>
      <c r="I5577" t="str">
        <f>IF(E5577="","",INDEX(Knutepunkter!$B:$B,E5577+1))</f>
        <v/>
      </c>
      <c r="J5577" t="str">
        <f>IF(E5577="","",INDEX(Knutepunkter!$C:$C,E5577+1))</f>
        <v/>
      </c>
      <c r="K5577" t="str">
        <f>IF(E5577="","",INDEX(Knutepunkter!$D:$D,E5577+1))</f>
        <v/>
      </c>
      <c r="L5577" t="str">
        <f t="shared" si="438"/>
        <v/>
      </c>
      <c r="M5577" t="str">
        <f t="shared" si="439"/>
        <v/>
      </c>
    </row>
    <row r="5578" spans="1:13" x14ac:dyDescent="0.3">
      <c r="A5578" t="str">
        <f>Segmenter!A5578</f>
        <v/>
      </c>
      <c r="B5578" t="str">
        <f>Segmenter!B5578</f>
        <v/>
      </c>
      <c r="C5578" t="str">
        <f t="shared" si="435"/>
        <v/>
      </c>
      <c r="D5578" t="str">
        <f t="shared" si="436"/>
        <v/>
      </c>
      <c r="E5578" t="str">
        <f t="shared" si="437"/>
        <v/>
      </c>
      <c r="F5578" t="str">
        <f>IF(D5578="","",INDEX(Knutepunkter!$B:$B,D5578+1))</f>
        <v/>
      </c>
      <c r="G5578" t="str">
        <f>IF(D5578="","",INDEX(Knutepunkter!$C:$C,D5578+1))</f>
        <v/>
      </c>
      <c r="H5578" t="str">
        <f>IF(D5578="","",INDEX(Knutepunkter!$D:$D,D5578+1))</f>
        <v/>
      </c>
      <c r="I5578" t="str">
        <f>IF(E5578="","",INDEX(Knutepunkter!$B:$B,E5578+1))</f>
        <v/>
      </c>
      <c r="J5578" t="str">
        <f>IF(E5578="","",INDEX(Knutepunkter!$C:$C,E5578+1))</f>
        <v/>
      </c>
      <c r="K5578" t="str">
        <f>IF(E5578="","",INDEX(Knutepunkter!$D:$D,E5578+1))</f>
        <v/>
      </c>
      <c r="L5578" t="str">
        <f t="shared" si="438"/>
        <v/>
      </c>
      <c r="M5578" t="str">
        <f t="shared" si="439"/>
        <v/>
      </c>
    </row>
    <row r="5579" spans="1:13" x14ac:dyDescent="0.3">
      <c r="A5579" t="str">
        <f>Segmenter!A5579</f>
        <v/>
      </c>
      <c r="B5579" t="str">
        <f>Segmenter!B5579</f>
        <v/>
      </c>
      <c r="C5579" t="str">
        <f t="shared" si="435"/>
        <v/>
      </c>
      <c r="D5579" t="str">
        <f t="shared" si="436"/>
        <v/>
      </c>
      <c r="E5579" t="str">
        <f t="shared" si="437"/>
        <v/>
      </c>
      <c r="F5579" t="str">
        <f>IF(D5579="","",INDEX(Knutepunkter!$B:$B,D5579+1))</f>
        <v/>
      </c>
      <c r="G5579" t="str">
        <f>IF(D5579="","",INDEX(Knutepunkter!$C:$C,D5579+1))</f>
        <v/>
      </c>
      <c r="H5579" t="str">
        <f>IF(D5579="","",INDEX(Knutepunkter!$D:$D,D5579+1))</f>
        <v/>
      </c>
      <c r="I5579" t="str">
        <f>IF(E5579="","",INDEX(Knutepunkter!$B:$B,E5579+1))</f>
        <v/>
      </c>
      <c r="J5579" t="str">
        <f>IF(E5579="","",INDEX(Knutepunkter!$C:$C,E5579+1))</f>
        <v/>
      </c>
      <c r="K5579" t="str">
        <f>IF(E5579="","",INDEX(Knutepunkter!$D:$D,E5579+1))</f>
        <v/>
      </c>
      <c r="L5579" t="str">
        <f t="shared" si="438"/>
        <v/>
      </c>
      <c r="M5579" t="str">
        <f t="shared" si="439"/>
        <v/>
      </c>
    </row>
    <row r="5580" spans="1:13" x14ac:dyDescent="0.3">
      <c r="A5580" t="str">
        <f>Segmenter!A5580</f>
        <v/>
      </c>
      <c r="B5580" t="str">
        <f>Segmenter!B5580</f>
        <v/>
      </c>
      <c r="C5580" t="str">
        <f t="shared" si="435"/>
        <v/>
      </c>
      <c r="D5580" t="str">
        <f t="shared" si="436"/>
        <v/>
      </c>
      <c r="E5580" t="str">
        <f t="shared" si="437"/>
        <v/>
      </c>
      <c r="F5580" t="str">
        <f>IF(D5580="","",INDEX(Knutepunkter!$B:$B,D5580+1))</f>
        <v/>
      </c>
      <c r="G5580" t="str">
        <f>IF(D5580="","",INDEX(Knutepunkter!$C:$C,D5580+1))</f>
        <v/>
      </c>
      <c r="H5580" t="str">
        <f>IF(D5580="","",INDEX(Knutepunkter!$D:$D,D5580+1))</f>
        <v/>
      </c>
      <c r="I5580" t="str">
        <f>IF(E5580="","",INDEX(Knutepunkter!$B:$B,E5580+1))</f>
        <v/>
      </c>
      <c r="J5580" t="str">
        <f>IF(E5580="","",INDEX(Knutepunkter!$C:$C,E5580+1))</f>
        <v/>
      </c>
      <c r="K5580" t="str">
        <f>IF(E5580="","",INDEX(Knutepunkter!$D:$D,E5580+1))</f>
        <v/>
      </c>
      <c r="L5580" t="str">
        <f t="shared" si="438"/>
        <v/>
      </c>
      <c r="M5580" t="str">
        <f t="shared" si="439"/>
        <v/>
      </c>
    </row>
    <row r="5581" spans="1:13" x14ac:dyDescent="0.3">
      <c r="A5581" t="str">
        <f>Segmenter!A5581</f>
        <v/>
      </c>
      <c r="B5581" t="str">
        <f>Segmenter!B5581</f>
        <v/>
      </c>
      <c r="C5581" t="str">
        <f t="shared" si="435"/>
        <v/>
      </c>
      <c r="D5581" t="str">
        <f t="shared" si="436"/>
        <v/>
      </c>
      <c r="E5581" t="str">
        <f t="shared" si="437"/>
        <v/>
      </c>
      <c r="F5581" t="str">
        <f>IF(D5581="","",INDEX(Knutepunkter!$B:$B,D5581+1))</f>
        <v/>
      </c>
      <c r="G5581" t="str">
        <f>IF(D5581="","",INDEX(Knutepunkter!$C:$C,D5581+1))</f>
        <v/>
      </c>
      <c r="H5581" t="str">
        <f>IF(D5581="","",INDEX(Knutepunkter!$D:$D,D5581+1))</f>
        <v/>
      </c>
      <c r="I5581" t="str">
        <f>IF(E5581="","",INDEX(Knutepunkter!$B:$B,E5581+1))</f>
        <v/>
      </c>
      <c r="J5581" t="str">
        <f>IF(E5581="","",INDEX(Knutepunkter!$C:$C,E5581+1))</f>
        <v/>
      </c>
      <c r="K5581" t="str">
        <f>IF(E5581="","",INDEX(Knutepunkter!$D:$D,E5581+1))</f>
        <v/>
      </c>
      <c r="L5581" t="str">
        <f t="shared" si="438"/>
        <v/>
      </c>
      <c r="M5581" t="str">
        <f t="shared" si="439"/>
        <v/>
      </c>
    </row>
    <row r="5582" spans="1:13" x14ac:dyDescent="0.3">
      <c r="A5582" t="str">
        <f>Segmenter!A5582</f>
        <v/>
      </c>
      <c r="B5582" t="str">
        <f>Segmenter!B5582</f>
        <v/>
      </c>
      <c r="C5582" t="str">
        <f t="shared" si="435"/>
        <v/>
      </c>
      <c r="D5582" t="str">
        <f t="shared" si="436"/>
        <v/>
      </c>
      <c r="E5582" t="str">
        <f t="shared" si="437"/>
        <v/>
      </c>
      <c r="F5582" t="str">
        <f>IF(D5582="","",INDEX(Knutepunkter!$B:$B,D5582+1))</f>
        <v/>
      </c>
      <c r="G5582" t="str">
        <f>IF(D5582="","",INDEX(Knutepunkter!$C:$C,D5582+1))</f>
        <v/>
      </c>
      <c r="H5582" t="str">
        <f>IF(D5582="","",INDEX(Knutepunkter!$D:$D,D5582+1))</f>
        <v/>
      </c>
      <c r="I5582" t="str">
        <f>IF(E5582="","",INDEX(Knutepunkter!$B:$B,E5582+1))</f>
        <v/>
      </c>
      <c r="J5582" t="str">
        <f>IF(E5582="","",INDEX(Knutepunkter!$C:$C,E5582+1))</f>
        <v/>
      </c>
      <c r="K5582" t="str">
        <f>IF(E5582="","",INDEX(Knutepunkter!$D:$D,E5582+1))</f>
        <v/>
      </c>
      <c r="L5582" t="str">
        <f t="shared" si="438"/>
        <v/>
      </c>
      <c r="M5582" t="str">
        <f t="shared" si="439"/>
        <v/>
      </c>
    </row>
    <row r="5583" spans="1:13" x14ac:dyDescent="0.3">
      <c r="A5583" t="str">
        <f>Segmenter!A5583</f>
        <v/>
      </c>
      <c r="B5583" t="str">
        <f>Segmenter!B5583</f>
        <v/>
      </c>
      <c r="C5583" t="str">
        <f t="shared" si="435"/>
        <v/>
      </c>
      <c r="D5583" t="str">
        <f t="shared" si="436"/>
        <v/>
      </c>
      <c r="E5583" t="str">
        <f t="shared" si="437"/>
        <v/>
      </c>
      <c r="F5583" t="str">
        <f>IF(D5583="","",INDEX(Knutepunkter!$B:$B,D5583+1))</f>
        <v/>
      </c>
      <c r="G5583" t="str">
        <f>IF(D5583="","",INDEX(Knutepunkter!$C:$C,D5583+1))</f>
        <v/>
      </c>
      <c r="H5583" t="str">
        <f>IF(D5583="","",INDEX(Knutepunkter!$D:$D,D5583+1))</f>
        <v/>
      </c>
      <c r="I5583" t="str">
        <f>IF(E5583="","",INDEX(Knutepunkter!$B:$B,E5583+1))</f>
        <v/>
      </c>
      <c r="J5583" t="str">
        <f>IF(E5583="","",INDEX(Knutepunkter!$C:$C,E5583+1))</f>
        <v/>
      </c>
      <c r="K5583" t="str">
        <f>IF(E5583="","",INDEX(Knutepunkter!$D:$D,E5583+1))</f>
        <v/>
      </c>
      <c r="L5583" t="str">
        <f t="shared" si="438"/>
        <v/>
      </c>
      <c r="M5583" t="str">
        <f t="shared" si="439"/>
        <v/>
      </c>
    </row>
    <row r="5584" spans="1:13" x14ac:dyDescent="0.3">
      <c r="A5584" t="str">
        <f>Segmenter!A5584</f>
        <v/>
      </c>
      <c r="B5584" t="str">
        <f>Segmenter!B5584</f>
        <v/>
      </c>
      <c r="C5584" t="str">
        <f t="shared" si="435"/>
        <v/>
      </c>
      <c r="D5584" t="str">
        <f t="shared" si="436"/>
        <v/>
      </c>
      <c r="E5584" t="str">
        <f t="shared" si="437"/>
        <v/>
      </c>
      <c r="F5584" t="str">
        <f>IF(D5584="","",INDEX(Knutepunkter!$B:$B,D5584+1))</f>
        <v/>
      </c>
      <c r="G5584" t="str">
        <f>IF(D5584="","",INDEX(Knutepunkter!$C:$C,D5584+1))</f>
        <v/>
      </c>
      <c r="H5584" t="str">
        <f>IF(D5584="","",INDEX(Knutepunkter!$D:$D,D5584+1))</f>
        <v/>
      </c>
      <c r="I5584" t="str">
        <f>IF(E5584="","",INDEX(Knutepunkter!$B:$B,E5584+1))</f>
        <v/>
      </c>
      <c r="J5584" t="str">
        <f>IF(E5584="","",INDEX(Knutepunkter!$C:$C,E5584+1))</f>
        <v/>
      </c>
      <c r="K5584" t="str">
        <f>IF(E5584="","",INDEX(Knutepunkter!$D:$D,E5584+1))</f>
        <v/>
      </c>
      <c r="L5584" t="str">
        <f t="shared" si="438"/>
        <v/>
      </c>
      <c r="M5584" t="str">
        <f t="shared" si="439"/>
        <v/>
      </c>
    </row>
    <row r="5585" spans="1:13" x14ac:dyDescent="0.3">
      <c r="A5585" t="str">
        <f>Segmenter!A5585</f>
        <v/>
      </c>
      <c r="B5585" t="str">
        <f>Segmenter!B5585</f>
        <v/>
      </c>
      <c r="C5585" t="str">
        <f t="shared" si="435"/>
        <v/>
      </c>
      <c r="D5585" t="str">
        <f t="shared" si="436"/>
        <v/>
      </c>
      <c r="E5585" t="str">
        <f t="shared" si="437"/>
        <v/>
      </c>
      <c r="F5585" t="str">
        <f>IF(D5585="","",INDEX(Knutepunkter!$B:$B,D5585+1))</f>
        <v/>
      </c>
      <c r="G5585" t="str">
        <f>IF(D5585="","",INDEX(Knutepunkter!$C:$C,D5585+1))</f>
        <v/>
      </c>
      <c r="H5585" t="str">
        <f>IF(D5585="","",INDEX(Knutepunkter!$D:$D,D5585+1))</f>
        <v/>
      </c>
      <c r="I5585" t="str">
        <f>IF(E5585="","",INDEX(Knutepunkter!$B:$B,E5585+1))</f>
        <v/>
      </c>
      <c r="J5585" t="str">
        <f>IF(E5585="","",INDEX(Knutepunkter!$C:$C,E5585+1))</f>
        <v/>
      </c>
      <c r="K5585" t="str">
        <f>IF(E5585="","",INDEX(Knutepunkter!$D:$D,E5585+1))</f>
        <v/>
      </c>
      <c r="L5585" t="str">
        <f t="shared" si="438"/>
        <v/>
      </c>
      <c r="M5585" t="str">
        <f t="shared" si="439"/>
        <v/>
      </c>
    </row>
    <row r="5586" spans="1:13" x14ac:dyDescent="0.3">
      <c r="A5586" t="str">
        <f>Segmenter!A5586</f>
        <v/>
      </c>
      <c r="B5586" t="str">
        <f>Segmenter!B5586</f>
        <v/>
      </c>
      <c r="C5586" t="str">
        <f t="shared" si="435"/>
        <v/>
      </c>
      <c r="D5586" t="str">
        <f t="shared" si="436"/>
        <v/>
      </c>
      <c r="E5586" t="str">
        <f t="shared" si="437"/>
        <v/>
      </c>
      <c r="F5586" t="str">
        <f>IF(D5586="","",INDEX(Knutepunkter!$B:$B,D5586+1))</f>
        <v/>
      </c>
      <c r="G5586" t="str">
        <f>IF(D5586="","",INDEX(Knutepunkter!$C:$C,D5586+1))</f>
        <v/>
      </c>
      <c r="H5586" t="str">
        <f>IF(D5586="","",INDEX(Knutepunkter!$D:$D,D5586+1))</f>
        <v/>
      </c>
      <c r="I5586" t="str">
        <f>IF(E5586="","",INDEX(Knutepunkter!$B:$B,E5586+1))</f>
        <v/>
      </c>
      <c r="J5586" t="str">
        <f>IF(E5586="","",INDEX(Knutepunkter!$C:$C,E5586+1))</f>
        <v/>
      </c>
      <c r="K5586" t="str">
        <f>IF(E5586="","",INDEX(Knutepunkter!$D:$D,E5586+1))</f>
        <v/>
      </c>
      <c r="L5586" t="str">
        <f t="shared" si="438"/>
        <v/>
      </c>
      <c r="M5586" t="str">
        <f t="shared" si="439"/>
        <v/>
      </c>
    </row>
    <row r="5587" spans="1:13" x14ac:dyDescent="0.3">
      <c r="A5587" t="str">
        <f>Segmenter!A5587</f>
        <v/>
      </c>
      <c r="B5587" t="str">
        <f>Segmenter!B5587</f>
        <v/>
      </c>
      <c r="C5587" t="str">
        <f t="shared" si="435"/>
        <v/>
      </c>
      <c r="D5587" t="str">
        <f t="shared" si="436"/>
        <v/>
      </c>
      <c r="E5587" t="str">
        <f t="shared" si="437"/>
        <v/>
      </c>
      <c r="F5587" t="str">
        <f>IF(D5587="","",INDEX(Knutepunkter!$B:$B,D5587+1))</f>
        <v/>
      </c>
      <c r="G5587" t="str">
        <f>IF(D5587="","",INDEX(Knutepunkter!$C:$C,D5587+1))</f>
        <v/>
      </c>
      <c r="H5587" t="str">
        <f>IF(D5587="","",INDEX(Knutepunkter!$D:$D,D5587+1))</f>
        <v/>
      </c>
      <c r="I5587" t="str">
        <f>IF(E5587="","",INDEX(Knutepunkter!$B:$B,E5587+1))</f>
        <v/>
      </c>
      <c r="J5587" t="str">
        <f>IF(E5587="","",INDEX(Knutepunkter!$C:$C,E5587+1))</f>
        <v/>
      </c>
      <c r="K5587" t="str">
        <f>IF(E5587="","",INDEX(Knutepunkter!$D:$D,E5587+1))</f>
        <v/>
      </c>
      <c r="L5587" t="str">
        <f t="shared" si="438"/>
        <v/>
      </c>
      <c r="M5587" t="str">
        <f t="shared" si="439"/>
        <v/>
      </c>
    </row>
    <row r="5588" spans="1:13" x14ac:dyDescent="0.3">
      <c r="A5588" t="str">
        <f>Segmenter!A5588</f>
        <v/>
      </c>
      <c r="B5588" t="str">
        <f>Segmenter!B5588</f>
        <v/>
      </c>
      <c r="C5588" t="str">
        <f t="shared" si="435"/>
        <v/>
      </c>
      <c r="D5588" t="str">
        <f t="shared" si="436"/>
        <v/>
      </c>
      <c r="E5588" t="str">
        <f t="shared" si="437"/>
        <v/>
      </c>
      <c r="F5588" t="str">
        <f>IF(D5588="","",INDEX(Knutepunkter!$B:$B,D5588+1))</f>
        <v/>
      </c>
      <c r="G5588" t="str">
        <f>IF(D5588="","",INDEX(Knutepunkter!$C:$C,D5588+1))</f>
        <v/>
      </c>
      <c r="H5588" t="str">
        <f>IF(D5588="","",INDEX(Knutepunkter!$D:$D,D5588+1))</f>
        <v/>
      </c>
      <c r="I5588" t="str">
        <f>IF(E5588="","",INDEX(Knutepunkter!$B:$B,E5588+1))</f>
        <v/>
      </c>
      <c r="J5588" t="str">
        <f>IF(E5588="","",INDEX(Knutepunkter!$C:$C,E5588+1))</f>
        <v/>
      </c>
      <c r="K5588" t="str">
        <f>IF(E5588="","",INDEX(Knutepunkter!$D:$D,E5588+1))</f>
        <v/>
      </c>
      <c r="L5588" t="str">
        <f t="shared" si="438"/>
        <v/>
      </c>
      <c r="M5588" t="str">
        <f t="shared" si="439"/>
        <v/>
      </c>
    </row>
    <row r="5589" spans="1:13" x14ac:dyDescent="0.3">
      <c r="A5589" t="str">
        <f>Segmenter!A5589</f>
        <v/>
      </c>
      <c r="B5589" t="str">
        <f>Segmenter!B5589</f>
        <v/>
      </c>
      <c r="C5589" t="str">
        <f t="shared" si="435"/>
        <v/>
      </c>
      <c r="D5589" t="str">
        <f t="shared" si="436"/>
        <v/>
      </c>
      <c r="E5589" t="str">
        <f t="shared" si="437"/>
        <v/>
      </c>
      <c r="F5589" t="str">
        <f>IF(D5589="","",INDEX(Knutepunkter!$B:$B,D5589+1))</f>
        <v/>
      </c>
      <c r="G5589" t="str">
        <f>IF(D5589="","",INDEX(Knutepunkter!$C:$C,D5589+1))</f>
        <v/>
      </c>
      <c r="H5589" t="str">
        <f>IF(D5589="","",INDEX(Knutepunkter!$D:$D,D5589+1))</f>
        <v/>
      </c>
      <c r="I5589" t="str">
        <f>IF(E5589="","",INDEX(Knutepunkter!$B:$B,E5589+1))</f>
        <v/>
      </c>
      <c r="J5589" t="str">
        <f>IF(E5589="","",INDEX(Knutepunkter!$C:$C,E5589+1))</f>
        <v/>
      </c>
      <c r="K5589" t="str">
        <f>IF(E5589="","",INDEX(Knutepunkter!$D:$D,E5589+1))</f>
        <v/>
      </c>
      <c r="L5589" t="str">
        <f t="shared" si="438"/>
        <v/>
      </c>
      <c r="M5589" t="str">
        <f t="shared" si="439"/>
        <v/>
      </c>
    </row>
    <row r="5590" spans="1:13" x14ac:dyDescent="0.3">
      <c r="A5590" t="str">
        <f>Segmenter!A5590</f>
        <v/>
      </c>
      <c r="B5590" t="str">
        <f>Segmenter!B5590</f>
        <v/>
      </c>
      <c r="C5590" t="str">
        <f t="shared" si="435"/>
        <v/>
      </c>
      <c r="D5590" t="str">
        <f t="shared" si="436"/>
        <v/>
      </c>
      <c r="E5590" t="str">
        <f t="shared" si="437"/>
        <v/>
      </c>
      <c r="F5590" t="str">
        <f>IF(D5590="","",INDEX(Knutepunkter!$B:$B,D5590+1))</f>
        <v/>
      </c>
      <c r="G5590" t="str">
        <f>IF(D5590="","",INDEX(Knutepunkter!$C:$C,D5590+1))</f>
        <v/>
      </c>
      <c r="H5590" t="str">
        <f>IF(D5590="","",INDEX(Knutepunkter!$D:$D,D5590+1))</f>
        <v/>
      </c>
      <c r="I5590" t="str">
        <f>IF(E5590="","",INDEX(Knutepunkter!$B:$B,E5590+1))</f>
        <v/>
      </c>
      <c r="J5590" t="str">
        <f>IF(E5590="","",INDEX(Knutepunkter!$C:$C,E5590+1))</f>
        <v/>
      </c>
      <c r="K5590" t="str">
        <f>IF(E5590="","",INDEX(Knutepunkter!$D:$D,E5590+1))</f>
        <v/>
      </c>
      <c r="L5590" t="str">
        <f t="shared" si="438"/>
        <v/>
      </c>
      <c r="M5590" t="str">
        <f t="shared" si="439"/>
        <v/>
      </c>
    </row>
    <row r="5591" spans="1:13" x14ac:dyDescent="0.3">
      <c r="A5591" t="str">
        <f>Segmenter!A5591</f>
        <v/>
      </c>
      <c r="B5591" t="str">
        <f>Segmenter!B5591</f>
        <v/>
      </c>
      <c r="C5591" t="str">
        <f t="shared" si="435"/>
        <v/>
      </c>
      <c r="D5591" t="str">
        <f t="shared" si="436"/>
        <v/>
      </c>
      <c r="E5591" t="str">
        <f t="shared" si="437"/>
        <v/>
      </c>
      <c r="F5591" t="str">
        <f>IF(D5591="","",INDEX(Knutepunkter!$B:$B,D5591+1))</f>
        <v/>
      </c>
      <c r="G5591" t="str">
        <f>IF(D5591="","",INDEX(Knutepunkter!$C:$C,D5591+1))</f>
        <v/>
      </c>
      <c r="H5591" t="str">
        <f>IF(D5591="","",INDEX(Knutepunkter!$D:$D,D5591+1))</f>
        <v/>
      </c>
      <c r="I5591" t="str">
        <f>IF(E5591="","",INDEX(Knutepunkter!$B:$B,E5591+1))</f>
        <v/>
      </c>
      <c r="J5591" t="str">
        <f>IF(E5591="","",INDEX(Knutepunkter!$C:$C,E5591+1))</f>
        <v/>
      </c>
      <c r="K5591" t="str">
        <f>IF(E5591="","",INDEX(Knutepunkter!$D:$D,E5591+1))</f>
        <v/>
      </c>
      <c r="L5591" t="str">
        <f t="shared" si="438"/>
        <v/>
      </c>
      <c r="M5591" t="str">
        <f t="shared" si="439"/>
        <v/>
      </c>
    </row>
    <row r="5592" spans="1:13" x14ac:dyDescent="0.3">
      <c r="A5592" t="str">
        <f>Segmenter!A5592</f>
        <v/>
      </c>
      <c r="B5592" t="str">
        <f>Segmenter!B5592</f>
        <v/>
      </c>
      <c r="C5592" t="str">
        <f t="shared" si="435"/>
        <v/>
      </c>
      <c r="D5592" t="str">
        <f t="shared" si="436"/>
        <v/>
      </c>
      <c r="E5592" t="str">
        <f t="shared" si="437"/>
        <v/>
      </c>
      <c r="F5592" t="str">
        <f>IF(D5592="","",INDEX(Knutepunkter!$B:$B,D5592+1))</f>
        <v/>
      </c>
      <c r="G5592" t="str">
        <f>IF(D5592="","",INDEX(Knutepunkter!$C:$C,D5592+1))</f>
        <v/>
      </c>
      <c r="H5592" t="str">
        <f>IF(D5592="","",INDEX(Knutepunkter!$D:$D,D5592+1))</f>
        <v/>
      </c>
      <c r="I5592" t="str">
        <f>IF(E5592="","",INDEX(Knutepunkter!$B:$B,E5592+1))</f>
        <v/>
      </c>
      <c r="J5592" t="str">
        <f>IF(E5592="","",INDEX(Knutepunkter!$C:$C,E5592+1))</f>
        <v/>
      </c>
      <c r="K5592" t="str">
        <f>IF(E5592="","",INDEX(Knutepunkter!$D:$D,E5592+1))</f>
        <v/>
      </c>
      <c r="L5592" t="str">
        <f t="shared" si="438"/>
        <v/>
      </c>
      <c r="M5592" t="str">
        <f t="shared" si="439"/>
        <v/>
      </c>
    </row>
    <row r="5593" spans="1:13" x14ac:dyDescent="0.3">
      <c r="A5593" t="str">
        <f>Segmenter!A5593</f>
        <v/>
      </c>
      <c r="B5593" t="str">
        <f>Segmenter!B5593</f>
        <v/>
      </c>
      <c r="C5593" t="str">
        <f t="shared" si="435"/>
        <v/>
      </c>
      <c r="D5593" t="str">
        <f t="shared" si="436"/>
        <v/>
      </c>
      <c r="E5593" t="str">
        <f t="shared" si="437"/>
        <v/>
      </c>
      <c r="F5593" t="str">
        <f>IF(D5593="","",INDEX(Knutepunkter!$B:$B,D5593+1))</f>
        <v/>
      </c>
      <c r="G5593" t="str">
        <f>IF(D5593="","",INDEX(Knutepunkter!$C:$C,D5593+1))</f>
        <v/>
      </c>
      <c r="H5593" t="str">
        <f>IF(D5593="","",INDEX(Knutepunkter!$D:$D,D5593+1))</f>
        <v/>
      </c>
      <c r="I5593" t="str">
        <f>IF(E5593="","",INDEX(Knutepunkter!$B:$B,E5593+1))</f>
        <v/>
      </c>
      <c r="J5593" t="str">
        <f>IF(E5593="","",INDEX(Knutepunkter!$C:$C,E5593+1))</f>
        <v/>
      </c>
      <c r="K5593" t="str">
        <f>IF(E5593="","",INDEX(Knutepunkter!$D:$D,E5593+1))</f>
        <v/>
      </c>
      <c r="L5593" t="str">
        <f t="shared" si="438"/>
        <v/>
      </c>
      <c r="M5593" t="str">
        <f t="shared" si="439"/>
        <v/>
      </c>
    </row>
    <row r="5594" spans="1:13" x14ac:dyDescent="0.3">
      <c r="A5594" t="str">
        <f>Segmenter!A5594</f>
        <v/>
      </c>
      <c r="B5594" t="str">
        <f>Segmenter!B5594</f>
        <v/>
      </c>
      <c r="C5594" t="str">
        <f t="shared" si="435"/>
        <v/>
      </c>
      <c r="D5594" t="str">
        <f t="shared" si="436"/>
        <v/>
      </c>
      <c r="E5594" t="str">
        <f t="shared" si="437"/>
        <v/>
      </c>
      <c r="F5594" t="str">
        <f>IF(D5594="","",INDEX(Knutepunkter!$B:$B,D5594+1))</f>
        <v/>
      </c>
      <c r="G5594" t="str">
        <f>IF(D5594="","",INDEX(Knutepunkter!$C:$C,D5594+1))</f>
        <v/>
      </c>
      <c r="H5594" t="str">
        <f>IF(D5594="","",INDEX(Knutepunkter!$D:$D,D5594+1))</f>
        <v/>
      </c>
      <c r="I5594" t="str">
        <f>IF(E5594="","",INDEX(Knutepunkter!$B:$B,E5594+1))</f>
        <v/>
      </c>
      <c r="J5594" t="str">
        <f>IF(E5594="","",INDEX(Knutepunkter!$C:$C,E5594+1))</f>
        <v/>
      </c>
      <c r="K5594" t="str">
        <f>IF(E5594="","",INDEX(Knutepunkter!$D:$D,E5594+1))</f>
        <v/>
      </c>
      <c r="L5594" t="str">
        <f t="shared" si="438"/>
        <v/>
      </c>
      <c r="M5594" t="str">
        <f t="shared" si="439"/>
        <v/>
      </c>
    </row>
    <row r="5595" spans="1:13" x14ac:dyDescent="0.3">
      <c r="A5595" t="str">
        <f>Segmenter!A5595</f>
        <v/>
      </c>
      <c r="B5595" t="str">
        <f>Segmenter!B5595</f>
        <v/>
      </c>
      <c r="C5595" t="str">
        <f t="shared" si="435"/>
        <v/>
      </c>
      <c r="D5595" t="str">
        <f t="shared" si="436"/>
        <v/>
      </c>
      <c r="E5595" t="str">
        <f t="shared" si="437"/>
        <v/>
      </c>
      <c r="F5595" t="str">
        <f>IF(D5595="","",INDEX(Knutepunkter!$B:$B,D5595+1))</f>
        <v/>
      </c>
      <c r="G5595" t="str">
        <f>IF(D5595="","",INDEX(Knutepunkter!$C:$C,D5595+1))</f>
        <v/>
      </c>
      <c r="H5595" t="str">
        <f>IF(D5595="","",INDEX(Knutepunkter!$D:$D,D5595+1))</f>
        <v/>
      </c>
      <c r="I5595" t="str">
        <f>IF(E5595="","",INDEX(Knutepunkter!$B:$B,E5595+1))</f>
        <v/>
      </c>
      <c r="J5595" t="str">
        <f>IF(E5595="","",INDEX(Knutepunkter!$C:$C,E5595+1))</f>
        <v/>
      </c>
      <c r="K5595" t="str">
        <f>IF(E5595="","",INDEX(Knutepunkter!$D:$D,E5595+1))</f>
        <v/>
      </c>
      <c r="L5595" t="str">
        <f t="shared" si="438"/>
        <v/>
      </c>
      <c r="M5595" t="str">
        <f t="shared" si="439"/>
        <v/>
      </c>
    </row>
    <row r="5596" spans="1:13" x14ac:dyDescent="0.3">
      <c r="A5596" t="str">
        <f>Segmenter!A5596</f>
        <v/>
      </c>
      <c r="B5596" t="str">
        <f>Segmenter!B5596</f>
        <v/>
      </c>
      <c r="C5596" t="str">
        <f t="shared" si="435"/>
        <v/>
      </c>
      <c r="D5596" t="str">
        <f t="shared" si="436"/>
        <v/>
      </c>
      <c r="E5596" t="str">
        <f t="shared" si="437"/>
        <v/>
      </c>
      <c r="F5596" t="str">
        <f>IF(D5596="","",INDEX(Knutepunkter!$B:$B,D5596+1))</f>
        <v/>
      </c>
      <c r="G5596" t="str">
        <f>IF(D5596="","",INDEX(Knutepunkter!$C:$C,D5596+1))</f>
        <v/>
      </c>
      <c r="H5596" t="str">
        <f>IF(D5596="","",INDEX(Knutepunkter!$D:$D,D5596+1))</f>
        <v/>
      </c>
      <c r="I5596" t="str">
        <f>IF(E5596="","",INDEX(Knutepunkter!$B:$B,E5596+1))</f>
        <v/>
      </c>
      <c r="J5596" t="str">
        <f>IF(E5596="","",INDEX(Knutepunkter!$C:$C,E5596+1))</f>
        <v/>
      </c>
      <c r="K5596" t="str">
        <f>IF(E5596="","",INDEX(Knutepunkter!$D:$D,E5596+1))</f>
        <v/>
      </c>
      <c r="L5596" t="str">
        <f t="shared" si="438"/>
        <v/>
      </c>
      <c r="M5596" t="str">
        <f t="shared" si="439"/>
        <v/>
      </c>
    </row>
    <row r="5597" spans="1:13" x14ac:dyDescent="0.3">
      <c r="A5597" t="str">
        <f>Segmenter!A5597</f>
        <v/>
      </c>
      <c r="B5597" t="str">
        <f>Segmenter!B5597</f>
        <v/>
      </c>
      <c r="C5597" t="str">
        <f t="shared" si="435"/>
        <v/>
      </c>
      <c r="D5597" t="str">
        <f t="shared" si="436"/>
        <v/>
      </c>
      <c r="E5597" t="str">
        <f t="shared" si="437"/>
        <v/>
      </c>
      <c r="F5597" t="str">
        <f>IF(D5597="","",INDEX(Knutepunkter!$B:$B,D5597+1))</f>
        <v/>
      </c>
      <c r="G5597" t="str">
        <f>IF(D5597="","",INDEX(Knutepunkter!$C:$C,D5597+1))</f>
        <v/>
      </c>
      <c r="H5597" t="str">
        <f>IF(D5597="","",INDEX(Knutepunkter!$D:$D,D5597+1))</f>
        <v/>
      </c>
      <c r="I5597" t="str">
        <f>IF(E5597="","",INDEX(Knutepunkter!$B:$B,E5597+1))</f>
        <v/>
      </c>
      <c r="J5597" t="str">
        <f>IF(E5597="","",INDEX(Knutepunkter!$C:$C,E5597+1))</f>
        <v/>
      </c>
      <c r="K5597" t="str">
        <f>IF(E5597="","",INDEX(Knutepunkter!$D:$D,E5597+1))</f>
        <v/>
      </c>
      <c r="L5597" t="str">
        <f t="shared" si="438"/>
        <v/>
      </c>
      <c r="M5597" t="str">
        <f t="shared" si="439"/>
        <v/>
      </c>
    </row>
    <row r="5598" spans="1:13" x14ac:dyDescent="0.3">
      <c r="A5598" t="str">
        <f>Segmenter!A5598</f>
        <v/>
      </c>
      <c r="B5598" t="str">
        <f>Segmenter!B5598</f>
        <v/>
      </c>
      <c r="C5598" t="str">
        <f t="shared" si="435"/>
        <v/>
      </c>
      <c r="D5598" t="str">
        <f t="shared" si="436"/>
        <v/>
      </c>
      <c r="E5598" t="str">
        <f t="shared" si="437"/>
        <v/>
      </c>
      <c r="F5598" t="str">
        <f>IF(D5598="","",INDEX(Knutepunkter!$B:$B,D5598+1))</f>
        <v/>
      </c>
      <c r="G5598" t="str">
        <f>IF(D5598="","",INDEX(Knutepunkter!$C:$C,D5598+1))</f>
        <v/>
      </c>
      <c r="H5598" t="str">
        <f>IF(D5598="","",INDEX(Knutepunkter!$D:$D,D5598+1))</f>
        <v/>
      </c>
      <c r="I5598" t="str">
        <f>IF(E5598="","",INDEX(Knutepunkter!$B:$B,E5598+1))</f>
        <v/>
      </c>
      <c r="J5598" t="str">
        <f>IF(E5598="","",INDEX(Knutepunkter!$C:$C,E5598+1))</f>
        <v/>
      </c>
      <c r="K5598" t="str">
        <f>IF(E5598="","",INDEX(Knutepunkter!$D:$D,E5598+1))</f>
        <v/>
      </c>
      <c r="L5598" t="str">
        <f t="shared" si="438"/>
        <v/>
      </c>
      <c r="M5598" t="str">
        <f t="shared" si="439"/>
        <v/>
      </c>
    </row>
    <row r="5599" spans="1:13" x14ac:dyDescent="0.3">
      <c r="A5599" t="str">
        <f>Segmenter!A5599</f>
        <v/>
      </c>
      <c r="B5599" t="str">
        <f>Segmenter!B5599</f>
        <v/>
      </c>
      <c r="C5599" t="str">
        <f t="shared" si="435"/>
        <v/>
      </c>
      <c r="D5599" t="str">
        <f t="shared" si="436"/>
        <v/>
      </c>
      <c r="E5599" t="str">
        <f t="shared" si="437"/>
        <v/>
      </c>
      <c r="F5599" t="str">
        <f>IF(D5599="","",INDEX(Knutepunkter!$B:$B,D5599+1))</f>
        <v/>
      </c>
      <c r="G5599" t="str">
        <f>IF(D5599="","",INDEX(Knutepunkter!$C:$C,D5599+1))</f>
        <v/>
      </c>
      <c r="H5599" t="str">
        <f>IF(D5599="","",INDEX(Knutepunkter!$D:$D,D5599+1))</f>
        <v/>
      </c>
      <c r="I5599" t="str">
        <f>IF(E5599="","",INDEX(Knutepunkter!$B:$B,E5599+1))</f>
        <v/>
      </c>
      <c r="J5599" t="str">
        <f>IF(E5599="","",INDEX(Knutepunkter!$C:$C,E5599+1))</f>
        <v/>
      </c>
      <c r="K5599" t="str">
        <f>IF(E5599="","",INDEX(Knutepunkter!$D:$D,E5599+1))</f>
        <v/>
      </c>
      <c r="L5599" t="str">
        <f t="shared" si="438"/>
        <v/>
      </c>
      <c r="M5599" t="str">
        <f t="shared" si="439"/>
        <v/>
      </c>
    </row>
    <row r="5600" spans="1:13" x14ac:dyDescent="0.3">
      <c r="A5600" t="str">
        <f>Segmenter!A5600</f>
        <v/>
      </c>
      <c r="B5600" t="str">
        <f>Segmenter!B5600</f>
        <v/>
      </c>
      <c r="C5600" t="str">
        <f t="shared" si="435"/>
        <v/>
      </c>
      <c r="D5600" t="str">
        <f t="shared" si="436"/>
        <v/>
      </c>
      <c r="E5600" t="str">
        <f t="shared" si="437"/>
        <v/>
      </c>
      <c r="F5600" t="str">
        <f>IF(D5600="","",INDEX(Knutepunkter!$B:$B,D5600+1))</f>
        <v/>
      </c>
      <c r="G5600" t="str">
        <f>IF(D5600="","",INDEX(Knutepunkter!$C:$C,D5600+1))</f>
        <v/>
      </c>
      <c r="H5600" t="str">
        <f>IF(D5600="","",INDEX(Knutepunkter!$D:$D,D5600+1))</f>
        <v/>
      </c>
      <c r="I5600" t="str">
        <f>IF(E5600="","",INDEX(Knutepunkter!$B:$B,E5600+1))</f>
        <v/>
      </c>
      <c r="J5600" t="str">
        <f>IF(E5600="","",INDEX(Knutepunkter!$C:$C,E5600+1))</f>
        <v/>
      </c>
      <c r="K5600" t="str">
        <f>IF(E5600="","",INDEX(Knutepunkter!$D:$D,E5600+1))</f>
        <v/>
      </c>
      <c r="L5600" t="str">
        <f t="shared" si="438"/>
        <v/>
      </c>
      <c r="M5600" t="str">
        <f t="shared" si="439"/>
        <v/>
      </c>
    </row>
    <row r="5601" spans="1:13" x14ac:dyDescent="0.3">
      <c r="A5601" t="str">
        <f>Segmenter!A5601</f>
        <v/>
      </c>
      <c r="B5601" t="str">
        <f>Segmenter!B5601</f>
        <v/>
      </c>
      <c r="C5601" t="str">
        <f t="shared" si="435"/>
        <v/>
      </c>
      <c r="D5601" t="str">
        <f t="shared" si="436"/>
        <v/>
      </c>
      <c r="E5601" t="str">
        <f t="shared" si="437"/>
        <v/>
      </c>
      <c r="F5601" t="str">
        <f>IF(D5601="","",INDEX(Knutepunkter!$B:$B,D5601+1))</f>
        <v/>
      </c>
      <c r="G5601" t="str">
        <f>IF(D5601="","",INDEX(Knutepunkter!$C:$C,D5601+1))</f>
        <v/>
      </c>
      <c r="H5601" t="str">
        <f>IF(D5601="","",INDEX(Knutepunkter!$D:$D,D5601+1))</f>
        <v/>
      </c>
      <c r="I5601" t="str">
        <f>IF(E5601="","",INDEX(Knutepunkter!$B:$B,E5601+1))</f>
        <v/>
      </c>
      <c r="J5601" t="str">
        <f>IF(E5601="","",INDEX(Knutepunkter!$C:$C,E5601+1))</f>
        <v/>
      </c>
      <c r="K5601" t="str">
        <f>IF(E5601="","",INDEX(Knutepunkter!$D:$D,E5601+1))</f>
        <v/>
      </c>
      <c r="L5601" t="str">
        <f t="shared" si="438"/>
        <v/>
      </c>
      <c r="M5601" t="str">
        <f t="shared" si="439"/>
        <v/>
      </c>
    </row>
    <row r="5602" spans="1:13" x14ac:dyDescent="0.3">
      <c r="A5602" t="str">
        <f>Segmenter!A5602</f>
        <v/>
      </c>
      <c r="B5602" t="str">
        <f>Segmenter!B5602</f>
        <v/>
      </c>
      <c r="C5602" t="str">
        <f t="shared" si="435"/>
        <v/>
      </c>
      <c r="D5602" t="str">
        <f t="shared" si="436"/>
        <v/>
      </c>
      <c r="E5602" t="str">
        <f t="shared" si="437"/>
        <v/>
      </c>
      <c r="F5602" t="str">
        <f>IF(D5602="","",INDEX(Knutepunkter!$B:$B,D5602+1))</f>
        <v/>
      </c>
      <c r="G5602" t="str">
        <f>IF(D5602="","",INDEX(Knutepunkter!$C:$C,D5602+1))</f>
        <v/>
      </c>
      <c r="H5602" t="str">
        <f>IF(D5602="","",INDEX(Knutepunkter!$D:$D,D5602+1))</f>
        <v/>
      </c>
      <c r="I5602" t="str">
        <f>IF(E5602="","",INDEX(Knutepunkter!$B:$B,E5602+1))</f>
        <v/>
      </c>
      <c r="J5602" t="str">
        <f>IF(E5602="","",INDEX(Knutepunkter!$C:$C,E5602+1))</f>
        <v/>
      </c>
      <c r="K5602" t="str">
        <f>IF(E5602="","",INDEX(Knutepunkter!$D:$D,E5602+1))</f>
        <v/>
      </c>
      <c r="L5602" t="str">
        <f t="shared" si="438"/>
        <v/>
      </c>
      <c r="M5602" t="str">
        <f t="shared" si="439"/>
        <v/>
      </c>
    </row>
    <row r="5603" spans="1:13" x14ac:dyDescent="0.3">
      <c r="A5603" t="str">
        <f>Segmenter!A5603</f>
        <v/>
      </c>
      <c r="B5603" t="str">
        <f>Segmenter!B5603</f>
        <v/>
      </c>
      <c r="C5603" t="str">
        <f t="shared" si="435"/>
        <v/>
      </c>
      <c r="D5603" t="str">
        <f t="shared" si="436"/>
        <v/>
      </c>
      <c r="E5603" t="str">
        <f t="shared" si="437"/>
        <v/>
      </c>
      <c r="F5603" t="str">
        <f>IF(D5603="","",INDEX(Knutepunkter!$B:$B,D5603+1))</f>
        <v/>
      </c>
      <c r="G5603" t="str">
        <f>IF(D5603="","",INDEX(Knutepunkter!$C:$C,D5603+1))</f>
        <v/>
      </c>
      <c r="H5603" t="str">
        <f>IF(D5603="","",INDEX(Knutepunkter!$D:$D,D5603+1))</f>
        <v/>
      </c>
      <c r="I5603" t="str">
        <f>IF(E5603="","",INDEX(Knutepunkter!$B:$B,E5603+1))</f>
        <v/>
      </c>
      <c r="J5603" t="str">
        <f>IF(E5603="","",INDEX(Knutepunkter!$C:$C,E5603+1))</f>
        <v/>
      </c>
      <c r="K5603" t="str">
        <f>IF(E5603="","",INDEX(Knutepunkter!$D:$D,E5603+1))</f>
        <v/>
      </c>
      <c r="L5603" t="str">
        <f t="shared" si="438"/>
        <v/>
      </c>
      <c r="M5603" t="str">
        <f t="shared" si="439"/>
        <v/>
      </c>
    </row>
    <row r="5604" spans="1:13" x14ac:dyDescent="0.3">
      <c r="A5604" t="str">
        <f>Segmenter!A5604</f>
        <v/>
      </c>
      <c r="B5604" t="str">
        <f>Segmenter!B5604</f>
        <v/>
      </c>
      <c r="C5604" t="str">
        <f t="shared" si="435"/>
        <v/>
      </c>
      <c r="D5604" t="str">
        <f t="shared" si="436"/>
        <v/>
      </c>
      <c r="E5604" t="str">
        <f t="shared" si="437"/>
        <v/>
      </c>
      <c r="F5604" t="str">
        <f>IF(D5604="","",INDEX(Knutepunkter!$B:$B,D5604+1))</f>
        <v/>
      </c>
      <c r="G5604" t="str">
        <f>IF(D5604="","",INDEX(Knutepunkter!$C:$C,D5604+1))</f>
        <v/>
      </c>
      <c r="H5604" t="str">
        <f>IF(D5604="","",INDEX(Knutepunkter!$D:$D,D5604+1))</f>
        <v/>
      </c>
      <c r="I5604" t="str">
        <f>IF(E5604="","",INDEX(Knutepunkter!$B:$B,E5604+1))</f>
        <v/>
      </c>
      <c r="J5604" t="str">
        <f>IF(E5604="","",INDEX(Knutepunkter!$C:$C,E5604+1))</f>
        <v/>
      </c>
      <c r="K5604" t="str">
        <f>IF(E5604="","",INDEX(Knutepunkter!$D:$D,E5604+1))</f>
        <v/>
      </c>
      <c r="L5604" t="str">
        <f t="shared" si="438"/>
        <v/>
      </c>
      <c r="M5604" t="str">
        <f t="shared" si="439"/>
        <v/>
      </c>
    </row>
    <row r="5605" spans="1:13" x14ac:dyDescent="0.3">
      <c r="A5605" t="str">
        <f>Segmenter!A5605</f>
        <v/>
      </c>
      <c r="B5605" t="str">
        <f>Segmenter!B5605</f>
        <v/>
      </c>
      <c r="C5605" t="str">
        <f t="shared" si="435"/>
        <v/>
      </c>
      <c r="D5605" t="str">
        <f t="shared" si="436"/>
        <v/>
      </c>
      <c r="E5605" t="str">
        <f t="shared" si="437"/>
        <v/>
      </c>
      <c r="F5605" t="str">
        <f>IF(D5605="","",INDEX(Knutepunkter!$B:$B,D5605+1))</f>
        <v/>
      </c>
      <c r="G5605" t="str">
        <f>IF(D5605="","",INDEX(Knutepunkter!$C:$C,D5605+1))</f>
        <v/>
      </c>
      <c r="H5605" t="str">
        <f>IF(D5605="","",INDEX(Knutepunkter!$D:$D,D5605+1))</f>
        <v/>
      </c>
      <c r="I5605" t="str">
        <f>IF(E5605="","",INDEX(Knutepunkter!$B:$B,E5605+1))</f>
        <v/>
      </c>
      <c r="J5605" t="str">
        <f>IF(E5605="","",INDEX(Knutepunkter!$C:$C,E5605+1))</f>
        <v/>
      </c>
      <c r="K5605" t="str">
        <f>IF(E5605="","",INDEX(Knutepunkter!$D:$D,E5605+1))</f>
        <v/>
      </c>
      <c r="L5605" t="str">
        <f t="shared" si="438"/>
        <v/>
      </c>
      <c r="M5605" t="str">
        <f t="shared" si="439"/>
        <v/>
      </c>
    </row>
    <row r="5606" spans="1:13" x14ac:dyDescent="0.3">
      <c r="A5606" t="str">
        <f>Segmenter!A5606</f>
        <v/>
      </c>
      <c r="B5606" t="str">
        <f>Segmenter!B5606</f>
        <v/>
      </c>
      <c r="C5606" t="str">
        <f t="shared" si="435"/>
        <v/>
      </c>
      <c r="D5606" t="str">
        <f t="shared" si="436"/>
        <v/>
      </c>
      <c r="E5606" t="str">
        <f t="shared" si="437"/>
        <v/>
      </c>
      <c r="F5606" t="str">
        <f>IF(D5606="","",INDEX(Knutepunkter!$B:$B,D5606+1))</f>
        <v/>
      </c>
      <c r="G5606" t="str">
        <f>IF(D5606="","",INDEX(Knutepunkter!$C:$C,D5606+1))</f>
        <v/>
      </c>
      <c r="H5606" t="str">
        <f>IF(D5606="","",INDEX(Knutepunkter!$D:$D,D5606+1))</f>
        <v/>
      </c>
      <c r="I5606" t="str">
        <f>IF(E5606="","",INDEX(Knutepunkter!$B:$B,E5606+1))</f>
        <v/>
      </c>
      <c r="J5606" t="str">
        <f>IF(E5606="","",INDEX(Knutepunkter!$C:$C,E5606+1))</f>
        <v/>
      </c>
      <c r="K5606" t="str">
        <f>IF(E5606="","",INDEX(Knutepunkter!$D:$D,E5606+1))</f>
        <v/>
      </c>
      <c r="L5606" t="str">
        <f t="shared" si="438"/>
        <v/>
      </c>
      <c r="M5606" t="str">
        <f t="shared" si="439"/>
        <v/>
      </c>
    </row>
    <row r="5607" spans="1:13" x14ac:dyDescent="0.3">
      <c r="A5607" t="str">
        <f>Segmenter!A5607</f>
        <v/>
      </c>
      <c r="B5607" t="str">
        <f>Segmenter!B5607</f>
        <v/>
      </c>
      <c r="C5607" t="str">
        <f t="shared" si="435"/>
        <v/>
      </c>
      <c r="D5607" t="str">
        <f t="shared" si="436"/>
        <v/>
      </c>
      <c r="E5607" t="str">
        <f t="shared" si="437"/>
        <v/>
      </c>
      <c r="F5607" t="str">
        <f>IF(D5607="","",INDEX(Knutepunkter!$B:$B,D5607+1))</f>
        <v/>
      </c>
      <c r="G5607" t="str">
        <f>IF(D5607="","",INDEX(Knutepunkter!$C:$C,D5607+1))</f>
        <v/>
      </c>
      <c r="H5607" t="str">
        <f>IF(D5607="","",INDEX(Knutepunkter!$D:$D,D5607+1))</f>
        <v/>
      </c>
      <c r="I5607" t="str">
        <f>IF(E5607="","",INDEX(Knutepunkter!$B:$B,E5607+1))</f>
        <v/>
      </c>
      <c r="J5607" t="str">
        <f>IF(E5607="","",INDEX(Knutepunkter!$C:$C,E5607+1))</f>
        <v/>
      </c>
      <c r="K5607" t="str">
        <f>IF(E5607="","",INDEX(Knutepunkter!$D:$D,E5607+1))</f>
        <v/>
      </c>
      <c r="L5607" t="str">
        <f t="shared" si="438"/>
        <v/>
      </c>
      <c r="M5607" t="str">
        <f t="shared" si="439"/>
        <v/>
      </c>
    </row>
    <row r="5608" spans="1:13" x14ac:dyDescent="0.3">
      <c r="A5608" t="str">
        <f>Segmenter!A5608</f>
        <v/>
      </c>
      <c r="B5608" t="str">
        <f>Segmenter!B5608</f>
        <v/>
      </c>
      <c r="C5608" t="str">
        <f t="shared" si="435"/>
        <v/>
      </c>
      <c r="D5608" t="str">
        <f t="shared" si="436"/>
        <v/>
      </c>
      <c r="E5608" t="str">
        <f t="shared" si="437"/>
        <v/>
      </c>
      <c r="F5608" t="str">
        <f>IF(D5608="","",INDEX(Knutepunkter!$B:$B,D5608+1))</f>
        <v/>
      </c>
      <c r="G5608" t="str">
        <f>IF(D5608="","",INDEX(Knutepunkter!$C:$C,D5608+1))</f>
        <v/>
      </c>
      <c r="H5608" t="str">
        <f>IF(D5608="","",INDEX(Knutepunkter!$D:$D,D5608+1))</f>
        <v/>
      </c>
      <c r="I5608" t="str">
        <f>IF(E5608="","",INDEX(Knutepunkter!$B:$B,E5608+1))</f>
        <v/>
      </c>
      <c r="J5608" t="str">
        <f>IF(E5608="","",INDEX(Knutepunkter!$C:$C,E5608+1))</f>
        <v/>
      </c>
      <c r="K5608" t="str">
        <f>IF(E5608="","",INDEX(Knutepunkter!$D:$D,E5608+1))</f>
        <v/>
      </c>
      <c r="L5608" t="str">
        <f t="shared" si="438"/>
        <v/>
      </c>
      <c r="M5608" t="str">
        <f t="shared" si="439"/>
        <v/>
      </c>
    </row>
    <row r="5609" spans="1:13" x14ac:dyDescent="0.3">
      <c r="A5609" t="str">
        <f>Segmenter!A5609</f>
        <v/>
      </c>
      <c r="B5609" t="str">
        <f>Segmenter!B5609</f>
        <v/>
      </c>
      <c r="C5609" t="str">
        <f t="shared" si="435"/>
        <v/>
      </c>
      <c r="D5609" t="str">
        <f t="shared" si="436"/>
        <v/>
      </c>
      <c r="E5609" t="str">
        <f t="shared" si="437"/>
        <v/>
      </c>
      <c r="F5609" t="str">
        <f>IF(D5609="","",INDEX(Knutepunkter!$B:$B,D5609+1))</f>
        <v/>
      </c>
      <c r="G5609" t="str">
        <f>IF(D5609="","",INDEX(Knutepunkter!$C:$C,D5609+1))</f>
        <v/>
      </c>
      <c r="H5609" t="str">
        <f>IF(D5609="","",INDEX(Knutepunkter!$D:$D,D5609+1))</f>
        <v/>
      </c>
      <c r="I5609" t="str">
        <f>IF(E5609="","",INDEX(Knutepunkter!$B:$B,E5609+1))</f>
        <v/>
      </c>
      <c r="J5609" t="str">
        <f>IF(E5609="","",INDEX(Knutepunkter!$C:$C,E5609+1))</f>
        <v/>
      </c>
      <c r="K5609" t="str">
        <f>IF(E5609="","",INDEX(Knutepunkter!$D:$D,E5609+1))</f>
        <v/>
      </c>
      <c r="L5609" t="str">
        <f t="shared" si="438"/>
        <v/>
      </c>
      <c r="M5609" t="str">
        <f t="shared" si="439"/>
        <v/>
      </c>
    </row>
    <row r="5610" spans="1:13" x14ac:dyDescent="0.3">
      <c r="A5610" t="str">
        <f>Segmenter!A5610</f>
        <v/>
      </c>
      <c r="B5610" t="str">
        <f>Segmenter!B5610</f>
        <v/>
      </c>
      <c r="C5610" t="str">
        <f t="shared" si="435"/>
        <v/>
      </c>
      <c r="D5610" t="str">
        <f t="shared" si="436"/>
        <v/>
      </c>
      <c r="E5610" t="str">
        <f t="shared" si="437"/>
        <v/>
      </c>
      <c r="F5610" t="str">
        <f>IF(D5610="","",INDEX(Knutepunkter!$B:$B,D5610+1))</f>
        <v/>
      </c>
      <c r="G5610" t="str">
        <f>IF(D5610="","",INDEX(Knutepunkter!$C:$C,D5610+1))</f>
        <v/>
      </c>
      <c r="H5610" t="str">
        <f>IF(D5610="","",INDEX(Knutepunkter!$D:$D,D5610+1))</f>
        <v/>
      </c>
      <c r="I5610" t="str">
        <f>IF(E5610="","",INDEX(Knutepunkter!$B:$B,E5610+1))</f>
        <v/>
      </c>
      <c r="J5610" t="str">
        <f>IF(E5610="","",INDEX(Knutepunkter!$C:$C,E5610+1))</f>
        <v/>
      </c>
      <c r="K5610" t="str">
        <f>IF(E5610="","",INDEX(Knutepunkter!$D:$D,E5610+1))</f>
        <v/>
      </c>
      <c r="L5610" t="str">
        <f t="shared" si="438"/>
        <v/>
      </c>
      <c r="M5610" t="str">
        <f t="shared" si="439"/>
        <v/>
      </c>
    </row>
    <row r="5611" spans="1:13" x14ac:dyDescent="0.3">
      <c r="A5611" t="str">
        <f>Segmenter!A5611</f>
        <v/>
      </c>
      <c r="B5611" t="str">
        <f>Segmenter!B5611</f>
        <v/>
      </c>
      <c r="C5611" t="str">
        <f t="shared" si="435"/>
        <v/>
      </c>
      <c r="D5611" t="str">
        <f t="shared" si="436"/>
        <v/>
      </c>
      <c r="E5611" t="str">
        <f t="shared" si="437"/>
        <v/>
      </c>
      <c r="F5611" t="str">
        <f>IF(D5611="","",INDEX(Knutepunkter!$B:$B,D5611+1))</f>
        <v/>
      </c>
      <c r="G5611" t="str">
        <f>IF(D5611="","",INDEX(Knutepunkter!$C:$C,D5611+1))</f>
        <v/>
      </c>
      <c r="H5611" t="str">
        <f>IF(D5611="","",INDEX(Knutepunkter!$D:$D,D5611+1))</f>
        <v/>
      </c>
      <c r="I5611" t="str">
        <f>IF(E5611="","",INDEX(Knutepunkter!$B:$B,E5611+1))</f>
        <v/>
      </c>
      <c r="J5611" t="str">
        <f>IF(E5611="","",INDEX(Knutepunkter!$C:$C,E5611+1))</f>
        <v/>
      </c>
      <c r="K5611" t="str">
        <f>IF(E5611="","",INDEX(Knutepunkter!$D:$D,E5611+1))</f>
        <v/>
      </c>
      <c r="L5611" t="str">
        <f t="shared" si="438"/>
        <v/>
      </c>
      <c r="M5611" t="str">
        <f t="shared" si="439"/>
        <v/>
      </c>
    </row>
    <row r="5612" spans="1:13" x14ac:dyDescent="0.3">
      <c r="A5612" t="str">
        <f>Segmenter!A5612</f>
        <v/>
      </c>
      <c r="B5612" t="str">
        <f>Segmenter!B5612</f>
        <v/>
      </c>
      <c r="C5612" t="str">
        <f t="shared" si="435"/>
        <v/>
      </c>
      <c r="D5612" t="str">
        <f t="shared" si="436"/>
        <v/>
      </c>
      <c r="E5612" t="str">
        <f t="shared" si="437"/>
        <v/>
      </c>
      <c r="F5612" t="str">
        <f>IF(D5612="","",INDEX(Knutepunkter!$B:$B,D5612+1))</f>
        <v/>
      </c>
      <c r="G5612" t="str">
        <f>IF(D5612="","",INDEX(Knutepunkter!$C:$C,D5612+1))</f>
        <v/>
      </c>
      <c r="H5612" t="str">
        <f>IF(D5612="","",INDEX(Knutepunkter!$D:$D,D5612+1))</f>
        <v/>
      </c>
      <c r="I5612" t="str">
        <f>IF(E5612="","",INDEX(Knutepunkter!$B:$B,E5612+1))</f>
        <v/>
      </c>
      <c r="J5612" t="str">
        <f>IF(E5612="","",INDEX(Knutepunkter!$C:$C,E5612+1))</f>
        <v/>
      </c>
      <c r="K5612" t="str">
        <f>IF(E5612="","",INDEX(Knutepunkter!$D:$D,E5612+1))</f>
        <v/>
      </c>
      <c r="L5612" t="str">
        <f t="shared" si="438"/>
        <v/>
      </c>
      <c r="M5612" t="str">
        <f t="shared" si="439"/>
        <v/>
      </c>
    </row>
    <row r="5613" spans="1:13" x14ac:dyDescent="0.3">
      <c r="A5613" t="str">
        <f>Segmenter!A5613</f>
        <v/>
      </c>
      <c r="B5613" t="str">
        <f>Segmenter!B5613</f>
        <v/>
      </c>
      <c r="C5613" t="str">
        <f t="shared" si="435"/>
        <v/>
      </c>
      <c r="D5613" t="str">
        <f t="shared" si="436"/>
        <v/>
      </c>
      <c r="E5613" t="str">
        <f t="shared" si="437"/>
        <v/>
      </c>
      <c r="F5613" t="str">
        <f>IF(D5613="","",INDEX(Knutepunkter!$B:$B,D5613+1))</f>
        <v/>
      </c>
      <c r="G5613" t="str">
        <f>IF(D5613="","",INDEX(Knutepunkter!$C:$C,D5613+1))</f>
        <v/>
      </c>
      <c r="H5613" t="str">
        <f>IF(D5613="","",INDEX(Knutepunkter!$D:$D,D5613+1))</f>
        <v/>
      </c>
      <c r="I5613" t="str">
        <f>IF(E5613="","",INDEX(Knutepunkter!$B:$B,E5613+1))</f>
        <v/>
      </c>
      <c r="J5613" t="str">
        <f>IF(E5613="","",INDEX(Knutepunkter!$C:$C,E5613+1))</f>
        <v/>
      </c>
      <c r="K5613" t="str">
        <f>IF(E5613="","",INDEX(Knutepunkter!$D:$D,E5613+1))</f>
        <v/>
      </c>
      <c r="L5613" t="str">
        <f t="shared" si="438"/>
        <v/>
      </c>
      <c r="M5613" t="str">
        <f t="shared" si="439"/>
        <v/>
      </c>
    </row>
    <row r="5614" spans="1:13" x14ac:dyDescent="0.3">
      <c r="A5614" t="str">
        <f>Segmenter!A5614</f>
        <v/>
      </c>
      <c r="B5614" t="str">
        <f>Segmenter!B5614</f>
        <v/>
      </c>
      <c r="C5614" t="str">
        <f t="shared" si="435"/>
        <v/>
      </c>
      <c r="D5614" t="str">
        <f t="shared" si="436"/>
        <v/>
      </c>
      <c r="E5614" t="str">
        <f t="shared" si="437"/>
        <v/>
      </c>
      <c r="F5614" t="str">
        <f>IF(D5614="","",INDEX(Knutepunkter!$B:$B,D5614+1))</f>
        <v/>
      </c>
      <c r="G5614" t="str">
        <f>IF(D5614="","",INDEX(Knutepunkter!$C:$C,D5614+1))</f>
        <v/>
      </c>
      <c r="H5614" t="str">
        <f>IF(D5614="","",INDEX(Knutepunkter!$D:$D,D5614+1))</f>
        <v/>
      </c>
      <c r="I5614" t="str">
        <f>IF(E5614="","",INDEX(Knutepunkter!$B:$B,E5614+1))</f>
        <v/>
      </c>
      <c r="J5614" t="str">
        <f>IF(E5614="","",INDEX(Knutepunkter!$C:$C,E5614+1))</f>
        <v/>
      </c>
      <c r="K5614" t="str">
        <f>IF(E5614="","",INDEX(Knutepunkter!$D:$D,E5614+1))</f>
        <v/>
      </c>
      <c r="L5614" t="str">
        <f t="shared" si="438"/>
        <v/>
      </c>
      <c r="M5614" t="str">
        <f t="shared" si="439"/>
        <v/>
      </c>
    </row>
    <row r="5615" spans="1:13" x14ac:dyDescent="0.3">
      <c r="A5615" t="str">
        <f>Segmenter!A5615</f>
        <v/>
      </c>
      <c r="B5615" t="str">
        <f>Segmenter!B5615</f>
        <v/>
      </c>
      <c r="C5615" t="str">
        <f t="shared" si="435"/>
        <v/>
      </c>
      <c r="D5615" t="str">
        <f t="shared" si="436"/>
        <v/>
      </c>
      <c r="E5615" t="str">
        <f t="shared" si="437"/>
        <v/>
      </c>
      <c r="F5615" t="str">
        <f>IF(D5615="","",INDEX(Knutepunkter!$B:$B,D5615+1))</f>
        <v/>
      </c>
      <c r="G5615" t="str">
        <f>IF(D5615="","",INDEX(Knutepunkter!$C:$C,D5615+1))</f>
        <v/>
      </c>
      <c r="H5615" t="str">
        <f>IF(D5615="","",INDEX(Knutepunkter!$D:$D,D5615+1))</f>
        <v/>
      </c>
      <c r="I5615" t="str">
        <f>IF(E5615="","",INDEX(Knutepunkter!$B:$B,E5615+1))</f>
        <v/>
      </c>
      <c r="J5615" t="str">
        <f>IF(E5615="","",INDEX(Knutepunkter!$C:$C,E5615+1))</f>
        <v/>
      </c>
      <c r="K5615" t="str">
        <f>IF(E5615="","",INDEX(Knutepunkter!$D:$D,E5615+1))</f>
        <v/>
      </c>
      <c r="L5615" t="str">
        <f t="shared" si="438"/>
        <v/>
      </c>
      <c r="M5615" t="str">
        <f t="shared" si="439"/>
        <v/>
      </c>
    </row>
    <row r="5616" spans="1:13" x14ac:dyDescent="0.3">
      <c r="A5616" t="str">
        <f>Segmenter!A5616</f>
        <v/>
      </c>
      <c r="B5616" t="str">
        <f>Segmenter!B5616</f>
        <v/>
      </c>
      <c r="C5616" t="str">
        <f t="shared" si="435"/>
        <v/>
      </c>
      <c r="D5616" t="str">
        <f t="shared" si="436"/>
        <v/>
      </c>
      <c r="E5616" t="str">
        <f t="shared" si="437"/>
        <v/>
      </c>
      <c r="F5616" t="str">
        <f>IF(D5616="","",INDEX(Knutepunkter!$B:$B,D5616+1))</f>
        <v/>
      </c>
      <c r="G5616" t="str">
        <f>IF(D5616="","",INDEX(Knutepunkter!$C:$C,D5616+1))</f>
        <v/>
      </c>
      <c r="H5616" t="str">
        <f>IF(D5616="","",INDEX(Knutepunkter!$D:$D,D5616+1))</f>
        <v/>
      </c>
      <c r="I5616" t="str">
        <f>IF(E5616="","",INDEX(Knutepunkter!$B:$B,E5616+1))</f>
        <v/>
      </c>
      <c r="J5616" t="str">
        <f>IF(E5616="","",INDEX(Knutepunkter!$C:$C,E5616+1))</f>
        <v/>
      </c>
      <c r="K5616" t="str">
        <f>IF(E5616="","",INDEX(Knutepunkter!$D:$D,E5616+1))</f>
        <v/>
      </c>
      <c r="L5616" t="str">
        <f t="shared" si="438"/>
        <v/>
      </c>
      <c r="M5616" t="str">
        <f t="shared" si="439"/>
        <v/>
      </c>
    </row>
    <row r="5617" spans="1:13" x14ac:dyDescent="0.3">
      <c r="A5617" t="str">
        <f>Segmenter!A5617</f>
        <v/>
      </c>
      <c r="B5617" t="str">
        <f>Segmenter!B5617</f>
        <v/>
      </c>
      <c r="C5617" t="str">
        <f t="shared" si="435"/>
        <v/>
      </c>
      <c r="D5617" t="str">
        <f t="shared" si="436"/>
        <v/>
      </c>
      <c r="E5617" t="str">
        <f t="shared" si="437"/>
        <v/>
      </c>
      <c r="F5617" t="str">
        <f>IF(D5617="","",INDEX(Knutepunkter!$B:$B,D5617+1))</f>
        <v/>
      </c>
      <c r="G5617" t="str">
        <f>IF(D5617="","",INDEX(Knutepunkter!$C:$C,D5617+1))</f>
        <v/>
      </c>
      <c r="H5617" t="str">
        <f>IF(D5617="","",INDEX(Knutepunkter!$D:$D,D5617+1))</f>
        <v/>
      </c>
      <c r="I5617" t="str">
        <f>IF(E5617="","",INDEX(Knutepunkter!$B:$B,E5617+1))</f>
        <v/>
      </c>
      <c r="J5617" t="str">
        <f>IF(E5617="","",INDEX(Knutepunkter!$C:$C,E5617+1))</f>
        <v/>
      </c>
      <c r="K5617" t="str">
        <f>IF(E5617="","",INDEX(Knutepunkter!$D:$D,E5617+1))</f>
        <v/>
      </c>
      <c r="L5617" t="str">
        <f t="shared" si="438"/>
        <v/>
      </c>
      <c r="M5617" t="str">
        <f t="shared" si="439"/>
        <v/>
      </c>
    </row>
    <row r="5618" spans="1:13" x14ac:dyDescent="0.3">
      <c r="A5618" t="str">
        <f>Segmenter!A5618</f>
        <v/>
      </c>
      <c r="B5618" t="str">
        <f>Segmenter!B5618</f>
        <v/>
      </c>
      <c r="C5618" t="str">
        <f t="shared" si="435"/>
        <v/>
      </c>
      <c r="D5618" t="str">
        <f t="shared" si="436"/>
        <v/>
      </c>
      <c r="E5618" t="str">
        <f t="shared" si="437"/>
        <v/>
      </c>
      <c r="F5618" t="str">
        <f>IF(D5618="","",INDEX(Knutepunkter!$B:$B,D5618+1))</f>
        <v/>
      </c>
      <c r="G5618" t="str">
        <f>IF(D5618="","",INDEX(Knutepunkter!$C:$C,D5618+1))</f>
        <v/>
      </c>
      <c r="H5618" t="str">
        <f>IF(D5618="","",INDEX(Knutepunkter!$D:$D,D5618+1))</f>
        <v/>
      </c>
      <c r="I5618" t="str">
        <f>IF(E5618="","",INDEX(Knutepunkter!$B:$B,E5618+1))</f>
        <v/>
      </c>
      <c r="J5618" t="str">
        <f>IF(E5618="","",INDEX(Knutepunkter!$C:$C,E5618+1))</f>
        <v/>
      </c>
      <c r="K5618" t="str">
        <f>IF(E5618="","",INDEX(Knutepunkter!$D:$D,E5618+1))</f>
        <v/>
      </c>
      <c r="L5618" t="str">
        <f t="shared" si="438"/>
        <v/>
      </c>
      <c r="M5618" t="str">
        <f t="shared" si="439"/>
        <v/>
      </c>
    </row>
    <row r="5619" spans="1:13" x14ac:dyDescent="0.3">
      <c r="A5619" t="str">
        <f>Segmenter!A5619</f>
        <v/>
      </c>
      <c r="B5619" t="str">
        <f>Segmenter!B5619</f>
        <v/>
      </c>
      <c r="C5619" t="str">
        <f t="shared" si="435"/>
        <v/>
      </c>
      <c r="D5619" t="str">
        <f t="shared" si="436"/>
        <v/>
      </c>
      <c r="E5619" t="str">
        <f t="shared" si="437"/>
        <v/>
      </c>
      <c r="F5619" t="str">
        <f>IF(D5619="","",INDEX(Knutepunkter!$B:$B,D5619+1))</f>
        <v/>
      </c>
      <c r="G5619" t="str">
        <f>IF(D5619="","",INDEX(Knutepunkter!$C:$C,D5619+1))</f>
        <v/>
      </c>
      <c r="H5619" t="str">
        <f>IF(D5619="","",INDEX(Knutepunkter!$D:$D,D5619+1))</f>
        <v/>
      </c>
      <c r="I5619" t="str">
        <f>IF(E5619="","",INDEX(Knutepunkter!$B:$B,E5619+1))</f>
        <v/>
      </c>
      <c r="J5619" t="str">
        <f>IF(E5619="","",INDEX(Knutepunkter!$C:$C,E5619+1))</f>
        <v/>
      </c>
      <c r="K5619" t="str">
        <f>IF(E5619="","",INDEX(Knutepunkter!$D:$D,E5619+1))</f>
        <v/>
      </c>
      <c r="L5619" t="str">
        <f t="shared" si="438"/>
        <v/>
      </c>
      <c r="M5619" t="str">
        <f t="shared" si="439"/>
        <v/>
      </c>
    </row>
    <row r="5620" spans="1:13" x14ac:dyDescent="0.3">
      <c r="A5620" t="str">
        <f>Segmenter!A5620</f>
        <v/>
      </c>
      <c r="B5620" t="str">
        <f>Segmenter!B5620</f>
        <v/>
      </c>
      <c r="C5620" t="str">
        <f t="shared" si="435"/>
        <v/>
      </c>
      <c r="D5620" t="str">
        <f t="shared" si="436"/>
        <v/>
      </c>
      <c r="E5620" t="str">
        <f t="shared" si="437"/>
        <v/>
      </c>
      <c r="F5620" t="str">
        <f>IF(D5620="","",INDEX(Knutepunkter!$B:$B,D5620+1))</f>
        <v/>
      </c>
      <c r="G5620" t="str">
        <f>IF(D5620="","",INDEX(Knutepunkter!$C:$C,D5620+1))</f>
        <v/>
      </c>
      <c r="H5620" t="str">
        <f>IF(D5620="","",INDEX(Knutepunkter!$D:$D,D5620+1))</f>
        <v/>
      </c>
      <c r="I5620" t="str">
        <f>IF(E5620="","",INDEX(Knutepunkter!$B:$B,E5620+1))</f>
        <v/>
      </c>
      <c r="J5620" t="str">
        <f>IF(E5620="","",INDEX(Knutepunkter!$C:$C,E5620+1))</f>
        <v/>
      </c>
      <c r="K5620" t="str">
        <f>IF(E5620="","",INDEX(Knutepunkter!$D:$D,E5620+1))</f>
        <v/>
      </c>
      <c r="L5620" t="str">
        <f t="shared" si="438"/>
        <v/>
      </c>
      <c r="M5620" t="str">
        <f t="shared" si="439"/>
        <v/>
      </c>
    </row>
    <row r="5621" spans="1:13" x14ac:dyDescent="0.3">
      <c r="A5621" t="str">
        <f>Segmenter!A5621</f>
        <v/>
      </c>
      <c r="B5621" t="str">
        <f>Segmenter!B5621</f>
        <v/>
      </c>
      <c r="C5621" t="str">
        <f t="shared" si="435"/>
        <v/>
      </c>
      <c r="D5621" t="str">
        <f t="shared" si="436"/>
        <v/>
      </c>
      <c r="E5621" t="str">
        <f t="shared" si="437"/>
        <v/>
      </c>
      <c r="F5621" t="str">
        <f>IF(D5621="","",INDEX(Knutepunkter!$B:$B,D5621+1))</f>
        <v/>
      </c>
      <c r="G5621" t="str">
        <f>IF(D5621="","",INDEX(Knutepunkter!$C:$C,D5621+1))</f>
        <v/>
      </c>
      <c r="H5621" t="str">
        <f>IF(D5621="","",INDEX(Knutepunkter!$D:$D,D5621+1))</f>
        <v/>
      </c>
      <c r="I5621" t="str">
        <f>IF(E5621="","",INDEX(Knutepunkter!$B:$B,E5621+1))</f>
        <v/>
      </c>
      <c r="J5621" t="str">
        <f>IF(E5621="","",INDEX(Knutepunkter!$C:$C,E5621+1))</f>
        <v/>
      </c>
      <c r="K5621" t="str">
        <f>IF(E5621="","",INDEX(Knutepunkter!$D:$D,E5621+1))</f>
        <v/>
      </c>
      <c r="L5621" t="str">
        <f t="shared" si="438"/>
        <v/>
      </c>
      <c r="M5621" t="str">
        <f t="shared" si="439"/>
        <v/>
      </c>
    </row>
    <row r="5622" spans="1:13" x14ac:dyDescent="0.3">
      <c r="A5622" t="str">
        <f>Segmenter!A5622</f>
        <v/>
      </c>
      <c r="B5622" t="str">
        <f>Segmenter!B5622</f>
        <v/>
      </c>
      <c r="C5622" t="str">
        <f t="shared" si="435"/>
        <v/>
      </c>
      <c r="D5622" t="str">
        <f t="shared" si="436"/>
        <v/>
      </c>
      <c r="E5622" t="str">
        <f t="shared" si="437"/>
        <v/>
      </c>
      <c r="F5622" t="str">
        <f>IF(D5622="","",INDEX(Knutepunkter!$B:$B,D5622+1))</f>
        <v/>
      </c>
      <c r="G5622" t="str">
        <f>IF(D5622="","",INDEX(Knutepunkter!$C:$C,D5622+1))</f>
        <v/>
      </c>
      <c r="H5622" t="str">
        <f>IF(D5622="","",INDEX(Knutepunkter!$D:$D,D5622+1))</f>
        <v/>
      </c>
      <c r="I5622" t="str">
        <f>IF(E5622="","",INDEX(Knutepunkter!$B:$B,E5622+1))</f>
        <v/>
      </c>
      <c r="J5622" t="str">
        <f>IF(E5622="","",INDEX(Knutepunkter!$C:$C,E5622+1))</f>
        <v/>
      </c>
      <c r="K5622" t="str">
        <f>IF(E5622="","",INDEX(Knutepunkter!$D:$D,E5622+1))</f>
        <v/>
      </c>
      <c r="L5622" t="str">
        <f t="shared" si="438"/>
        <v/>
      </c>
      <c r="M5622" t="str">
        <f t="shared" si="439"/>
        <v/>
      </c>
    </row>
    <row r="5623" spans="1:13" x14ac:dyDescent="0.3">
      <c r="A5623" t="str">
        <f>Segmenter!A5623</f>
        <v/>
      </c>
      <c r="B5623" t="str">
        <f>Segmenter!B5623</f>
        <v/>
      </c>
      <c r="C5623" t="str">
        <f t="shared" si="435"/>
        <v/>
      </c>
      <c r="D5623" t="str">
        <f t="shared" si="436"/>
        <v/>
      </c>
      <c r="E5623" t="str">
        <f t="shared" si="437"/>
        <v/>
      </c>
      <c r="F5623" t="str">
        <f>IF(D5623="","",INDEX(Knutepunkter!$B:$B,D5623+1))</f>
        <v/>
      </c>
      <c r="G5623" t="str">
        <f>IF(D5623="","",INDEX(Knutepunkter!$C:$C,D5623+1))</f>
        <v/>
      </c>
      <c r="H5623" t="str">
        <f>IF(D5623="","",INDEX(Knutepunkter!$D:$D,D5623+1))</f>
        <v/>
      </c>
      <c r="I5623" t="str">
        <f>IF(E5623="","",INDEX(Knutepunkter!$B:$B,E5623+1))</f>
        <v/>
      </c>
      <c r="J5623" t="str">
        <f>IF(E5623="","",INDEX(Knutepunkter!$C:$C,E5623+1))</f>
        <v/>
      </c>
      <c r="K5623" t="str">
        <f>IF(E5623="","",INDEX(Knutepunkter!$D:$D,E5623+1))</f>
        <v/>
      </c>
      <c r="L5623" t="str">
        <f t="shared" si="438"/>
        <v/>
      </c>
      <c r="M5623" t="str">
        <f t="shared" si="439"/>
        <v/>
      </c>
    </row>
    <row r="5624" spans="1:13" x14ac:dyDescent="0.3">
      <c r="A5624" t="str">
        <f>Segmenter!A5624</f>
        <v/>
      </c>
      <c r="B5624" t="str">
        <f>Segmenter!B5624</f>
        <v/>
      </c>
      <c r="C5624" t="str">
        <f t="shared" si="435"/>
        <v/>
      </c>
      <c r="D5624" t="str">
        <f t="shared" si="436"/>
        <v/>
      </c>
      <c r="E5624" t="str">
        <f t="shared" si="437"/>
        <v/>
      </c>
      <c r="F5624" t="str">
        <f>IF(D5624="","",INDEX(Knutepunkter!$B:$B,D5624+1))</f>
        <v/>
      </c>
      <c r="G5624" t="str">
        <f>IF(D5624="","",INDEX(Knutepunkter!$C:$C,D5624+1))</f>
        <v/>
      </c>
      <c r="H5624" t="str">
        <f>IF(D5624="","",INDEX(Knutepunkter!$D:$D,D5624+1))</f>
        <v/>
      </c>
      <c r="I5624" t="str">
        <f>IF(E5624="","",INDEX(Knutepunkter!$B:$B,E5624+1))</f>
        <v/>
      </c>
      <c r="J5624" t="str">
        <f>IF(E5624="","",INDEX(Knutepunkter!$C:$C,E5624+1))</f>
        <v/>
      </c>
      <c r="K5624" t="str">
        <f>IF(E5624="","",INDEX(Knutepunkter!$D:$D,E5624+1))</f>
        <v/>
      </c>
      <c r="L5624" t="str">
        <f t="shared" si="438"/>
        <v/>
      </c>
      <c r="M5624" t="str">
        <f t="shared" si="439"/>
        <v/>
      </c>
    </row>
    <row r="5625" spans="1:13" x14ac:dyDescent="0.3">
      <c r="A5625" t="str">
        <f>Segmenter!A5625</f>
        <v/>
      </c>
      <c r="B5625" t="str">
        <f>Segmenter!B5625</f>
        <v/>
      </c>
      <c r="C5625" t="str">
        <f t="shared" si="435"/>
        <v/>
      </c>
      <c r="D5625" t="str">
        <f t="shared" si="436"/>
        <v/>
      </c>
      <c r="E5625" t="str">
        <f t="shared" si="437"/>
        <v/>
      </c>
      <c r="F5625" t="str">
        <f>IF(D5625="","",INDEX(Knutepunkter!$B:$B,D5625+1))</f>
        <v/>
      </c>
      <c r="G5625" t="str">
        <f>IF(D5625="","",INDEX(Knutepunkter!$C:$C,D5625+1))</f>
        <v/>
      </c>
      <c r="H5625" t="str">
        <f>IF(D5625="","",INDEX(Knutepunkter!$D:$D,D5625+1))</f>
        <v/>
      </c>
      <c r="I5625" t="str">
        <f>IF(E5625="","",INDEX(Knutepunkter!$B:$B,E5625+1))</f>
        <v/>
      </c>
      <c r="J5625" t="str">
        <f>IF(E5625="","",INDEX(Knutepunkter!$C:$C,E5625+1))</f>
        <v/>
      </c>
      <c r="K5625" t="str">
        <f>IF(E5625="","",INDEX(Knutepunkter!$D:$D,E5625+1))</f>
        <v/>
      </c>
      <c r="L5625" t="str">
        <f t="shared" si="438"/>
        <v/>
      </c>
      <c r="M5625" t="str">
        <f t="shared" si="439"/>
        <v/>
      </c>
    </row>
    <row r="5626" spans="1:13" x14ac:dyDescent="0.3">
      <c r="A5626" t="str">
        <f>Segmenter!A5626</f>
        <v/>
      </c>
      <c r="B5626" t="str">
        <f>Segmenter!B5626</f>
        <v/>
      </c>
      <c r="C5626" t="str">
        <f t="shared" si="435"/>
        <v/>
      </c>
      <c r="D5626" t="str">
        <f t="shared" si="436"/>
        <v/>
      </c>
      <c r="E5626" t="str">
        <f t="shared" si="437"/>
        <v/>
      </c>
      <c r="F5626" t="str">
        <f>IF(D5626="","",INDEX(Knutepunkter!$B:$B,D5626+1))</f>
        <v/>
      </c>
      <c r="G5626" t="str">
        <f>IF(D5626="","",INDEX(Knutepunkter!$C:$C,D5626+1))</f>
        <v/>
      </c>
      <c r="H5626" t="str">
        <f>IF(D5626="","",INDEX(Knutepunkter!$D:$D,D5626+1))</f>
        <v/>
      </c>
      <c r="I5626" t="str">
        <f>IF(E5626="","",INDEX(Knutepunkter!$B:$B,E5626+1))</f>
        <v/>
      </c>
      <c r="J5626" t="str">
        <f>IF(E5626="","",INDEX(Knutepunkter!$C:$C,E5626+1))</f>
        <v/>
      </c>
      <c r="K5626" t="str">
        <f>IF(E5626="","",INDEX(Knutepunkter!$D:$D,E5626+1))</f>
        <v/>
      </c>
      <c r="L5626" t="str">
        <f t="shared" si="438"/>
        <v/>
      </c>
      <c r="M5626" t="str">
        <f t="shared" si="439"/>
        <v/>
      </c>
    </row>
    <row r="5627" spans="1:13" x14ac:dyDescent="0.3">
      <c r="A5627" t="str">
        <f>Segmenter!A5627</f>
        <v/>
      </c>
      <c r="B5627" t="str">
        <f>Segmenter!B5627</f>
        <v/>
      </c>
      <c r="C5627" t="str">
        <f t="shared" si="435"/>
        <v/>
      </c>
      <c r="D5627" t="str">
        <f t="shared" si="436"/>
        <v/>
      </c>
      <c r="E5627" t="str">
        <f t="shared" si="437"/>
        <v/>
      </c>
      <c r="F5627" t="str">
        <f>IF(D5627="","",INDEX(Knutepunkter!$B:$B,D5627+1))</f>
        <v/>
      </c>
      <c r="G5627" t="str">
        <f>IF(D5627="","",INDEX(Knutepunkter!$C:$C,D5627+1))</f>
        <v/>
      </c>
      <c r="H5627" t="str">
        <f>IF(D5627="","",INDEX(Knutepunkter!$D:$D,D5627+1))</f>
        <v/>
      </c>
      <c r="I5627" t="str">
        <f>IF(E5627="","",INDEX(Knutepunkter!$B:$B,E5627+1))</f>
        <v/>
      </c>
      <c r="J5627" t="str">
        <f>IF(E5627="","",INDEX(Knutepunkter!$C:$C,E5627+1))</f>
        <v/>
      </c>
      <c r="K5627" t="str">
        <f>IF(E5627="","",INDEX(Knutepunkter!$D:$D,E5627+1))</f>
        <v/>
      </c>
      <c r="L5627" t="str">
        <f t="shared" si="438"/>
        <v/>
      </c>
      <c r="M5627" t="str">
        <f t="shared" si="439"/>
        <v/>
      </c>
    </row>
    <row r="5628" spans="1:13" x14ac:dyDescent="0.3">
      <c r="A5628" t="str">
        <f>Segmenter!A5628</f>
        <v/>
      </c>
      <c r="B5628" t="str">
        <f>Segmenter!B5628</f>
        <v/>
      </c>
      <c r="C5628" t="str">
        <f t="shared" si="435"/>
        <v/>
      </c>
      <c r="D5628" t="str">
        <f t="shared" si="436"/>
        <v/>
      </c>
      <c r="E5628" t="str">
        <f t="shared" si="437"/>
        <v/>
      </c>
      <c r="F5628" t="str">
        <f>IF(D5628="","",INDEX(Knutepunkter!$B:$B,D5628+1))</f>
        <v/>
      </c>
      <c r="G5628" t="str">
        <f>IF(D5628="","",INDEX(Knutepunkter!$C:$C,D5628+1))</f>
        <v/>
      </c>
      <c r="H5628" t="str">
        <f>IF(D5628="","",INDEX(Knutepunkter!$D:$D,D5628+1))</f>
        <v/>
      </c>
      <c r="I5628" t="str">
        <f>IF(E5628="","",INDEX(Knutepunkter!$B:$B,E5628+1))</f>
        <v/>
      </c>
      <c r="J5628" t="str">
        <f>IF(E5628="","",INDEX(Knutepunkter!$C:$C,E5628+1))</f>
        <v/>
      </c>
      <c r="K5628" t="str">
        <f>IF(E5628="","",INDEX(Knutepunkter!$D:$D,E5628+1))</f>
        <v/>
      </c>
      <c r="L5628" t="str">
        <f t="shared" si="438"/>
        <v/>
      </c>
      <c r="M5628" t="str">
        <f t="shared" si="439"/>
        <v/>
      </c>
    </row>
    <row r="5629" spans="1:13" x14ac:dyDescent="0.3">
      <c r="A5629" t="str">
        <f>Segmenter!A5629</f>
        <v/>
      </c>
      <c r="B5629" t="str">
        <f>Segmenter!B5629</f>
        <v/>
      </c>
      <c r="C5629" t="str">
        <f t="shared" si="435"/>
        <v/>
      </c>
      <c r="D5629" t="str">
        <f t="shared" si="436"/>
        <v/>
      </c>
      <c r="E5629" t="str">
        <f t="shared" si="437"/>
        <v/>
      </c>
      <c r="F5629" t="str">
        <f>IF(D5629="","",INDEX(Knutepunkter!$B:$B,D5629+1))</f>
        <v/>
      </c>
      <c r="G5629" t="str">
        <f>IF(D5629="","",INDEX(Knutepunkter!$C:$C,D5629+1))</f>
        <v/>
      </c>
      <c r="H5629" t="str">
        <f>IF(D5629="","",INDEX(Knutepunkter!$D:$D,D5629+1))</f>
        <v/>
      </c>
      <c r="I5629" t="str">
        <f>IF(E5629="","",INDEX(Knutepunkter!$B:$B,E5629+1))</f>
        <v/>
      </c>
      <c r="J5629" t="str">
        <f>IF(E5629="","",INDEX(Knutepunkter!$C:$C,E5629+1))</f>
        <v/>
      </c>
      <c r="K5629" t="str">
        <f>IF(E5629="","",INDEX(Knutepunkter!$D:$D,E5629+1))</f>
        <v/>
      </c>
      <c r="L5629" t="str">
        <f t="shared" si="438"/>
        <v/>
      </c>
      <c r="M5629" t="str">
        <f t="shared" si="439"/>
        <v/>
      </c>
    </row>
    <row r="5630" spans="1:13" x14ac:dyDescent="0.3">
      <c r="A5630" t="str">
        <f>Segmenter!A5630</f>
        <v/>
      </c>
      <c r="B5630" t="str">
        <f>Segmenter!B5630</f>
        <v/>
      </c>
      <c r="C5630" t="str">
        <f t="shared" si="435"/>
        <v/>
      </c>
      <c r="D5630" t="str">
        <f t="shared" si="436"/>
        <v/>
      </c>
      <c r="E5630" t="str">
        <f t="shared" si="437"/>
        <v/>
      </c>
      <c r="F5630" t="str">
        <f>IF(D5630="","",INDEX(Knutepunkter!$B:$B,D5630+1))</f>
        <v/>
      </c>
      <c r="G5630" t="str">
        <f>IF(D5630="","",INDEX(Knutepunkter!$C:$C,D5630+1))</f>
        <v/>
      </c>
      <c r="H5630" t="str">
        <f>IF(D5630="","",INDEX(Knutepunkter!$D:$D,D5630+1))</f>
        <v/>
      </c>
      <c r="I5630" t="str">
        <f>IF(E5630="","",INDEX(Knutepunkter!$B:$B,E5630+1))</f>
        <v/>
      </c>
      <c r="J5630" t="str">
        <f>IF(E5630="","",INDEX(Knutepunkter!$C:$C,E5630+1))</f>
        <v/>
      </c>
      <c r="K5630" t="str">
        <f>IF(E5630="","",INDEX(Knutepunkter!$D:$D,E5630+1))</f>
        <v/>
      </c>
      <c r="L5630" t="str">
        <f t="shared" si="438"/>
        <v/>
      </c>
      <c r="M5630" t="str">
        <f t="shared" si="439"/>
        <v/>
      </c>
    </row>
    <row r="5631" spans="1:13" x14ac:dyDescent="0.3">
      <c r="A5631" t="str">
        <f>Segmenter!A5631</f>
        <v/>
      </c>
      <c r="B5631" t="str">
        <f>Segmenter!B5631</f>
        <v/>
      </c>
      <c r="C5631" t="str">
        <f t="shared" si="435"/>
        <v/>
      </c>
      <c r="D5631" t="str">
        <f t="shared" si="436"/>
        <v/>
      </c>
      <c r="E5631" t="str">
        <f t="shared" si="437"/>
        <v/>
      </c>
      <c r="F5631" t="str">
        <f>IF(D5631="","",INDEX(Knutepunkter!$B:$B,D5631+1))</f>
        <v/>
      </c>
      <c r="G5631" t="str">
        <f>IF(D5631="","",INDEX(Knutepunkter!$C:$C,D5631+1))</f>
        <v/>
      </c>
      <c r="H5631" t="str">
        <f>IF(D5631="","",INDEX(Knutepunkter!$D:$D,D5631+1))</f>
        <v/>
      </c>
      <c r="I5631" t="str">
        <f>IF(E5631="","",INDEX(Knutepunkter!$B:$B,E5631+1))</f>
        <v/>
      </c>
      <c r="J5631" t="str">
        <f>IF(E5631="","",INDEX(Knutepunkter!$C:$C,E5631+1))</f>
        <v/>
      </c>
      <c r="K5631" t="str">
        <f>IF(E5631="","",INDEX(Knutepunkter!$D:$D,E5631+1))</f>
        <v/>
      </c>
      <c r="L5631" t="str">
        <f t="shared" si="438"/>
        <v/>
      </c>
      <c r="M5631" t="str">
        <f t="shared" si="439"/>
        <v/>
      </c>
    </row>
    <row r="5632" spans="1:13" x14ac:dyDescent="0.3">
      <c r="A5632" t="str">
        <f>Segmenter!A5632</f>
        <v/>
      </c>
      <c r="B5632" t="str">
        <f>Segmenter!B5632</f>
        <v/>
      </c>
      <c r="C5632" t="str">
        <f t="shared" si="435"/>
        <v/>
      </c>
      <c r="D5632" t="str">
        <f t="shared" si="436"/>
        <v/>
      </c>
      <c r="E5632" t="str">
        <f t="shared" si="437"/>
        <v/>
      </c>
      <c r="F5632" t="str">
        <f>IF(D5632="","",INDEX(Knutepunkter!$B:$B,D5632+1))</f>
        <v/>
      </c>
      <c r="G5632" t="str">
        <f>IF(D5632="","",INDEX(Knutepunkter!$C:$C,D5632+1))</f>
        <v/>
      </c>
      <c r="H5632" t="str">
        <f>IF(D5632="","",INDEX(Knutepunkter!$D:$D,D5632+1))</f>
        <v/>
      </c>
      <c r="I5632" t="str">
        <f>IF(E5632="","",INDEX(Knutepunkter!$B:$B,E5632+1))</f>
        <v/>
      </c>
      <c r="J5632" t="str">
        <f>IF(E5632="","",INDEX(Knutepunkter!$C:$C,E5632+1))</f>
        <v/>
      </c>
      <c r="K5632" t="str">
        <f>IF(E5632="","",INDEX(Knutepunkter!$D:$D,E5632+1))</f>
        <v/>
      </c>
      <c r="L5632" t="str">
        <f t="shared" si="438"/>
        <v/>
      </c>
      <c r="M5632" t="str">
        <f t="shared" si="439"/>
        <v/>
      </c>
    </row>
    <row r="5633" spans="1:13" x14ac:dyDescent="0.3">
      <c r="A5633" t="str">
        <f>Segmenter!A5633</f>
        <v/>
      </c>
      <c r="B5633" t="str">
        <f>Segmenter!B5633</f>
        <v/>
      </c>
      <c r="C5633" t="str">
        <f t="shared" si="435"/>
        <v/>
      </c>
      <c r="D5633" t="str">
        <f t="shared" si="436"/>
        <v/>
      </c>
      <c r="E5633" t="str">
        <f t="shared" si="437"/>
        <v/>
      </c>
      <c r="F5633" t="str">
        <f>IF(D5633="","",INDEX(Knutepunkter!$B:$B,D5633+1))</f>
        <v/>
      </c>
      <c r="G5633" t="str">
        <f>IF(D5633="","",INDEX(Knutepunkter!$C:$C,D5633+1))</f>
        <v/>
      </c>
      <c r="H5633" t="str">
        <f>IF(D5633="","",INDEX(Knutepunkter!$D:$D,D5633+1))</f>
        <v/>
      </c>
      <c r="I5633" t="str">
        <f>IF(E5633="","",INDEX(Knutepunkter!$B:$B,E5633+1))</f>
        <v/>
      </c>
      <c r="J5633" t="str">
        <f>IF(E5633="","",INDEX(Knutepunkter!$C:$C,E5633+1))</f>
        <v/>
      </c>
      <c r="K5633" t="str">
        <f>IF(E5633="","",INDEX(Knutepunkter!$D:$D,E5633+1))</f>
        <v/>
      </c>
      <c r="L5633" t="str">
        <f t="shared" si="438"/>
        <v/>
      </c>
      <c r="M5633" t="str">
        <f t="shared" si="439"/>
        <v/>
      </c>
    </row>
    <row r="5634" spans="1:13" x14ac:dyDescent="0.3">
      <c r="A5634" t="str">
        <f>Segmenter!A5634</f>
        <v/>
      </c>
      <c r="B5634" t="str">
        <f>Segmenter!B5634</f>
        <v/>
      </c>
      <c r="C5634" t="str">
        <f t="shared" ref="C5634:C5697" si="440">IF(B5634="","",IF(AND(F5634=I5634,G5634=J5634,H5634&lt;&gt;K5634),"Søyle","Bjelke"))</f>
        <v/>
      </c>
      <c r="D5634" t="str">
        <f t="shared" ref="D5634:D5697" si="441">IF(B5634="","",VALUE(LEFT(B5634,FIND(" -&gt; ",B5634)-1)))</f>
        <v/>
      </c>
      <c r="E5634" t="str">
        <f t="shared" ref="E5634:E5697" si="442">IF(B5634="","",VALUE(MID(B5634,FIND(" -&gt; ",B5634)+4,99)))</f>
        <v/>
      </c>
      <c r="F5634" t="str">
        <f>IF(D5634="","",INDEX(Knutepunkter!$B:$B,D5634+1))</f>
        <v/>
      </c>
      <c r="G5634" t="str">
        <f>IF(D5634="","",INDEX(Knutepunkter!$C:$C,D5634+1))</f>
        <v/>
      </c>
      <c r="H5634" t="str">
        <f>IF(D5634="","",INDEX(Knutepunkter!$D:$D,D5634+1))</f>
        <v/>
      </c>
      <c r="I5634" t="str">
        <f>IF(E5634="","",INDEX(Knutepunkter!$B:$B,E5634+1))</f>
        <v/>
      </c>
      <c r="J5634" t="str">
        <f>IF(E5634="","",INDEX(Knutepunkter!$C:$C,E5634+1))</f>
        <v/>
      </c>
      <c r="K5634" t="str">
        <f>IF(E5634="","",INDEX(Knutepunkter!$D:$D,E5634+1))</f>
        <v/>
      </c>
      <c r="L5634" t="str">
        <f t="shared" ref="L5634:L5697" si="443">IF(B5634="","",SQRT((I5634-F5634)^2+(J5634-G5634)^2+(K5634-H5634)^2))</f>
        <v/>
      </c>
      <c r="M5634" t="str">
        <f t="shared" ref="M5634:M5697" si="444">IF(L5634="","",L5634/1000)</f>
        <v/>
      </c>
    </row>
    <row r="5635" spans="1:13" x14ac:dyDescent="0.3">
      <c r="A5635" t="str">
        <f>Segmenter!A5635</f>
        <v/>
      </c>
      <c r="B5635" t="str">
        <f>Segmenter!B5635</f>
        <v/>
      </c>
      <c r="C5635" t="str">
        <f t="shared" si="440"/>
        <v/>
      </c>
      <c r="D5635" t="str">
        <f t="shared" si="441"/>
        <v/>
      </c>
      <c r="E5635" t="str">
        <f t="shared" si="442"/>
        <v/>
      </c>
      <c r="F5635" t="str">
        <f>IF(D5635="","",INDEX(Knutepunkter!$B:$B,D5635+1))</f>
        <v/>
      </c>
      <c r="G5635" t="str">
        <f>IF(D5635="","",INDEX(Knutepunkter!$C:$C,D5635+1))</f>
        <v/>
      </c>
      <c r="H5635" t="str">
        <f>IF(D5635="","",INDEX(Knutepunkter!$D:$D,D5635+1))</f>
        <v/>
      </c>
      <c r="I5635" t="str">
        <f>IF(E5635="","",INDEX(Knutepunkter!$B:$B,E5635+1))</f>
        <v/>
      </c>
      <c r="J5635" t="str">
        <f>IF(E5635="","",INDEX(Knutepunkter!$C:$C,E5635+1))</f>
        <v/>
      </c>
      <c r="K5635" t="str">
        <f>IF(E5635="","",INDEX(Knutepunkter!$D:$D,E5635+1))</f>
        <v/>
      </c>
      <c r="L5635" t="str">
        <f t="shared" si="443"/>
        <v/>
      </c>
      <c r="M5635" t="str">
        <f t="shared" si="444"/>
        <v/>
      </c>
    </row>
    <row r="5636" spans="1:13" x14ac:dyDescent="0.3">
      <c r="A5636" t="str">
        <f>Segmenter!A5636</f>
        <v/>
      </c>
      <c r="B5636" t="str">
        <f>Segmenter!B5636</f>
        <v/>
      </c>
      <c r="C5636" t="str">
        <f t="shared" si="440"/>
        <v/>
      </c>
      <c r="D5636" t="str">
        <f t="shared" si="441"/>
        <v/>
      </c>
      <c r="E5636" t="str">
        <f t="shared" si="442"/>
        <v/>
      </c>
      <c r="F5636" t="str">
        <f>IF(D5636="","",INDEX(Knutepunkter!$B:$B,D5636+1))</f>
        <v/>
      </c>
      <c r="G5636" t="str">
        <f>IF(D5636="","",INDEX(Knutepunkter!$C:$C,D5636+1))</f>
        <v/>
      </c>
      <c r="H5636" t="str">
        <f>IF(D5636="","",INDEX(Knutepunkter!$D:$D,D5636+1))</f>
        <v/>
      </c>
      <c r="I5636" t="str">
        <f>IF(E5636="","",INDEX(Knutepunkter!$B:$B,E5636+1))</f>
        <v/>
      </c>
      <c r="J5636" t="str">
        <f>IF(E5636="","",INDEX(Knutepunkter!$C:$C,E5636+1))</f>
        <v/>
      </c>
      <c r="K5636" t="str">
        <f>IF(E5636="","",INDEX(Knutepunkter!$D:$D,E5636+1))</f>
        <v/>
      </c>
      <c r="L5636" t="str">
        <f t="shared" si="443"/>
        <v/>
      </c>
      <c r="M5636" t="str">
        <f t="shared" si="444"/>
        <v/>
      </c>
    </row>
    <row r="5637" spans="1:13" x14ac:dyDescent="0.3">
      <c r="A5637" t="str">
        <f>Segmenter!A5637</f>
        <v/>
      </c>
      <c r="B5637" t="str">
        <f>Segmenter!B5637</f>
        <v/>
      </c>
      <c r="C5637" t="str">
        <f t="shared" si="440"/>
        <v/>
      </c>
      <c r="D5637" t="str">
        <f t="shared" si="441"/>
        <v/>
      </c>
      <c r="E5637" t="str">
        <f t="shared" si="442"/>
        <v/>
      </c>
      <c r="F5637" t="str">
        <f>IF(D5637="","",INDEX(Knutepunkter!$B:$B,D5637+1))</f>
        <v/>
      </c>
      <c r="G5637" t="str">
        <f>IF(D5637="","",INDEX(Knutepunkter!$C:$C,D5637+1))</f>
        <v/>
      </c>
      <c r="H5637" t="str">
        <f>IF(D5637="","",INDEX(Knutepunkter!$D:$D,D5637+1))</f>
        <v/>
      </c>
      <c r="I5637" t="str">
        <f>IF(E5637="","",INDEX(Knutepunkter!$B:$B,E5637+1))</f>
        <v/>
      </c>
      <c r="J5637" t="str">
        <f>IF(E5637="","",INDEX(Knutepunkter!$C:$C,E5637+1))</f>
        <v/>
      </c>
      <c r="K5637" t="str">
        <f>IF(E5637="","",INDEX(Knutepunkter!$D:$D,E5637+1))</f>
        <v/>
      </c>
      <c r="L5637" t="str">
        <f t="shared" si="443"/>
        <v/>
      </c>
      <c r="M5637" t="str">
        <f t="shared" si="444"/>
        <v/>
      </c>
    </row>
    <row r="5638" spans="1:13" x14ac:dyDescent="0.3">
      <c r="A5638" t="str">
        <f>Segmenter!A5638</f>
        <v/>
      </c>
      <c r="B5638" t="str">
        <f>Segmenter!B5638</f>
        <v/>
      </c>
      <c r="C5638" t="str">
        <f t="shared" si="440"/>
        <v/>
      </c>
      <c r="D5638" t="str">
        <f t="shared" si="441"/>
        <v/>
      </c>
      <c r="E5638" t="str">
        <f t="shared" si="442"/>
        <v/>
      </c>
      <c r="F5638" t="str">
        <f>IF(D5638="","",INDEX(Knutepunkter!$B:$B,D5638+1))</f>
        <v/>
      </c>
      <c r="G5638" t="str">
        <f>IF(D5638="","",INDEX(Knutepunkter!$C:$C,D5638+1))</f>
        <v/>
      </c>
      <c r="H5638" t="str">
        <f>IF(D5638="","",INDEX(Knutepunkter!$D:$D,D5638+1))</f>
        <v/>
      </c>
      <c r="I5638" t="str">
        <f>IF(E5638="","",INDEX(Knutepunkter!$B:$B,E5638+1))</f>
        <v/>
      </c>
      <c r="J5638" t="str">
        <f>IF(E5638="","",INDEX(Knutepunkter!$C:$C,E5638+1))</f>
        <v/>
      </c>
      <c r="K5638" t="str">
        <f>IF(E5638="","",INDEX(Knutepunkter!$D:$D,E5638+1))</f>
        <v/>
      </c>
      <c r="L5638" t="str">
        <f t="shared" si="443"/>
        <v/>
      </c>
      <c r="M5638" t="str">
        <f t="shared" si="444"/>
        <v/>
      </c>
    </row>
    <row r="5639" spans="1:13" x14ac:dyDescent="0.3">
      <c r="A5639" t="str">
        <f>Segmenter!A5639</f>
        <v/>
      </c>
      <c r="B5639" t="str">
        <f>Segmenter!B5639</f>
        <v/>
      </c>
      <c r="C5639" t="str">
        <f t="shared" si="440"/>
        <v/>
      </c>
      <c r="D5639" t="str">
        <f t="shared" si="441"/>
        <v/>
      </c>
      <c r="E5639" t="str">
        <f t="shared" si="442"/>
        <v/>
      </c>
      <c r="F5639" t="str">
        <f>IF(D5639="","",INDEX(Knutepunkter!$B:$B,D5639+1))</f>
        <v/>
      </c>
      <c r="G5639" t="str">
        <f>IF(D5639="","",INDEX(Knutepunkter!$C:$C,D5639+1))</f>
        <v/>
      </c>
      <c r="H5639" t="str">
        <f>IF(D5639="","",INDEX(Knutepunkter!$D:$D,D5639+1))</f>
        <v/>
      </c>
      <c r="I5639" t="str">
        <f>IF(E5639="","",INDEX(Knutepunkter!$B:$B,E5639+1))</f>
        <v/>
      </c>
      <c r="J5639" t="str">
        <f>IF(E5639="","",INDEX(Knutepunkter!$C:$C,E5639+1))</f>
        <v/>
      </c>
      <c r="K5639" t="str">
        <f>IF(E5639="","",INDEX(Knutepunkter!$D:$D,E5639+1))</f>
        <v/>
      </c>
      <c r="L5639" t="str">
        <f t="shared" si="443"/>
        <v/>
      </c>
      <c r="M5639" t="str">
        <f t="shared" si="444"/>
        <v/>
      </c>
    </row>
    <row r="5640" spans="1:13" x14ac:dyDescent="0.3">
      <c r="A5640" t="str">
        <f>Segmenter!A5640</f>
        <v/>
      </c>
      <c r="B5640" t="str">
        <f>Segmenter!B5640</f>
        <v/>
      </c>
      <c r="C5640" t="str">
        <f t="shared" si="440"/>
        <v/>
      </c>
      <c r="D5640" t="str">
        <f t="shared" si="441"/>
        <v/>
      </c>
      <c r="E5640" t="str">
        <f t="shared" si="442"/>
        <v/>
      </c>
      <c r="F5640" t="str">
        <f>IF(D5640="","",INDEX(Knutepunkter!$B:$B,D5640+1))</f>
        <v/>
      </c>
      <c r="G5640" t="str">
        <f>IF(D5640="","",INDEX(Knutepunkter!$C:$C,D5640+1))</f>
        <v/>
      </c>
      <c r="H5640" t="str">
        <f>IF(D5640="","",INDEX(Knutepunkter!$D:$D,D5640+1))</f>
        <v/>
      </c>
      <c r="I5640" t="str">
        <f>IF(E5640="","",INDEX(Knutepunkter!$B:$B,E5640+1))</f>
        <v/>
      </c>
      <c r="J5640" t="str">
        <f>IF(E5640="","",INDEX(Knutepunkter!$C:$C,E5640+1))</f>
        <v/>
      </c>
      <c r="K5640" t="str">
        <f>IF(E5640="","",INDEX(Knutepunkter!$D:$D,E5640+1))</f>
        <v/>
      </c>
      <c r="L5640" t="str">
        <f t="shared" si="443"/>
        <v/>
      </c>
      <c r="M5640" t="str">
        <f t="shared" si="444"/>
        <v/>
      </c>
    </row>
    <row r="5641" spans="1:13" x14ac:dyDescent="0.3">
      <c r="A5641" t="str">
        <f>Segmenter!A5641</f>
        <v/>
      </c>
      <c r="B5641" t="str">
        <f>Segmenter!B5641</f>
        <v/>
      </c>
      <c r="C5641" t="str">
        <f t="shared" si="440"/>
        <v/>
      </c>
      <c r="D5641" t="str">
        <f t="shared" si="441"/>
        <v/>
      </c>
      <c r="E5641" t="str">
        <f t="shared" si="442"/>
        <v/>
      </c>
      <c r="F5641" t="str">
        <f>IF(D5641="","",INDEX(Knutepunkter!$B:$B,D5641+1))</f>
        <v/>
      </c>
      <c r="G5641" t="str">
        <f>IF(D5641="","",INDEX(Knutepunkter!$C:$C,D5641+1))</f>
        <v/>
      </c>
      <c r="H5641" t="str">
        <f>IF(D5641="","",INDEX(Knutepunkter!$D:$D,D5641+1))</f>
        <v/>
      </c>
      <c r="I5641" t="str">
        <f>IF(E5641="","",INDEX(Knutepunkter!$B:$B,E5641+1))</f>
        <v/>
      </c>
      <c r="J5641" t="str">
        <f>IF(E5641="","",INDEX(Knutepunkter!$C:$C,E5641+1))</f>
        <v/>
      </c>
      <c r="K5641" t="str">
        <f>IF(E5641="","",INDEX(Knutepunkter!$D:$D,E5641+1))</f>
        <v/>
      </c>
      <c r="L5641" t="str">
        <f t="shared" si="443"/>
        <v/>
      </c>
      <c r="M5641" t="str">
        <f t="shared" si="444"/>
        <v/>
      </c>
    </row>
    <row r="5642" spans="1:13" x14ac:dyDescent="0.3">
      <c r="A5642" t="str">
        <f>Segmenter!A5642</f>
        <v/>
      </c>
      <c r="B5642" t="str">
        <f>Segmenter!B5642</f>
        <v/>
      </c>
      <c r="C5642" t="str">
        <f t="shared" si="440"/>
        <v/>
      </c>
      <c r="D5642" t="str">
        <f t="shared" si="441"/>
        <v/>
      </c>
      <c r="E5642" t="str">
        <f t="shared" si="442"/>
        <v/>
      </c>
      <c r="F5642" t="str">
        <f>IF(D5642="","",INDEX(Knutepunkter!$B:$B,D5642+1))</f>
        <v/>
      </c>
      <c r="G5642" t="str">
        <f>IF(D5642="","",INDEX(Knutepunkter!$C:$C,D5642+1))</f>
        <v/>
      </c>
      <c r="H5642" t="str">
        <f>IF(D5642="","",INDEX(Knutepunkter!$D:$D,D5642+1))</f>
        <v/>
      </c>
      <c r="I5642" t="str">
        <f>IF(E5642="","",INDEX(Knutepunkter!$B:$B,E5642+1))</f>
        <v/>
      </c>
      <c r="J5642" t="str">
        <f>IF(E5642="","",INDEX(Knutepunkter!$C:$C,E5642+1))</f>
        <v/>
      </c>
      <c r="K5642" t="str">
        <f>IF(E5642="","",INDEX(Knutepunkter!$D:$D,E5642+1))</f>
        <v/>
      </c>
      <c r="L5642" t="str">
        <f t="shared" si="443"/>
        <v/>
      </c>
      <c r="M5642" t="str">
        <f t="shared" si="444"/>
        <v/>
      </c>
    </row>
    <row r="5643" spans="1:13" x14ac:dyDescent="0.3">
      <c r="A5643" t="str">
        <f>Segmenter!A5643</f>
        <v/>
      </c>
      <c r="B5643" t="str">
        <f>Segmenter!B5643</f>
        <v/>
      </c>
      <c r="C5643" t="str">
        <f t="shared" si="440"/>
        <v/>
      </c>
      <c r="D5643" t="str">
        <f t="shared" si="441"/>
        <v/>
      </c>
      <c r="E5643" t="str">
        <f t="shared" si="442"/>
        <v/>
      </c>
      <c r="F5643" t="str">
        <f>IF(D5643="","",INDEX(Knutepunkter!$B:$B,D5643+1))</f>
        <v/>
      </c>
      <c r="G5643" t="str">
        <f>IF(D5643="","",INDEX(Knutepunkter!$C:$C,D5643+1))</f>
        <v/>
      </c>
      <c r="H5643" t="str">
        <f>IF(D5643="","",INDEX(Knutepunkter!$D:$D,D5643+1))</f>
        <v/>
      </c>
      <c r="I5643" t="str">
        <f>IF(E5643="","",INDEX(Knutepunkter!$B:$B,E5643+1))</f>
        <v/>
      </c>
      <c r="J5643" t="str">
        <f>IF(E5643="","",INDEX(Knutepunkter!$C:$C,E5643+1))</f>
        <v/>
      </c>
      <c r="K5643" t="str">
        <f>IF(E5643="","",INDEX(Knutepunkter!$D:$D,E5643+1))</f>
        <v/>
      </c>
      <c r="L5643" t="str">
        <f t="shared" si="443"/>
        <v/>
      </c>
      <c r="M5643" t="str">
        <f t="shared" si="444"/>
        <v/>
      </c>
    </row>
    <row r="5644" spans="1:13" x14ac:dyDescent="0.3">
      <c r="A5644" t="str">
        <f>Segmenter!A5644</f>
        <v/>
      </c>
      <c r="B5644" t="str">
        <f>Segmenter!B5644</f>
        <v/>
      </c>
      <c r="C5644" t="str">
        <f t="shared" si="440"/>
        <v/>
      </c>
      <c r="D5644" t="str">
        <f t="shared" si="441"/>
        <v/>
      </c>
      <c r="E5644" t="str">
        <f t="shared" si="442"/>
        <v/>
      </c>
      <c r="F5644" t="str">
        <f>IF(D5644="","",INDEX(Knutepunkter!$B:$B,D5644+1))</f>
        <v/>
      </c>
      <c r="G5644" t="str">
        <f>IF(D5644="","",INDEX(Knutepunkter!$C:$C,D5644+1))</f>
        <v/>
      </c>
      <c r="H5644" t="str">
        <f>IF(D5644="","",INDEX(Knutepunkter!$D:$D,D5644+1))</f>
        <v/>
      </c>
      <c r="I5644" t="str">
        <f>IF(E5644="","",INDEX(Knutepunkter!$B:$B,E5644+1))</f>
        <v/>
      </c>
      <c r="J5644" t="str">
        <f>IF(E5644="","",INDEX(Knutepunkter!$C:$C,E5644+1))</f>
        <v/>
      </c>
      <c r="K5644" t="str">
        <f>IF(E5644="","",INDEX(Knutepunkter!$D:$D,E5644+1))</f>
        <v/>
      </c>
      <c r="L5644" t="str">
        <f t="shared" si="443"/>
        <v/>
      </c>
      <c r="M5644" t="str">
        <f t="shared" si="444"/>
        <v/>
      </c>
    </row>
    <row r="5645" spans="1:13" x14ac:dyDescent="0.3">
      <c r="A5645" t="str">
        <f>Segmenter!A5645</f>
        <v/>
      </c>
      <c r="B5645" t="str">
        <f>Segmenter!B5645</f>
        <v/>
      </c>
      <c r="C5645" t="str">
        <f t="shared" si="440"/>
        <v/>
      </c>
      <c r="D5645" t="str">
        <f t="shared" si="441"/>
        <v/>
      </c>
      <c r="E5645" t="str">
        <f t="shared" si="442"/>
        <v/>
      </c>
      <c r="F5645" t="str">
        <f>IF(D5645="","",INDEX(Knutepunkter!$B:$B,D5645+1))</f>
        <v/>
      </c>
      <c r="G5645" t="str">
        <f>IF(D5645="","",INDEX(Knutepunkter!$C:$C,D5645+1))</f>
        <v/>
      </c>
      <c r="H5645" t="str">
        <f>IF(D5645="","",INDEX(Knutepunkter!$D:$D,D5645+1))</f>
        <v/>
      </c>
      <c r="I5645" t="str">
        <f>IF(E5645="","",INDEX(Knutepunkter!$B:$B,E5645+1))</f>
        <v/>
      </c>
      <c r="J5645" t="str">
        <f>IF(E5645="","",INDEX(Knutepunkter!$C:$C,E5645+1))</f>
        <v/>
      </c>
      <c r="K5645" t="str">
        <f>IF(E5645="","",INDEX(Knutepunkter!$D:$D,E5645+1))</f>
        <v/>
      </c>
      <c r="L5645" t="str">
        <f t="shared" si="443"/>
        <v/>
      </c>
      <c r="M5645" t="str">
        <f t="shared" si="444"/>
        <v/>
      </c>
    </row>
    <row r="5646" spans="1:13" x14ac:dyDescent="0.3">
      <c r="A5646" t="str">
        <f>Segmenter!A5646</f>
        <v/>
      </c>
      <c r="B5646" t="str">
        <f>Segmenter!B5646</f>
        <v/>
      </c>
      <c r="C5646" t="str">
        <f t="shared" si="440"/>
        <v/>
      </c>
      <c r="D5646" t="str">
        <f t="shared" si="441"/>
        <v/>
      </c>
      <c r="E5646" t="str">
        <f t="shared" si="442"/>
        <v/>
      </c>
      <c r="F5646" t="str">
        <f>IF(D5646="","",INDEX(Knutepunkter!$B:$B,D5646+1))</f>
        <v/>
      </c>
      <c r="G5646" t="str">
        <f>IF(D5646="","",INDEX(Knutepunkter!$C:$C,D5646+1))</f>
        <v/>
      </c>
      <c r="H5646" t="str">
        <f>IF(D5646="","",INDEX(Knutepunkter!$D:$D,D5646+1))</f>
        <v/>
      </c>
      <c r="I5646" t="str">
        <f>IF(E5646="","",INDEX(Knutepunkter!$B:$B,E5646+1))</f>
        <v/>
      </c>
      <c r="J5646" t="str">
        <f>IF(E5646="","",INDEX(Knutepunkter!$C:$C,E5646+1))</f>
        <v/>
      </c>
      <c r="K5646" t="str">
        <f>IF(E5646="","",INDEX(Knutepunkter!$D:$D,E5646+1))</f>
        <v/>
      </c>
      <c r="L5646" t="str">
        <f t="shared" si="443"/>
        <v/>
      </c>
      <c r="M5646" t="str">
        <f t="shared" si="444"/>
        <v/>
      </c>
    </row>
    <row r="5647" spans="1:13" x14ac:dyDescent="0.3">
      <c r="A5647" t="str">
        <f>Segmenter!A5647</f>
        <v/>
      </c>
      <c r="B5647" t="str">
        <f>Segmenter!B5647</f>
        <v/>
      </c>
      <c r="C5647" t="str">
        <f t="shared" si="440"/>
        <v/>
      </c>
      <c r="D5647" t="str">
        <f t="shared" si="441"/>
        <v/>
      </c>
      <c r="E5647" t="str">
        <f t="shared" si="442"/>
        <v/>
      </c>
      <c r="F5647" t="str">
        <f>IF(D5647="","",INDEX(Knutepunkter!$B:$B,D5647+1))</f>
        <v/>
      </c>
      <c r="G5647" t="str">
        <f>IF(D5647="","",INDEX(Knutepunkter!$C:$C,D5647+1))</f>
        <v/>
      </c>
      <c r="H5647" t="str">
        <f>IF(D5647="","",INDEX(Knutepunkter!$D:$D,D5647+1))</f>
        <v/>
      </c>
      <c r="I5647" t="str">
        <f>IF(E5647="","",INDEX(Knutepunkter!$B:$B,E5647+1))</f>
        <v/>
      </c>
      <c r="J5647" t="str">
        <f>IF(E5647="","",INDEX(Knutepunkter!$C:$C,E5647+1))</f>
        <v/>
      </c>
      <c r="K5647" t="str">
        <f>IF(E5647="","",INDEX(Knutepunkter!$D:$D,E5647+1))</f>
        <v/>
      </c>
      <c r="L5647" t="str">
        <f t="shared" si="443"/>
        <v/>
      </c>
      <c r="M5647" t="str">
        <f t="shared" si="444"/>
        <v/>
      </c>
    </row>
    <row r="5648" spans="1:13" x14ac:dyDescent="0.3">
      <c r="A5648" t="str">
        <f>Segmenter!A5648</f>
        <v/>
      </c>
      <c r="B5648" t="str">
        <f>Segmenter!B5648</f>
        <v/>
      </c>
      <c r="C5648" t="str">
        <f t="shared" si="440"/>
        <v/>
      </c>
      <c r="D5648" t="str">
        <f t="shared" si="441"/>
        <v/>
      </c>
      <c r="E5648" t="str">
        <f t="shared" si="442"/>
        <v/>
      </c>
      <c r="F5648" t="str">
        <f>IF(D5648="","",INDEX(Knutepunkter!$B:$B,D5648+1))</f>
        <v/>
      </c>
      <c r="G5648" t="str">
        <f>IF(D5648="","",INDEX(Knutepunkter!$C:$C,D5648+1))</f>
        <v/>
      </c>
      <c r="H5648" t="str">
        <f>IF(D5648="","",INDEX(Knutepunkter!$D:$D,D5648+1))</f>
        <v/>
      </c>
      <c r="I5648" t="str">
        <f>IF(E5648="","",INDEX(Knutepunkter!$B:$B,E5648+1))</f>
        <v/>
      </c>
      <c r="J5648" t="str">
        <f>IF(E5648="","",INDEX(Knutepunkter!$C:$C,E5648+1))</f>
        <v/>
      </c>
      <c r="K5648" t="str">
        <f>IF(E5648="","",INDEX(Knutepunkter!$D:$D,E5648+1))</f>
        <v/>
      </c>
      <c r="L5648" t="str">
        <f t="shared" si="443"/>
        <v/>
      </c>
      <c r="M5648" t="str">
        <f t="shared" si="444"/>
        <v/>
      </c>
    </row>
    <row r="5649" spans="1:13" x14ac:dyDescent="0.3">
      <c r="A5649" t="str">
        <f>Segmenter!A5649</f>
        <v/>
      </c>
      <c r="B5649" t="str">
        <f>Segmenter!B5649</f>
        <v/>
      </c>
      <c r="C5649" t="str">
        <f t="shared" si="440"/>
        <v/>
      </c>
      <c r="D5649" t="str">
        <f t="shared" si="441"/>
        <v/>
      </c>
      <c r="E5649" t="str">
        <f t="shared" si="442"/>
        <v/>
      </c>
      <c r="F5649" t="str">
        <f>IF(D5649="","",INDEX(Knutepunkter!$B:$B,D5649+1))</f>
        <v/>
      </c>
      <c r="G5649" t="str">
        <f>IF(D5649="","",INDEX(Knutepunkter!$C:$C,D5649+1))</f>
        <v/>
      </c>
      <c r="H5649" t="str">
        <f>IF(D5649="","",INDEX(Knutepunkter!$D:$D,D5649+1))</f>
        <v/>
      </c>
      <c r="I5649" t="str">
        <f>IF(E5649="","",INDEX(Knutepunkter!$B:$B,E5649+1))</f>
        <v/>
      </c>
      <c r="J5649" t="str">
        <f>IF(E5649="","",INDEX(Knutepunkter!$C:$C,E5649+1))</f>
        <v/>
      </c>
      <c r="K5649" t="str">
        <f>IF(E5649="","",INDEX(Knutepunkter!$D:$D,E5649+1))</f>
        <v/>
      </c>
      <c r="L5649" t="str">
        <f t="shared" si="443"/>
        <v/>
      </c>
      <c r="M5649" t="str">
        <f t="shared" si="444"/>
        <v/>
      </c>
    </row>
    <row r="5650" spans="1:13" x14ac:dyDescent="0.3">
      <c r="A5650" t="str">
        <f>Segmenter!A5650</f>
        <v/>
      </c>
      <c r="B5650" t="str">
        <f>Segmenter!B5650</f>
        <v/>
      </c>
      <c r="C5650" t="str">
        <f t="shared" si="440"/>
        <v/>
      </c>
      <c r="D5650" t="str">
        <f t="shared" si="441"/>
        <v/>
      </c>
      <c r="E5650" t="str">
        <f t="shared" si="442"/>
        <v/>
      </c>
      <c r="F5650" t="str">
        <f>IF(D5650="","",INDEX(Knutepunkter!$B:$B,D5650+1))</f>
        <v/>
      </c>
      <c r="G5650" t="str">
        <f>IF(D5650="","",INDEX(Knutepunkter!$C:$C,D5650+1))</f>
        <v/>
      </c>
      <c r="H5650" t="str">
        <f>IF(D5650="","",INDEX(Knutepunkter!$D:$D,D5650+1))</f>
        <v/>
      </c>
      <c r="I5650" t="str">
        <f>IF(E5650="","",INDEX(Knutepunkter!$B:$B,E5650+1))</f>
        <v/>
      </c>
      <c r="J5650" t="str">
        <f>IF(E5650="","",INDEX(Knutepunkter!$C:$C,E5650+1))</f>
        <v/>
      </c>
      <c r="K5650" t="str">
        <f>IF(E5650="","",INDEX(Knutepunkter!$D:$D,E5650+1))</f>
        <v/>
      </c>
      <c r="L5650" t="str">
        <f t="shared" si="443"/>
        <v/>
      </c>
      <c r="M5650" t="str">
        <f t="shared" si="444"/>
        <v/>
      </c>
    </row>
    <row r="5651" spans="1:13" x14ac:dyDescent="0.3">
      <c r="A5651" t="str">
        <f>Segmenter!A5651</f>
        <v/>
      </c>
      <c r="B5651" t="str">
        <f>Segmenter!B5651</f>
        <v/>
      </c>
      <c r="C5651" t="str">
        <f t="shared" si="440"/>
        <v/>
      </c>
      <c r="D5651" t="str">
        <f t="shared" si="441"/>
        <v/>
      </c>
      <c r="E5651" t="str">
        <f t="shared" si="442"/>
        <v/>
      </c>
      <c r="F5651" t="str">
        <f>IF(D5651="","",INDEX(Knutepunkter!$B:$B,D5651+1))</f>
        <v/>
      </c>
      <c r="G5651" t="str">
        <f>IF(D5651="","",INDEX(Knutepunkter!$C:$C,D5651+1))</f>
        <v/>
      </c>
      <c r="H5651" t="str">
        <f>IF(D5651="","",INDEX(Knutepunkter!$D:$D,D5651+1))</f>
        <v/>
      </c>
      <c r="I5651" t="str">
        <f>IF(E5651="","",INDEX(Knutepunkter!$B:$B,E5651+1))</f>
        <v/>
      </c>
      <c r="J5651" t="str">
        <f>IF(E5651="","",INDEX(Knutepunkter!$C:$C,E5651+1))</f>
        <v/>
      </c>
      <c r="K5651" t="str">
        <f>IF(E5651="","",INDEX(Knutepunkter!$D:$D,E5651+1))</f>
        <v/>
      </c>
      <c r="L5651" t="str">
        <f t="shared" si="443"/>
        <v/>
      </c>
      <c r="M5651" t="str">
        <f t="shared" si="444"/>
        <v/>
      </c>
    </row>
    <row r="5652" spans="1:13" x14ac:dyDescent="0.3">
      <c r="A5652" t="str">
        <f>Segmenter!A5652</f>
        <v/>
      </c>
      <c r="B5652" t="str">
        <f>Segmenter!B5652</f>
        <v/>
      </c>
      <c r="C5652" t="str">
        <f t="shared" si="440"/>
        <v/>
      </c>
      <c r="D5652" t="str">
        <f t="shared" si="441"/>
        <v/>
      </c>
      <c r="E5652" t="str">
        <f t="shared" si="442"/>
        <v/>
      </c>
      <c r="F5652" t="str">
        <f>IF(D5652="","",INDEX(Knutepunkter!$B:$B,D5652+1))</f>
        <v/>
      </c>
      <c r="G5652" t="str">
        <f>IF(D5652="","",INDEX(Knutepunkter!$C:$C,D5652+1))</f>
        <v/>
      </c>
      <c r="H5652" t="str">
        <f>IF(D5652="","",INDEX(Knutepunkter!$D:$D,D5652+1))</f>
        <v/>
      </c>
      <c r="I5652" t="str">
        <f>IF(E5652="","",INDEX(Knutepunkter!$B:$B,E5652+1))</f>
        <v/>
      </c>
      <c r="J5652" t="str">
        <f>IF(E5652="","",INDEX(Knutepunkter!$C:$C,E5652+1))</f>
        <v/>
      </c>
      <c r="K5652" t="str">
        <f>IF(E5652="","",INDEX(Knutepunkter!$D:$D,E5652+1))</f>
        <v/>
      </c>
      <c r="L5652" t="str">
        <f t="shared" si="443"/>
        <v/>
      </c>
      <c r="M5652" t="str">
        <f t="shared" si="444"/>
        <v/>
      </c>
    </row>
    <row r="5653" spans="1:13" x14ac:dyDescent="0.3">
      <c r="A5653" t="str">
        <f>Segmenter!A5653</f>
        <v/>
      </c>
      <c r="B5653" t="str">
        <f>Segmenter!B5653</f>
        <v/>
      </c>
      <c r="C5653" t="str">
        <f t="shared" si="440"/>
        <v/>
      </c>
      <c r="D5653" t="str">
        <f t="shared" si="441"/>
        <v/>
      </c>
      <c r="E5653" t="str">
        <f t="shared" si="442"/>
        <v/>
      </c>
      <c r="F5653" t="str">
        <f>IF(D5653="","",INDEX(Knutepunkter!$B:$B,D5653+1))</f>
        <v/>
      </c>
      <c r="G5653" t="str">
        <f>IF(D5653="","",INDEX(Knutepunkter!$C:$C,D5653+1))</f>
        <v/>
      </c>
      <c r="H5653" t="str">
        <f>IF(D5653="","",INDEX(Knutepunkter!$D:$D,D5653+1))</f>
        <v/>
      </c>
      <c r="I5653" t="str">
        <f>IF(E5653="","",INDEX(Knutepunkter!$B:$B,E5653+1))</f>
        <v/>
      </c>
      <c r="J5653" t="str">
        <f>IF(E5653="","",INDEX(Knutepunkter!$C:$C,E5653+1))</f>
        <v/>
      </c>
      <c r="K5653" t="str">
        <f>IF(E5653="","",INDEX(Knutepunkter!$D:$D,E5653+1))</f>
        <v/>
      </c>
      <c r="L5653" t="str">
        <f t="shared" si="443"/>
        <v/>
      </c>
      <c r="M5653" t="str">
        <f t="shared" si="444"/>
        <v/>
      </c>
    </row>
    <row r="5654" spans="1:13" x14ac:dyDescent="0.3">
      <c r="A5654" t="str">
        <f>Segmenter!A5654</f>
        <v/>
      </c>
      <c r="B5654" t="str">
        <f>Segmenter!B5654</f>
        <v/>
      </c>
      <c r="C5654" t="str">
        <f t="shared" si="440"/>
        <v/>
      </c>
      <c r="D5654" t="str">
        <f t="shared" si="441"/>
        <v/>
      </c>
      <c r="E5654" t="str">
        <f t="shared" si="442"/>
        <v/>
      </c>
      <c r="F5654" t="str">
        <f>IF(D5654="","",INDEX(Knutepunkter!$B:$B,D5654+1))</f>
        <v/>
      </c>
      <c r="G5654" t="str">
        <f>IF(D5654="","",INDEX(Knutepunkter!$C:$C,D5654+1))</f>
        <v/>
      </c>
      <c r="H5654" t="str">
        <f>IF(D5654="","",INDEX(Knutepunkter!$D:$D,D5654+1))</f>
        <v/>
      </c>
      <c r="I5654" t="str">
        <f>IF(E5654="","",INDEX(Knutepunkter!$B:$B,E5654+1))</f>
        <v/>
      </c>
      <c r="J5654" t="str">
        <f>IF(E5654="","",INDEX(Knutepunkter!$C:$C,E5654+1))</f>
        <v/>
      </c>
      <c r="K5654" t="str">
        <f>IF(E5654="","",INDEX(Knutepunkter!$D:$D,E5654+1))</f>
        <v/>
      </c>
      <c r="L5654" t="str">
        <f t="shared" si="443"/>
        <v/>
      </c>
      <c r="M5654" t="str">
        <f t="shared" si="444"/>
        <v/>
      </c>
    </row>
    <row r="5655" spans="1:13" x14ac:dyDescent="0.3">
      <c r="A5655" t="str">
        <f>Segmenter!A5655</f>
        <v/>
      </c>
      <c r="B5655" t="str">
        <f>Segmenter!B5655</f>
        <v/>
      </c>
      <c r="C5655" t="str">
        <f t="shared" si="440"/>
        <v/>
      </c>
      <c r="D5655" t="str">
        <f t="shared" si="441"/>
        <v/>
      </c>
      <c r="E5655" t="str">
        <f t="shared" si="442"/>
        <v/>
      </c>
      <c r="F5655" t="str">
        <f>IF(D5655="","",INDEX(Knutepunkter!$B:$B,D5655+1))</f>
        <v/>
      </c>
      <c r="G5655" t="str">
        <f>IF(D5655="","",INDEX(Knutepunkter!$C:$C,D5655+1))</f>
        <v/>
      </c>
      <c r="H5655" t="str">
        <f>IF(D5655="","",INDEX(Knutepunkter!$D:$D,D5655+1))</f>
        <v/>
      </c>
      <c r="I5655" t="str">
        <f>IF(E5655="","",INDEX(Knutepunkter!$B:$B,E5655+1))</f>
        <v/>
      </c>
      <c r="J5655" t="str">
        <f>IF(E5655="","",INDEX(Knutepunkter!$C:$C,E5655+1))</f>
        <v/>
      </c>
      <c r="K5655" t="str">
        <f>IF(E5655="","",INDEX(Knutepunkter!$D:$D,E5655+1))</f>
        <v/>
      </c>
      <c r="L5655" t="str">
        <f t="shared" si="443"/>
        <v/>
      </c>
      <c r="M5655" t="str">
        <f t="shared" si="444"/>
        <v/>
      </c>
    </row>
    <row r="5656" spans="1:13" x14ac:dyDescent="0.3">
      <c r="A5656" t="str">
        <f>Segmenter!A5656</f>
        <v/>
      </c>
      <c r="B5656" t="str">
        <f>Segmenter!B5656</f>
        <v/>
      </c>
      <c r="C5656" t="str">
        <f t="shared" si="440"/>
        <v/>
      </c>
      <c r="D5656" t="str">
        <f t="shared" si="441"/>
        <v/>
      </c>
      <c r="E5656" t="str">
        <f t="shared" si="442"/>
        <v/>
      </c>
      <c r="F5656" t="str">
        <f>IF(D5656="","",INDEX(Knutepunkter!$B:$B,D5656+1))</f>
        <v/>
      </c>
      <c r="G5656" t="str">
        <f>IF(D5656="","",INDEX(Knutepunkter!$C:$C,D5656+1))</f>
        <v/>
      </c>
      <c r="H5656" t="str">
        <f>IF(D5656="","",INDEX(Knutepunkter!$D:$D,D5656+1))</f>
        <v/>
      </c>
      <c r="I5656" t="str">
        <f>IF(E5656="","",INDEX(Knutepunkter!$B:$B,E5656+1))</f>
        <v/>
      </c>
      <c r="J5656" t="str">
        <f>IF(E5656="","",INDEX(Knutepunkter!$C:$C,E5656+1))</f>
        <v/>
      </c>
      <c r="K5656" t="str">
        <f>IF(E5656="","",INDEX(Knutepunkter!$D:$D,E5656+1))</f>
        <v/>
      </c>
      <c r="L5656" t="str">
        <f t="shared" si="443"/>
        <v/>
      </c>
      <c r="M5656" t="str">
        <f t="shared" si="444"/>
        <v/>
      </c>
    </row>
    <row r="5657" spans="1:13" x14ac:dyDescent="0.3">
      <c r="A5657" t="str">
        <f>Segmenter!A5657</f>
        <v/>
      </c>
      <c r="B5657" t="str">
        <f>Segmenter!B5657</f>
        <v/>
      </c>
      <c r="C5657" t="str">
        <f t="shared" si="440"/>
        <v/>
      </c>
      <c r="D5657" t="str">
        <f t="shared" si="441"/>
        <v/>
      </c>
      <c r="E5657" t="str">
        <f t="shared" si="442"/>
        <v/>
      </c>
      <c r="F5657" t="str">
        <f>IF(D5657="","",INDEX(Knutepunkter!$B:$B,D5657+1))</f>
        <v/>
      </c>
      <c r="G5657" t="str">
        <f>IF(D5657="","",INDEX(Knutepunkter!$C:$C,D5657+1))</f>
        <v/>
      </c>
      <c r="H5657" t="str">
        <f>IF(D5657="","",INDEX(Knutepunkter!$D:$D,D5657+1))</f>
        <v/>
      </c>
      <c r="I5657" t="str">
        <f>IF(E5657="","",INDEX(Knutepunkter!$B:$B,E5657+1))</f>
        <v/>
      </c>
      <c r="J5657" t="str">
        <f>IF(E5657="","",INDEX(Knutepunkter!$C:$C,E5657+1))</f>
        <v/>
      </c>
      <c r="K5657" t="str">
        <f>IF(E5657="","",INDEX(Knutepunkter!$D:$D,E5657+1))</f>
        <v/>
      </c>
      <c r="L5657" t="str">
        <f t="shared" si="443"/>
        <v/>
      </c>
      <c r="M5657" t="str">
        <f t="shared" si="444"/>
        <v/>
      </c>
    </row>
    <row r="5658" spans="1:13" x14ac:dyDescent="0.3">
      <c r="A5658" t="str">
        <f>Segmenter!A5658</f>
        <v/>
      </c>
      <c r="B5658" t="str">
        <f>Segmenter!B5658</f>
        <v/>
      </c>
      <c r="C5658" t="str">
        <f t="shared" si="440"/>
        <v/>
      </c>
      <c r="D5658" t="str">
        <f t="shared" si="441"/>
        <v/>
      </c>
      <c r="E5658" t="str">
        <f t="shared" si="442"/>
        <v/>
      </c>
      <c r="F5658" t="str">
        <f>IF(D5658="","",INDEX(Knutepunkter!$B:$B,D5658+1))</f>
        <v/>
      </c>
      <c r="G5658" t="str">
        <f>IF(D5658="","",INDEX(Knutepunkter!$C:$C,D5658+1))</f>
        <v/>
      </c>
      <c r="H5658" t="str">
        <f>IF(D5658="","",INDEX(Knutepunkter!$D:$D,D5658+1))</f>
        <v/>
      </c>
      <c r="I5658" t="str">
        <f>IF(E5658="","",INDEX(Knutepunkter!$B:$B,E5658+1))</f>
        <v/>
      </c>
      <c r="J5658" t="str">
        <f>IF(E5658="","",INDEX(Knutepunkter!$C:$C,E5658+1))</f>
        <v/>
      </c>
      <c r="K5658" t="str">
        <f>IF(E5658="","",INDEX(Knutepunkter!$D:$D,E5658+1))</f>
        <v/>
      </c>
      <c r="L5658" t="str">
        <f t="shared" si="443"/>
        <v/>
      </c>
      <c r="M5658" t="str">
        <f t="shared" si="444"/>
        <v/>
      </c>
    </row>
    <row r="5659" spans="1:13" x14ac:dyDescent="0.3">
      <c r="A5659" t="str">
        <f>Segmenter!A5659</f>
        <v/>
      </c>
      <c r="B5659" t="str">
        <f>Segmenter!B5659</f>
        <v/>
      </c>
      <c r="C5659" t="str">
        <f t="shared" si="440"/>
        <v/>
      </c>
      <c r="D5659" t="str">
        <f t="shared" si="441"/>
        <v/>
      </c>
      <c r="E5659" t="str">
        <f t="shared" si="442"/>
        <v/>
      </c>
      <c r="F5659" t="str">
        <f>IF(D5659="","",INDEX(Knutepunkter!$B:$B,D5659+1))</f>
        <v/>
      </c>
      <c r="G5659" t="str">
        <f>IF(D5659="","",INDEX(Knutepunkter!$C:$C,D5659+1))</f>
        <v/>
      </c>
      <c r="H5659" t="str">
        <f>IF(D5659="","",INDEX(Knutepunkter!$D:$D,D5659+1))</f>
        <v/>
      </c>
      <c r="I5659" t="str">
        <f>IF(E5659="","",INDEX(Knutepunkter!$B:$B,E5659+1))</f>
        <v/>
      </c>
      <c r="J5659" t="str">
        <f>IF(E5659="","",INDEX(Knutepunkter!$C:$C,E5659+1))</f>
        <v/>
      </c>
      <c r="K5659" t="str">
        <f>IF(E5659="","",INDEX(Knutepunkter!$D:$D,E5659+1))</f>
        <v/>
      </c>
      <c r="L5659" t="str">
        <f t="shared" si="443"/>
        <v/>
      </c>
      <c r="M5659" t="str">
        <f t="shared" si="444"/>
        <v/>
      </c>
    </row>
    <row r="5660" spans="1:13" x14ac:dyDescent="0.3">
      <c r="A5660" t="str">
        <f>Segmenter!A5660</f>
        <v/>
      </c>
      <c r="B5660" t="str">
        <f>Segmenter!B5660</f>
        <v/>
      </c>
      <c r="C5660" t="str">
        <f t="shared" si="440"/>
        <v/>
      </c>
      <c r="D5660" t="str">
        <f t="shared" si="441"/>
        <v/>
      </c>
      <c r="E5660" t="str">
        <f t="shared" si="442"/>
        <v/>
      </c>
      <c r="F5660" t="str">
        <f>IF(D5660="","",INDEX(Knutepunkter!$B:$B,D5660+1))</f>
        <v/>
      </c>
      <c r="G5660" t="str">
        <f>IF(D5660="","",INDEX(Knutepunkter!$C:$C,D5660+1))</f>
        <v/>
      </c>
      <c r="H5660" t="str">
        <f>IF(D5660="","",INDEX(Knutepunkter!$D:$D,D5660+1))</f>
        <v/>
      </c>
      <c r="I5660" t="str">
        <f>IF(E5660="","",INDEX(Knutepunkter!$B:$B,E5660+1))</f>
        <v/>
      </c>
      <c r="J5660" t="str">
        <f>IF(E5660="","",INDEX(Knutepunkter!$C:$C,E5660+1))</f>
        <v/>
      </c>
      <c r="K5660" t="str">
        <f>IF(E5660="","",INDEX(Knutepunkter!$D:$D,E5660+1))</f>
        <v/>
      </c>
      <c r="L5660" t="str">
        <f t="shared" si="443"/>
        <v/>
      </c>
      <c r="M5660" t="str">
        <f t="shared" si="444"/>
        <v/>
      </c>
    </row>
    <row r="5661" spans="1:13" x14ac:dyDescent="0.3">
      <c r="A5661" t="str">
        <f>Segmenter!A5661</f>
        <v/>
      </c>
      <c r="B5661" t="str">
        <f>Segmenter!B5661</f>
        <v/>
      </c>
      <c r="C5661" t="str">
        <f t="shared" si="440"/>
        <v/>
      </c>
      <c r="D5661" t="str">
        <f t="shared" si="441"/>
        <v/>
      </c>
      <c r="E5661" t="str">
        <f t="shared" si="442"/>
        <v/>
      </c>
      <c r="F5661" t="str">
        <f>IF(D5661="","",INDEX(Knutepunkter!$B:$B,D5661+1))</f>
        <v/>
      </c>
      <c r="G5661" t="str">
        <f>IF(D5661="","",INDEX(Knutepunkter!$C:$C,D5661+1))</f>
        <v/>
      </c>
      <c r="H5661" t="str">
        <f>IF(D5661="","",INDEX(Knutepunkter!$D:$D,D5661+1))</f>
        <v/>
      </c>
      <c r="I5661" t="str">
        <f>IF(E5661="","",INDEX(Knutepunkter!$B:$B,E5661+1))</f>
        <v/>
      </c>
      <c r="J5661" t="str">
        <f>IF(E5661="","",INDEX(Knutepunkter!$C:$C,E5661+1))</f>
        <v/>
      </c>
      <c r="K5661" t="str">
        <f>IF(E5661="","",INDEX(Knutepunkter!$D:$D,E5661+1))</f>
        <v/>
      </c>
      <c r="L5661" t="str">
        <f t="shared" si="443"/>
        <v/>
      </c>
      <c r="M5661" t="str">
        <f t="shared" si="444"/>
        <v/>
      </c>
    </row>
    <row r="5662" spans="1:13" x14ac:dyDescent="0.3">
      <c r="A5662" t="str">
        <f>Segmenter!A5662</f>
        <v/>
      </c>
      <c r="B5662" t="str">
        <f>Segmenter!B5662</f>
        <v/>
      </c>
      <c r="C5662" t="str">
        <f t="shared" si="440"/>
        <v/>
      </c>
      <c r="D5662" t="str">
        <f t="shared" si="441"/>
        <v/>
      </c>
      <c r="E5662" t="str">
        <f t="shared" si="442"/>
        <v/>
      </c>
      <c r="F5662" t="str">
        <f>IF(D5662="","",INDEX(Knutepunkter!$B:$B,D5662+1))</f>
        <v/>
      </c>
      <c r="G5662" t="str">
        <f>IF(D5662="","",INDEX(Knutepunkter!$C:$C,D5662+1))</f>
        <v/>
      </c>
      <c r="H5662" t="str">
        <f>IF(D5662="","",INDEX(Knutepunkter!$D:$D,D5662+1))</f>
        <v/>
      </c>
      <c r="I5662" t="str">
        <f>IF(E5662="","",INDEX(Knutepunkter!$B:$B,E5662+1))</f>
        <v/>
      </c>
      <c r="J5662" t="str">
        <f>IF(E5662="","",INDEX(Knutepunkter!$C:$C,E5662+1))</f>
        <v/>
      </c>
      <c r="K5662" t="str">
        <f>IF(E5662="","",INDEX(Knutepunkter!$D:$D,E5662+1))</f>
        <v/>
      </c>
      <c r="L5662" t="str">
        <f t="shared" si="443"/>
        <v/>
      </c>
      <c r="M5662" t="str">
        <f t="shared" si="444"/>
        <v/>
      </c>
    </row>
    <row r="5663" spans="1:13" x14ac:dyDescent="0.3">
      <c r="A5663" t="str">
        <f>Segmenter!A5663</f>
        <v/>
      </c>
      <c r="B5663" t="str">
        <f>Segmenter!B5663</f>
        <v/>
      </c>
      <c r="C5663" t="str">
        <f t="shared" si="440"/>
        <v/>
      </c>
      <c r="D5663" t="str">
        <f t="shared" si="441"/>
        <v/>
      </c>
      <c r="E5663" t="str">
        <f t="shared" si="442"/>
        <v/>
      </c>
      <c r="F5663" t="str">
        <f>IF(D5663="","",INDEX(Knutepunkter!$B:$B,D5663+1))</f>
        <v/>
      </c>
      <c r="G5663" t="str">
        <f>IF(D5663="","",INDEX(Knutepunkter!$C:$C,D5663+1))</f>
        <v/>
      </c>
      <c r="H5663" t="str">
        <f>IF(D5663="","",INDEX(Knutepunkter!$D:$D,D5663+1))</f>
        <v/>
      </c>
      <c r="I5663" t="str">
        <f>IF(E5663="","",INDEX(Knutepunkter!$B:$B,E5663+1))</f>
        <v/>
      </c>
      <c r="J5663" t="str">
        <f>IF(E5663="","",INDEX(Knutepunkter!$C:$C,E5663+1))</f>
        <v/>
      </c>
      <c r="K5663" t="str">
        <f>IF(E5663="","",INDEX(Knutepunkter!$D:$D,E5663+1))</f>
        <v/>
      </c>
      <c r="L5663" t="str">
        <f t="shared" si="443"/>
        <v/>
      </c>
      <c r="M5663" t="str">
        <f t="shared" si="444"/>
        <v/>
      </c>
    </row>
    <row r="5664" spans="1:13" x14ac:dyDescent="0.3">
      <c r="A5664" t="str">
        <f>Segmenter!A5664</f>
        <v/>
      </c>
      <c r="B5664" t="str">
        <f>Segmenter!B5664</f>
        <v/>
      </c>
      <c r="C5664" t="str">
        <f t="shared" si="440"/>
        <v/>
      </c>
      <c r="D5664" t="str">
        <f t="shared" si="441"/>
        <v/>
      </c>
      <c r="E5664" t="str">
        <f t="shared" si="442"/>
        <v/>
      </c>
      <c r="F5664" t="str">
        <f>IF(D5664="","",INDEX(Knutepunkter!$B:$B,D5664+1))</f>
        <v/>
      </c>
      <c r="G5664" t="str">
        <f>IF(D5664="","",INDEX(Knutepunkter!$C:$C,D5664+1))</f>
        <v/>
      </c>
      <c r="H5664" t="str">
        <f>IF(D5664="","",INDEX(Knutepunkter!$D:$D,D5664+1))</f>
        <v/>
      </c>
      <c r="I5664" t="str">
        <f>IF(E5664="","",INDEX(Knutepunkter!$B:$B,E5664+1))</f>
        <v/>
      </c>
      <c r="J5664" t="str">
        <f>IF(E5664="","",INDEX(Knutepunkter!$C:$C,E5664+1))</f>
        <v/>
      </c>
      <c r="K5664" t="str">
        <f>IF(E5664="","",INDEX(Knutepunkter!$D:$D,E5664+1))</f>
        <v/>
      </c>
      <c r="L5664" t="str">
        <f t="shared" si="443"/>
        <v/>
      </c>
      <c r="M5664" t="str">
        <f t="shared" si="444"/>
        <v/>
      </c>
    </row>
    <row r="5665" spans="1:13" x14ac:dyDescent="0.3">
      <c r="A5665" t="str">
        <f>Segmenter!A5665</f>
        <v/>
      </c>
      <c r="B5665" t="str">
        <f>Segmenter!B5665</f>
        <v/>
      </c>
      <c r="C5665" t="str">
        <f t="shared" si="440"/>
        <v/>
      </c>
      <c r="D5665" t="str">
        <f t="shared" si="441"/>
        <v/>
      </c>
      <c r="E5665" t="str">
        <f t="shared" si="442"/>
        <v/>
      </c>
      <c r="F5665" t="str">
        <f>IF(D5665="","",INDEX(Knutepunkter!$B:$B,D5665+1))</f>
        <v/>
      </c>
      <c r="G5665" t="str">
        <f>IF(D5665="","",INDEX(Knutepunkter!$C:$C,D5665+1))</f>
        <v/>
      </c>
      <c r="H5665" t="str">
        <f>IF(D5665="","",INDEX(Knutepunkter!$D:$D,D5665+1))</f>
        <v/>
      </c>
      <c r="I5665" t="str">
        <f>IF(E5665="","",INDEX(Knutepunkter!$B:$B,E5665+1))</f>
        <v/>
      </c>
      <c r="J5665" t="str">
        <f>IF(E5665="","",INDEX(Knutepunkter!$C:$C,E5665+1))</f>
        <v/>
      </c>
      <c r="K5665" t="str">
        <f>IF(E5665="","",INDEX(Knutepunkter!$D:$D,E5665+1))</f>
        <v/>
      </c>
      <c r="L5665" t="str">
        <f t="shared" si="443"/>
        <v/>
      </c>
      <c r="M5665" t="str">
        <f t="shared" si="444"/>
        <v/>
      </c>
    </row>
    <row r="5666" spans="1:13" x14ac:dyDescent="0.3">
      <c r="A5666" t="str">
        <f>Segmenter!A5666</f>
        <v/>
      </c>
      <c r="B5666" t="str">
        <f>Segmenter!B5666</f>
        <v/>
      </c>
      <c r="C5666" t="str">
        <f t="shared" si="440"/>
        <v/>
      </c>
      <c r="D5666" t="str">
        <f t="shared" si="441"/>
        <v/>
      </c>
      <c r="E5666" t="str">
        <f t="shared" si="442"/>
        <v/>
      </c>
      <c r="F5666" t="str">
        <f>IF(D5666="","",INDEX(Knutepunkter!$B:$B,D5666+1))</f>
        <v/>
      </c>
      <c r="G5666" t="str">
        <f>IF(D5666="","",INDEX(Knutepunkter!$C:$C,D5666+1))</f>
        <v/>
      </c>
      <c r="H5666" t="str">
        <f>IF(D5666="","",INDEX(Knutepunkter!$D:$D,D5666+1))</f>
        <v/>
      </c>
      <c r="I5666" t="str">
        <f>IF(E5666="","",INDEX(Knutepunkter!$B:$B,E5666+1))</f>
        <v/>
      </c>
      <c r="J5666" t="str">
        <f>IF(E5666="","",INDEX(Knutepunkter!$C:$C,E5666+1))</f>
        <v/>
      </c>
      <c r="K5666" t="str">
        <f>IF(E5666="","",INDEX(Knutepunkter!$D:$D,E5666+1))</f>
        <v/>
      </c>
      <c r="L5666" t="str">
        <f t="shared" si="443"/>
        <v/>
      </c>
      <c r="M5666" t="str">
        <f t="shared" si="444"/>
        <v/>
      </c>
    </row>
    <row r="5667" spans="1:13" x14ac:dyDescent="0.3">
      <c r="A5667" t="str">
        <f>Segmenter!A5667</f>
        <v/>
      </c>
      <c r="B5667" t="str">
        <f>Segmenter!B5667</f>
        <v/>
      </c>
      <c r="C5667" t="str">
        <f t="shared" si="440"/>
        <v/>
      </c>
      <c r="D5667" t="str">
        <f t="shared" si="441"/>
        <v/>
      </c>
      <c r="E5667" t="str">
        <f t="shared" si="442"/>
        <v/>
      </c>
      <c r="F5667" t="str">
        <f>IF(D5667="","",INDEX(Knutepunkter!$B:$B,D5667+1))</f>
        <v/>
      </c>
      <c r="G5667" t="str">
        <f>IF(D5667="","",INDEX(Knutepunkter!$C:$C,D5667+1))</f>
        <v/>
      </c>
      <c r="H5667" t="str">
        <f>IF(D5667="","",INDEX(Knutepunkter!$D:$D,D5667+1))</f>
        <v/>
      </c>
      <c r="I5667" t="str">
        <f>IF(E5667="","",INDEX(Knutepunkter!$B:$B,E5667+1))</f>
        <v/>
      </c>
      <c r="J5667" t="str">
        <f>IF(E5667="","",INDEX(Knutepunkter!$C:$C,E5667+1))</f>
        <v/>
      </c>
      <c r="K5667" t="str">
        <f>IF(E5667="","",INDEX(Knutepunkter!$D:$D,E5667+1))</f>
        <v/>
      </c>
      <c r="L5667" t="str">
        <f t="shared" si="443"/>
        <v/>
      </c>
      <c r="M5667" t="str">
        <f t="shared" si="444"/>
        <v/>
      </c>
    </row>
    <row r="5668" spans="1:13" x14ac:dyDescent="0.3">
      <c r="A5668" t="str">
        <f>Segmenter!A5668</f>
        <v/>
      </c>
      <c r="B5668" t="str">
        <f>Segmenter!B5668</f>
        <v/>
      </c>
      <c r="C5668" t="str">
        <f t="shared" si="440"/>
        <v/>
      </c>
      <c r="D5668" t="str">
        <f t="shared" si="441"/>
        <v/>
      </c>
      <c r="E5668" t="str">
        <f t="shared" si="442"/>
        <v/>
      </c>
      <c r="F5668" t="str">
        <f>IF(D5668="","",INDEX(Knutepunkter!$B:$B,D5668+1))</f>
        <v/>
      </c>
      <c r="G5668" t="str">
        <f>IF(D5668="","",INDEX(Knutepunkter!$C:$C,D5668+1))</f>
        <v/>
      </c>
      <c r="H5668" t="str">
        <f>IF(D5668="","",INDEX(Knutepunkter!$D:$D,D5668+1))</f>
        <v/>
      </c>
      <c r="I5668" t="str">
        <f>IF(E5668="","",INDEX(Knutepunkter!$B:$B,E5668+1))</f>
        <v/>
      </c>
      <c r="J5668" t="str">
        <f>IF(E5668="","",INDEX(Knutepunkter!$C:$C,E5668+1))</f>
        <v/>
      </c>
      <c r="K5668" t="str">
        <f>IF(E5668="","",INDEX(Knutepunkter!$D:$D,E5668+1))</f>
        <v/>
      </c>
      <c r="L5668" t="str">
        <f t="shared" si="443"/>
        <v/>
      </c>
      <c r="M5668" t="str">
        <f t="shared" si="444"/>
        <v/>
      </c>
    </row>
    <row r="5669" spans="1:13" x14ac:dyDescent="0.3">
      <c r="A5669" t="str">
        <f>Segmenter!A5669</f>
        <v/>
      </c>
      <c r="B5669" t="str">
        <f>Segmenter!B5669</f>
        <v/>
      </c>
      <c r="C5669" t="str">
        <f t="shared" si="440"/>
        <v/>
      </c>
      <c r="D5669" t="str">
        <f t="shared" si="441"/>
        <v/>
      </c>
      <c r="E5669" t="str">
        <f t="shared" si="442"/>
        <v/>
      </c>
      <c r="F5669" t="str">
        <f>IF(D5669="","",INDEX(Knutepunkter!$B:$B,D5669+1))</f>
        <v/>
      </c>
      <c r="G5669" t="str">
        <f>IF(D5669="","",INDEX(Knutepunkter!$C:$C,D5669+1))</f>
        <v/>
      </c>
      <c r="H5669" t="str">
        <f>IF(D5669="","",INDEX(Knutepunkter!$D:$D,D5669+1))</f>
        <v/>
      </c>
      <c r="I5669" t="str">
        <f>IF(E5669="","",INDEX(Knutepunkter!$B:$B,E5669+1))</f>
        <v/>
      </c>
      <c r="J5669" t="str">
        <f>IF(E5669="","",INDEX(Knutepunkter!$C:$C,E5669+1))</f>
        <v/>
      </c>
      <c r="K5669" t="str">
        <f>IF(E5669="","",INDEX(Knutepunkter!$D:$D,E5669+1))</f>
        <v/>
      </c>
      <c r="L5669" t="str">
        <f t="shared" si="443"/>
        <v/>
      </c>
      <c r="M5669" t="str">
        <f t="shared" si="444"/>
        <v/>
      </c>
    </row>
    <row r="5670" spans="1:13" x14ac:dyDescent="0.3">
      <c r="A5670" t="str">
        <f>Segmenter!A5670</f>
        <v/>
      </c>
      <c r="B5670" t="str">
        <f>Segmenter!B5670</f>
        <v/>
      </c>
      <c r="C5670" t="str">
        <f t="shared" si="440"/>
        <v/>
      </c>
      <c r="D5670" t="str">
        <f t="shared" si="441"/>
        <v/>
      </c>
      <c r="E5670" t="str">
        <f t="shared" si="442"/>
        <v/>
      </c>
      <c r="F5670" t="str">
        <f>IF(D5670="","",INDEX(Knutepunkter!$B:$B,D5670+1))</f>
        <v/>
      </c>
      <c r="G5670" t="str">
        <f>IF(D5670="","",INDEX(Knutepunkter!$C:$C,D5670+1))</f>
        <v/>
      </c>
      <c r="H5670" t="str">
        <f>IF(D5670="","",INDEX(Knutepunkter!$D:$D,D5670+1))</f>
        <v/>
      </c>
      <c r="I5670" t="str">
        <f>IF(E5670="","",INDEX(Knutepunkter!$B:$B,E5670+1))</f>
        <v/>
      </c>
      <c r="J5670" t="str">
        <f>IF(E5670="","",INDEX(Knutepunkter!$C:$C,E5670+1))</f>
        <v/>
      </c>
      <c r="K5670" t="str">
        <f>IF(E5670="","",INDEX(Knutepunkter!$D:$D,E5670+1))</f>
        <v/>
      </c>
      <c r="L5670" t="str">
        <f t="shared" si="443"/>
        <v/>
      </c>
      <c r="M5670" t="str">
        <f t="shared" si="444"/>
        <v/>
      </c>
    </row>
    <row r="5671" spans="1:13" x14ac:dyDescent="0.3">
      <c r="A5671" t="str">
        <f>Segmenter!A5671</f>
        <v/>
      </c>
      <c r="B5671" t="str">
        <f>Segmenter!B5671</f>
        <v/>
      </c>
      <c r="C5671" t="str">
        <f t="shared" si="440"/>
        <v/>
      </c>
      <c r="D5671" t="str">
        <f t="shared" si="441"/>
        <v/>
      </c>
      <c r="E5671" t="str">
        <f t="shared" si="442"/>
        <v/>
      </c>
      <c r="F5671" t="str">
        <f>IF(D5671="","",INDEX(Knutepunkter!$B:$B,D5671+1))</f>
        <v/>
      </c>
      <c r="G5671" t="str">
        <f>IF(D5671="","",INDEX(Knutepunkter!$C:$C,D5671+1))</f>
        <v/>
      </c>
      <c r="H5671" t="str">
        <f>IF(D5671="","",INDEX(Knutepunkter!$D:$D,D5671+1))</f>
        <v/>
      </c>
      <c r="I5671" t="str">
        <f>IF(E5671="","",INDEX(Knutepunkter!$B:$B,E5671+1))</f>
        <v/>
      </c>
      <c r="J5671" t="str">
        <f>IF(E5671="","",INDEX(Knutepunkter!$C:$C,E5671+1))</f>
        <v/>
      </c>
      <c r="K5671" t="str">
        <f>IF(E5671="","",INDEX(Knutepunkter!$D:$D,E5671+1))</f>
        <v/>
      </c>
      <c r="L5671" t="str">
        <f t="shared" si="443"/>
        <v/>
      </c>
      <c r="M5671" t="str">
        <f t="shared" si="444"/>
        <v/>
      </c>
    </row>
    <row r="5672" spans="1:13" x14ac:dyDescent="0.3">
      <c r="A5672" t="str">
        <f>Segmenter!A5672</f>
        <v/>
      </c>
      <c r="B5672" t="str">
        <f>Segmenter!B5672</f>
        <v/>
      </c>
      <c r="C5672" t="str">
        <f t="shared" si="440"/>
        <v/>
      </c>
      <c r="D5672" t="str">
        <f t="shared" si="441"/>
        <v/>
      </c>
      <c r="E5672" t="str">
        <f t="shared" si="442"/>
        <v/>
      </c>
      <c r="F5672" t="str">
        <f>IF(D5672="","",INDEX(Knutepunkter!$B:$B,D5672+1))</f>
        <v/>
      </c>
      <c r="G5672" t="str">
        <f>IF(D5672="","",INDEX(Knutepunkter!$C:$C,D5672+1))</f>
        <v/>
      </c>
      <c r="H5672" t="str">
        <f>IF(D5672="","",INDEX(Knutepunkter!$D:$D,D5672+1))</f>
        <v/>
      </c>
      <c r="I5672" t="str">
        <f>IF(E5672="","",INDEX(Knutepunkter!$B:$B,E5672+1))</f>
        <v/>
      </c>
      <c r="J5672" t="str">
        <f>IF(E5672="","",INDEX(Knutepunkter!$C:$C,E5672+1))</f>
        <v/>
      </c>
      <c r="K5672" t="str">
        <f>IF(E5672="","",INDEX(Knutepunkter!$D:$D,E5672+1))</f>
        <v/>
      </c>
      <c r="L5672" t="str">
        <f t="shared" si="443"/>
        <v/>
      </c>
      <c r="M5672" t="str">
        <f t="shared" si="444"/>
        <v/>
      </c>
    </row>
    <row r="5673" spans="1:13" x14ac:dyDescent="0.3">
      <c r="A5673" t="str">
        <f>Segmenter!A5673</f>
        <v/>
      </c>
      <c r="B5673" t="str">
        <f>Segmenter!B5673</f>
        <v/>
      </c>
      <c r="C5673" t="str">
        <f t="shared" si="440"/>
        <v/>
      </c>
      <c r="D5673" t="str">
        <f t="shared" si="441"/>
        <v/>
      </c>
      <c r="E5673" t="str">
        <f t="shared" si="442"/>
        <v/>
      </c>
      <c r="F5673" t="str">
        <f>IF(D5673="","",INDEX(Knutepunkter!$B:$B,D5673+1))</f>
        <v/>
      </c>
      <c r="G5673" t="str">
        <f>IF(D5673="","",INDEX(Knutepunkter!$C:$C,D5673+1))</f>
        <v/>
      </c>
      <c r="H5673" t="str">
        <f>IF(D5673="","",INDEX(Knutepunkter!$D:$D,D5673+1))</f>
        <v/>
      </c>
      <c r="I5673" t="str">
        <f>IF(E5673="","",INDEX(Knutepunkter!$B:$B,E5673+1))</f>
        <v/>
      </c>
      <c r="J5673" t="str">
        <f>IF(E5673="","",INDEX(Knutepunkter!$C:$C,E5673+1))</f>
        <v/>
      </c>
      <c r="K5673" t="str">
        <f>IF(E5673="","",INDEX(Knutepunkter!$D:$D,E5673+1))</f>
        <v/>
      </c>
      <c r="L5673" t="str">
        <f t="shared" si="443"/>
        <v/>
      </c>
      <c r="M5673" t="str">
        <f t="shared" si="444"/>
        <v/>
      </c>
    </row>
    <row r="5674" spans="1:13" x14ac:dyDescent="0.3">
      <c r="A5674" t="str">
        <f>Segmenter!A5674</f>
        <v/>
      </c>
      <c r="B5674" t="str">
        <f>Segmenter!B5674</f>
        <v/>
      </c>
      <c r="C5674" t="str">
        <f t="shared" si="440"/>
        <v/>
      </c>
      <c r="D5674" t="str">
        <f t="shared" si="441"/>
        <v/>
      </c>
      <c r="E5674" t="str">
        <f t="shared" si="442"/>
        <v/>
      </c>
      <c r="F5674" t="str">
        <f>IF(D5674="","",INDEX(Knutepunkter!$B:$B,D5674+1))</f>
        <v/>
      </c>
      <c r="G5674" t="str">
        <f>IF(D5674="","",INDEX(Knutepunkter!$C:$C,D5674+1))</f>
        <v/>
      </c>
      <c r="H5674" t="str">
        <f>IF(D5674="","",INDEX(Knutepunkter!$D:$D,D5674+1))</f>
        <v/>
      </c>
      <c r="I5674" t="str">
        <f>IF(E5674="","",INDEX(Knutepunkter!$B:$B,E5674+1))</f>
        <v/>
      </c>
      <c r="J5674" t="str">
        <f>IF(E5674="","",INDEX(Knutepunkter!$C:$C,E5674+1))</f>
        <v/>
      </c>
      <c r="K5674" t="str">
        <f>IF(E5674="","",INDEX(Knutepunkter!$D:$D,E5674+1))</f>
        <v/>
      </c>
      <c r="L5674" t="str">
        <f t="shared" si="443"/>
        <v/>
      </c>
      <c r="M5674" t="str">
        <f t="shared" si="444"/>
        <v/>
      </c>
    </row>
    <row r="5675" spans="1:13" x14ac:dyDescent="0.3">
      <c r="A5675" t="str">
        <f>Segmenter!A5675</f>
        <v/>
      </c>
      <c r="B5675" t="str">
        <f>Segmenter!B5675</f>
        <v/>
      </c>
      <c r="C5675" t="str">
        <f t="shared" si="440"/>
        <v/>
      </c>
      <c r="D5675" t="str">
        <f t="shared" si="441"/>
        <v/>
      </c>
      <c r="E5675" t="str">
        <f t="shared" si="442"/>
        <v/>
      </c>
      <c r="F5675" t="str">
        <f>IF(D5675="","",INDEX(Knutepunkter!$B:$B,D5675+1))</f>
        <v/>
      </c>
      <c r="G5675" t="str">
        <f>IF(D5675="","",INDEX(Knutepunkter!$C:$C,D5675+1))</f>
        <v/>
      </c>
      <c r="H5675" t="str">
        <f>IF(D5675="","",INDEX(Knutepunkter!$D:$D,D5675+1))</f>
        <v/>
      </c>
      <c r="I5675" t="str">
        <f>IF(E5675="","",INDEX(Knutepunkter!$B:$B,E5675+1))</f>
        <v/>
      </c>
      <c r="J5675" t="str">
        <f>IF(E5675="","",INDEX(Knutepunkter!$C:$C,E5675+1))</f>
        <v/>
      </c>
      <c r="K5675" t="str">
        <f>IF(E5675="","",INDEX(Knutepunkter!$D:$D,E5675+1))</f>
        <v/>
      </c>
      <c r="L5675" t="str">
        <f t="shared" si="443"/>
        <v/>
      </c>
      <c r="M5675" t="str">
        <f t="shared" si="444"/>
        <v/>
      </c>
    </row>
    <row r="5676" spans="1:13" x14ac:dyDescent="0.3">
      <c r="A5676" t="str">
        <f>Segmenter!A5676</f>
        <v/>
      </c>
      <c r="B5676" t="str">
        <f>Segmenter!B5676</f>
        <v/>
      </c>
      <c r="C5676" t="str">
        <f t="shared" si="440"/>
        <v/>
      </c>
      <c r="D5676" t="str">
        <f t="shared" si="441"/>
        <v/>
      </c>
      <c r="E5676" t="str">
        <f t="shared" si="442"/>
        <v/>
      </c>
      <c r="F5676" t="str">
        <f>IF(D5676="","",INDEX(Knutepunkter!$B:$B,D5676+1))</f>
        <v/>
      </c>
      <c r="G5676" t="str">
        <f>IF(D5676="","",INDEX(Knutepunkter!$C:$C,D5676+1))</f>
        <v/>
      </c>
      <c r="H5676" t="str">
        <f>IF(D5676="","",INDEX(Knutepunkter!$D:$D,D5676+1))</f>
        <v/>
      </c>
      <c r="I5676" t="str">
        <f>IF(E5676="","",INDEX(Knutepunkter!$B:$B,E5676+1))</f>
        <v/>
      </c>
      <c r="J5676" t="str">
        <f>IF(E5676="","",INDEX(Knutepunkter!$C:$C,E5676+1))</f>
        <v/>
      </c>
      <c r="K5676" t="str">
        <f>IF(E5676="","",INDEX(Knutepunkter!$D:$D,E5676+1))</f>
        <v/>
      </c>
      <c r="L5676" t="str">
        <f t="shared" si="443"/>
        <v/>
      </c>
      <c r="M5676" t="str">
        <f t="shared" si="444"/>
        <v/>
      </c>
    </row>
    <row r="5677" spans="1:13" x14ac:dyDescent="0.3">
      <c r="A5677" t="str">
        <f>Segmenter!A5677</f>
        <v/>
      </c>
      <c r="B5677" t="str">
        <f>Segmenter!B5677</f>
        <v/>
      </c>
      <c r="C5677" t="str">
        <f t="shared" si="440"/>
        <v/>
      </c>
      <c r="D5677" t="str">
        <f t="shared" si="441"/>
        <v/>
      </c>
      <c r="E5677" t="str">
        <f t="shared" si="442"/>
        <v/>
      </c>
      <c r="F5677" t="str">
        <f>IF(D5677="","",INDEX(Knutepunkter!$B:$B,D5677+1))</f>
        <v/>
      </c>
      <c r="G5677" t="str">
        <f>IF(D5677="","",INDEX(Knutepunkter!$C:$C,D5677+1))</f>
        <v/>
      </c>
      <c r="H5677" t="str">
        <f>IF(D5677="","",INDEX(Knutepunkter!$D:$D,D5677+1))</f>
        <v/>
      </c>
      <c r="I5677" t="str">
        <f>IF(E5677="","",INDEX(Knutepunkter!$B:$B,E5677+1))</f>
        <v/>
      </c>
      <c r="J5677" t="str">
        <f>IF(E5677="","",INDEX(Knutepunkter!$C:$C,E5677+1))</f>
        <v/>
      </c>
      <c r="K5677" t="str">
        <f>IF(E5677="","",INDEX(Knutepunkter!$D:$D,E5677+1))</f>
        <v/>
      </c>
      <c r="L5677" t="str">
        <f t="shared" si="443"/>
        <v/>
      </c>
      <c r="M5677" t="str">
        <f t="shared" si="444"/>
        <v/>
      </c>
    </row>
    <row r="5678" spans="1:13" x14ac:dyDescent="0.3">
      <c r="A5678" t="str">
        <f>Segmenter!A5678</f>
        <v/>
      </c>
      <c r="B5678" t="str">
        <f>Segmenter!B5678</f>
        <v/>
      </c>
      <c r="C5678" t="str">
        <f t="shared" si="440"/>
        <v/>
      </c>
      <c r="D5678" t="str">
        <f t="shared" si="441"/>
        <v/>
      </c>
      <c r="E5678" t="str">
        <f t="shared" si="442"/>
        <v/>
      </c>
      <c r="F5678" t="str">
        <f>IF(D5678="","",INDEX(Knutepunkter!$B:$B,D5678+1))</f>
        <v/>
      </c>
      <c r="G5678" t="str">
        <f>IF(D5678="","",INDEX(Knutepunkter!$C:$C,D5678+1))</f>
        <v/>
      </c>
      <c r="H5678" t="str">
        <f>IF(D5678="","",INDEX(Knutepunkter!$D:$D,D5678+1))</f>
        <v/>
      </c>
      <c r="I5678" t="str">
        <f>IF(E5678="","",INDEX(Knutepunkter!$B:$B,E5678+1))</f>
        <v/>
      </c>
      <c r="J5678" t="str">
        <f>IF(E5678="","",INDEX(Knutepunkter!$C:$C,E5678+1))</f>
        <v/>
      </c>
      <c r="K5678" t="str">
        <f>IF(E5678="","",INDEX(Knutepunkter!$D:$D,E5678+1))</f>
        <v/>
      </c>
      <c r="L5678" t="str">
        <f t="shared" si="443"/>
        <v/>
      </c>
      <c r="M5678" t="str">
        <f t="shared" si="444"/>
        <v/>
      </c>
    </row>
    <row r="5679" spans="1:13" x14ac:dyDescent="0.3">
      <c r="A5679" t="str">
        <f>Segmenter!A5679</f>
        <v/>
      </c>
      <c r="B5679" t="str">
        <f>Segmenter!B5679</f>
        <v/>
      </c>
      <c r="C5679" t="str">
        <f t="shared" si="440"/>
        <v/>
      </c>
      <c r="D5679" t="str">
        <f t="shared" si="441"/>
        <v/>
      </c>
      <c r="E5679" t="str">
        <f t="shared" si="442"/>
        <v/>
      </c>
      <c r="F5679" t="str">
        <f>IF(D5679="","",INDEX(Knutepunkter!$B:$B,D5679+1))</f>
        <v/>
      </c>
      <c r="G5679" t="str">
        <f>IF(D5679="","",INDEX(Knutepunkter!$C:$C,D5679+1))</f>
        <v/>
      </c>
      <c r="H5679" t="str">
        <f>IF(D5679="","",INDEX(Knutepunkter!$D:$D,D5679+1))</f>
        <v/>
      </c>
      <c r="I5679" t="str">
        <f>IF(E5679="","",INDEX(Knutepunkter!$B:$B,E5679+1))</f>
        <v/>
      </c>
      <c r="J5679" t="str">
        <f>IF(E5679="","",INDEX(Knutepunkter!$C:$C,E5679+1))</f>
        <v/>
      </c>
      <c r="K5679" t="str">
        <f>IF(E5679="","",INDEX(Knutepunkter!$D:$D,E5679+1))</f>
        <v/>
      </c>
      <c r="L5679" t="str">
        <f t="shared" si="443"/>
        <v/>
      </c>
      <c r="M5679" t="str">
        <f t="shared" si="444"/>
        <v/>
      </c>
    </row>
    <row r="5680" spans="1:13" x14ac:dyDescent="0.3">
      <c r="A5680" t="str">
        <f>Segmenter!A5680</f>
        <v/>
      </c>
      <c r="B5680" t="str">
        <f>Segmenter!B5680</f>
        <v/>
      </c>
      <c r="C5680" t="str">
        <f t="shared" si="440"/>
        <v/>
      </c>
      <c r="D5680" t="str">
        <f t="shared" si="441"/>
        <v/>
      </c>
      <c r="E5680" t="str">
        <f t="shared" si="442"/>
        <v/>
      </c>
      <c r="F5680" t="str">
        <f>IF(D5680="","",INDEX(Knutepunkter!$B:$B,D5680+1))</f>
        <v/>
      </c>
      <c r="G5680" t="str">
        <f>IF(D5680="","",INDEX(Knutepunkter!$C:$C,D5680+1))</f>
        <v/>
      </c>
      <c r="H5680" t="str">
        <f>IF(D5680="","",INDEX(Knutepunkter!$D:$D,D5680+1))</f>
        <v/>
      </c>
      <c r="I5680" t="str">
        <f>IF(E5680="","",INDEX(Knutepunkter!$B:$B,E5680+1))</f>
        <v/>
      </c>
      <c r="J5680" t="str">
        <f>IF(E5680="","",INDEX(Knutepunkter!$C:$C,E5680+1))</f>
        <v/>
      </c>
      <c r="K5680" t="str">
        <f>IF(E5680="","",INDEX(Knutepunkter!$D:$D,E5680+1))</f>
        <v/>
      </c>
      <c r="L5680" t="str">
        <f t="shared" si="443"/>
        <v/>
      </c>
      <c r="M5680" t="str">
        <f t="shared" si="444"/>
        <v/>
      </c>
    </row>
    <row r="5681" spans="1:13" x14ac:dyDescent="0.3">
      <c r="A5681" t="str">
        <f>Segmenter!A5681</f>
        <v/>
      </c>
      <c r="B5681" t="str">
        <f>Segmenter!B5681</f>
        <v/>
      </c>
      <c r="C5681" t="str">
        <f t="shared" si="440"/>
        <v/>
      </c>
      <c r="D5681" t="str">
        <f t="shared" si="441"/>
        <v/>
      </c>
      <c r="E5681" t="str">
        <f t="shared" si="442"/>
        <v/>
      </c>
      <c r="F5681" t="str">
        <f>IF(D5681="","",INDEX(Knutepunkter!$B:$B,D5681+1))</f>
        <v/>
      </c>
      <c r="G5681" t="str">
        <f>IF(D5681="","",INDEX(Knutepunkter!$C:$C,D5681+1))</f>
        <v/>
      </c>
      <c r="H5681" t="str">
        <f>IF(D5681="","",INDEX(Knutepunkter!$D:$D,D5681+1))</f>
        <v/>
      </c>
      <c r="I5681" t="str">
        <f>IF(E5681="","",INDEX(Knutepunkter!$B:$B,E5681+1))</f>
        <v/>
      </c>
      <c r="J5681" t="str">
        <f>IF(E5681="","",INDEX(Knutepunkter!$C:$C,E5681+1))</f>
        <v/>
      </c>
      <c r="K5681" t="str">
        <f>IF(E5681="","",INDEX(Knutepunkter!$D:$D,E5681+1))</f>
        <v/>
      </c>
      <c r="L5681" t="str">
        <f t="shared" si="443"/>
        <v/>
      </c>
      <c r="M5681" t="str">
        <f t="shared" si="444"/>
        <v/>
      </c>
    </row>
    <row r="5682" spans="1:13" x14ac:dyDescent="0.3">
      <c r="A5682" t="str">
        <f>Segmenter!A5682</f>
        <v/>
      </c>
      <c r="B5682" t="str">
        <f>Segmenter!B5682</f>
        <v/>
      </c>
      <c r="C5682" t="str">
        <f t="shared" si="440"/>
        <v/>
      </c>
      <c r="D5682" t="str">
        <f t="shared" si="441"/>
        <v/>
      </c>
      <c r="E5682" t="str">
        <f t="shared" si="442"/>
        <v/>
      </c>
      <c r="F5682" t="str">
        <f>IF(D5682="","",INDEX(Knutepunkter!$B:$B,D5682+1))</f>
        <v/>
      </c>
      <c r="G5682" t="str">
        <f>IF(D5682="","",INDEX(Knutepunkter!$C:$C,D5682+1))</f>
        <v/>
      </c>
      <c r="H5682" t="str">
        <f>IF(D5682="","",INDEX(Knutepunkter!$D:$D,D5682+1))</f>
        <v/>
      </c>
      <c r="I5682" t="str">
        <f>IF(E5682="","",INDEX(Knutepunkter!$B:$B,E5682+1))</f>
        <v/>
      </c>
      <c r="J5682" t="str">
        <f>IF(E5682="","",INDEX(Knutepunkter!$C:$C,E5682+1))</f>
        <v/>
      </c>
      <c r="K5682" t="str">
        <f>IF(E5682="","",INDEX(Knutepunkter!$D:$D,E5682+1))</f>
        <v/>
      </c>
      <c r="L5682" t="str">
        <f t="shared" si="443"/>
        <v/>
      </c>
      <c r="M5682" t="str">
        <f t="shared" si="444"/>
        <v/>
      </c>
    </row>
    <row r="5683" spans="1:13" x14ac:dyDescent="0.3">
      <c r="A5683" t="str">
        <f>Segmenter!A5683</f>
        <v/>
      </c>
      <c r="B5683" t="str">
        <f>Segmenter!B5683</f>
        <v/>
      </c>
      <c r="C5683" t="str">
        <f t="shared" si="440"/>
        <v/>
      </c>
      <c r="D5683" t="str">
        <f t="shared" si="441"/>
        <v/>
      </c>
      <c r="E5683" t="str">
        <f t="shared" si="442"/>
        <v/>
      </c>
      <c r="F5683" t="str">
        <f>IF(D5683="","",INDEX(Knutepunkter!$B:$B,D5683+1))</f>
        <v/>
      </c>
      <c r="G5683" t="str">
        <f>IF(D5683="","",INDEX(Knutepunkter!$C:$C,D5683+1))</f>
        <v/>
      </c>
      <c r="H5683" t="str">
        <f>IF(D5683="","",INDEX(Knutepunkter!$D:$D,D5683+1))</f>
        <v/>
      </c>
      <c r="I5683" t="str">
        <f>IF(E5683="","",INDEX(Knutepunkter!$B:$B,E5683+1))</f>
        <v/>
      </c>
      <c r="J5683" t="str">
        <f>IF(E5683="","",INDEX(Knutepunkter!$C:$C,E5683+1))</f>
        <v/>
      </c>
      <c r="K5683" t="str">
        <f>IF(E5683="","",INDEX(Knutepunkter!$D:$D,E5683+1))</f>
        <v/>
      </c>
      <c r="L5683" t="str">
        <f t="shared" si="443"/>
        <v/>
      </c>
      <c r="M5683" t="str">
        <f t="shared" si="444"/>
        <v/>
      </c>
    </row>
    <row r="5684" spans="1:13" x14ac:dyDescent="0.3">
      <c r="A5684" t="str">
        <f>Segmenter!A5684</f>
        <v/>
      </c>
      <c r="B5684" t="str">
        <f>Segmenter!B5684</f>
        <v/>
      </c>
      <c r="C5684" t="str">
        <f t="shared" si="440"/>
        <v/>
      </c>
      <c r="D5684" t="str">
        <f t="shared" si="441"/>
        <v/>
      </c>
      <c r="E5684" t="str">
        <f t="shared" si="442"/>
        <v/>
      </c>
      <c r="F5684" t="str">
        <f>IF(D5684="","",INDEX(Knutepunkter!$B:$B,D5684+1))</f>
        <v/>
      </c>
      <c r="G5684" t="str">
        <f>IF(D5684="","",INDEX(Knutepunkter!$C:$C,D5684+1))</f>
        <v/>
      </c>
      <c r="H5684" t="str">
        <f>IF(D5684="","",INDEX(Knutepunkter!$D:$D,D5684+1))</f>
        <v/>
      </c>
      <c r="I5684" t="str">
        <f>IF(E5684="","",INDEX(Knutepunkter!$B:$B,E5684+1))</f>
        <v/>
      </c>
      <c r="J5684" t="str">
        <f>IF(E5684="","",INDEX(Knutepunkter!$C:$C,E5684+1))</f>
        <v/>
      </c>
      <c r="K5684" t="str">
        <f>IF(E5684="","",INDEX(Knutepunkter!$D:$D,E5684+1))</f>
        <v/>
      </c>
      <c r="L5684" t="str">
        <f t="shared" si="443"/>
        <v/>
      </c>
      <c r="M5684" t="str">
        <f t="shared" si="444"/>
        <v/>
      </c>
    </row>
    <row r="5685" spans="1:13" x14ac:dyDescent="0.3">
      <c r="A5685" t="str">
        <f>Segmenter!A5685</f>
        <v/>
      </c>
      <c r="B5685" t="str">
        <f>Segmenter!B5685</f>
        <v/>
      </c>
      <c r="C5685" t="str">
        <f t="shared" si="440"/>
        <v/>
      </c>
      <c r="D5685" t="str">
        <f t="shared" si="441"/>
        <v/>
      </c>
      <c r="E5685" t="str">
        <f t="shared" si="442"/>
        <v/>
      </c>
      <c r="F5685" t="str">
        <f>IF(D5685="","",INDEX(Knutepunkter!$B:$B,D5685+1))</f>
        <v/>
      </c>
      <c r="G5685" t="str">
        <f>IF(D5685="","",INDEX(Knutepunkter!$C:$C,D5685+1))</f>
        <v/>
      </c>
      <c r="H5685" t="str">
        <f>IF(D5685="","",INDEX(Knutepunkter!$D:$D,D5685+1))</f>
        <v/>
      </c>
      <c r="I5685" t="str">
        <f>IF(E5685="","",INDEX(Knutepunkter!$B:$B,E5685+1))</f>
        <v/>
      </c>
      <c r="J5685" t="str">
        <f>IF(E5685="","",INDEX(Knutepunkter!$C:$C,E5685+1))</f>
        <v/>
      </c>
      <c r="K5685" t="str">
        <f>IF(E5685="","",INDEX(Knutepunkter!$D:$D,E5685+1))</f>
        <v/>
      </c>
      <c r="L5685" t="str">
        <f t="shared" si="443"/>
        <v/>
      </c>
      <c r="M5685" t="str">
        <f t="shared" si="444"/>
        <v/>
      </c>
    </row>
    <row r="5686" spans="1:13" x14ac:dyDescent="0.3">
      <c r="A5686" t="str">
        <f>Segmenter!A5686</f>
        <v/>
      </c>
      <c r="B5686" t="str">
        <f>Segmenter!B5686</f>
        <v/>
      </c>
      <c r="C5686" t="str">
        <f t="shared" si="440"/>
        <v/>
      </c>
      <c r="D5686" t="str">
        <f t="shared" si="441"/>
        <v/>
      </c>
      <c r="E5686" t="str">
        <f t="shared" si="442"/>
        <v/>
      </c>
      <c r="F5686" t="str">
        <f>IF(D5686="","",INDEX(Knutepunkter!$B:$B,D5686+1))</f>
        <v/>
      </c>
      <c r="G5686" t="str">
        <f>IF(D5686="","",INDEX(Knutepunkter!$C:$C,D5686+1))</f>
        <v/>
      </c>
      <c r="H5686" t="str">
        <f>IF(D5686="","",INDEX(Knutepunkter!$D:$D,D5686+1))</f>
        <v/>
      </c>
      <c r="I5686" t="str">
        <f>IF(E5686="","",INDEX(Knutepunkter!$B:$B,E5686+1))</f>
        <v/>
      </c>
      <c r="J5686" t="str">
        <f>IF(E5686="","",INDEX(Knutepunkter!$C:$C,E5686+1))</f>
        <v/>
      </c>
      <c r="K5686" t="str">
        <f>IF(E5686="","",INDEX(Knutepunkter!$D:$D,E5686+1))</f>
        <v/>
      </c>
      <c r="L5686" t="str">
        <f t="shared" si="443"/>
        <v/>
      </c>
      <c r="M5686" t="str">
        <f t="shared" si="444"/>
        <v/>
      </c>
    </row>
    <row r="5687" spans="1:13" x14ac:dyDescent="0.3">
      <c r="A5687" t="str">
        <f>Segmenter!A5687</f>
        <v/>
      </c>
      <c r="B5687" t="str">
        <f>Segmenter!B5687</f>
        <v/>
      </c>
      <c r="C5687" t="str">
        <f t="shared" si="440"/>
        <v/>
      </c>
      <c r="D5687" t="str">
        <f t="shared" si="441"/>
        <v/>
      </c>
      <c r="E5687" t="str">
        <f t="shared" si="442"/>
        <v/>
      </c>
      <c r="F5687" t="str">
        <f>IF(D5687="","",INDEX(Knutepunkter!$B:$B,D5687+1))</f>
        <v/>
      </c>
      <c r="G5687" t="str">
        <f>IF(D5687="","",INDEX(Knutepunkter!$C:$C,D5687+1))</f>
        <v/>
      </c>
      <c r="H5687" t="str">
        <f>IF(D5687="","",INDEX(Knutepunkter!$D:$D,D5687+1))</f>
        <v/>
      </c>
      <c r="I5687" t="str">
        <f>IF(E5687="","",INDEX(Knutepunkter!$B:$B,E5687+1))</f>
        <v/>
      </c>
      <c r="J5687" t="str">
        <f>IF(E5687="","",INDEX(Knutepunkter!$C:$C,E5687+1))</f>
        <v/>
      </c>
      <c r="K5687" t="str">
        <f>IF(E5687="","",INDEX(Knutepunkter!$D:$D,E5687+1))</f>
        <v/>
      </c>
      <c r="L5687" t="str">
        <f t="shared" si="443"/>
        <v/>
      </c>
      <c r="M5687" t="str">
        <f t="shared" si="444"/>
        <v/>
      </c>
    </row>
    <row r="5688" spans="1:13" x14ac:dyDescent="0.3">
      <c r="A5688" t="str">
        <f>Segmenter!A5688</f>
        <v/>
      </c>
      <c r="B5688" t="str">
        <f>Segmenter!B5688</f>
        <v/>
      </c>
      <c r="C5688" t="str">
        <f t="shared" si="440"/>
        <v/>
      </c>
      <c r="D5688" t="str">
        <f t="shared" si="441"/>
        <v/>
      </c>
      <c r="E5688" t="str">
        <f t="shared" si="442"/>
        <v/>
      </c>
      <c r="F5688" t="str">
        <f>IF(D5688="","",INDEX(Knutepunkter!$B:$B,D5688+1))</f>
        <v/>
      </c>
      <c r="G5688" t="str">
        <f>IF(D5688="","",INDEX(Knutepunkter!$C:$C,D5688+1))</f>
        <v/>
      </c>
      <c r="H5688" t="str">
        <f>IF(D5688="","",INDEX(Knutepunkter!$D:$D,D5688+1))</f>
        <v/>
      </c>
      <c r="I5688" t="str">
        <f>IF(E5688="","",INDEX(Knutepunkter!$B:$B,E5688+1))</f>
        <v/>
      </c>
      <c r="J5688" t="str">
        <f>IF(E5688="","",INDEX(Knutepunkter!$C:$C,E5688+1))</f>
        <v/>
      </c>
      <c r="K5688" t="str">
        <f>IF(E5688="","",INDEX(Knutepunkter!$D:$D,E5688+1))</f>
        <v/>
      </c>
      <c r="L5688" t="str">
        <f t="shared" si="443"/>
        <v/>
      </c>
      <c r="M5688" t="str">
        <f t="shared" si="444"/>
        <v/>
      </c>
    </row>
    <row r="5689" spans="1:13" x14ac:dyDescent="0.3">
      <c r="A5689" t="str">
        <f>Segmenter!A5689</f>
        <v/>
      </c>
      <c r="B5689" t="str">
        <f>Segmenter!B5689</f>
        <v/>
      </c>
      <c r="C5689" t="str">
        <f t="shared" si="440"/>
        <v/>
      </c>
      <c r="D5689" t="str">
        <f t="shared" si="441"/>
        <v/>
      </c>
      <c r="E5689" t="str">
        <f t="shared" si="442"/>
        <v/>
      </c>
      <c r="F5689" t="str">
        <f>IF(D5689="","",INDEX(Knutepunkter!$B:$B,D5689+1))</f>
        <v/>
      </c>
      <c r="G5689" t="str">
        <f>IF(D5689="","",INDEX(Knutepunkter!$C:$C,D5689+1))</f>
        <v/>
      </c>
      <c r="H5689" t="str">
        <f>IF(D5689="","",INDEX(Knutepunkter!$D:$D,D5689+1))</f>
        <v/>
      </c>
      <c r="I5689" t="str">
        <f>IF(E5689="","",INDEX(Knutepunkter!$B:$B,E5689+1))</f>
        <v/>
      </c>
      <c r="J5689" t="str">
        <f>IF(E5689="","",INDEX(Knutepunkter!$C:$C,E5689+1))</f>
        <v/>
      </c>
      <c r="K5689" t="str">
        <f>IF(E5689="","",INDEX(Knutepunkter!$D:$D,E5689+1))</f>
        <v/>
      </c>
      <c r="L5689" t="str">
        <f t="shared" si="443"/>
        <v/>
      </c>
      <c r="M5689" t="str">
        <f t="shared" si="444"/>
        <v/>
      </c>
    </row>
    <row r="5690" spans="1:13" x14ac:dyDescent="0.3">
      <c r="A5690" t="str">
        <f>Segmenter!A5690</f>
        <v/>
      </c>
      <c r="B5690" t="str">
        <f>Segmenter!B5690</f>
        <v/>
      </c>
      <c r="C5690" t="str">
        <f t="shared" si="440"/>
        <v/>
      </c>
      <c r="D5690" t="str">
        <f t="shared" si="441"/>
        <v/>
      </c>
      <c r="E5690" t="str">
        <f t="shared" si="442"/>
        <v/>
      </c>
      <c r="F5690" t="str">
        <f>IF(D5690="","",INDEX(Knutepunkter!$B:$B,D5690+1))</f>
        <v/>
      </c>
      <c r="G5690" t="str">
        <f>IF(D5690="","",INDEX(Knutepunkter!$C:$C,D5690+1))</f>
        <v/>
      </c>
      <c r="H5690" t="str">
        <f>IF(D5690="","",INDEX(Knutepunkter!$D:$D,D5690+1))</f>
        <v/>
      </c>
      <c r="I5690" t="str">
        <f>IF(E5690="","",INDEX(Knutepunkter!$B:$B,E5690+1))</f>
        <v/>
      </c>
      <c r="J5690" t="str">
        <f>IF(E5690="","",INDEX(Knutepunkter!$C:$C,E5690+1))</f>
        <v/>
      </c>
      <c r="K5690" t="str">
        <f>IF(E5690="","",INDEX(Knutepunkter!$D:$D,E5690+1))</f>
        <v/>
      </c>
      <c r="L5690" t="str">
        <f t="shared" si="443"/>
        <v/>
      </c>
      <c r="M5690" t="str">
        <f t="shared" si="444"/>
        <v/>
      </c>
    </row>
    <row r="5691" spans="1:13" x14ac:dyDescent="0.3">
      <c r="A5691" t="str">
        <f>Segmenter!A5691</f>
        <v/>
      </c>
      <c r="B5691" t="str">
        <f>Segmenter!B5691</f>
        <v/>
      </c>
      <c r="C5691" t="str">
        <f t="shared" si="440"/>
        <v/>
      </c>
      <c r="D5691" t="str">
        <f t="shared" si="441"/>
        <v/>
      </c>
      <c r="E5691" t="str">
        <f t="shared" si="442"/>
        <v/>
      </c>
      <c r="F5691" t="str">
        <f>IF(D5691="","",INDEX(Knutepunkter!$B:$B,D5691+1))</f>
        <v/>
      </c>
      <c r="G5691" t="str">
        <f>IF(D5691="","",INDEX(Knutepunkter!$C:$C,D5691+1))</f>
        <v/>
      </c>
      <c r="H5691" t="str">
        <f>IF(D5691="","",INDEX(Knutepunkter!$D:$D,D5691+1))</f>
        <v/>
      </c>
      <c r="I5691" t="str">
        <f>IF(E5691="","",INDEX(Knutepunkter!$B:$B,E5691+1))</f>
        <v/>
      </c>
      <c r="J5691" t="str">
        <f>IF(E5691="","",INDEX(Knutepunkter!$C:$C,E5691+1))</f>
        <v/>
      </c>
      <c r="K5691" t="str">
        <f>IF(E5691="","",INDEX(Knutepunkter!$D:$D,E5691+1))</f>
        <v/>
      </c>
      <c r="L5691" t="str">
        <f t="shared" si="443"/>
        <v/>
      </c>
      <c r="M5691" t="str">
        <f t="shared" si="444"/>
        <v/>
      </c>
    </row>
    <row r="5692" spans="1:13" x14ac:dyDescent="0.3">
      <c r="A5692" t="str">
        <f>Segmenter!A5692</f>
        <v/>
      </c>
      <c r="B5692" t="str">
        <f>Segmenter!B5692</f>
        <v/>
      </c>
      <c r="C5692" t="str">
        <f t="shared" si="440"/>
        <v/>
      </c>
      <c r="D5692" t="str">
        <f t="shared" si="441"/>
        <v/>
      </c>
      <c r="E5692" t="str">
        <f t="shared" si="442"/>
        <v/>
      </c>
      <c r="F5692" t="str">
        <f>IF(D5692="","",INDEX(Knutepunkter!$B:$B,D5692+1))</f>
        <v/>
      </c>
      <c r="G5692" t="str">
        <f>IF(D5692="","",INDEX(Knutepunkter!$C:$C,D5692+1))</f>
        <v/>
      </c>
      <c r="H5692" t="str">
        <f>IF(D5692="","",INDEX(Knutepunkter!$D:$D,D5692+1))</f>
        <v/>
      </c>
      <c r="I5692" t="str">
        <f>IF(E5692="","",INDEX(Knutepunkter!$B:$B,E5692+1))</f>
        <v/>
      </c>
      <c r="J5692" t="str">
        <f>IF(E5692="","",INDEX(Knutepunkter!$C:$C,E5692+1))</f>
        <v/>
      </c>
      <c r="K5692" t="str">
        <f>IF(E5692="","",INDEX(Knutepunkter!$D:$D,E5692+1))</f>
        <v/>
      </c>
      <c r="L5692" t="str">
        <f t="shared" si="443"/>
        <v/>
      </c>
      <c r="M5692" t="str">
        <f t="shared" si="444"/>
        <v/>
      </c>
    </row>
    <row r="5693" spans="1:13" x14ac:dyDescent="0.3">
      <c r="A5693" t="str">
        <f>Segmenter!A5693</f>
        <v/>
      </c>
      <c r="B5693" t="str">
        <f>Segmenter!B5693</f>
        <v/>
      </c>
      <c r="C5693" t="str">
        <f t="shared" si="440"/>
        <v/>
      </c>
      <c r="D5693" t="str">
        <f t="shared" si="441"/>
        <v/>
      </c>
      <c r="E5693" t="str">
        <f t="shared" si="442"/>
        <v/>
      </c>
      <c r="F5693" t="str">
        <f>IF(D5693="","",INDEX(Knutepunkter!$B:$B,D5693+1))</f>
        <v/>
      </c>
      <c r="G5693" t="str">
        <f>IF(D5693="","",INDEX(Knutepunkter!$C:$C,D5693+1))</f>
        <v/>
      </c>
      <c r="H5693" t="str">
        <f>IF(D5693="","",INDEX(Knutepunkter!$D:$D,D5693+1))</f>
        <v/>
      </c>
      <c r="I5693" t="str">
        <f>IF(E5693="","",INDEX(Knutepunkter!$B:$B,E5693+1))</f>
        <v/>
      </c>
      <c r="J5693" t="str">
        <f>IF(E5693="","",INDEX(Knutepunkter!$C:$C,E5693+1))</f>
        <v/>
      </c>
      <c r="K5693" t="str">
        <f>IF(E5693="","",INDEX(Knutepunkter!$D:$D,E5693+1))</f>
        <v/>
      </c>
      <c r="L5693" t="str">
        <f t="shared" si="443"/>
        <v/>
      </c>
      <c r="M5693" t="str">
        <f t="shared" si="444"/>
        <v/>
      </c>
    </row>
    <row r="5694" spans="1:13" x14ac:dyDescent="0.3">
      <c r="A5694" t="str">
        <f>Segmenter!A5694</f>
        <v/>
      </c>
      <c r="B5694" t="str">
        <f>Segmenter!B5694</f>
        <v/>
      </c>
      <c r="C5694" t="str">
        <f t="shared" si="440"/>
        <v/>
      </c>
      <c r="D5694" t="str">
        <f t="shared" si="441"/>
        <v/>
      </c>
      <c r="E5694" t="str">
        <f t="shared" si="442"/>
        <v/>
      </c>
      <c r="F5694" t="str">
        <f>IF(D5694="","",INDEX(Knutepunkter!$B:$B,D5694+1))</f>
        <v/>
      </c>
      <c r="G5694" t="str">
        <f>IF(D5694="","",INDEX(Knutepunkter!$C:$C,D5694+1))</f>
        <v/>
      </c>
      <c r="H5694" t="str">
        <f>IF(D5694="","",INDEX(Knutepunkter!$D:$D,D5694+1))</f>
        <v/>
      </c>
      <c r="I5694" t="str">
        <f>IF(E5694="","",INDEX(Knutepunkter!$B:$B,E5694+1))</f>
        <v/>
      </c>
      <c r="J5694" t="str">
        <f>IF(E5694="","",INDEX(Knutepunkter!$C:$C,E5694+1))</f>
        <v/>
      </c>
      <c r="K5694" t="str">
        <f>IF(E5694="","",INDEX(Knutepunkter!$D:$D,E5694+1))</f>
        <v/>
      </c>
      <c r="L5694" t="str">
        <f t="shared" si="443"/>
        <v/>
      </c>
      <c r="M5694" t="str">
        <f t="shared" si="444"/>
        <v/>
      </c>
    </row>
    <row r="5695" spans="1:13" x14ac:dyDescent="0.3">
      <c r="A5695" t="str">
        <f>Segmenter!A5695</f>
        <v/>
      </c>
      <c r="B5695" t="str">
        <f>Segmenter!B5695</f>
        <v/>
      </c>
      <c r="C5695" t="str">
        <f t="shared" si="440"/>
        <v/>
      </c>
      <c r="D5695" t="str">
        <f t="shared" si="441"/>
        <v/>
      </c>
      <c r="E5695" t="str">
        <f t="shared" si="442"/>
        <v/>
      </c>
      <c r="F5695" t="str">
        <f>IF(D5695="","",INDEX(Knutepunkter!$B:$B,D5695+1))</f>
        <v/>
      </c>
      <c r="G5695" t="str">
        <f>IF(D5695="","",INDEX(Knutepunkter!$C:$C,D5695+1))</f>
        <v/>
      </c>
      <c r="H5695" t="str">
        <f>IF(D5695="","",INDEX(Knutepunkter!$D:$D,D5695+1))</f>
        <v/>
      </c>
      <c r="I5695" t="str">
        <f>IF(E5695="","",INDEX(Knutepunkter!$B:$B,E5695+1))</f>
        <v/>
      </c>
      <c r="J5695" t="str">
        <f>IF(E5695="","",INDEX(Knutepunkter!$C:$C,E5695+1))</f>
        <v/>
      </c>
      <c r="K5695" t="str">
        <f>IF(E5695="","",INDEX(Knutepunkter!$D:$D,E5695+1))</f>
        <v/>
      </c>
      <c r="L5695" t="str">
        <f t="shared" si="443"/>
        <v/>
      </c>
      <c r="M5695" t="str">
        <f t="shared" si="444"/>
        <v/>
      </c>
    </row>
    <row r="5696" spans="1:13" x14ac:dyDescent="0.3">
      <c r="A5696" t="str">
        <f>Segmenter!A5696</f>
        <v/>
      </c>
      <c r="B5696" t="str">
        <f>Segmenter!B5696</f>
        <v/>
      </c>
      <c r="C5696" t="str">
        <f t="shared" si="440"/>
        <v/>
      </c>
      <c r="D5696" t="str">
        <f t="shared" si="441"/>
        <v/>
      </c>
      <c r="E5696" t="str">
        <f t="shared" si="442"/>
        <v/>
      </c>
      <c r="F5696" t="str">
        <f>IF(D5696="","",INDEX(Knutepunkter!$B:$B,D5696+1))</f>
        <v/>
      </c>
      <c r="G5696" t="str">
        <f>IF(D5696="","",INDEX(Knutepunkter!$C:$C,D5696+1))</f>
        <v/>
      </c>
      <c r="H5696" t="str">
        <f>IF(D5696="","",INDEX(Knutepunkter!$D:$D,D5696+1))</f>
        <v/>
      </c>
      <c r="I5696" t="str">
        <f>IF(E5696="","",INDEX(Knutepunkter!$B:$B,E5696+1))</f>
        <v/>
      </c>
      <c r="J5696" t="str">
        <f>IF(E5696="","",INDEX(Knutepunkter!$C:$C,E5696+1))</f>
        <v/>
      </c>
      <c r="K5696" t="str">
        <f>IF(E5696="","",INDEX(Knutepunkter!$D:$D,E5696+1))</f>
        <v/>
      </c>
      <c r="L5696" t="str">
        <f t="shared" si="443"/>
        <v/>
      </c>
      <c r="M5696" t="str">
        <f t="shared" si="444"/>
        <v/>
      </c>
    </row>
    <row r="5697" spans="1:13" x14ac:dyDescent="0.3">
      <c r="A5697" t="str">
        <f>Segmenter!A5697</f>
        <v/>
      </c>
      <c r="B5697" t="str">
        <f>Segmenter!B5697</f>
        <v/>
      </c>
      <c r="C5697" t="str">
        <f t="shared" si="440"/>
        <v/>
      </c>
      <c r="D5697" t="str">
        <f t="shared" si="441"/>
        <v/>
      </c>
      <c r="E5697" t="str">
        <f t="shared" si="442"/>
        <v/>
      </c>
      <c r="F5697" t="str">
        <f>IF(D5697="","",INDEX(Knutepunkter!$B:$B,D5697+1))</f>
        <v/>
      </c>
      <c r="G5697" t="str">
        <f>IF(D5697="","",INDEX(Knutepunkter!$C:$C,D5697+1))</f>
        <v/>
      </c>
      <c r="H5697" t="str">
        <f>IF(D5697="","",INDEX(Knutepunkter!$D:$D,D5697+1))</f>
        <v/>
      </c>
      <c r="I5697" t="str">
        <f>IF(E5697="","",INDEX(Knutepunkter!$B:$B,E5697+1))</f>
        <v/>
      </c>
      <c r="J5697" t="str">
        <f>IF(E5697="","",INDEX(Knutepunkter!$C:$C,E5697+1))</f>
        <v/>
      </c>
      <c r="K5697" t="str">
        <f>IF(E5697="","",INDEX(Knutepunkter!$D:$D,E5697+1))</f>
        <v/>
      </c>
      <c r="L5697" t="str">
        <f t="shared" si="443"/>
        <v/>
      </c>
      <c r="M5697" t="str">
        <f t="shared" si="444"/>
        <v/>
      </c>
    </row>
    <row r="5698" spans="1:13" x14ac:dyDescent="0.3">
      <c r="A5698" t="str">
        <f>Segmenter!A5698</f>
        <v/>
      </c>
      <c r="B5698" t="str">
        <f>Segmenter!B5698</f>
        <v/>
      </c>
      <c r="C5698" t="str">
        <f t="shared" ref="C5698:C5761" si="445">IF(B5698="","",IF(AND(F5698=I5698,G5698=J5698,H5698&lt;&gt;K5698),"Søyle","Bjelke"))</f>
        <v/>
      </c>
      <c r="D5698" t="str">
        <f t="shared" ref="D5698:D5761" si="446">IF(B5698="","",VALUE(LEFT(B5698,FIND(" -&gt; ",B5698)-1)))</f>
        <v/>
      </c>
      <c r="E5698" t="str">
        <f t="shared" ref="E5698:E5761" si="447">IF(B5698="","",VALUE(MID(B5698,FIND(" -&gt; ",B5698)+4,99)))</f>
        <v/>
      </c>
      <c r="F5698" t="str">
        <f>IF(D5698="","",INDEX(Knutepunkter!$B:$B,D5698+1))</f>
        <v/>
      </c>
      <c r="G5698" t="str">
        <f>IF(D5698="","",INDEX(Knutepunkter!$C:$C,D5698+1))</f>
        <v/>
      </c>
      <c r="H5698" t="str">
        <f>IF(D5698="","",INDEX(Knutepunkter!$D:$D,D5698+1))</f>
        <v/>
      </c>
      <c r="I5698" t="str">
        <f>IF(E5698="","",INDEX(Knutepunkter!$B:$B,E5698+1))</f>
        <v/>
      </c>
      <c r="J5698" t="str">
        <f>IF(E5698="","",INDEX(Knutepunkter!$C:$C,E5698+1))</f>
        <v/>
      </c>
      <c r="K5698" t="str">
        <f>IF(E5698="","",INDEX(Knutepunkter!$D:$D,E5698+1))</f>
        <v/>
      </c>
      <c r="L5698" t="str">
        <f t="shared" ref="L5698:L5761" si="448">IF(B5698="","",SQRT((I5698-F5698)^2+(J5698-G5698)^2+(K5698-H5698)^2))</f>
        <v/>
      </c>
      <c r="M5698" t="str">
        <f t="shared" ref="M5698:M5761" si="449">IF(L5698="","",L5698/1000)</f>
        <v/>
      </c>
    </row>
    <row r="5699" spans="1:13" x14ac:dyDescent="0.3">
      <c r="A5699" t="str">
        <f>Segmenter!A5699</f>
        <v/>
      </c>
      <c r="B5699" t="str">
        <f>Segmenter!B5699</f>
        <v/>
      </c>
      <c r="C5699" t="str">
        <f t="shared" si="445"/>
        <v/>
      </c>
      <c r="D5699" t="str">
        <f t="shared" si="446"/>
        <v/>
      </c>
      <c r="E5699" t="str">
        <f t="shared" si="447"/>
        <v/>
      </c>
      <c r="F5699" t="str">
        <f>IF(D5699="","",INDEX(Knutepunkter!$B:$B,D5699+1))</f>
        <v/>
      </c>
      <c r="G5699" t="str">
        <f>IF(D5699="","",INDEX(Knutepunkter!$C:$C,D5699+1))</f>
        <v/>
      </c>
      <c r="H5699" t="str">
        <f>IF(D5699="","",INDEX(Knutepunkter!$D:$D,D5699+1))</f>
        <v/>
      </c>
      <c r="I5699" t="str">
        <f>IF(E5699="","",INDEX(Knutepunkter!$B:$B,E5699+1))</f>
        <v/>
      </c>
      <c r="J5699" t="str">
        <f>IF(E5699="","",INDEX(Knutepunkter!$C:$C,E5699+1))</f>
        <v/>
      </c>
      <c r="K5699" t="str">
        <f>IF(E5699="","",INDEX(Knutepunkter!$D:$D,E5699+1))</f>
        <v/>
      </c>
      <c r="L5699" t="str">
        <f t="shared" si="448"/>
        <v/>
      </c>
      <c r="M5699" t="str">
        <f t="shared" si="449"/>
        <v/>
      </c>
    </row>
    <row r="5700" spans="1:13" x14ac:dyDescent="0.3">
      <c r="A5700" t="str">
        <f>Segmenter!A5700</f>
        <v/>
      </c>
      <c r="B5700" t="str">
        <f>Segmenter!B5700</f>
        <v/>
      </c>
      <c r="C5700" t="str">
        <f t="shared" si="445"/>
        <v/>
      </c>
      <c r="D5700" t="str">
        <f t="shared" si="446"/>
        <v/>
      </c>
      <c r="E5700" t="str">
        <f t="shared" si="447"/>
        <v/>
      </c>
      <c r="F5700" t="str">
        <f>IF(D5700="","",INDEX(Knutepunkter!$B:$B,D5700+1))</f>
        <v/>
      </c>
      <c r="G5700" t="str">
        <f>IF(D5700="","",INDEX(Knutepunkter!$C:$C,D5700+1))</f>
        <v/>
      </c>
      <c r="H5700" t="str">
        <f>IF(D5700="","",INDEX(Knutepunkter!$D:$D,D5700+1))</f>
        <v/>
      </c>
      <c r="I5700" t="str">
        <f>IF(E5700="","",INDEX(Knutepunkter!$B:$B,E5700+1))</f>
        <v/>
      </c>
      <c r="J5700" t="str">
        <f>IF(E5700="","",INDEX(Knutepunkter!$C:$C,E5700+1))</f>
        <v/>
      </c>
      <c r="K5700" t="str">
        <f>IF(E5700="","",INDEX(Knutepunkter!$D:$D,E5700+1))</f>
        <v/>
      </c>
      <c r="L5700" t="str">
        <f t="shared" si="448"/>
        <v/>
      </c>
      <c r="M5700" t="str">
        <f t="shared" si="449"/>
        <v/>
      </c>
    </row>
    <row r="5701" spans="1:13" x14ac:dyDescent="0.3">
      <c r="A5701" t="str">
        <f>Segmenter!A5701</f>
        <v/>
      </c>
      <c r="B5701" t="str">
        <f>Segmenter!B5701</f>
        <v/>
      </c>
      <c r="C5701" t="str">
        <f t="shared" si="445"/>
        <v/>
      </c>
      <c r="D5701" t="str">
        <f t="shared" si="446"/>
        <v/>
      </c>
      <c r="E5701" t="str">
        <f t="shared" si="447"/>
        <v/>
      </c>
      <c r="F5701" t="str">
        <f>IF(D5701="","",INDEX(Knutepunkter!$B:$B,D5701+1))</f>
        <v/>
      </c>
      <c r="G5701" t="str">
        <f>IF(D5701="","",INDEX(Knutepunkter!$C:$C,D5701+1))</f>
        <v/>
      </c>
      <c r="H5701" t="str">
        <f>IF(D5701="","",INDEX(Knutepunkter!$D:$D,D5701+1))</f>
        <v/>
      </c>
      <c r="I5701" t="str">
        <f>IF(E5701="","",INDEX(Knutepunkter!$B:$B,E5701+1))</f>
        <v/>
      </c>
      <c r="J5701" t="str">
        <f>IF(E5701="","",INDEX(Knutepunkter!$C:$C,E5701+1))</f>
        <v/>
      </c>
      <c r="K5701" t="str">
        <f>IF(E5701="","",INDEX(Knutepunkter!$D:$D,E5701+1))</f>
        <v/>
      </c>
      <c r="L5701" t="str">
        <f t="shared" si="448"/>
        <v/>
      </c>
      <c r="M5701" t="str">
        <f t="shared" si="449"/>
        <v/>
      </c>
    </row>
    <row r="5702" spans="1:13" x14ac:dyDescent="0.3">
      <c r="A5702" t="str">
        <f>Segmenter!A5702</f>
        <v/>
      </c>
      <c r="B5702" t="str">
        <f>Segmenter!B5702</f>
        <v/>
      </c>
      <c r="C5702" t="str">
        <f t="shared" si="445"/>
        <v/>
      </c>
      <c r="D5702" t="str">
        <f t="shared" si="446"/>
        <v/>
      </c>
      <c r="E5702" t="str">
        <f t="shared" si="447"/>
        <v/>
      </c>
      <c r="F5702" t="str">
        <f>IF(D5702="","",INDEX(Knutepunkter!$B:$B,D5702+1))</f>
        <v/>
      </c>
      <c r="G5702" t="str">
        <f>IF(D5702="","",INDEX(Knutepunkter!$C:$C,D5702+1))</f>
        <v/>
      </c>
      <c r="H5702" t="str">
        <f>IF(D5702="","",INDEX(Knutepunkter!$D:$D,D5702+1))</f>
        <v/>
      </c>
      <c r="I5702" t="str">
        <f>IF(E5702="","",INDEX(Knutepunkter!$B:$B,E5702+1))</f>
        <v/>
      </c>
      <c r="J5702" t="str">
        <f>IF(E5702="","",INDEX(Knutepunkter!$C:$C,E5702+1))</f>
        <v/>
      </c>
      <c r="K5702" t="str">
        <f>IF(E5702="","",INDEX(Knutepunkter!$D:$D,E5702+1))</f>
        <v/>
      </c>
      <c r="L5702" t="str">
        <f t="shared" si="448"/>
        <v/>
      </c>
      <c r="M5702" t="str">
        <f t="shared" si="449"/>
        <v/>
      </c>
    </row>
    <row r="5703" spans="1:13" x14ac:dyDescent="0.3">
      <c r="A5703" t="str">
        <f>Segmenter!A5703</f>
        <v/>
      </c>
      <c r="B5703" t="str">
        <f>Segmenter!B5703</f>
        <v/>
      </c>
      <c r="C5703" t="str">
        <f t="shared" si="445"/>
        <v/>
      </c>
      <c r="D5703" t="str">
        <f t="shared" si="446"/>
        <v/>
      </c>
      <c r="E5703" t="str">
        <f t="shared" si="447"/>
        <v/>
      </c>
      <c r="F5703" t="str">
        <f>IF(D5703="","",INDEX(Knutepunkter!$B:$B,D5703+1))</f>
        <v/>
      </c>
      <c r="G5703" t="str">
        <f>IF(D5703="","",INDEX(Knutepunkter!$C:$C,D5703+1))</f>
        <v/>
      </c>
      <c r="H5703" t="str">
        <f>IF(D5703="","",INDEX(Knutepunkter!$D:$D,D5703+1))</f>
        <v/>
      </c>
      <c r="I5703" t="str">
        <f>IF(E5703="","",INDEX(Knutepunkter!$B:$B,E5703+1))</f>
        <v/>
      </c>
      <c r="J5703" t="str">
        <f>IF(E5703="","",INDEX(Knutepunkter!$C:$C,E5703+1))</f>
        <v/>
      </c>
      <c r="K5703" t="str">
        <f>IF(E5703="","",INDEX(Knutepunkter!$D:$D,E5703+1))</f>
        <v/>
      </c>
      <c r="L5703" t="str">
        <f t="shared" si="448"/>
        <v/>
      </c>
      <c r="M5703" t="str">
        <f t="shared" si="449"/>
        <v/>
      </c>
    </row>
    <row r="5704" spans="1:13" x14ac:dyDescent="0.3">
      <c r="A5704" t="str">
        <f>Segmenter!A5704</f>
        <v/>
      </c>
      <c r="B5704" t="str">
        <f>Segmenter!B5704</f>
        <v/>
      </c>
      <c r="C5704" t="str">
        <f t="shared" si="445"/>
        <v/>
      </c>
      <c r="D5704" t="str">
        <f t="shared" si="446"/>
        <v/>
      </c>
      <c r="E5704" t="str">
        <f t="shared" si="447"/>
        <v/>
      </c>
      <c r="F5704" t="str">
        <f>IF(D5704="","",INDEX(Knutepunkter!$B:$B,D5704+1))</f>
        <v/>
      </c>
      <c r="G5704" t="str">
        <f>IF(D5704="","",INDEX(Knutepunkter!$C:$C,D5704+1))</f>
        <v/>
      </c>
      <c r="H5704" t="str">
        <f>IF(D5704="","",INDEX(Knutepunkter!$D:$D,D5704+1))</f>
        <v/>
      </c>
      <c r="I5704" t="str">
        <f>IF(E5704="","",INDEX(Knutepunkter!$B:$B,E5704+1))</f>
        <v/>
      </c>
      <c r="J5704" t="str">
        <f>IF(E5704="","",INDEX(Knutepunkter!$C:$C,E5704+1))</f>
        <v/>
      </c>
      <c r="K5704" t="str">
        <f>IF(E5704="","",INDEX(Knutepunkter!$D:$D,E5704+1))</f>
        <v/>
      </c>
      <c r="L5704" t="str">
        <f t="shared" si="448"/>
        <v/>
      </c>
      <c r="M5704" t="str">
        <f t="shared" si="449"/>
        <v/>
      </c>
    </row>
    <row r="5705" spans="1:13" x14ac:dyDescent="0.3">
      <c r="A5705" t="str">
        <f>Segmenter!A5705</f>
        <v/>
      </c>
      <c r="B5705" t="str">
        <f>Segmenter!B5705</f>
        <v/>
      </c>
      <c r="C5705" t="str">
        <f t="shared" si="445"/>
        <v/>
      </c>
      <c r="D5705" t="str">
        <f t="shared" si="446"/>
        <v/>
      </c>
      <c r="E5705" t="str">
        <f t="shared" si="447"/>
        <v/>
      </c>
      <c r="F5705" t="str">
        <f>IF(D5705="","",INDEX(Knutepunkter!$B:$B,D5705+1))</f>
        <v/>
      </c>
      <c r="G5705" t="str">
        <f>IF(D5705="","",INDEX(Knutepunkter!$C:$C,D5705+1))</f>
        <v/>
      </c>
      <c r="H5705" t="str">
        <f>IF(D5705="","",INDEX(Knutepunkter!$D:$D,D5705+1))</f>
        <v/>
      </c>
      <c r="I5705" t="str">
        <f>IF(E5705="","",INDEX(Knutepunkter!$B:$B,E5705+1))</f>
        <v/>
      </c>
      <c r="J5705" t="str">
        <f>IF(E5705="","",INDEX(Knutepunkter!$C:$C,E5705+1))</f>
        <v/>
      </c>
      <c r="K5705" t="str">
        <f>IF(E5705="","",INDEX(Knutepunkter!$D:$D,E5705+1))</f>
        <v/>
      </c>
      <c r="L5705" t="str">
        <f t="shared" si="448"/>
        <v/>
      </c>
      <c r="M5705" t="str">
        <f t="shared" si="449"/>
        <v/>
      </c>
    </row>
    <row r="5706" spans="1:13" x14ac:dyDescent="0.3">
      <c r="A5706" t="str">
        <f>Segmenter!A5706</f>
        <v/>
      </c>
      <c r="B5706" t="str">
        <f>Segmenter!B5706</f>
        <v/>
      </c>
      <c r="C5706" t="str">
        <f t="shared" si="445"/>
        <v/>
      </c>
      <c r="D5706" t="str">
        <f t="shared" si="446"/>
        <v/>
      </c>
      <c r="E5706" t="str">
        <f t="shared" si="447"/>
        <v/>
      </c>
      <c r="F5706" t="str">
        <f>IF(D5706="","",INDEX(Knutepunkter!$B:$B,D5706+1))</f>
        <v/>
      </c>
      <c r="G5706" t="str">
        <f>IF(D5706="","",INDEX(Knutepunkter!$C:$C,D5706+1))</f>
        <v/>
      </c>
      <c r="H5706" t="str">
        <f>IF(D5706="","",INDEX(Knutepunkter!$D:$D,D5706+1))</f>
        <v/>
      </c>
      <c r="I5706" t="str">
        <f>IF(E5706="","",INDEX(Knutepunkter!$B:$B,E5706+1))</f>
        <v/>
      </c>
      <c r="J5706" t="str">
        <f>IF(E5706="","",INDEX(Knutepunkter!$C:$C,E5706+1))</f>
        <v/>
      </c>
      <c r="K5706" t="str">
        <f>IF(E5706="","",INDEX(Knutepunkter!$D:$D,E5706+1))</f>
        <v/>
      </c>
      <c r="L5706" t="str">
        <f t="shared" si="448"/>
        <v/>
      </c>
      <c r="M5706" t="str">
        <f t="shared" si="449"/>
        <v/>
      </c>
    </row>
    <row r="5707" spans="1:13" x14ac:dyDescent="0.3">
      <c r="A5707" t="str">
        <f>Segmenter!A5707</f>
        <v/>
      </c>
      <c r="B5707" t="str">
        <f>Segmenter!B5707</f>
        <v/>
      </c>
      <c r="C5707" t="str">
        <f t="shared" si="445"/>
        <v/>
      </c>
      <c r="D5707" t="str">
        <f t="shared" si="446"/>
        <v/>
      </c>
      <c r="E5707" t="str">
        <f t="shared" si="447"/>
        <v/>
      </c>
      <c r="F5707" t="str">
        <f>IF(D5707="","",INDEX(Knutepunkter!$B:$B,D5707+1))</f>
        <v/>
      </c>
      <c r="G5707" t="str">
        <f>IF(D5707="","",INDEX(Knutepunkter!$C:$C,D5707+1))</f>
        <v/>
      </c>
      <c r="H5707" t="str">
        <f>IF(D5707="","",INDEX(Knutepunkter!$D:$D,D5707+1))</f>
        <v/>
      </c>
      <c r="I5707" t="str">
        <f>IF(E5707="","",INDEX(Knutepunkter!$B:$B,E5707+1))</f>
        <v/>
      </c>
      <c r="J5707" t="str">
        <f>IF(E5707="","",INDEX(Knutepunkter!$C:$C,E5707+1))</f>
        <v/>
      </c>
      <c r="K5707" t="str">
        <f>IF(E5707="","",INDEX(Knutepunkter!$D:$D,E5707+1))</f>
        <v/>
      </c>
      <c r="L5707" t="str">
        <f t="shared" si="448"/>
        <v/>
      </c>
      <c r="M5707" t="str">
        <f t="shared" si="449"/>
        <v/>
      </c>
    </row>
    <row r="5708" spans="1:13" x14ac:dyDescent="0.3">
      <c r="A5708" t="str">
        <f>Segmenter!A5708</f>
        <v/>
      </c>
      <c r="B5708" t="str">
        <f>Segmenter!B5708</f>
        <v/>
      </c>
      <c r="C5708" t="str">
        <f t="shared" si="445"/>
        <v/>
      </c>
      <c r="D5708" t="str">
        <f t="shared" si="446"/>
        <v/>
      </c>
      <c r="E5708" t="str">
        <f t="shared" si="447"/>
        <v/>
      </c>
      <c r="F5708" t="str">
        <f>IF(D5708="","",INDEX(Knutepunkter!$B:$B,D5708+1))</f>
        <v/>
      </c>
      <c r="G5708" t="str">
        <f>IF(D5708="","",INDEX(Knutepunkter!$C:$C,D5708+1))</f>
        <v/>
      </c>
      <c r="H5708" t="str">
        <f>IF(D5708="","",INDEX(Knutepunkter!$D:$D,D5708+1))</f>
        <v/>
      </c>
      <c r="I5708" t="str">
        <f>IF(E5708="","",INDEX(Knutepunkter!$B:$B,E5708+1))</f>
        <v/>
      </c>
      <c r="J5708" t="str">
        <f>IF(E5708="","",INDEX(Knutepunkter!$C:$C,E5708+1))</f>
        <v/>
      </c>
      <c r="K5708" t="str">
        <f>IF(E5708="","",INDEX(Knutepunkter!$D:$D,E5708+1))</f>
        <v/>
      </c>
      <c r="L5708" t="str">
        <f t="shared" si="448"/>
        <v/>
      </c>
      <c r="M5708" t="str">
        <f t="shared" si="449"/>
        <v/>
      </c>
    </row>
    <row r="5709" spans="1:13" x14ac:dyDescent="0.3">
      <c r="A5709" t="str">
        <f>Segmenter!A5709</f>
        <v/>
      </c>
      <c r="B5709" t="str">
        <f>Segmenter!B5709</f>
        <v/>
      </c>
      <c r="C5709" t="str">
        <f t="shared" si="445"/>
        <v/>
      </c>
      <c r="D5709" t="str">
        <f t="shared" si="446"/>
        <v/>
      </c>
      <c r="E5709" t="str">
        <f t="shared" si="447"/>
        <v/>
      </c>
      <c r="F5709" t="str">
        <f>IF(D5709="","",INDEX(Knutepunkter!$B:$B,D5709+1))</f>
        <v/>
      </c>
      <c r="G5709" t="str">
        <f>IF(D5709="","",INDEX(Knutepunkter!$C:$C,D5709+1))</f>
        <v/>
      </c>
      <c r="H5709" t="str">
        <f>IF(D5709="","",INDEX(Knutepunkter!$D:$D,D5709+1))</f>
        <v/>
      </c>
      <c r="I5709" t="str">
        <f>IF(E5709="","",INDEX(Knutepunkter!$B:$B,E5709+1))</f>
        <v/>
      </c>
      <c r="J5709" t="str">
        <f>IF(E5709="","",INDEX(Knutepunkter!$C:$C,E5709+1))</f>
        <v/>
      </c>
      <c r="K5709" t="str">
        <f>IF(E5709="","",INDEX(Knutepunkter!$D:$D,E5709+1))</f>
        <v/>
      </c>
      <c r="L5709" t="str">
        <f t="shared" si="448"/>
        <v/>
      </c>
      <c r="M5709" t="str">
        <f t="shared" si="449"/>
        <v/>
      </c>
    </row>
    <row r="5710" spans="1:13" x14ac:dyDescent="0.3">
      <c r="A5710" t="str">
        <f>Segmenter!A5710</f>
        <v/>
      </c>
      <c r="B5710" t="str">
        <f>Segmenter!B5710</f>
        <v/>
      </c>
      <c r="C5710" t="str">
        <f t="shared" si="445"/>
        <v/>
      </c>
      <c r="D5710" t="str">
        <f t="shared" si="446"/>
        <v/>
      </c>
      <c r="E5710" t="str">
        <f t="shared" si="447"/>
        <v/>
      </c>
      <c r="F5710" t="str">
        <f>IF(D5710="","",INDEX(Knutepunkter!$B:$B,D5710+1))</f>
        <v/>
      </c>
      <c r="G5710" t="str">
        <f>IF(D5710="","",INDEX(Knutepunkter!$C:$C,D5710+1))</f>
        <v/>
      </c>
      <c r="H5710" t="str">
        <f>IF(D5710="","",INDEX(Knutepunkter!$D:$D,D5710+1))</f>
        <v/>
      </c>
      <c r="I5710" t="str">
        <f>IF(E5710="","",INDEX(Knutepunkter!$B:$B,E5710+1))</f>
        <v/>
      </c>
      <c r="J5710" t="str">
        <f>IF(E5710="","",INDEX(Knutepunkter!$C:$C,E5710+1))</f>
        <v/>
      </c>
      <c r="K5710" t="str">
        <f>IF(E5710="","",INDEX(Knutepunkter!$D:$D,E5710+1))</f>
        <v/>
      </c>
      <c r="L5710" t="str">
        <f t="shared" si="448"/>
        <v/>
      </c>
      <c r="M5710" t="str">
        <f t="shared" si="449"/>
        <v/>
      </c>
    </row>
    <row r="5711" spans="1:13" x14ac:dyDescent="0.3">
      <c r="A5711" t="str">
        <f>Segmenter!A5711</f>
        <v/>
      </c>
      <c r="B5711" t="str">
        <f>Segmenter!B5711</f>
        <v/>
      </c>
      <c r="C5711" t="str">
        <f t="shared" si="445"/>
        <v/>
      </c>
      <c r="D5711" t="str">
        <f t="shared" si="446"/>
        <v/>
      </c>
      <c r="E5711" t="str">
        <f t="shared" si="447"/>
        <v/>
      </c>
      <c r="F5711" t="str">
        <f>IF(D5711="","",INDEX(Knutepunkter!$B:$B,D5711+1))</f>
        <v/>
      </c>
      <c r="G5711" t="str">
        <f>IF(D5711="","",INDEX(Knutepunkter!$C:$C,D5711+1))</f>
        <v/>
      </c>
      <c r="H5711" t="str">
        <f>IF(D5711="","",INDEX(Knutepunkter!$D:$D,D5711+1))</f>
        <v/>
      </c>
      <c r="I5711" t="str">
        <f>IF(E5711="","",INDEX(Knutepunkter!$B:$B,E5711+1))</f>
        <v/>
      </c>
      <c r="J5711" t="str">
        <f>IF(E5711="","",INDEX(Knutepunkter!$C:$C,E5711+1))</f>
        <v/>
      </c>
      <c r="K5711" t="str">
        <f>IF(E5711="","",INDEX(Knutepunkter!$D:$D,E5711+1))</f>
        <v/>
      </c>
      <c r="L5711" t="str">
        <f t="shared" si="448"/>
        <v/>
      </c>
      <c r="M5711" t="str">
        <f t="shared" si="449"/>
        <v/>
      </c>
    </row>
    <row r="5712" spans="1:13" x14ac:dyDescent="0.3">
      <c r="A5712" t="str">
        <f>Segmenter!A5712</f>
        <v/>
      </c>
      <c r="B5712" t="str">
        <f>Segmenter!B5712</f>
        <v/>
      </c>
      <c r="C5712" t="str">
        <f t="shared" si="445"/>
        <v/>
      </c>
      <c r="D5712" t="str">
        <f t="shared" si="446"/>
        <v/>
      </c>
      <c r="E5712" t="str">
        <f t="shared" si="447"/>
        <v/>
      </c>
      <c r="F5712" t="str">
        <f>IF(D5712="","",INDEX(Knutepunkter!$B:$B,D5712+1))</f>
        <v/>
      </c>
      <c r="G5712" t="str">
        <f>IF(D5712="","",INDEX(Knutepunkter!$C:$C,D5712+1))</f>
        <v/>
      </c>
      <c r="H5712" t="str">
        <f>IF(D5712="","",INDEX(Knutepunkter!$D:$D,D5712+1))</f>
        <v/>
      </c>
      <c r="I5712" t="str">
        <f>IF(E5712="","",INDEX(Knutepunkter!$B:$B,E5712+1))</f>
        <v/>
      </c>
      <c r="J5712" t="str">
        <f>IF(E5712="","",INDEX(Knutepunkter!$C:$C,E5712+1))</f>
        <v/>
      </c>
      <c r="K5712" t="str">
        <f>IF(E5712="","",INDEX(Knutepunkter!$D:$D,E5712+1))</f>
        <v/>
      </c>
      <c r="L5712" t="str">
        <f t="shared" si="448"/>
        <v/>
      </c>
      <c r="M5712" t="str">
        <f t="shared" si="449"/>
        <v/>
      </c>
    </row>
    <row r="5713" spans="1:13" x14ac:dyDescent="0.3">
      <c r="A5713" t="str">
        <f>Segmenter!A5713</f>
        <v/>
      </c>
      <c r="B5713" t="str">
        <f>Segmenter!B5713</f>
        <v/>
      </c>
      <c r="C5713" t="str">
        <f t="shared" si="445"/>
        <v/>
      </c>
      <c r="D5713" t="str">
        <f t="shared" si="446"/>
        <v/>
      </c>
      <c r="E5713" t="str">
        <f t="shared" si="447"/>
        <v/>
      </c>
      <c r="F5713" t="str">
        <f>IF(D5713="","",INDEX(Knutepunkter!$B:$B,D5713+1))</f>
        <v/>
      </c>
      <c r="G5713" t="str">
        <f>IF(D5713="","",INDEX(Knutepunkter!$C:$C,D5713+1))</f>
        <v/>
      </c>
      <c r="H5713" t="str">
        <f>IF(D5713="","",INDEX(Knutepunkter!$D:$D,D5713+1))</f>
        <v/>
      </c>
      <c r="I5713" t="str">
        <f>IF(E5713="","",INDEX(Knutepunkter!$B:$B,E5713+1))</f>
        <v/>
      </c>
      <c r="J5713" t="str">
        <f>IF(E5713="","",INDEX(Knutepunkter!$C:$C,E5713+1))</f>
        <v/>
      </c>
      <c r="K5713" t="str">
        <f>IF(E5713="","",INDEX(Knutepunkter!$D:$D,E5713+1))</f>
        <v/>
      </c>
      <c r="L5713" t="str">
        <f t="shared" si="448"/>
        <v/>
      </c>
      <c r="M5713" t="str">
        <f t="shared" si="449"/>
        <v/>
      </c>
    </row>
    <row r="5714" spans="1:13" x14ac:dyDescent="0.3">
      <c r="A5714" t="str">
        <f>Segmenter!A5714</f>
        <v/>
      </c>
      <c r="B5714" t="str">
        <f>Segmenter!B5714</f>
        <v/>
      </c>
      <c r="C5714" t="str">
        <f t="shared" si="445"/>
        <v/>
      </c>
      <c r="D5714" t="str">
        <f t="shared" si="446"/>
        <v/>
      </c>
      <c r="E5714" t="str">
        <f t="shared" si="447"/>
        <v/>
      </c>
      <c r="F5714" t="str">
        <f>IF(D5714="","",INDEX(Knutepunkter!$B:$B,D5714+1))</f>
        <v/>
      </c>
      <c r="G5714" t="str">
        <f>IF(D5714="","",INDEX(Knutepunkter!$C:$C,D5714+1))</f>
        <v/>
      </c>
      <c r="H5714" t="str">
        <f>IF(D5714="","",INDEX(Knutepunkter!$D:$D,D5714+1))</f>
        <v/>
      </c>
      <c r="I5714" t="str">
        <f>IF(E5714="","",INDEX(Knutepunkter!$B:$B,E5714+1))</f>
        <v/>
      </c>
      <c r="J5714" t="str">
        <f>IF(E5714="","",INDEX(Knutepunkter!$C:$C,E5714+1))</f>
        <v/>
      </c>
      <c r="K5714" t="str">
        <f>IF(E5714="","",INDEX(Knutepunkter!$D:$D,E5714+1))</f>
        <v/>
      </c>
      <c r="L5714" t="str">
        <f t="shared" si="448"/>
        <v/>
      </c>
      <c r="M5714" t="str">
        <f t="shared" si="449"/>
        <v/>
      </c>
    </row>
    <row r="5715" spans="1:13" x14ac:dyDescent="0.3">
      <c r="A5715" t="str">
        <f>Segmenter!A5715</f>
        <v/>
      </c>
      <c r="B5715" t="str">
        <f>Segmenter!B5715</f>
        <v/>
      </c>
      <c r="C5715" t="str">
        <f t="shared" si="445"/>
        <v/>
      </c>
      <c r="D5715" t="str">
        <f t="shared" si="446"/>
        <v/>
      </c>
      <c r="E5715" t="str">
        <f t="shared" si="447"/>
        <v/>
      </c>
      <c r="F5715" t="str">
        <f>IF(D5715="","",INDEX(Knutepunkter!$B:$B,D5715+1))</f>
        <v/>
      </c>
      <c r="G5715" t="str">
        <f>IF(D5715="","",INDEX(Knutepunkter!$C:$C,D5715+1))</f>
        <v/>
      </c>
      <c r="H5715" t="str">
        <f>IF(D5715="","",INDEX(Knutepunkter!$D:$D,D5715+1))</f>
        <v/>
      </c>
      <c r="I5715" t="str">
        <f>IF(E5715="","",INDEX(Knutepunkter!$B:$B,E5715+1))</f>
        <v/>
      </c>
      <c r="J5715" t="str">
        <f>IF(E5715="","",INDEX(Knutepunkter!$C:$C,E5715+1))</f>
        <v/>
      </c>
      <c r="K5715" t="str">
        <f>IF(E5715="","",INDEX(Knutepunkter!$D:$D,E5715+1))</f>
        <v/>
      </c>
      <c r="L5715" t="str">
        <f t="shared" si="448"/>
        <v/>
      </c>
      <c r="M5715" t="str">
        <f t="shared" si="449"/>
        <v/>
      </c>
    </row>
    <row r="5716" spans="1:13" x14ac:dyDescent="0.3">
      <c r="A5716" t="str">
        <f>Segmenter!A5716</f>
        <v/>
      </c>
      <c r="B5716" t="str">
        <f>Segmenter!B5716</f>
        <v/>
      </c>
      <c r="C5716" t="str">
        <f t="shared" si="445"/>
        <v/>
      </c>
      <c r="D5716" t="str">
        <f t="shared" si="446"/>
        <v/>
      </c>
      <c r="E5716" t="str">
        <f t="shared" si="447"/>
        <v/>
      </c>
      <c r="F5716" t="str">
        <f>IF(D5716="","",INDEX(Knutepunkter!$B:$B,D5716+1))</f>
        <v/>
      </c>
      <c r="G5716" t="str">
        <f>IF(D5716="","",INDEX(Knutepunkter!$C:$C,D5716+1))</f>
        <v/>
      </c>
      <c r="H5716" t="str">
        <f>IF(D5716="","",INDEX(Knutepunkter!$D:$D,D5716+1))</f>
        <v/>
      </c>
      <c r="I5716" t="str">
        <f>IF(E5716="","",INDEX(Knutepunkter!$B:$B,E5716+1))</f>
        <v/>
      </c>
      <c r="J5716" t="str">
        <f>IF(E5716="","",INDEX(Knutepunkter!$C:$C,E5716+1))</f>
        <v/>
      </c>
      <c r="K5716" t="str">
        <f>IF(E5716="","",INDEX(Knutepunkter!$D:$D,E5716+1))</f>
        <v/>
      </c>
      <c r="L5716" t="str">
        <f t="shared" si="448"/>
        <v/>
      </c>
      <c r="M5716" t="str">
        <f t="shared" si="449"/>
        <v/>
      </c>
    </row>
    <row r="5717" spans="1:13" x14ac:dyDescent="0.3">
      <c r="A5717" t="str">
        <f>Segmenter!A5717</f>
        <v/>
      </c>
      <c r="B5717" t="str">
        <f>Segmenter!B5717</f>
        <v/>
      </c>
      <c r="C5717" t="str">
        <f t="shared" si="445"/>
        <v/>
      </c>
      <c r="D5717" t="str">
        <f t="shared" si="446"/>
        <v/>
      </c>
      <c r="E5717" t="str">
        <f t="shared" si="447"/>
        <v/>
      </c>
      <c r="F5717" t="str">
        <f>IF(D5717="","",INDEX(Knutepunkter!$B:$B,D5717+1))</f>
        <v/>
      </c>
      <c r="G5717" t="str">
        <f>IF(D5717="","",INDEX(Knutepunkter!$C:$C,D5717+1))</f>
        <v/>
      </c>
      <c r="H5717" t="str">
        <f>IF(D5717="","",INDEX(Knutepunkter!$D:$D,D5717+1))</f>
        <v/>
      </c>
      <c r="I5717" t="str">
        <f>IF(E5717="","",INDEX(Knutepunkter!$B:$B,E5717+1))</f>
        <v/>
      </c>
      <c r="J5717" t="str">
        <f>IF(E5717="","",INDEX(Knutepunkter!$C:$C,E5717+1))</f>
        <v/>
      </c>
      <c r="K5717" t="str">
        <f>IF(E5717="","",INDEX(Knutepunkter!$D:$D,E5717+1))</f>
        <v/>
      </c>
      <c r="L5717" t="str">
        <f t="shared" si="448"/>
        <v/>
      </c>
      <c r="M5717" t="str">
        <f t="shared" si="449"/>
        <v/>
      </c>
    </row>
    <row r="5718" spans="1:13" x14ac:dyDescent="0.3">
      <c r="A5718" t="str">
        <f>Segmenter!A5718</f>
        <v/>
      </c>
      <c r="B5718" t="str">
        <f>Segmenter!B5718</f>
        <v/>
      </c>
      <c r="C5718" t="str">
        <f t="shared" si="445"/>
        <v/>
      </c>
      <c r="D5718" t="str">
        <f t="shared" si="446"/>
        <v/>
      </c>
      <c r="E5718" t="str">
        <f t="shared" si="447"/>
        <v/>
      </c>
      <c r="F5718" t="str">
        <f>IF(D5718="","",INDEX(Knutepunkter!$B:$B,D5718+1))</f>
        <v/>
      </c>
      <c r="G5718" t="str">
        <f>IF(D5718="","",INDEX(Knutepunkter!$C:$C,D5718+1))</f>
        <v/>
      </c>
      <c r="H5718" t="str">
        <f>IF(D5718="","",INDEX(Knutepunkter!$D:$D,D5718+1))</f>
        <v/>
      </c>
      <c r="I5718" t="str">
        <f>IF(E5718="","",INDEX(Knutepunkter!$B:$B,E5718+1))</f>
        <v/>
      </c>
      <c r="J5718" t="str">
        <f>IF(E5718="","",INDEX(Knutepunkter!$C:$C,E5718+1))</f>
        <v/>
      </c>
      <c r="K5718" t="str">
        <f>IF(E5718="","",INDEX(Knutepunkter!$D:$D,E5718+1))</f>
        <v/>
      </c>
      <c r="L5718" t="str">
        <f t="shared" si="448"/>
        <v/>
      </c>
      <c r="M5718" t="str">
        <f t="shared" si="449"/>
        <v/>
      </c>
    </row>
    <row r="5719" spans="1:13" x14ac:dyDescent="0.3">
      <c r="A5719" t="str">
        <f>Segmenter!A5719</f>
        <v/>
      </c>
      <c r="B5719" t="str">
        <f>Segmenter!B5719</f>
        <v/>
      </c>
      <c r="C5719" t="str">
        <f t="shared" si="445"/>
        <v/>
      </c>
      <c r="D5719" t="str">
        <f t="shared" si="446"/>
        <v/>
      </c>
      <c r="E5719" t="str">
        <f t="shared" si="447"/>
        <v/>
      </c>
      <c r="F5719" t="str">
        <f>IF(D5719="","",INDEX(Knutepunkter!$B:$B,D5719+1))</f>
        <v/>
      </c>
      <c r="G5719" t="str">
        <f>IF(D5719="","",INDEX(Knutepunkter!$C:$C,D5719+1))</f>
        <v/>
      </c>
      <c r="H5719" t="str">
        <f>IF(D5719="","",INDEX(Knutepunkter!$D:$D,D5719+1))</f>
        <v/>
      </c>
      <c r="I5719" t="str">
        <f>IF(E5719="","",INDEX(Knutepunkter!$B:$B,E5719+1))</f>
        <v/>
      </c>
      <c r="J5719" t="str">
        <f>IF(E5719="","",INDEX(Knutepunkter!$C:$C,E5719+1))</f>
        <v/>
      </c>
      <c r="K5719" t="str">
        <f>IF(E5719="","",INDEX(Knutepunkter!$D:$D,E5719+1))</f>
        <v/>
      </c>
      <c r="L5719" t="str">
        <f t="shared" si="448"/>
        <v/>
      </c>
      <c r="M5719" t="str">
        <f t="shared" si="449"/>
        <v/>
      </c>
    </row>
    <row r="5720" spans="1:13" x14ac:dyDescent="0.3">
      <c r="A5720" t="str">
        <f>Segmenter!A5720</f>
        <v/>
      </c>
      <c r="B5720" t="str">
        <f>Segmenter!B5720</f>
        <v/>
      </c>
      <c r="C5720" t="str">
        <f t="shared" si="445"/>
        <v/>
      </c>
      <c r="D5720" t="str">
        <f t="shared" si="446"/>
        <v/>
      </c>
      <c r="E5720" t="str">
        <f t="shared" si="447"/>
        <v/>
      </c>
      <c r="F5720" t="str">
        <f>IF(D5720="","",INDEX(Knutepunkter!$B:$B,D5720+1))</f>
        <v/>
      </c>
      <c r="G5720" t="str">
        <f>IF(D5720="","",INDEX(Knutepunkter!$C:$C,D5720+1))</f>
        <v/>
      </c>
      <c r="H5720" t="str">
        <f>IF(D5720="","",INDEX(Knutepunkter!$D:$D,D5720+1))</f>
        <v/>
      </c>
      <c r="I5720" t="str">
        <f>IF(E5720="","",INDEX(Knutepunkter!$B:$B,E5720+1))</f>
        <v/>
      </c>
      <c r="J5720" t="str">
        <f>IF(E5720="","",INDEX(Knutepunkter!$C:$C,E5720+1))</f>
        <v/>
      </c>
      <c r="K5720" t="str">
        <f>IF(E5720="","",INDEX(Knutepunkter!$D:$D,E5720+1))</f>
        <v/>
      </c>
      <c r="L5720" t="str">
        <f t="shared" si="448"/>
        <v/>
      </c>
      <c r="M5720" t="str">
        <f t="shared" si="449"/>
        <v/>
      </c>
    </row>
    <row r="5721" spans="1:13" x14ac:dyDescent="0.3">
      <c r="A5721" t="str">
        <f>Segmenter!A5721</f>
        <v/>
      </c>
      <c r="B5721" t="str">
        <f>Segmenter!B5721</f>
        <v/>
      </c>
      <c r="C5721" t="str">
        <f t="shared" si="445"/>
        <v/>
      </c>
      <c r="D5721" t="str">
        <f t="shared" si="446"/>
        <v/>
      </c>
      <c r="E5721" t="str">
        <f t="shared" si="447"/>
        <v/>
      </c>
      <c r="F5721" t="str">
        <f>IF(D5721="","",INDEX(Knutepunkter!$B:$B,D5721+1))</f>
        <v/>
      </c>
      <c r="G5721" t="str">
        <f>IF(D5721="","",INDEX(Knutepunkter!$C:$C,D5721+1))</f>
        <v/>
      </c>
      <c r="H5721" t="str">
        <f>IF(D5721="","",INDEX(Knutepunkter!$D:$D,D5721+1))</f>
        <v/>
      </c>
      <c r="I5721" t="str">
        <f>IF(E5721="","",INDEX(Knutepunkter!$B:$B,E5721+1))</f>
        <v/>
      </c>
      <c r="J5721" t="str">
        <f>IF(E5721="","",INDEX(Knutepunkter!$C:$C,E5721+1))</f>
        <v/>
      </c>
      <c r="K5721" t="str">
        <f>IF(E5721="","",INDEX(Knutepunkter!$D:$D,E5721+1))</f>
        <v/>
      </c>
      <c r="L5721" t="str">
        <f t="shared" si="448"/>
        <v/>
      </c>
      <c r="M5721" t="str">
        <f t="shared" si="449"/>
        <v/>
      </c>
    </row>
    <row r="5722" spans="1:13" x14ac:dyDescent="0.3">
      <c r="A5722" t="str">
        <f>Segmenter!A5722</f>
        <v/>
      </c>
      <c r="B5722" t="str">
        <f>Segmenter!B5722</f>
        <v/>
      </c>
      <c r="C5722" t="str">
        <f t="shared" si="445"/>
        <v/>
      </c>
      <c r="D5722" t="str">
        <f t="shared" si="446"/>
        <v/>
      </c>
      <c r="E5722" t="str">
        <f t="shared" si="447"/>
        <v/>
      </c>
      <c r="F5722" t="str">
        <f>IF(D5722="","",INDEX(Knutepunkter!$B:$B,D5722+1))</f>
        <v/>
      </c>
      <c r="G5722" t="str">
        <f>IF(D5722="","",INDEX(Knutepunkter!$C:$C,D5722+1))</f>
        <v/>
      </c>
      <c r="H5722" t="str">
        <f>IF(D5722="","",INDEX(Knutepunkter!$D:$D,D5722+1))</f>
        <v/>
      </c>
      <c r="I5722" t="str">
        <f>IF(E5722="","",INDEX(Knutepunkter!$B:$B,E5722+1))</f>
        <v/>
      </c>
      <c r="J5722" t="str">
        <f>IF(E5722="","",INDEX(Knutepunkter!$C:$C,E5722+1))</f>
        <v/>
      </c>
      <c r="K5722" t="str">
        <f>IF(E5722="","",INDEX(Knutepunkter!$D:$D,E5722+1))</f>
        <v/>
      </c>
      <c r="L5722" t="str">
        <f t="shared" si="448"/>
        <v/>
      </c>
      <c r="M5722" t="str">
        <f t="shared" si="449"/>
        <v/>
      </c>
    </row>
    <row r="5723" spans="1:13" x14ac:dyDescent="0.3">
      <c r="A5723" t="str">
        <f>Segmenter!A5723</f>
        <v/>
      </c>
      <c r="B5723" t="str">
        <f>Segmenter!B5723</f>
        <v/>
      </c>
      <c r="C5723" t="str">
        <f t="shared" si="445"/>
        <v/>
      </c>
      <c r="D5723" t="str">
        <f t="shared" si="446"/>
        <v/>
      </c>
      <c r="E5723" t="str">
        <f t="shared" si="447"/>
        <v/>
      </c>
      <c r="F5723" t="str">
        <f>IF(D5723="","",INDEX(Knutepunkter!$B:$B,D5723+1))</f>
        <v/>
      </c>
      <c r="G5723" t="str">
        <f>IF(D5723="","",INDEX(Knutepunkter!$C:$C,D5723+1))</f>
        <v/>
      </c>
      <c r="H5723" t="str">
        <f>IF(D5723="","",INDEX(Knutepunkter!$D:$D,D5723+1))</f>
        <v/>
      </c>
      <c r="I5723" t="str">
        <f>IF(E5723="","",INDEX(Knutepunkter!$B:$B,E5723+1))</f>
        <v/>
      </c>
      <c r="J5723" t="str">
        <f>IF(E5723="","",INDEX(Knutepunkter!$C:$C,E5723+1))</f>
        <v/>
      </c>
      <c r="K5723" t="str">
        <f>IF(E5723="","",INDEX(Knutepunkter!$D:$D,E5723+1))</f>
        <v/>
      </c>
      <c r="L5723" t="str">
        <f t="shared" si="448"/>
        <v/>
      </c>
      <c r="M5723" t="str">
        <f t="shared" si="449"/>
        <v/>
      </c>
    </row>
    <row r="5724" spans="1:13" x14ac:dyDescent="0.3">
      <c r="A5724" t="str">
        <f>Segmenter!A5724</f>
        <v/>
      </c>
      <c r="B5724" t="str">
        <f>Segmenter!B5724</f>
        <v/>
      </c>
      <c r="C5724" t="str">
        <f t="shared" si="445"/>
        <v/>
      </c>
      <c r="D5724" t="str">
        <f t="shared" si="446"/>
        <v/>
      </c>
      <c r="E5724" t="str">
        <f t="shared" si="447"/>
        <v/>
      </c>
      <c r="F5724" t="str">
        <f>IF(D5724="","",INDEX(Knutepunkter!$B:$B,D5724+1))</f>
        <v/>
      </c>
      <c r="G5724" t="str">
        <f>IF(D5724="","",INDEX(Knutepunkter!$C:$C,D5724+1))</f>
        <v/>
      </c>
      <c r="H5724" t="str">
        <f>IF(D5724="","",INDEX(Knutepunkter!$D:$D,D5724+1))</f>
        <v/>
      </c>
      <c r="I5724" t="str">
        <f>IF(E5724="","",INDEX(Knutepunkter!$B:$B,E5724+1))</f>
        <v/>
      </c>
      <c r="J5724" t="str">
        <f>IF(E5724="","",INDEX(Knutepunkter!$C:$C,E5724+1))</f>
        <v/>
      </c>
      <c r="K5724" t="str">
        <f>IF(E5724="","",INDEX(Knutepunkter!$D:$D,E5724+1))</f>
        <v/>
      </c>
      <c r="L5724" t="str">
        <f t="shared" si="448"/>
        <v/>
      </c>
      <c r="M5724" t="str">
        <f t="shared" si="449"/>
        <v/>
      </c>
    </row>
    <row r="5725" spans="1:13" x14ac:dyDescent="0.3">
      <c r="A5725" t="str">
        <f>Segmenter!A5725</f>
        <v/>
      </c>
      <c r="B5725" t="str">
        <f>Segmenter!B5725</f>
        <v/>
      </c>
      <c r="C5725" t="str">
        <f t="shared" si="445"/>
        <v/>
      </c>
      <c r="D5725" t="str">
        <f t="shared" si="446"/>
        <v/>
      </c>
      <c r="E5725" t="str">
        <f t="shared" si="447"/>
        <v/>
      </c>
      <c r="F5725" t="str">
        <f>IF(D5725="","",INDEX(Knutepunkter!$B:$B,D5725+1))</f>
        <v/>
      </c>
      <c r="G5725" t="str">
        <f>IF(D5725="","",INDEX(Knutepunkter!$C:$C,D5725+1))</f>
        <v/>
      </c>
      <c r="H5725" t="str">
        <f>IF(D5725="","",INDEX(Knutepunkter!$D:$D,D5725+1))</f>
        <v/>
      </c>
      <c r="I5725" t="str">
        <f>IF(E5725="","",INDEX(Knutepunkter!$B:$B,E5725+1))</f>
        <v/>
      </c>
      <c r="J5725" t="str">
        <f>IF(E5725="","",INDEX(Knutepunkter!$C:$C,E5725+1))</f>
        <v/>
      </c>
      <c r="K5725" t="str">
        <f>IF(E5725="","",INDEX(Knutepunkter!$D:$D,E5725+1))</f>
        <v/>
      </c>
      <c r="L5725" t="str">
        <f t="shared" si="448"/>
        <v/>
      </c>
      <c r="M5725" t="str">
        <f t="shared" si="449"/>
        <v/>
      </c>
    </row>
    <row r="5726" spans="1:13" x14ac:dyDescent="0.3">
      <c r="A5726" t="str">
        <f>Segmenter!A5726</f>
        <v/>
      </c>
      <c r="B5726" t="str">
        <f>Segmenter!B5726</f>
        <v/>
      </c>
      <c r="C5726" t="str">
        <f t="shared" si="445"/>
        <v/>
      </c>
      <c r="D5726" t="str">
        <f t="shared" si="446"/>
        <v/>
      </c>
      <c r="E5726" t="str">
        <f t="shared" si="447"/>
        <v/>
      </c>
      <c r="F5726" t="str">
        <f>IF(D5726="","",INDEX(Knutepunkter!$B:$B,D5726+1))</f>
        <v/>
      </c>
      <c r="G5726" t="str">
        <f>IF(D5726="","",INDEX(Knutepunkter!$C:$C,D5726+1))</f>
        <v/>
      </c>
      <c r="H5726" t="str">
        <f>IF(D5726="","",INDEX(Knutepunkter!$D:$D,D5726+1))</f>
        <v/>
      </c>
      <c r="I5726" t="str">
        <f>IF(E5726="","",INDEX(Knutepunkter!$B:$B,E5726+1))</f>
        <v/>
      </c>
      <c r="J5726" t="str">
        <f>IF(E5726="","",INDEX(Knutepunkter!$C:$C,E5726+1))</f>
        <v/>
      </c>
      <c r="K5726" t="str">
        <f>IF(E5726="","",INDEX(Knutepunkter!$D:$D,E5726+1))</f>
        <v/>
      </c>
      <c r="L5726" t="str">
        <f t="shared" si="448"/>
        <v/>
      </c>
      <c r="M5726" t="str">
        <f t="shared" si="449"/>
        <v/>
      </c>
    </row>
    <row r="5727" spans="1:13" x14ac:dyDescent="0.3">
      <c r="A5727" t="str">
        <f>Segmenter!A5727</f>
        <v/>
      </c>
      <c r="B5727" t="str">
        <f>Segmenter!B5727</f>
        <v/>
      </c>
      <c r="C5727" t="str">
        <f t="shared" si="445"/>
        <v/>
      </c>
      <c r="D5727" t="str">
        <f t="shared" si="446"/>
        <v/>
      </c>
      <c r="E5727" t="str">
        <f t="shared" si="447"/>
        <v/>
      </c>
      <c r="F5727" t="str">
        <f>IF(D5727="","",INDEX(Knutepunkter!$B:$B,D5727+1))</f>
        <v/>
      </c>
      <c r="G5727" t="str">
        <f>IF(D5727="","",INDEX(Knutepunkter!$C:$C,D5727+1))</f>
        <v/>
      </c>
      <c r="H5727" t="str">
        <f>IF(D5727="","",INDEX(Knutepunkter!$D:$D,D5727+1))</f>
        <v/>
      </c>
      <c r="I5727" t="str">
        <f>IF(E5727="","",INDEX(Knutepunkter!$B:$B,E5727+1))</f>
        <v/>
      </c>
      <c r="J5727" t="str">
        <f>IF(E5727="","",INDEX(Knutepunkter!$C:$C,E5727+1))</f>
        <v/>
      </c>
      <c r="K5727" t="str">
        <f>IF(E5727="","",INDEX(Knutepunkter!$D:$D,E5727+1))</f>
        <v/>
      </c>
      <c r="L5727" t="str">
        <f t="shared" si="448"/>
        <v/>
      </c>
      <c r="M5727" t="str">
        <f t="shared" si="449"/>
        <v/>
      </c>
    </row>
    <row r="5728" spans="1:13" x14ac:dyDescent="0.3">
      <c r="A5728" t="str">
        <f>Segmenter!A5728</f>
        <v/>
      </c>
      <c r="B5728" t="str">
        <f>Segmenter!B5728</f>
        <v/>
      </c>
      <c r="C5728" t="str">
        <f t="shared" si="445"/>
        <v/>
      </c>
      <c r="D5728" t="str">
        <f t="shared" si="446"/>
        <v/>
      </c>
      <c r="E5728" t="str">
        <f t="shared" si="447"/>
        <v/>
      </c>
      <c r="F5728" t="str">
        <f>IF(D5728="","",INDEX(Knutepunkter!$B:$B,D5728+1))</f>
        <v/>
      </c>
      <c r="G5728" t="str">
        <f>IF(D5728="","",INDEX(Knutepunkter!$C:$C,D5728+1))</f>
        <v/>
      </c>
      <c r="H5728" t="str">
        <f>IF(D5728="","",INDEX(Knutepunkter!$D:$D,D5728+1))</f>
        <v/>
      </c>
      <c r="I5728" t="str">
        <f>IF(E5728="","",INDEX(Knutepunkter!$B:$B,E5728+1))</f>
        <v/>
      </c>
      <c r="J5728" t="str">
        <f>IF(E5728="","",INDEX(Knutepunkter!$C:$C,E5728+1))</f>
        <v/>
      </c>
      <c r="K5728" t="str">
        <f>IF(E5728="","",INDEX(Knutepunkter!$D:$D,E5728+1))</f>
        <v/>
      </c>
      <c r="L5728" t="str">
        <f t="shared" si="448"/>
        <v/>
      </c>
      <c r="M5728" t="str">
        <f t="shared" si="449"/>
        <v/>
      </c>
    </row>
    <row r="5729" spans="1:13" x14ac:dyDescent="0.3">
      <c r="A5729" t="str">
        <f>Segmenter!A5729</f>
        <v/>
      </c>
      <c r="B5729" t="str">
        <f>Segmenter!B5729</f>
        <v/>
      </c>
      <c r="C5729" t="str">
        <f t="shared" si="445"/>
        <v/>
      </c>
      <c r="D5729" t="str">
        <f t="shared" si="446"/>
        <v/>
      </c>
      <c r="E5729" t="str">
        <f t="shared" si="447"/>
        <v/>
      </c>
      <c r="F5729" t="str">
        <f>IF(D5729="","",INDEX(Knutepunkter!$B:$B,D5729+1))</f>
        <v/>
      </c>
      <c r="G5729" t="str">
        <f>IF(D5729="","",INDEX(Knutepunkter!$C:$C,D5729+1))</f>
        <v/>
      </c>
      <c r="H5729" t="str">
        <f>IF(D5729="","",INDEX(Knutepunkter!$D:$D,D5729+1))</f>
        <v/>
      </c>
      <c r="I5729" t="str">
        <f>IF(E5729="","",INDEX(Knutepunkter!$B:$B,E5729+1))</f>
        <v/>
      </c>
      <c r="J5729" t="str">
        <f>IF(E5729="","",INDEX(Knutepunkter!$C:$C,E5729+1))</f>
        <v/>
      </c>
      <c r="K5729" t="str">
        <f>IF(E5729="","",INDEX(Knutepunkter!$D:$D,E5729+1))</f>
        <v/>
      </c>
      <c r="L5729" t="str">
        <f t="shared" si="448"/>
        <v/>
      </c>
      <c r="M5729" t="str">
        <f t="shared" si="449"/>
        <v/>
      </c>
    </row>
    <row r="5730" spans="1:13" x14ac:dyDescent="0.3">
      <c r="A5730" t="str">
        <f>Segmenter!A5730</f>
        <v/>
      </c>
      <c r="B5730" t="str">
        <f>Segmenter!B5730</f>
        <v/>
      </c>
      <c r="C5730" t="str">
        <f t="shared" si="445"/>
        <v/>
      </c>
      <c r="D5730" t="str">
        <f t="shared" si="446"/>
        <v/>
      </c>
      <c r="E5730" t="str">
        <f t="shared" si="447"/>
        <v/>
      </c>
      <c r="F5730" t="str">
        <f>IF(D5730="","",INDEX(Knutepunkter!$B:$B,D5730+1))</f>
        <v/>
      </c>
      <c r="G5730" t="str">
        <f>IF(D5730="","",INDEX(Knutepunkter!$C:$C,D5730+1))</f>
        <v/>
      </c>
      <c r="H5730" t="str">
        <f>IF(D5730="","",INDEX(Knutepunkter!$D:$D,D5730+1))</f>
        <v/>
      </c>
      <c r="I5730" t="str">
        <f>IF(E5730="","",INDEX(Knutepunkter!$B:$B,E5730+1))</f>
        <v/>
      </c>
      <c r="J5730" t="str">
        <f>IF(E5730="","",INDEX(Knutepunkter!$C:$C,E5730+1))</f>
        <v/>
      </c>
      <c r="K5730" t="str">
        <f>IF(E5730="","",INDEX(Knutepunkter!$D:$D,E5730+1))</f>
        <v/>
      </c>
      <c r="L5730" t="str">
        <f t="shared" si="448"/>
        <v/>
      </c>
      <c r="M5730" t="str">
        <f t="shared" si="449"/>
        <v/>
      </c>
    </row>
    <row r="5731" spans="1:13" x14ac:dyDescent="0.3">
      <c r="A5731" t="str">
        <f>Segmenter!A5731</f>
        <v/>
      </c>
      <c r="B5731" t="str">
        <f>Segmenter!B5731</f>
        <v/>
      </c>
      <c r="C5731" t="str">
        <f t="shared" si="445"/>
        <v/>
      </c>
      <c r="D5731" t="str">
        <f t="shared" si="446"/>
        <v/>
      </c>
      <c r="E5731" t="str">
        <f t="shared" si="447"/>
        <v/>
      </c>
      <c r="F5731" t="str">
        <f>IF(D5731="","",INDEX(Knutepunkter!$B:$B,D5731+1))</f>
        <v/>
      </c>
      <c r="G5731" t="str">
        <f>IF(D5731="","",INDEX(Knutepunkter!$C:$C,D5731+1))</f>
        <v/>
      </c>
      <c r="H5731" t="str">
        <f>IF(D5731="","",INDEX(Knutepunkter!$D:$D,D5731+1))</f>
        <v/>
      </c>
      <c r="I5731" t="str">
        <f>IF(E5731="","",INDEX(Knutepunkter!$B:$B,E5731+1))</f>
        <v/>
      </c>
      <c r="J5731" t="str">
        <f>IF(E5731="","",INDEX(Knutepunkter!$C:$C,E5731+1))</f>
        <v/>
      </c>
      <c r="K5731" t="str">
        <f>IF(E5731="","",INDEX(Knutepunkter!$D:$D,E5731+1))</f>
        <v/>
      </c>
      <c r="L5731" t="str">
        <f t="shared" si="448"/>
        <v/>
      </c>
      <c r="M5731" t="str">
        <f t="shared" si="449"/>
        <v/>
      </c>
    </row>
    <row r="5732" spans="1:13" x14ac:dyDescent="0.3">
      <c r="A5732" t="str">
        <f>Segmenter!A5732</f>
        <v/>
      </c>
      <c r="B5732" t="str">
        <f>Segmenter!B5732</f>
        <v/>
      </c>
      <c r="C5732" t="str">
        <f t="shared" si="445"/>
        <v/>
      </c>
      <c r="D5732" t="str">
        <f t="shared" si="446"/>
        <v/>
      </c>
      <c r="E5732" t="str">
        <f t="shared" si="447"/>
        <v/>
      </c>
      <c r="F5732" t="str">
        <f>IF(D5732="","",INDEX(Knutepunkter!$B:$B,D5732+1))</f>
        <v/>
      </c>
      <c r="G5732" t="str">
        <f>IF(D5732="","",INDEX(Knutepunkter!$C:$C,D5732+1))</f>
        <v/>
      </c>
      <c r="H5732" t="str">
        <f>IF(D5732="","",INDEX(Knutepunkter!$D:$D,D5732+1))</f>
        <v/>
      </c>
      <c r="I5732" t="str">
        <f>IF(E5732="","",INDEX(Knutepunkter!$B:$B,E5732+1))</f>
        <v/>
      </c>
      <c r="J5732" t="str">
        <f>IF(E5732="","",INDEX(Knutepunkter!$C:$C,E5732+1))</f>
        <v/>
      </c>
      <c r="K5732" t="str">
        <f>IF(E5732="","",INDEX(Knutepunkter!$D:$D,E5732+1))</f>
        <v/>
      </c>
      <c r="L5732" t="str">
        <f t="shared" si="448"/>
        <v/>
      </c>
      <c r="M5732" t="str">
        <f t="shared" si="449"/>
        <v/>
      </c>
    </row>
    <row r="5733" spans="1:13" x14ac:dyDescent="0.3">
      <c r="A5733" t="str">
        <f>Segmenter!A5733</f>
        <v/>
      </c>
      <c r="B5733" t="str">
        <f>Segmenter!B5733</f>
        <v/>
      </c>
      <c r="C5733" t="str">
        <f t="shared" si="445"/>
        <v/>
      </c>
      <c r="D5733" t="str">
        <f t="shared" si="446"/>
        <v/>
      </c>
      <c r="E5733" t="str">
        <f t="shared" si="447"/>
        <v/>
      </c>
      <c r="F5733" t="str">
        <f>IF(D5733="","",INDEX(Knutepunkter!$B:$B,D5733+1))</f>
        <v/>
      </c>
      <c r="G5733" t="str">
        <f>IF(D5733="","",INDEX(Knutepunkter!$C:$C,D5733+1))</f>
        <v/>
      </c>
      <c r="H5733" t="str">
        <f>IF(D5733="","",INDEX(Knutepunkter!$D:$D,D5733+1))</f>
        <v/>
      </c>
      <c r="I5733" t="str">
        <f>IF(E5733="","",INDEX(Knutepunkter!$B:$B,E5733+1))</f>
        <v/>
      </c>
      <c r="J5733" t="str">
        <f>IF(E5733="","",INDEX(Knutepunkter!$C:$C,E5733+1))</f>
        <v/>
      </c>
      <c r="K5733" t="str">
        <f>IF(E5733="","",INDEX(Knutepunkter!$D:$D,E5733+1))</f>
        <v/>
      </c>
      <c r="L5733" t="str">
        <f t="shared" si="448"/>
        <v/>
      </c>
      <c r="M5733" t="str">
        <f t="shared" si="449"/>
        <v/>
      </c>
    </row>
    <row r="5734" spans="1:13" x14ac:dyDescent="0.3">
      <c r="A5734" t="str">
        <f>Segmenter!A5734</f>
        <v/>
      </c>
      <c r="B5734" t="str">
        <f>Segmenter!B5734</f>
        <v/>
      </c>
      <c r="C5734" t="str">
        <f t="shared" si="445"/>
        <v/>
      </c>
      <c r="D5734" t="str">
        <f t="shared" si="446"/>
        <v/>
      </c>
      <c r="E5734" t="str">
        <f t="shared" si="447"/>
        <v/>
      </c>
      <c r="F5734" t="str">
        <f>IF(D5734="","",INDEX(Knutepunkter!$B:$B,D5734+1))</f>
        <v/>
      </c>
      <c r="G5734" t="str">
        <f>IF(D5734="","",INDEX(Knutepunkter!$C:$C,D5734+1))</f>
        <v/>
      </c>
      <c r="H5734" t="str">
        <f>IF(D5734="","",INDEX(Knutepunkter!$D:$D,D5734+1))</f>
        <v/>
      </c>
      <c r="I5734" t="str">
        <f>IF(E5734="","",INDEX(Knutepunkter!$B:$B,E5734+1))</f>
        <v/>
      </c>
      <c r="J5734" t="str">
        <f>IF(E5734="","",INDEX(Knutepunkter!$C:$C,E5734+1))</f>
        <v/>
      </c>
      <c r="K5734" t="str">
        <f>IF(E5734="","",INDEX(Knutepunkter!$D:$D,E5734+1))</f>
        <v/>
      </c>
      <c r="L5734" t="str">
        <f t="shared" si="448"/>
        <v/>
      </c>
      <c r="M5734" t="str">
        <f t="shared" si="449"/>
        <v/>
      </c>
    </row>
    <row r="5735" spans="1:13" x14ac:dyDescent="0.3">
      <c r="A5735" t="str">
        <f>Segmenter!A5735</f>
        <v/>
      </c>
      <c r="B5735" t="str">
        <f>Segmenter!B5735</f>
        <v/>
      </c>
      <c r="C5735" t="str">
        <f t="shared" si="445"/>
        <v/>
      </c>
      <c r="D5735" t="str">
        <f t="shared" si="446"/>
        <v/>
      </c>
      <c r="E5735" t="str">
        <f t="shared" si="447"/>
        <v/>
      </c>
      <c r="F5735" t="str">
        <f>IF(D5735="","",INDEX(Knutepunkter!$B:$B,D5735+1))</f>
        <v/>
      </c>
      <c r="G5735" t="str">
        <f>IF(D5735="","",INDEX(Knutepunkter!$C:$C,D5735+1))</f>
        <v/>
      </c>
      <c r="H5735" t="str">
        <f>IF(D5735="","",INDEX(Knutepunkter!$D:$D,D5735+1))</f>
        <v/>
      </c>
      <c r="I5735" t="str">
        <f>IF(E5735="","",INDEX(Knutepunkter!$B:$B,E5735+1))</f>
        <v/>
      </c>
      <c r="J5735" t="str">
        <f>IF(E5735="","",INDEX(Knutepunkter!$C:$C,E5735+1))</f>
        <v/>
      </c>
      <c r="K5735" t="str">
        <f>IF(E5735="","",INDEX(Knutepunkter!$D:$D,E5735+1))</f>
        <v/>
      </c>
      <c r="L5735" t="str">
        <f t="shared" si="448"/>
        <v/>
      </c>
      <c r="M5735" t="str">
        <f t="shared" si="449"/>
        <v/>
      </c>
    </row>
    <row r="5736" spans="1:13" x14ac:dyDescent="0.3">
      <c r="A5736" t="str">
        <f>Segmenter!A5736</f>
        <v/>
      </c>
      <c r="B5736" t="str">
        <f>Segmenter!B5736</f>
        <v/>
      </c>
      <c r="C5736" t="str">
        <f t="shared" si="445"/>
        <v/>
      </c>
      <c r="D5736" t="str">
        <f t="shared" si="446"/>
        <v/>
      </c>
      <c r="E5736" t="str">
        <f t="shared" si="447"/>
        <v/>
      </c>
      <c r="F5736" t="str">
        <f>IF(D5736="","",INDEX(Knutepunkter!$B:$B,D5736+1))</f>
        <v/>
      </c>
      <c r="G5736" t="str">
        <f>IF(D5736="","",INDEX(Knutepunkter!$C:$C,D5736+1))</f>
        <v/>
      </c>
      <c r="H5736" t="str">
        <f>IF(D5736="","",INDEX(Knutepunkter!$D:$D,D5736+1))</f>
        <v/>
      </c>
      <c r="I5736" t="str">
        <f>IF(E5736="","",INDEX(Knutepunkter!$B:$B,E5736+1))</f>
        <v/>
      </c>
      <c r="J5736" t="str">
        <f>IF(E5736="","",INDEX(Knutepunkter!$C:$C,E5736+1))</f>
        <v/>
      </c>
      <c r="K5736" t="str">
        <f>IF(E5736="","",INDEX(Knutepunkter!$D:$D,E5736+1))</f>
        <v/>
      </c>
      <c r="L5736" t="str">
        <f t="shared" si="448"/>
        <v/>
      </c>
      <c r="M5736" t="str">
        <f t="shared" si="449"/>
        <v/>
      </c>
    </row>
    <row r="5737" spans="1:13" x14ac:dyDescent="0.3">
      <c r="A5737" t="str">
        <f>Segmenter!A5737</f>
        <v/>
      </c>
      <c r="B5737" t="str">
        <f>Segmenter!B5737</f>
        <v/>
      </c>
      <c r="C5737" t="str">
        <f t="shared" si="445"/>
        <v/>
      </c>
      <c r="D5737" t="str">
        <f t="shared" si="446"/>
        <v/>
      </c>
      <c r="E5737" t="str">
        <f t="shared" si="447"/>
        <v/>
      </c>
      <c r="F5737" t="str">
        <f>IF(D5737="","",INDEX(Knutepunkter!$B:$B,D5737+1))</f>
        <v/>
      </c>
      <c r="G5737" t="str">
        <f>IF(D5737="","",INDEX(Knutepunkter!$C:$C,D5737+1))</f>
        <v/>
      </c>
      <c r="H5737" t="str">
        <f>IF(D5737="","",INDEX(Knutepunkter!$D:$D,D5737+1))</f>
        <v/>
      </c>
      <c r="I5737" t="str">
        <f>IF(E5737="","",INDEX(Knutepunkter!$B:$B,E5737+1))</f>
        <v/>
      </c>
      <c r="J5737" t="str">
        <f>IF(E5737="","",INDEX(Knutepunkter!$C:$C,E5737+1))</f>
        <v/>
      </c>
      <c r="K5737" t="str">
        <f>IF(E5737="","",INDEX(Knutepunkter!$D:$D,E5737+1))</f>
        <v/>
      </c>
      <c r="L5737" t="str">
        <f t="shared" si="448"/>
        <v/>
      </c>
      <c r="M5737" t="str">
        <f t="shared" si="449"/>
        <v/>
      </c>
    </row>
    <row r="5738" spans="1:13" x14ac:dyDescent="0.3">
      <c r="A5738" t="str">
        <f>Segmenter!A5738</f>
        <v/>
      </c>
      <c r="B5738" t="str">
        <f>Segmenter!B5738</f>
        <v/>
      </c>
      <c r="C5738" t="str">
        <f t="shared" si="445"/>
        <v/>
      </c>
      <c r="D5738" t="str">
        <f t="shared" si="446"/>
        <v/>
      </c>
      <c r="E5738" t="str">
        <f t="shared" si="447"/>
        <v/>
      </c>
      <c r="F5738" t="str">
        <f>IF(D5738="","",INDEX(Knutepunkter!$B:$B,D5738+1))</f>
        <v/>
      </c>
      <c r="G5738" t="str">
        <f>IF(D5738="","",INDEX(Knutepunkter!$C:$C,D5738+1))</f>
        <v/>
      </c>
      <c r="H5738" t="str">
        <f>IF(D5738="","",INDEX(Knutepunkter!$D:$D,D5738+1))</f>
        <v/>
      </c>
      <c r="I5738" t="str">
        <f>IF(E5738="","",INDEX(Knutepunkter!$B:$B,E5738+1))</f>
        <v/>
      </c>
      <c r="J5738" t="str">
        <f>IF(E5738="","",INDEX(Knutepunkter!$C:$C,E5738+1))</f>
        <v/>
      </c>
      <c r="K5738" t="str">
        <f>IF(E5738="","",INDEX(Knutepunkter!$D:$D,E5738+1))</f>
        <v/>
      </c>
      <c r="L5738" t="str">
        <f t="shared" si="448"/>
        <v/>
      </c>
      <c r="M5738" t="str">
        <f t="shared" si="449"/>
        <v/>
      </c>
    </row>
    <row r="5739" spans="1:13" x14ac:dyDescent="0.3">
      <c r="A5739" t="str">
        <f>Segmenter!A5739</f>
        <v/>
      </c>
      <c r="B5739" t="str">
        <f>Segmenter!B5739</f>
        <v/>
      </c>
      <c r="C5739" t="str">
        <f t="shared" si="445"/>
        <v/>
      </c>
      <c r="D5739" t="str">
        <f t="shared" si="446"/>
        <v/>
      </c>
      <c r="E5739" t="str">
        <f t="shared" si="447"/>
        <v/>
      </c>
      <c r="F5739" t="str">
        <f>IF(D5739="","",INDEX(Knutepunkter!$B:$B,D5739+1))</f>
        <v/>
      </c>
      <c r="G5739" t="str">
        <f>IF(D5739="","",INDEX(Knutepunkter!$C:$C,D5739+1))</f>
        <v/>
      </c>
      <c r="H5739" t="str">
        <f>IF(D5739="","",INDEX(Knutepunkter!$D:$D,D5739+1))</f>
        <v/>
      </c>
      <c r="I5739" t="str">
        <f>IF(E5739="","",INDEX(Knutepunkter!$B:$B,E5739+1))</f>
        <v/>
      </c>
      <c r="J5739" t="str">
        <f>IF(E5739="","",INDEX(Knutepunkter!$C:$C,E5739+1))</f>
        <v/>
      </c>
      <c r="K5739" t="str">
        <f>IF(E5739="","",INDEX(Knutepunkter!$D:$D,E5739+1))</f>
        <v/>
      </c>
      <c r="L5739" t="str">
        <f t="shared" si="448"/>
        <v/>
      </c>
      <c r="M5739" t="str">
        <f t="shared" si="449"/>
        <v/>
      </c>
    </row>
    <row r="5740" spans="1:13" x14ac:dyDescent="0.3">
      <c r="A5740" t="str">
        <f>Segmenter!A5740</f>
        <v/>
      </c>
      <c r="B5740" t="str">
        <f>Segmenter!B5740</f>
        <v/>
      </c>
      <c r="C5740" t="str">
        <f t="shared" si="445"/>
        <v/>
      </c>
      <c r="D5740" t="str">
        <f t="shared" si="446"/>
        <v/>
      </c>
      <c r="E5740" t="str">
        <f t="shared" si="447"/>
        <v/>
      </c>
      <c r="F5740" t="str">
        <f>IF(D5740="","",INDEX(Knutepunkter!$B:$B,D5740+1))</f>
        <v/>
      </c>
      <c r="G5740" t="str">
        <f>IF(D5740="","",INDEX(Knutepunkter!$C:$C,D5740+1))</f>
        <v/>
      </c>
      <c r="H5740" t="str">
        <f>IF(D5740="","",INDEX(Knutepunkter!$D:$D,D5740+1))</f>
        <v/>
      </c>
      <c r="I5740" t="str">
        <f>IF(E5740="","",INDEX(Knutepunkter!$B:$B,E5740+1))</f>
        <v/>
      </c>
      <c r="J5740" t="str">
        <f>IF(E5740="","",INDEX(Knutepunkter!$C:$C,E5740+1))</f>
        <v/>
      </c>
      <c r="K5740" t="str">
        <f>IF(E5740="","",INDEX(Knutepunkter!$D:$D,E5740+1))</f>
        <v/>
      </c>
      <c r="L5740" t="str">
        <f t="shared" si="448"/>
        <v/>
      </c>
      <c r="M5740" t="str">
        <f t="shared" si="449"/>
        <v/>
      </c>
    </row>
    <row r="5741" spans="1:13" x14ac:dyDescent="0.3">
      <c r="A5741" t="str">
        <f>Segmenter!A5741</f>
        <v/>
      </c>
      <c r="B5741" t="str">
        <f>Segmenter!B5741</f>
        <v/>
      </c>
      <c r="C5741" t="str">
        <f t="shared" si="445"/>
        <v/>
      </c>
      <c r="D5741" t="str">
        <f t="shared" si="446"/>
        <v/>
      </c>
      <c r="E5741" t="str">
        <f t="shared" si="447"/>
        <v/>
      </c>
      <c r="F5741" t="str">
        <f>IF(D5741="","",INDEX(Knutepunkter!$B:$B,D5741+1))</f>
        <v/>
      </c>
      <c r="G5741" t="str">
        <f>IF(D5741="","",INDEX(Knutepunkter!$C:$C,D5741+1))</f>
        <v/>
      </c>
      <c r="H5741" t="str">
        <f>IF(D5741="","",INDEX(Knutepunkter!$D:$D,D5741+1))</f>
        <v/>
      </c>
      <c r="I5741" t="str">
        <f>IF(E5741="","",INDEX(Knutepunkter!$B:$B,E5741+1))</f>
        <v/>
      </c>
      <c r="J5741" t="str">
        <f>IF(E5741="","",INDEX(Knutepunkter!$C:$C,E5741+1))</f>
        <v/>
      </c>
      <c r="K5741" t="str">
        <f>IF(E5741="","",INDEX(Knutepunkter!$D:$D,E5741+1))</f>
        <v/>
      </c>
      <c r="L5741" t="str">
        <f t="shared" si="448"/>
        <v/>
      </c>
      <c r="M5741" t="str">
        <f t="shared" si="449"/>
        <v/>
      </c>
    </row>
    <row r="5742" spans="1:13" x14ac:dyDescent="0.3">
      <c r="A5742" t="str">
        <f>Segmenter!A5742</f>
        <v/>
      </c>
      <c r="B5742" t="str">
        <f>Segmenter!B5742</f>
        <v/>
      </c>
      <c r="C5742" t="str">
        <f t="shared" si="445"/>
        <v/>
      </c>
      <c r="D5742" t="str">
        <f t="shared" si="446"/>
        <v/>
      </c>
      <c r="E5742" t="str">
        <f t="shared" si="447"/>
        <v/>
      </c>
      <c r="F5742" t="str">
        <f>IF(D5742="","",INDEX(Knutepunkter!$B:$B,D5742+1))</f>
        <v/>
      </c>
      <c r="G5742" t="str">
        <f>IF(D5742="","",INDEX(Knutepunkter!$C:$C,D5742+1))</f>
        <v/>
      </c>
      <c r="H5742" t="str">
        <f>IF(D5742="","",INDEX(Knutepunkter!$D:$D,D5742+1))</f>
        <v/>
      </c>
      <c r="I5742" t="str">
        <f>IF(E5742="","",INDEX(Knutepunkter!$B:$B,E5742+1))</f>
        <v/>
      </c>
      <c r="J5742" t="str">
        <f>IF(E5742="","",INDEX(Knutepunkter!$C:$C,E5742+1))</f>
        <v/>
      </c>
      <c r="K5742" t="str">
        <f>IF(E5742="","",INDEX(Knutepunkter!$D:$D,E5742+1))</f>
        <v/>
      </c>
      <c r="L5742" t="str">
        <f t="shared" si="448"/>
        <v/>
      </c>
      <c r="M5742" t="str">
        <f t="shared" si="449"/>
        <v/>
      </c>
    </row>
    <row r="5743" spans="1:13" x14ac:dyDescent="0.3">
      <c r="A5743" t="str">
        <f>Segmenter!A5743</f>
        <v/>
      </c>
      <c r="B5743" t="str">
        <f>Segmenter!B5743</f>
        <v/>
      </c>
      <c r="C5743" t="str">
        <f t="shared" si="445"/>
        <v/>
      </c>
      <c r="D5743" t="str">
        <f t="shared" si="446"/>
        <v/>
      </c>
      <c r="E5743" t="str">
        <f t="shared" si="447"/>
        <v/>
      </c>
      <c r="F5743" t="str">
        <f>IF(D5743="","",INDEX(Knutepunkter!$B:$B,D5743+1))</f>
        <v/>
      </c>
      <c r="G5743" t="str">
        <f>IF(D5743="","",INDEX(Knutepunkter!$C:$C,D5743+1))</f>
        <v/>
      </c>
      <c r="H5743" t="str">
        <f>IF(D5743="","",INDEX(Knutepunkter!$D:$D,D5743+1))</f>
        <v/>
      </c>
      <c r="I5743" t="str">
        <f>IF(E5743="","",INDEX(Knutepunkter!$B:$B,E5743+1))</f>
        <v/>
      </c>
      <c r="J5743" t="str">
        <f>IF(E5743="","",INDEX(Knutepunkter!$C:$C,E5743+1))</f>
        <v/>
      </c>
      <c r="K5743" t="str">
        <f>IF(E5743="","",INDEX(Knutepunkter!$D:$D,E5743+1))</f>
        <v/>
      </c>
      <c r="L5743" t="str">
        <f t="shared" si="448"/>
        <v/>
      </c>
      <c r="M5743" t="str">
        <f t="shared" si="449"/>
        <v/>
      </c>
    </row>
    <row r="5744" spans="1:13" x14ac:dyDescent="0.3">
      <c r="A5744" t="str">
        <f>Segmenter!A5744</f>
        <v/>
      </c>
      <c r="B5744" t="str">
        <f>Segmenter!B5744</f>
        <v/>
      </c>
      <c r="C5744" t="str">
        <f t="shared" si="445"/>
        <v/>
      </c>
      <c r="D5744" t="str">
        <f t="shared" si="446"/>
        <v/>
      </c>
      <c r="E5744" t="str">
        <f t="shared" si="447"/>
        <v/>
      </c>
      <c r="F5744" t="str">
        <f>IF(D5744="","",INDEX(Knutepunkter!$B:$B,D5744+1))</f>
        <v/>
      </c>
      <c r="G5744" t="str">
        <f>IF(D5744="","",INDEX(Knutepunkter!$C:$C,D5744+1))</f>
        <v/>
      </c>
      <c r="H5744" t="str">
        <f>IF(D5744="","",INDEX(Knutepunkter!$D:$D,D5744+1))</f>
        <v/>
      </c>
      <c r="I5744" t="str">
        <f>IF(E5744="","",INDEX(Knutepunkter!$B:$B,E5744+1))</f>
        <v/>
      </c>
      <c r="J5744" t="str">
        <f>IF(E5744="","",INDEX(Knutepunkter!$C:$C,E5744+1))</f>
        <v/>
      </c>
      <c r="K5744" t="str">
        <f>IF(E5744="","",INDEX(Knutepunkter!$D:$D,E5744+1))</f>
        <v/>
      </c>
      <c r="L5744" t="str">
        <f t="shared" si="448"/>
        <v/>
      </c>
      <c r="M5744" t="str">
        <f t="shared" si="449"/>
        <v/>
      </c>
    </row>
    <row r="5745" spans="1:13" x14ac:dyDescent="0.3">
      <c r="A5745" t="str">
        <f>Segmenter!A5745</f>
        <v/>
      </c>
      <c r="B5745" t="str">
        <f>Segmenter!B5745</f>
        <v/>
      </c>
      <c r="C5745" t="str">
        <f t="shared" si="445"/>
        <v/>
      </c>
      <c r="D5745" t="str">
        <f t="shared" si="446"/>
        <v/>
      </c>
      <c r="E5745" t="str">
        <f t="shared" si="447"/>
        <v/>
      </c>
      <c r="F5745" t="str">
        <f>IF(D5745="","",INDEX(Knutepunkter!$B:$B,D5745+1))</f>
        <v/>
      </c>
      <c r="G5745" t="str">
        <f>IF(D5745="","",INDEX(Knutepunkter!$C:$C,D5745+1))</f>
        <v/>
      </c>
      <c r="H5745" t="str">
        <f>IF(D5745="","",INDEX(Knutepunkter!$D:$D,D5745+1))</f>
        <v/>
      </c>
      <c r="I5745" t="str">
        <f>IF(E5745="","",INDEX(Knutepunkter!$B:$B,E5745+1))</f>
        <v/>
      </c>
      <c r="J5745" t="str">
        <f>IF(E5745="","",INDEX(Knutepunkter!$C:$C,E5745+1))</f>
        <v/>
      </c>
      <c r="K5745" t="str">
        <f>IF(E5745="","",INDEX(Knutepunkter!$D:$D,E5745+1))</f>
        <v/>
      </c>
      <c r="L5745" t="str">
        <f t="shared" si="448"/>
        <v/>
      </c>
      <c r="M5745" t="str">
        <f t="shared" si="449"/>
        <v/>
      </c>
    </row>
    <row r="5746" spans="1:13" x14ac:dyDescent="0.3">
      <c r="A5746" t="str">
        <f>Segmenter!A5746</f>
        <v/>
      </c>
      <c r="B5746" t="str">
        <f>Segmenter!B5746</f>
        <v/>
      </c>
      <c r="C5746" t="str">
        <f t="shared" si="445"/>
        <v/>
      </c>
      <c r="D5746" t="str">
        <f t="shared" si="446"/>
        <v/>
      </c>
      <c r="E5746" t="str">
        <f t="shared" si="447"/>
        <v/>
      </c>
      <c r="F5746" t="str">
        <f>IF(D5746="","",INDEX(Knutepunkter!$B:$B,D5746+1))</f>
        <v/>
      </c>
      <c r="G5746" t="str">
        <f>IF(D5746="","",INDEX(Knutepunkter!$C:$C,D5746+1))</f>
        <v/>
      </c>
      <c r="H5746" t="str">
        <f>IF(D5746="","",INDEX(Knutepunkter!$D:$D,D5746+1))</f>
        <v/>
      </c>
      <c r="I5746" t="str">
        <f>IF(E5746="","",INDEX(Knutepunkter!$B:$B,E5746+1))</f>
        <v/>
      </c>
      <c r="J5746" t="str">
        <f>IF(E5746="","",INDEX(Knutepunkter!$C:$C,E5746+1))</f>
        <v/>
      </c>
      <c r="K5746" t="str">
        <f>IF(E5746="","",INDEX(Knutepunkter!$D:$D,E5746+1))</f>
        <v/>
      </c>
      <c r="L5746" t="str">
        <f t="shared" si="448"/>
        <v/>
      </c>
      <c r="M5746" t="str">
        <f t="shared" si="449"/>
        <v/>
      </c>
    </row>
    <row r="5747" spans="1:13" x14ac:dyDescent="0.3">
      <c r="A5747" t="str">
        <f>Segmenter!A5747</f>
        <v/>
      </c>
      <c r="B5747" t="str">
        <f>Segmenter!B5747</f>
        <v/>
      </c>
      <c r="C5747" t="str">
        <f t="shared" si="445"/>
        <v/>
      </c>
      <c r="D5747" t="str">
        <f t="shared" si="446"/>
        <v/>
      </c>
      <c r="E5747" t="str">
        <f t="shared" si="447"/>
        <v/>
      </c>
      <c r="F5747" t="str">
        <f>IF(D5747="","",INDEX(Knutepunkter!$B:$B,D5747+1))</f>
        <v/>
      </c>
      <c r="G5747" t="str">
        <f>IF(D5747="","",INDEX(Knutepunkter!$C:$C,D5747+1))</f>
        <v/>
      </c>
      <c r="H5747" t="str">
        <f>IF(D5747="","",INDEX(Knutepunkter!$D:$D,D5747+1))</f>
        <v/>
      </c>
      <c r="I5747" t="str">
        <f>IF(E5747="","",INDEX(Knutepunkter!$B:$B,E5747+1))</f>
        <v/>
      </c>
      <c r="J5747" t="str">
        <f>IF(E5747="","",INDEX(Knutepunkter!$C:$C,E5747+1))</f>
        <v/>
      </c>
      <c r="K5747" t="str">
        <f>IF(E5747="","",INDEX(Knutepunkter!$D:$D,E5747+1))</f>
        <v/>
      </c>
      <c r="L5747" t="str">
        <f t="shared" si="448"/>
        <v/>
      </c>
      <c r="M5747" t="str">
        <f t="shared" si="449"/>
        <v/>
      </c>
    </row>
    <row r="5748" spans="1:13" x14ac:dyDescent="0.3">
      <c r="A5748" t="str">
        <f>Segmenter!A5748</f>
        <v/>
      </c>
      <c r="B5748" t="str">
        <f>Segmenter!B5748</f>
        <v/>
      </c>
      <c r="C5748" t="str">
        <f t="shared" si="445"/>
        <v/>
      </c>
      <c r="D5748" t="str">
        <f t="shared" si="446"/>
        <v/>
      </c>
      <c r="E5748" t="str">
        <f t="shared" si="447"/>
        <v/>
      </c>
      <c r="F5748" t="str">
        <f>IF(D5748="","",INDEX(Knutepunkter!$B:$B,D5748+1))</f>
        <v/>
      </c>
      <c r="G5748" t="str">
        <f>IF(D5748="","",INDEX(Knutepunkter!$C:$C,D5748+1))</f>
        <v/>
      </c>
      <c r="H5748" t="str">
        <f>IF(D5748="","",INDEX(Knutepunkter!$D:$D,D5748+1))</f>
        <v/>
      </c>
      <c r="I5748" t="str">
        <f>IF(E5748="","",INDEX(Knutepunkter!$B:$B,E5748+1))</f>
        <v/>
      </c>
      <c r="J5748" t="str">
        <f>IF(E5748="","",INDEX(Knutepunkter!$C:$C,E5748+1))</f>
        <v/>
      </c>
      <c r="K5748" t="str">
        <f>IF(E5748="","",INDEX(Knutepunkter!$D:$D,E5748+1))</f>
        <v/>
      </c>
      <c r="L5748" t="str">
        <f t="shared" si="448"/>
        <v/>
      </c>
      <c r="M5748" t="str">
        <f t="shared" si="449"/>
        <v/>
      </c>
    </row>
    <row r="5749" spans="1:13" x14ac:dyDescent="0.3">
      <c r="A5749" t="str">
        <f>Segmenter!A5749</f>
        <v/>
      </c>
      <c r="B5749" t="str">
        <f>Segmenter!B5749</f>
        <v/>
      </c>
      <c r="C5749" t="str">
        <f t="shared" si="445"/>
        <v/>
      </c>
      <c r="D5749" t="str">
        <f t="shared" si="446"/>
        <v/>
      </c>
      <c r="E5749" t="str">
        <f t="shared" si="447"/>
        <v/>
      </c>
      <c r="F5749" t="str">
        <f>IF(D5749="","",INDEX(Knutepunkter!$B:$B,D5749+1))</f>
        <v/>
      </c>
      <c r="G5749" t="str">
        <f>IF(D5749="","",INDEX(Knutepunkter!$C:$C,D5749+1))</f>
        <v/>
      </c>
      <c r="H5749" t="str">
        <f>IF(D5749="","",INDEX(Knutepunkter!$D:$D,D5749+1))</f>
        <v/>
      </c>
      <c r="I5749" t="str">
        <f>IF(E5749="","",INDEX(Knutepunkter!$B:$B,E5749+1))</f>
        <v/>
      </c>
      <c r="J5749" t="str">
        <f>IF(E5749="","",INDEX(Knutepunkter!$C:$C,E5749+1))</f>
        <v/>
      </c>
      <c r="K5749" t="str">
        <f>IF(E5749="","",INDEX(Knutepunkter!$D:$D,E5749+1))</f>
        <v/>
      </c>
      <c r="L5749" t="str">
        <f t="shared" si="448"/>
        <v/>
      </c>
      <c r="M5749" t="str">
        <f t="shared" si="449"/>
        <v/>
      </c>
    </row>
    <row r="5750" spans="1:13" x14ac:dyDescent="0.3">
      <c r="A5750" t="str">
        <f>Segmenter!A5750</f>
        <v/>
      </c>
      <c r="B5750" t="str">
        <f>Segmenter!B5750</f>
        <v/>
      </c>
      <c r="C5750" t="str">
        <f t="shared" si="445"/>
        <v/>
      </c>
      <c r="D5750" t="str">
        <f t="shared" si="446"/>
        <v/>
      </c>
      <c r="E5750" t="str">
        <f t="shared" si="447"/>
        <v/>
      </c>
      <c r="F5750" t="str">
        <f>IF(D5750="","",INDEX(Knutepunkter!$B:$B,D5750+1))</f>
        <v/>
      </c>
      <c r="G5750" t="str">
        <f>IF(D5750="","",INDEX(Knutepunkter!$C:$C,D5750+1))</f>
        <v/>
      </c>
      <c r="H5750" t="str">
        <f>IF(D5750="","",INDEX(Knutepunkter!$D:$D,D5750+1))</f>
        <v/>
      </c>
      <c r="I5750" t="str">
        <f>IF(E5750="","",INDEX(Knutepunkter!$B:$B,E5750+1))</f>
        <v/>
      </c>
      <c r="J5750" t="str">
        <f>IF(E5750="","",INDEX(Knutepunkter!$C:$C,E5750+1))</f>
        <v/>
      </c>
      <c r="K5750" t="str">
        <f>IF(E5750="","",INDEX(Knutepunkter!$D:$D,E5750+1))</f>
        <v/>
      </c>
      <c r="L5750" t="str">
        <f t="shared" si="448"/>
        <v/>
      </c>
      <c r="M5750" t="str">
        <f t="shared" si="449"/>
        <v/>
      </c>
    </row>
    <row r="5751" spans="1:13" x14ac:dyDescent="0.3">
      <c r="A5751" t="str">
        <f>Segmenter!A5751</f>
        <v/>
      </c>
      <c r="B5751" t="str">
        <f>Segmenter!B5751</f>
        <v/>
      </c>
      <c r="C5751" t="str">
        <f t="shared" si="445"/>
        <v/>
      </c>
      <c r="D5751" t="str">
        <f t="shared" si="446"/>
        <v/>
      </c>
      <c r="E5751" t="str">
        <f t="shared" si="447"/>
        <v/>
      </c>
      <c r="F5751" t="str">
        <f>IF(D5751="","",INDEX(Knutepunkter!$B:$B,D5751+1))</f>
        <v/>
      </c>
      <c r="G5751" t="str">
        <f>IF(D5751="","",INDEX(Knutepunkter!$C:$C,D5751+1))</f>
        <v/>
      </c>
      <c r="H5751" t="str">
        <f>IF(D5751="","",INDEX(Knutepunkter!$D:$D,D5751+1))</f>
        <v/>
      </c>
      <c r="I5751" t="str">
        <f>IF(E5751="","",INDEX(Knutepunkter!$B:$B,E5751+1))</f>
        <v/>
      </c>
      <c r="J5751" t="str">
        <f>IF(E5751="","",INDEX(Knutepunkter!$C:$C,E5751+1))</f>
        <v/>
      </c>
      <c r="K5751" t="str">
        <f>IF(E5751="","",INDEX(Knutepunkter!$D:$D,E5751+1))</f>
        <v/>
      </c>
      <c r="L5751" t="str">
        <f t="shared" si="448"/>
        <v/>
      </c>
      <c r="M5751" t="str">
        <f t="shared" si="449"/>
        <v/>
      </c>
    </row>
    <row r="5752" spans="1:13" x14ac:dyDescent="0.3">
      <c r="A5752" t="str">
        <f>Segmenter!A5752</f>
        <v/>
      </c>
      <c r="B5752" t="str">
        <f>Segmenter!B5752</f>
        <v/>
      </c>
      <c r="C5752" t="str">
        <f t="shared" si="445"/>
        <v/>
      </c>
      <c r="D5752" t="str">
        <f t="shared" si="446"/>
        <v/>
      </c>
      <c r="E5752" t="str">
        <f t="shared" si="447"/>
        <v/>
      </c>
      <c r="F5752" t="str">
        <f>IF(D5752="","",INDEX(Knutepunkter!$B:$B,D5752+1))</f>
        <v/>
      </c>
      <c r="G5752" t="str">
        <f>IF(D5752="","",INDEX(Knutepunkter!$C:$C,D5752+1))</f>
        <v/>
      </c>
      <c r="H5752" t="str">
        <f>IF(D5752="","",INDEX(Knutepunkter!$D:$D,D5752+1))</f>
        <v/>
      </c>
      <c r="I5752" t="str">
        <f>IF(E5752="","",INDEX(Knutepunkter!$B:$B,E5752+1))</f>
        <v/>
      </c>
      <c r="J5752" t="str">
        <f>IF(E5752="","",INDEX(Knutepunkter!$C:$C,E5752+1))</f>
        <v/>
      </c>
      <c r="K5752" t="str">
        <f>IF(E5752="","",INDEX(Knutepunkter!$D:$D,E5752+1))</f>
        <v/>
      </c>
      <c r="L5752" t="str">
        <f t="shared" si="448"/>
        <v/>
      </c>
      <c r="M5752" t="str">
        <f t="shared" si="449"/>
        <v/>
      </c>
    </row>
    <row r="5753" spans="1:13" x14ac:dyDescent="0.3">
      <c r="A5753" t="str">
        <f>Segmenter!A5753</f>
        <v/>
      </c>
      <c r="B5753" t="str">
        <f>Segmenter!B5753</f>
        <v/>
      </c>
      <c r="C5753" t="str">
        <f t="shared" si="445"/>
        <v/>
      </c>
      <c r="D5753" t="str">
        <f t="shared" si="446"/>
        <v/>
      </c>
      <c r="E5753" t="str">
        <f t="shared" si="447"/>
        <v/>
      </c>
      <c r="F5753" t="str">
        <f>IF(D5753="","",INDEX(Knutepunkter!$B:$B,D5753+1))</f>
        <v/>
      </c>
      <c r="G5753" t="str">
        <f>IF(D5753="","",INDEX(Knutepunkter!$C:$C,D5753+1))</f>
        <v/>
      </c>
      <c r="H5753" t="str">
        <f>IF(D5753="","",INDEX(Knutepunkter!$D:$D,D5753+1))</f>
        <v/>
      </c>
      <c r="I5753" t="str">
        <f>IF(E5753="","",INDEX(Knutepunkter!$B:$B,E5753+1))</f>
        <v/>
      </c>
      <c r="J5753" t="str">
        <f>IF(E5753="","",INDEX(Knutepunkter!$C:$C,E5753+1))</f>
        <v/>
      </c>
      <c r="K5753" t="str">
        <f>IF(E5753="","",INDEX(Knutepunkter!$D:$D,E5753+1))</f>
        <v/>
      </c>
      <c r="L5753" t="str">
        <f t="shared" si="448"/>
        <v/>
      </c>
      <c r="M5753" t="str">
        <f t="shared" si="449"/>
        <v/>
      </c>
    </row>
    <row r="5754" spans="1:13" x14ac:dyDescent="0.3">
      <c r="A5754" t="str">
        <f>Segmenter!A5754</f>
        <v/>
      </c>
      <c r="B5754" t="str">
        <f>Segmenter!B5754</f>
        <v/>
      </c>
      <c r="C5754" t="str">
        <f t="shared" si="445"/>
        <v/>
      </c>
      <c r="D5754" t="str">
        <f t="shared" si="446"/>
        <v/>
      </c>
      <c r="E5754" t="str">
        <f t="shared" si="447"/>
        <v/>
      </c>
      <c r="F5754" t="str">
        <f>IF(D5754="","",INDEX(Knutepunkter!$B:$B,D5754+1))</f>
        <v/>
      </c>
      <c r="G5754" t="str">
        <f>IF(D5754="","",INDEX(Knutepunkter!$C:$C,D5754+1))</f>
        <v/>
      </c>
      <c r="H5754" t="str">
        <f>IF(D5754="","",INDEX(Knutepunkter!$D:$D,D5754+1))</f>
        <v/>
      </c>
      <c r="I5754" t="str">
        <f>IF(E5754="","",INDEX(Knutepunkter!$B:$B,E5754+1))</f>
        <v/>
      </c>
      <c r="J5754" t="str">
        <f>IF(E5754="","",INDEX(Knutepunkter!$C:$C,E5754+1))</f>
        <v/>
      </c>
      <c r="K5754" t="str">
        <f>IF(E5754="","",INDEX(Knutepunkter!$D:$D,E5754+1))</f>
        <v/>
      </c>
      <c r="L5754" t="str">
        <f t="shared" si="448"/>
        <v/>
      </c>
      <c r="M5754" t="str">
        <f t="shared" si="449"/>
        <v/>
      </c>
    </row>
    <row r="5755" spans="1:13" x14ac:dyDescent="0.3">
      <c r="A5755" t="str">
        <f>Segmenter!A5755</f>
        <v/>
      </c>
      <c r="B5755" t="str">
        <f>Segmenter!B5755</f>
        <v/>
      </c>
      <c r="C5755" t="str">
        <f t="shared" si="445"/>
        <v/>
      </c>
      <c r="D5755" t="str">
        <f t="shared" si="446"/>
        <v/>
      </c>
      <c r="E5755" t="str">
        <f t="shared" si="447"/>
        <v/>
      </c>
      <c r="F5755" t="str">
        <f>IF(D5755="","",INDEX(Knutepunkter!$B:$B,D5755+1))</f>
        <v/>
      </c>
      <c r="G5755" t="str">
        <f>IF(D5755="","",INDEX(Knutepunkter!$C:$C,D5755+1))</f>
        <v/>
      </c>
      <c r="H5755" t="str">
        <f>IF(D5755="","",INDEX(Knutepunkter!$D:$D,D5755+1))</f>
        <v/>
      </c>
      <c r="I5755" t="str">
        <f>IF(E5755="","",INDEX(Knutepunkter!$B:$B,E5755+1))</f>
        <v/>
      </c>
      <c r="J5755" t="str">
        <f>IF(E5755="","",INDEX(Knutepunkter!$C:$C,E5755+1))</f>
        <v/>
      </c>
      <c r="K5755" t="str">
        <f>IF(E5755="","",INDEX(Knutepunkter!$D:$D,E5755+1))</f>
        <v/>
      </c>
      <c r="L5755" t="str">
        <f t="shared" si="448"/>
        <v/>
      </c>
      <c r="M5755" t="str">
        <f t="shared" si="449"/>
        <v/>
      </c>
    </row>
    <row r="5756" spans="1:13" x14ac:dyDescent="0.3">
      <c r="A5756" t="str">
        <f>Segmenter!A5756</f>
        <v/>
      </c>
      <c r="B5756" t="str">
        <f>Segmenter!B5756</f>
        <v/>
      </c>
      <c r="C5756" t="str">
        <f t="shared" si="445"/>
        <v/>
      </c>
      <c r="D5756" t="str">
        <f t="shared" si="446"/>
        <v/>
      </c>
      <c r="E5756" t="str">
        <f t="shared" si="447"/>
        <v/>
      </c>
      <c r="F5756" t="str">
        <f>IF(D5756="","",INDEX(Knutepunkter!$B:$B,D5756+1))</f>
        <v/>
      </c>
      <c r="G5756" t="str">
        <f>IF(D5756="","",INDEX(Knutepunkter!$C:$C,D5756+1))</f>
        <v/>
      </c>
      <c r="H5756" t="str">
        <f>IF(D5756="","",INDEX(Knutepunkter!$D:$D,D5756+1))</f>
        <v/>
      </c>
      <c r="I5756" t="str">
        <f>IF(E5756="","",INDEX(Knutepunkter!$B:$B,E5756+1))</f>
        <v/>
      </c>
      <c r="J5756" t="str">
        <f>IF(E5756="","",INDEX(Knutepunkter!$C:$C,E5756+1))</f>
        <v/>
      </c>
      <c r="K5756" t="str">
        <f>IF(E5756="","",INDEX(Knutepunkter!$D:$D,E5756+1))</f>
        <v/>
      </c>
      <c r="L5756" t="str">
        <f t="shared" si="448"/>
        <v/>
      </c>
      <c r="M5756" t="str">
        <f t="shared" si="449"/>
        <v/>
      </c>
    </row>
    <row r="5757" spans="1:13" x14ac:dyDescent="0.3">
      <c r="A5757" t="str">
        <f>Segmenter!A5757</f>
        <v/>
      </c>
      <c r="B5757" t="str">
        <f>Segmenter!B5757</f>
        <v/>
      </c>
      <c r="C5757" t="str">
        <f t="shared" si="445"/>
        <v/>
      </c>
      <c r="D5757" t="str">
        <f t="shared" si="446"/>
        <v/>
      </c>
      <c r="E5757" t="str">
        <f t="shared" si="447"/>
        <v/>
      </c>
      <c r="F5757" t="str">
        <f>IF(D5757="","",INDEX(Knutepunkter!$B:$B,D5757+1))</f>
        <v/>
      </c>
      <c r="G5757" t="str">
        <f>IF(D5757="","",INDEX(Knutepunkter!$C:$C,D5757+1))</f>
        <v/>
      </c>
      <c r="H5757" t="str">
        <f>IF(D5757="","",INDEX(Knutepunkter!$D:$D,D5757+1))</f>
        <v/>
      </c>
      <c r="I5757" t="str">
        <f>IF(E5757="","",INDEX(Knutepunkter!$B:$B,E5757+1))</f>
        <v/>
      </c>
      <c r="J5757" t="str">
        <f>IF(E5757="","",INDEX(Knutepunkter!$C:$C,E5757+1))</f>
        <v/>
      </c>
      <c r="K5757" t="str">
        <f>IF(E5757="","",INDEX(Knutepunkter!$D:$D,E5757+1))</f>
        <v/>
      </c>
      <c r="L5757" t="str">
        <f t="shared" si="448"/>
        <v/>
      </c>
      <c r="M5757" t="str">
        <f t="shared" si="449"/>
        <v/>
      </c>
    </row>
    <row r="5758" spans="1:13" x14ac:dyDescent="0.3">
      <c r="A5758" t="str">
        <f>Segmenter!A5758</f>
        <v/>
      </c>
      <c r="B5758" t="str">
        <f>Segmenter!B5758</f>
        <v/>
      </c>
      <c r="C5758" t="str">
        <f t="shared" si="445"/>
        <v/>
      </c>
      <c r="D5758" t="str">
        <f t="shared" si="446"/>
        <v/>
      </c>
      <c r="E5758" t="str">
        <f t="shared" si="447"/>
        <v/>
      </c>
      <c r="F5758" t="str">
        <f>IF(D5758="","",INDEX(Knutepunkter!$B:$B,D5758+1))</f>
        <v/>
      </c>
      <c r="G5758" t="str">
        <f>IF(D5758="","",INDEX(Knutepunkter!$C:$C,D5758+1))</f>
        <v/>
      </c>
      <c r="H5758" t="str">
        <f>IF(D5758="","",INDEX(Knutepunkter!$D:$D,D5758+1))</f>
        <v/>
      </c>
      <c r="I5758" t="str">
        <f>IF(E5758="","",INDEX(Knutepunkter!$B:$B,E5758+1))</f>
        <v/>
      </c>
      <c r="J5758" t="str">
        <f>IF(E5758="","",INDEX(Knutepunkter!$C:$C,E5758+1))</f>
        <v/>
      </c>
      <c r="K5758" t="str">
        <f>IF(E5758="","",INDEX(Knutepunkter!$D:$D,E5758+1))</f>
        <v/>
      </c>
      <c r="L5758" t="str">
        <f t="shared" si="448"/>
        <v/>
      </c>
      <c r="M5758" t="str">
        <f t="shared" si="449"/>
        <v/>
      </c>
    </row>
    <row r="5759" spans="1:13" x14ac:dyDescent="0.3">
      <c r="A5759" t="str">
        <f>Segmenter!A5759</f>
        <v/>
      </c>
      <c r="B5759" t="str">
        <f>Segmenter!B5759</f>
        <v/>
      </c>
      <c r="C5759" t="str">
        <f t="shared" si="445"/>
        <v/>
      </c>
      <c r="D5759" t="str">
        <f t="shared" si="446"/>
        <v/>
      </c>
      <c r="E5759" t="str">
        <f t="shared" si="447"/>
        <v/>
      </c>
      <c r="F5759" t="str">
        <f>IF(D5759="","",INDEX(Knutepunkter!$B:$B,D5759+1))</f>
        <v/>
      </c>
      <c r="G5759" t="str">
        <f>IF(D5759="","",INDEX(Knutepunkter!$C:$C,D5759+1))</f>
        <v/>
      </c>
      <c r="H5759" t="str">
        <f>IF(D5759="","",INDEX(Knutepunkter!$D:$D,D5759+1))</f>
        <v/>
      </c>
      <c r="I5759" t="str">
        <f>IF(E5759="","",INDEX(Knutepunkter!$B:$B,E5759+1))</f>
        <v/>
      </c>
      <c r="J5759" t="str">
        <f>IF(E5759="","",INDEX(Knutepunkter!$C:$C,E5759+1))</f>
        <v/>
      </c>
      <c r="K5759" t="str">
        <f>IF(E5759="","",INDEX(Knutepunkter!$D:$D,E5759+1))</f>
        <v/>
      </c>
      <c r="L5759" t="str">
        <f t="shared" si="448"/>
        <v/>
      </c>
      <c r="M5759" t="str">
        <f t="shared" si="449"/>
        <v/>
      </c>
    </row>
    <row r="5760" spans="1:13" x14ac:dyDescent="0.3">
      <c r="A5760" t="str">
        <f>Segmenter!A5760</f>
        <v/>
      </c>
      <c r="B5760" t="str">
        <f>Segmenter!B5760</f>
        <v/>
      </c>
      <c r="C5760" t="str">
        <f t="shared" si="445"/>
        <v/>
      </c>
      <c r="D5760" t="str">
        <f t="shared" si="446"/>
        <v/>
      </c>
      <c r="E5760" t="str">
        <f t="shared" si="447"/>
        <v/>
      </c>
      <c r="F5760" t="str">
        <f>IF(D5760="","",INDEX(Knutepunkter!$B:$B,D5760+1))</f>
        <v/>
      </c>
      <c r="G5760" t="str">
        <f>IF(D5760="","",INDEX(Knutepunkter!$C:$C,D5760+1))</f>
        <v/>
      </c>
      <c r="H5760" t="str">
        <f>IF(D5760="","",INDEX(Knutepunkter!$D:$D,D5760+1))</f>
        <v/>
      </c>
      <c r="I5760" t="str">
        <f>IF(E5760="","",INDEX(Knutepunkter!$B:$B,E5760+1))</f>
        <v/>
      </c>
      <c r="J5760" t="str">
        <f>IF(E5760="","",INDEX(Knutepunkter!$C:$C,E5760+1))</f>
        <v/>
      </c>
      <c r="K5760" t="str">
        <f>IF(E5760="","",INDEX(Knutepunkter!$D:$D,E5760+1))</f>
        <v/>
      </c>
      <c r="L5760" t="str">
        <f t="shared" si="448"/>
        <v/>
      </c>
      <c r="M5760" t="str">
        <f t="shared" si="449"/>
        <v/>
      </c>
    </row>
    <row r="5761" spans="1:13" x14ac:dyDescent="0.3">
      <c r="A5761" t="str">
        <f>Segmenter!A5761</f>
        <v/>
      </c>
      <c r="B5761" t="str">
        <f>Segmenter!B5761</f>
        <v/>
      </c>
      <c r="C5761" t="str">
        <f t="shared" si="445"/>
        <v/>
      </c>
      <c r="D5761" t="str">
        <f t="shared" si="446"/>
        <v/>
      </c>
      <c r="E5761" t="str">
        <f t="shared" si="447"/>
        <v/>
      </c>
      <c r="F5761" t="str">
        <f>IF(D5761="","",INDEX(Knutepunkter!$B:$B,D5761+1))</f>
        <v/>
      </c>
      <c r="G5761" t="str">
        <f>IF(D5761="","",INDEX(Knutepunkter!$C:$C,D5761+1))</f>
        <v/>
      </c>
      <c r="H5761" t="str">
        <f>IF(D5761="","",INDEX(Knutepunkter!$D:$D,D5761+1))</f>
        <v/>
      </c>
      <c r="I5761" t="str">
        <f>IF(E5761="","",INDEX(Knutepunkter!$B:$B,E5761+1))</f>
        <v/>
      </c>
      <c r="J5761" t="str">
        <f>IF(E5761="","",INDEX(Knutepunkter!$C:$C,E5761+1))</f>
        <v/>
      </c>
      <c r="K5761" t="str">
        <f>IF(E5761="","",INDEX(Knutepunkter!$D:$D,E5761+1))</f>
        <v/>
      </c>
      <c r="L5761" t="str">
        <f t="shared" si="448"/>
        <v/>
      </c>
      <c r="M5761" t="str">
        <f t="shared" si="449"/>
        <v/>
      </c>
    </row>
    <row r="5762" spans="1:13" x14ac:dyDescent="0.3">
      <c r="A5762" t="str">
        <f>Segmenter!A5762</f>
        <v/>
      </c>
      <c r="B5762" t="str">
        <f>Segmenter!B5762</f>
        <v/>
      </c>
      <c r="C5762" t="str">
        <f t="shared" ref="C5762:C5825" si="450">IF(B5762="","",IF(AND(F5762=I5762,G5762=J5762,H5762&lt;&gt;K5762),"Søyle","Bjelke"))</f>
        <v/>
      </c>
      <c r="D5762" t="str">
        <f t="shared" ref="D5762:D5825" si="451">IF(B5762="","",VALUE(LEFT(B5762,FIND(" -&gt; ",B5762)-1)))</f>
        <v/>
      </c>
      <c r="E5762" t="str">
        <f t="shared" ref="E5762:E5825" si="452">IF(B5762="","",VALUE(MID(B5762,FIND(" -&gt; ",B5762)+4,99)))</f>
        <v/>
      </c>
      <c r="F5762" t="str">
        <f>IF(D5762="","",INDEX(Knutepunkter!$B:$B,D5762+1))</f>
        <v/>
      </c>
      <c r="G5762" t="str">
        <f>IF(D5762="","",INDEX(Knutepunkter!$C:$C,D5762+1))</f>
        <v/>
      </c>
      <c r="H5762" t="str">
        <f>IF(D5762="","",INDEX(Knutepunkter!$D:$D,D5762+1))</f>
        <v/>
      </c>
      <c r="I5762" t="str">
        <f>IF(E5762="","",INDEX(Knutepunkter!$B:$B,E5762+1))</f>
        <v/>
      </c>
      <c r="J5762" t="str">
        <f>IF(E5762="","",INDEX(Knutepunkter!$C:$C,E5762+1))</f>
        <v/>
      </c>
      <c r="K5762" t="str">
        <f>IF(E5762="","",INDEX(Knutepunkter!$D:$D,E5762+1))</f>
        <v/>
      </c>
      <c r="L5762" t="str">
        <f t="shared" ref="L5762:L5825" si="453">IF(B5762="","",SQRT((I5762-F5762)^2+(J5762-G5762)^2+(K5762-H5762)^2))</f>
        <v/>
      </c>
      <c r="M5762" t="str">
        <f t="shared" ref="M5762:M5825" si="454">IF(L5762="","",L5762/1000)</f>
        <v/>
      </c>
    </row>
    <row r="5763" spans="1:13" x14ac:dyDescent="0.3">
      <c r="A5763" t="str">
        <f>Segmenter!A5763</f>
        <v/>
      </c>
      <c r="B5763" t="str">
        <f>Segmenter!B5763</f>
        <v/>
      </c>
      <c r="C5763" t="str">
        <f t="shared" si="450"/>
        <v/>
      </c>
      <c r="D5763" t="str">
        <f t="shared" si="451"/>
        <v/>
      </c>
      <c r="E5763" t="str">
        <f t="shared" si="452"/>
        <v/>
      </c>
      <c r="F5763" t="str">
        <f>IF(D5763="","",INDEX(Knutepunkter!$B:$B,D5763+1))</f>
        <v/>
      </c>
      <c r="G5763" t="str">
        <f>IF(D5763="","",INDEX(Knutepunkter!$C:$C,D5763+1))</f>
        <v/>
      </c>
      <c r="H5763" t="str">
        <f>IF(D5763="","",INDEX(Knutepunkter!$D:$D,D5763+1))</f>
        <v/>
      </c>
      <c r="I5763" t="str">
        <f>IF(E5763="","",INDEX(Knutepunkter!$B:$B,E5763+1))</f>
        <v/>
      </c>
      <c r="J5763" t="str">
        <f>IF(E5763="","",INDEX(Knutepunkter!$C:$C,E5763+1))</f>
        <v/>
      </c>
      <c r="K5763" t="str">
        <f>IF(E5763="","",INDEX(Knutepunkter!$D:$D,E5763+1))</f>
        <v/>
      </c>
      <c r="L5763" t="str">
        <f t="shared" si="453"/>
        <v/>
      </c>
      <c r="M5763" t="str">
        <f t="shared" si="454"/>
        <v/>
      </c>
    </row>
    <row r="5764" spans="1:13" x14ac:dyDescent="0.3">
      <c r="A5764" t="str">
        <f>Segmenter!A5764</f>
        <v/>
      </c>
      <c r="B5764" t="str">
        <f>Segmenter!B5764</f>
        <v/>
      </c>
      <c r="C5764" t="str">
        <f t="shared" si="450"/>
        <v/>
      </c>
      <c r="D5764" t="str">
        <f t="shared" si="451"/>
        <v/>
      </c>
      <c r="E5764" t="str">
        <f t="shared" si="452"/>
        <v/>
      </c>
      <c r="F5764" t="str">
        <f>IF(D5764="","",INDEX(Knutepunkter!$B:$B,D5764+1))</f>
        <v/>
      </c>
      <c r="G5764" t="str">
        <f>IF(D5764="","",INDEX(Knutepunkter!$C:$C,D5764+1))</f>
        <v/>
      </c>
      <c r="H5764" t="str">
        <f>IF(D5764="","",INDEX(Knutepunkter!$D:$D,D5764+1))</f>
        <v/>
      </c>
      <c r="I5764" t="str">
        <f>IF(E5764="","",INDEX(Knutepunkter!$B:$B,E5764+1))</f>
        <v/>
      </c>
      <c r="J5764" t="str">
        <f>IF(E5764="","",INDEX(Knutepunkter!$C:$C,E5764+1))</f>
        <v/>
      </c>
      <c r="K5764" t="str">
        <f>IF(E5764="","",INDEX(Knutepunkter!$D:$D,E5764+1))</f>
        <v/>
      </c>
      <c r="L5764" t="str">
        <f t="shared" si="453"/>
        <v/>
      </c>
      <c r="M5764" t="str">
        <f t="shared" si="454"/>
        <v/>
      </c>
    </row>
    <row r="5765" spans="1:13" x14ac:dyDescent="0.3">
      <c r="A5765" t="str">
        <f>Segmenter!A5765</f>
        <v/>
      </c>
      <c r="B5765" t="str">
        <f>Segmenter!B5765</f>
        <v/>
      </c>
      <c r="C5765" t="str">
        <f t="shared" si="450"/>
        <v/>
      </c>
      <c r="D5765" t="str">
        <f t="shared" si="451"/>
        <v/>
      </c>
      <c r="E5765" t="str">
        <f t="shared" si="452"/>
        <v/>
      </c>
      <c r="F5765" t="str">
        <f>IF(D5765="","",INDEX(Knutepunkter!$B:$B,D5765+1))</f>
        <v/>
      </c>
      <c r="G5765" t="str">
        <f>IF(D5765="","",INDEX(Knutepunkter!$C:$C,D5765+1))</f>
        <v/>
      </c>
      <c r="H5765" t="str">
        <f>IF(D5765="","",INDEX(Knutepunkter!$D:$D,D5765+1))</f>
        <v/>
      </c>
      <c r="I5765" t="str">
        <f>IF(E5765="","",INDEX(Knutepunkter!$B:$B,E5765+1))</f>
        <v/>
      </c>
      <c r="J5765" t="str">
        <f>IF(E5765="","",INDEX(Knutepunkter!$C:$C,E5765+1))</f>
        <v/>
      </c>
      <c r="K5765" t="str">
        <f>IF(E5765="","",INDEX(Knutepunkter!$D:$D,E5765+1))</f>
        <v/>
      </c>
      <c r="L5765" t="str">
        <f t="shared" si="453"/>
        <v/>
      </c>
      <c r="M5765" t="str">
        <f t="shared" si="454"/>
        <v/>
      </c>
    </row>
    <row r="5766" spans="1:13" x14ac:dyDescent="0.3">
      <c r="A5766" t="str">
        <f>Segmenter!A5766</f>
        <v/>
      </c>
      <c r="B5766" t="str">
        <f>Segmenter!B5766</f>
        <v/>
      </c>
      <c r="C5766" t="str">
        <f t="shared" si="450"/>
        <v/>
      </c>
      <c r="D5766" t="str">
        <f t="shared" si="451"/>
        <v/>
      </c>
      <c r="E5766" t="str">
        <f t="shared" si="452"/>
        <v/>
      </c>
      <c r="F5766" t="str">
        <f>IF(D5766="","",INDEX(Knutepunkter!$B:$B,D5766+1))</f>
        <v/>
      </c>
      <c r="G5766" t="str">
        <f>IF(D5766="","",INDEX(Knutepunkter!$C:$C,D5766+1))</f>
        <v/>
      </c>
      <c r="H5766" t="str">
        <f>IF(D5766="","",INDEX(Knutepunkter!$D:$D,D5766+1))</f>
        <v/>
      </c>
      <c r="I5766" t="str">
        <f>IF(E5766="","",INDEX(Knutepunkter!$B:$B,E5766+1))</f>
        <v/>
      </c>
      <c r="J5766" t="str">
        <f>IF(E5766="","",INDEX(Knutepunkter!$C:$C,E5766+1))</f>
        <v/>
      </c>
      <c r="K5766" t="str">
        <f>IF(E5766="","",INDEX(Knutepunkter!$D:$D,E5766+1))</f>
        <v/>
      </c>
      <c r="L5766" t="str">
        <f t="shared" si="453"/>
        <v/>
      </c>
      <c r="M5766" t="str">
        <f t="shared" si="454"/>
        <v/>
      </c>
    </row>
    <row r="5767" spans="1:13" x14ac:dyDescent="0.3">
      <c r="A5767" t="str">
        <f>Segmenter!A5767</f>
        <v/>
      </c>
      <c r="B5767" t="str">
        <f>Segmenter!B5767</f>
        <v/>
      </c>
      <c r="C5767" t="str">
        <f t="shared" si="450"/>
        <v/>
      </c>
      <c r="D5767" t="str">
        <f t="shared" si="451"/>
        <v/>
      </c>
      <c r="E5767" t="str">
        <f t="shared" si="452"/>
        <v/>
      </c>
      <c r="F5767" t="str">
        <f>IF(D5767="","",INDEX(Knutepunkter!$B:$B,D5767+1))</f>
        <v/>
      </c>
      <c r="G5767" t="str">
        <f>IF(D5767="","",INDEX(Knutepunkter!$C:$C,D5767+1))</f>
        <v/>
      </c>
      <c r="H5767" t="str">
        <f>IF(D5767="","",INDEX(Knutepunkter!$D:$D,D5767+1))</f>
        <v/>
      </c>
      <c r="I5767" t="str">
        <f>IF(E5767="","",INDEX(Knutepunkter!$B:$B,E5767+1))</f>
        <v/>
      </c>
      <c r="J5767" t="str">
        <f>IF(E5767="","",INDEX(Knutepunkter!$C:$C,E5767+1))</f>
        <v/>
      </c>
      <c r="K5767" t="str">
        <f>IF(E5767="","",INDEX(Knutepunkter!$D:$D,E5767+1))</f>
        <v/>
      </c>
      <c r="L5767" t="str">
        <f t="shared" si="453"/>
        <v/>
      </c>
      <c r="M5767" t="str">
        <f t="shared" si="454"/>
        <v/>
      </c>
    </row>
    <row r="5768" spans="1:13" x14ac:dyDescent="0.3">
      <c r="A5768" t="str">
        <f>Segmenter!A5768</f>
        <v/>
      </c>
      <c r="B5768" t="str">
        <f>Segmenter!B5768</f>
        <v/>
      </c>
      <c r="C5768" t="str">
        <f t="shared" si="450"/>
        <v/>
      </c>
      <c r="D5768" t="str">
        <f t="shared" si="451"/>
        <v/>
      </c>
      <c r="E5768" t="str">
        <f t="shared" si="452"/>
        <v/>
      </c>
      <c r="F5768" t="str">
        <f>IF(D5768="","",INDEX(Knutepunkter!$B:$B,D5768+1))</f>
        <v/>
      </c>
      <c r="G5768" t="str">
        <f>IF(D5768="","",INDEX(Knutepunkter!$C:$C,D5768+1))</f>
        <v/>
      </c>
      <c r="H5768" t="str">
        <f>IF(D5768="","",INDEX(Knutepunkter!$D:$D,D5768+1))</f>
        <v/>
      </c>
      <c r="I5768" t="str">
        <f>IF(E5768="","",INDEX(Knutepunkter!$B:$B,E5768+1))</f>
        <v/>
      </c>
      <c r="J5768" t="str">
        <f>IF(E5768="","",INDEX(Knutepunkter!$C:$C,E5768+1))</f>
        <v/>
      </c>
      <c r="K5768" t="str">
        <f>IF(E5768="","",INDEX(Knutepunkter!$D:$D,E5768+1))</f>
        <v/>
      </c>
      <c r="L5768" t="str">
        <f t="shared" si="453"/>
        <v/>
      </c>
      <c r="M5768" t="str">
        <f t="shared" si="454"/>
        <v/>
      </c>
    </row>
    <row r="5769" spans="1:13" x14ac:dyDescent="0.3">
      <c r="A5769" t="str">
        <f>Segmenter!A5769</f>
        <v/>
      </c>
      <c r="B5769" t="str">
        <f>Segmenter!B5769</f>
        <v/>
      </c>
      <c r="C5769" t="str">
        <f t="shared" si="450"/>
        <v/>
      </c>
      <c r="D5769" t="str">
        <f t="shared" si="451"/>
        <v/>
      </c>
      <c r="E5769" t="str">
        <f t="shared" si="452"/>
        <v/>
      </c>
      <c r="F5769" t="str">
        <f>IF(D5769="","",INDEX(Knutepunkter!$B:$B,D5769+1))</f>
        <v/>
      </c>
      <c r="G5769" t="str">
        <f>IF(D5769="","",INDEX(Knutepunkter!$C:$C,D5769+1))</f>
        <v/>
      </c>
      <c r="H5769" t="str">
        <f>IF(D5769="","",INDEX(Knutepunkter!$D:$D,D5769+1))</f>
        <v/>
      </c>
      <c r="I5769" t="str">
        <f>IF(E5769="","",INDEX(Knutepunkter!$B:$B,E5769+1))</f>
        <v/>
      </c>
      <c r="J5769" t="str">
        <f>IF(E5769="","",INDEX(Knutepunkter!$C:$C,E5769+1))</f>
        <v/>
      </c>
      <c r="K5769" t="str">
        <f>IF(E5769="","",INDEX(Knutepunkter!$D:$D,E5769+1))</f>
        <v/>
      </c>
      <c r="L5769" t="str">
        <f t="shared" si="453"/>
        <v/>
      </c>
      <c r="M5769" t="str">
        <f t="shared" si="454"/>
        <v/>
      </c>
    </row>
    <row r="5770" spans="1:13" x14ac:dyDescent="0.3">
      <c r="A5770" t="str">
        <f>Segmenter!A5770</f>
        <v/>
      </c>
      <c r="B5770" t="str">
        <f>Segmenter!B5770</f>
        <v/>
      </c>
      <c r="C5770" t="str">
        <f t="shared" si="450"/>
        <v/>
      </c>
      <c r="D5770" t="str">
        <f t="shared" si="451"/>
        <v/>
      </c>
      <c r="E5770" t="str">
        <f t="shared" si="452"/>
        <v/>
      </c>
      <c r="F5770" t="str">
        <f>IF(D5770="","",INDEX(Knutepunkter!$B:$B,D5770+1))</f>
        <v/>
      </c>
      <c r="G5770" t="str">
        <f>IF(D5770="","",INDEX(Knutepunkter!$C:$C,D5770+1))</f>
        <v/>
      </c>
      <c r="H5770" t="str">
        <f>IF(D5770="","",INDEX(Knutepunkter!$D:$D,D5770+1))</f>
        <v/>
      </c>
      <c r="I5770" t="str">
        <f>IF(E5770="","",INDEX(Knutepunkter!$B:$B,E5770+1))</f>
        <v/>
      </c>
      <c r="J5770" t="str">
        <f>IF(E5770="","",INDEX(Knutepunkter!$C:$C,E5770+1))</f>
        <v/>
      </c>
      <c r="K5770" t="str">
        <f>IF(E5770="","",INDEX(Knutepunkter!$D:$D,E5770+1))</f>
        <v/>
      </c>
      <c r="L5770" t="str">
        <f t="shared" si="453"/>
        <v/>
      </c>
      <c r="M5770" t="str">
        <f t="shared" si="454"/>
        <v/>
      </c>
    </row>
    <row r="5771" spans="1:13" x14ac:dyDescent="0.3">
      <c r="A5771" t="str">
        <f>Segmenter!A5771</f>
        <v/>
      </c>
      <c r="B5771" t="str">
        <f>Segmenter!B5771</f>
        <v/>
      </c>
      <c r="C5771" t="str">
        <f t="shared" si="450"/>
        <v/>
      </c>
      <c r="D5771" t="str">
        <f t="shared" si="451"/>
        <v/>
      </c>
      <c r="E5771" t="str">
        <f t="shared" si="452"/>
        <v/>
      </c>
      <c r="F5771" t="str">
        <f>IF(D5771="","",INDEX(Knutepunkter!$B:$B,D5771+1))</f>
        <v/>
      </c>
      <c r="G5771" t="str">
        <f>IF(D5771="","",INDEX(Knutepunkter!$C:$C,D5771+1))</f>
        <v/>
      </c>
      <c r="H5771" t="str">
        <f>IF(D5771="","",INDEX(Knutepunkter!$D:$D,D5771+1))</f>
        <v/>
      </c>
      <c r="I5771" t="str">
        <f>IF(E5771="","",INDEX(Knutepunkter!$B:$B,E5771+1))</f>
        <v/>
      </c>
      <c r="J5771" t="str">
        <f>IF(E5771="","",INDEX(Knutepunkter!$C:$C,E5771+1))</f>
        <v/>
      </c>
      <c r="K5771" t="str">
        <f>IF(E5771="","",INDEX(Knutepunkter!$D:$D,E5771+1))</f>
        <v/>
      </c>
      <c r="L5771" t="str">
        <f t="shared" si="453"/>
        <v/>
      </c>
      <c r="M5771" t="str">
        <f t="shared" si="454"/>
        <v/>
      </c>
    </row>
    <row r="5772" spans="1:13" x14ac:dyDescent="0.3">
      <c r="A5772" t="str">
        <f>Segmenter!A5772</f>
        <v/>
      </c>
      <c r="B5772" t="str">
        <f>Segmenter!B5772</f>
        <v/>
      </c>
      <c r="C5772" t="str">
        <f t="shared" si="450"/>
        <v/>
      </c>
      <c r="D5772" t="str">
        <f t="shared" si="451"/>
        <v/>
      </c>
      <c r="E5772" t="str">
        <f t="shared" si="452"/>
        <v/>
      </c>
      <c r="F5772" t="str">
        <f>IF(D5772="","",INDEX(Knutepunkter!$B:$B,D5772+1))</f>
        <v/>
      </c>
      <c r="G5772" t="str">
        <f>IF(D5772="","",INDEX(Knutepunkter!$C:$C,D5772+1))</f>
        <v/>
      </c>
      <c r="H5772" t="str">
        <f>IF(D5772="","",INDEX(Knutepunkter!$D:$D,D5772+1))</f>
        <v/>
      </c>
      <c r="I5772" t="str">
        <f>IF(E5772="","",INDEX(Knutepunkter!$B:$B,E5772+1))</f>
        <v/>
      </c>
      <c r="J5772" t="str">
        <f>IF(E5772="","",INDEX(Knutepunkter!$C:$C,E5772+1))</f>
        <v/>
      </c>
      <c r="K5772" t="str">
        <f>IF(E5772="","",INDEX(Knutepunkter!$D:$D,E5772+1))</f>
        <v/>
      </c>
      <c r="L5772" t="str">
        <f t="shared" si="453"/>
        <v/>
      </c>
      <c r="M5772" t="str">
        <f t="shared" si="454"/>
        <v/>
      </c>
    </row>
    <row r="5773" spans="1:13" x14ac:dyDescent="0.3">
      <c r="A5773" t="str">
        <f>Segmenter!A5773</f>
        <v/>
      </c>
      <c r="B5773" t="str">
        <f>Segmenter!B5773</f>
        <v/>
      </c>
      <c r="C5773" t="str">
        <f t="shared" si="450"/>
        <v/>
      </c>
      <c r="D5773" t="str">
        <f t="shared" si="451"/>
        <v/>
      </c>
      <c r="E5773" t="str">
        <f t="shared" si="452"/>
        <v/>
      </c>
      <c r="F5773" t="str">
        <f>IF(D5773="","",INDEX(Knutepunkter!$B:$B,D5773+1))</f>
        <v/>
      </c>
      <c r="G5773" t="str">
        <f>IF(D5773="","",INDEX(Knutepunkter!$C:$C,D5773+1))</f>
        <v/>
      </c>
      <c r="H5773" t="str">
        <f>IF(D5773="","",INDEX(Knutepunkter!$D:$D,D5773+1))</f>
        <v/>
      </c>
      <c r="I5773" t="str">
        <f>IF(E5773="","",INDEX(Knutepunkter!$B:$B,E5773+1))</f>
        <v/>
      </c>
      <c r="J5773" t="str">
        <f>IF(E5773="","",INDEX(Knutepunkter!$C:$C,E5773+1))</f>
        <v/>
      </c>
      <c r="K5773" t="str">
        <f>IF(E5773="","",INDEX(Knutepunkter!$D:$D,E5773+1))</f>
        <v/>
      </c>
      <c r="L5773" t="str">
        <f t="shared" si="453"/>
        <v/>
      </c>
      <c r="M5773" t="str">
        <f t="shared" si="454"/>
        <v/>
      </c>
    </row>
    <row r="5774" spans="1:13" x14ac:dyDescent="0.3">
      <c r="A5774" t="str">
        <f>Segmenter!A5774</f>
        <v/>
      </c>
      <c r="B5774" t="str">
        <f>Segmenter!B5774</f>
        <v/>
      </c>
      <c r="C5774" t="str">
        <f t="shared" si="450"/>
        <v/>
      </c>
      <c r="D5774" t="str">
        <f t="shared" si="451"/>
        <v/>
      </c>
      <c r="E5774" t="str">
        <f t="shared" si="452"/>
        <v/>
      </c>
      <c r="F5774" t="str">
        <f>IF(D5774="","",INDEX(Knutepunkter!$B:$B,D5774+1))</f>
        <v/>
      </c>
      <c r="G5774" t="str">
        <f>IF(D5774="","",INDEX(Knutepunkter!$C:$C,D5774+1))</f>
        <v/>
      </c>
      <c r="H5774" t="str">
        <f>IF(D5774="","",INDEX(Knutepunkter!$D:$D,D5774+1))</f>
        <v/>
      </c>
      <c r="I5774" t="str">
        <f>IF(E5774="","",INDEX(Knutepunkter!$B:$B,E5774+1))</f>
        <v/>
      </c>
      <c r="J5774" t="str">
        <f>IF(E5774="","",INDEX(Knutepunkter!$C:$C,E5774+1))</f>
        <v/>
      </c>
      <c r="K5774" t="str">
        <f>IF(E5774="","",INDEX(Knutepunkter!$D:$D,E5774+1))</f>
        <v/>
      </c>
      <c r="L5774" t="str">
        <f t="shared" si="453"/>
        <v/>
      </c>
      <c r="M5774" t="str">
        <f t="shared" si="454"/>
        <v/>
      </c>
    </row>
    <row r="5775" spans="1:13" x14ac:dyDescent="0.3">
      <c r="A5775" t="str">
        <f>Segmenter!A5775</f>
        <v/>
      </c>
      <c r="B5775" t="str">
        <f>Segmenter!B5775</f>
        <v/>
      </c>
      <c r="C5775" t="str">
        <f t="shared" si="450"/>
        <v/>
      </c>
      <c r="D5775" t="str">
        <f t="shared" si="451"/>
        <v/>
      </c>
      <c r="E5775" t="str">
        <f t="shared" si="452"/>
        <v/>
      </c>
      <c r="F5775" t="str">
        <f>IF(D5775="","",INDEX(Knutepunkter!$B:$B,D5775+1))</f>
        <v/>
      </c>
      <c r="G5775" t="str">
        <f>IF(D5775="","",INDEX(Knutepunkter!$C:$C,D5775+1))</f>
        <v/>
      </c>
      <c r="H5775" t="str">
        <f>IF(D5775="","",INDEX(Knutepunkter!$D:$D,D5775+1))</f>
        <v/>
      </c>
      <c r="I5775" t="str">
        <f>IF(E5775="","",INDEX(Knutepunkter!$B:$B,E5775+1))</f>
        <v/>
      </c>
      <c r="J5775" t="str">
        <f>IF(E5775="","",INDEX(Knutepunkter!$C:$C,E5775+1))</f>
        <v/>
      </c>
      <c r="K5775" t="str">
        <f>IF(E5775="","",INDEX(Knutepunkter!$D:$D,E5775+1))</f>
        <v/>
      </c>
      <c r="L5775" t="str">
        <f t="shared" si="453"/>
        <v/>
      </c>
      <c r="M5775" t="str">
        <f t="shared" si="454"/>
        <v/>
      </c>
    </row>
    <row r="5776" spans="1:13" x14ac:dyDescent="0.3">
      <c r="A5776" t="str">
        <f>Segmenter!A5776</f>
        <v/>
      </c>
      <c r="B5776" t="str">
        <f>Segmenter!B5776</f>
        <v/>
      </c>
      <c r="C5776" t="str">
        <f t="shared" si="450"/>
        <v/>
      </c>
      <c r="D5776" t="str">
        <f t="shared" si="451"/>
        <v/>
      </c>
      <c r="E5776" t="str">
        <f t="shared" si="452"/>
        <v/>
      </c>
      <c r="F5776" t="str">
        <f>IF(D5776="","",INDEX(Knutepunkter!$B:$B,D5776+1))</f>
        <v/>
      </c>
      <c r="G5776" t="str">
        <f>IF(D5776="","",INDEX(Knutepunkter!$C:$C,D5776+1))</f>
        <v/>
      </c>
      <c r="H5776" t="str">
        <f>IF(D5776="","",INDEX(Knutepunkter!$D:$D,D5776+1))</f>
        <v/>
      </c>
      <c r="I5776" t="str">
        <f>IF(E5776="","",INDEX(Knutepunkter!$B:$B,E5776+1))</f>
        <v/>
      </c>
      <c r="J5776" t="str">
        <f>IF(E5776="","",INDEX(Knutepunkter!$C:$C,E5776+1))</f>
        <v/>
      </c>
      <c r="K5776" t="str">
        <f>IF(E5776="","",INDEX(Knutepunkter!$D:$D,E5776+1))</f>
        <v/>
      </c>
      <c r="L5776" t="str">
        <f t="shared" si="453"/>
        <v/>
      </c>
      <c r="M5776" t="str">
        <f t="shared" si="454"/>
        <v/>
      </c>
    </row>
    <row r="5777" spans="1:13" x14ac:dyDescent="0.3">
      <c r="A5777" t="str">
        <f>Segmenter!A5777</f>
        <v/>
      </c>
      <c r="B5777" t="str">
        <f>Segmenter!B5777</f>
        <v/>
      </c>
      <c r="C5777" t="str">
        <f t="shared" si="450"/>
        <v/>
      </c>
      <c r="D5777" t="str">
        <f t="shared" si="451"/>
        <v/>
      </c>
      <c r="E5777" t="str">
        <f t="shared" si="452"/>
        <v/>
      </c>
      <c r="F5777" t="str">
        <f>IF(D5777="","",INDEX(Knutepunkter!$B:$B,D5777+1))</f>
        <v/>
      </c>
      <c r="G5777" t="str">
        <f>IF(D5777="","",INDEX(Knutepunkter!$C:$C,D5777+1))</f>
        <v/>
      </c>
      <c r="H5777" t="str">
        <f>IF(D5777="","",INDEX(Knutepunkter!$D:$D,D5777+1))</f>
        <v/>
      </c>
      <c r="I5777" t="str">
        <f>IF(E5777="","",INDEX(Knutepunkter!$B:$B,E5777+1))</f>
        <v/>
      </c>
      <c r="J5777" t="str">
        <f>IF(E5777="","",INDEX(Knutepunkter!$C:$C,E5777+1))</f>
        <v/>
      </c>
      <c r="K5777" t="str">
        <f>IF(E5777="","",INDEX(Knutepunkter!$D:$D,E5777+1))</f>
        <v/>
      </c>
      <c r="L5777" t="str">
        <f t="shared" si="453"/>
        <v/>
      </c>
      <c r="M5777" t="str">
        <f t="shared" si="454"/>
        <v/>
      </c>
    </row>
    <row r="5778" spans="1:13" x14ac:dyDescent="0.3">
      <c r="A5778" t="str">
        <f>Segmenter!A5778</f>
        <v/>
      </c>
      <c r="B5778" t="str">
        <f>Segmenter!B5778</f>
        <v/>
      </c>
      <c r="C5778" t="str">
        <f t="shared" si="450"/>
        <v/>
      </c>
      <c r="D5778" t="str">
        <f t="shared" si="451"/>
        <v/>
      </c>
      <c r="E5778" t="str">
        <f t="shared" si="452"/>
        <v/>
      </c>
      <c r="F5778" t="str">
        <f>IF(D5778="","",INDEX(Knutepunkter!$B:$B,D5778+1))</f>
        <v/>
      </c>
      <c r="G5778" t="str">
        <f>IF(D5778="","",INDEX(Knutepunkter!$C:$C,D5778+1))</f>
        <v/>
      </c>
      <c r="H5778" t="str">
        <f>IF(D5778="","",INDEX(Knutepunkter!$D:$D,D5778+1))</f>
        <v/>
      </c>
      <c r="I5778" t="str">
        <f>IF(E5778="","",INDEX(Knutepunkter!$B:$B,E5778+1))</f>
        <v/>
      </c>
      <c r="J5778" t="str">
        <f>IF(E5778="","",INDEX(Knutepunkter!$C:$C,E5778+1))</f>
        <v/>
      </c>
      <c r="K5778" t="str">
        <f>IF(E5778="","",INDEX(Knutepunkter!$D:$D,E5778+1))</f>
        <v/>
      </c>
      <c r="L5778" t="str">
        <f t="shared" si="453"/>
        <v/>
      </c>
      <c r="M5778" t="str">
        <f t="shared" si="454"/>
        <v/>
      </c>
    </row>
    <row r="5779" spans="1:13" x14ac:dyDescent="0.3">
      <c r="A5779" t="str">
        <f>Segmenter!A5779</f>
        <v/>
      </c>
      <c r="B5779" t="str">
        <f>Segmenter!B5779</f>
        <v/>
      </c>
      <c r="C5779" t="str">
        <f t="shared" si="450"/>
        <v/>
      </c>
      <c r="D5779" t="str">
        <f t="shared" si="451"/>
        <v/>
      </c>
      <c r="E5779" t="str">
        <f t="shared" si="452"/>
        <v/>
      </c>
      <c r="F5779" t="str">
        <f>IF(D5779="","",INDEX(Knutepunkter!$B:$B,D5779+1))</f>
        <v/>
      </c>
      <c r="G5779" t="str">
        <f>IF(D5779="","",INDEX(Knutepunkter!$C:$C,D5779+1))</f>
        <v/>
      </c>
      <c r="H5779" t="str">
        <f>IF(D5779="","",INDEX(Knutepunkter!$D:$D,D5779+1))</f>
        <v/>
      </c>
      <c r="I5779" t="str">
        <f>IF(E5779="","",INDEX(Knutepunkter!$B:$B,E5779+1))</f>
        <v/>
      </c>
      <c r="J5779" t="str">
        <f>IF(E5779="","",INDEX(Knutepunkter!$C:$C,E5779+1))</f>
        <v/>
      </c>
      <c r="K5779" t="str">
        <f>IF(E5779="","",INDEX(Knutepunkter!$D:$D,E5779+1))</f>
        <v/>
      </c>
      <c r="L5779" t="str">
        <f t="shared" si="453"/>
        <v/>
      </c>
      <c r="M5779" t="str">
        <f t="shared" si="454"/>
        <v/>
      </c>
    </row>
    <row r="5780" spans="1:13" x14ac:dyDescent="0.3">
      <c r="A5780" t="str">
        <f>Segmenter!A5780</f>
        <v/>
      </c>
      <c r="B5780" t="str">
        <f>Segmenter!B5780</f>
        <v/>
      </c>
      <c r="C5780" t="str">
        <f t="shared" si="450"/>
        <v/>
      </c>
      <c r="D5780" t="str">
        <f t="shared" si="451"/>
        <v/>
      </c>
      <c r="E5780" t="str">
        <f t="shared" si="452"/>
        <v/>
      </c>
      <c r="F5780" t="str">
        <f>IF(D5780="","",INDEX(Knutepunkter!$B:$B,D5780+1))</f>
        <v/>
      </c>
      <c r="G5780" t="str">
        <f>IF(D5780="","",INDEX(Knutepunkter!$C:$C,D5780+1))</f>
        <v/>
      </c>
      <c r="H5780" t="str">
        <f>IF(D5780="","",INDEX(Knutepunkter!$D:$D,D5780+1))</f>
        <v/>
      </c>
      <c r="I5780" t="str">
        <f>IF(E5780="","",INDEX(Knutepunkter!$B:$B,E5780+1))</f>
        <v/>
      </c>
      <c r="J5780" t="str">
        <f>IF(E5780="","",INDEX(Knutepunkter!$C:$C,E5780+1))</f>
        <v/>
      </c>
      <c r="K5780" t="str">
        <f>IF(E5780="","",INDEX(Knutepunkter!$D:$D,E5780+1))</f>
        <v/>
      </c>
      <c r="L5780" t="str">
        <f t="shared" si="453"/>
        <v/>
      </c>
      <c r="M5780" t="str">
        <f t="shared" si="454"/>
        <v/>
      </c>
    </row>
    <row r="5781" spans="1:13" x14ac:dyDescent="0.3">
      <c r="A5781" t="str">
        <f>Segmenter!A5781</f>
        <v/>
      </c>
      <c r="B5781" t="str">
        <f>Segmenter!B5781</f>
        <v/>
      </c>
      <c r="C5781" t="str">
        <f t="shared" si="450"/>
        <v/>
      </c>
      <c r="D5781" t="str">
        <f t="shared" si="451"/>
        <v/>
      </c>
      <c r="E5781" t="str">
        <f t="shared" si="452"/>
        <v/>
      </c>
      <c r="F5781" t="str">
        <f>IF(D5781="","",INDEX(Knutepunkter!$B:$B,D5781+1))</f>
        <v/>
      </c>
      <c r="G5781" t="str">
        <f>IF(D5781="","",INDEX(Knutepunkter!$C:$C,D5781+1))</f>
        <v/>
      </c>
      <c r="H5781" t="str">
        <f>IF(D5781="","",INDEX(Knutepunkter!$D:$D,D5781+1))</f>
        <v/>
      </c>
      <c r="I5781" t="str">
        <f>IF(E5781="","",INDEX(Knutepunkter!$B:$B,E5781+1))</f>
        <v/>
      </c>
      <c r="J5781" t="str">
        <f>IF(E5781="","",INDEX(Knutepunkter!$C:$C,E5781+1))</f>
        <v/>
      </c>
      <c r="K5781" t="str">
        <f>IF(E5781="","",INDEX(Knutepunkter!$D:$D,E5781+1))</f>
        <v/>
      </c>
      <c r="L5781" t="str">
        <f t="shared" si="453"/>
        <v/>
      </c>
      <c r="M5781" t="str">
        <f t="shared" si="454"/>
        <v/>
      </c>
    </row>
    <row r="5782" spans="1:13" x14ac:dyDescent="0.3">
      <c r="A5782" t="str">
        <f>Segmenter!A5782</f>
        <v/>
      </c>
      <c r="B5782" t="str">
        <f>Segmenter!B5782</f>
        <v/>
      </c>
      <c r="C5782" t="str">
        <f t="shared" si="450"/>
        <v/>
      </c>
      <c r="D5782" t="str">
        <f t="shared" si="451"/>
        <v/>
      </c>
      <c r="E5782" t="str">
        <f t="shared" si="452"/>
        <v/>
      </c>
      <c r="F5782" t="str">
        <f>IF(D5782="","",INDEX(Knutepunkter!$B:$B,D5782+1))</f>
        <v/>
      </c>
      <c r="G5782" t="str">
        <f>IF(D5782="","",INDEX(Knutepunkter!$C:$C,D5782+1))</f>
        <v/>
      </c>
      <c r="H5782" t="str">
        <f>IF(D5782="","",INDEX(Knutepunkter!$D:$D,D5782+1))</f>
        <v/>
      </c>
      <c r="I5782" t="str">
        <f>IF(E5782="","",INDEX(Knutepunkter!$B:$B,E5782+1))</f>
        <v/>
      </c>
      <c r="J5782" t="str">
        <f>IF(E5782="","",INDEX(Knutepunkter!$C:$C,E5782+1))</f>
        <v/>
      </c>
      <c r="K5782" t="str">
        <f>IF(E5782="","",INDEX(Knutepunkter!$D:$D,E5782+1))</f>
        <v/>
      </c>
      <c r="L5782" t="str">
        <f t="shared" si="453"/>
        <v/>
      </c>
      <c r="M5782" t="str">
        <f t="shared" si="454"/>
        <v/>
      </c>
    </row>
    <row r="5783" spans="1:13" x14ac:dyDescent="0.3">
      <c r="A5783" t="str">
        <f>Segmenter!A5783</f>
        <v/>
      </c>
      <c r="B5783" t="str">
        <f>Segmenter!B5783</f>
        <v/>
      </c>
      <c r="C5783" t="str">
        <f t="shared" si="450"/>
        <v/>
      </c>
      <c r="D5783" t="str">
        <f t="shared" si="451"/>
        <v/>
      </c>
      <c r="E5783" t="str">
        <f t="shared" si="452"/>
        <v/>
      </c>
      <c r="F5783" t="str">
        <f>IF(D5783="","",INDEX(Knutepunkter!$B:$B,D5783+1))</f>
        <v/>
      </c>
      <c r="G5783" t="str">
        <f>IF(D5783="","",INDEX(Knutepunkter!$C:$C,D5783+1))</f>
        <v/>
      </c>
      <c r="H5783" t="str">
        <f>IF(D5783="","",INDEX(Knutepunkter!$D:$D,D5783+1))</f>
        <v/>
      </c>
      <c r="I5783" t="str">
        <f>IF(E5783="","",INDEX(Knutepunkter!$B:$B,E5783+1))</f>
        <v/>
      </c>
      <c r="J5783" t="str">
        <f>IF(E5783="","",INDEX(Knutepunkter!$C:$C,E5783+1))</f>
        <v/>
      </c>
      <c r="K5783" t="str">
        <f>IF(E5783="","",INDEX(Knutepunkter!$D:$D,E5783+1))</f>
        <v/>
      </c>
      <c r="L5783" t="str">
        <f t="shared" si="453"/>
        <v/>
      </c>
      <c r="M5783" t="str">
        <f t="shared" si="454"/>
        <v/>
      </c>
    </row>
    <row r="5784" spans="1:13" x14ac:dyDescent="0.3">
      <c r="A5784" t="str">
        <f>Segmenter!A5784</f>
        <v/>
      </c>
      <c r="B5784" t="str">
        <f>Segmenter!B5784</f>
        <v/>
      </c>
      <c r="C5784" t="str">
        <f t="shared" si="450"/>
        <v/>
      </c>
      <c r="D5784" t="str">
        <f t="shared" si="451"/>
        <v/>
      </c>
      <c r="E5784" t="str">
        <f t="shared" si="452"/>
        <v/>
      </c>
      <c r="F5784" t="str">
        <f>IF(D5784="","",INDEX(Knutepunkter!$B:$B,D5784+1))</f>
        <v/>
      </c>
      <c r="G5784" t="str">
        <f>IF(D5784="","",INDEX(Knutepunkter!$C:$C,D5784+1))</f>
        <v/>
      </c>
      <c r="H5784" t="str">
        <f>IF(D5784="","",INDEX(Knutepunkter!$D:$D,D5784+1))</f>
        <v/>
      </c>
      <c r="I5784" t="str">
        <f>IF(E5784="","",INDEX(Knutepunkter!$B:$B,E5784+1))</f>
        <v/>
      </c>
      <c r="J5784" t="str">
        <f>IF(E5784="","",INDEX(Knutepunkter!$C:$C,E5784+1))</f>
        <v/>
      </c>
      <c r="K5784" t="str">
        <f>IF(E5784="","",INDEX(Knutepunkter!$D:$D,E5784+1))</f>
        <v/>
      </c>
      <c r="L5784" t="str">
        <f t="shared" si="453"/>
        <v/>
      </c>
      <c r="M5784" t="str">
        <f t="shared" si="454"/>
        <v/>
      </c>
    </row>
    <row r="5785" spans="1:13" x14ac:dyDescent="0.3">
      <c r="A5785" t="str">
        <f>Segmenter!A5785</f>
        <v/>
      </c>
      <c r="B5785" t="str">
        <f>Segmenter!B5785</f>
        <v/>
      </c>
      <c r="C5785" t="str">
        <f t="shared" si="450"/>
        <v/>
      </c>
      <c r="D5785" t="str">
        <f t="shared" si="451"/>
        <v/>
      </c>
      <c r="E5785" t="str">
        <f t="shared" si="452"/>
        <v/>
      </c>
      <c r="F5785" t="str">
        <f>IF(D5785="","",INDEX(Knutepunkter!$B:$B,D5785+1))</f>
        <v/>
      </c>
      <c r="G5785" t="str">
        <f>IF(D5785="","",INDEX(Knutepunkter!$C:$C,D5785+1))</f>
        <v/>
      </c>
      <c r="H5785" t="str">
        <f>IF(D5785="","",INDEX(Knutepunkter!$D:$D,D5785+1))</f>
        <v/>
      </c>
      <c r="I5785" t="str">
        <f>IF(E5785="","",INDEX(Knutepunkter!$B:$B,E5785+1))</f>
        <v/>
      </c>
      <c r="J5785" t="str">
        <f>IF(E5785="","",INDEX(Knutepunkter!$C:$C,E5785+1))</f>
        <v/>
      </c>
      <c r="K5785" t="str">
        <f>IF(E5785="","",INDEX(Knutepunkter!$D:$D,E5785+1))</f>
        <v/>
      </c>
      <c r="L5785" t="str">
        <f t="shared" si="453"/>
        <v/>
      </c>
      <c r="M5785" t="str">
        <f t="shared" si="454"/>
        <v/>
      </c>
    </row>
    <row r="5786" spans="1:13" x14ac:dyDescent="0.3">
      <c r="A5786" t="str">
        <f>Segmenter!A5786</f>
        <v/>
      </c>
      <c r="B5786" t="str">
        <f>Segmenter!B5786</f>
        <v/>
      </c>
      <c r="C5786" t="str">
        <f t="shared" si="450"/>
        <v/>
      </c>
      <c r="D5786" t="str">
        <f t="shared" si="451"/>
        <v/>
      </c>
      <c r="E5786" t="str">
        <f t="shared" si="452"/>
        <v/>
      </c>
      <c r="F5786" t="str">
        <f>IF(D5786="","",INDEX(Knutepunkter!$B:$B,D5786+1))</f>
        <v/>
      </c>
      <c r="G5786" t="str">
        <f>IF(D5786="","",INDEX(Knutepunkter!$C:$C,D5786+1))</f>
        <v/>
      </c>
      <c r="H5786" t="str">
        <f>IF(D5786="","",INDEX(Knutepunkter!$D:$D,D5786+1))</f>
        <v/>
      </c>
      <c r="I5786" t="str">
        <f>IF(E5786="","",INDEX(Knutepunkter!$B:$B,E5786+1))</f>
        <v/>
      </c>
      <c r="J5786" t="str">
        <f>IF(E5786="","",INDEX(Knutepunkter!$C:$C,E5786+1))</f>
        <v/>
      </c>
      <c r="K5786" t="str">
        <f>IF(E5786="","",INDEX(Knutepunkter!$D:$D,E5786+1))</f>
        <v/>
      </c>
      <c r="L5786" t="str">
        <f t="shared" si="453"/>
        <v/>
      </c>
      <c r="M5786" t="str">
        <f t="shared" si="454"/>
        <v/>
      </c>
    </row>
    <row r="5787" spans="1:13" x14ac:dyDescent="0.3">
      <c r="A5787" t="str">
        <f>Segmenter!A5787</f>
        <v/>
      </c>
      <c r="B5787" t="str">
        <f>Segmenter!B5787</f>
        <v/>
      </c>
      <c r="C5787" t="str">
        <f t="shared" si="450"/>
        <v/>
      </c>
      <c r="D5787" t="str">
        <f t="shared" si="451"/>
        <v/>
      </c>
      <c r="E5787" t="str">
        <f t="shared" si="452"/>
        <v/>
      </c>
      <c r="F5787" t="str">
        <f>IF(D5787="","",INDEX(Knutepunkter!$B:$B,D5787+1))</f>
        <v/>
      </c>
      <c r="G5787" t="str">
        <f>IF(D5787="","",INDEX(Knutepunkter!$C:$C,D5787+1))</f>
        <v/>
      </c>
      <c r="H5787" t="str">
        <f>IF(D5787="","",INDEX(Knutepunkter!$D:$D,D5787+1))</f>
        <v/>
      </c>
      <c r="I5787" t="str">
        <f>IF(E5787="","",INDEX(Knutepunkter!$B:$B,E5787+1))</f>
        <v/>
      </c>
      <c r="J5787" t="str">
        <f>IF(E5787="","",INDEX(Knutepunkter!$C:$C,E5787+1))</f>
        <v/>
      </c>
      <c r="K5787" t="str">
        <f>IF(E5787="","",INDEX(Knutepunkter!$D:$D,E5787+1))</f>
        <v/>
      </c>
      <c r="L5787" t="str">
        <f t="shared" si="453"/>
        <v/>
      </c>
      <c r="M5787" t="str">
        <f t="shared" si="454"/>
        <v/>
      </c>
    </row>
    <row r="5788" spans="1:13" x14ac:dyDescent="0.3">
      <c r="A5788" t="str">
        <f>Segmenter!A5788</f>
        <v/>
      </c>
      <c r="B5788" t="str">
        <f>Segmenter!B5788</f>
        <v/>
      </c>
      <c r="C5788" t="str">
        <f t="shared" si="450"/>
        <v/>
      </c>
      <c r="D5788" t="str">
        <f t="shared" si="451"/>
        <v/>
      </c>
      <c r="E5788" t="str">
        <f t="shared" si="452"/>
        <v/>
      </c>
      <c r="F5788" t="str">
        <f>IF(D5788="","",INDEX(Knutepunkter!$B:$B,D5788+1))</f>
        <v/>
      </c>
      <c r="G5788" t="str">
        <f>IF(D5788="","",INDEX(Knutepunkter!$C:$C,D5788+1))</f>
        <v/>
      </c>
      <c r="H5788" t="str">
        <f>IF(D5788="","",INDEX(Knutepunkter!$D:$D,D5788+1))</f>
        <v/>
      </c>
      <c r="I5788" t="str">
        <f>IF(E5788="","",INDEX(Knutepunkter!$B:$B,E5788+1))</f>
        <v/>
      </c>
      <c r="J5788" t="str">
        <f>IF(E5788="","",INDEX(Knutepunkter!$C:$C,E5788+1))</f>
        <v/>
      </c>
      <c r="K5788" t="str">
        <f>IF(E5788="","",INDEX(Knutepunkter!$D:$D,E5788+1))</f>
        <v/>
      </c>
      <c r="L5788" t="str">
        <f t="shared" si="453"/>
        <v/>
      </c>
      <c r="M5788" t="str">
        <f t="shared" si="454"/>
        <v/>
      </c>
    </row>
    <row r="5789" spans="1:13" x14ac:dyDescent="0.3">
      <c r="A5789" t="str">
        <f>Segmenter!A5789</f>
        <v/>
      </c>
      <c r="B5789" t="str">
        <f>Segmenter!B5789</f>
        <v/>
      </c>
      <c r="C5789" t="str">
        <f t="shared" si="450"/>
        <v/>
      </c>
      <c r="D5789" t="str">
        <f t="shared" si="451"/>
        <v/>
      </c>
      <c r="E5789" t="str">
        <f t="shared" si="452"/>
        <v/>
      </c>
      <c r="F5789" t="str">
        <f>IF(D5789="","",INDEX(Knutepunkter!$B:$B,D5789+1))</f>
        <v/>
      </c>
      <c r="G5789" t="str">
        <f>IF(D5789="","",INDEX(Knutepunkter!$C:$C,D5789+1))</f>
        <v/>
      </c>
      <c r="H5789" t="str">
        <f>IF(D5789="","",INDEX(Knutepunkter!$D:$D,D5789+1))</f>
        <v/>
      </c>
      <c r="I5789" t="str">
        <f>IF(E5789="","",INDEX(Knutepunkter!$B:$B,E5789+1))</f>
        <v/>
      </c>
      <c r="J5789" t="str">
        <f>IF(E5789="","",INDEX(Knutepunkter!$C:$C,E5789+1))</f>
        <v/>
      </c>
      <c r="K5789" t="str">
        <f>IF(E5789="","",INDEX(Knutepunkter!$D:$D,E5789+1))</f>
        <v/>
      </c>
      <c r="L5789" t="str">
        <f t="shared" si="453"/>
        <v/>
      </c>
      <c r="M5789" t="str">
        <f t="shared" si="454"/>
        <v/>
      </c>
    </row>
    <row r="5790" spans="1:13" x14ac:dyDescent="0.3">
      <c r="A5790" t="str">
        <f>Segmenter!A5790</f>
        <v/>
      </c>
      <c r="B5790" t="str">
        <f>Segmenter!B5790</f>
        <v/>
      </c>
      <c r="C5790" t="str">
        <f t="shared" si="450"/>
        <v/>
      </c>
      <c r="D5790" t="str">
        <f t="shared" si="451"/>
        <v/>
      </c>
      <c r="E5790" t="str">
        <f t="shared" si="452"/>
        <v/>
      </c>
      <c r="F5790" t="str">
        <f>IF(D5790="","",INDEX(Knutepunkter!$B:$B,D5790+1))</f>
        <v/>
      </c>
      <c r="G5790" t="str">
        <f>IF(D5790="","",INDEX(Knutepunkter!$C:$C,D5790+1))</f>
        <v/>
      </c>
      <c r="H5790" t="str">
        <f>IF(D5790="","",INDEX(Knutepunkter!$D:$D,D5790+1))</f>
        <v/>
      </c>
      <c r="I5790" t="str">
        <f>IF(E5790="","",INDEX(Knutepunkter!$B:$B,E5790+1))</f>
        <v/>
      </c>
      <c r="J5790" t="str">
        <f>IF(E5790="","",INDEX(Knutepunkter!$C:$C,E5790+1))</f>
        <v/>
      </c>
      <c r="K5790" t="str">
        <f>IF(E5790="","",INDEX(Knutepunkter!$D:$D,E5790+1))</f>
        <v/>
      </c>
      <c r="L5790" t="str">
        <f t="shared" si="453"/>
        <v/>
      </c>
      <c r="M5790" t="str">
        <f t="shared" si="454"/>
        <v/>
      </c>
    </row>
    <row r="5791" spans="1:13" x14ac:dyDescent="0.3">
      <c r="A5791" t="str">
        <f>Segmenter!A5791</f>
        <v/>
      </c>
      <c r="B5791" t="str">
        <f>Segmenter!B5791</f>
        <v/>
      </c>
      <c r="C5791" t="str">
        <f t="shared" si="450"/>
        <v/>
      </c>
      <c r="D5791" t="str">
        <f t="shared" si="451"/>
        <v/>
      </c>
      <c r="E5791" t="str">
        <f t="shared" si="452"/>
        <v/>
      </c>
      <c r="F5791" t="str">
        <f>IF(D5791="","",INDEX(Knutepunkter!$B:$B,D5791+1))</f>
        <v/>
      </c>
      <c r="G5791" t="str">
        <f>IF(D5791="","",INDEX(Knutepunkter!$C:$C,D5791+1))</f>
        <v/>
      </c>
      <c r="H5791" t="str">
        <f>IF(D5791="","",INDEX(Knutepunkter!$D:$D,D5791+1))</f>
        <v/>
      </c>
      <c r="I5791" t="str">
        <f>IF(E5791="","",INDEX(Knutepunkter!$B:$B,E5791+1))</f>
        <v/>
      </c>
      <c r="J5791" t="str">
        <f>IF(E5791="","",INDEX(Knutepunkter!$C:$C,E5791+1))</f>
        <v/>
      </c>
      <c r="K5791" t="str">
        <f>IF(E5791="","",INDEX(Knutepunkter!$D:$D,E5791+1))</f>
        <v/>
      </c>
      <c r="L5791" t="str">
        <f t="shared" si="453"/>
        <v/>
      </c>
      <c r="M5791" t="str">
        <f t="shared" si="454"/>
        <v/>
      </c>
    </row>
    <row r="5792" spans="1:13" x14ac:dyDescent="0.3">
      <c r="A5792" t="str">
        <f>Segmenter!A5792</f>
        <v/>
      </c>
      <c r="B5792" t="str">
        <f>Segmenter!B5792</f>
        <v/>
      </c>
      <c r="C5792" t="str">
        <f t="shared" si="450"/>
        <v/>
      </c>
      <c r="D5792" t="str">
        <f t="shared" si="451"/>
        <v/>
      </c>
      <c r="E5792" t="str">
        <f t="shared" si="452"/>
        <v/>
      </c>
      <c r="F5792" t="str">
        <f>IF(D5792="","",INDEX(Knutepunkter!$B:$B,D5792+1))</f>
        <v/>
      </c>
      <c r="G5792" t="str">
        <f>IF(D5792="","",INDEX(Knutepunkter!$C:$C,D5792+1))</f>
        <v/>
      </c>
      <c r="H5792" t="str">
        <f>IF(D5792="","",INDEX(Knutepunkter!$D:$D,D5792+1))</f>
        <v/>
      </c>
      <c r="I5792" t="str">
        <f>IF(E5792="","",INDEX(Knutepunkter!$B:$B,E5792+1))</f>
        <v/>
      </c>
      <c r="J5792" t="str">
        <f>IF(E5792="","",INDEX(Knutepunkter!$C:$C,E5792+1))</f>
        <v/>
      </c>
      <c r="K5792" t="str">
        <f>IF(E5792="","",INDEX(Knutepunkter!$D:$D,E5792+1))</f>
        <v/>
      </c>
      <c r="L5792" t="str">
        <f t="shared" si="453"/>
        <v/>
      </c>
      <c r="M5792" t="str">
        <f t="shared" si="454"/>
        <v/>
      </c>
    </row>
    <row r="5793" spans="1:13" x14ac:dyDescent="0.3">
      <c r="A5793" t="str">
        <f>Segmenter!A5793</f>
        <v/>
      </c>
      <c r="B5793" t="str">
        <f>Segmenter!B5793</f>
        <v/>
      </c>
      <c r="C5793" t="str">
        <f t="shared" si="450"/>
        <v/>
      </c>
      <c r="D5793" t="str">
        <f t="shared" si="451"/>
        <v/>
      </c>
      <c r="E5793" t="str">
        <f t="shared" si="452"/>
        <v/>
      </c>
      <c r="F5793" t="str">
        <f>IF(D5793="","",INDEX(Knutepunkter!$B:$B,D5793+1))</f>
        <v/>
      </c>
      <c r="G5793" t="str">
        <f>IF(D5793="","",INDEX(Knutepunkter!$C:$C,D5793+1))</f>
        <v/>
      </c>
      <c r="H5793" t="str">
        <f>IF(D5793="","",INDEX(Knutepunkter!$D:$D,D5793+1))</f>
        <v/>
      </c>
      <c r="I5793" t="str">
        <f>IF(E5793="","",INDEX(Knutepunkter!$B:$B,E5793+1))</f>
        <v/>
      </c>
      <c r="J5793" t="str">
        <f>IF(E5793="","",INDEX(Knutepunkter!$C:$C,E5793+1))</f>
        <v/>
      </c>
      <c r="K5793" t="str">
        <f>IF(E5793="","",INDEX(Knutepunkter!$D:$D,E5793+1))</f>
        <v/>
      </c>
      <c r="L5793" t="str">
        <f t="shared" si="453"/>
        <v/>
      </c>
      <c r="M5793" t="str">
        <f t="shared" si="454"/>
        <v/>
      </c>
    </row>
    <row r="5794" spans="1:13" x14ac:dyDescent="0.3">
      <c r="A5794" t="str">
        <f>Segmenter!A5794</f>
        <v/>
      </c>
      <c r="B5794" t="str">
        <f>Segmenter!B5794</f>
        <v/>
      </c>
      <c r="C5794" t="str">
        <f t="shared" si="450"/>
        <v/>
      </c>
      <c r="D5794" t="str">
        <f t="shared" si="451"/>
        <v/>
      </c>
      <c r="E5794" t="str">
        <f t="shared" si="452"/>
        <v/>
      </c>
      <c r="F5794" t="str">
        <f>IF(D5794="","",INDEX(Knutepunkter!$B:$B,D5794+1))</f>
        <v/>
      </c>
      <c r="G5794" t="str">
        <f>IF(D5794="","",INDEX(Knutepunkter!$C:$C,D5794+1))</f>
        <v/>
      </c>
      <c r="H5794" t="str">
        <f>IF(D5794="","",INDEX(Knutepunkter!$D:$D,D5794+1))</f>
        <v/>
      </c>
      <c r="I5794" t="str">
        <f>IF(E5794="","",INDEX(Knutepunkter!$B:$B,E5794+1))</f>
        <v/>
      </c>
      <c r="J5794" t="str">
        <f>IF(E5794="","",INDEX(Knutepunkter!$C:$C,E5794+1))</f>
        <v/>
      </c>
      <c r="K5794" t="str">
        <f>IF(E5794="","",INDEX(Knutepunkter!$D:$D,E5794+1))</f>
        <v/>
      </c>
      <c r="L5794" t="str">
        <f t="shared" si="453"/>
        <v/>
      </c>
      <c r="M5794" t="str">
        <f t="shared" si="454"/>
        <v/>
      </c>
    </row>
    <row r="5795" spans="1:13" x14ac:dyDescent="0.3">
      <c r="A5795" t="str">
        <f>Segmenter!A5795</f>
        <v/>
      </c>
      <c r="B5795" t="str">
        <f>Segmenter!B5795</f>
        <v/>
      </c>
      <c r="C5795" t="str">
        <f t="shared" si="450"/>
        <v/>
      </c>
      <c r="D5795" t="str">
        <f t="shared" si="451"/>
        <v/>
      </c>
      <c r="E5795" t="str">
        <f t="shared" si="452"/>
        <v/>
      </c>
      <c r="F5795" t="str">
        <f>IF(D5795="","",INDEX(Knutepunkter!$B:$B,D5795+1))</f>
        <v/>
      </c>
      <c r="G5795" t="str">
        <f>IF(D5795="","",INDEX(Knutepunkter!$C:$C,D5795+1))</f>
        <v/>
      </c>
      <c r="H5795" t="str">
        <f>IF(D5795="","",INDEX(Knutepunkter!$D:$D,D5795+1))</f>
        <v/>
      </c>
      <c r="I5795" t="str">
        <f>IF(E5795="","",INDEX(Knutepunkter!$B:$B,E5795+1))</f>
        <v/>
      </c>
      <c r="J5795" t="str">
        <f>IF(E5795="","",INDEX(Knutepunkter!$C:$C,E5795+1))</f>
        <v/>
      </c>
      <c r="K5795" t="str">
        <f>IF(E5795="","",INDEX(Knutepunkter!$D:$D,E5795+1))</f>
        <v/>
      </c>
      <c r="L5795" t="str">
        <f t="shared" si="453"/>
        <v/>
      </c>
      <c r="M5795" t="str">
        <f t="shared" si="454"/>
        <v/>
      </c>
    </row>
    <row r="5796" spans="1:13" x14ac:dyDescent="0.3">
      <c r="A5796" t="str">
        <f>Segmenter!A5796</f>
        <v/>
      </c>
      <c r="B5796" t="str">
        <f>Segmenter!B5796</f>
        <v/>
      </c>
      <c r="C5796" t="str">
        <f t="shared" si="450"/>
        <v/>
      </c>
      <c r="D5796" t="str">
        <f t="shared" si="451"/>
        <v/>
      </c>
      <c r="E5796" t="str">
        <f t="shared" si="452"/>
        <v/>
      </c>
      <c r="F5796" t="str">
        <f>IF(D5796="","",INDEX(Knutepunkter!$B:$B,D5796+1))</f>
        <v/>
      </c>
      <c r="G5796" t="str">
        <f>IF(D5796="","",INDEX(Knutepunkter!$C:$C,D5796+1))</f>
        <v/>
      </c>
      <c r="H5796" t="str">
        <f>IF(D5796="","",INDEX(Knutepunkter!$D:$D,D5796+1))</f>
        <v/>
      </c>
      <c r="I5796" t="str">
        <f>IF(E5796="","",INDEX(Knutepunkter!$B:$B,E5796+1))</f>
        <v/>
      </c>
      <c r="J5796" t="str">
        <f>IF(E5796="","",INDEX(Knutepunkter!$C:$C,E5796+1))</f>
        <v/>
      </c>
      <c r="K5796" t="str">
        <f>IF(E5796="","",INDEX(Knutepunkter!$D:$D,E5796+1))</f>
        <v/>
      </c>
      <c r="L5796" t="str">
        <f t="shared" si="453"/>
        <v/>
      </c>
      <c r="M5796" t="str">
        <f t="shared" si="454"/>
        <v/>
      </c>
    </row>
    <row r="5797" spans="1:13" x14ac:dyDescent="0.3">
      <c r="A5797" t="str">
        <f>Segmenter!A5797</f>
        <v/>
      </c>
      <c r="B5797" t="str">
        <f>Segmenter!B5797</f>
        <v/>
      </c>
      <c r="C5797" t="str">
        <f t="shared" si="450"/>
        <v/>
      </c>
      <c r="D5797" t="str">
        <f t="shared" si="451"/>
        <v/>
      </c>
      <c r="E5797" t="str">
        <f t="shared" si="452"/>
        <v/>
      </c>
      <c r="F5797" t="str">
        <f>IF(D5797="","",INDEX(Knutepunkter!$B:$B,D5797+1))</f>
        <v/>
      </c>
      <c r="G5797" t="str">
        <f>IF(D5797="","",INDEX(Knutepunkter!$C:$C,D5797+1))</f>
        <v/>
      </c>
      <c r="H5797" t="str">
        <f>IF(D5797="","",INDEX(Knutepunkter!$D:$D,D5797+1))</f>
        <v/>
      </c>
      <c r="I5797" t="str">
        <f>IF(E5797="","",INDEX(Knutepunkter!$B:$B,E5797+1))</f>
        <v/>
      </c>
      <c r="J5797" t="str">
        <f>IF(E5797="","",INDEX(Knutepunkter!$C:$C,E5797+1))</f>
        <v/>
      </c>
      <c r="K5797" t="str">
        <f>IF(E5797="","",INDEX(Knutepunkter!$D:$D,E5797+1))</f>
        <v/>
      </c>
      <c r="L5797" t="str">
        <f t="shared" si="453"/>
        <v/>
      </c>
      <c r="M5797" t="str">
        <f t="shared" si="454"/>
        <v/>
      </c>
    </row>
    <row r="5798" spans="1:13" x14ac:dyDescent="0.3">
      <c r="A5798" t="str">
        <f>Segmenter!A5798</f>
        <v/>
      </c>
      <c r="B5798" t="str">
        <f>Segmenter!B5798</f>
        <v/>
      </c>
      <c r="C5798" t="str">
        <f t="shared" si="450"/>
        <v/>
      </c>
      <c r="D5798" t="str">
        <f t="shared" si="451"/>
        <v/>
      </c>
      <c r="E5798" t="str">
        <f t="shared" si="452"/>
        <v/>
      </c>
      <c r="F5798" t="str">
        <f>IF(D5798="","",INDEX(Knutepunkter!$B:$B,D5798+1))</f>
        <v/>
      </c>
      <c r="G5798" t="str">
        <f>IF(D5798="","",INDEX(Knutepunkter!$C:$C,D5798+1))</f>
        <v/>
      </c>
      <c r="H5798" t="str">
        <f>IF(D5798="","",INDEX(Knutepunkter!$D:$D,D5798+1))</f>
        <v/>
      </c>
      <c r="I5798" t="str">
        <f>IF(E5798="","",INDEX(Knutepunkter!$B:$B,E5798+1))</f>
        <v/>
      </c>
      <c r="J5798" t="str">
        <f>IF(E5798="","",INDEX(Knutepunkter!$C:$C,E5798+1))</f>
        <v/>
      </c>
      <c r="K5798" t="str">
        <f>IF(E5798="","",INDEX(Knutepunkter!$D:$D,E5798+1))</f>
        <v/>
      </c>
      <c r="L5798" t="str">
        <f t="shared" si="453"/>
        <v/>
      </c>
      <c r="M5798" t="str">
        <f t="shared" si="454"/>
        <v/>
      </c>
    </row>
    <row r="5799" spans="1:13" x14ac:dyDescent="0.3">
      <c r="A5799" t="str">
        <f>Segmenter!A5799</f>
        <v/>
      </c>
      <c r="B5799" t="str">
        <f>Segmenter!B5799</f>
        <v/>
      </c>
      <c r="C5799" t="str">
        <f t="shared" si="450"/>
        <v/>
      </c>
      <c r="D5799" t="str">
        <f t="shared" si="451"/>
        <v/>
      </c>
      <c r="E5799" t="str">
        <f t="shared" si="452"/>
        <v/>
      </c>
      <c r="F5799" t="str">
        <f>IF(D5799="","",INDEX(Knutepunkter!$B:$B,D5799+1))</f>
        <v/>
      </c>
      <c r="G5799" t="str">
        <f>IF(D5799="","",INDEX(Knutepunkter!$C:$C,D5799+1))</f>
        <v/>
      </c>
      <c r="H5799" t="str">
        <f>IF(D5799="","",INDEX(Knutepunkter!$D:$D,D5799+1))</f>
        <v/>
      </c>
      <c r="I5799" t="str">
        <f>IF(E5799="","",INDEX(Knutepunkter!$B:$B,E5799+1))</f>
        <v/>
      </c>
      <c r="J5799" t="str">
        <f>IF(E5799="","",INDEX(Knutepunkter!$C:$C,E5799+1))</f>
        <v/>
      </c>
      <c r="K5799" t="str">
        <f>IF(E5799="","",INDEX(Knutepunkter!$D:$D,E5799+1))</f>
        <v/>
      </c>
      <c r="L5799" t="str">
        <f t="shared" si="453"/>
        <v/>
      </c>
      <c r="M5799" t="str">
        <f t="shared" si="454"/>
        <v/>
      </c>
    </row>
    <row r="5800" spans="1:13" x14ac:dyDescent="0.3">
      <c r="A5800" t="str">
        <f>Segmenter!A5800</f>
        <v/>
      </c>
      <c r="B5800" t="str">
        <f>Segmenter!B5800</f>
        <v/>
      </c>
      <c r="C5800" t="str">
        <f t="shared" si="450"/>
        <v/>
      </c>
      <c r="D5800" t="str">
        <f t="shared" si="451"/>
        <v/>
      </c>
      <c r="E5800" t="str">
        <f t="shared" si="452"/>
        <v/>
      </c>
      <c r="F5800" t="str">
        <f>IF(D5800="","",INDEX(Knutepunkter!$B:$B,D5800+1))</f>
        <v/>
      </c>
      <c r="G5800" t="str">
        <f>IF(D5800="","",INDEX(Knutepunkter!$C:$C,D5800+1))</f>
        <v/>
      </c>
      <c r="H5800" t="str">
        <f>IF(D5800="","",INDEX(Knutepunkter!$D:$D,D5800+1))</f>
        <v/>
      </c>
      <c r="I5800" t="str">
        <f>IF(E5800="","",INDEX(Knutepunkter!$B:$B,E5800+1))</f>
        <v/>
      </c>
      <c r="J5800" t="str">
        <f>IF(E5800="","",INDEX(Knutepunkter!$C:$C,E5800+1))</f>
        <v/>
      </c>
      <c r="K5800" t="str">
        <f>IF(E5800="","",INDEX(Knutepunkter!$D:$D,E5800+1))</f>
        <v/>
      </c>
      <c r="L5800" t="str">
        <f t="shared" si="453"/>
        <v/>
      </c>
      <c r="M5800" t="str">
        <f t="shared" si="454"/>
        <v/>
      </c>
    </row>
    <row r="5801" spans="1:13" x14ac:dyDescent="0.3">
      <c r="A5801" t="str">
        <f>Segmenter!A5801</f>
        <v/>
      </c>
      <c r="B5801" t="str">
        <f>Segmenter!B5801</f>
        <v/>
      </c>
      <c r="C5801" t="str">
        <f t="shared" si="450"/>
        <v/>
      </c>
      <c r="D5801" t="str">
        <f t="shared" si="451"/>
        <v/>
      </c>
      <c r="E5801" t="str">
        <f t="shared" si="452"/>
        <v/>
      </c>
      <c r="F5801" t="str">
        <f>IF(D5801="","",INDEX(Knutepunkter!$B:$B,D5801+1))</f>
        <v/>
      </c>
      <c r="G5801" t="str">
        <f>IF(D5801="","",INDEX(Knutepunkter!$C:$C,D5801+1))</f>
        <v/>
      </c>
      <c r="H5801" t="str">
        <f>IF(D5801="","",INDEX(Knutepunkter!$D:$D,D5801+1))</f>
        <v/>
      </c>
      <c r="I5801" t="str">
        <f>IF(E5801="","",INDEX(Knutepunkter!$B:$B,E5801+1))</f>
        <v/>
      </c>
      <c r="J5801" t="str">
        <f>IF(E5801="","",INDEX(Knutepunkter!$C:$C,E5801+1))</f>
        <v/>
      </c>
      <c r="K5801" t="str">
        <f>IF(E5801="","",INDEX(Knutepunkter!$D:$D,E5801+1))</f>
        <v/>
      </c>
      <c r="L5801" t="str">
        <f t="shared" si="453"/>
        <v/>
      </c>
      <c r="M5801" t="str">
        <f t="shared" si="454"/>
        <v/>
      </c>
    </row>
    <row r="5802" spans="1:13" x14ac:dyDescent="0.3">
      <c r="A5802" t="str">
        <f>Segmenter!A5802</f>
        <v/>
      </c>
      <c r="B5802" t="str">
        <f>Segmenter!B5802</f>
        <v/>
      </c>
      <c r="C5802" t="str">
        <f t="shared" si="450"/>
        <v/>
      </c>
      <c r="D5802" t="str">
        <f t="shared" si="451"/>
        <v/>
      </c>
      <c r="E5802" t="str">
        <f t="shared" si="452"/>
        <v/>
      </c>
      <c r="F5802" t="str">
        <f>IF(D5802="","",INDEX(Knutepunkter!$B:$B,D5802+1))</f>
        <v/>
      </c>
      <c r="G5802" t="str">
        <f>IF(D5802="","",INDEX(Knutepunkter!$C:$C,D5802+1))</f>
        <v/>
      </c>
      <c r="H5802" t="str">
        <f>IF(D5802="","",INDEX(Knutepunkter!$D:$D,D5802+1))</f>
        <v/>
      </c>
      <c r="I5802" t="str">
        <f>IF(E5802="","",INDEX(Knutepunkter!$B:$B,E5802+1))</f>
        <v/>
      </c>
      <c r="J5802" t="str">
        <f>IF(E5802="","",INDEX(Knutepunkter!$C:$C,E5802+1))</f>
        <v/>
      </c>
      <c r="K5802" t="str">
        <f>IF(E5802="","",INDEX(Knutepunkter!$D:$D,E5802+1))</f>
        <v/>
      </c>
      <c r="L5802" t="str">
        <f t="shared" si="453"/>
        <v/>
      </c>
      <c r="M5802" t="str">
        <f t="shared" si="454"/>
        <v/>
      </c>
    </row>
    <row r="5803" spans="1:13" x14ac:dyDescent="0.3">
      <c r="A5803" t="str">
        <f>Segmenter!A5803</f>
        <v/>
      </c>
      <c r="B5803" t="str">
        <f>Segmenter!B5803</f>
        <v/>
      </c>
      <c r="C5803" t="str">
        <f t="shared" si="450"/>
        <v/>
      </c>
      <c r="D5803" t="str">
        <f t="shared" si="451"/>
        <v/>
      </c>
      <c r="E5803" t="str">
        <f t="shared" si="452"/>
        <v/>
      </c>
      <c r="F5803" t="str">
        <f>IF(D5803="","",INDEX(Knutepunkter!$B:$B,D5803+1))</f>
        <v/>
      </c>
      <c r="G5803" t="str">
        <f>IF(D5803="","",INDEX(Knutepunkter!$C:$C,D5803+1))</f>
        <v/>
      </c>
      <c r="H5803" t="str">
        <f>IF(D5803="","",INDEX(Knutepunkter!$D:$D,D5803+1))</f>
        <v/>
      </c>
      <c r="I5803" t="str">
        <f>IF(E5803="","",INDEX(Knutepunkter!$B:$B,E5803+1))</f>
        <v/>
      </c>
      <c r="J5803" t="str">
        <f>IF(E5803="","",INDEX(Knutepunkter!$C:$C,E5803+1))</f>
        <v/>
      </c>
      <c r="K5803" t="str">
        <f>IF(E5803="","",INDEX(Knutepunkter!$D:$D,E5803+1))</f>
        <v/>
      </c>
      <c r="L5803" t="str">
        <f t="shared" si="453"/>
        <v/>
      </c>
      <c r="M5803" t="str">
        <f t="shared" si="454"/>
        <v/>
      </c>
    </row>
    <row r="5804" spans="1:13" x14ac:dyDescent="0.3">
      <c r="A5804" t="str">
        <f>Segmenter!A5804</f>
        <v/>
      </c>
      <c r="B5804" t="str">
        <f>Segmenter!B5804</f>
        <v/>
      </c>
      <c r="C5804" t="str">
        <f t="shared" si="450"/>
        <v/>
      </c>
      <c r="D5804" t="str">
        <f t="shared" si="451"/>
        <v/>
      </c>
      <c r="E5804" t="str">
        <f t="shared" si="452"/>
        <v/>
      </c>
      <c r="F5804" t="str">
        <f>IF(D5804="","",INDEX(Knutepunkter!$B:$B,D5804+1))</f>
        <v/>
      </c>
      <c r="G5804" t="str">
        <f>IF(D5804="","",INDEX(Knutepunkter!$C:$C,D5804+1))</f>
        <v/>
      </c>
      <c r="H5804" t="str">
        <f>IF(D5804="","",INDEX(Knutepunkter!$D:$D,D5804+1))</f>
        <v/>
      </c>
      <c r="I5804" t="str">
        <f>IF(E5804="","",INDEX(Knutepunkter!$B:$B,E5804+1))</f>
        <v/>
      </c>
      <c r="J5804" t="str">
        <f>IF(E5804="","",INDEX(Knutepunkter!$C:$C,E5804+1))</f>
        <v/>
      </c>
      <c r="K5804" t="str">
        <f>IF(E5804="","",INDEX(Knutepunkter!$D:$D,E5804+1))</f>
        <v/>
      </c>
      <c r="L5804" t="str">
        <f t="shared" si="453"/>
        <v/>
      </c>
      <c r="M5804" t="str">
        <f t="shared" si="454"/>
        <v/>
      </c>
    </row>
    <row r="5805" spans="1:13" x14ac:dyDescent="0.3">
      <c r="A5805" t="str">
        <f>Segmenter!A5805</f>
        <v/>
      </c>
      <c r="B5805" t="str">
        <f>Segmenter!B5805</f>
        <v/>
      </c>
      <c r="C5805" t="str">
        <f t="shared" si="450"/>
        <v/>
      </c>
      <c r="D5805" t="str">
        <f t="shared" si="451"/>
        <v/>
      </c>
      <c r="E5805" t="str">
        <f t="shared" si="452"/>
        <v/>
      </c>
      <c r="F5805" t="str">
        <f>IF(D5805="","",INDEX(Knutepunkter!$B:$B,D5805+1))</f>
        <v/>
      </c>
      <c r="G5805" t="str">
        <f>IF(D5805="","",INDEX(Knutepunkter!$C:$C,D5805+1))</f>
        <v/>
      </c>
      <c r="H5805" t="str">
        <f>IF(D5805="","",INDEX(Knutepunkter!$D:$D,D5805+1))</f>
        <v/>
      </c>
      <c r="I5805" t="str">
        <f>IF(E5805="","",INDEX(Knutepunkter!$B:$B,E5805+1))</f>
        <v/>
      </c>
      <c r="J5805" t="str">
        <f>IF(E5805="","",INDEX(Knutepunkter!$C:$C,E5805+1))</f>
        <v/>
      </c>
      <c r="K5805" t="str">
        <f>IF(E5805="","",INDEX(Knutepunkter!$D:$D,E5805+1))</f>
        <v/>
      </c>
      <c r="L5805" t="str">
        <f t="shared" si="453"/>
        <v/>
      </c>
      <c r="M5805" t="str">
        <f t="shared" si="454"/>
        <v/>
      </c>
    </row>
    <row r="5806" spans="1:13" x14ac:dyDescent="0.3">
      <c r="A5806" t="str">
        <f>Segmenter!A5806</f>
        <v/>
      </c>
      <c r="B5806" t="str">
        <f>Segmenter!B5806</f>
        <v/>
      </c>
      <c r="C5806" t="str">
        <f t="shared" si="450"/>
        <v/>
      </c>
      <c r="D5806" t="str">
        <f t="shared" si="451"/>
        <v/>
      </c>
      <c r="E5806" t="str">
        <f t="shared" si="452"/>
        <v/>
      </c>
      <c r="F5806" t="str">
        <f>IF(D5806="","",INDEX(Knutepunkter!$B:$B,D5806+1))</f>
        <v/>
      </c>
      <c r="G5806" t="str">
        <f>IF(D5806="","",INDEX(Knutepunkter!$C:$C,D5806+1))</f>
        <v/>
      </c>
      <c r="H5806" t="str">
        <f>IF(D5806="","",INDEX(Knutepunkter!$D:$D,D5806+1))</f>
        <v/>
      </c>
      <c r="I5806" t="str">
        <f>IF(E5806="","",INDEX(Knutepunkter!$B:$B,E5806+1))</f>
        <v/>
      </c>
      <c r="J5806" t="str">
        <f>IF(E5806="","",INDEX(Knutepunkter!$C:$C,E5806+1))</f>
        <v/>
      </c>
      <c r="K5806" t="str">
        <f>IF(E5806="","",INDEX(Knutepunkter!$D:$D,E5806+1))</f>
        <v/>
      </c>
      <c r="L5806" t="str">
        <f t="shared" si="453"/>
        <v/>
      </c>
      <c r="M5806" t="str">
        <f t="shared" si="454"/>
        <v/>
      </c>
    </row>
    <row r="5807" spans="1:13" x14ac:dyDescent="0.3">
      <c r="A5807" t="str">
        <f>Segmenter!A5807</f>
        <v/>
      </c>
      <c r="B5807" t="str">
        <f>Segmenter!B5807</f>
        <v/>
      </c>
      <c r="C5807" t="str">
        <f t="shared" si="450"/>
        <v/>
      </c>
      <c r="D5807" t="str">
        <f t="shared" si="451"/>
        <v/>
      </c>
      <c r="E5807" t="str">
        <f t="shared" si="452"/>
        <v/>
      </c>
      <c r="F5807" t="str">
        <f>IF(D5807="","",INDEX(Knutepunkter!$B:$B,D5807+1))</f>
        <v/>
      </c>
      <c r="G5807" t="str">
        <f>IF(D5807="","",INDEX(Knutepunkter!$C:$C,D5807+1))</f>
        <v/>
      </c>
      <c r="H5807" t="str">
        <f>IF(D5807="","",INDEX(Knutepunkter!$D:$D,D5807+1))</f>
        <v/>
      </c>
      <c r="I5807" t="str">
        <f>IF(E5807="","",INDEX(Knutepunkter!$B:$B,E5807+1))</f>
        <v/>
      </c>
      <c r="J5807" t="str">
        <f>IF(E5807="","",INDEX(Knutepunkter!$C:$C,E5807+1))</f>
        <v/>
      </c>
      <c r="K5807" t="str">
        <f>IF(E5807="","",INDEX(Knutepunkter!$D:$D,E5807+1))</f>
        <v/>
      </c>
      <c r="L5807" t="str">
        <f t="shared" si="453"/>
        <v/>
      </c>
      <c r="M5807" t="str">
        <f t="shared" si="454"/>
        <v/>
      </c>
    </row>
    <row r="5808" spans="1:13" x14ac:dyDescent="0.3">
      <c r="A5808" t="str">
        <f>Segmenter!A5808</f>
        <v/>
      </c>
      <c r="B5808" t="str">
        <f>Segmenter!B5808</f>
        <v/>
      </c>
      <c r="C5808" t="str">
        <f t="shared" si="450"/>
        <v/>
      </c>
      <c r="D5808" t="str">
        <f t="shared" si="451"/>
        <v/>
      </c>
      <c r="E5808" t="str">
        <f t="shared" si="452"/>
        <v/>
      </c>
      <c r="F5808" t="str">
        <f>IF(D5808="","",INDEX(Knutepunkter!$B:$B,D5808+1))</f>
        <v/>
      </c>
      <c r="G5808" t="str">
        <f>IF(D5808="","",INDEX(Knutepunkter!$C:$C,D5808+1))</f>
        <v/>
      </c>
      <c r="H5808" t="str">
        <f>IF(D5808="","",INDEX(Knutepunkter!$D:$D,D5808+1))</f>
        <v/>
      </c>
      <c r="I5808" t="str">
        <f>IF(E5808="","",INDEX(Knutepunkter!$B:$B,E5808+1))</f>
        <v/>
      </c>
      <c r="J5808" t="str">
        <f>IF(E5808="","",INDEX(Knutepunkter!$C:$C,E5808+1))</f>
        <v/>
      </c>
      <c r="K5808" t="str">
        <f>IF(E5808="","",INDEX(Knutepunkter!$D:$D,E5808+1))</f>
        <v/>
      </c>
      <c r="L5808" t="str">
        <f t="shared" si="453"/>
        <v/>
      </c>
      <c r="M5808" t="str">
        <f t="shared" si="454"/>
        <v/>
      </c>
    </row>
    <row r="5809" spans="1:13" x14ac:dyDescent="0.3">
      <c r="A5809" t="str">
        <f>Segmenter!A5809</f>
        <v/>
      </c>
      <c r="B5809" t="str">
        <f>Segmenter!B5809</f>
        <v/>
      </c>
      <c r="C5809" t="str">
        <f t="shared" si="450"/>
        <v/>
      </c>
      <c r="D5809" t="str">
        <f t="shared" si="451"/>
        <v/>
      </c>
      <c r="E5809" t="str">
        <f t="shared" si="452"/>
        <v/>
      </c>
      <c r="F5809" t="str">
        <f>IF(D5809="","",INDEX(Knutepunkter!$B:$B,D5809+1))</f>
        <v/>
      </c>
      <c r="G5809" t="str">
        <f>IF(D5809="","",INDEX(Knutepunkter!$C:$C,D5809+1))</f>
        <v/>
      </c>
      <c r="H5809" t="str">
        <f>IF(D5809="","",INDEX(Knutepunkter!$D:$D,D5809+1))</f>
        <v/>
      </c>
      <c r="I5809" t="str">
        <f>IF(E5809="","",INDEX(Knutepunkter!$B:$B,E5809+1))</f>
        <v/>
      </c>
      <c r="J5809" t="str">
        <f>IF(E5809="","",INDEX(Knutepunkter!$C:$C,E5809+1))</f>
        <v/>
      </c>
      <c r="K5809" t="str">
        <f>IF(E5809="","",INDEX(Knutepunkter!$D:$D,E5809+1))</f>
        <v/>
      </c>
      <c r="L5809" t="str">
        <f t="shared" si="453"/>
        <v/>
      </c>
      <c r="M5809" t="str">
        <f t="shared" si="454"/>
        <v/>
      </c>
    </row>
    <row r="5810" spans="1:13" x14ac:dyDescent="0.3">
      <c r="A5810" t="str">
        <f>Segmenter!A5810</f>
        <v/>
      </c>
      <c r="B5810" t="str">
        <f>Segmenter!B5810</f>
        <v/>
      </c>
      <c r="C5810" t="str">
        <f t="shared" si="450"/>
        <v/>
      </c>
      <c r="D5810" t="str">
        <f t="shared" si="451"/>
        <v/>
      </c>
      <c r="E5810" t="str">
        <f t="shared" si="452"/>
        <v/>
      </c>
      <c r="F5810" t="str">
        <f>IF(D5810="","",INDEX(Knutepunkter!$B:$B,D5810+1))</f>
        <v/>
      </c>
      <c r="G5810" t="str">
        <f>IF(D5810="","",INDEX(Knutepunkter!$C:$C,D5810+1))</f>
        <v/>
      </c>
      <c r="H5810" t="str">
        <f>IF(D5810="","",INDEX(Knutepunkter!$D:$D,D5810+1))</f>
        <v/>
      </c>
      <c r="I5810" t="str">
        <f>IF(E5810="","",INDEX(Knutepunkter!$B:$B,E5810+1))</f>
        <v/>
      </c>
      <c r="J5810" t="str">
        <f>IF(E5810="","",INDEX(Knutepunkter!$C:$C,E5810+1))</f>
        <v/>
      </c>
      <c r="K5810" t="str">
        <f>IF(E5810="","",INDEX(Knutepunkter!$D:$D,E5810+1))</f>
        <v/>
      </c>
      <c r="L5810" t="str">
        <f t="shared" si="453"/>
        <v/>
      </c>
      <c r="M5810" t="str">
        <f t="shared" si="454"/>
        <v/>
      </c>
    </row>
    <row r="5811" spans="1:13" x14ac:dyDescent="0.3">
      <c r="A5811" t="str">
        <f>Segmenter!A5811</f>
        <v/>
      </c>
      <c r="B5811" t="str">
        <f>Segmenter!B5811</f>
        <v/>
      </c>
      <c r="C5811" t="str">
        <f t="shared" si="450"/>
        <v/>
      </c>
      <c r="D5811" t="str">
        <f t="shared" si="451"/>
        <v/>
      </c>
      <c r="E5811" t="str">
        <f t="shared" si="452"/>
        <v/>
      </c>
      <c r="F5811" t="str">
        <f>IF(D5811="","",INDEX(Knutepunkter!$B:$B,D5811+1))</f>
        <v/>
      </c>
      <c r="G5811" t="str">
        <f>IF(D5811="","",INDEX(Knutepunkter!$C:$C,D5811+1))</f>
        <v/>
      </c>
      <c r="H5811" t="str">
        <f>IF(D5811="","",INDEX(Knutepunkter!$D:$D,D5811+1))</f>
        <v/>
      </c>
      <c r="I5811" t="str">
        <f>IF(E5811="","",INDEX(Knutepunkter!$B:$B,E5811+1))</f>
        <v/>
      </c>
      <c r="J5811" t="str">
        <f>IF(E5811="","",INDEX(Knutepunkter!$C:$C,E5811+1))</f>
        <v/>
      </c>
      <c r="K5811" t="str">
        <f>IF(E5811="","",INDEX(Knutepunkter!$D:$D,E5811+1))</f>
        <v/>
      </c>
      <c r="L5811" t="str">
        <f t="shared" si="453"/>
        <v/>
      </c>
      <c r="M5811" t="str">
        <f t="shared" si="454"/>
        <v/>
      </c>
    </row>
    <row r="5812" spans="1:13" x14ac:dyDescent="0.3">
      <c r="A5812" t="str">
        <f>Segmenter!A5812</f>
        <v/>
      </c>
      <c r="B5812" t="str">
        <f>Segmenter!B5812</f>
        <v/>
      </c>
      <c r="C5812" t="str">
        <f t="shared" si="450"/>
        <v/>
      </c>
      <c r="D5812" t="str">
        <f t="shared" si="451"/>
        <v/>
      </c>
      <c r="E5812" t="str">
        <f t="shared" si="452"/>
        <v/>
      </c>
      <c r="F5812" t="str">
        <f>IF(D5812="","",INDEX(Knutepunkter!$B:$B,D5812+1))</f>
        <v/>
      </c>
      <c r="G5812" t="str">
        <f>IF(D5812="","",INDEX(Knutepunkter!$C:$C,D5812+1))</f>
        <v/>
      </c>
      <c r="H5812" t="str">
        <f>IF(D5812="","",INDEX(Knutepunkter!$D:$D,D5812+1))</f>
        <v/>
      </c>
      <c r="I5812" t="str">
        <f>IF(E5812="","",INDEX(Knutepunkter!$B:$B,E5812+1))</f>
        <v/>
      </c>
      <c r="J5812" t="str">
        <f>IF(E5812="","",INDEX(Knutepunkter!$C:$C,E5812+1))</f>
        <v/>
      </c>
      <c r="K5812" t="str">
        <f>IF(E5812="","",INDEX(Knutepunkter!$D:$D,E5812+1))</f>
        <v/>
      </c>
      <c r="L5812" t="str">
        <f t="shared" si="453"/>
        <v/>
      </c>
      <c r="M5812" t="str">
        <f t="shared" si="454"/>
        <v/>
      </c>
    </row>
    <row r="5813" spans="1:13" x14ac:dyDescent="0.3">
      <c r="A5813" t="str">
        <f>Segmenter!A5813</f>
        <v/>
      </c>
      <c r="B5813" t="str">
        <f>Segmenter!B5813</f>
        <v/>
      </c>
      <c r="C5813" t="str">
        <f t="shared" si="450"/>
        <v/>
      </c>
      <c r="D5813" t="str">
        <f t="shared" si="451"/>
        <v/>
      </c>
      <c r="E5813" t="str">
        <f t="shared" si="452"/>
        <v/>
      </c>
      <c r="F5813" t="str">
        <f>IF(D5813="","",INDEX(Knutepunkter!$B:$B,D5813+1))</f>
        <v/>
      </c>
      <c r="G5813" t="str">
        <f>IF(D5813="","",INDEX(Knutepunkter!$C:$C,D5813+1))</f>
        <v/>
      </c>
      <c r="H5813" t="str">
        <f>IF(D5813="","",INDEX(Knutepunkter!$D:$D,D5813+1))</f>
        <v/>
      </c>
      <c r="I5813" t="str">
        <f>IF(E5813="","",INDEX(Knutepunkter!$B:$B,E5813+1))</f>
        <v/>
      </c>
      <c r="J5813" t="str">
        <f>IF(E5813="","",INDEX(Knutepunkter!$C:$C,E5813+1))</f>
        <v/>
      </c>
      <c r="K5813" t="str">
        <f>IF(E5813="","",INDEX(Knutepunkter!$D:$D,E5813+1))</f>
        <v/>
      </c>
      <c r="L5813" t="str">
        <f t="shared" si="453"/>
        <v/>
      </c>
      <c r="M5813" t="str">
        <f t="shared" si="454"/>
        <v/>
      </c>
    </row>
    <row r="5814" spans="1:13" x14ac:dyDescent="0.3">
      <c r="A5814" t="str">
        <f>Segmenter!A5814</f>
        <v/>
      </c>
      <c r="B5814" t="str">
        <f>Segmenter!B5814</f>
        <v/>
      </c>
      <c r="C5814" t="str">
        <f t="shared" si="450"/>
        <v/>
      </c>
      <c r="D5814" t="str">
        <f t="shared" si="451"/>
        <v/>
      </c>
      <c r="E5814" t="str">
        <f t="shared" si="452"/>
        <v/>
      </c>
      <c r="F5814" t="str">
        <f>IF(D5814="","",INDEX(Knutepunkter!$B:$B,D5814+1))</f>
        <v/>
      </c>
      <c r="G5814" t="str">
        <f>IF(D5814="","",INDEX(Knutepunkter!$C:$C,D5814+1))</f>
        <v/>
      </c>
      <c r="H5814" t="str">
        <f>IF(D5814="","",INDEX(Knutepunkter!$D:$D,D5814+1))</f>
        <v/>
      </c>
      <c r="I5814" t="str">
        <f>IF(E5814="","",INDEX(Knutepunkter!$B:$B,E5814+1))</f>
        <v/>
      </c>
      <c r="J5814" t="str">
        <f>IF(E5814="","",INDEX(Knutepunkter!$C:$C,E5814+1))</f>
        <v/>
      </c>
      <c r="K5814" t="str">
        <f>IF(E5814="","",INDEX(Knutepunkter!$D:$D,E5814+1))</f>
        <v/>
      </c>
      <c r="L5814" t="str">
        <f t="shared" si="453"/>
        <v/>
      </c>
      <c r="M5814" t="str">
        <f t="shared" si="454"/>
        <v/>
      </c>
    </row>
    <row r="5815" spans="1:13" x14ac:dyDescent="0.3">
      <c r="A5815" t="str">
        <f>Segmenter!A5815</f>
        <v/>
      </c>
      <c r="B5815" t="str">
        <f>Segmenter!B5815</f>
        <v/>
      </c>
      <c r="C5815" t="str">
        <f t="shared" si="450"/>
        <v/>
      </c>
      <c r="D5815" t="str">
        <f t="shared" si="451"/>
        <v/>
      </c>
      <c r="E5815" t="str">
        <f t="shared" si="452"/>
        <v/>
      </c>
      <c r="F5815" t="str">
        <f>IF(D5815="","",INDEX(Knutepunkter!$B:$B,D5815+1))</f>
        <v/>
      </c>
      <c r="G5815" t="str">
        <f>IF(D5815="","",INDEX(Knutepunkter!$C:$C,D5815+1))</f>
        <v/>
      </c>
      <c r="H5815" t="str">
        <f>IF(D5815="","",INDEX(Knutepunkter!$D:$D,D5815+1))</f>
        <v/>
      </c>
      <c r="I5815" t="str">
        <f>IF(E5815="","",INDEX(Knutepunkter!$B:$B,E5815+1))</f>
        <v/>
      </c>
      <c r="J5815" t="str">
        <f>IF(E5815="","",INDEX(Knutepunkter!$C:$C,E5815+1))</f>
        <v/>
      </c>
      <c r="K5815" t="str">
        <f>IF(E5815="","",INDEX(Knutepunkter!$D:$D,E5815+1))</f>
        <v/>
      </c>
      <c r="L5815" t="str">
        <f t="shared" si="453"/>
        <v/>
      </c>
      <c r="M5815" t="str">
        <f t="shared" si="454"/>
        <v/>
      </c>
    </row>
    <row r="5816" spans="1:13" x14ac:dyDescent="0.3">
      <c r="A5816" t="str">
        <f>Segmenter!A5816</f>
        <v/>
      </c>
      <c r="B5816" t="str">
        <f>Segmenter!B5816</f>
        <v/>
      </c>
      <c r="C5816" t="str">
        <f t="shared" si="450"/>
        <v/>
      </c>
      <c r="D5816" t="str">
        <f t="shared" si="451"/>
        <v/>
      </c>
      <c r="E5816" t="str">
        <f t="shared" si="452"/>
        <v/>
      </c>
      <c r="F5816" t="str">
        <f>IF(D5816="","",INDEX(Knutepunkter!$B:$B,D5816+1))</f>
        <v/>
      </c>
      <c r="G5816" t="str">
        <f>IF(D5816="","",INDEX(Knutepunkter!$C:$C,D5816+1))</f>
        <v/>
      </c>
      <c r="H5816" t="str">
        <f>IF(D5816="","",INDEX(Knutepunkter!$D:$D,D5816+1))</f>
        <v/>
      </c>
      <c r="I5816" t="str">
        <f>IF(E5816="","",INDEX(Knutepunkter!$B:$B,E5816+1))</f>
        <v/>
      </c>
      <c r="J5816" t="str">
        <f>IF(E5816="","",INDEX(Knutepunkter!$C:$C,E5816+1))</f>
        <v/>
      </c>
      <c r="K5816" t="str">
        <f>IF(E5816="","",INDEX(Knutepunkter!$D:$D,E5816+1))</f>
        <v/>
      </c>
      <c r="L5816" t="str">
        <f t="shared" si="453"/>
        <v/>
      </c>
      <c r="M5816" t="str">
        <f t="shared" si="454"/>
        <v/>
      </c>
    </row>
    <row r="5817" spans="1:13" x14ac:dyDescent="0.3">
      <c r="A5817" t="str">
        <f>Segmenter!A5817</f>
        <v/>
      </c>
      <c r="B5817" t="str">
        <f>Segmenter!B5817</f>
        <v/>
      </c>
      <c r="C5817" t="str">
        <f t="shared" si="450"/>
        <v/>
      </c>
      <c r="D5817" t="str">
        <f t="shared" si="451"/>
        <v/>
      </c>
      <c r="E5817" t="str">
        <f t="shared" si="452"/>
        <v/>
      </c>
      <c r="F5817" t="str">
        <f>IF(D5817="","",INDEX(Knutepunkter!$B:$B,D5817+1))</f>
        <v/>
      </c>
      <c r="G5817" t="str">
        <f>IF(D5817="","",INDEX(Knutepunkter!$C:$C,D5817+1))</f>
        <v/>
      </c>
      <c r="H5817" t="str">
        <f>IF(D5817="","",INDEX(Knutepunkter!$D:$D,D5817+1))</f>
        <v/>
      </c>
      <c r="I5817" t="str">
        <f>IF(E5817="","",INDEX(Knutepunkter!$B:$B,E5817+1))</f>
        <v/>
      </c>
      <c r="J5817" t="str">
        <f>IF(E5817="","",INDEX(Knutepunkter!$C:$C,E5817+1))</f>
        <v/>
      </c>
      <c r="K5817" t="str">
        <f>IF(E5817="","",INDEX(Knutepunkter!$D:$D,E5817+1))</f>
        <v/>
      </c>
      <c r="L5817" t="str">
        <f t="shared" si="453"/>
        <v/>
      </c>
      <c r="M5817" t="str">
        <f t="shared" si="454"/>
        <v/>
      </c>
    </row>
    <row r="5818" spans="1:13" x14ac:dyDescent="0.3">
      <c r="A5818" t="str">
        <f>Segmenter!A5818</f>
        <v/>
      </c>
      <c r="B5818" t="str">
        <f>Segmenter!B5818</f>
        <v/>
      </c>
      <c r="C5818" t="str">
        <f t="shared" si="450"/>
        <v/>
      </c>
      <c r="D5818" t="str">
        <f t="shared" si="451"/>
        <v/>
      </c>
      <c r="E5818" t="str">
        <f t="shared" si="452"/>
        <v/>
      </c>
      <c r="F5818" t="str">
        <f>IF(D5818="","",INDEX(Knutepunkter!$B:$B,D5818+1))</f>
        <v/>
      </c>
      <c r="G5818" t="str">
        <f>IF(D5818="","",INDEX(Knutepunkter!$C:$C,D5818+1))</f>
        <v/>
      </c>
      <c r="H5818" t="str">
        <f>IF(D5818="","",INDEX(Knutepunkter!$D:$D,D5818+1))</f>
        <v/>
      </c>
      <c r="I5818" t="str">
        <f>IF(E5818="","",INDEX(Knutepunkter!$B:$B,E5818+1))</f>
        <v/>
      </c>
      <c r="J5818" t="str">
        <f>IF(E5818="","",INDEX(Knutepunkter!$C:$C,E5818+1))</f>
        <v/>
      </c>
      <c r="K5818" t="str">
        <f>IF(E5818="","",INDEX(Knutepunkter!$D:$D,E5818+1))</f>
        <v/>
      </c>
      <c r="L5818" t="str">
        <f t="shared" si="453"/>
        <v/>
      </c>
      <c r="M5818" t="str">
        <f t="shared" si="454"/>
        <v/>
      </c>
    </row>
    <row r="5819" spans="1:13" x14ac:dyDescent="0.3">
      <c r="A5819" t="str">
        <f>Segmenter!A5819</f>
        <v/>
      </c>
      <c r="B5819" t="str">
        <f>Segmenter!B5819</f>
        <v/>
      </c>
      <c r="C5819" t="str">
        <f t="shared" si="450"/>
        <v/>
      </c>
      <c r="D5819" t="str">
        <f t="shared" si="451"/>
        <v/>
      </c>
      <c r="E5819" t="str">
        <f t="shared" si="452"/>
        <v/>
      </c>
      <c r="F5819" t="str">
        <f>IF(D5819="","",INDEX(Knutepunkter!$B:$B,D5819+1))</f>
        <v/>
      </c>
      <c r="G5819" t="str">
        <f>IF(D5819="","",INDEX(Knutepunkter!$C:$C,D5819+1))</f>
        <v/>
      </c>
      <c r="H5819" t="str">
        <f>IF(D5819="","",INDEX(Knutepunkter!$D:$D,D5819+1))</f>
        <v/>
      </c>
      <c r="I5819" t="str">
        <f>IF(E5819="","",INDEX(Knutepunkter!$B:$B,E5819+1))</f>
        <v/>
      </c>
      <c r="J5819" t="str">
        <f>IF(E5819="","",INDEX(Knutepunkter!$C:$C,E5819+1))</f>
        <v/>
      </c>
      <c r="K5819" t="str">
        <f>IF(E5819="","",INDEX(Knutepunkter!$D:$D,E5819+1))</f>
        <v/>
      </c>
      <c r="L5819" t="str">
        <f t="shared" si="453"/>
        <v/>
      </c>
      <c r="M5819" t="str">
        <f t="shared" si="454"/>
        <v/>
      </c>
    </row>
    <row r="5820" spans="1:13" x14ac:dyDescent="0.3">
      <c r="A5820" t="str">
        <f>Segmenter!A5820</f>
        <v/>
      </c>
      <c r="B5820" t="str">
        <f>Segmenter!B5820</f>
        <v/>
      </c>
      <c r="C5820" t="str">
        <f t="shared" si="450"/>
        <v/>
      </c>
      <c r="D5820" t="str">
        <f t="shared" si="451"/>
        <v/>
      </c>
      <c r="E5820" t="str">
        <f t="shared" si="452"/>
        <v/>
      </c>
      <c r="F5820" t="str">
        <f>IF(D5820="","",INDEX(Knutepunkter!$B:$B,D5820+1))</f>
        <v/>
      </c>
      <c r="G5820" t="str">
        <f>IF(D5820="","",INDEX(Knutepunkter!$C:$C,D5820+1))</f>
        <v/>
      </c>
      <c r="H5820" t="str">
        <f>IF(D5820="","",INDEX(Knutepunkter!$D:$D,D5820+1))</f>
        <v/>
      </c>
      <c r="I5820" t="str">
        <f>IF(E5820="","",INDEX(Knutepunkter!$B:$B,E5820+1))</f>
        <v/>
      </c>
      <c r="J5820" t="str">
        <f>IF(E5820="","",INDEX(Knutepunkter!$C:$C,E5820+1))</f>
        <v/>
      </c>
      <c r="K5820" t="str">
        <f>IF(E5820="","",INDEX(Knutepunkter!$D:$D,E5820+1))</f>
        <v/>
      </c>
      <c r="L5820" t="str">
        <f t="shared" si="453"/>
        <v/>
      </c>
      <c r="M5820" t="str">
        <f t="shared" si="454"/>
        <v/>
      </c>
    </row>
    <row r="5821" spans="1:13" x14ac:dyDescent="0.3">
      <c r="A5821" t="str">
        <f>Segmenter!A5821</f>
        <v/>
      </c>
      <c r="B5821" t="str">
        <f>Segmenter!B5821</f>
        <v/>
      </c>
      <c r="C5821" t="str">
        <f t="shared" si="450"/>
        <v/>
      </c>
      <c r="D5821" t="str">
        <f t="shared" si="451"/>
        <v/>
      </c>
      <c r="E5821" t="str">
        <f t="shared" si="452"/>
        <v/>
      </c>
      <c r="F5821" t="str">
        <f>IF(D5821="","",INDEX(Knutepunkter!$B:$B,D5821+1))</f>
        <v/>
      </c>
      <c r="G5821" t="str">
        <f>IF(D5821="","",INDEX(Knutepunkter!$C:$C,D5821+1))</f>
        <v/>
      </c>
      <c r="H5821" t="str">
        <f>IF(D5821="","",INDEX(Knutepunkter!$D:$D,D5821+1))</f>
        <v/>
      </c>
      <c r="I5821" t="str">
        <f>IF(E5821="","",INDEX(Knutepunkter!$B:$B,E5821+1))</f>
        <v/>
      </c>
      <c r="J5821" t="str">
        <f>IF(E5821="","",INDEX(Knutepunkter!$C:$C,E5821+1))</f>
        <v/>
      </c>
      <c r="K5821" t="str">
        <f>IF(E5821="","",INDEX(Knutepunkter!$D:$D,E5821+1))</f>
        <v/>
      </c>
      <c r="L5821" t="str">
        <f t="shared" si="453"/>
        <v/>
      </c>
      <c r="M5821" t="str">
        <f t="shared" si="454"/>
        <v/>
      </c>
    </row>
    <row r="5822" spans="1:13" x14ac:dyDescent="0.3">
      <c r="A5822" t="str">
        <f>Segmenter!A5822</f>
        <v/>
      </c>
      <c r="B5822" t="str">
        <f>Segmenter!B5822</f>
        <v/>
      </c>
      <c r="C5822" t="str">
        <f t="shared" si="450"/>
        <v/>
      </c>
      <c r="D5822" t="str">
        <f t="shared" si="451"/>
        <v/>
      </c>
      <c r="E5822" t="str">
        <f t="shared" si="452"/>
        <v/>
      </c>
      <c r="F5822" t="str">
        <f>IF(D5822="","",INDEX(Knutepunkter!$B:$B,D5822+1))</f>
        <v/>
      </c>
      <c r="G5822" t="str">
        <f>IF(D5822="","",INDEX(Knutepunkter!$C:$C,D5822+1))</f>
        <v/>
      </c>
      <c r="H5822" t="str">
        <f>IF(D5822="","",INDEX(Knutepunkter!$D:$D,D5822+1))</f>
        <v/>
      </c>
      <c r="I5822" t="str">
        <f>IF(E5822="","",INDEX(Knutepunkter!$B:$B,E5822+1))</f>
        <v/>
      </c>
      <c r="J5822" t="str">
        <f>IF(E5822="","",INDEX(Knutepunkter!$C:$C,E5822+1))</f>
        <v/>
      </c>
      <c r="K5822" t="str">
        <f>IF(E5822="","",INDEX(Knutepunkter!$D:$D,E5822+1))</f>
        <v/>
      </c>
      <c r="L5822" t="str">
        <f t="shared" si="453"/>
        <v/>
      </c>
      <c r="M5822" t="str">
        <f t="shared" si="454"/>
        <v/>
      </c>
    </row>
    <row r="5823" spans="1:13" x14ac:dyDescent="0.3">
      <c r="A5823" t="str">
        <f>Segmenter!A5823</f>
        <v/>
      </c>
      <c r="B5823" t="str">
        <f>Segmenter!B5823</f>
        <v/>
      </c>
      <c r="C5823" t="str">
        <f t="shared" si="450"/>
        <v/>
      </c>
      <c r="D5823" t="str">
        <f t="shared" si="451"/>
        <v/>
      </c>
      <c r="E5823" t="str">
        <f t="shared" si="452"/>
        <v/>
      </c>
      <c r="F5823" t="str">
        <f>IF(D5823="","",INDEX(Knutepunkter!$B:$B,D5823+1))</f>
        <v/>
      </c>
      <c r="G5823" t="str">
        <f>IF(D5823="","",INDEX(Knutepunkter!$C:$C,D5823+1))</f>
        <v/>
      </c>
      <c r="H5823" t="str">
        <f>IF(D5823="","",INDEX(Knutepunkter!$D:$D,D5823+1))</f>
        <v/>
      </c>
      <c r="I5823" t="str">
        <f>IF(E5823="","",INDEX(Knutepunkter!$B:$B,E5823+1))</f>
        <v/>
      </c>
      <c r="J5823" t="str">
        <f>IF(E5823="","",INDEX(Knutepunkter!$C:$C,E5823+1))</f>
        <v/>
      </c>
      <c r="K5823" t="str">
        <f>IF(E5823="","",INDEX(Knutepunkter!$D:$D,E5823+1))</f>
        <v/>
      </c>
      <c r="L5823" t="str">
        <f t="shared" si="453"/>
        <v/>
      </c>
      <c r="M5823" t="str">
        <f t="shared" si="454"/>
        <v/>
      </c>
    </row>
    <row r="5824" spans="1:13" x14ac:dyDescent="0.3">
      <c r="A5824" t="str">
        <f>Segmenter!A5824</f>
        <v/>
      </c>
      <c r="B5824" t="str">
        <f>Segmenter!B5824</f>
        <v/>
      </c>
      <c r="C5824" t="str">
        <f t="shared" si="450"/>
        <v/>
      </c>
      <c r="D5824" t="str">
        <f t="shared" si="451"/>
        <v/>
      </c>
      <c r="E5824" t="str">
        <f t="shared" si="452"/>
        <v/>
      </c>
      <c r="F5824" t="str">
        <f>IF(D5824="","",INDEX(Knutepunkter!$B:$B,D5824+1))</f>
        <v/>
      </c>
      <c r="G5824" t="str">
        <f>IF(D5824="","",INDEX(Knutepunkter!$C:$C,D5824+1))</f>
        <v/>
      </c>
      <c r="H5824" t="str">
        <f>IF(D5824="","",INDEX(Knutepunkter!$D:$D,D5824+1))</f>
        <v/>
      </c>
      <c r="I5824" t="str">
        <f>IF(E5824="","",INDEX(Knutepunkter!$B:$B,E5824+1))</f>
        <v/>
      </c>
      <c r="J5824" t="str">
        <f>IF(E5824="","",INDEX(Knutepunkter!$C:$C,E5824+1))</f>
        <v/>
      </c>
      <c r="K5824" t="str">
        <f>IF(E5824="","",INDEX(Knutepunkter!$D:$D,E5824+1))</f>
        <v/>
      </c>
      <c r="L5824" t="str">
        <f t="shared" si="453"/>
        <v/>
      </c>
      <c r="M5824" t="str">
        <f t="shared" si="454"/>
        <v/>
      </c>
    </row>
    <row r="5825" spans="1:13" x14ac:dyDescent="0.3">
      <c r="A5825" t="str">
        <f>Segmenter!A5825</f>
        <v/>
      </c>
      <c r="B5825" t="str">
        <f>Segmenter!B5825</f>
        <v/>
      </c>
      <c r="C5825" t="str">
        <f t="shared" si="450"/>
        <v/>
      </c>
      <c r="D5825" t="str">
        <f t="shared" si="451"/>
        <v/>
      </c>
      <c r="E5825" t="str">
        <f t="shared" si="452"/>
        <v/>
      </c>
      <c r="F5825" t="str">
        <f>IF(D5825="","",INDEX(Knutepunkter!$B:$B,D5825+1))</f>
        <v/>
      </c>
      <c r="G5825" t="str">
        <f>IF(D5825="","",INDEX(Knutepunkter!$C:$C,D5825+1))</f>
        <v/>
      </c>
      <c r="H5825" t="str">
        <f>IF(D5825="","",INDEX(Knutepunkter!$D:$D,D5825+1))</f>
        <v/>
      </c>
      <c r="I5825" t="str">
        <f>IF(E5825="","",INDEX(Knutepunkter!$B:$B,E5825+1))</f>
        <v/>
      </c>
      <c r="J5825" t="str">
        <f>IF(E5825="","",INDEX(Knutepunkter!$C:$C,E5825+1))</f>
        <v/>
      </c>
      <c r="K5825" t="str">
        <f>IF(E5825="","",INDEX(Knutepunkter!$D:$D,E5825+1))</f>
        <v/>
      </c>
      <c r="L5825" t="str">
        <f t="shared" si="453"/>
        <v/>
      </c>
      <c r="M5825" t="str">
        <f t="shared" si="454"/>
        <v/>
      </c>
    </row>
    <row r="5826" spans="1:13" x14ac:dyDescent="0.3">
      <c r="A5826" t="str">
        <f>Segmenter!A5826</f>
        <v/>
      </c>
      <c r="B5826" t="str">
        <f>Segmenter!B5826</f>
        <v/>
      </c>
      <c r="C5826" t="str">
        <f t="shared" ref="C5826:C5889" si="455">IF(B5826="","",IF(AND(F5826=I5826,G5826=J5826,H5826&lt;&gt;K5826),"Søyle","Bjelke"))</f>
        <v/>
      </c>
      <c r="D5826" t="str">
        <f t="shared" ref="D5826:D5889" si="456">IF(B5826="","",VALUE(LEFT(B5826,FIND(" -&gt; ",B5826)-1)))</f>
        <v/>
      </c>
      <c r="E5826" t="str">
        <f t="shared" ref="E5826:E5889" si="457">IF(B5826="","",VALUE(MID(B5826,FIND(" -&gt; ",B5826)+4,99)))</f>
        <v/>
      </c>
      <c r="F5826" t="str">
        <f>IF(D5826="","",INDEX(Knutepunkter!$B:$B,D5826+1))</f>
        <v/>
      </c>
      <c r="G5826" t="str">
        <f>IF(D5826="","",INDEX(Knutepunkter!$C:$C,D5826+1))</f>
        <v/>
      </c>
      <c r="H5826" t="str">
        <f>IF(D5826="","",INDEX(Knutepunkter!$D:$D,D5826+1))</f>
        <v/>
      </c>
      <c r="I5826" t="str">
        <f>IF(E5826="","",INDEX(Knutepunkter!$B:$B,E5826+1))</f>
        <v/>
      </c>
      <c r="J5826" t="str">
        <f>IF(E5826="","",INDEX(Knutepunkter!$C:$C,E5826+1))</f>
        <v/>
      </c>
      <c r="K5826" t="str">
        <f>IF(E5826="","",INDEX(Knutepunkter!$D:$D,E5826+1))</f>
        <v/>
      </c>
      <c r="L5826" t="str">
        <f t="shared" ref="L5826:L5889" si="458">IF(B5826="","",SQRT((I5826-F5826)^2+(J5826-G5826)^2+(K5826-H5826)^2))</f>
        <v/>
      </c>
      <c r="M5826" t="str">
        <f t="shared" ref="M5826:M5889" si="459">IF(L5826="","",L5826/1000)</f>
        <v/>
      </c>
    </row>
    <row r="5827" spans="1:13" x14ac:dyDescent="0.3">
      <c r="A5827" t="str">
        <f>Segmenter!A5827</f>
        <v/>
      </c>
      <c r="B5827" t="str">
        <f>Segmenter!B5827</f>
        <v/>
      </c>
      <c r="C5827" t="str">
        <f t="shared" si="455"/>
        <v/>
      </c>
      <c r="D5827" t="str">
        <f t="shared" si="456"/>
        <v/>
      </c>
      <c r="E5827" t="str">
        <f t="shared" si="457"/>
        <v/>
      </c>
      <c r="F5827" t="str">
        <f>IF(D5827="","",INDEX(Knutepunkter!$B:$B,D5827+1))</f>
        <v/>
      </c>
      <c r="G5827" t="str">
        <f>IF(D5827="","",INDEX(Knutepunkter!$C:$C,D5827+1))</f>
        <v/>
      </c>
      <c r="H5827" t="str">
        <f>IF(D5827="","",INDEX(Knutepunkter!$D:$D,D5827+1))</f>
        <v/>
      </c>
      <c r="I5827" t="str">
        <f>IF(E5827="","",INDEX(Knutepunkter!$B:$B,E5827+1))</f>
        <v/>
      </c>
      <c r="J5827" t="str">
        <f>IF(E5827="","",INDEX(Knutepunkter!$C:$C,E5827+1))</f>
        <v/>
      </c>
      <c r="K5827" t="str">
        <f>IF(E5827="","",INDEX(Knutepunkter!$D:$D,E5827+1))</f>
        <v/>
      </c>
      <c r="L5827" t="str">
        <f t="shared" si="458"/>
        <v/>
      </c>
      <c r="M5827" t="str">
        <f t="shared" si="459"/>
        <v/>
      </c>
    </row>
    <row r="5828" spans="1:13" x14ac:dyDescent="0.3">
      <c r="A5828" t="str">
        <f>Segmenter!A5828</f>
        <v/>
      </c>
      <c r="B5828" t="str">
        <f>Segmenter!B5828</f>
        <v/>
      </c>
      <c r="C5828" t="str">
        <f t="shared" si="455"/>
        <v/>
      </c>
      <c r="D5828" t="str">
        <f t="shared" si="456"/>
        <v/>
      </c>
      <c r="E5828" t="str">
        <f t="shared" si="457"/>
        <v/>
      </c>
      <c r="F5828" t="str">
        <f>IF(D5828="","",INDEX(Knutepunkter!$B:$B,D5828+1))</f>
        <v/>
      </c>
      <c r="G5828" t="str">
        <f>IF(D5828="","",INDEX(Knutepunkter!$C:$C,D5828+1))</f>
        <v/>
      </c>
      <c r="H5828" t="str">
        <f>IF(D5828="","",INDEX(Knutepunkter!$D:$D,D5828+1))</f>
        <v/>
      </c>
      <c r="I5828" t="str">
        <f>IF(E5828="","",INDEX(Knutepunkter!$B:$B,E5828+1))</f>
        <v/>
      </c>
      <c r="J5828" t="str">
        <f>IF(E5828="","",INDEX(Knutepunkter!$C:$C,E5828+1))</f>
        <v/>
      </c>
      <c r="K5828" t="str">
        <f>IF(E5828="","",INDEX(Knutepunkter!$D:$D,E5828+1))</f>
        <v/>
      </c>
      <c r="L5828" t="str">
        <f t="shared" si="458"/>
        <v/>
      </c>
      <c r="M5828" t="str">
        <f t="shared" si="459"/>
        <v/>
      </c>
    </row>
    <row r="5829" spans="1:13" x14ac:dyDescent="0.3">
      <c r="A5829" t="str">
        <f>Segmenter!A5829</f>
        <v/>
      </c>
      <c r="B5829" t="str">
        <f>Segmenter!B5829</f>
        <v/>
      </c>
      <c r="C5829" t="str">
        <f t="shared" si="455"/>
        <v/>
      </c>
      <c r="D5829" t="str">
        <f t="shared" si="456"/>
        <v/>
      </c>
      <c r="E5829" t="str">
        <f t="shared" si="457"/>
        <v/>
      </c>
      <c r="F5829" t="str">
        <f>IF(D5829="","",INDEX(Knutepunkter!$B:$B,D5829+1))</f>
        <v/>
      </c>
      <c r="G5829" t="str">
        <f>IF(D5829="","",INDEX(Knutepunkter!$C:$C,D5829+1))</f>
        <v/>
      </c>
      <c r="H5829" t="str">
        <f>IF(D5829="","",INDEX(Knutepunkter!$D:$D,D5829+1))</f>
        <v/>
      </c>
      <c r="I5829" t="str">
        <f>IF(E5829="","",INDEX(Knutepunkter!$B:$B,E5829+1))</f>
        <v/>
      </c>
      <c r="J5829" t="str">
        <f>IF(E5829="","",INDEX(Knutepunkter!$C:$C,E5829+1))</f>
        <v/>
      </c>
      <c r="K5829" t="str">
        <f>IF(E5829="","",INDEX(Knutepunkter!$D:$D,E5829+1))</f>
        <v/>
      </c>
      <c r="L5829" t="str">
        <f t="shared" si="458"/>
        <v/>
      </c>
      <c r="M5829" t="str">
        <f t="shared" si="459"/>
        <v/>
      </c>
    </row>
    <row r="5830" spans="1:13" x14ac:dyDescent="0.3">
      <c r="A5830" t="str">
        <f>Segmenter!A5830</f>
        <v/>
      </c>
      <c r="B5830" t="str">
        <f>Segmenter!B5830</f>
        <v/>
      </c>
      <c r="C5830" t="str">
        <f t="shared" si="455"/>
        <v/>
      </c>
      <c r="D5830" t="str">
        <f t="shared" si="456"/>
        <v/>
      </c>
      <c r="E5830" t="str">
        <f t="shared" si="457"/>
        <v/>
      </c>
      <c r="F5830" t="str">
        <f>IF(D5830="","",INDEX(Knutepunkter!$B:$B,D5830+1))</f>
        <v/>
      </c>
      <c r="G5830" t="str">
        <f>IF(D5830="","",INDEX(Knutepunkter!$C:$C,D5830+1))</f>
        <v/>
      </c>
      <c r="H5830" t="str">
        <f>IF(D5830="","",INDEX(Knutepunkter!$D:$D,D5830+1))</f>
        <v/>
      </c>
      <c r="I5830" t="str">
        <f>IF(E5830="","",INDEX(Knutepunkter!$B:$B,E5830+1))</f>
        <v/>
      </c>
      <c r="J5830" t="str">
        <f>IF(E5830="","",INDEX(Knutepunkter!$C:$C,E5830+1))</f>
        <v/>
      </c>
      <c r="K5830" t="str">
        <f>IF(E5830="","",INDEX(Knutepunkter!$D:$D,E5830+1))</f>
        <v/>
      </c>
      <c r="L5830" t="str">
        <f t="shared" si="458"/>
        <v/>
      </c>
      <c r="M5830" t="str">
        <f t="shared" si="459"/>
        <v/>
      </c>
    </row>
    <row r="5831" spans="1:13" x14ac:dyDescent="0.3">
      <c r="A5831" t="str">
        <f>Segmenter!A5831</f>
        <v/>
      </c>
      <c r="B5831" t="str">
        <f>Segmenter!B5831</f>
        <v/>
      </c>
      <c r="C5831" t="str">
        <f t="shared" si="455"/>
        <v/>
      </c>
      <c r="D5831" t="str">
        <f t="shared" si="456"/>
        <v/>
      </c>
      <c r="E5831" t="str">
        <f t="shared" si="457"/>
        <v/>
      </c>
      <c r="F5831" t="str">
        <f>IF(D5831="","",INDEX(Knutepunkter!$B:$B,D5831+1))</f>
        <v/>
      </c>
      <c r="G5831" t="str">
        <f>IF(D5831="","",INDEX(Knutepunkter!$C:$C,D5831+1))</f>
        <v/>
      </c>
      <c r="H5831" t="str">
        <f>IF(D5831="","",INDEX(Knutepunkter!$D:$D,D5831+1))</f>
        <v/>
      </c>
      <c r="I5831" t="str">
        <f>IF(E5831="","",INDEX(Knutepunkter!$B:$B,E5831+1))</f>
        <v/>
      </c>
      <c r="J5831" t="str">
        <f>IF(E5831="","",INDEX(Knutepunkter!$C:$C,E5831+1))</f>
        <v/>
      </c>
      <c r="K5831" t="str">
        <f>IF(E5831="","",INDEX(Knutepunkter!$D:$D,E5831+1))</f>
        <v/>
      </c>
      <c r="L5831" t="str">
        <f t="shared" si="458"/>
        <v/>
      </c>
      <c r="M5831" t="str">
        <f t="shared" si="459"/>
        <v/>
      </c>
    </row>
    <row r="5832" spans="1:13" x14ac:dyDescent="0.3">
      <c r="A5832" t="str">
        <f>Segmenter!A5832</f>
        <v/>
      </c>
      <c r="B5832" t="str">
        <f>Segmenter!B5832</f>
        <v/>
      </c>
      <c r="C5832" t="str">
        <f t="shared" si="455"/>
        <v/>
      </c>
      <c r="D5832" t="str">
        <f t="shared" si="456"/>
        <v/>
      </c>
      <c r="E5832" t="str">
        <f t="shared" si="457"/>
        <v/>
      </c>
      <c r="F5832" t="str">
        <f>IF(D5832="","",INDEX(Knutepunkter!$B:$B,D5832+1))</f>
        <v/>
      </c>
      <c r="G5832" t="str">
        <f>IF(D5832="","",INDEX(Knutepunkter!$C:$C,D5832+1))</f>
        <v/>
      </c>
      <c r="H5832" t="str">
        <f>IF(D5832="","",INDEX(Knutepunkter!$D:$D,D5832+1))</f>
        <v/>
      </c>
      <c r="I5832" t="str">
        <f>IF(E5832="","",INDEX(Knutepunkter!$B:$B,E5832+1))</f>
        <v/>
      </c>
      <c r="J5832" t="str">
        <f>IF(E5832="","",INDEX(Knutepunkter!$C:$C,E5832+1))</f>
        <v/>
      </c>
      <c r="K5832" t="str">
        <f>IF(E5832="","",INDEX(Knutepunkter!$D:$D,E5832+1))</f>
        <v/>
      </c>
      <c r="L5832" t="str">
        <f t="shared" si="458"/>
        <v/>
      </c>
      <c r="M5832" t="str">
        <f t="shared" si="459"/>
        <v/>
      </c>
    </row>
    <row r="5833" spans="1:13" x14ac:dyDescent="0.3">
      <c r="A5833" t="str">
        <f>Segmenter!A5833</f>
        <v/>
      </c>
      <c r="B5833" t="str">
        <f>Segmenter!B5833</f>
        <v/>
      </c>
      <c r="C5833" t="str">
        <f t="shared" si="455"/>
        <v/>
      </c>
      <c r="D5833" t="str">
        <f t="shared" si="456"/>
        <v/>
      </c>
      <c r="E5833" t="str">
        <f t="shared" si="457"/>
        <v/>
      </c>
      <c r="F5833" t="str">
        <f>IF(D5833="","",INDEX(Knutepunkter!$B:$B,D5833+1))</f>
        <v/>
      </c>
      <c r="G5833" t="str">
        <f>IF(D5833="","",INDEX(Knutepunkter!$C:$C,D5833+1))</f>
        <v/>
      </c>
      <c r="H5833" t="str">
        <f>IF(D5833="","",INDEX(Knutepunkter!$D:$D,D5833+1))</f>
        <v/>
      </c>
      <c r="I5833" t="str">
        <f>IF(E5833="","",INDEX(Knutepunkter!$B:$B,E5833+1))</f>
        <v/>
      </c>
      <c r="J5833" t="str">
        <f>IF(E5833="","",INDEX(Knutepunkter!$C:$C,E5833+1))</f>
        <v/>
      </c>
      <c r="K5833" t="str">
        <f>IF(E5833="","",INDEX(Knutepunkter!$D:$D,E5833+1))</f>
        <v/>
      </c>
      <c r="L5833" t="str">
        <f t="shared" si="458"/>
        <v/>
      </c>
      <c r="M5833" t="str">
        <f t="shared" si="459"/>
        <v/>
      </c>
    </row>
    <row r="5834" spans="1:13" x14ac:dyDescent="0.3">
      <c r="A5834" t="str">
        <f>Segmenter!A5834</f>
        <v/>
      </c>
      <c r="B5834" t="str">
        <f>Segmenter!B5834</f>
        <v/>
      </c>
      <c r="C5834" t="str">
        <f t="shared" si="455"/>
        <v/>
      </c>
      <c r="D5834" t="str">
        <f t="shared" si="456"/>
        <v/>
      </c>
      <c r="E5834" t="str">
        <f t="shared" si="457"/>
        <v/>
      </c>
      <c r="F5834" t="str">
        <f>IF(D5834="","",INDEX(Knutepunkter!$B:$B,D5834+1))</f>
        <v/>
      </c>
      <c r="G5834" t="str">
        <f>IF(D5834="","",INDEX(Knutepunkter!$C:$C,D5834+1))</f>
        <v/>
      </c>
      <c r="H5834" t="str">
        <f>IF(D5834="","",INDEX(Knutepunkter!$D:$D,D5834+1))</f>
        <v/>
      </c>
      <c r="I5834" t="str">
        <f>IF(E5834="","",INDEX(Knutepunkter!$B:$B,E5834+1))</f>
        <v/>
      </c>
      <c r="J5834" t="str">
        <f>IF(E5834="","",INDEX(Knutepunkter!$C:$C,E5834+1))</f>
        <v/>
      </c>
      <c r="K5834" t="str">
        <f>IF(E5834="","",INDEX(Knutepunkter!$D:$D,E5834+1))</f>
        <v/>
      </c>
      <c r="L5834" t="str">
        <f t="shared" si="458"/>
        <v/>
      </c>
      <c r="M5834" t="str">
        <f t="shared" si="459"/>
        <v/>
      </c>
    </row>
    <row r="5835" spans="1:13" x14ac:dyDescent="0.3">
      <c r="A5835" t="str">
        <f>Segmenter!A5835</f>
        <v/>
      </c>
      <c r="B5835" t="str">
        <f>Segmenter!B5835</f>
        <v/>
      </c>
      <c r="C5835" t="str">
        <f t="shared" si="455"/>
        <v/>
      </c>
      <c r="D5835" t="str">
        <f t="shared" si="456"/>
        <v/>
      </c>
      <c r="E5835" t="str">
        <f t="shared" si="457"/>
        <v/>
      </c>
      <c r="F5835" t="str">
        <f>IF(D5835="","",INDEX(Knutepunkter!$B:$B,D5835+1))</f>
        <v/>
      </c>
      <c r="G5835" t="str">
        <f>IF(D5835="","",INDEX(Knutepunkter!$C:$C,D5835+1))</f>
        <v/>
      </c>
      <c r="H5835" t="str">
        <f>IF(D5835="","",INDEX(Knutepunkter!$D:$D,D5835+1))</f>
        <v/>
      </c>
      <c r="I5835" t="str">
        <f>IF(E5835="","",INDEX(Knutepunkter!$B:$B,E5835+1))</f>
        <v/>
      </c>
      <c r="J5835" t="str">
        <f>IF(E5835="","",INDEX(Knutepunkter!$C:$C,E5835+1))</f>
        <v/>
      </c>
      <c r="K5835" t="str">
        <f>IF(E5835="","",INDEX(Knutepunkter!$D:$D,E5835+1))</f>
        <v/>
      </c>
      <c r="L5835" t="str">
        <f t="shared" si="458"/>
        <v/>
      </c>
      <c r="M5835" t="str">
        <f t="shared" si="459"/>
        <v/>
      </c>
    </row>
    <row r="5836" spans="1:13" x14ac:dyDescent="0.3">
      <c r="A5836" t="str">
        <f>Segmenter!A5836</f>
        <v/>
      </c>
      <c r="B5836" t="str">
        <f>Segmenter!B5836</f>
        <v/>
      </c>
      <c r="C5836" t="str">
        <f t="shared" si="455"/>
        <v/>
      </c>
      <c r="D5836" t="str">
        <f t="shared" si="456"/>
        <v/>
      </c>
      <c r="E5836" t="str">
        <f t="shared" si="457"/>
        <v/>
      </c>
      <c r="F5836" t="str">
        <f>IF(D5836="","",INDEX(Knutepunkter!$B:$B,D5836+1))</f>
        <v/>
      </c>
      <c r="G5836" t="str">
        <f>IF(D5836="","",INDEX(Knutepunkter!$C:$C,D5836+1))</f>
        <v/>
      </c>
      <c r="H5836" t="str">
        <f>IF(D5836="","",INDEX(Knutepunkter!$D:$D,D5836+1))</f>
        <v/>
      </c>
      <c r="I5836" t="str">
        <f>IF(E5836="","",INDEX(Knutepunkter!$B:$B,E5836+1))</f>
        <v/>
      </c>
      <c r="J5836" t="str">
        <f>IF(E5836="","",INDEX(Knutepunkter!$C:$C,E5836+1))</f>
        <v/>
      </c>
      <c r="K5836" t="str">
        <f>IF(E5836="","",INDEX(Knutepunkter!$D:$D,E5836+1))</f>
        <v/>
      </c>
      <c r="L5836" t="str">
        <f t="shared" si="458"/>
        <v/>
      </c>
      <c r="M5836" t="str">
        <f t="shared" si="459"/>
        <v/>
      </c>
    </row>
    <row r="5837" spans="1:13" x14ac:dyDescent="0.3">
      <c r="A5837" t="str">
        <f>Segmenter!A5837</f>
        <v/>
      </c>
      <c r="B5837" t="str">
        <f>Segmenter!B5837</f>
        <v/>
      </c>
      <c r="C5837" t="str">
        <f t="shared" si="455"/>
        <v/>
      </c>
      <c r="D5837" t="str">
        <f t="shared" si="456"/>
        <v/>
      </c>
      <c r="E5837" t="str">
        <f t="shared" si="457"/>
        <v/>
      </c>
      <c r="F5837" t="str">
        <f>IF(D5837="","",INDEX(Knutepunkter!$B:$B,D5837+1))</f>
        <v/>
      </c>
      <c r="G5837" t="str">
        <f>IF(D5837="","",INDEX(Knutepunkter!$C:$C,D5837+1))</f>
        <v/>
      </c>
      <c r="H5837" t="str">
        <f>IF(D5837="","",INDEX(Knutepunkter!$D:$D,D5837+1))</f>
        <v/>
      </c>
      <c r="I5837" t="str">
        <f>IF(E5837="","",INDEX(Knutepunkter!$B:$B,E5837+1))</f>
        <v/>
      </c>
      <c r="J5837" t="str">
        <f>IF(E5837="","",INDEX(Knutepunkter!$C:$C,E5837+1))</f>
        <v/>
      </c>
      <c r="K5837" t="str">
        <f>IF(E5837="","",INDEX(Knutepunkter!$D:$D,E5837+1))</f>
        <v/>
      </c>
      <c r="L5837" t="str">
        <f t="shared" si="458"/>
        <v/>
      </c>
      <c r="M5837" t="str">
        <f t="shared" si="459"/>
        <v/>
      </c>
    </row>
    <row r="5838" spans="1:13" x14ac:dyDescent="0.3">
      <c r="A5838" t="str">
        <f>Segmenter!A5838</f>
        <v/>
      </c>
      <c r="B5838" t="str">
        <f>Segmenter!B5838</f>
        <v/>
      </c>
      <c r="C5838" t="str">
        <f t="shared" si="455"/>
        <v/>
      </c>
      <c r="D5838" t="str">
        <f t="shared" si="456"/>
        <v/>
      </c>
      <c r="E5838" t="str">
        <f t="shared" si="457"/>
        <v/>
      </c>
      <c r="F5838" t="str">
        <f>IF(D5838="","",INDEX(Knutepunkter!$B:$B,D5838+1))</f>
        <v/>
      </c>
      <c r="G5838" t="str">
        <f>IF(D5838="","",INDEX(Knutepunkter!$C:$C,D5838+1))</f>
        <v/>
      </c>
      <c r="H5838" t="str">
        <f>IF(D5838="","",INDEX(Knutepunkter!$D:$D,D5838+1))</f>
        <v/>
      </c>
      <c r="I5838" t="str">
        <f>IF(E5838="","",INDEX(Knutepunkter!$B:$B,E5838+1))</f>
        <v/>
      </c>
      <c r="J5838" t="str">
        <f>IF(E5838="","",INDEX(Knutepunkter!$C:$C,E5838+1))</f>
        <v/>
      </c>
      <c r="K5838" t="str">
        <f>IF(E5838="","",INDEX(Knutepunkter!$D:$D,E5838+1))</f>
        <v/>
      </c>
      <c r="L5838" t="str">
        <f t="shared" si="458"/>
        <v/>
      </c>
      <c r="M5838" t="str">
        <f t="shared" si="459"/>
        <v/>
      </c>
    </row>
    <row r="5839" spans="1:13" x14ac:dyDescent="0.3">
      <c r="A5839" t="str">
        <f>Segmenter!A5839</f>
        <v/>
      </c>
      <c r="B5839" t="str">
        <f>Segmenter!B5839</f>
        <v/>
      </c>
      <c r="C5839" t="str">
        <f t="shared" si="455"/>
        <v/>
      </c>
      <c r="D5839" t="str">
        <f t="shared" si="456"/>
        <v/>
      </c>
      <c r="E5839" t="str">
        <f t="shared" si="457"/>
        <v/>
      </c>
      <c r="F5839" t="str">
        <f>IF(D5839="","",INDEX(Knutepunkter!$B:$B,D5839+1))</f>
        <v/>
      </c>
      <c r="G5839" t="str">
        <f>IF(D5839="","",INDEX(Knutepunkter!$C:$C,D5839+1))</f>
        <v/>
      </c>
      <c r="H5839" t="str">
        <f>IF(D5839="","",INDEX(Knutepunkter!$D:$D,D5839+1))</f>
        <v/>
      </c>
      <c r="I5839" t="str">
        <f>IF(E5839="","",INDEX(Knutepunkter!$B:$B,E5839+1))</f>
        <v/>
      </c>
      <c r="J5839" t="str">
        <f>IF(E5839="","",INDEX(Knutepunkter!$C:$C,E5839+1))</f>
        <v/>
      </c>
      <c r="K5839" t="str">
        <f>IF(E5839="","",INDEX(Knutepunkter!$D:$D,E5839+1))</f>
        <v/>
      </c>
      <c r="L5839" t="str">
        <f t="shared" si="458"/>
        <v/>
      </c>
      <c r="M5839" t="str">
        <f t="shared" si="459"/>
        <v/>
      </c>
    </row>
    <row r="5840" spans="1:13" x14ac:dyDescent="0.3">
      <c r="A5840" t="str">
        <f>Segmenter!A5840</f>
        <v/>
      </c>
      <c r="B5840" t="str">
        <f>Segmenter!B5840</f>
        <v/>
      </c>
      <c r="C5840" t="str">
        <f t="shared" si="455"/>
        <v/>
      </c>
      <c r="D5840" t="str">
        <f t="shared" si="456"/>
        <v/>
      </c>
      <c r="E5840" t="str">
        <f t="shared" si="457"/>
        <v/>
      </c>
      <c r="F5840" t="str">
        <f>IF(D5840="","",INDEX(Knutepunkter!$B:$B,D5840+1))</f>
        <v/>
      </c>
      <c r="G5840" t="str">
        <f>IF(D5840="","",INDEX(Knutepunkter!$C:$C,D5840+1))</f>
        <v/>
      </c>
      <c r="H5840" t="str">
        <f>IF(D5840="","",INDEX(Knutepunkter!$D:$D,D5840+1))</f>
        <v/>
      </c>
      <c r="I5840" t="str">
        <f>IF(E5840="","",INDEX(Knutepunkter!$B:$B,E5840+1))</f>
        <v/>
      </c>
      <c r="J5840" t="str">
        <f>IF(E5840="","",INDEX(Knutepunkter!$C:$C,E5840+1))</f>
        <v/>
      </c>
      <c r="K5840" t="str">
        <f>IF(E5840="","",INDEX(Knutepunkter!$D:$D,E5840+1))</f>
        <v/>
      </c>
      <c r="L5840" t="str">
        <f t="shared" si="458"/>
        <v/>
      </c>
      <c r="M5840" t="str">
        <f t="shared" si="459"/>
        <v/>
      </c>
    </row>
    <row r="5841" spans="1:13" x14ac:dyDescent="0.3">
      <c r="A5841" t="str">
        <f>Segmenter!A5841</f>
        <v/>
      </c>
      <c r="B5841" t="str">
        <f>Segmenter!B5841</f>
        <v/>
      </c>
      <c r="C5841" t="str">
        <f t="shared" si="455"/>
        <v/>
      </c>
      <c r="D5841" t="str">
        <f t="shared" si="456"/>
        <v/>
      </c>
      <c r="E5841" t="str">
        <f t="shared" si="457"/>
        <v/>
      </c>
      <c r="F5841" t="str">
        <f>IF(D5841="","",INDEX(Knutepunkter!$B:$B,D5841+1))</f>
        <v/>
      </c>
      <c r="G5841" t="str">
        <f>IF(D5841="","",INDEX(Knutepunkter!$C:$C,D5841+1))</f>
        <v/>
      </c>
      <c r="H5841" t="str">
        <f>IF(D5841="","",INDEX(Knutepunkter!$D:$D,D5841+1))</f>
        <v/>
      </c>
      <c r="I5841" t="str">
        <f>IF(E5841="","",INDEX(Knutepunkter!$B:$B,E5841+1))</f>
        <v/>
      </c>
      <c r="J5841" t="str">
        <f>IF(E5841="","",INDEX(Knutepunkter!$C:$C,E5841+1))</f>
        <v/>
      </c>
      <c r="K5841" t="str">
        <f>IF(E5841="","",INDEX(Knutepunkter!$D:$D,E5841+1))</f>
        <v/>
      </c>
      <c r="L5841" t="str">
        <f t="shared" si="458"/>
        <v/>
      </c>
      <c r="M5841" t="str">
        <f t="shared" si="459"/>
        <v/>
      </c>
    </row>
    <row r="5842" spans="1:13" x14ac:dyDescent="0.3">
      <c r="A5842" t="str">
        <f>Segmenter!A5842</f>
        <v/>
      </c>
      <c r="B5842" t="str">
        <f>Segmenter!B5842</f>
        <v/>
      </c>
      <c r="C5842" t="str">
        <f t="shared" si="455"/>
        <v/>
      </c>
      <c r="D5842" t="str">
        <f t="shared" si="456"/>
        <v/>
      </c>
      <c r="E5842" t="str">
        <f t="shared" si="457"/>
        <v/>
      </c>
      <c r="F5842" t="str">
        <f>IF(D5842="","",INDEX(Knutepunkter!$B:$B,D5842+1))</f>
        <v/>
      </c>
      <c r="G5842" t="str">
        <f>IF(D5842="","",INDEX(Knutepunkter!$C:$C,D5842+1))</f>
        <v/>
      </c>
      <c r="H5842" t="str">
        <f>IF(D5842="","",INDEX(Knutepunkter!$D:$D,D5842+1))</f>
        <v/>
      </c>
      <c r="I5842" t="str">
        <f>IF(E5842="","",INDEX(Knutepunkter!$B:$B,E5842+1))</f>
        <v/>
      </c>
      <c r="J5842" t="str">
        <f>IF(E5842="","",INDEX(Knutepunkter!$C:$C,E5842+1))</f>
        <v/>
      </c>
      <c r="K5842" t="str">
        <f>IF(E5842="","",INDEX(Knutepunkter!$D:$D,E5842+1))</f>
        <v/>
      </c>
      <c r="L5842" t="str">
        <f t="shared" si="458"/>
        <v/>
      </c>
      <c r="M5842" t="str">
        <f t="shared" si="459"/>
        <v/>
      </c>
    </row>
    <row r="5843" spans="1:13" x14ac:dyDescent="0.3">
      <c r="A5843" t="str">
        <f>Segmenter!A5843</f>
        <v/>
      </c>
      <c r="B5843" t="str">
        <f>Segmenter!B5843</f>
        <v/>
      </c>
      <c r="C5843" t="str">
        <f t="shared" si="455"/>
        <v/>
      </c>
      <c r="D5843" t="str">
        <f t="shared" si="456"/>
        <v/>
      </c>
      <c r="E5843" t="str">
        <f t="shared" si="457"/>
        <v/>
      </c>
      <c r="F5843" t="str">
        <f>IF(D5843="","",INDEX(Knutepunkter!$B:$B,D5843+1))</f>
        <v/>
      </c>
      <c r="G5843" t="str">
        <f>IF(D5843="","",INDEX(Knutepunkter!$C:$C,D5843+1))</f>
        <v/>
      </c>
      <c r="H5843" t="str">
        <f>IF(D5843="","",INDEX(Knutepunkter!$D:$D,D5843+1))</f>
        <v/>
      </c>
      <c r="I5843" t="str">
        <f>IF(E5843="","",INDEX(Knutepunkter!$B:$B,E5843+1))</f>
        <v/>
      </c>
      <c r="J5843" t="str">
        <f>IF(E5843="","",INDEX(Knutepunkter!$C:$C,E5843+1))</f>
        <v/>
      </c>
      <c r="K5843" t="str">
        <f>IF(E5843="","",INDEX(Knutepunkter!$D:$D,E5843+1))</f>
        <v/>
      </c>
      <c r="L5843" t="str">
        <f t="shared" si="458"/>
        <v/>
      </c>
      <c r="M5843" t="str">
        <f t="shared" si="459"/>
        <v/>
      </c>
    </row>
    <row r="5844" spans="1:13" x14ac:dyDescent="0.3">
      <c r="A5844" t="str">
        <f>Segmenter!A5844</f>
        <v/>
      </c>
      <c r="B5844" t="str">
        <f>Segmenter!B5844</f>
        <v/>
      </c>
      <c r="C5844" t="str">
        <f t="shared" si="455"/>
        <v/>
      </c>
      <c r="D5844" t="str">
        <f t="shared" si="456"/>
        <v/>
      </c>
      <c r="E5844" t="str">
        <f t="shared" si="457"/>
        <v/>
      </c>
      <c r="F5844" t="str">
        <f>IF(D5844="","",INDEX(Knutepunkter!$B:$B,D5844+1))</f>
        <v/>
      </c>
      <c r="G5844" t="str">
        <f>IF(D5844="","",INDEX(Knutepunkter!$C:$C,D5844+1))</f>
        <v/>
      </c>
      <c r="H5844" t="str">
        <f>IF(D5844="","",INDEX(Knutepunkter!$D:$D,D5844+1))</f>
        <v/>
      </c>
      <c r="I5844" t="str">
        <f>IF(E5844="","",INDEX(Knutepunkter!$B:$B,E5844+1))</f>
        <v/>
      </c>
      <c r="J5844" t="str">
        <f>IF(E5844="","",INDEX(Knutepunkter!$C:$C,E5844+1))</f>
        <v/>
      </c>
      <c r="K5844" t="str">
        <f>IF(E5844="","",INDEX(Knutepunkter!$D:$D,E5844+1))</f>
        <v/>
      </c>
      <c r="L5844" t="str">
        <f t="shared" si="458"/>
        <v/>
      </c>
      <c r="M5844" t="str">
        <f t="shared" si="459"/>
        <v/>
      </c>
    </row>
    <row r="5845" spans="1:13" x14ac:dyDescent="0.3">
      <c r="A5845" t="str">
        <f>Segmenter!A5845</f>
        <v/>
      </c>
      <c r="B5845" t="str">
        <f>Segmenter!B5845</f>
        <v/>
      </c>
      <c r="C5845" t="str">
        <f t="shared" si="455"/>
        <v/>
      </c>
      <c r="D5845" t="str">
        <f t="shared" si="456"/>
        <v/>
      </c>
      <c r="E5845" t="str">
        <f t="shared" si="457"/>
        <v/>
      </c>
      <c r="F5845" t="str">
        <f>IF(D5845="","",INDEX(Knutepunkter!$B:$B,D5845+1))</f>
        <v/>
      </c>
      <c r="G5845" t="str">
        <f>IF(D5845="","",INDEX(Knutepunkter!$C:$C,D5845+1))</f>
        <v/>
      </c>
      <c r="H5845" t="str">
        <f>IF(D5845="","",INDEX(Knutepunkter!$D:$D,D5845+1))</f>
        <v/>
      </c>
      <c r="I5845" t="str">
        <f>IF(E5845="","",INDEX(Knutepunkter!$B:$B,E5845+1))</f>
        <v/>
      </c>
      <c r="J5845" t="str">
        <f>IF(E5845="","",INDEX(Knutepunkter!$C:$C,E5845+1))</f>
        <v/>
      </c>
      <c r="K5845" t="str">
        <f>IF(E5845="","",INDEX(Knutepunkter!$D:$D,E5845+1))</f>
        <v/>
      </c>
      <c r="L5845" t="str">
        <f t="shared" si="458"/>
        <v/>
      </c>
      <c r="M5845" t="str">
        <f t="shared" si="459"/>
        <v/>
      </c>
    </row>
    <row r="5846" spans="1:13" x14ac:dyDescent="0.3">
      <c r="A5846" t="str">
        <f>Segmenter!A5846</f>
        <v/>
      </c>
      <c r="B5846" t="str">
        <f>Segmenter!B5846</f>
        <v/>
      </c>
      <c r="C5846" t="str">
        <f t="shared" si="455"/>
        <v/>
      </c>
      <c r="D5846" t="str">
        <f t="shared" si="456"/>
        <v/>
      </c>
      <c r="E5846" t="str">
        <f t="shared" si="457"/>
        <v/>
      </c>
      <c r="F5846" t="str">
        <f>IF(D5846="","",INDEX(Knutepunkter!$B:$B,D5846+1))</f>
        <v/>
      </c>
      <c r="G5846" t="str">
        <f>IF(D5846="","",INDEX(Knutepunkter!$C:$C,D5846+1))</f>
        <v/>
      </c>
      <c r="H5846" t="str">
        <f>IF(D5846="","",INDEX(Knutepunkter!$D:$D,D5846+1))</f>
        <v/>
      </c>
      <c r="I5846" t="str">
        <f>IF(E5846="","",INDEX(Knutepunkter!$B:$B,E5846+1))</f>
        <v/>
      </c>
      <c r="J5846" t="str">
        <f>IF(E5846="","",INDEX(Knutepunkter!$C:$C,E5846+1))</f>
        <v/>
      </c>
      <c r="K5846" t="str">
        <f>IF(E5846="","",INDEX(Knutepunkter!$D:$D,E5846+1))</f>
        <v/>
      </c>
      <c r="L5846" t="str">
        <f t="shared" si="458"/>
        <v/>
      </c>
      <c r="M5846" t="str">
        <f t="shared" si="459"/>
        <v/>
      </c>
    </row>
    <row r="5847" spans="1:13" x14ac:dyDescent="0.3">
      <c r="A5847" t="str">
        <f>Segmenter!A5847</f>
        <v/>
      </c>
      <c r="B5847" t="str">
        <f>Segmenter!B5847</f>
        <v/>
      </c>
      <c r="C5847" t="str">
        <f t="shared" si="455"/>
        <v/>
      </c>
      <c r="D5847" t="str">
        <f t="shared" si="456"/>
        <v/>
      </c>
      <c r="E5847" t="str">
        <f t="shared" si="457"/>
        <v/>
      </c>
      <c r="F5847" t="str">
        <f>IF(D5847="","",INDEX(Knutepunkter!$B:$B,D5847+1))</f>
        <v/>
      </c>
      <c r="G5847" t="str">
        <f>IF(D5847="","",INDEX(Knutepunkter!$C:$C,D5847+1))</f>
        <v/>
      </c>
      <c r="H5847" t="str">
        <f>IF(D5847="","",INDEX(Knutepunkter!$D:$D,D5847+1))</f>
        <v/>
      </c>
      <c r="I5847" t="str">
        <f>IF(E5847="","",INDEX(Knutepunkter!$B:$B,E5847+1))</f>
        <v/>
      </c>
      <c r="J5847" t="str">
        <f>IF(E5847="","",INDEX(Knutepunkter!$C:$C,E5847+1))</f>
        <v/>
      </c>
      <c r="K5847" t="str">
        <f>IF(E5847="","",INDEX(Knutepunkter!$D:$D,E5847+1))</f>
        <v/>
      </c>
      <c r="L5847" t="str">
        <f t="shared" si="458"/>
        <v/>
      </c>
      <c r="M5847" t="str">
        <f t="shared" si="459"/>
        <v/>
      </c>
    </row>
    <row r="5848" spans="1:13" x14ac:dyDescent="0.3">
      <c r="A5848" t="str">
        <f>Segmenter!A5848</f>
        <v/>
      </c>
      <c r="B5848" t="str">
        <f>Segmenter!B5848</f>
        <v/>
      </c>
      <c r="C5848" t="str">
        <f t="shared" si="455"/>
        <v/>
      </c>
      <c r="D5848" t="str">
        <f t="shared" si="456"/>
        <v/>
      </c>
      <c r="E5848" t="str">
        <f t="shared" si="457"/>
        <v/>
      </c>
      <c r="F5848" t="str">
        <f>IF(D5848="","",INDEX(Knutepunkter!$B:$B,D5848+1))</f>
        <v/>
      </c>
      <c r="G5848" t="str">
        <f>IF(D5848="","",INDEX(Knutepunkter!$C:$C,D5848+1))</f>
        <v/>
      </c>
      <c r="H5848" t="str">
        <f>IF(D5848="","",INDEX(Knutepunkter!$D:$D,D5848+1))</f>
        <v/>
      </c>
      <c r="I5848" t="str">
        <f>IF(E5848="","",INDEX(Knutepunkter!$B:$B,E5848+1))</f>
        <v/>
      </c>
      <c r="J5848" t="str">
        <f>IF(E5848="","",INDEX(Knutepunkter!$C:$C,E5848+1))</f>
        <v/>
      </c>
      <c r="K5848" t="str">
        <f>IF(E5848="","",INDEX(Knutepunkter!$D:$D,E5848+1))</f>
        <v/>
      </c>
      <c r="L5848" t="str">
        <f t="shared" si="458"/>
        <v/>
      </c>
      <c r="M5848" t="str">
        <f t="shared" si="459"/>
        <v/>
      </c>
    </row>
    <row r="5849" spans="1:13" x14ac:dyDescent="0.3">
      <c r="A5849" t="str">
        <f>Segmenter!A5849</f>
        <v/>
      </c>
      <c r="B5849" t="str">
        <f>Segmenter!B5849</f>
        <v/>
      </c>
      <c r="C5849" t="str">
        <f t="shared" si="455"/>
        <v/>
      </c>
      <c r="D5849" t="str">
        <f t="shared" si="456"/>
        <v/>
      </c>
      <c r="E5849" t="str">
        <f t="shared" si="457"/>
        <v/>
      </c>
      <c r="F5849" t="str">
        <f>IF(D5849="","",INDEX(Knutepunkter!$B:$B,D5849+1))</f>
        <v/>
      </c>
      <c r="G5849" t="str">
        <f>IF(D5849="","",INDEX(Knutepunkter!$C:$C,D5849+1))</f>
        <v/>
      </c>
      <c r="H5849" t="str">
        <f>IF(D5849="","",INDEX(Knutepunkter!$D:$D,D5849+1))</f>
        <v/>
      </c>
      <c r="I5849" t="str">
        <f>IF(E5849="","",INDEX(Knutepunkter!$B:$B,E5849+1))</f>
        <v/>
      </c>
      <c r="J5849" t="str">
        <f>IF(E5849="","",INDEX(Knutepunkter!$C:$C,E5849+1))</f>
        <v/>
      </c>
      <c r="K5849" t="str">
        <f>IF(E5849="","",INDEX(Knutepunkter!$D:$D,E5849+1))</f>
        <v/>
      </c>
      <c r="L5849" t="str">
        <f t="shared" si="458"/>
        <v/>
      </c>
      <c r="M5849" t="str">
        <f t="shared" si="459"/>
        <v/>
      </c>
    </row>
    <row r="5850" spans="1:13" x14ac:dyDescent="0.3">
      <c r="A5850" t="str">
        <f>Segmenter!A5850</f>
        <v/>
      </c>
      <c r="B5850" t="str">
        <f>Segmenter!B5850</f>
        <v/>
      </c>
      <c r="C5850" t="str">
        <f t="shared" si="455"/>
        <v/>
      </c>
      <c r="D5850" t="str">
        <f t="shared" si="456"/>
        <v/>
      </c>
      <c r="E5850" t="str">
        <f t="shared" si="457"/>
        <v/>
      </c>
      <c r="F5850" t="str">
        <f>IF(D5850="","",INDEX(Knutepunkter!$B:$B,D5850+1))</f>
        <v/>
      </c>
      <c r="G5850" t="str">
        <f>IF(D5850="","",INDEX(Knutepunkter!$C:$C,D5850+1))</f>
        <v/>
      </c>
      <c r="H5850" t="str">
        <f>IF(D5850="","",INDEX(Knutepunkter!$D:$D,D5850+1))</f>
        <v/>
      </c>
      <c r="I5850" t="str">
        <f>IF(E5850="","",INDEX(Knutepunkter!$B:$B,E5850+1))</f>
        <v/>
      </c>
      <c r="J5850" t="str">
        <f>IF(E5850="","",INDEX(Knutepunkter!$C:$C,E5850+1))</f>
        <v/>
      </c>
      <c r="K5850" t="str">
        <f>IF(E5850="","",INDEX(Knutepunkter!$D:$D,E5850+1))</f>
        <v/>
      </c>
      <c r="L5850" t="str">
        <f t="shared" si="458"/>
        <v/>
      </c>
      <c r="M5850" t="str">
        <f t="shared" si="459"/>
        <v/>
      </c>
    </row>
    <row r="5851" spans="1:13" x14ac:dyDescent="0.3">
      <c r="A5851" t="str">
        <f>Segmenter!A5851</f>
        <v/>
      </c>
      <c r="B5851" t="str">
        <f>Segmenter!B5851</f>
        <v/>
      </c>
      <c r="C5851" t="str">
        <f t="shared" si="455"/>
        <v/>
      </c>
      <c r="D5851" t="str">
        <f t="shared" si="456"/>
        <v/>
      </c>
      <c r="E5851" t="str">
        <f t="shared" si="457"/>
        <v/>
      </c>
      <c r="F5851" t="str">
        <f>IF(D5851="","",INDEX(Knutepunkter!$B:$B,D5851+1))</f>
        <v/>
      </c>
      <c r="G5851" t="str">
        <f>IF(D5851="","",INDEX(Knutepunkter!$C:$C,D5851+1))</f>
        <v/>
      </c>
      <c r="H5851" t="str">
        <f>IF(D5851="","",INDEX(Knutepunkter!$D:$D,D5851+1))</f>
        <v/>
      </c>
      <c r="I5851" t="str">
        <f>IF(E5851="","",INDEX(Knutepunkter!$B:$B,E5851+1))</f>
        <v/>
      </c>
      <c r="J5851" t="str">
        <f>IF(E5851="","",INDEX(Knutepunkter!$C:$C,E5851+1))</f>
        <v/>
      </c>
      <c r="K5851" t="str">
        <f>IF(E5851="","",INDEX(Knutepunkter!$D:$D,E5851+1))</f>
        <v/>
      </c>
      <c r="L5851" t="str">
        <f t="shared" si="458"/>
        <v/>
      </c>
      <c r="M5851" t="str">
        <f t="shared" si="459"/>
        <v/>
      </c>
    </row>
    <row r="5852" spans="1:13" x14ac:dyDescent="0.3">
      <c r="A5852" t="str">
        <f>Segmenter!A5852</f>
        <v/>
      </c>
      <c r="B5852" t="str">
        <f>Segmenter!B5852</f>
        <v/>
      </c>
      <c r="C5852" t="str">
        <f t="shared" si="455"/>
        <v/>
      </c>
      <c r="D5852" t="str">
        <f t="shared" si="456"/>
        <v/>
      </c>
      <c r="E5852" t="str">
        <f t="shared" si="457"/>
        <v/>
      </c>
      <c r="F5852" t="str">
        <f>IF(D5852="","",INDEX(Knutepunkter!$B:$B,D5852+1))</f>
        <v/>
      </c>
      <c r="G5852" t="str">
        <f>IF(D5852="","",INDEX(Knutepunkter!$C:$C,D5852+1))</f>
        <v/>
      </c>
      <c r="H5852" t="str">
        <f>IF(D5852="","",INDEX(Knutepunkter!$D:$D,D5852+1))</f>
        <v/>
      </c>
      <c r="I5852" t="str">
        <f>IF(E5852="","",INDEX(Knutepunkter!$B:$B,E5852+1))</f>
        <v/>
      </c>
      <c r="J5852" t="str">
        <f>IF(E5852="","",INDEX(Knutepunkter!$C:$C,E5852+1))</f>
        <v/>
      </c>
      <c r="K5852" t="str">
        <f>IF(E5852="","",INDEX(Knutepunkter!$D:$D,E5852+1))</f>
        <v/>
      </c>
      <c r="L5852" t="str">
        <f t="shared" si="458"/>
        <v/>
      </c>
      <c r="M5852" t="str">
        <f t="shared" si="459"/>
        <v/>
      </c>
    </row>
    <row r="5853" spans="1:13" x14ac:dyDescent="0.3">
      <c r="A5853" t="str">
        <f>Segmenter!A5853</f>
        <v/>
      </c>
      <c r="B5853" t="str">
        <f>Segmenter!B5853</f>
        <v/>
      </c>
      <c r="C5853" t="str">
        <f t="shared" si="455"/>
        <v/>
      </c>
      <c r="D5853" t="str">
        <f t="shared" si="456"/>
        <v/>
      </c>
      <c r="E5853" t="str">
        <f t="shared" si="457"/>
        <v/>
      </c>
      <c r="F5853" t="str">
        <f>IF(D5853="","",INDEX(Knutepunkter!$B:$B,D5853+1))</f>
        <v/>
      </c>
      <c r="G5853" t="str">
        <f>IF(D5853="","",INDEX(Knutepunkter!$C:$C,D5853+1))</f>
        <v/>
      </c>
      <c r="H5853" t="str">
        <f>IF(D5853="","",INDEX(Knutepunkter!$D:$D,D5853+1))</f>
        <v/>
      </c>
      <c r="I5853" t="str">
        <f>IF(E5853="","",INDEX(Knutepunkter!$B:$B,E5853+1))</f>
        <v/>
      </c>
      <c r="J5853" t="str">
        <f>IF(E5853="","",INDEX(Knutepunkter!$C:$C,E5853+1))</f>
        <v/>
      </c>
      <c r="K5853" t="str">
        <f>IF(E5853="","",INDEX(Knutepunkter!$D:$D,E5853+1))</f>
        <v/>
      </c>
      <c r="L5853" t="str">
        <f t="shared" si="458"/>
        <v/>
      </c>
      <c r="M5853" t="str">
        <f t="shared" si="459"/>
        <v/>
      </c>
    </row>
    <row r="5854" spans="1:13" x14ac:dyDescent="0.3">
      <c r="A5854" t="str">
        <f>Segmenter!A5854</f>
        <v/>
      </c>
      <c r="B5854" t="str">
        <f>Segmenter!B5854</f>
        <v/>
      </c>
      <c r="C5854" t="str">
        <f t="shared" si="455"/>
        <v/>
      </c>
      <c r="D5854" t="str">
        <f t="shared" si="456"/>
        <v/>
      </c>
      <c r="E5854" t="str">
        <f t="shared" si="457"/>
        <v/>
      </c>
      <c r="F5854" t="str">
        <f>IF(D5854="","",INDEX(Knutepunkter!$B:$B,D5854+1))</f>
        <v/>
      </c>
      <c r="G5854" t="str">
        <f>IF(D5854="","",INDEX(Knutepunkter!$C:$C,D5854+1))</f>
        <v/>
      </c>
      <c r="H5854" t="str">
        <f>IF(D5854="","",INDEX(Knutepunkter!$D:$D,D5854+1))</f>
        <v/>
      </c>
      <c r="I5854" t="str">
        <f>IF(E5854="","",INDEX(Knutepunkter!$B:$B,E5854+1))</f>
        <v/>
      </c>
      <c r="J5854" t="str">
        <f>IF(E5854="","",INDEX(Knutepunkter!$C:$C,E5854+1))</f>
        <v/>
      </c>
      <c r="K5854" t="str">
        <f>IF(E5854="","",INDEX(Knutepunkter!$D:$D,E5854+1))</f>
        <v/>
      </c>
      <c r="L5854" t="str">
        <f t="shared" si="458"/>
        <v/>
      </c>
      <c r="M5854" t="str">
        <f t="shared" si="459"/>
        <v/>
      </c>
    </row>
    <row r="5855" spans="1:13" x14ac:dyDescent="0.3">
      <c r="A5855" t="str">
        <f>Segmenter!A5855</f>
        <v/>
      </c>
      <c r="B5855" t="str">
        <f>Segmenter!B5855</f>
        <v/>
      </c>
      <c r="C5855" t="str">
        <f t="shared" si="455"/>
        <v/>
      </c>
      <c r="D5855" t="str">
        <f t="shared" si="456"/>
        <v/>
      </c>
      <c r="E5855" t="str">
        <f t="shared" si="457"/>
        <v/>
      </c>
      <c r="F5855" t="str">
        <f>IF(D5855="","",INDEX(Knutepunkter!$B:$B,D5855+1))</f>
        <v/>
      </c>
      <c r="G5855" t="str">
        <f>IF(D5855="","",INDEX(Knutepunkter!$C:$C,D5855+1))</f>
        <v/>
      </c>
      <c r="H5855" t="str">
        <f>IF(D5855="","",INDEX(Knutepunkter!$D:$D,D5855+1))</f>
        <v/>
      </c>
      <c r="I5855" t="str">
        <f>IF(E5855="","",INDEX(Knutepunkter!$B:$B,E5855+1))</f>
        <v/>
      </c>
      <c r="J5855" t="str">
        <f>IF(E5855="","",INDEX(Knutepunkter!$C:$C,E5855+1))</f>
        <v/>
      </c>
      <c r="K5855" t="str">
        <f>IF(E5855="","",INDEX(Knutepunkter!$D:$D,E5855+1))</f>
        <v/>
      </c>
      <c r="L5855" t="str">
        <f t="shared" si="458"/>
        <v/>
      </c>
      <c r="M5855" t="str">
        <f t="shared" si="459"/>
        <v/>
      </c>
    </row>
    <row r="5856" spans="1:13" x14ac:dyDescent="0.3">
      <c r="A5856" t="str">
        <f>Segmenter!A5856</f>
        <v/>
      </c>
      <c r="B5856" t="str">
        <f>Segmenter!B5856</f>
        <v/>
      </c>
      <c r="C5856" t="str">
        <f t="shared" si="455"/>
        <v/>
      </c>
      <c r="D5856" t="str">
        <f t="shared" si="456"/>
        <v/>
      </c>
      <c r="E5856" t="str">
        <f t="shared" si="457"/>
        <v/>
      </c>
      <c r="F5856" t="str">
        <f>IF(D5856="","",INDEX(Knutepunkter!$B:$B,D5856+1))</f>
        <v/>
      </c>
      <c r="G5856" t="str">
        <f>IF(D5856="","",INDEX(Knutepunkter!$C:$C,D5856+1))</f>
        <v/>
      </c>
      <c r="H5856" t="str">
        <f>IF(D5856="","",INDEX(Knutepunkter!$D:$D,D5856+1))</f>
        <v/>
      </c>
      <c r="I5856" t="str">
        <f>IF(E5856="","",INDEX(Knutepunkter!$B:$B,E5856+1))</f>
        <v/>
      </c>
      <c r="J5856" t="str">
        <f>IF(E5856="","",INDEX(Knutepunkter!$C:$C,E5856+1))</f>
        <v/>
      </c>
      <c r="K5856" t="str">
        <f>IF(E5856="","",INDEX(Knutepunkter!$D:$D,E5856+1))</f>
        <v/>
      </c>
      <c r="L5856" t="str">
        <f t="shared" si="458"/>
        <v/>
      </c>
      <c r="M5856" t="str">
        <f t="shared" si="459"/>
        <v/>
      </c>
    </row>
    <row r="5857" spans="1:13" x14ac:dyDescent="0.3">
      <c r="A5857" t="str">
        <f>Segmenter!A5857</f>
        <v/>
      </c>
      <c r="B5857" t="str">
        <f>Segmenter!B5857</f>
        <v/>
      </c>
      <c r="C5857" t="str">
        <f t="shared" si="455"/>
        <v/>
      </c>
      <c r="D5857" t="str">
        <f t="shared" si="456"/>
        <v/>
      </c>
      <c r="E5857" t="str">
        <f t="shared" si="457"/>
        <v/>
      </c>
      <c r="F5857" t="str">
        <f>IF(D5857="","",INDEX(Knutepunkter!$B:$B,D5857+1))</f>
        <v/>
      </c>
      <c r="G5857" t="str">
        <f>IF(D5857="","",INDEX(Knutepunkter!$C:$C,D5857+1))</f>
        <v/>
      </c>
      <c r="H5857" t="str">
        <f>IF(D5857="","",INDEX(Knutepunkter!$D:$D,D5857+1))</f>
        <v/>
      </c>
      <c r="I5857" t="str">
        <f>IF(E5857="","",INDEX(Knutepunkter!$B:$B,E5857+1))</f>
        <v/>
      </c>
      <c r="J5857" t="str">
        <f>IF(E5857="","",INDEX(Knutepunkter!$C:$C,E5857+1))</f>
        <v/>
      </c>
      <c r="K5857" t="str">
        <f>IF(E5857="","",INDEX(Knutepunkter!$D:$D,E5857+1))</f>
        <v/>
      </c>
      <c r="L5857" t="str">
        <f t="shared" si="458"/>
        <v/>
      </c>
      <c r="M5857" t="str">
        <f t="shared" si="459"/>
        <v/>
      </c>
    </row>
    <row r="5858" spans="1:13" x14ac:dyDescent="0.3">
      <c r="A5858" t="str">
        <f>Segmenter!A5858</f>
        <v/>
      </c>
      <c r="B5858" t="str">
        <f>Segmenter!B5858</f>
        <v/>
      </c>
      <c r="C5858" t="str">
        <f t="shared" si="455"/>
        <v/>
      </c>
      <c r="D5858" t="str">
        <f t="shared" si="456"/>
        <v/>
      </c>
      <c r="E5858" t="str">
        <f t="shared" si="457"/>
        <v/>
      </c>
      <c r="F5858" t="str">
        <f>IF(D5858="","",INDEX(Knutepunkter!$B:$B,D5858+1))</f>
        <v/>
      </c>
      <c r="G5858" t="str">
        <f>IF(D5858="","",INDEX(Knutepunkter!$C:$C,D5858+1))</f>
        <v/>
      </c>
      <c r="H5858" t="str">
        <f>IF(D5858="","",INDEX(Knutepunkter!$D:$D,D5858+1))</f>
        <v/>
      </c>
      <c r="I5858" t="str">
        <f>IF(E5858="","",INDEX(Knutepunkter!$B:$B,E5858+1))</f>
        <v/>
      </c>
      <c r="J5858" t="str">
        <f>IF(E5858="","",INDEX(Knutepunkter!$C:$C,E5858+1))</f>
        <v/>
      </c>
      <c r="K5858" t="str">
        <f>IF(E5858="","",INDEX(Knutepunkter!$D:$D,E5858+1))</f>
        <v/>
      </c>
      <c r="L5858" t="str">
        <f t="shared" si="458"/>
        <v/>
      </c>
      <c r="M5858" t="str">
        <f t="shared" si="459"/>
        <v/>
      </c>
    </row>
    <row r="5859" spans="1:13" x14ac:dyDescent="0.3">
      <c r="A5859" t="str">
        <f>Segmenter!A5859</f>
        <v/>
      </c>
      <c r="B5859" t="str">
        <f>Segmenter!B5859</f>
        <v/>
      </c>
      <c r="C5859" t="str">
        <f t="shared" si="455"/>
        <v/>
      </c>
      <c r="D5859" t="str">
        <f t="shared" si="456"/>
        <v/>
      </c>
      <c r="E5859" t="str">
        <f t="shared" si="457"/>
        <v/>
      </c>
      <c r="F5859" t="str">
        <f>IF(D5859="","",INDEX(Knutepunkter!$B:$B,D5859+1))</f>
        <v/>
      </c>
      <c r="G5859" t="str">
        <f>IF(D5859="","",INDEX(Knutepunkter!$C:$C,D5859+1))</f>
        <v/>
      </c>
      <c r="H5859" t="str">
        <f>IF(D5859="","",INDEX(Knutepunkter!$D:$D,D5859+1))</f>
        <v/>
      </c>
      <c r="I5859" t="str">
        <f>IF(E5859="","",INDEX(Knutepunkter!$B:$B,E5859+1))</f>
        <v/>
      </c>
      <c r="J5859" t="str">
        <f>IF(E5859="","",INDEX(Knutepunkter!$C:$C,E5859+1))</f>
        <v/>
      </c>
      <c r="K5859" t="str">
        <f>IF(E5859="","",INDEX(Knutepunkter!$D:$D,E5859+1))</f>
        <v/>
      </c>
      <c r="L5859" t="str">
        <f t="shared" si="458"/>
        <v/>
      </c>
      <c r="M5859" t="str">
        <f t="shared" si="459"/>
        <v/>
      </c>
    </row>
    <row r="5860" spans="1:13" x14ac:dyDescent="0.3">
      <c r="A5860" t="str">
        <f>Segmenter!A5860</f>
        <v/>
      </c>
      <c r="B5860" t="str">
        <f>Segmenter!B5860</f>
        <v/>
      </c>
      <c r="C5860" t="str">
        <f t="shared" si="455"/>
        <v/>
      </c>
      <c r="D5860" t="str">
        <f t="shared" si="456"/>
        <v/>
      </c>
      <c r="E5860" t="str">
        <f t="shared" si="457"/>
        <v/>
      </c>
      <c r="F5860" t="str">
        <f>IF(D5860="","",INDEX(Knutepunkter!$B:$B,D5860+1))</f>
        <v/>
      </c>
      <c r="G5860" t="str">
        <f>IF(D5860="","",INDEX(Knutepunkter!$C:$C,D5860+1))</f>
        <v/>
      </c>
      <c r="H5860" t="str">
        <f>IF(D5860="","",INDEX(Knutepunkter!$D:$D,D5860+1))</f>
        <v/>
      </c>
      <c r="I5860" t="str">
        <f>IF(E5860="","",INDEX(Knutepunkter!$B:$B,E5860+1))</f>
        <v/>
      </c>
      <c r="J5860" t="str">
        <f>IF(E5860="","",INDEX(Knutepunkter!$C:$C,E5860+1))</f>
        <v/>
      </c>
      <c r="K5860" t="str">
        <f>IF(E5860="","",INDEX(Knutepunkter!$D:$D,E5860+1))</f>
        <v/>
      </c>
      <c r="L5860" t="str">
        <f t="shared" si="458"/>
        <v/>
      </c>
      <c r="M5860" t="str">
        <f t="shared" si="459"/>
        <v/>
      </c>
    </row>
    <row r="5861" spans="1:13" x14ac:dyDescent="0.3">
      <c r="A5861" t="str">
        <f>Segmenter!A5861</f>
        <v/>
      </c>
      <c r="B5861" t="str">
        <f>Segmenter!B5861</f>
        <v/>
      </c>
      <c r="C5861" t="str">
        <f t="shared" si="455"/>
        <v/>
      </c>
      <c r="D5861" t="str">
        <f t="shared" si="456"/>
        <v/>
      </c>
      <c r="E5861" t="str">
        <f t="shared" si="457"/>
        <v/>
      </c>
      <c r="F5861" t="str">
        <f>IF(D5861="","",INDEX(Knutepunkter!$B:$B,D5861+1))</f>
        <v/>
      </c>
      <c r="G5861" t="str">
        <f>IF(D5861="","",INDEX(Knutepunkter!$C:$C,D5861+1))</f>
        <v/>
      </c>
      <c r="H5861" t="str">
        <f>IF(D5861="","",INDEX(Knutepunkter!$D:$D,D5861+1))</f>
        <v/>
      </c>
      <c r="I5861" t="str">
        <f>IF(E5861="","",INDEX(Knutepunkter!$B:$B,E5861+1))</f>
        <v/>
      </c>
      <c r="J5861" t="str">
        <f>IF(E5861="","",INDEX(Knutepunkter!$C:$C,E5861+1))</f>
        <v/>
      </c>
      <c r="K5861" t="str">
        <f>IF(E5861="","",INDEX(Knutepunkter!$D:$D,E5861+1))</f>
        <v/>
      </c>
      <c r="L5861" t="str">
        <f t="shared" si="458"/>
        <v/>
      </c>
      <c r="M5861" t="str">
        <f t="shared" si="459"/>
        <v/>
      </c>
    </row>
    <row r="5862" spans="1:13" x14ac:dyDescent="0.3">
      <c r="A5862" t="str">
        <f>Segmenter!A5862</f>
        <v/>
      </c>
      <c r="B5862" t="str">
        <f>Segmenter!B5862</f>
        <v/>
      </c>
      <c r="C5862" t="str">
        <f t="shared" si="455"/>
        <v/>
      </c>
      <c r="D5862" t="str">
        <f t="shared" si="456"/>
        <v/>
      </c>
      <c r="E5862" t="str">
        <f t="shared" si="457"/>
        <v/>
      </c>
      <c r="F5862" t="str">
        <f>IF(D5862="","",INDEX(Knutepunkter!$B:$B,D5862+1))</f>
        <v/>
      </c>
      <c r="G5862" t="str">
        <f>IF(D5862="","",INDEX(Knutepunkter!$C:$C,D5862+1))</f>
        <v/>
      </c>
      <c r="H5862" t="str">
        <f>IF(D5862="","",INDEX(Knutepunkter!$D:$D,D5862+1))</f>
        <v/>
      </c>
      <c r="I5862" t="str">
        <f>IF(E5862="","",INDEX(Knutepunkter!$B:$B,E5862+1))</f>
        <v/>
      </c>
      <c r="J5862" t="str">
        <f>IF(E5862="","",INDEX(Knutepunkter!$C:$C,E5862+1))</f>
        <v/>
      </c>
      <c r="K5862" t="str">
        <f>IF(E5862="","",INDEX(Knutepunkter!$D:$D,E5862+1))</f>
        <v/>
      </c>
      <c r="L5862" t="str">
        <f t="shared" si="458"/>
        <v/>
      </c>
      <c r="M5862" t="str">
        <f t="shared" si="459"/>
        <v/>
      </c>
    </row>
    <row r="5863" spans="1:13" x14ac:dyDescent="0.3">
      <c r="A5863" t="str">
        <f>Segmenter!A5863</f>
        <v/>
      </c>
      <c r="B5863" t="str">
        <f>Segmenter!B5863</f>
        <v/>
      </c>
      <c r="C5863" t="str">
        <f t="shared" si="455"/>
        <v/>
      </c>
      <c r="D5863" t="str">
        <f t="shared" si="456"/>
        <v/>
      </c>
      <c r="E5863" t="str">
        <f t="shared" si="457"/>
        <v/>
      </c>
      <c r="F5863" t="str">
        <f>IF(D5863="","",INDEX(Knutepunkter!$B:$B,D5863+1))</f>
        <v/>
      </c>
      <c r="G5863" t="str">
        <f>IF(D5863="","",INDEX(Knutepunkter!$C:$C,D5863+1))</f>
        <v/>
      </c>
      <c r="H5863" t="str">
        <f>IF(D5863="","",INDEX(Knutepunkter!$D:$D,D5863+1))</f>
        <v/>
      </c>
      <c r="I5863" t="str">
        <f>IF(E5863="","",INDEX(Knutepunkter!$B:$B,E5863+1))</f>
        <v/>
      </c>
      <c r="J5863" t="str">
        <f>IF(E5863="","",INDEX(Knutepunkter!$C:$C,E5863+1))</f>
        <v/>
      </c>
      <c r="K5863" t="str">
        <f>IF(E5863="","",INDEX(Knutepunkter!$D:$D,E5863+1))</f>
        <v/>
      </c>
      <c r="L5863" t="str">
        <f t="shared" si="458"/>
        <v/>
      </c>
      <c r="M5863" t="str">
        <f t="shared" si="459"/>
        <v/>
      </c>
    </row>
    <row r="5864" spans="1:13" x14ac:dyDescent="0.3">
      <c r="A5864" t="str">
        <f>Segmenter!A5864</f>
        <v/>
      </c>
      <c r="B5864" t="str">
        <f>Segmenter!B5864</f>
        <v/>
      </c>
      <c r="C5864" t="str">
        <f t="shared" si="455"/>
        <v/>
      </c>
      <c r="D5864" t="str">
        <f t="shared" si="456"/>
        <v/>
      </c>
      <c r="E5864" t="str">
        <f t="shared" si="457"/>
        <v/>
      </c>
      <c r="F5864" t="str">
        <f>IF(D5864="","",INDEX(Knutepunkter!$B:$B,D5864+1))</f>
        <v/>
      </c>
      <c r="G5864" t="str">
        <f>IF(D5864="","",INDEX(Knutepunkter!$C:$C,D5864+1))</f>
        <v/>
      </c>
      <c r="H5864" t="str">
        <f>IF(D5864="","",INDEX(Knutepunkter!$D:$D,D5864+1))</f>
        <v/>
      </c>
      <c r="I5864" t="str">
        <f>IF(E5864="","",INDEX(Knutepunkter!$B:$B,E5864+1))</f>
        <v/>
      </c>
      <c r="J5864" t="str">
        <f>IF(E5864="","",INDEX(Knutepunkter!$C:$C,E5864+1))</f>
        <v/>
      </c>
      <c r="K5864" t="str">
        <f>IF(E5864="","",INDEX(Knutepunkter!$D:$D,E5864+1))</f>
        <v/>
      </c>
      <c r="L5864" t="str">
        <f t="shared" si="458"/>
        <v/>
      </c>
      <c r="M5864" t="str">
        <f t="shared" si="459"/>
        <v/>
      </c>
    </row>
    <row r="5865" spans="1:13" x14ac:dyDescent="0.3">
      <c r="A5865" t="str">
        <f>Segmenter!A5865</f>
        <v/>
      </c>
      <c r="B5865" t="str">
        <f>Segmenter!B5865</f>
        <v/>
      </c>
      <c r="C5865" t="str">
        <f t="shared" si="455"/>
        <v/>
      </c>
      <c r="D5865" t="str">
        <f t="shared" si="456"/>
        <v/>
      </c>
      <c r="E5865" t="str">
        <f t="shared" si="457"/>
        <v/>
      </c>
      <c r="F5865" t="str">
        <f>IF(D5865="","",INDEX(Knutepunkter!$B:$B,D5865+1))</f>
        <v/>
      </c>
      <c r="G5865" t="str">
        <f>IF(D5865="","",INDEX(Knutepunkter!$C:$C,D5865+1))</f>
        <v/>
      </c>
      <c r="H5865" t="str">
        <f>IF(D5865="","",INDEX(Knutepunkter!$D:$D,D5865+1))</f>
        <v/>
      </c>
      <c r="I5865" t="str">
        <f>IF(E5865="","",INDEX(Knutepunkter!$B:$B,E5865+1))</f>
        <v/>
      </c>
      <c r="J5865" t="str">
        <f>IF(E5865="","",INDEX(Knutepunkter!$C:$C,E5865+1))</f>
        <v/>
      </c>
      <c r="K5865" t="str">
        <f>IF(E5865="","",INDEX(Knutepunkter!$D:$D,E5865+1))</f>
        <v/>
      </c>
      <c r="L5865" t="str">
        <f t="shared" si="458"/>
        <v/>
      </c>
      <c r="M5865" t="str">
        <f t="shared" si="459"/>
        <v/>
      </c>
    </row>
    <row r="5866" spans="1:13" x14ac:dyDescent="0.3">
      <c r="A5866" t="str">
        <f>Segmenter!A5866</f>
        <v/>
      </c>
      <c r="B5866" t="str">
        <f>Segmenter!B5866</f>
        <v/>
      </c>
      <c r="C5866" t="str">
        <f t="shared" si="455"/>
        <v/>
      </c>
      <c r="D5866" t="str">
        <f t="shared" si="456"/>
        <v/>
      </c>
      <c r="E5866" t="str">
        <f t="shared" si="457"/>
        <v/>
      </c>
      <c r="F5866" t="str">
        <f>IF(D5866="","",INDEX(Knutepunkter!$B:$B,D5866+1))</f>
        <v/>
      </c>
      <c r="G5866" t="str">
        <f>IF(D5866="","",INDEX(Knutepunkter!$C:$C,D5866+1))</f>
        <v/>
      </c>
      <c r="H5866" t="str">
        <f>IF(D5866="","",INDEX(Knutepunkter!$D:$D,D5866+1))</f>
        <v/>
      </c>
      <c r="I5866" t="str">
        <f>IF(E5866="","",INDEX(Knutepunkter!$B:$B,E5866+1))</f>
        <v/>
      </c>
      <c r="J5866" t="str">
        <f>IF(E5866="","",INDEX(Knutepunkter!$C:$C,E5866+1))</f>
        <v/>
      </c>
      <c r="K5866" t="str">
        <f>IF(E5866="","",INDEX(Knutepunkter!$D:$D,E5866+1))</f>
        <v/>
      </c>
      <c r="L5866" t="str">
        <f t="shared" si="458"/>
        <v/>
      </c>
      <c r="M5866" t="str">
        <f t="shared" si="459"/>
        <v/>
      </c>
    </row>
    <row r="5867" spans="1:13" x14ac:dyDescent="0.3">
      <c r="A5867" t="str">
        <f>Segmenter!A5867</f>
        <v/>
      </c>
      <c r="B5867" t="str">
        <f>Segmenter!B5867</f>
        <v/>
      </c>
      <c r="C5867" t="str">
        <f t="shared" si="455"/>
        <v/>
      </c>
      <c r="D5867" t="str">
        <f t="shared" si="456"/>
        <v/>
      </c>
      <c r="E5867" t="str">
        <f t="shared" si="457"/>
        <v/>
      </c>
      <c r="F5867" t="str">
        <f>IF(D5867="","",INDEX(Knutepunkter!$B:$B,D5867+1))</f>
        <v/>
      </c>
      <c r="G5867" t="str">
        <f>IF(D5867="","",INDEX(Knutepunkter!$C:$C,D5867+1))</f>
        <v/>
      </c>
      <c r="H5867" t="str">
        <f>IF(D5867="","",INDEX(Knutepunkter!$D:$D,D5867+1))</f>
        <v/>
      </c>
      <c r="I5867" t="str">
        <f>IF(E5867="","",INDEX(Knutepunkter!$B:$B,E5867+1))</f>
        <v/>
      </c>
      <c r="J5867" t="str">
        <f>IF(E5867="","",INDEX(Knutepunkter!$C:$C,E5867+1))</f>
        <v/>
      </c>
      <c r="K5867" t="str">
        <f>IF(E5867="","",INDEX(Knutepunkter!$D:$D,E5867+1))</f>
        <v/>
      </c>
      <c r="L5867" t="str">
        <f t="shared" si="458"/>
        <v/>
      </c>
      <c r="M5867" t="str">
        <f t="shared" si="459"/>
        <v/>
      </c>
    </row>
    <row r="5868" spans="1:13" x14ac:dyDescent="0.3">
      <c r="A5868" t="str">
        <f>Segmenter!A5868</f>
        <v/>
      </c>
      <c r="B5868" t="str">
        <f>Segmenter!B5868</f>
        <v/>
      </c>
      <c r="C5868" t="str">
        <f t="shared" si="455"/>
        <v/>
      </c>
      <c r="D5868" t="str">
        <f t="shared" si="456"/>
        <v/>
      </c>
      <c r="E5868" t="str">
        <f t="shared" si="457"/>
        <v/>
      </c>
      <c r="F5868" t="str">
        <f>IF(D5868="","",INDEX(Knutepunkter!$B:$B,D5868+1))</f>
        <v/>
      </c>
      <c r="G5868" t="str">
        <f>IF(D5868="","",INDEX(Knutepunkter!$C:$C,D5868+1))</f>
        <v/>
      </c>
      <c r="H5868" t="str">
        <f>IF(D5868="","",INDEX(Knutepunkter!$D:$D,D5868+1))</f>
        <v/>
      </c>
      <c r="I5868" t="str">
        <f>IF(E5868="","",INDEX(Knutepunkter!$B:$B,E5868+1))</f>
        <v/>
      </c>
      <c r="J5868" t="str">
        <f>IF(E5868="","",INDEX(Knutepunkter!$C:$C,E5868+1))</f>
        <v/>
      </c>
      <c r="K5868" t="str">
        <f>IF(E5868="","",INDEX(Knutepunkter!$D:$D,E5868+1))</f>
        <v/>
      </c>
      <c r="L5868" t="str">
        <f t="shared" si="458"/>
        <v/>
      </c>
      <c r="M5868" t="str">
        <f t="shared" si="459"/>
        <v/>
      </c>
    </row>
    <row r="5869" spans="1:13" x14ac:dyDescent="0.3">
      <c r="A5869" t="str">
        <f>Segmenter!A5869</f>
        <v/>
      </c>
      <c r="B5869" t="str">
        <f>Segmenter!B5869</f>
        <v/>
      </c>
      <c r="C5869" t="str">
        <f t="shared" si="455"/>
        <v/>
      </c>
      <c r="D5869" t="str">
        <f t="shared" si="456"/>
        <v/>
      </c>
      <c r="E5869" t="str">
        <f t="shared" si="457"/>
        <v/>
      </c>
      <c r="F5869" t="str">
        <f>IF(D5869="","",INDEX(Knutepunkter!$B:$B,D5869+1))</f>
        <v/>
      </c>
      <c r="G5869" t="str">
        <f>IF(D5869="","",INDEX(Knutepunkter!$C:$C,D5869+1))</f>
        <v/>
      </c>
      <c r="H5869" t="str">
        <f>IF(D5869="","",INDEX(Knutepunkter!$D:$D,D5869+1))</f>
        <v/>
      </c>
      <c r="I5869" t="str">
        <f>IF(E5869="","",INDEX(Knutepunkter!$B:$B,E5869+1))</f>
        <v/>
      </c>
      <c r="J5869" t="str">
        <f>IF(E5869="","",INDEX(Knutepunkter!$C:$C,E5869+1))</f>
        <v/>
      </c>
      <c r="K5869" t="str">
        <f>IF(E5869="","",INDEX(Knutepunkter!$D:$D,E5869+1))</f>
        <v/>
      </c>
      <c r="L5869" t="str">
        <f t="shared" si="458"/>
        <v/>
      </c>
      <c r="M5869" t="str">
        <f t="shared" si="459"/>
        <v/>
      </c>
    </row>
    <row r="5870" spans="1:13" x14ac:dyDescent="0.3">
      <c r="A5870" t="str">
        <f>Segmenter!A5870</f>
        <v/>
      </c>
      <c r="B5870" t="str">
        <f>Segmenter!B5870</f>
        <v/>
      </c>
      <c r="C5870" t="str">
        <f t="shared" si="455"/>
        <v/>
      </c>
      <c r="D5870" t="str">
        <f t="shared" si="456"/>
        <v/>
      </c>
      <c r="E5870" t="str">
        <f t="shared" si="457"/>
        <v/>
      </c>
      <c r="F5870" t="str">
        <f>IF(D5870="","",INDEX(Knutepunkter!$B:$B,D5870+1))</f>
        <v/>
      </c>
      <c r="G5870" t="str">
        <f>IF(D5870="","",INDEX(Knutepunkter!$C:$C,D5870+1))</f>
        <v/>
      </c>
      <c r="H5870" t="str">
        <f>IF(D5870="","",INDEX(Knutepunkter!$D:$D,D5870+1))</f>
        <v/>
      </c>
      <c r="I5870" t="str">
        <f>IF(E5870="","",INDEX(Knutepunkter!$B:$B,E5870+1))</f>
        <v/>
      </c>
      <c r="J5870" t="str">
        <f>IF(E5870="","",INDEX(Knutepunkter!$C:$C,E5870+1))</f>
        <v/>
      </c>
      <c r="K5870" t="str">
        <f>IF(E5870="","",INDEX(Knutepunkter!$D:$D,E5870+1))</f>
        <v/>
      </c>
      <c r="L5870" t="str">
        <f t="shared" si="458"/>
        <v/>
      </c>
      <c r="M5870" t="str">
        <f t="shared" si="459"/>
        <v/>
      </c>
    </row>
    <row r="5871" spans="1:13" x14ac:dyDescent="0.3">
      <c r="A5871" t="str">
        <f>Segmenter!A5871</f>
        <v/>
      </c>
      <c r="B5871" t="str">
        <f>Segmenter!B5871</f>
        <v/>
      </c>
      <c r="C5871" t="str">
        <f t="shared" si="455"/>
        <v/>
      </c>
      <c r="D5871" t="str">
        <f t="shared" si="456"/>
        <v/>
      </c>
      <c r="E5871" t="str">
        <f t="shared" si="457"/>
        <v/>
      </c>
      <c r="F5871" t="str">
        <f>IF(D5871="","",INDEX(Knutepunkter!$B:$B,D5871+1))</f>
        <v/>
      </c>
      <c r="G5871" t="str">
        <f>IF(D5871="","",INDEX(Knutepunkter!$C:$C,D5871+1))</f>
        <v/>
      </c>
      <c r="H5871" t="str">
        <f>IF(D5871="","",INDEX(Knutepunkter!$D:$D,D5871+1))</f>
        <v/>
      </c>
      <c r="I5871" t="str">
        <f>IF(E5871="","",INDEX(Knutepunkter!$B:$B,E5871+1))</f>
        <v/>
      </c>
      <c r="J5871" t="str">
        <f>IF(E5871="","",INDEX(Knutepunkter!$C:$C,E5871+1))</f>
        <v/>
      </c>
      <c r="K5871" t="str">
        <f>IF(E5871="","",INDEX(Knutepunkter!$D:$D,E5871+1))</f>
        <v/>
      </c>
      <c r="L5871" t="str">
        <f t="shared" si="458"/>
        <v/>
      </c>
      <c r="M5871" t="str">
        <f t="shared" si="459"/>
        <v/>
      </c>
    </row>
    <row r="5872" spans="1:13" x14ac:dyDescent="0.3">
      <c r="A5872" t="str">
        <f>Segmenter!A5872</f>
        <v/>
      </c>
      <c r="B5872" t="str">
        <f>Segmenter!B5872</f>
        <v/>
      </c>
      <c r="C5872" t="str">
        <f t="shared" si="455"/>
        <v/>
      </c>
      <c r="D5872" t="str">
        <f t="shared" si="456"/>
        <v/>
      </c>
      <c r="E5872" t="str">
        <f t="shared" si="457"/>
        <v/>
      </c>
      <c r="F5872" t="str">
        <f>IF(D5872="","",INDEX(Knutepunkter!$B:$B,D5872+1))</f>
        <v/>
      </c>
      <c r="G5872" t="str">
        <f>IF(D5872="","",INDEX(Knutepunkter!$C:$C,D5872+1))</f>
        <v/>
      </c>
      <c r="H5872" t="str">
        <f>IF(D5872="","",INDEX(Knutepunkter!$D:$D,D5872+1))</f>
        <v/>
      </c>
      <c r="I5872" t="str">
        <f>IF(E5872="","",INDEX(Knutepunkter!$B:$B,E5872+1))</f>
        <v/>
      </c>
      <c r="J5872" t="str">
        <f>IF(E5872="","",INDEX(Knutepunkter!$C:$C,E5872+1))</f>
        <v/>
      </c>
      <c r="K5872" t="str">
        <f>IF(E5872="","",INDEX(Knutepunkter!$D:$D,E5872+1))</f>
        <v/>
      </c>
      <c r="L5872" t="str">
        <f t="shared" si="458"/>
        <v/>
      </c>
      <c r="M5872" t="str">
        <f t="shared" si="459"/>
        <v/>
      </c>
    </row>
    <row r="5873" spans="1:13" x14ac:dyDescent="0.3">
      <c r="A5873" t="str">
        <f>Segmenter!A5873</f>
        <v/>
      </c>
      <c r="B5873" t="str">
        <f>Segmenter!B5873</f>
        <v/>
      </c>
      <c r="C5873" t="str">
        <f t="shared" si="455"/>
        <v/>
      </c>
      <c r="D5873" t="str">
        <f t="shared" si="456"/>
        <v/>
      </c>
      <c r="E5873" t="str">
        <f t="shared" si="457"/>
        <v/>
      </c>
      <c r="F5873" t="str">
        <f>IF(D5873="","",INDEX(Knutepunkter!$B:$B,D5873+1))</f>
        <v/>
      </c>
      <c r="G5873" t="str">
        <f>IF(D5873="","",INDEX(Knutepunkter!$C:$C,D5873+1))</f>
        <v/>
      </c>
      <c r="H5873" t="str">
        <f>IF(D5873="","",INDEX(Knutepunkter!$D:$D,D5873+1))</f>
        <v/>
      </c>
      <c r="I5873" t="str">
        <f>IF(E5873="","",INDEX(Knutepunkter!$B:$B,E5873+1))</f>
        <v/>
      </c>
      <c r="J5873" t="str">
        <f>IF(E5873="","",INDEX(Knutepunkter!$C:$C,E5873+1))</f>
        <v/>
      </c>
      <c r="K5873" t="str">
        <f>IF(E5873="","",INDEX(Knutepunkter!$D:$D,E5873+1))</f>
        <v/>
      </c>
      <c r="L5873" t="str">
        <f t="shared" si="458"/>
        <v/>
      </c>
      <c r="M5873" t="str">
        <f t="shared" si="459"/>
        <v/>
      </c>
    </row>
    <row r="5874" spans="1:13" x14ac:dyDescent="0.3">
      <c r="A5874" t="str">
        <f>Segmenter!A5874</f>
        <v/>
      </c>
      <c r="B5874" t="str">
        <f>Segmenter!B5874</f>
        <v/>
      </c>
      <c r="C5874" t="str">
        <f t="shared" si="455"/>
        <v/>
      </c>
      <c r="D5874" t="str">
        <f t="shared" si="456"/>
        <v/>
      </c>
      <c r="E5874" t="str">
        <f t="shared" si="457"/>
        <v/>
      </c>
      <c r="F5874" t="str">
        <f>IF(D5874="","",INDEX(Knutepunkter!$B:$B,D5874+1))</f>
        <v/>
      </c>
      <c r="G5874" t="str">
        <f>IF(D5874="","",INDEX(Knutepunkter!$C:$C,D5874+1))</f>
        <v/>
      </c>
      <c r="H5874" t="str">
        <f>IF(D5874="","",INDEX(Knutepunkter!$D:$D,D5874+1))</f>
        <v/>
      </c>
      <c r="I5874" t="str">
        <f>IF(E5874="","",INDEX(Knutepunkter!$B:$B,E5874+1))</f>
        <v/>
      </c>
      <c r="J5874" t="str">
        <f>IF(E5874="","",INDEX(Knutepunkter!$C:$C,E5874+1))</f>
        <v/>
      </c>
      <c r="K5874" t="str">
        <f>IF(E5874="","",INDEX(Knutepunkter!$D:$D,E5874+1))</f>
        <v/>
      </c>
      <c r="L5874" t="str">
        <f t="shared" si="458"/>
        <v/>
      </c>
      <c r="M5874" t="str">
        <f t="shared" si="459"/>
        <v/>
      </c>
    </row>
    <row r="5875" spans="1:13" x14ac:dyDescent="0.3">
      <c r="A5875" t="str">
        <f>Segmenter!A5875</f>
        <v/>
      </c>
      <c r="B5875" t="str">
        <f>Segmenter!B5875</f>
        <v/>
      </c>
      <c r="C5875" t="str">
        <f t="shared" si="455"/>
        <v/>
      </c>
      <c r="D5875" t="str">
        <f t="shared" si="456"/>
        <v/>
      </c>
      <c r="E5875" t="str">
        <f t="shared" si="457"/>
        <v/>
      </c>
      <c r="F5875" t="str">
        <f>IF(D5875="","",INDEX(Knutepunkter!$B:$B,D5875+1))</f>
        <v/>
      </c>
      <c r="G5875" t="str">
        <f>IF(D5875="","",INDEX(Knutepunkter!$C:$C,D5875+1))</f>
        <v/>
      </c>
      <c r="H5875" t="str">
        <f>IF(D5875="","",INDEX(Knutepunkter!$D:$D,D5875+1))</f>
        <v/>
      </c>
      <c r="I5875" t="str">
        <f>IF(E5875="","",INDEX(Knutepunkter!$B:$B,E5875+1))</f>
        <v/>
      </c>
      <c r="J5875" t="str">
        <f>IF(E5875="","",INDEX(Knutepunkter!$C:$C,E5875+1))</f>
        <v/>
      </c>
      <c r="K5875" t="str">
        <f>IF(E5875="","",INDEX(Knutepunkter!$D:$D,E5875+1))</f>
        <v/>
      </c>
      <c r="L5875" t="str">
        <f t="shared" si="458"/>
        <v/>
      </c>
      <c r="M5875" t="str">
        <f t="shared" si="459"/>
        <v/>
      </c>
    </row>
    <row r="5876" spans="1:13" x14ac:dyDescent="0.3">
      <c r="A5876" t="str">
        <f>Segmenter!A5876</f>
        <v/>
      </c>
      <c r="B5876" t="str">
        <f>Segmenter!B5876</f>
        <v/>
      </c>
      <c r="C5876" t="str">
        <f t="shared" si="455"/>
        <v/>
      </c>
      <c r="D5876" t="str">
        <f t="shared" si="456"/>
        <v/>
      </c>
      <c r="E5876" t="str">
        <f t="shared" si="457"/>
        <v/>
      </c>
      <c r="F5876" t="str">
        <f>IF(D5876="","",INDEX(Knutepunkter!$B:$B,D5876+1))</f>
        <v/>
      </c>
      <c r="G5876" t="str">
        <f>IF(D5876="","",INDEX(Knutepunkter!$C:$C,D5876+1))</f>
        <v/>
      </c>
      <c r="H5876" t="str">
        <f>IF(D5876="","",INDEX(Knutepunkter!$D:$D,D5876+1))</f>
        <v/>
      </c>
      <c r="I5876" t="str">
        <f>IF(E5876="","",INDEX(Knutepunkter!$B:$B,E5876+1))</f>
        <v/>
      </c>
      <c r="J5876" t="str">
        <f>IF(E5876="","",INDEX(Knutepunkter!$C:$C,E5876+1))</f>
        <v/>
      </c>
      <c r="K5876" t="str">
        <f>IF(E5876="","",INDEX(Knutepunkter!$D:$D,E5876+1))</f>
        <v/>
      </c>
      <c r="L5876" t="str">
        <f t="shared" si="458"/>
        <v/>
      </c>
      <c r="M5876" t="str">
        <f t="shared" si="459"/>
        <v/>
      </c>
    </row>
    <row r="5877" spans="1:13" x14ac:dyDescent="0.3">
      <c r="A5877" t="str">
        <f>Segmenter!A5877</f>
        <v/>
      </c>
      <c r="B5877" t="str">
        <f>Segmenter!B5877</f>
        <v/>
      </c>
      <c r="C5877" t="str">
        <f t="shared" si="455"/>
        <v/>
      </c>
      <c r="D5877" t="str">
        <f t="shared" si="456"/>
        <v/>
      </c>
      <c r="E5877" t="str">
        <f t="shared" si="457"/>
        <v/>
      </c>
      <c r="F5877" t="str">
        <f>IF(D5877="","",INDEX(Knutepunkter!$B:$B,D5877+1))</f>
        <v/>
      </c>
      <c r="G5877" t="str">
        <f>IF(D5877="","",INDEX(Knutepunkter!$C:$C,D5877+1))</f>
        <v/>
      </c>
      <c r="H5877" t="str">
        <f>IF(D5877="","",INDEX(Knutepunkter!$D:$D,D5877+1))</f>
        <v/>
      </c>
      <c r="I5877" t="str">
        <f>IF(E5877="","",INDEX(Knutepunkter!$B:$B,E5877+1))</f>
        <v/>
      </c>
      <c r="J5877" t="str">
        <f>IF(E5877="","",INDEX(Knutepunkter!$C:$C,E5877+1))</f>
        <v/>
      </c>
      <c r="K5877" t="str">
        <f>IF(E5877="","",INDEX(Knutepunkter!$D:$D,E5877+1))</f>
        <v/>
      </c>
      <c r="L5877" t="str">
        <f t="shared" si="458"/>
        <v/>
      </c>
      <c r="M5877" t="str">
        <f t="shared" si="459"/>
        <v/>
      </c>
    </row>
    <row r="5878" spans="1:13" x14ac:dyDescent="0.3">
      <c r="A5878" t="str">
        <f>Segmenter!A5878</f>
        <v/>
      </c>
      <c r="B5878" t="str">
        <f>Segmenter!B5878</f>
        <v/>
      </c>
      <c r="C5878" t="str">
        <f t="shared" si="455"/>
        <v/>
      </c>
      <c r="D5878" t="str">
        <f t="shared" si="456"/>
        <v/>
      </c>
      <c r="E5878" t="str">
        <f t="shared" si="457"/>
        <v/>
      </c>
      <c r="F5878" t="str">
        <f>IF(D5878="","",INDEX(Knutepunkter!$B:$B,D5878+1))</f>
        <v/>
      </c>
      <c r="G5878" t="str">
        <f>IF(D5878="","",INDEX(Knutepunkter!$C:$C,D5878+1))</f>
        <v/>
      </c>
      <c r="H5878" t="str">
        <f>IF(D5878="","",INDEX(Knutepunkter!$D:$D,D5878+1))</f>
        <v/>
      </c>
      <c r="I5878" t="str">
        <f>IF(E5878="","",INDEX(Knutepunkter!$B:$B,E5878+1))</f>
        <v/>
      </c>
      <c r="J5878" t="str">
        <f>IF(E5878="","",INDEX(Knutepunkter!$C:$C,E5878+1))</f>
        <v/>
      </c>
      <c r="K5878" t="str">
        <f>IF(E5878="","",INDEX(Knutepunkter!$D:$D,E5878+1))</f>
        <v/>
      </c>
      <c r="L5878" t="str">
        <f t="shared" si="458"/>
        <v/>
      </c>
      <c r="M5878" t="str">
        <f t="shared" si="459"/>
        <v/>
      </c>
    </row>
    <row r="5879" spans="1:13" x14ac:dyDescent="0.3">
      <c r="A5879" t="str">
        <f>Segmenter!A5879</f>
        <v/>
      </c>
      <c r="B5879" t="str">
        <f>Segmenter!B5879</f>
        <v/>
      </c>
      <c r="C5879" t="str">
        <f t="shared" si="455"/>
        <v/>
      </c>
      <c r="D5879" t="str">
        <f t="shared" si="456"/>
        <v/>
      </c>
      <c r="E5879" t="str">
        <f t="shared" si="457"/>
        <v/>
      </c>
      <c r="F5879" t="str">
        <f>IF(D5879="","",INDEX(Knutepunkter!$B:$B,D5879+1))</f>
        <v/>
      </c>
      <c r="G5879" t="str">
        <f>IF(D5879="","",INDEX(Knutepunkter!$C:$C,D5879+1))</f>
        <v/>
      </c>
      <c r="H5879" t="str">
        <f>IF(D5879="","",INDEX(Knutepunkter!$D:$D,D5879+1))</f>
        <v/>
      </c>
      <c r="I5879" t="str">
        <f>IF(E5879="","",INDEX(Knutepunkter!$B:$B,E5879+1))</f>
        <v/>
      </c>
      <c r="J5879" t="str">
        <f>IF(E5879="","",INDEX(Knutepunkter!$C:$C,E5879+1))</f>
        <v/>
      </c>
      <c r="K5879" t="str">
        <f>IF(E5879="","",INDEX(Knutepunkter!$D:$D,E5879+1))</f>
        <v/>
      </c>
      <c r="L5879" t="str">
        <f t="shared" si="458"/>
        <v/>
      </c>
      <c r="M5879" t="str">
        <f t="shared" si="459"/>
        <v/>
      </c>
    </row>
    <row r="5880" spans="1:13" x14ac:dyDescent="0.3">
      <c r="A5880" t="str">
        <f>Segmenter!A5880</f>
        <v/>
      </c>
      <c r="B5880" t="str">
        <f>Segmenter!B5880</f>
        <v/>
      </c>
      <c r="C5880" t="str">
        <f t="shared" si="455"/>
        <v/>
      </c>
      <c r="D5880" t="str">
        <f t="shared" si="456"/>
        <v/>
      </c>
      <c r="E5880" t="str">
        <f t="shared" si="457"/>
        <v/>
      </c>
      <c r="F5880" t="str">
        <f>IF(D5880="","",INDEX(Knutepunkter!$B:$B,D5880+1))</f>
        <v/>
      </c>
      <c r="G5880" t="str">
        <f>IF(D5880="","",INDEX(Knutepunkter!$C:$C,D5880+1))</f>
        <v/>
      </c>
      <c r="H5880" t="str">
        <f>IF(D5880="","",INDEX(Knutepunkter!$D:$D,D5880+1))</f>
        <v/>
      </c>
      <c r="I5880" t="str">
        <f>IF(E5880="","",INDEX(Knutepunkter!$B:$B,E5880+1))</f>
        <v/>
      </c>
      <c r="J5880" t="str">
        <f>IF(E5880="","",INDEX(Knutepunkter!$C:$C,E5880+1))</f>
        <v/>
      </c>
      <c r="K5880" t="str">
        <f>IF(E5880="","",INDEX(Knutepunkter!$D:$D,E5880+1))</f>
        <v/>
      </c>
      <c r="L5880" t="str">
        <f t="shared" si="458"/>
        <v/>
      </c>
      <c r="M5880" t="str">
        <f t="shared" si="459"/>
        <v/>
      </c>
    </row>
    <row r="5881" spans="1:13" x14ac:dyDescent="0.3">
      <c r="A5881" t="str">
        <f>Segmenter!A5881</f>
        <v/>
      </c>
      <c r="B5881" t="str">
        <f>Segmenter!B5881</f>
        <v/>
      </c>
      <c r="C5881" t="str">
        <f t="shared" si="455"/>
        <v/>
      </c>
      <c r="D5881" t="str">
        <f t="shared" si="456"/>
        <v/>
      </c>
      <c r="E5881" t="str">
        <f t="shared" si="457"/>
        <v/>
      </c>
      <c r="F5881" t="str">
        <f>IF(D5881="","",INDEX(Knutepunkter!$B:$B,D5881+1))</f>
        <v/>
      </c>
      <c r="G5881" t="str">
        <f>IF(D5881="","",INDEX(Knutepunkter!$C:$C,D5881+1))</f>
        <v/>
      </c>
      <c r="H5881" t="str">
        <f>IF(D5881="","",INDEX(Knutepunkter!$D:$D,D5881+1))</f>
        <v/>
      </c>
      <c r="I5881" t="str">
        <f>IF(E5881="","",INDEX(Knutepunkter!$B:$B,E5881+1))</f>
        <v/>
      </c>
      <c r="J5881" t="str">
        <f>IF(E5881="","",INDEX(Knutepunkter!$C:$C,E5881+1))</f>
        <v/>
      </c>
      <c r="K5881" t="str">
        <f>IF(E5881="","",INDEX(Knutepunkter!$D:$D,E5881+1))</f>
        <v/>
      </c>
      <c r="L5881" t="str">
        <f t="shared" si="458"/>
        <v/>
      </c>
      <c r="M5881" t="str">
        <f t="shared" si="459"/>
        <v/>
      </c>
    </row>
    <row r="5882" spans="1:13" x14ac:dyDescent="0.3">
      <c r="A5882" t="str">
        <f>Segmenter!A5882</f>
        <v/>
      </c>
      <c r="B5882" t="str">
        <f>Segmenter!B5882</f>
        <v/>
      </c>
      <c r="C5882" t="str">
        <f t="shared" si="455"/>
        <v/>
      </c>
      <c r="D5882" t="str">
        <f t="shared" si="456"/>
        <v/>
      </c>
      <c r="E5882" t="str">
        <f t="shared" si="457"/>
        <v/>
      </c>
      <c r="F5882" t="str">
        <f>IF(D5882="","",INDEX(Knutepunkter!$B:$B,D5882+1))</f>
        <v/>
      </c>
      <c r="G5882" t="str">
        <f>IF(D5882="","",INDEX(Knutepunkter!$C:$C,D5882+1))</f>
        <v/>
      </c>
      <c r="H5882" t="str">
        <f>IF(D5882="","",INDEX(Knutepunkter!$D:$D,D5882+1))</f>
        <v/>
      </c>
      <c r="I5882" t="str">
        <f>IF(E5882="","",INDEX(Knutepunkter!$B:$B,E5882+1))</f>
        <v/>
      </c>
      <c r="J5882" t="str">
        <f>IF(E5882="","",INDEX(Knutepunkter!$C:$C,E5882+1))</f>
        <v/>
      </c>
      <c r="K5882" t="str">
        <f>IF(E5882="","",INDEX(Knutepunkter!$D:$D,E5882+1))</f>
        <v/>
      </c>
      <c r="L5882" t="str">
        <f t="shared" si="458"/>
        <v/>
      </c>
      <c r="M5882" t="str">
        <f t="shared" si="459"/>
        <v/>
      </c>
    </row>
    <row r="5883" spans="1:13" x14ac:dyDescent="0.3">
      <c r="A5883" t="str">
        <f>Segmenter!A5883</f>
        <v/>
      </c>
      <c r="B5883" t="str">
        <f>Segmenter!B5883</f>
        <v/>
      </c>
      <c r="C5883" t="str">
        <f t="shared" si="455"/>
        <v/>
      </c>
      <c r="D5883" t="str">
        <f t="shared" si="456"/>
        <v/>
      </c>
      <c r="E5883" t="str">
        <f t="shared" si="457"/>
        <v/>
      </c>
      <c r="F5883" t="str">
        <f>IF(D5883="","",INDEX(Knutepunkter!$B:$B,D5883+1))</f>
        <v/>
      </c>
      <c r="G5883" t="str">
        <f>IF(D5883="","",INDEX(Knutepunkter!$C:$C,D5883+1))</f>
        <v/>
      </c>
      <c r="H5883" t="str">
        <f>IF(D5883="","",INDEX(Knutepunkter!$D:$D,D5883+1))</f>
        <v/>
      </c>
      <c r="I5883" t="str">
        <f>IF(E5883="","",INDEX(Knutepunkter!$B:$B,E5883+1))</f>
        <v/>
      </c>
      <c r="J5883" t="str">
        <f>IF(E5883="","",INDEX(Knutepunkter!$C:$C,E5883+1))</f>
        <v/>
      </c>
      <c r="K5883" t="str">
        <f>IF(E5883="","",INDEX(Knutepunkter!$D:$D,E5883+1))</f>
        <v/>
      </c>
      <c r="L5883" t="str">
        <f t="shared" si="458"/>
        <v/>
      </c>
      <c r="M5883" t="str">
        <f t="shared" si="459"/>
        <v/>
      </c>
    </row>
    <row r="5884" spans="1:13" x14ac:dyDescent="0.3">
      <c r="A5884" t="str">
        <f>Segmenter!A5884</f>
        <v/>
      </c>
      <c r="B5884" t="str">
        <f>Segmenter!B5884</f>
        <v/>
      </c>
      <c r="C5884" t="str">
        <f t="shared" si="455"/>
        <v/>
      </c>
      <c r="D5884" t="str">
        <f t="shared" si="456"/>
        <v/>
      </c>
      <c r="E5884" t="str">
        <f t="shared" si="457"/>
        <v/>
      </c>
      <c r="F5884" t="str">
        <f>IF(D5884="","",INDEX(Knutepunkter!$B:$B,D5884+1))</f>
        <v/>
      </c>
      <c r="G5884" t="str">
        <f>IF(D5884="","",INDEX(Knutepunkter!$C:$C,D5884+1))</f>
        <v/>
      </c>
      <c r="H5884" t="str">
        <f>IF(D5884="","",INDEX(Knutepunkter!$D:$D,D5884+1))</f>
        <v/>
      </c>
      <c r="I5884" t="str">
        <f>IF(E5884="","",INDEX(Knutepunkter!$B:$B,E5884+1))</f>
        <v/>
      </c>
      <c r="J5884" t="str">
        <f>IF(E5884="","",INDEX(Knutepunkter!$C:$C,E5884+1))</f>
        <v/>
      </c>
      <c r="K5884" t="str">
        <f>IF(E5884="","",INDEX(Knutepunkter!$D:$D,E5884+1))</f>
        <v/>
      </c>
      <c r="L5884" t="str">
        <f t="shared" si="458"/>
        <v/>
      </c>
      <c r="M5884" t="str">
        <f t="shared" si="459"/>
        <v/>
      </c>
    </row>
    <row r="5885" spans="1:13" x14ac:dyDescent="0.3">
      <c r="A5885" t="str">
        <f>Segmenter!A5885</f>
        <v/>
      </c>
      <c r="B5885" t="str">
        <f>Segmenter!B5885</f>
        <v/>
      </c>
      <c r="C5885" t="str">
        <f t="shared" si="455"/>
        <v/>
      </c>
      <c r="D5885" t="str">
        <f t="shared" si="456"/>
        <v/>
      </c>
      <c r="E5885" t="str">
        <f t="shared" si="457"/>
        <v/>
      </c>
      <c r="F5885" t="str">
        <f>IF(D5885="","",INDEX(Knutepunkter!$B:$B,D5885+1))</f>
        <v/>
      </c>
      <c r="G5885" t="str">
        <f>IF(D5885="","",INDEX(Knutepunkter!$C:$C,D5885+1))</f>
        <v/>
      </c>
      <c r="H5885" t="str">
        <f>IF(D5885="","",INDEX(Knutepunkter!$D:$D,D5885+1))</f>
        <v/>
      </c>
      <c r="I5885" t="str">
        <f>IF(E5885="","",INDEX(Knutepunkter!$B:$B,E5885+1))</f>
        <v/>
      </c>
      <c r="J5885" t="str">
        <f>IF(E5885="","",INDEX(Knutepunkter!$C:$C,E5885+1))</f>
        <v/>
      </c>
      <c r="K5885" t="str">
        <f>IF(E5885="","",INDEX(Knutepunkter!$D:$D,E5885+1))</f>
        <v/>
      </c>
      <c r="L5885" t="str">
        <f t="shared" si="458"/>
        <v/>
      </c>
      <c r="M5885" t="str">
        <f t="shared" si="459"/>
        <v/>
      </c>
    </row>
    <row r="5886" spans="1:13" x14ac:dyDescent="0.3">
      <c r="A5886" t="str">
        <f>Segmenter!A5886</f>
        <v/>
      </c>
      <c r="B5886" t="str">
        <f>Segmenter!B5886</f>
        <v/>
      </c>
      <c r="C5886" t="str">
        <f t="shared" si="455"/>
        <v/>
      </c>
      <c r="D5886" t="str">
        <f t="shared" si="456"/>
        <v/>
      </c>
      <c r="E5886" t="str">
        <f t="shared" si="457"/>
        <v/>
      </c>
      <c r="F5886" t="str">
        <f>IF(D5886="","",INDEX(Knutepunkter!$B:$B,D5886+1))</f>
        <v/>
      </c>
      <c r="G5886" t="str">
        <f>IF(D5886="","",INDEX(Knutepunkter!$C:$C,D5886+1))</f>
        <v/>
      </c>
      <c r="H5886" t="str">
        <f>IF(D5886="","",INDEX(Knutepunkter!$D:$D,D5886+1))</f>
        <v/>
      </c>
      <c r="I5886" t="str">
        <f>IF(E5886="","",INDEX(Knutepunkter!$B:$B,E5886+1))</f>
        <v/>
      </c>
      <c r="J5886" t="str">
        <f>IF(E5886="","",INDEX(Knutepunkter!$C:$C,E5886+1))</f>
        <v/>
      </c>
      <c r="K5886" t="str">
        <f>IF(E5886="","",INDEX(Knutepunkter!$D:$D,E5886+1))</f>
        <v/>
      </c>
      <c r="L5886" t="str">
        <f t="shared" si="458"/>
        <v/>
      </c>
      <c r="M5886" t="str">
        <f t="shared" si="459"/>
        <v/>
      </c>
    </row>
    <row r="5887" spans="1:13" x14ac:dyDescent="0.3">
      <c r="A5887" t="str">
        <f>Segmenter!A5887</f>
        <v/>
      </c>
      <c r="B5887" t="str">
        <f>Segmenter!B5887</f>
        <v/>
      </c>
      <c r="C5887" t="str">
        <f t="shared" si="455"/>
        <v/>
      </c>
      <c r="D5887" t="str">
        <f t="shared" si="456"/>
        <v/>
      </c>
      <c r="E5887" t="str">
        <f t="shared" si="457"/>
        <v/>
      </c>
      <c r="F5887" t="str">
        <f>IF(D5887="","",INDEX(Knutepunkter!$B:$B,D5887+1))</f>
        <v/>
      </c>
      <c r="G5887" t="str">
        <f>IF(D5887="","",INDEX(Knutepunkter!$C:$C,D5887+1))</f>
        <v/>
      </c>
      <c r="H5887" t="str">
        <f>IF(D5887="","",INDEX(Knutepunkter!$D:$D,D5887+1))</f>
        <v/>
      </c>
      <c r="I5887" t="str">
        <f>IF(E5887="","",INDEX(Knutepunkter!$B:$B,E5887+1))</f>
        <v/>
      </c>
      <c r="J5887" t="str">
        <f>IF(E5887="","",INDEX(Knutepunkter!$C:$C,E5887+1))</f>
        <v/>
      </c>
      <c r="K5887" t="str">
        <f>IF(E5887="","",INDEX(Knutepunkter!$D:$D,E5887+1))</f>
        <v/>
      </c>
      <c r="L5887" t="str">
        <f t="shared" si="458"/>
        <v/>
      </c>
      <c r="M5887" t="str">
        <f t="shared" si="459"/>
        <v/>
      </c>
    </row>
    <row r="5888" spans="1:13" x14ac:dyDescent="0.3">
      <c r="A5888" t="str">
        <f>Segmenter!A5888</f>
        <v/>
      </c>
      <c r="B5888" t="str">
        <f>Segmenter!B5888</f>
        <v/>
      </c>
      <c r="C5888" t="str">
        <f t="shared" si="455"/>
        <v/>
      </c>
      <c r="D5888" t="str">
        <f t="shared" si="456"/>
        <v/>
      </c>
      <c r="E5888" t="str">
        <f t="shared" si="457"/>
        <v/>
      </c>
      <c r="F5888" t="str">
        <f>IF(D5888="","",INDEX(Knutepunkter!$B:$B,D5888+1))</f>
        <v/>
      </c>
      <c r="G5888" t="str">
        <f>IF(D5888="","",INDEX(Knutepunkter!$C:$C,D5888+1))</f>
        <v/>
      </c>
      <c r="H5888" t="str">
        <f>IF(D5888="","",INDEX(Knutepunkter!$D:$D,D5888+1))</f>
        <v/>
      </c>
      <c r="I5888" t="str">
        <f>IF(E5888="","",INDEX(Knutepunkter!$B:$B,E5888+1))</f>
        <v/>
      </c>
      <c r="J5888" t="str">
        <f>IF(E5888="","",INDEX(Knutepunkter!$C:$C,E5888+1))</f>
        <v/>
      </c>
      <c r="K5888" t="str">
        <f>IF(E5888="","",INDEX(Knutepunkter!$D:$D,E5888+1))</f>
        <v/>
      </c>
      <c r="L5888" t="str">
        <f t="shared" si="458"/>
        <v/>
      </c>
      <c r="M5888" t="str">
        <f t="shared" si="459"/>
        <v/>
      </c>
    </row>
    <row r="5889" spans="1:13" x14ac:dyDescent="0.3">
      <c r="A5889" t="str">
        <f>Segmenter!A5889</f>
        <v/>
      </c>
      <c r="B5889" t="str">
        <f>Segmenter!B5889</f>
        <v/>
      </c>
      <c r="C5889" t="str">
        <f t="shared" si="455"/>
        <v/>
      </c>
      <c r="D5889" t="str">
        <f t="shared" si="456"/>
        <v/>
      </c>
      <c r="E5889" t="str">
        <f t="shared" si="457"/>
        <v/>
      </c>
      <c r="F5889" t="str">
        <f>IF(D5889="","",INDEX(Knutepunkter!$B:$B,D5889+1))</f>
        <v/>
      </c>
      <c r="G5889" t="str">
        <f>IF(D5889="","",INDEX(Knutepunkter!$C:$C,D5889+1))</f>
        <v/>
      </c>
      <c r="H5889" t="str">
        <f>IF(D5889="","",INDEX(Knutepunkter!$D:$D,D5889+1))</f>
        <v/>
      </c>
      <c r="I5889" t="str">
        <f>IF(E5889="","",INDEX(Knutepunkter!$B:$B,E5889+1))</f>
        <v/>
      </c>
      <c r="J5889" t="str">
        <f>IF(E5889="","",INDEX(Knutepunkter!$C:$C,E5889+1))</f>
        <v/>
      </c>
      <c r="K5889" t="str">
        <f>IF(E5889="","",INDEX(Knutepunkter!$D:$D,E5889+1))</f>
        <v/>
      </c>
      <c r="L5889" t="str">
        <f t="shared" si="458"/>
        <v/>
      </c>
      <c r="M5889" t="str">
        <f t="shared" si="459"/>
        <v/>
      </c>
    </row>
    <row r="5890" spans="1:13" x14ac:dyDescent="0.3">
      <c r="A5890" t="str">
        <f>Segmenter!A5890</f>
        <v/>
      </c>
      <c r="B5890" t="str">
        <f>Segmenter!B5890</f>
        <v/>
      </c>
      <c r="C5890" t="str">
        <f t="shared" ref="C5890:C5953" si="460">IF(B5890="","",IF(AND(F5890=I5890,G5890=J5890,H5890&lt;&gt;K5890),"Søyle","Bjelke"))</f>
        <v/>
      </c>
      <c r="D5890" t="str">
        <f t="shared" ref="D5890:D5953" si="461">IF(B5890="","",VALUE(LEFT(B5890,FIND(" -&gt; ",B5890)-1)))</f>
        <v/>
      </c>
      <c r="E5890" t="str">
        <f t="shared" ref="E5890:E5953" si="462">IF(B5890="","",VALUE(MID(B5890,FIND(" -&gt; ",B5890)+4,99)))</f>
        <v/>
      </c>
      <c r="F5890" t="str">
        <f>IF(D5890="","",INDEX(Knutepunkter!$B:$B,D5890+1))</f>
        <v/>
      </c>
      <c r="G5890" t="str">
        <f>IF(D5890="","",INDEX(Knutepunkter!$C:$C,D5890+1))</f>
        <v/>
      </c>
      <c r="H5890" t="str">
        <f>IF(D5890="","",INDEX(Knutepunkter!$D:$D,D5890+1))</f>
        <v/>
      </c>
      <c r="I5890" t="str">
        <f>IF(E5890="","",INDEX(Knutepunkter!$B:$B,E5890+1))</f>
        <v/>
      </c>
      <c r="J5890" t="str">
        <f>IF(E5890="","",INDEX(Knutepunkter!$C:$C,E5890+1))</f>
        <v/>
      </c>
      <c r="K5890" t="str">
        <f>IF(E5890="","",INDEX(Knutepunkter!$D:$D,E5890+1))</f>
        <v/>
      </c>
      <c r="L5890" t="str">
        <f t="shared" ref="L5890:L5953" si="463">IF(B5890="","",SQRT((I5890-F5890)^2+(J5890-G5890)^2+(K5890-H5890)^2))</f>
        <v/>
      </c>
      <c r="M5890" t="str">
        <f t="shared" ref="M5890:M5953" si="464">IF(L5890="","",L5890/1000)</f>
        <v/>
      </c>
    </row>
    <row r="5891" spans="1:13" x14ac:dyDescent="0.3">
      <c r="A5891" t="str">
        <f>Segmenter!A5891</f>
        <v/>
      </c>
      <c r="B5891" t="str">
        <f>Segmenter!B5891</f>
        <v/>
      </c>
      <c r="C5891" t="str">
        <f t="shared" si="460"/>
        <v/>
      </c>
      <c r="D5891" t="str">
        <f t="shared" si="461"/>
        <v/>
      </c>
      <c r="E5891" t="str">
        <f t="shared" si="462"/>
        <v/>
      </c>
      <c r="F5891" t="str">
        <f>IF(D5891="","",INDEX(Knutepunkter!$B:$B,D5891+1))</f>
        <v/>
      </c>
      <c r="G5891" t="str">
        <f>IF(D5891="","",INDEX(Knutepunkter!$C:$C,D5891+1))</f>
        <v/>
      </c>
      <c r="H5891" t="str">
        <f>IF(D5891="","",INDEX(Knutepunkter!$D:$D,D5891+1))</f>
        <v/>
      </c>
      <c r="I5891" t="str">
        <f>IF(E5891="","",INDEX(Knutepunkter!$B:$B,E5891+1))</f>
        <v/>
      </c>
      <c r="J5891" t="str">
        <f>IF(E5891="","",INDEX(Knutepunkter!$C:$C,E5891+1))</f>
        <v/>
      </c>
      <c r="K5891" t="str">
        <f>IF(E5891="","",INDEX(Knutepunkter!$D:$D,E5891+1))</f>
        <v/>
      </c>
      <c r="L5891" t="str">
        <f t="shared" si="463"/>
        <v/>
      </c>
      <c r="M5891" t="str">
        <f t="shared" si="464"/>
        <v/>
      </c>
    </row>
    <row r="5892" spans="1:13" x14ac:dyDescent="0.3">
      <c r="A5892" t="str">
        <f>Segmenter!A5892</f>
        <v/>
      </c>
      <c r="B5892" t="str">
        <f>Segmenter!B5892</f>
        <v/>
      </c>
      <c r="C5892" t="str">
        <f t="shared" si="460"/>
        <v/>
      </c>
      <c r="D5892" t="str">
        <f t="shared" si="461"/>
        <v/>
      </c>
      <c r="E5892" t="str">
        <f t="shared" si="462"/>
        <v/>
      </c>
      <c r="F5892" t="str">
        <f>IF(D5892="","",INDEX(Knutepunkter!$B:$B,D5892+1))</f>
        <v/>
      </c>
      <c r="G5892" t="str">
        <f>IF(D5892="","",INDEX(Knutepunkter!$C:$C,D5892+1))</f>
        <v/>
      </c>
      <c r="H5892" t="str">
        <f>IF(D5892="","",INDEX(Knutepunkter!$D:$D,D5892+1))</f>
        <v/>
      </c>
      <c r="I5892" t="str">
        <f>IF(E5892="","",INDEX(Knutepunkter!$B:$B,E5892+1))</f>
        <v/>
      </c>
      <c r="J5892" t="str">
        <f>IF(E5892="","",INDEX(Knutepunkter!$C:$C,E5892+1))</f>
        <v/>
      </c>
      <c r="K5892" t="str">
        <f>IF(E5892="","",INDEX(Knutepunkter!$D:$D,E5892+1))</f>
        <v/>
      </c>
      <c r="L5892" t="str">
        <f t="shared" si="463"/>
        <v/>
      </c>
      <c r="M5892" t="str">
        <f t="shared" si="464"/>
        <v/>
      </c>
    </row>
    <row r="5893" spans="1:13" x14ac:dyDescent="0.3">
      <c r="A5893" t="str">
        <f>Segmenter!A5893</f>
        <v/>
      </c>
      <c r="B5893" t="str">
        <f>Segmenter!B5893</f>
        <v/>
      </c>
      <c r="C5893" t="str">
        <f t="shared" si="460"/>
        <v/>
      </c>
      <c r="D5893" t="str">
        <f t="shared" si="461"/>
        <v/>
      </c>
      <c r="E5893" t="str">
        <f t="shared" si="462"/>
        <v/>
      </c>
      <c r="F5893" t="str">
        <f>IF(D5893="","",INDEX(Knutepunkter!$B:$B,D5893+1))</f>
        <v/>
      </c>
      <c r="G5893" t="str">
        <f>IF(D5893="","",INDEX(Knutepunkter!$C:$C,D5893+1))</f>
        <v/>
      </c>
      <c r="H5893" t="str">
        <f>IF(D5893="","",INDEX(Knutepunkter!$D:$D,D5893+1))</f>
        <v/>
      </c>
      <c r="I5893" t="str">
        <f>IF(E5893="","",INDEX(Knutepunkter!$B:$B,E5893+1))</f>
        <v/>
      </c>
      <c r="J5893" t="str">
        <f>IF(E5893="","",INDEX(Knutepunkter!$C:$C,E5893+1))</f>
        <v/>
      </c>
      <c r="K5893" t="str">
        <f>IF(E5893="","",INDEX(Knutepunkter!$D:$D,E5893+1))</f>
        <v/>
      </c>
      <c r="L5893" t="str">
        <f t="shared" si="463"/>
        <v/>
      </c>
      <c r="M5893" t="str">
        <f t="shared" si="464"/>
        <v/>
      </c>
    </row>
    <row r="5894" spans="1:13" x14ac:dyDescent="0.3">
      <c r="A5894" t="str">
        <f>Segmenter!A5894</f>
        <v/>
      </c>
      <c r="B5894" t="str">
        <f>Segmenter!B5894</f>
        <v/>
      </c>
      <c r="C5894" t="str">
        <f t="shared" si="460"/>
        <v/>
      </c>
      <c r="D5894" t="str">
        <f t="shared" si="461"/>
        <v/>
      </c>
      <c r="E5894" t="str">
        <f t="shared" si="462"/>
        <v/>
      </c>
      <c r="F5894" t="str">
        <f>IF(D5894="","",INDEX(Knutepunkter!$B:$B,D5894+1))</f>
        <v/>
      </c>
      <c r="G5894" t="str">
        <f>IF(D5894="","",INDEX(Knutepunkter!$C:$C,D5894+1))</f>
        <v/>
      </c>
      <c r="H5894" t="str">
        <f>IF(D5894="","",INDEX(Knutepunkter!$D:$D,D5894+1))</f>
        <v/>
      </c>
      <c r="I5894" t="str">
        <f>IF(E5894="","",INDEX(Knutepunkter!$B:$B,E5894+1))</f>
        <v/>
      </c>
      <c r="J5894" t="str">
        <f>IF(E5894="","",INDEX(Knutepunkter!$C:$C,E5894+1))</f>
        <v/>
      </c>
      <c r="K5894" t="str">
        <f>IF(E5894="","",INDEX(Knutepunkter!$D:$D,E5894+1))</f>
        <v/>
      </c>
      <c r="L5894" t="str">
        <f t="shared" si="463"/>
        <v/>
      </c>
      <c r="M5894" t="str">
        <f t="shared" si="464"/>
        <v/>
      </c>
    </row>
    <row r="5895" spans="1:13" x14ac:dyDescent="0.3">
      <c r="A5895" t="str">
        <f>Segmenter!A5895</f>
        <v/>
      </c>
      <c r="B5895" t="str">
        <f>Segmenter!B5895</f>
        <v/>
      </c>
      <c r="C5895" t="str">
        <f t="shared" si="460"/>
        <v/>
      </c>
      <c r="D5895" t="str">
        <f t="shared" si="461"/>
        <v/>
      </c>
      <c r="E5895" t="str">
        <f t="shared" si="462"/>
        <v/>
      </c>
      <c r="F5895" t="str">
        <f>IF(D5895="","",INDEX(Knutepunkter!$B:$B,D5895+1))</f>
        <v/>
      </c>
      <c r="G5895" t="str">
        <f>IF(D5895="","",INDEX(Knutepunkter!$C:$C,D5895+1))</f>
        <v/>
      </c>
      <c r="H5895" t="str">
        <f>IF(D5895="","",INDEX(Knutepunkter!$D:$D,D5895+1))</f>
        <v/>
      </c>
      <c r="I5895" t="str">
        <f>IF(E5895="","",INDEX(Knutepunkter!$B:$B,E5895+1))</f>
        <v/>
      </c>
      <c r="J5895" t="str">
        <f>IF(E5895="","",INDEX(Knutepunkter!$C:$C,E5895+1))</f>
        <v/>
      </c>
      <c r="K5895" t="str">
        <f>IF(E5895="","",INDEX(Knutepunkter!$D:$D,E5895+1))</f>
        <v/>
      </c>
      <c r="L5895" t="str">
        <f t="shared" si="463"/>
        <v/>
      </c>
      <c r="M5895" t="str">
        <f t="shared" si="464"/>
        <v/>
      </c>
    </row>
    <row r="5896" spans="1:13" x14ac:dyDescent="0.3">
      <c r="A5896" t="str">
        <f>Segmenter!A5896</f>
        <v/>
      </c>
      <c r="B5896" t="str">
        <f>Segmenter!B5896</f>
        <v/>
      </c>
      <c r="C5896" t="str">
        <f t="shared" si="460"/>
        <v/>
      </c>
      <c r="D5896" t="str">
        <f t="shared" si="461"/>
        <v/>
      </c>
      <c r="E5896" t="str">
        <f t="shared" si="462"/>
        <v/>
      </c>
      <c r="F5896" t="str">
        <f>IF(D5896="","",INDEX(Knutepunkter!$B:$B,D5896+1))</f>
        <v/>
      </c>
      <c r="G5896" t="str">
        <f>IF(D5896="","",INDEX(Knutepunkter!$C:$C,D5896+1))</f>
        <v/>
      </c>
      <c r="H5896" t="str">
        <f>IF(D5896="","",INDEX(Knutepunkter!$D:$D,D5896+1))</f>
        <v/>
      </c>
      <c r="I5896" t="str">
        <f>IF(E5896="","",INDEX(Knutepunkter!$B:$B,E5896+1))</f>
        <v/>
      </c>
      <c r="J5896" t="str">
        <f>IF(E5896="","",INDEX(Knutepunkter!$C:$C,E5896+1))</f>
        <v/>
      </c>
      <c r="K5896" t="str">
        <f>IF(E5896="","",INDEX(Knutepunkter!$D:$D,E5896+1))</f>
        <v/>
      </c>
      <c r="L5896" t="str">
        <f t="shared" si="463"/>
        <v/>
      </c>
      <c r="M5896" t="str">
        <f t="shared" si="464"/>
        <v/>
      </c>
    </row>
    <row r="5897" spans="1:13" x14ac:dyDescent="0.3">
      <c r="A5897" t="str">
        <f>Segmenter!A5897</f>
        <v/>
      </c>
      <c r="B5897" t="str">
        <f>Segmenter!B5897</f>
        <v/>
      </c>
      <c r="C5897" t="str">
        <f t="shared" si="460"/>
        <v/>
      </c>
      <c r="D5897" t="str">
        <f t="shared" si="461"/>
        <v/>
      </c>
      <c r="E5897" t="str">
        <f t="shared" si="462"/>
        <v/>
      </c>
      <c r="F5897" t="str">
        <f>IF(D5897="","",INDEX(Knutepunkter!$B:$B,D5897+1))</f>
        <v/>
      </c>
      <c r="G5897" t="str">
        <f>IF(D5897="","",INDEX(Knutepunkter!$C:$C,D5897+1))</f>
        <v/>
      </c>
      <c r="H5897" t="str">
        <f>IF(D5897="","",INDEX(Knutepunkter!$D:$D,D5897+1))</f>
        <v/>
      </c>
      <c r="I5897" t="str">
        <f>IF(E5897="","",INDEX(Knutepunkter!$B:$B,E5897+1))</f>
        <v/>
      </c>
      <c r="J5897" t="str">
        <f>IF(E5897="","",INDEX(Knutepunkter!$C:$C,E5897+1))</f>
        <v/>
      </c>
      <c r="K5897" t="str">
        <f>IF(E5897="","",INDEX(Knutepunkter!$D:$D,E5897+1))</f>
        <v/>
      </c>
      <c r="L5897" t="str">
        <f t="shared" si="463"/>
        <v/>
      </c>
      <c r="M5897" t="str">
        <f t="shared" si="464"/>
        <v/>
      </c>
    </row>
    <row r="5898" spans="1:13" x14ac:dyDescent="0.3">
      <c r="A5898" t="str">
        <f>Segmenter!A5898</f>
        <v/>
      </c>
      <c r="B5898" t="str">
        <f>Segmenter!B5898</f>
        <v/>
      </c>
      <c r="C5898" t="str">
        <f t="shared" si="460"/>
        <v/>
      </c>
      <c r="D5898" t="str">
        <f t="shared" si="461"/>
        <v/>
      </c>
      <c r="E5898" t="str">
        <f t="shared" si="462"/>
        <v/>
      </c>
      <c r="F5898" t="str">
        <f>IF(D5898="","",INDEX(Knutepunkter!$B:$B,D5898+1))</f>
        <v/>
      </c>
      <c r="G5898" t="str">
        <f>IF(D5898="","",INDEX(Knutepunkter!$C:$C,D5898+1))</f>
        <v/>
      </c>
      <c r="H5898" t="str">
        <f>IF(D5898="","",INDEX(Knutepunkter!$D:$D,D5898+1))</f>
        <v/>
      </c>
      <c r="I5898" t="str">
        <f>IF(E5898="","",INDEX(Knutepunkter!$B:$B,E5898+1))</f>
        <v/>
      </c>
      <c r="J5898" t="str">
        <f>IF(E5898="","",INDEX(Knutepunkter!$C:$C,E5898+1))</f>
        <v/>
      </c>
      <c r="K5898" t="str">
        <f>IF(E5898="","",INDEX(Knutepunkter!$D:$D,E5898+1))</f>
        <v/>
      </c>
      <c r="L5898" t="str">
        <f t="shared" si="463"/>
        <v/>
      </c>
      <c r="M5898" t="str">
        <f t="shared" si="464"/>
        <v/>
      </c>
    </row>
    <row r="5899" spans="1:13" x14ac:dyDescent="0.3">
      <c r="A5899" t="str">
        <f>Segmenter!A5899</f>
        <v/>
      </c>
      <c r="B5899" t="str">
        <f>Segmenter!B5899</f>
        <v/>
      </c>
      <c r="C5899" t="str">
        <f t="shared" si="460"/>
        <v/>
      </c>
      <c r="D5899" t="str">
        <f t="shared" si="461"/>
        <v/>
      </c>
      <c r="E5899" t="str">
        <f t="shared" si="462"/>
        <v/>
      </c>
      <c r="F5899" t="str">
        <f>IF(D5899="","",INDEX(Knutepunkter!$B:$B,D5899+1))</f>
        <v/>
      </c>
      <c r="G5899" t="str">
        <f>IF(D5899="","",INDEX(Knutepunkter!$C:$C,D5899+1))</f>
        <v/>
      </c>
      <c r="H5899" t="str">
        <f>IF(D5899="","",INDEX(Knutepunkter!$D:$D,D5899+1))</f>
        <v/>
      </c>
      <c r="I5899" t="str">
        <f>IF(E5899="","",INDEX(Knutepunkter!$B:$B,E5899+1))</f>
        <v/>
      </c>
      <c r="J5899" t="str">
        <f>IF(E5899="","",INDEX(Knutepunkter!$C:$C,E5899+1))</f>
        <v/>
      </c>
      <c r="K5899" t="str">
        <f>IF(E5899="","",INDEX(Knutepunkter!$D:$D,E5899+1))</f>
        <v/>
      </c>
      <c r="L5899" t="str">
        <f t="shared" si="463"/>
        <v/>
      </c>
      <c r="M5899" t="str">
        <f t="shared" si="464"/>
        <v/>
      </c>
    </row>
    <row r="5900" spans="1:13" x14ac:dyDescent="0.3">
      <c r="A5900" t="str">
        <f>Segmenter!A5900</f>
        <v/>
      </c>
      <c r="B5900" t="str">
        <f>Segmenter!B5900</f>
        <v/>
      </c>
      <c r="C5900" t="str">
        <f t="shared" si="460"/>
        <v/>
      </c>
      <c r="D5900" t="str">
        <f t="shared" si="461"/>
        <v/>
      </c>
      <c r="E5900" t="str">
        <f t="shared" si="462"/>
        <v/>
      </c>
      <c r="F5900" t="str">
        <f>IF(D5900="","",INDEX(Knutepunkter!$B:$B,D5900+1))</f>
        <v/>
      </c>
      <c r="G5900" t="str">
        <f>IF(D5900="","",INDEX(Knutepunkter!$C:$C,D5900+1))</f>
        <v/>
      </c>
      <c r="H5900" t="str">
        <f>IF(D5900="","",INDEX(Knutepunkter!$D:$D,D5900+1))</f>
        <v/>
      </c>
      <c r="I5900" t="str">
        <f>IF(E5900="","",INDEX(Knutepunkter!$B:$B,E5900+1))</f>
        <v/>
      </c>
      <c r="J5900" t="str">
        <f>IF(E5900="","",INDEX(Knutepunkter!$C:$C,E5900+1))</f>
        <v/>
      </c>
      <c r="K5900" t="str">
        <f>IF(E5900="","",INDEX(Knutepunkter!$D:$D,E5900+1))</f>
        <v/>
      </c>
      <c r="L5900" t="str">
        <f t="shared" si="463"/>
        <v/>
      </c>
      <c r="M5900" t="str">
        <f t="shared" si="464"/>
        <v/>
      </c>
    </row>
    <row r="5901" spans="1:13" x14ac:dyDescent="0.3">
      <c r="A5901" t="str">
        <f>Segmenter!A5901</f>
        <v/>
      </c>
      <c r="B5901" t="str">
        <f>Segmenter!B5901</f>
        <v/>
      </c>
      <c r="C5901" t="str">
        <f t="shared" si="460"/>
        <v/>
      </c>
      <c r="D5901" t="str">
        <f t="shared" si="461"/>
        <v/>
      </c>
      <c r="E5901" t="str">
        <f t="shared" si="462"/>
        <v/>
      </c>
      <c r="F5901" t="str">
        <f>IF(D5901="","",INDEX(Knutepunkter!$B:$B,D5901+1))</f>
        <v/>
      </c>
      <c r="G5901" t="str">
        <f>IF(D5901="","",INDEX(Knutepunkter!$C:$C,D5901+1))</f>
        <v/>
      </c>
      <c r="H5901" t="str">
        <f>IF(D5901="","",INDEX(Knutepunkter!$D:$D,D5901+1))</f>
        <v/>
      </c>
      <c r="I5901" t="str">
        <f>IF(E5901="","",INDEX(Knutepunkter!$B:$B,E5901+1))</f>
        <v/>
      </c>
      <c r="J5901" t="str">
        <f>IF(E5901="","",INDEX(Knutepunkter!$C:$C,E5901+1))</f>
        <v/>
      </c>
      <c r="K5901" t="str">
        <f>IF(E5901="","",INDEX(Knutepunkter!$D:$D,E5901+1))</f>
        <v/>
      </c>
      <c r="L5901" t="str">
        <f t="shared" si="463"/>
        <v/>
      </c>
      <c r="M5901" t="str">
        <f t="shared" si="464"/>
        <v/>
      </c>
    </row>
    <row r="5902" spans="1:13" x14ac:dyDescent="0.3">
      <c r="A5902" t="str">
        <f>Segmenter!A5902</f>
        <v/>
      </c>
      <c r="B5902" t="str">
        <f>Segmenter!B5902</f>
        <v/>
      </c>
      <c r="C5902" t="str">
        <f t="shared" si="460"/>
        <v/>
      </c>
      <c r="D5902" t="str">
        <f t="shared" si="461"/>
        <v/>
      </c>
      <c r="E5902" t="str">
        <f t="shared" si="462"/>
        <v/>
      </c>
      <c r="F5902" t="str">
        <f>IF(D5902="","",INDEX(Knutepunkter!$B:$B,D5902+1))</f>
        <v/>
      </c>
      <c r="G5902" t="str">
        <f>IF(D5902="","",INDEX(Knutepunkter!$C:$C,D5902+1))</f>
        <v/>
      </c>
      <c r="H5902" t="str">
        <f>IF(D5902="","",INDEX(Knutepunkter!$D:$D,D5902+1))</f>
        <v/>
      </c>
      <c r="I5902" t="str">
        <f>IF(E5902="","",INDEX(Knutepunkter!$B:$B,E5902+1))</f>
        <v/>
      </c>
      <c r="J5902" t="str">
        <f>IF(E5902="","",INDEX(Knutepunkter!$C:$C,E5902+1))</f>
        <v/>
      </c>
      <c r="K5902" t="str">
        <f>IF(E5902="","",INDEX(Knutepunkter!$D:$D,E5902+1))</f>
        <v/>
      </c>
      <c r="L5902" t="str">
        <f t="shared" si="463"/>
        <v/>
      </c>
      <c r="M5902" t="str">
        <f t="shared" si="464"/>
        <v/>
      </c>
    </row>
    <row r="5903" spans="1:13" x14ac:dyDescent="0.3">
      <c r="A5903" t="str">
        <f>Segmenter!A5903</f>
        <v/>
      </c>
      <c r="B5903" t="str">
        <f>Segmenter!B5903</f>
        <v/>
      </c>
      <c r="C5903" t="str">
        <f t="shared" si="460"/>
        <v/>
      </c>
      <c r="D5903" t="str">
        <f t="shared" si="461"/>
        <v/>
      </c>
      <c r="E5903" t="str">
        <f t="shared" si="462"/>
        <v/>
      </c>
      <c r="F5903" t="str">
        <f>IF(D5903="","",INDEX(Knutepunkter!$B:$B,D5903+1))</f>
        <v/>
      </c>
      <c r="G5903" t="str">
        <f>IF(D5903="","",INDEX(Knutepunkter!$C:$C,D5903+1))</f>
        <v/>
      </c>
      <c r="H5903" t="str">
        <f>IF(D5903="","",INDEX(Knutepunkter!$D:$D,D5903+1))</f>
        <v/>
      </c>
      <c r="I5903" t="str">
        <f>IF(E5903="","",INDEX(Knutepunkter!$B:$B,E5903+1))</f>
        <v/>
      </c>
      <c r="J5903" t="str">
        <f>IF(E5903="","",INDEX(Knutepunkter!$C:$C,E5903+1))</f>
        <v/>
      </c>
      <c r="K5903" t="str">
        <f>IF(E5903="","",INDEX(Knutepunkter!$D:$D,E5903+1))</f>
        <v/>
      </c>
      <c r="L5903" t="str">
        <f t="shared" si="463"/>
        <v/>
      </c>
      <c r="M5903" t="str">
        <f t="shared" si="464"/>
        <v/>
      </c>
    </row>
    <row r="5904" spans="1:13" x14ac:dyDescent="0.3">
      <c r="A5904" t="str">
        <f>Segmenter!A5904</f>
        <v/>
      </c>
      <c r="B5904" t="str">
        <f>Segmenter!B5904</f>
        <v/>
      </c>
      <c r="C5904" t="str">
        <f t="shared" si="460"/>
        <v/>
      </c>
      <c r="D5904" t="str">
        <f t="shared" si="461"/>
        <v/>
      </c>
      <c r="E5904" t="str">
        <f t="shared" si="462"/>
        <v/>
      </c>
      <c r="F5904" t="str">
        <f>IF(D5904="","",INDEX(Knutepunkter!$B:$B,D5904+1))</f>
        <v/>
      </c>
      <c r="G5904" t="str">
        <f>IF(D5904="","",INDEX(Knutepunkter!$C:$C,D5904+1))</f>
        <v/>
      </c>
      <c r="H5904" t="str">
        <f>IF(D5904="","",INDEX(Knutepunkter!$D:$D,D5904+1))</f>
        <v/>
      </c>
      <c r="I5904" t="str">
        <f>IF(E5904="","",INDEX(Knutepunkter!$B:$B,E5904+1))</f>
        <v/>
      </c>
      <c r="J5904" t="str">
        <f>IF(E5904="","",INDEX(Knutepunkter!$C:$C,E5904+1))</f>
        <v/>
      </c>
      <c r="K5904" t="str">
        <f>IF(E5904="","",INDEX(Knutepunkter!$D:$D,E5904+1))</f>
        <v/>
      </c>
      <c r="L5904" t="str">
        <f t="shared" si="463"/>
        <v/>
      </c>
      <c r="M5904" t="str">
        <f t="shared" si="464"/>
        <v/>
      </c>
    </row>
    <row r="5905" spans="1:13" x14ac:dyDescent="0.3">
      <c r="A5905" t="str">
        <f>Segmenter!A5905</f>
        <v/>
      </c>
      <c r="B5905" t="str">
        <f>Segmenter!B5905</f>
        <v/>
      </c>
      <c r="C5905" t="str">
        <f t="shared" si="460"/>
        <v/>
      </c>
      <c r="D5905" t="str">
        <f t="shared" si="461"/>
        <v/>
      </c>
      <c r="E5905" t="str">
        <f t="shared" si="462"/>
        <v/>
      </c>
      <c r="F5905" t="str">
        <f>IF(D5905="","",INDEX(Knutepunkter!$B:$B,D5905+1))</f>
        <v/>
      </c>
      <c r="G5905" t="str">
        <f>IF(D5905="","",INDEX(Knutepunkter!$C:$C,D5905+1))</f>
        <v/>
      </c>
      <c r="H5905" t="str">
        <f>IF(D5905="","",INDEX(Knutepunkter!$D:$D,D5905+1))</f>
        <v/>
      </c>
      <c r="I5905" t="str">
        <f>IF(E5905="","",INDEX(Knutepunkter!$B:$B,E5905+1))</f>
        <v/>
      </c>
      <c r="J5905" t="str">
        <f>IF(E5905="","",INDEX(Knutepunkter!$C:$C,E5905+1))</f>
        <v/>
      </c>
      <c r="K5905" t="str">
        <f>IF(E5905="","",INDEX(Knutepunkter!$D:$D,E5905+1))</f>
        <v/>
      </c>
      <c r="L5905" t="str">
        <f t="shared" si="463"/>
        <v/>
      </c>
      <c r="M5905" t="str">
        <f t="shared" si="464"/>
        <v/>
      </c>
    </row>
    <row r="5906" spans="1:13" x14ac:dyDescent="0.3">
      <c r="A5906" t="str">
        <f>Segmenter!A5906</f>
        <v/>
      </c>
      <c r="B5906" t="str">
        <f>Segmenter!B5906</f>
        <v/>
      </c>
      <c r="C5906" t="str">
        <f t="shared" si="460"/>
        <v/>
      </c>
      <c r="D5906" t="str">
        <f t="shared" si="461"/>
        <v/>
      </c>
      <c r="E5906" t="str">
        <f t="shared" si="462"/>
        <v/>
      </c>
      <c r="F5906" t="str">
        <f>IF(D5906="","",INDEX(Knutepunkter!$B:$B,D5906+1))</f>
        <v/>
      </c>
      <c r="G5906" t="str">
        <f>IF(D5906="","",INDEX(Knutepunkter!$C:$C,D5906+1))</f>
        <v/>
      </c>
      <c r="H5906" t="str">
        <f>IF(D5906="","",INDEX(Knutepunkter!$D:$D,D5906+1))</f>
        <v/>
      </c>
      <c r="I5906" t="str">
        <f>IF(E5906="","",INDEX(Knutepunkter!$B:$B,E5906+1))</f>
        <v/>
      </c>
      <c r="J5906" t="str">
        <f>IF(E5906="","",INDEX(Knutepunkter!$C:$C,E5906+1))</f>
        <v/>
      </c>
      <c r="K5906" t="str">
        <f>IF(E5906="","",INDEX(Knutepunkter!$D:$D,E5906+1))</f>
        <v/>
      </c>
      <c r="L5906" t="str">
        <f t="shared" si="463"/>
        <v/>
      </c>
      <c r="M5906" t="str">
        <f t="shared" si="464"/>
        <v/>
      </c>
    </row>
    <row r="5907" spans="1:13" x14ac:dyDescent="0.3">
      <c r="A5907" t="str">
        <f>Segmenter!A5907</f>
        <v/>
      </c>
      <c r="B5907" t="str">
        <f>Segmenter!B5907</f>
        <v/>
      </c>
      <c r="C5907" t="str">
        <f t="shared" si="460"/>
        <v/>
      </c>
      <c r="D5907" t="str">
        <f t="shared" si="461"/>
        <v/>
      </c>
      <c r="E5907" t="str">
        <f t="shared" si="462"/>
        <v/>
      </c>
      <c r="F5907" t="str">
        <f>IF(D5907="","",INDEX(Knutepunkter!$B:$B,D5907+1))</f>
        <v/>
      </c>
      <c r="G5907" t="str">
        <f>IF(D5907="","",INDEX(Knutepunkter!$C:$C,D5907+1))</f>
        <v/>
      </c>
      <c r="H5907" t="str">
        <f>IF(D5907="","",INDEX(Knutepunkter!$D:$D,D5907+1))</f>
        <v/>
      </c>
      <c r="I5907" t="str">
        <f>IF(E5907="","",INDEX(Knutepunkter!$B:$B,E5907+1))</f>
        <v/>
      </c>
      <c r="J5907" t="str">
        <f>IF(E5907="","",INDEX(Knutepunkter!$C:$C,E5907+1))</f>
        <v/>
      </c>
      <c r="K5907" t="str">
        <f>IF(E5907="","",INDEX(Knutepunkter!$D:$D,E5907+1))</f>
        <v/>
      </c>
      <c r="L5907" t="str">
        <f t="shared" si="463"/>
        <v/>
      </c>
      <c r="M5907" t="str">
        <f t="shared" si="464"/>
        <v/>
      </c>
    </row>
    <row r="5908" spans="1:13" x14ac:dyDescent="0.3">
      <c r="A5908" t="str">
        <f>Segmenter!A5908</f>
        <v/>
      </c>
      <c r="B5908" t="str">
        <f>Segmenter!B5908</f>
        <v/>
      </c>
      <c r="C5908" t="str">
        <f t="shared" si="460"/>
        <v/>
      </c>
      <c r="D5908" t="str">
        <f t="shared" si="461"/>
        <v/>
      </c>
      <c r="E5908" t="str">
        <f t="shared" si="462"/>
        <v/>
      </c>
      <c r="F5908" t="str">
        <f>IF(D5908="","",INDEX(Knutepunkter!$B:$B,D5908+1))</f>
        <v/>
      </c>
      <c r="G5908" t="str">
        <f>IF(D5908="","",INDEX(Knutepunkter!$C:$C,D5908+1))</f>
        <v/>
      </c>
      <c r="H5908" t="str">
        <f>IF(D5908="","",INDEX(Knutepunkter!$D:$D,D5908+1))</f>
        <v/>
      </c>
      <c r="I5908" t="str">
        <f>IF(E5908="","",INDEX(Knutepunkter!$B:$B,E5908+1))</f>
        <v/>
      </c>
      <c r="J5908" t="str">
        <f>IF(E5908="","",INDEX(Knutepunkter!$C:$C,E5908+1))</f>
        <v/>
      </c>
      <c r="K5908" t="str">
        <f>IF(E5908="","",INDEX(Knutepunkter!$D:$D,E5908+1))</f>
        <v/>
      </c>
      <c r="L5908" t="str">
        <f t="shared" si="463"/>
        <v/>
      </c>
      <c r="M5908" t="str">
        <f t="shared" si="464"/>
        <v/>
      </c>
    </row>
    <row r="5909" spans="1:13" x14ac:dyDescent="0.3">
      <c r="A5909" t="str">
        <f>Segmenter!A5909</f>
        <v/>
      </c>
      <c r="B5909" t="str">
        <f>Segmenter!B5909</f>
        <v/>
      </c>
      <c r="C5909" t="str">
        <f t="shared" si="460"/>
        <v/>
      </c>
      <c r="D5909" t="str">
        <f t="shared" si="461"/>
        <v/>
      </c>
      <c r="E5909" t="str">
        <f t="shared" si="462"/>
        <v/>
      </c>
      <c r="F5909" t="str">
        <f>IF(D5909="","",INDEX(Knutepunkter!$B:$B,D5909+1))</f>
        <v/>
      </c>
      <c r="G5909" t="str">
        <f>IF(D5909="","",INDEX(Knutepunkter!$C:$C,D5909+1))</f>
        <v/>
      </c>
      <c r="H5909" t="str">
        <f>IF(D5909="","",INDEX(Knutepunkter!$D:$D,D5909+1))</f>
        <v/>
      </c>
      <c r="I5909" t="str">
        <f>IF(E5909="","",INDEX(Knutepunkter!$B:$B,E5909+1))</f>
        <v/>
      </c>
      <c r="J5909" t="str">
        <f>IF(E5909="","",INDEX(Knutepunkter!$C:$C,E5909+1))</f>
        <v/>
      </c>
      <c r="K5909" t="str">
        <f>IF(E5909="","",INDEX(Knutepunkter!$D:$D,E5909+1))</f>
        <v/>
      </c>
      <c r="L5909" t="str">
        <f t="shared" si="463"/>
        <v/>
      </c>
      <c r="M5909" t="str">
        <f t="shared" si="464"/>
        <v/>
      </c>
    </row>
    <row r="5910" spans="1:13" x14ac:dyDescent="0.3">
      <c r="A5910" t="str">
        <f>Segmenter!A5910</f>
        <v/>
      </c>
      <c r="B5910" t="str">
        <f>Segmenter!B5910</f>
        <v/>
      </c>
      <c r="C5910" t="str">
        <f t="shared" si="460"/>
        <v/>
      </c>
      <c r="D5910" t="str">
        <f t="shared" si="461"/>
        <v/>
      </c>
      <c r="E5910" t="str">
        <f t="shared" si="462"/>
        <v/>
      </c>
      <c r="F5910" t="str">
        <f>IF(D5910="","",INDEX(Knutepunkter!$B:$B,D5910+1))</f>
        <v/>
      </c>
      <c r="G5910" t="str">
        <f>IF(D5910="","",INDEX(Knutepunkter!$C:$C,D5910+1))</f>
        <v/>
      </c>
      <c r="H5910" t="str">
        <f>IF(D5910="","",INDEX(Knutepunkter!$D:$D,D5910+1))</f>
        <v/>
      </c>
      <c r="I5910" t="str">
        <f>IF(E5910="","",INDEX(Knutepunkter!$B:$B,E5910+1))</f>
        <v/>
      </c>
      <c r="J5910" t="str">
        <f>IF(E5910="","",INDEX(Knutepunkter!$C:$C,E5910+1))</f>
        <v/>
      </c>
      <c r="K5910" t="str">
        <f>IF(E5910="","",INDEX(Knutepunkter!$D:$D,E5910+1))</f>
        <v/>
      </c>
      <c r="L5910" t="str">
        <f t="shared" si="463"/>
        <v/>
      </c>
      <c r="M5910" t="str">
        <f t="shared" si="464"/>
        <v/>
      </c>
    </row>
    <row r="5911" spans="1:13" x14ac:dyDescent="0.3">
      <c r="A5911" t="str">
        <f>Segmenter!A5911</f>
        <v/>
      </c>
      <c r="B5911" t="str">
        <f>Segmenter!B5911</f>
        <v/>
      </c>
      <c r="C5911" t="str">
        <f t="shared" si="460"/>
        <v/>
      </c>
      <c r="D5911" t="str">
        <f t="shared" si="461"/>
        <v/>
      </c>
      <c r="E5911" t="str">
        <f t="shared" si="462"/>
        <v/>
      </c>
      <c r="F5911" t="str">
        <f>IF(D5911="","",INDEX(Knutepunkter!$B:$B,D5911+1))</f>
        <v/>
      </c>
      <c r="G5911" t="str">
        <f>IF(D5911="","",INDEX(Knutepunkter!$C:$C,D5911+1))</f>
        <v/>
      </c>
      <c r="H5911" t="str">
        <f>IF(D5911="","",INDEX(Knutepunkter!$D:$D,D5911+1))</f>
        <v/>
      </c>
      <c r="I5911" t="str">
        <f>IF(E5911="","",INDEX(Knutepunkter!$B:$B,E5911+1))</f>
        <v/>
      </c>
      <c r="J5911" t="str">
        <f>IF(E5911="","",INDEX(Knutepunkter!$C:$C,E5911+1))</f>
        <v/>
      </c>
      <c r="K5911" t="str">
        <f>IF(E5911="","",INDEX(Knutepunkter!$D:$D,E5911+1))</f>
        <v/>
      </c>
      <c r="L5911" t="str">
        <f t="shared" si="463"/>
        <v/>
      </c>
      <c r="M5911" t="str">
        <f t="shared" si="464"/>
        <v/>
      </c>
    </row>
    <row r="5912" spans="1:13" x14ac:dyDescent="0.3">
      <c r="A5912" t="str">
        <f>Segmenter!A5912</f>
        <v/>
      </c>
      <c r="B5912" t="str">
        <f>Segmenter!B5912</f>
        <v/>
      </c>
      <c r="C5912" t="str">
        <f t="shared" si="460"/>
        <v/>
      </c>
      <c r="D5912" t="str">
        <f t="shared" si="461"/>
        <v/>
      </c>
      <c r="E5912" t="str">
        <f t="shared" si="462"/>
        <v/>
      </c>
      <c r="F5912" t="str">
        <f>IF(D5912="","",INDEX(Knutepunkter!$B:$B,D5912+1))</f>
        <v/>
      </c>
      <c r="G5912" t="str">
        <f>IF(D5912="","",INDEX(Knutepunkter!$C:$C,D5912+1))</f>
        <v/>
      </c>
      <c r="H5912" t="str">
        <f>IF(D5912="","",INDEX(Knutepunkter!$D:$D,D5912+1))</f>
        <v/>
      </c>
      <c r="I5912" t="str">
        <f>IF(E5912="","",INDEX(Knutepunkter!$B:$B,E5912+1))</f>
        <v/>
      </c>
      <c r="J5912" t="str">
        <f>IF(E5912="","",INDEX(Knutepunkter!$C:$C,E5912+1))</f>
        <v/>
      </c>
      <c r="K5912" t="str">
        <f>IF(E5912="","",INDEX(Knutepunkter!$D:$D,E5912+1))</f>
        <v/>
      </c>
      <c r="L5912" t="str">
        <f t="shared" si="463"/>
        <v/>
      </c>
      <c r="M5912" t="str">
        <f t="shared" si="464"/>
        <v/>
      </c>
    </row>
    <row r="5913" spans="1:13" x14ac:dyDescent="0.3">
      <c r="A5913" t="str">
        <f>Segmenter!A5913</f>
        <v/>
      </c>
      <c r="B5913" t="str">
        <f>Segmenter!B5913</f>
        <v/>
      </c>
      <c r="C5913" t="str">
        <f t="shared" si="460"/>
        <v/>
      </c>
      <c r="D5913" t="str">
        <f t="shared" si="461"/>
        <v/>
      </c>
      <c r="E5913" t="str">
        <f t="shared" si="462"/>
        <v/>
      </c>
      <c r="F5913" t="str">
        <f>IF(D5913="","",INDEX(Knutepunkter!$B:$B,D5913+1))</f>
        <v/>
      </c>
      <c r="G5913" t="str">
        <f>IF(D5913="","",INDEX(Knutepunkter!$C:$C,D5913+1))</f>
        <v/>
      </c>
      <c r="H5913" t="str">
        <f>IF(D5913="","",INDEX(Knutepunkter!$D:$D,D5913+1))</f>
        <v/>
      </c>
      <c r="I5913" t="str">
        <f>IF(E5913="","",INDEX(Knutepunkter!$B:$B,E5913+1))</f>
        <v/>
      </c>
      <c r="J5913" t="str">
        <f>IF(E5913="","",INDEX(Knutepunkter!$C:$C,E5913+1))</f>
        <v/>
      </c>
      <c r="K5913" t="str">
        <f>IF(E5913="","",INDEX(Knutepunkter!$D:$D,E5913+1))</f>
        <v/>
      </c>
      <c r="L5913" t="str">
        <f t="shared" si="463"/>
        <v/>
      </c>
      <c r="M5913" t="str">
        <f t="shared" si="464"/>
        <v/>
      </c>
    </row>
    <row r="5914" spans="1:13" x14ac:dyDescent="0.3">
      <c r="A5914" t="str">
        <f>Segmenter!A5914</f>
        <v/>
      </c>
      <c r="B5914" t="str">
        <f>Segmenter!B5914</f>
        <v/>
      </c>
      <c r="C5914" t="str">
        <f t="shared" si="460"/>
        <v/>
      </c>
      <c r="D5914" t="str">
        <f t="shared" si="461"/>
        <v/>
      </c>
      <c r="E5914" t="str">
        <f t="shared" si="462"/>
        <v/>
      </c>
      <c r="F5914" t="str">
        <f>IF(D5914="","",INDEX(Knutepunkter!$B:$B,D5914+1))</f>
        <v/>
      </c>
      <c r="G5914" t="str">
        <f>IF(D5914="","",INDEX(Knutepunkter!$C:$C,D5914+1))</f>
        <v/>
      </c>
      <c r="H5914" t="str">
        <f>IF(D5914="","",INDEX(Knutepunkter!$D:$D,D5914+1))</f>
        <v/>
      </c>
      <c r="I5914" t="str">
        <f>IF(E5914="","",INDEX(Knutepunkter!$B:$B,E5914+1))</f>
        <v/>
      </c>
      <c r="J5914" t="str">
        <f>IF(E5914="","",INDEX(Knutepunkter!$C:$C,E5914+1))</f>
        <v/>
      </c>
      <c r="K5914" t="str">
        <f>IF(E5914="","",INDEX(Knutepunkter!$D:$D,E5914+1))</f>
        <v/>
      </c>
      <c r="L5914" t="str">
        <f t="shared" si="463"/>
        <v/>
      </c>
      <c r="M5914" t="str">
        <f t="shared" si="464"/>
        <v/>
      </c>
    </row>
    <row r="5915" spans="1:13" x14ac:dyDescent="0.3">
      <c r="A5915" t="str">
        <f>Segmenter!A5915</f>
        <v/>
      </c>
      <c r="B5915" t="str">
        <f>Segmenter!B5915</f>
        <v/>
      </c>
      <c r="C5915" t="str">
        <f t="shared" si="460"/>
        <v/>
      </c>
      <c r="D5915" t="str">
        <f t="shared" si="461"/>
        <v/>
      </c>
      <c r="E5915" t="str">
        <f t="shared" si="462"/>
        <v/>
      </c>
      <c r="F5915" t="str">
        <f>IF(D5915="","",INDEX(Knutepunkter!$B:$B,D5915+1))</f>
        <v/>
      </c>
      <c r="G5915" t="str">
        <f>IF(D5915="","",INDEX(Knutepunkter!$C:$C,D5915+1))</f>
        <v/>
      </c>
      <c r="H5915" t="str">
        <f>IF(D5915="","",INDEX(Knutepunkter!$D:$D,D5915+1))</f>
        <v/>
      </c>
      <c r="I5915" t="str">
        <f>IF(E5915="","",INDEX(Knutepunkter!$B:$B,E5915+1))</f>
        <v/>
      </c>
      <c r="J5915" t="str">
        <f>IF(E5915="","",INDEX(Knutepunkter!$C:$C,E5915+1))</f>
        <v/>
      </c>
      <c r="K5915" t="str">
        <f>IF(E5915="","",INDEX(Knutepunkter!$D:$D,E5915+1))</f>
        <v/>
      </c>
      <c r="L5915" t="str">
        <f t="shared" si="463"/>
        <v/>
      </c>
      <c r="M5915" t="str">
        <f t="shared" si="464"/>
        <v/>
      </c>
    </row>
    <row r="5916" spans="1:13" x14ac:dyDescent="0.3">
      <c r="A5916" t="str">
        <f>Segmenter!A5916</f>
        <v/>
      </c>
      <c r="B5916" t="str">
        <f>Segmenter!B5916</f>
        <v/>
      </c>
      <c r="C5916" t="str">
        <f t="shared" si="460"/>
        <v/>
      </c>
      <c r="D5916" t="str">
        <f t="shared" si="461"/>
        <v/>
      </c>
      <c r="E5916" t="str">
        <f t="shared" si="462"/>
        <v/>
      </c>
      <c r="F5916" t="str">
        <f>IF(D5916="","",INDEX(Knutepunkter!$B:$B,D5916+1))</f>
        <v/>
      </c>
      <c r="G5916" t="str">
        <f>IF(D5916="","",INDEX(Knutepunkter!$C:$C,D5916+1))</f>
        <v/>
      </c>
      <c r="H5916" t="str">
        <f>IF(D5916="","",INDEX(Knutepunkter!$D:$D,D5916+1))</f>
        <v/>
      </c>
      <c r="I5916" t="str">
        <f>IF(E5916="","",INDEX(Knutepunkter!$B:$B,E5916+1))</f>
        <v/>
      </c>
      <c r="J5916" t="str">
        <f>IF(E5916="","",INDEX(Knutepunkter!$C:$C,E5916+1))</f>
        <v/>
      </c>
      <c r="K5916" t="str">
        <f>IF(E5916="","",INDEX(Knutepunkter!$D:$D,E5916+1))</f>
        <v/>
      </c>
      <c r="L5916" t="str">
        <f t="shared" si="463"/>
        <v/>
      </c>
      <c r="M5916" t="str">
        <f t="shared" si="464"/>
        <v/>
      </c>
    </row>
    <row r="5917" spans="1:13" x14ac:dyDescent="0.3">
      <c r="A5917" t="str">
        <f>Segmenter!A5917</f>
        <v/>
      </c>
      <c r="B5917" t="str">
        <f>Segmenter!B5917</f>
        <v/>
      </c>
      <c r="C5917" t="str">
        <f t="shared" si="460"/>
        <v/>
      </c>
      <c r="D5917" t="str">
        <f t="shared" si="461"/>
        <v/>
      </c>
      <c r="E5917" t="str">
        <f t="shared" si="462"/>
        <v/>
      </c>
      <c r="F5917" t="str">
        <f>IF(D5917="","",INDEX(Knutepunkter!$B:$B,D5917+1))</f>
        <v/>
      </c>
      <c r="G5917" t="str">
        <f>IF(D5917="","",INDEX(Knutepunkter!$C:$C,D5917+1))</f>
        <v/>
      </c>
      <c r="H5917" t="str">
        <f>IF(D5917="","",INDEX(Knutepunkter!$D:$D,D5917+1))</f>
        <v/>
      </c>
      <c r="I5917" t="str">
        <f>IF(E5917="","",INDEX(Knutepunkter!$B:$B,E5917+1))</f>
        <v/>
      </c>
      <c r="J5917" t="str">
        <f>IF(E5917="","",INDEX(Knutepunkter!$C:$C,E5917+1))</f>
        <v/>
      </c>
      <c r="K5917" t="str">
        <f>IF(E5917="","",INDEX(Knutepunkter!$D:$D,E5917+1))</f>
        <v/>
      </c>
      <c r="L5917" t="str">
        <f t="shared" si="463"/>
        <v/>
      </c>
      <c r="M5917" t="str">
        <f t="shared" si="464"/>
        <v/>
      </c>
    </row>
    <row r="5918" spans="1:13" x14ac:dyDescent="0.3">
      <c r="A5918" t="str">
        <f>Segmenter!A5918</f>
        <v/>
      </c>
      <c r="B5918" t="str">
        <f>Segmenter!B5918</f>
        <v/>
      </c>
      <c r="C5918" t="str">
        <f t="shared" si="460"/>
        <v/>
      </c>
      <c r="D5918" t="str">
        <f t="shared" si="461"/>
        <v/>
      </c>
      <c r="E5918" t="str">
        <f t="shared" si="462"/>
        <v/>
      </c>
      <c r="F5918" t="str">
        <f>IF(D5918="","",INDEX(Knutepunkter!$B:$B,D5918+1))</f>
        <v/>
      </c>
      <c r="G5918" t="str">
        <f>IF(D5918="","",INDEX(Knutepunkter!$C:$C,D5918+1))</f>
        <v/>
      </c>
      <c r="H5918" t="str">
        <f>IF(D5918="","",INDEX(Knutepunkter!$D:$D,D5918+1))</f>
        <v/>
      </c>
      <c r="I5918" t="str">
        <f>IF(E5918="","",INDEX(Knutepunkter!$B:$B,E5918+1))</f>
        <v/>
      </c>
      <c r="J5918" t="str">
        <f>IF(E5918="","",INDEX(Knutepunkter!$C:$C,E5918+1))</f>
        <v/>
      </c>
      <c r="K5918" t="str">
        <f>IF(E5918="","",INDEX(Knutepunkter!$D:$D,E5918+1))</f>
        <v/>
      </c>
      <c r="L5918" t="str">
        <f t="shared" si="463"/>
        <v/>
      </c>
      <c r="M5918" t="str">
        <f t="shared" si="464"/>
        <v/>
      </c>
    </row>
    <row r="5919" spans="1:13" x14ac:dyDescent="0.3">
      <c r="A5919" t="str">
        <f>Segmenter!A5919</f>
        <v/>
      </c>
      <c r="B5919" t="str">
        <f>Segmenter!B5919</f>
        <v/>
      </c>
      <c r="C5919" t="str">
        <f t="shared" si="460"/>
        <v/>
      </c>
      <c r="D5919" t="str">
        <f t="shared" si="461"/>
        <v/>
      </c>
      <c r="E5919" t="str">
        <f t="shared" si="462"/>
        <v/>
      </c>
      <c r="F5919" t="str">
        <f>IF(D5919="","",INDEX(Knutepunkter!$B:$B,D5919+1))</f>
        <v/>
      </c>
      <c r="G5919" t="str">
        <f>IF(D5919="","",INDEX(Knutepunkter!$C:$C,D5919+1))</f>
        <v/>
      </c>
      <c r="H5919" t="str">
        <f>IF(D5919="","",INDEX(Knutepunkter!$D:$D,D5919+1))</f>
        <v/>
      </c>
      <c r="I5919" t="str">
        <f>IF(E5919="","",INDEX(Knutepunkter!$B:$B,E5919+1))</f>
        <v/>
      </c>
      <c r="J5919" t="str">
        <f>IF(E5919="","",INDEX(Knutepunkter!$C:$C,E5919+1))</f>
        <v/>
      </c>
      <c r="K5919" t="str">
        <f>IF(E5919="","",INDEX(Knutepunkter!$D:$D,E5919+1))</f>
        <v/>
      </c>
      <c r="L5919" t="str">
        <f t="shared" si="463"/>
        <v/>
      </c>
      <c r="M5919" t="str">
        <f t="shared" si="464"/>
        <v/>
      </c>
    </row>
    <row r="5920" spans="1:13" x14ac:dyDescent="0.3">
      <c r="A5920" t="str">
        <f>Segmenter!A5920</f>
        <v/>
      </c>
      <c r="B5920" t="str">
        <f>Segmenter!B5920</f>
        <v/>
      </c>
      <c r="C5920" t="str">
        <f t="shared" si="460"/>
        <v/>
      </c>
      <c r="D5920" t="str">
        <f t="shared" si="461"/>
        <v/>
      </c>
      <c r="E5920" t="str">
        <f t="shared" si="462"/>
        <v/>
      </c>
      <c r="F5920" t="str">
        <f>IF(D5920="","",INDEX(Knutepunkter!$B:$B,D5920+1))</f>
        <v/>
      </c>
      <c r="G5920" t="str">
        <f>IF(D5920="","",INDEX(Knutepunkter!$C:$C,D5920+1))</f>
        <v/>
      </c>
      <c r="H5920" t="str">
        <f>IF(D5920="","",INDEX(Knutepunkter!$D:$D,D5920+1))</f>
        <v/>
      </c>
      <c r="I5920" t="str">
        <f>IF(E5920="","",INDEX(Knutepunkter!$B:$B,E5920+1))</f>
        <v/>
      </c>
      <c r="J5920" t="str">
        <f>IF(E5920="","",INDEX(Knutepunkter!$C:$C,E5920+1))</f>
        <v/>
      </c>
      <c r="K5920" t="str">
        <f>IF(E5920="","",INDEX(Knutepunkter!$D:$D,E5920+1))</f>
        <v/>
      </c>
      <c r="L5920" t="str">
        <f t="shared" si="463"/>
        <v/>
      </c>
      <c r="M5920" t="str">
        <f t="shared" si="464"/>
        <v/>
      </c>
    </row>
    <row r="5921" spans="1:13" x14ac:dyDescent="0.3">
      <c r="A5921" t="str">
        <f>Segmenter!A5921</f>
        <v/>
      </c>
      <c r="B5921" t="str">
        <f>Segmenter!B5921</f>
        <v/>
      </c>
      <c r="C5921" t="str">
        <f t="shared" si="460"/>
        <v/>
      </c>
      <c r="D5921" t="str">
        <f t="shared" si="461"/>
        <v/>
      </c>
      <c r="E5921" t="str">
        <f t="shared" si="462"/>
        <v/>
      </c>
      <c r="F5921" t="str">
        <f>IF(D5921="","",INDEX(Knutepunkter!$B:$B,D5921+1))</f>
        <v/>
      </c>
      <c r="G5921" t="str">
        <f>IF(D5921="","",INDEX(Knutepunkter!$C:$C,D5921+1))</f>
        <v/>
      </c>
      <c r="H5921" t="str">
        <f>IF(D5921="","",INDEX(Knutepunkter!$D:$D,D5921+1))</f>
        <v/>
      </c>
      <c r="I5921" t="str">
        <f>IF(E5921="","",INDEX(Knutepunkter!$B:$B,E5921+1))</f>
        <v/>
      </c>
      <c r="J5921" t="str">
        <f>IF(E5921="","",INDEX(Knutepunkter!$C:$C,E5921+1))</f>
        <v/>
      </c>
      <c r="K5921" t="str">
        <f>IF(E5921="","",INDEX(Knutepunkter!$D:$D,E5921+1))</f>
        <v/>
      </c>
      <c r="L5921" t="str">
        <f t="shared" si="463"/>
        <v/>
      </c>
      <c r="M5921" t="str">
        <f t="shared" si="464"/>
        <v/>
      </c>
    </row>
    <row r="5922" spans="1:13" x14ac:dyDescent="0.3">
      <c r="A5922" t="str">
        <f>Segmenter!A5922</f>
        <v/>
      </c>
      <c r="B5922" t="str">
        <f>Segmenter!B5922</f>
        <v/>
      </c>
      <c r="C5922" t="str">
        <f t="shared" si="460"/>
        <v/>
      </c>
      <c r="D5922" t="str">
        <f t="shared" si="461"/>
        <v/>
      </c>
      <c r="E5922" t="str">
        <f t="shared" si="462"/>
        <v/>
      </c>
      <c r="F5922" t="str">
        <f>IF(D5922="","",INDEX(Knutepunkter!$B:$B,D5922+1))</f>
        <v/>
      </c>
      <c r="G5922" t="str">
        <f>IF(D5922="","",INDEX(Knutepunkter!$C:$C,D5922+1))</f>
        <v/>
      </c>
      <c r="H5922" t="str">
        <f>IF(D5922="","",INDEX(Knutepunkter!$D:$D,D5922+1))</f>
        <v/>
      </c>
      <c r="I5922" t="str">
        <f>IF(E5922="","",INDEX(Knutepunkter!$B:$B,E5922+1))</f>
        <v/>
      </c>
      <c r="J5922" t="str">
        <f>IF(E5922="","",INDEX(Knutepunkter!$C:$C,E5922+1))</f>
        <v/>
      </c>
      <c r="K5922" t="str">
        <f>IF(E5922="","",INDEX(Knutepunkter!$D:$D,E5922+1))</f>
        <v/>
      </c>
      <c r="L5922" t="str">
        <f t="shared" si="463"/>
        <v/>
      </c>
      <c r="M5922" t="str">
        <f t="shared" si="464"/>
        <v/>
      </c>
    </row>
    <row r="5923" spans="1:13" x14ac:dyDescent="0.3">
      <c r="A5923" t="str">
        <f>Segmenter!A5923</f>
        <v/>
      </c>
      <c r="B5923" t="str">
        <f>Segmenter!B5923</f>
        <v/>
      </c>
      <c r="C5923" t="str">
        <f t="shared" si="460"/>
        <v/>
      </c>
      <c r="D5923" t="str">
        <f t="shared" si="461"/>
        <v/>
      </c>
      <c r="E5923" t="str">
        <f t="shared" si="462"/>
        <v/>
      </c>
      <c r="F5923" t="str">
        <f>IF(D5923="","",INDEX(Knutepunkter!$B:$B,D5923+1))</f>
        <v/>
      </c>
      <c r="G5923" t="str">
        <f>IF(D5923="","",INDEX(Knutepunkter!$C:$C,D5923+1))</f>
        <v/>
      </c>
      <c r="H5923" t="str">
        <f>IF(D5923="","",INDEX(Knutepunkter!$D:$D,D5923+1))</f>
        <v/>
      </c>
      <c r="I5923" t="str">
        <f>IF(E5923="","",INDEX(Knutepunkter!$B:$B,E5923+1))</f>
        <v/>
      </c>
      <c r="J5923" t="str">
        <f>IF(E5923="","",INDEX(Knutepunkter!$C:$C,E5923+1))</f>
        <v/>
      </c>
      <c r="K5923" t="str">
        <f>IF(E5923="","",INDEX(Knutepunkter!$D:$D,E5923+1))</f>
        <v/>
      </c>
      <c r="L5923" t="str">
        <f t="shared" si="463"/>
        <v/>
      </c>
      <c r="M5923" t="str">
        <f t="shared" si="464"/>
        <v/>
      </c>
    </row>
    <row r="5924" spans="1:13" x14ac:dyDescent="0.3">
      <c r="A5924" t="str">
        <f>Segmenter!A5924</f>
        <v/>
      </c>
      <c r="B5924" t="str">
        <f>Segmenter!B5924</f>
        <v/>
      </c>
      <c r="C5924" t="str">
        <f t="shared" si="460"/>
        <v/>
      </c>
      <c r="D5924" t="str">
        <f t="shared" si="461"/>
        <v/>
      </c>
      <c r="E5924" t="str">
        <f t="shared" si="462"/>
        <v/>
      </c>
      <c r="F5924" t="str">
        <f>IF(D5924="","",INDEX(Knutepunkter!$B:$B,D5924+1))</f>
        <v/>
      </c>
      <c r="G5924" t="str">
        <f>IF(D5924="","",INDEX(Knutepunkter!$C:$C,D5924+1))</f>
        <v/>
      </c>
      <c r="H5924" t="str">
        <f>IF(D5924="","",INDEX(Knutepunkter!$D:$D,D5924+1))</f>
        <v/>
      </c>
      <c r="I5924" t="str">
        <f>IF(E5924="","",INDEX(Knutepunkter!$B:$B,E5924+1))</f>
        <v/>
      </c>
      <c r="J5924" t="str">
        <f>IF(E5924="","",INDEX(Knutepunkter!$C:$C,E5924+1))</f>
        <v/>
      </c>
      <c r="K5924" t="str">
        <f>IF(E5924="","",INDEX(Knutepunkter!$D:$D,E5924+1))</f>
        <v/>
      </c>
      <c r="L5924" t="str">
        <f t="shared" si="463"/>
        <v/>
      </c>
      <c r="M5924" t="str">
        <f t="shared" si="464"/>
        <v/>
      </c>
    </row>
    <row r="5925" spans="1:13" x14ac:dyDescent="0.3">
      <c r="A5925" t="str">
        <f>Segmenter!A5925</f>
        <v/>
      </c>
      <c r="B5925" t="str">
        <f>Segmenter!B5925</f>
        <v/>
      </c>
      <c r="C5925" t="str">
        <f t="shared" si="460"/>
        <v/>
      </c>
      <c r="D5925" t="str">
        <f t="shared" si="461"/>
        <v/>
      </c>
      <c r="E5925" t="str">
        <f t="shared" si="462"/>
        <v/>
      </c>
      <c r="F5925" t="str">
        <f>IF(D5925="","",INDEX(Knutepunkter!$B:$B,D5925+1))</f>
        <v/>
      </c>
      <c r="G5925" t="str">
        <f>IF(D5925="","",INDEX(Knutepunkter!$C:$C,D5925+1))</f>
        <v/>
      </c>
      <c r="H5925" t="str">
        <f>IF(D5925="","",INDEX(Knutepunkter!$D:$D,D5925+1))</f>
        <v/>
      </c>
      <c r="I5925" t="str">
        <f>IF(E5925="","",INDEX(Knutepunkter!$B:$B,E5925+1))</f>
        <v/>
      </c>
      <c r="J5925" t="str">
        <f>IF(E5925="","",INDEX(Knutepunkter!$C:$C,E5925+1))</f>
        <v/>
      </c>
      <c r="K5925" t="str">
        <f>IF(E5925="","",INDEX(Knutepunkter!$D:$D,E5925+1))</f>
        <v/>
      </c>
      <c r="L5925" t="str">
        <f t="shared" si="463"/>
        <v/>
      </c>
      <c r="M5925" t="str">
        <f t="shared" si="464"/>
        <v/>
      </c>
    </row>
    <row r="5926" spans="1:13" x14ac:dyDescent="0.3">
      <c r="A5926" t="str">
        <f>Segmenter!A5926</f>
        <v/>
      </c>
      <c r="B5926" t="str">
        <f>Segmenter!B5926</f>
        <v/>
      </c>
      <c r="C5926" t="str">
        <f t="shared" si="460"/>
        <v/>
      </c>
      <c r="D5926" t="str">
        <f t="shared" si="461"/>
        <v/>
      </c>
      <c r="E5926" t="str">
        <f t="shared" si="462"/>
        <v/>
      </c>
      <c r="F5926" t="str">
        <f>IF(D5926="","",INDEX(Knutepunkter!$B:$B,D5926+1))</f>
        <v/>
      </c>
      <c r="G5926" t="str">
        <f>IF(D5926="","",INDEX(Knutepunkter!$C:$C,D5926+1))</f>
        <v/>
      </c>
      <c r="H5926" t="str">
        <f>IF(D5926="","",INDEX(Knutepunkter!$D:$D,D5926+1))</f>
        <v/>
      </c>
      <c r="I5926" t="str">
        <f>IF(E5926="","",INDEX(Knutepunkter!$B:$B,E5926+1))</f>
        <v/>
      </c>
      <c r="J5926" t="str">
        <f>IF(E5926="","",INDEX(Knutepunkter!$C:$C,E5926+1))</f>
        <v/>
      </c>
      <c r="K5926" t="str">
        <f>IF(E5926="","",INDEX(Knutepunkter!$D:$D,E5926+1))</f>
        <v/>
      </c>
      <c r="L5926" t="str">
        <f t="shared" si="463"/>
        <v/>
      </c>
      <c r="M5926" t="str">
        <f t="shared" si="464"/>
        <v/>
      </c>
    </row>
    <row r="5927" spans="1:13" x14ac:dyDescent="0.3">
      <c r="A5927" t="str">
        <f>Segmenter!A5927</f>
        <v/>
      </c>
      <c r="B5927" t="str">
        <f>Segmenter!B5927</f>
        <v/>
      </c>
      <c r="C5927" t="str">
        <f t="shared" si="460"/>
        <v/>
      </c>
      <c r="D5927" t="str">
        <f t="shared" si="461"/>
        <v/>
      </c>
      <c r="E5927" t="str">
        <f t="shared" si="462"/>
        <v/>
      </c>
      <c r="F5927" t="str">
        <f>IF(D5927="","",INDEX(Knutepunkter!$B:$B,D5927+1))</f>
        <v/>
      </c>
      <c r="G5927" t="str">
        <f>IF(D5927="","",INDEX(Knutepunkter!$C:$C,D5927+1))</f>
        <v/>
      </c>
      <c r="H5927" t="str">
        <f>IF(D5927="","",INDEX(Knutepunkter!$D:$D,D5927+1))</f>
        <v/>
      </c>
      <c r="I5927" t="str">
        <f>IF(E5927="","",INDEX(Knutepunkter!$B:$B,E5927+1))</f>
        <v/>
      </c>
      <c r="J5927" t="str">
        <f>IF(E5927="","",INDEX(Knutepunkter!$C:$C,E5927+1))</f>
        <v/>
      </c>
      <c r="K5927" t="str">
        <f>IF(E5927="","",INDEX(Knutepunkter!$D:$D,E5927+1))</f>
        <v/>
      </c>
      <c r="L5927" t="str">
        <f t="shared" si="463"/>
        <v/>
      </c>
      <c r="M5927" t="str">
        <f t="shared" si="464"/>
        <v/>
      </c>
    </row>
    <row r="5928" spans="1:13" x14ac:dyDescent="0.3">
      <c r="A5928" t="str">
        <f>Segmenter!A5928</f>
        <v/>
      </c>
      <c r="B5928" t="str">
        <f>Segmenter!B5928</f>
        <v/>
      </c>
      <c r="C5928" t="str">
        <f t="shared" si="460"/>
        <v/>
      </c>
      <c r="D5928" t="str">
        <f t="shared" si="461"/>
        <v/>
      </c>
      <c r="E5928" t="str">
        <f t="shared" si="462"/>
        <v/>
      </c>
      <c r="F5928" t="str">
        <f>IF(D5928="","",INDEX(Knutepunkter!$B:$B,D5928+1))</f>
        <v/>
      </c>
      <c r="G5928" t="str">
        <f>IF(D5928="","",INDEX(Knutepunkter!$C:$C,D5928+1))</f>
        <v/>
      </c>
      <c r="H5928" t="str">
        <f>IF(D5928="","",INDEX(Knutepunkter!$D:$D,D5928+1))</f>
        <v/>
      </c>
      <c r="I5928" t="str">
        <f>IF(E5928="","",INDEX(Knutepunkter!$B:$B,E5928+1))</f>
        <v/>
      </c>
      <c r="J5928" t="str">
        <f>IF(E5928="","",INDEX(Knutepunkter!$C:$C,E5928+1))</f>
        <v/>
      </c>
      <c r="K5928" t="str">
        <f>IF(E5928="","",INDEX(Knutepunkter!$D:$D,E5928+1))</f>
        <v/>
      </c>
      <c r="L5928" t="str">
        <f t="shared" si="463"/>
        <v/>
      </c>
      <c r="M5928" t="str">
        <f t="shared" si="464"/>
        <v/>
      </c>
    </row>
    <row r="5929" spans="1:13" x14ac:dyDescent="0.3">
      <c r="A5929" t="str">
        <f>Segmenter!A5929</f>
        <v/>
      </c>
      <c r="B5929" t="str">
        <f>Segmenter!B5929</f>
        <v/>
      </c>
      <c r="C5929" t="str">
        <f t="shared" si="460"/>
        <v/>
      </c>
      <c r="D5929" t="str">
        <f t="shared" si="461"/>
        <v/>
      </c>
      <c r="E5929" t="str">
        <f t="shared" si="462"/>
        <v/>
      </c>
      <c r="F5929" t="str">
        <f>IF(D5929="","",INDEX(Knutepunkter!$B:$B,D5929+1))</f>
        <v/>
      </c>
      <c r="G5929" t="str">
        <f>IF(D5929="","",INDEX(Knutepunkter!$C:$C,D5929+1))</f>
        <v/>
      </c>
      <c r="H5929" t="str">
        <f>IF(D5929="","",INDEX(Knutepunkter!$D:$D,D5929+1))</f>
        <v/>
      </c>
      <c r="I5929" t="str">
        <f>IF(E5929="","",INDEX(Knutepunkter!$B:$B,E5929+1))</f>
        <v/>
      </c>
      <c r="J5929" t="str">
        <f>IF(E5929="","",INDEX(Knutepunkter!$C:$C,E5929+1))</f>
        <v/>
      </c>
      <c r="K5929" t="str">
        <f>IF(E5929="","",INDEX(Knutepunkter!$D:$D,E5929+1))</f>
        <v/>
      </c>
      <c r="L5929" t="str">
        <f t="shared" si="463"/>
        <v/>
      </c>
      <c r="M5929" t="str">
        <f t="shared" si="464"/>
        <v/>
      </c>
    </row>
    <row r="5930" spans="1:13" x14ac:dyDescent="0.3">
      <c r="A5930" t="str">
        <f>Segmenter!A5930</f>
        <v/>
      </c>
      <c r="B5930" t="str">
        <f>Segmenter!B5930</f>
        <v/>
      </c>
      <c r="C5930" t="str">
        <f t="shared" si="460"/>
        <v/>
      </c>
      <c r="D5930" t="str">
        <f t="shared" si="461"/>
        <v/>
      </c>
      <c r="E5930" t="str">
        <f t="shared" si="462"/>
        <v/>
      </c>
      <c r="F5930" t="str">
        <f>IF(D5930="","",INDEX(Knutepunkter!$B:$B,D5930+1))</f>
        <v/>
      </c>
      <c r="G5930" t="str">
        <f>IF(D5930="","",INDEX(Knutepunkter!$C:$C,D5930+1))</f>
        <v/>
      </c>
      <c r="H5930" t="str">
        <f>IF(D5930="","",INDEX(Knutepunkter!$D:$D,D5930+1))</f>
        <v/>
      </c>
      <c r="I5930" t="str">
        <f>IF(E5930="","",INDEX(Knutepunkter!$B:$B,E5930+1))</f>
        <v/>
      </c>
      <c r="J5930" t="str">
        <f>IF(E5930="","",INDEX(Knutepunkter!$C:$C,E5930+1))</f>
        <v/>
      </c>
      <c r="K5930" t="str">
        <f>IF(E5930="","",INDEX(Knutepunkter!$D:$D,E5930+1))</f>
        <v/>
      </c>
      <c r="L5930" t="str">
        <f t="shared" si="463"/>
        <v/>
      </c>
      <c r="M5930" t="str">
        <f t="shared" si="464"/>
        <v/>
      </c>
    </row>
    <row r="5931" spans="1:13" x14ac:dyDescent="0.3">
      <c r="A5931" t="str">
        <f>Segmenter!A5931</f>
        <v/>
      </c>
      <c r="B5931" t="str">
        <f>Segmenter!B5931</f>
        <v/>
      </c>
      <c r="C5931" t="str">
        <f t="shared" si="460"/>
        <v/>
      </c>
      <c r="D5931" t="str">
        <f t="shared" si="461"/>
        <v/>
      </c>
      <c r="E5931" t="str">
        <f t="shared" si="462"/>
        <v/>
      </c>
      <c r="F5931" t="str">
        <f>IF(D5931="","",INDEX(Knutepunkter!$B:$B,D5931+1))</f>
        <v/>
      </c>
      <c r="G5931" t="str">
        <f>IF(D5931="","",INDEX(Knutepunkter!$C:$C,D5931+1))</f>
        <v/>
      </c>
      <c r="H5931" t="str">
        <f>IF(D5931="","",INDEX(Knutepunkter!$D:$D,D5931+1))</f>
        <v/>
      </c>
      <c r="I5931" t="str">
        <f>IF(E5931="","",INDEX(Knutepunkter!$B:$B,E5931+1))</f>
        <v/>
      </c>
      <c r="J5931" t="str">
        <f>IF(E5931="","",INDEX(Knutepunkter!$C:$C,E5931+1))</f>
        <v/>
      </c>
      <c r="K5931" t="str">
        <f>IF(E5931="","",INDEX(Knutepunkter!$D:$D,E5931+1))</f>
        <v/>
      </c>
      <c r="L5931" t="str">
        <f t="shared" si="463"/>
        <v/>
      </c>
      <c r="M5931" t="str">
        <f t="shared" si="464"/>
        <v/>
      </c>
    </row>
    <row r="5932" spans="1:13" x14ac:dyDescent="0.3">
      <c r="A5932" t="str">
        <f>Segmenter!A5932</f>
        <v/>
      </c>
      <c r="B5932" t="str">
        <f>Segmenter!B5932</f>
        <v/>
      </c>
      <c r="C5932" t="str">
        <f t="shared" si="460"/>
        <v/>
      </c>
      <c r="D5932" t="str">
        <f t="shared" si="461"/>
        <v/>
      </c>
      <c r="E5932" t="str">
        <f t="shared" si="462"/>
        <v/>
      </c>
      <c r="F5932" t="str">
        <f>IF(D5932="","",INDEX(Knutepunkter!$B:$B,D5932+1))</f>
        <v/>
      </c>
      <c r="G5932" t="str">
        <f>IF(D5932="","",INDEX(Knutepunkter!$C:$C,D5932+1))</f>
        <v/>
      </c>
      <c r="H5932" t="str">
        <f>IF(D5932="","",INDEX(Knutepunkter!$D:$D,D5932+1))</f>
        <v/>
      </c>
      <c r="I5932" t="str">
        <f>IF(E5932="","",INDEX(Knutepunkter!$B:$B,E5932+1))</f>
        <v/>
      </c>
      <c r="J5932" t="str">
        <f>IF(E5932="","",INDEX(Knutepunkter!$C:$C,E5932+1))</f>
        <v/>
      </c>
      <c r="K5932" t="str">
        <f>IF(E5932="","",INDEX(Knutepunkter!$D:$D,E5932+1))</f>
        <v/>
      </c>
      <c r="L5932" t="str">
        <f t="shared" si="463"/>
        <v/>
      </c>
      <c r="M5932" t="str">
        <f t="shared" si="464"/>
        <v/>
      </c>
    </row>
    <row r="5933" spans="1:13" x14ac:dyDescent="0.3">
      <c r="A5933" t="str">
        <f>Segmenter!A5933</f>
        <v/>
      </c>
      <c r="B5933" t="str">
        <f>Segmenter!B5933</f>
        <v/>
      </c>
      <c r="C5933" t="str">
        <f t="shared" si="460"/>
        <v/>
      </c>
      <c r="D5933" t="str">
        <f t="shared" si="461"/>
        <v/>
      </c>
      <c r="E5933" t="str">
        <f t="shared" si="462"/>
        <v/>
      </c>
      <c r="F5933" t="str">
        <f>IF(D5933="","",INDEX(Knutepunkter!$B:$B,D5933+1))</f>
        <v/>
      </c>
      <c r="G5933" t="str">
        <f>IF(D5933="","",INDEX(Knutepunkter!$C:$C,D5933+1))</f>
        <v/>
      </c>
      <c r="H5933" t="str">
        <f>IF(D5933="","",INDEX(Knutepunkter!$D:$D,D5933+1))</f>
        <v/>
      </c>
      <c r="I5933" t="str">
        <f>IF(E5933="","",INDEX(Knutepunkter!$B:$B,E5933+1))</f>
        <v/>
      </c>
      <c r="J5933" t="str">
        <f>IF(E5933="","",INDEX(Knutepunkter!$C:$C,E5933+1))</f>
        <v/>
      </c>
      <c r="K5933" t="str">
        <f>IF(E5933="","",INDEX(Knutepunkter!$D:$D,E5933+1))</f>
        <v/>
      </c>
      <c r="L5933" t="str">
        <f t="shared" si="463"/>
        <v/>
      </c>
      <c r="M5933" t="str">
        <f t="shared" si="464"/>
        <v/>
      </c>
    </row>
    <row r="5934" spans="1:13" x14ac:dyDescent="0.3">
      <c r="A5934" t="str">
        <f>Segmenter!A5934</f>
        <v/>
      </c>
      <c r="B5934" t="str">
        <f>Segmenter!B5934</f>
        <v/>
      </c>
      <c r="C5934" t="str">
        <f t="shared" si="460"/>
        <v/>
      </c>
      <c r="D5934" t="str">
        <f t="shared" si="461"/>
        <v/>
      </c>
      <c r="E5934" t="str">
        <f t="shared" si="462"/>
        <v/>
      </c>
      <c r="F5934" t="str">
        <f>IF(D5934="","",INDEX(Knutepunkter!$B:$B,D5934+1))</f>
        <v/>
      </c>
      <c r="G5934" t="str">
        <f>IF(D5934="","",INDEX(Knutepunkter!$C:$C,D5934+1))</f>
        <v/>
      </c>
      <c r="H5934" t="str">
        <f>IF(D5934="","",INDEX(Knutepunkter!$D:$D,D5934+1))</f>
        <v/>
      </c>
      <c r="I5934" t="str">
        <f>IF(E5934="","",INDEX(Knutepunkter!$B:$B,E5934+1))</f>
        <v/>
      </c>
      <c r="J5934" t="str">
        <f>IF(E5934="","",INDEX(Knutepunkter!$C:$C,E5934+1))</f>
        <v/>
      </c>
      <c r="K5934" t="str">
        <f>IF(E5934="","",INDEX(Knutepunkter!$D:$D,E5934+1))</f>
        <v/>
      </c>
      <c r="L5934" t="str">
        <f t="shared" si="463"/>
        <v/>
      </c>
      <c r="M5934" t="str">
        <f t="shared" si="464"/>
        <v/>
      </c>
    </row>
    <row r="5935" spans="1:13" x14ac:dyDescent="0.3">
      <c r="A5935" t="str">
        <f>Segmenter!A5935</f>
        <v/>
      </c>
      <c r="B5935" t="str">
        <f>Segmenter!B5935</f>
        <v/>
      </c>
      <c r="C5935" t="str">
        <f t="shared" si="460"/>
        <v/>
      </c>
      <c r="D5935" t="str">
        <f t="shared" si="461"/>
        <v/>
      </c>
      <c r="E5935" t="str">
        <f t="shared" si="462"/>
        <v/>
      </c>
      <c r="F5935" t="str">
        <f>IF(D5935="","",INDEX(Knutepunkter!$B:$B,D5935+1))</f>
        <v/>
      </c>
      <c r="G5935" t="str">
        <f>IF(D5935="","",INDEX(Knutepunkter!$C:$C,D5935+1))</f>
        <v/>
      </c>
      <c r="H5935" t="str">
        <f>IF(D5935="","",INDEX(Knutepunkter!$D:$D,D5935+1))</f>
        <v/>
      </c>
      <c r="I5935" t="str">
        <f>IF(E5935="","",INDEX(Knutepunkter!$B:$B,E5935+1))</f>
        <v/>
      </c>
      <c r="J5935" t="str">
        <f>IF(E5935="","",INDEX(Knutepunkter!$C:$C,E5935+1))</f>
        <v/>
      </c>
      <c r="K5935" t="str">
        <f>IF(E5935="","",INDEX(Knutepunkter!$D:$D,E5935+1))</f>
        <v/>
      </c>
      <c r="L5935" t="str">
        <f t="shared" si="463"/>
        <v/>
      </c>
      <c r="M5935" t="str">
        <f t="shared" si="464"/>
        <v/>
      </c>
    </row>
    <row r="5936" spans="1:13" x14ac:dyDescent="0.3">
      <c r="A5936" t="str">
        <f>Segmenter!A5936</f>
        <v/>
      </c>
      <c r="B5936" t="str">
        <f>Segmenter!B5936</f>
        <v/>
      </c>
      <c r="C5936" t="str">
        <f t="shared" si="460"/>
        <v/>
      </c>
      <c r="D5936" t="str">
        <f t="shared" si="461"/>
        <v/>
      </c>
      <c r="E5936" t="str">
        <f t="shared" si="462"/>
        <v/>
      </c>
      <c r="F5936" t="str">
        <f>IF(D5936="","",INDEX(Knutepunkter!$B:$B,D5936+1))</f>
        <v/>
      </c>
      <c r="G5936" t="str">
        <f>IF(D5936="","",INDEX(Knutepunkter!$C:$C,D5936+1))</f>
        <v/>
      </c>
      <c r="H5936" t="str">
        <f>IF(D5936="","",INDEX(Knutepunkter!$D:$D,D5936+1))</f>
        <v/>
      </c>
      <c r="I5936" t="str">
        <f>IF(E5936="","",INDEX(Knutepunkter!$B:$B,E5936+1))</f>
        <v/>
      </c>
      <c r="J5936" t="str">
        <f>IF(E5936="","",INDEX(Knutepunkter!$C:$C,E5936+1))</f>
        <v/>
      </c>
      <c r="K5936" t="str">
        <f>IF(E5936="","",INDEX(Knutepunkter!$D:$D,E5936+1))</f>
        <v/>
      </c>
      <c r="L5936" t="str">
        <f t="shared" si="463"/>
        <v/>
      </c>
      <c r="M5936" t="str">
        <f t="shared" si="464"/>
        <v/>
      </c>
    </row>
    <row r="5937" spans="1:13" x14ac:dyDescent="0.3">
      <c r="A5937" t="str">
        <f>Segmenter!A5937</f>
        <v/>
      </c>
      <c r="B5937" t="str">
        <f>Segmenter!B5937</f>
        <v/>
      </c>
      <c r="C5937" t="str">
        <f t="shared" si="460"/>
        <v/>
      </c>
      <c r="D5937" t="str">
        <f t="shared" si="461"/>
        <v/>
      </c>
      <c r="E5937" t="str">
        <f t="shared" si="462"/>
        <v/>
      </c>
      <c r="F5937" t="str">
        <f>IF(D5937="","",INDEX(Knutepunkter!$B:$B,D5937+1))</f>
        <v/>
      </c>
      <c r="G5937" t="str">
        <f>IF(D5937="","",INDEX(Knutepunkter!$C:$C,D5937+1))</f>
        <v/>
      </c>
      <c r="H5937" t="str">
        <f>IF(D5937="","",INDEX(Knutepunkter!$D:$D,D5937+1))</f>
        <v/>
      </c>
      <c r="I5937" t="str">
        <f>IF(E5937="","",INDEX(Knutepunkter!$B:$B,E5937+1))</f>
        <v/>
      </c>
      <c r="J5937" t="str">
        <f>IF(E5937="","",INDEX(Knutepunkter!$C:$C,E5937+1))</f>
        <v/>
      </c>
      <c r="K5937" t="str">
        <f>IF(E5937="","",INDEX(Knutepunkter!$D:$D,E5937+1))</f>
        <v/>
      </c>
      <c r="L5937" t="str">
        <f t="shared" si="463"/>
        <v/>
      </c>
      <c r="M5937" t="str">
        <f t="shared" si="464"/>
        <v/>
      </c>
    </row>
    <row r="5938" spans="1:13" x14ac:dyDescent="0.3">
      <c r="A5938" t="str">
        <f>Segmenter!A5938</f>
        <v/>
      </c>
      <c r="B5938" t="str">
        <f>Segmenter!B5938</f>
        <v/>
      </c>
      <c r="C5938" t="str">
        <f t="shared" si="460"/>
        <v/>
      </c>
      <c r="D5938" t="str">
        <f t="shared" si="461"/>
        <v/>
      </c>
      <c r="E5938" t="str">
        <f t="shared" si="462"/>
        <v/>
      </c>
      <c r="F5938" t="str">
        <f>IF(D5938="","",INDEX(Knutepunkter!$B:$B,D5938+1))</f>
        <v/>
      </c>
      <c r="G5938" t="str">
        <f>IF(D5938="","",INDEX(Knutepunkter!$C:$C,D5938+1))</f>
        <v/>
      </c>
      <c r="H5938" t="str">
        <f>IF(D5938="","",INDEX(Knutepunkter!$D:$D,D5938+1))</f>
        <v/>
      </c>
      <c r="I5938" t="str">
        <f>IF(E5938="","",INDEX(Knutepunkter!$B:$B,E5938+1))</f>
        <v/>
      </c>
      <c r="J5938" t="str">
        <f>IF(E5938="","",INDEX(Knutepunkter!$C:$C,E5938+1))</f>
        <v/>
      </c>
      <c r="K5938" t="str">
        <f>IF(E5938="","",INDEX(Knutepunkter!$D:$D,E5938+1))</f>
        <v/>
      </c>
      <c r="L5938" t="str">
        <f t="shared" si="463"/>
        <v/>
      </c>
      <c r="M5938" t="str">
        <f t="shared" si="464"/>
        <v/>
      </c>
    </row>
    <row r="5939" spans="1:13" x14ac:dyDescent="0.3">
      <c r="A5939" t="str">
        <f>Segmenter!A5939</f>
        <v/>
      </c>
      <c r="B5939" t="str">
        <f>Segmenter!B5939</f>
        <v/>
      </c>
      <c r="C5939" t="str">
        <f t="shared" si="460"/>
        <v/>
      </c>
      <c r="D5939" t="str">
        <f t="shared" si="461"/>
        <v/>
      </c>
      <c r="E5939" t="str">
        <f t="shared" si="462"/>
        <v/>
      </c>
      <c r="F5939" t="str">
        <f>IF(D5939="","",INDEX(Knutepunkter!$B:$B,D5939+1))</f>
        <v/>
      </c>
      <c r="G5939" t="str">
        <f>IF(D5939="","",INDEX(Knutepunkter!$C:$C,D5939+1))</f>
        <v/>
      </c>
      <c r="H5939" t="str">
        <f>IF(D5939="","",INDEX(Knutepunkter!$D:$D,D5939+1))</f>
        <v/>
      </c>
      <c r="I5939" t="str">
        <f>IF(E5939="","",INDEX(Knutepunkter!$B:$B,E5939+1))</f>
        <v/>
      </c>
      <c r="J5939" t="str">
        <f>IF(E5939="","",INDEX(Knutepunkter!$C:$C,E5939+1))</f>
        <v/>
      </c>
      <c r="K5939" t="str">
        <f>IF(E5939="","",INDEX(Knutepunkter!$D:$D,E5939+1))</f>
        <v/>
      </c>
      <c r="L5939" t="str">
        <f t="shared" si="463"/>
        <v/>
      </c>
      <c r="M5939" t="str">
        <f t="shared" si="464"/>
        <v/>
      </c>
    </row>
    <row r="5940" spans="1:13" x14ac:dyDescent="0.3">
      <c r="A5940" t="str">
        <f>Segmenter!A5940</f>
        <v/>
      </c>
      <c r="B5940" t="str">
        <f>Segmenter!B5940</f>
        <v/>
      </c>
      <c r="C5940" t="str">
        <f t="shared" si="460"/>
        <v/>
      </c>
      <c r="D5940" t="str">
        <f t="shared" si="461"/>
        <v/>
      </c>
      <c r="E5940" t="str">
        <f t="shared" si="462"/>
        <v/>
      </c>
      <c r="F5940" t="str">
        <f>IF(D5940="","",INDEX(Knutepunkter!$B:$B,D5940+1))</f>
        <v/>
      </c>
      <c r="G5940" t="str">
        <f>IF(D5940="","",INDEX(Knutepunkter!$C:$C,D5940+1))</f>
        <v/>
      </c>
      <c r="H5940" t="str">
        <f>IF(D5940="","",INDEX(Knutepunkter!$D:$D,D5940+1))</f>
        <v/>
      </c>
      <c r="I5940" t="str">
        <f>IF(E5940="","",INDEX(Knutepunkter!$B:$B,E5940+1))</f>
        <v/>
      </c>
      <c r="J5940" t="str">
        <f>IF(E5940="","",INDEX(Knutepunkter!$C:$C,E5940+1))</f>
        <v/>
      </c>
      <c r="K5940" t="str">
        <f>IF(E5940="","",INDEX(Knutepunkter!$D:$D,E5940+1))</f>
        <v/>
      </c>
      <c r="L5940" t="str">
        <f t="shared" si="463"/>
        <v/>
      </c>
      <c r="M5940" t="str">
        <f t="shared" si="464"/>
        <v/>
      </c>
    </row>
    <row r="5941" spans="1:13" x14ac:dyDescent="0.3">
      <c r="A5941" t="str">
        <f>Segmenter!A5941</f>
        <v/>
      </c>
      <c r="B5941" t="str">
        <f>Segmenter!B5941</f>
        <v/>
      </c>
      <c r="C5941" t="str">
        <f t="shared" si="460"/>
        <v/>
      </c>
      <c r="D5941" t="str">
        <f t="shared" si="461"/>
        <v/>
      </c>
      <c r="E5941" t="str">
        <f t="shared" si="462"/>
        <v/>
      </c>
      <c r="F5941" t="str">
        <f>IF(D5941="","",INDEX(Knutepunkter!$B:$B,D5941+1))</f>
        <v/>
      </c>
      <c r="G5941" t="str">
        <f>IF(D5941="","",INDEX(Knutepunkter!$C:$C,D5941+1))</f>
        <v/>
      </c>
      <c r="H5941" t="str">
        <f>IF(D5941="","",INDEX(Knutepunkter!$D:$D,D5941+1))</f>
        <v/>
      </c>
      <c r="I5941" t="str">
        <f>IF(E5941="","",INDEX(Knutepunkter!$B:$B,E5941+1))</f>
        <v/>
      </c>
      <c r="J5941" t="str">
        <f>IF(E5941="","",INDEX(Knutepunkter!$C:$C,E5941+1))</f>
        <v/>
      </c>
      <c r="K5941" t="str">
        <f>IF(E5941="","",INDEX(Knutepunkter!$D:$D,E5941+1))</f>
        <v/>
      </c>
      <c r="L5941" t="str">
        <f t="shared" si="463"/>
        <v/>
      </c>
      <c r="M5941" t="str">
        <f t="shared" si="464"/>
        <v/>
      </c>
    </row>
    <row r="5942" spans="1:13" x14ac:dyDescent="0.3">
      <c r="A5942" t="str">
        <f>Segmenter!A5942</f>
        <v/>
      </c>
      <c r="B5942" t="str">
        <f>Segmenter!B5942</f>
        <v/>
      </c>
      <c r="C5942" t="str">
        <f t="shared" si="460"/>
        <v/>
      </c>
      <c r="D5942" t="str">
        <f t="shared" si="461"/>
        <v/>
      </c>
      <c r="E5942" t="str">
        <f t="shared" si="462"/>
        <v/>
      </c>
      <c r="F5942" t="str">
        <f>IF(D5942="","",INDEX(Knutepunkter!$B:$B,D5942+1))</f>
        <v/>
      </c>
      <c r="G5942" t="str">
        <f>IF(D5942="","",INDEX(Knutepunkter!$C:$C,D5942+1))</f>
        <v/>
      </c>
      <c r="H5942" t="str">
        <f>IF(D5942="","",INDEX(Knutepunkter!$D:$D,D5942+1))</f>
        <v/>
      </c>
      <c r="I5942" t="str">
        <f>IF(E5942="","",INDEX(Knutepunkter!$B:$B,E5942+1))</f>
        <v/>
      </c>
      <c r="J5942" t="str">
        <f>IF(E5942="","",INDEX(Knutepunkter!$C:$C,E5942+1))</f>
        <v/>
      </c>
      <c r="K5942" t="str">
        <f>IF(E5942="","",INDEX(Knutepunkter!$D:$D,E5942+1))</f>
        <v/>
      </c>
      <c r="L5942" t="str">
        <f t="shared" si="463"/>
        <v/>
      </c>
      <c r="M5942" t="str">
        <f t="shared" si="464"/>
        <v/>
      </c>
    </row>
    <row r="5943" spans="1:13" x14ac:dyDescent="0.3">
      <c r="A5943" t="str">
        <f>Segmenter!A5943</f>
        <v/>
      </c>
      <c r="B5943" t="str">
        <f>Segmenter!B5943</f>
        <v/>
      </c>
      <c r="C5943" t="str">
        <f t="shared" si="460"/>
        <v/>
      </c>
      <c r="D5943" t="str">
        <f t="shared" si="461"/>
        <v/>
      </c>
      <c r="E5943" t="str">
        <f t="shared" si="462"/>
        <v/>
      </c>
      <c r="F5943" t="str">
        <f>IF(D5943="","",INDEX(Knutepunkter!$B:$B,D5943+1))</f>
        <v/>
      </c>
      <c r="G5943" t="str">
        <f>IF(D5943="","",INDEX(Knutepunkter!$C:$C,D5943+1))</f>
        <v/>
      </c>
      <c r="H5943" t="str">
        <f>IF(D5943="","",INDEX(Knutepunkter!$D:$D,D5943+1))</f>
        <v/>
      </c>
      <c r="I5943" t="str">
        <f>IF(E5943="","",INDEX(Knutepunkter!$B:$B,E5943+1))</f>
        <v/>
      </c>
      <c r="J5943" t="str">
        <f>IF(E5943="","",INDEX(Knutepunkter!$C:$C,E5943+1))</f>
        <v/>
      </c>
      <c r="K5943" t="str">
        <f>IF(E5943="","",INDEX(Knutepunkter!$D:$D,E5943+1))</f>
        <v/>
      </c>
      <c r="L5943" t="str">
        <f t="shared" si="463"/>
        <v/>
      </c>
      <c r="M5943" t="str">
        <f t="shared" si="464"/>
        <v/>
      </c>
    </row>
    <row r="5944" spans="1:13" x14ac:dyDescent="0.3">
      <c r="A5944" t="str">
        <f>Segmenter!A5944</f>
        <v/>
      </c>
      <c r="B5944" t="str">
        <f>Segmenter!B5944</f>
        <v/>
      </c>
      <c r="C5944" t="str">
        <f t="shared" si="460"/>
        <v/>
      </c>
      <c r="D5944" t="str">
        <f t="shared" si="461"/>
        <v/>
      </c>
      <c r="E5944" t="str">
        <f t="shared" si="462"/>
        <v/>
      </c>
      <c r="F5944" t="str">
        <f>IF(D5944="","",INDEX(Knutepunkter!$B:$B,D5944+1))</f>
        <v/>
      </c>
      <c r="G5944" t="str">
        <f>IF(D5944="","",INDEX(Knutepunkter!$C:$C,D5944+1))</f>
        <v/>
      </c>
      <c r="H5944" t="str">
        <f>IF(D5944="","",INDEX(Knutepunkter!$D:$D,D5944+1))</f>
        <v/>
      </c>
      <c r="I5944" t="str">
        <f>IF(E5944="","",INDEX(Knutepunkter!$B:$B,E5944+1))</f>
        <v/>
      </c>
      <c r="J5944" t="str">
        <f>IF(E5944="","",INDEX(Knutepunkter!$C:$C,E5944+1))</f>
        <v/>
      </c>
      <c r="K5944" t="str">
        <f>IF(E5944="","",INDEX(Knutepunkter!$D:$D,E5944+1))</f>
        <v/>
      </c>
      <c r="L5944" t="str">
        <f t="shared" si="463"/>
        <v/>
      </c>
      <c r="M5944" t="str">
        <f t="shared" si="464"/>
        <v/>
      </c>
    </row>
    <row r="5945" spans="1:13" x14ac:dyDescent="0.3">
      <c r="A5945" t="str">
        <f>Segmenter!A5945</f>
        <v/>
      </c>
      <c r="B5945" t="str">
        <f>Segmenter!B5945</f>
        <v/>
      </c>
      <c r="C5945" t="str">
        <f t="shared" si="460"/>
        <v/>
      </c>
      <c r="D5945" t="str">
        <f t="shared" si="461"/>
        <v/>
      </c>
      <c r="E5945" t="str">
        <f t="shared" si="462"/>
        <v/>
      </c>
      <c r="F5945" t="str">
        <f>IF(D5945="","",INDEX(Knutepunkter!$B:$B,D5945+1))</f>
        <v/>
      </c>
      <c r="G5945" t="str">
        <f>IF(D5945="","",INDEX(Knutepunkter!$C:$C,D5945+1))</f>
        <v/>
      </c>
      <c r="H5945" t="str">
        <f>IF(D5945="","",INDEX(Knutepunkter!$D:$D,D5945+1))</f>
        <v/>
      </c>
      <c r="I5945" t="str">
        <f>IF(E5945="","",INDEX(Knutepunkter!$B:$B,E5945+1))</f>
        <v/>
      </c>
      <c r="J5945" t="str">
        <f>IF(E5945="","",INDEX(Knutepunkter!$C:$C,E5945+1))</f>
        <v/>
      </c>
      <c r="K5945" t="str">
        <f>IF(E5945="","",INDEX(Knutepunkter!$D:$D,E5945+1))</f>
        <v/>
      </c>
      <c r="L5945" t="str">
        <f t="shared" si="463"/>
        <v/>
      </c>
      <c r="M5945" t="str">
        <f t="shared" si="464"/>
        <v/>
      </c>
    </row>
    <row r="5946" spans="1:13" x14ac:dyDescent="0.3">
      <c r="A5946" t="str">
        <f>Segmenter!A5946</f>
        <v/>
      </c>
      <c r="B5946" t="str">
        <f>Segmenter!B5946</f>
        <v/>
      </c>
      <c r="C5946" t="str">
        <f t="shared" si="460"/>
        <v/>
      </c>
      <c r="D5946" t="str">
        <f t="shared" si="461"/>
        <v/>
      </c>
      <c r="E5946" t="str">
        <f t="shared" si="462"/>
        <v/>
      </c>
      <c r="F5946" t="str">
        <f>IF(D5946="","",INDEX(Knutepunkter!$B:$B,D5946+1))</f>
        <v/>
      </c>
      <c r="G5946" t="str">
        <f>IF(D5946="","",INDEX(Knutepunkter!$C:$C,D5946+1))</f>
        <v/>
      </c>
      <c r="H5946" t="str">
        <f>IF(D5946="","",INDEX(Knutepunkter!$D:$D,D5946+1))</f>
        <v/>
      </c>
      <c r="I5946" t="str">
        <f>IF(E5946="","",INDEX(Knutepunkter!$B:$B,E5946+1))</f>
        <v/>
      </c>
      <c r="J5946" t="str">
        <f>IF(E5946="","",INDEX(Knutepunkter!$C:$C,E5946+1))</f>
        <v/>
      </c>
      <c r="K5946" t="str">
        <f>IF(E5946="","",INDEX(Knutepunkter!$D:$D,E5946+1))</f>
        <v/>
      </c>
      <c r="L5946" t="str">
        <f t="shared" si="463"/>
        <v/>
      </c>
      <c r="M5946" t="str">
        <f t="shared" si="464"/>
        <v/>
      </c>
    </row>
    <row r="5947" spans="1:13" x14ac:dyDescent="0.3">
      <c r="A5947" t="str">
        <f>Segmenter!A5947</f>
        <v/>
      </c>
      <c r="B5947" t="str">
        <f>Segmenter!B5947</f>
        <v/>
      </c>
      <c r="C5947" t="str">
        <f t="shared" si="460"/>
        <v/>
      </c>
      <c r="D5947" t="str">
        <f t="shared" si="461"/>
        <v/>
      </c>
      <c r="E5947" t="str">
        <f t="shared" si="462"/>
        <v/>
      </c>
      <c r="F5947" t="str">
        <f>IF(D5947="","",INDEX(Knutepunkter!$B:$B,D5947+1))</f>
        <v/>
      </c>
      <c r="G5947" t="str">
        <f>IF(D5947="","",INDEX(Knutepunkter!$C:$C,D5947+1))</f>
        <v/>
      </c>
      <c r="H5947" t="str">
        <f>IF(D5947="","",INDEX(Knutepunkter!$D:$D,D5947+1))</f>
        <v/>
      </c>
      <c r="I5947" t="str">
        <f>IF(E5947="","",INDEX(Knutepunkter!$B:$B,E5947+1))</f>
        <v/>
      </c>
      <c r="J5947" t="str">
        <f>IF(E5947="","",INDEX(Knutepunkter!$C:$C,E5947+1))</f>
        <v/>
      </c>
      <c r="K5947" t="str">
        <f>IF(E5947="","",INDEX(Knutepunkter!$D:$D,E5947+1))</f>
        <v/>
      </c>
      <c r="L5947" t="str">
        <f t="shared" si="463"/>
        <v/>
      </c>
      <c r="M5947" t="str">
        <f t="shared" si="464"/>
        <v/>
      </c>
    </row>
    <row r="5948" spans="1:13" x14ac:dyDescent="0.3">
      <c r="A5948" t="str">
        <f>Segmenter!A5948</f>
        <v/>
      </c>
      <c r="B5948" t="str">
        <f>Segmenter!B5948</f>
        <v/>
      </c>
      <c r="C5948" t="str">
        <f t="shared" si="460"/>
        <v/>
      </c>
      <c r="D5948" t="str">
        <f t="shared" si="461"/>
        <v/>
      </c>
      <c r="E5948" t="str">
        <f t="shared" si="462"/>
        <v/>
      </c>
      <c r="F5948" t="str">
        <f>IF(D5948="","",INDEX(Knutepunkter!$B:$B,D5948+1))</f>
        <v/>
      </c>
      <c r="G5948" t="str">
        <f>IF(D5948="","",INDEX(Knutepunkter!$C:$C,D5948+1))</f>
        <v/>
      </c>
      <c r="H5948" t="str">
        <f>IF(D5948="","",INDEX(Knutepunkter!$D:$D,D5948+1))</f>
        <v/>
      </c>
      <c r="I5948" t="str">
        <f>IF(E5948="","",INDEX(Knutepunkter!$B:$B,E5948+1))</f>
        <v/>
      </c>
      <c r="J5948" t="str">
        <f>IF(E5948="","",INDEX(Knutepunkter!$C:$C,E5948+1))</f>
        <v/>
      </c>
      <c r="K5948" t="str">
        <f>IF(E5948="","",INDEX(Knutepunkter!$D:$D,E5948+1))</f>
        <v/>
      </c>
      <c r="L5948" t="str">
        <f t="shared" si="463"/>
        <v/>
      </c>
      <c r="M5948" t="str">
        <f t="shared" si="464"/>
        <v/>
      </c>
    </row>
    <row r="5949" spans="1:13" x14ac:dyDescent="0.3">
      <c r="A5949" t="str">
        <f>Segmenter!A5949</f>
        <v/>
      </c>
      <c r="B5949" t="str">
        <f>Segmenter!B5949</f>
        <v/>
      </c>
      <c r="C5949" t="str">
        <f t="shared" si="460"/>
        <v/>
      </c>
      <c r="D5949" t="str">
        <f t="shared" si="461"/>
        <v/>
      </c>
      <c r="E5949" t="str">
        <f t="shared" si="462"/>
        <v/>
      </c>
      <c r="F5949" t="str">
        <f>IF(D5949="","",INDEX(Knutepunkter!$B:$B,D5949+1))</f>
        <v/>
      </c>
      <c r="G5949" t="str">
        <f>IF(D5949="","",INDEX(Knutepunkter!$C:$C,D5949+1))</f>
        <v/>
      </c>
      <c r="H5949" t="str">
        <f>IF(D5949="","",INDEX(Knutepunkter!$D:$D,D5949+1))</f>
        <v/>
      </c>
      <c r="I5949" t="str">
        <f>IF(E5949="","",INDEX(Knutepunkter!$B:$B,E5949+1))</f>
        <v/>
      </c>
      <c r="J5949" t="str">
        <f>IF(E5949="","",INDEX(Knutepunkter!$C:$C,E5949+1))</f>
        <v/>
      </c>
      <c r="K5949" t="str">
        <f>IF(E5949="","",INDEX(Knutepunkter!$D:$D,E5949+1))</f>
        <v/>
      </c>
      <c r="L5949" t="str">
        <f t="shared" si="463"/>
        <v/>
      </c>
      <c r="M5949" t="str">
        <f t="shared" si="464"/>
        <v/>
      </c>
    </row>
    <row r="5950" spans="1:13" x14ac:dyDescent="0.3">
      <c r="A5950" t="str">
        <f>Segmenter!A5950</f>
        <v/>
      </c>
      <c r="B5950" t="str">
        <f>Segmenter!B5950</f>
        <v/>
      </c>
      <c r="C5950" t="str">
        <f t="shared" si="460"/>
        <v/>
      </c>
      <c r="D5950" t="str">
        <f t="shared" si="461"/>
        <v/>
      </c>
      <c r="E5950" t="str">
        <f t="shared" si="462"/>
        <v/>
      </c>
      <c r="F5950" t="str">
        <f>IF(D5950="","",INDEX(Knutepunkter!$B:$B,D5950+1))</f>
        <v/>
      </c>
      <c r="G5950" t="str">
        <f>IF(D5950="","",INDEX(Knutepunkter!$C:$C,D5950+1))</f>
        <v/>
      </c>
      <c r="H5950" t="str">
        <f>IF(D5950="","",INDEX(Knutepunkter!$D:$D,D5950+1))</f>
        <v/>
      </c>
      <c r="I5950" t="str">
        <f>IF(E5950="","",INDEX(Knutepunkter!$B:$B,E5950+1))</f>
        <v/>
      </c>
      <c r="J5950" t="str">
        <f>IF(E5950="","",INDEX(Knutepunkter!$C:$C,E5950+1))</f>
        <v/>
      </c>
      <c r="K5950" t="str">
        <f>IF(E5950="","",INDEX(Knutepunkter!$D:$D,E5950+1))</f>
        <v/>
      </c>
      <c r="L5950" t="str">
        <f t="shared" si="463"/>
        <v/>
      </c>
      <c r="M5950" t="str">
        <f t="shared" si="464"/>
        <v/>
      </c>
    </row>
    <row r="5951" spans="1:13" x14ac:dyDescent="0.3">
      <c r="A5951" t="str">
        <f>Segmenter!A5951</f>
        <v/>
      </c>
      <c r="B5951" t="str">
        <f>Segmenter!B5951</f>
        <v/>
      </c>
      <c r="C5951" t="str">
        <f t="shared" si="460"/>
        <v/>
      </c>
      <c r="D5951" t="str">
        <f t="shared" si="461"/>
        <v/>
      </c>
      <c r="E5951" t="str">
        <f t="shared" si="462"/>
        <v/>
      </c>
      <c r="F5951" t="str">
        <f>IF(D5951="","",INDEX(Knutepunkter!$B:$B,D5951+1))</f>
        <v/>
      </c>
      <c r="G5951" t="str">
        <f>IF(D5951="","",INDEX(Knutepunkter!$C:$C,D5951+1))</f>
        <v/>
      </c>
      <c r="H5951" t="str">
        <f>IF(D5951="","",INDEX(Knutepunkter!$D:$D,D5951+1))</f>
        <v/>
      </c>
      <c r="I5951" t="str">
        <f>IF(E5951="","",INDEX(Knutepunkter!$B:$B,E5951+1))</f>
        <v/>
      </c>
      <c r="J5951" t="str">
        <f>IF(E5951="","",INDEX(Knutepunkter!$C:$C,E5951+1))</f>
        <v/>
      </c>
      <c r="K5951" t="str">
        <f>IF(E5951="","",INDEX(Knutepunkter!$D:$D,E5951+1))</f>
        <v/>
      </c>
      <c r="L5951" t="str">
        <f t="shared" si="463"/>
        <v/>
      </c>
      <c r="M5951" t="str">
        <f t="shared" si="464"/>
        <v/>
      </c>
    </row>
    <row r="5952" spans="1:13" x14ac:dyDescent="0.3">
      <c r="A5952" t="str">
        <f>Segmenter!A5952</f>
        <v/>
      </c>
      <c r="B5952" t="str">
        <f>Segmenter!B5952</f>
        <v/>
      </c>
      <c r="C5952" t="str">
        <f t="shared" si="460"/>
        <v/>
      </c>
      <c r="D5952" t="str">
        <f t="shared" si="461"/>
        <v/>
      </c>
      <c r="E5952" t="str">
        <f t="shared" si="462"/>
        <v/>
      </c>
      <c r="F5952" t="str">
        <f>IF(D5952="","",INDEX(Knutepunkter!$B:$B,D5952+1))</f>
        <v/>
      </c>
      <c r="G5952" t="str">
        <f>IF(D5952="","",INDEX(Knutepunkter!$C:$C,D5952+1))</f>
        <v/>
      </c>
      <c r="H5952" t="str">
        <f>IF(D5952="","",INDEX(Knutepunkter!$D:$D,D5952+1))</f>
        <v/>
      </c>
      <c r="I5952" t="str">
        <f>IF(E5952="","",INDEX(Knutepunkter!$B:$B,E5952+1))</f>
        <v/>
      </c>
      <c r="J5952" t="str">
        <f>IF(E5952="","",INDEX(Knutepunkter!$C:$C,E5952+1))</f>
        <v/>
      </c>
      <c r="K5952" t="str">
        <f>IF(E5952="","",INDEX(Knutepunkter!$D:$D,E5952+1))</f>
        <v/>
      </c>
      <c r="L5952" t="str">
        <f t="shared" si="463"/>
        <v/>
      </c>
      <c r="M5952" t="str">
        <f t="shared" si="464"/>
        <v/>
      </c>
    </row>
    <row r="5953" spans="1:13" x14ac:dyDescent="0.3">
      <c r="A5953" t="str">
        <f>Segmenter!A5953</f>
        <v/>
      </c>
      <c r="B5953" t="str">
        <f>Segmenter!B5953</f>
        <v/>
      </c>
      <c r="C5953" t="str">
        <f t="shared" si="460"/>
        <v/>
      </c>
      <c r="D5953" t="str">
        <f t="shared" si="461"/>
        <v/>
      </c>
      <c r="E5953" t="str">
        <f t="shared" si="462"/>
        <v/>
      </c>
      <c r="F5953" t="str">
        <f>IF(D5953="","",INDEX(Knutepunkter!$B:$B,D5953+1))</f>
        <v/>
      </c>
      <c r="G5953" t="str">
        <f>IF(D5953="","",INDEX(Knutepunkter!$C:$C,D5953+1))</f>
        <v/>
      </c>
      <c r="H5953" t="str">
        <f>IF(D5953="","",INDEX(Knutepunkter!$D:$D,D5953+1))</f>
        <v/>
      </c>
      <c r="I5953" t="str">
        <f>IF(E5953="","",INDEX(Knutepunkter!$B:$B,E5953+1))</f>
        <v/>
      </c>
      <c r="J5953" t="str">
        <f>IF(E5953="","",INDEX(Knutepunkter!$C:$C,E5953+1))</f>
        <v/>
      </c>
      <c r="K5953" t="str">
        <f>IF(E5953="","",INDEX(Knutepunkter!$D:$D,E5953+1))</f>
        <v/>
      </c>
      <c r="L5953" t="str">
        <f t="shared" si="463"/>
        <v/>
      </c>
      <c r="M5953" t="str">
        <f t="shared" si="464"/>
        <v/>
      </c>
    </row>
    <row r="5954" spans="1:13" x14ac:dyDescent="0.3">
      <c r="A5954" t="str">
        <f>Segmenter!A5954</f>
        <v/>
      </c>
      <c r="B5954" t="str">
        <f>Segmenter!B5954</f>
        <v/>
      </c>
      <c r="C5954" t="str">
        <f t="shared" ref="C5954:C6017" si="465">IF(B5954="","",IF(AND(F5954=I5954,G5954=J5954,H5954&lt;&gt;K5954),"Søyle","Bjelke"))</f>
        <v/>
      </c>
      <c r="D5954" t="str">
        <f t="shared" ref="D5954:D6017" si="466">IF(B5954="","",VALUE(LEFT(B5954,FIND(" -&gt; ",B5954)-1)))</f>
        <v/>
      </c>
      <c r="E5954" t="str">
        <f t="shared" ref="E5954:E6017" si="467">IF(B5954="","",VALUE(MID(B5954,FIND(" -&gt; ",B5954)+4,99)))</f>
        <v/>
      </c>
      <c r="F5954" t="str">
        <f>IF(D5954="","",INDEX(Knutepunkter!$B:$B,D5954+1))</f>
        <v/>
      </c>
      <c r="G5954" t="str">
        <f>IF(D5954="","",INDEX(Knutepunkter!$C:$C,D5954+1))</f>
        <v/>
      </c>
      <c r="H5954" t="str">
        <f>IF(D5954="","",INDEX(Knutepunkter!$D:$D,D5954+1))</f>
        <v/>
      </c>
      <c r="I5954" t="str">
        <f>IF(E5954="","",INDEX(Knutepunkter!$B:$B,E5954+1))</f>
        <v/>
      </c>
      <c r="J5954" t="str">
        <f>IF(E5954="","",INDEX(Knutepunkter!$C:$C,E5954+1))</f>
        <v/>
      </c>
      <c r="K5954" t="str">
        <f>IF(E5954="","",INDEX(Knutepunkter!$D:$D,E5954+1))</f>
        <v/>
      </c>
      <c r="L5954" t="str">
        <f t="shared" ref="L5954:L6017" si="468">IF(B5954="","",SQRT((I5954-F5954)^2+(J5954-G5954)^2+(K5954-H5954)^2))</f>
        <v/>
      </c>
      <c r="M5954" t="str">
        <f t="shared" ref="M5954:M6017" si="469">IF(L5954="","",L5954/1000)</f>
        <v/>
      </c>
    </row>
    <row r="5955" spans="1:13" x14ac:dyDescent="0.3">
      <c r="A5955" t="str">
        <f>Segmenter!A5955</f>
        <v/>
      </c>
      <c r="B5955" t="str">
        <f>Segmenter!B5955</f>
        <v/>
      </c>
      <c r="C5955" t="str">
        <f t="shared" si="465"/>
        <v/>
      </c>
      <c r="D5955" t="str">
        <f t="shared" si="466"/>
        <v/>
      </c>
      <c r="E5955" t="str">
        <f t="shared" si="467"/>
        <v/>
      </c>
      <c r="F5955" t="str">
        <f>IF(D5955="","",INDEX(Knutepunkter!$B:$B,D5955+1))</f>
        <v/>
      </c>
      <c r="G5955" t="str">
        <f>IF(D5955="","",INDEX(Knutepunkter!$C:$C,D5955+1))</f>
        <v/>
      </c>
      <c r="H5955" t="str">
        <f>IF(D5955="","",INDEX(Knutepunkter!$D:$D,D5955+1))</f>
        <v/>
      </c>
      <c r="I5955" t="str">
        <f>IF(E5955="","",INDEX(Knutepunkter!$B:$B,E5955+1))</f>
        <v/>
      </c>
      <c r="J5955" t="str">
        <f>IF(E5955="","",INDEX(Knutepunkter!$C:$C,E5955+1))</f>
        <v/>
      </c>
      <c r="K5955" t="str">
        <f>IF(E5955="","",INDEX(Knutepunkter!$D:$D,E5955+1))</f>
        <v/>
      </c>
      <c r="L5955" t="str">
        <f t="shared" si="468"/>
        <v/>
      </c>
      <c r="M5955" t="str">
        <f t="shared" si="469"/>
        <v/>
      </c>
    </row>
    <row r="5956" spans="1:13" x14ac:dyDescent="0.3">
      <c r="A5956" t="str">
        <f>Segmenter!A5956</f>
        <v/>
      </c>
      <c r="B5956" t="str">
        <f>Segmenter!B5956</f>
        <v/>
      </c>
      <c r="C5956" t="str">
        <f t="shared" si="465"/>
        <v/>
      </c>
      <c r="D5956" t="str">
        <f t="shared" si="466"/>
        <v/>
      </c>
      <c r="E5956" t="str">
        <f t="shared" si="467"/>
        <v/>
      </c>
      <c r="F5956" t="str">
        <f>IF(D5956="","",INDEX(Knutepunkter!$B:$B,D5956+1))</f>
        <v/>
      </c>
      <c r="G5956" t="str">
        <f>IF(D5956="","",INDEX(Knutepunkter!$C:$C,D5956+1))</f>
        <v/>
      </c>
      <c r="H5956" t="str">
        <f>IF(D5956="","",INDEX(Knutepunkter!$D:$D,D5956+1))</f>
        <v/>
      </c>
      <c r="I5956" t="str">
        <f>IF(E5956="","",INDEX(Knutepunkter!$B:$B,E5956+1))</f>
        <v/>
      </c>
      <c r="J5956" t="str">
        <f>IF(E5956="","",INDEX(Knutepunkter!$C:$C,E5956+1))</f>
        <v/>
      </c>
      <c r="K5956" t="str">
        <f>IF(E5956="","",INDEX(Knutepunkter!$D:$D,E5956+1))</f>
        <v/>
      </c>
      <c r="L5956" t="str">
        <f t="shared" si="468"/>
        <v/>
      </c>
      <c r="M5956" t="str">
        <f t="shared" si="469"/>
        <v/>
      </c>
    </row>
    <row r="5957" spans="1:13" x14ac:dyDescent="0.3">
      <c r="A5957" t="str">
        <f>Segmenter!A5957</f>
        <v/>
      </c>
      <c r="B5957" t="str">
        <f>Segmenter!B5957</f>
        <v/>
      </c>
      <c r="C5957" t="str">
        <f t="shared" si="465"/>
        <v/>
      </c>
      <c r="D5957" t="str">
        <f t="shared" si="466"/>
        <v/>
      </c>
      <c r="E5957" t="str">
        <f t="shared" si="467"/>
        <v/>
      </c>
      <c r="F5957" t="str">
        <f>IF(D5957="","",INDEX(Knutepunkter!$B:$B,D5957+1))</f>
        <v/>
      </c>
      <c r="G5957" t="str">
        <f>IF(D5957="","",INDEX(Knutepunkter!$C:$C,D5957+1))</f>
        <v/>
      </c>
      <c r="H5957" t="str">
        <f>IF(D5957="","",INDEX(Knutepunkter!$D:$D,D5957+1))</f>
        <v/>
      </c>
      <c r="I5957" t="str">
        <f>IF(E5957="","",INDEX(Knutepunkter!$B:$B,E5957+1))</f>
        <v/>
      </c>
      <c r="J5957" t="str">
        <f>IF(E5957="","",INDEX(Knutepunkter!$C:$C,E5957+1))</f>
        <v/>
      </c>
      <c r="K5957" t="str">
        <f>IF(E5957="","",INDEX(Knutepunkter!$D:$D,E5957+1))</f>
        <v/>
      </c>
      <c r="L5957" t="str">
        <f t="shared" si="468"/>
        <v/>
      </c>
      <c r="M5957" t="str">
        <f t="shared" si="469"/>
        <v/>
      </c>
    </row>
    <row r="5958" spans="1:13" x14ac:dyDescent="0.3">
      <c r="A5958" t="str">
        <f>Segmenter!A5958</f>
        <v/>
      </c>
      <c r="B5958" t="str">
        <f>Segmenter!B5958</f>
        <v/>
      </c>
      <c r="C5958" t="str">
        <f t="shared" si="465"/>
        <v/>
      </c>
      <c r="D5958" t="str">
        <f t="shared" si="466"/>
        <v/>
      </c>
      <c r="E5958" t="str">
        <f t="shared" si="467"/>
        <v/>
      </c>
      <c r="F5958" t="str">
        <f>IF(D5958="","",INDEX(Knutepunkter!$B:$B,D5958+1))</f>
        <v/>
      </c>
      <c r="G5958" t="str">
        <f>IF(D5958="","",INDEX(Knutepunkter!$C:$C,D5958+1))</f>
        <v/>
      </c>
      <c r="H5958" t="str">
        <f>IF(D5958="","",INDEX(Knutepunkter!$D:$D,D5958+1))</f>
        <v/>
      </c>
      <c r="I5958" t="str">
        <f>IF(E5958="","",INDEX(Knutepunkter!$B:$B,E5958+1))</f>
        <v/>
      </c>
      <c r="J5958" t="str">
        <f>IF(E5958="","",INDEX(Knutepunkter!$C:$C,E5958+1))</f>
        <v/>
      </c>
      <c r="K5958" t="str">
        <f>IF(E5958="","",INDEX(Knutepunkter!$D:$D,E5958+1))</f>
        <v/>
      </c>
      <c r="L5958" t="str">
        <f t="shared" si="468"/>
        <v/>
      </c>
      <c r="M5958" t="str">
        <f t="shared" si="469"/>
        <v/>
      </c>
    </row>
    <row r="5959" spans="1:13" x14ac:dyDescent="0.3">
      <c r="A5959" t="str">
        <f>Segmenter!A5959</f>
        <v/>
      </c>
      <c r="B5959" t="str">
        <f>Segmenter!B5959</f>
        <v/>
      </c>
      <c r="C5959" t="str">
        <f t="shared" si="465"/>
        <v/>
      </c>
      <c r="D5959" t="str">
        <f t="shared" si="466"/>
        <v/>
      </c>
      <c r="E5959" t="str">
        <f t="shared" si="467"/>
        <v/>
      </c>
      <c r="F5959" t="str">
        <f>IF(D5959="","",INDEX(Knutepunkter!$B:$B,D5959+1))</f>
        <v/>
      </c>
      <c r="G5959" t="str">
        <f>IF(D5959="","",INDEX(Knutepunkter!$C:$C,D5959+1))</f>
        <v/>
      </c>
      <c r="H5959" t="str">
        <f>IF(D5959="","",INDEX(Knutepunkter!$D:$D,D5959+1))</f>
        <v/>
      </c>
      <c r="I5959" t="str">
        <f>IF(E5959="","",INDEX(Knutepunkter!$B:$B,E5959+1))</f>
        <v/>
      </c>
      <c r="J5959" t="str">
        <f>IF(E5959="","",INDEX(Knutepunkter!$C:$C,E5959+1))</f>
        <v/>
      </c>
      <c r="K5959" t="str">
        <f>IF(E5959="","",INDEX(Knutepunkter!$D:$D,E5959+1))</f>
        <v/>
      </c>
      <c r="L5959" t="str">
        <f t="shared" si="468"/>
        <v/>
      </c>
      <c r="M5959" t="str">
        <f t="shared" si="469"/>
        <v/>
      </c>
    </row>
    <row r="5960" spans="1:13" x14ac:dyDescent="0.3">
      <c r="A5960" t="str">
        <f>Segmenter!A5960</f>
        <v/>
      </c>
      <c r="B5960" t="str">
        <f>Segmenter!B5960</f>
        <v/>
      </c>
      <c r="C5960" t="str">
        <f t="shared" si="465"/>
        <v/>
      </c>
      <c r="D5960" t="str">
        <f t="shared" si="466"/>
        <v/>
      </c>
      <c r="E5960" t="str">
        <f t="shared" si="467"/>
        <v/>
      </c>
      <c r="F5960" t="str">
        <f>IF(D5960="","",INDEX(Knutepunkter!$B:$B,D5960+1))</f>
        <v/>
      </c>
      <c r="G5960" t="str">
        <f>IF(D5960="","",INDEX(Knutepunkter!$C:$C,D5960+1))</f>
        <v/>
      </c>
      <c r="H5960" t="str">
        <f>IF(D5960="","",INDEX(Knutepunkter!$D:$D,D5960+1))</f>
        <v/>
      </c>
      <c r="I5960" t="str">
        <f>IF(E5960="","",INDEX(Knutepunkter!$B:$B,E5960+1))</f>
        <v/>
      </c>
      <c r="J5960" t="str">
        <f>IF(E5960="","",INDEX(Knutepunkter!$C:$C,E5960+1))</f>
        <v/>
      </c>
      <c r="K5960" t="str">
        <f>IF(E5960="","",INDEX(Knutepunkter!$D:$D,E5960+1))</f>
        <v/>
      </c>
      <c r="L5960" t="str">
        <f t="shared" si="468"/>
        <v/>
      </c>
      <c r="M5960" t="str">
        <f t="shared" si="469"/>
        <v/>
      </c>
    </row>
    <row r="5961" spans="1:13" x14ac:dyDescent="0.3">
      <c r="A5961" t="str">
        <f>Segmenter!A5961</f>
        <v/>
      </c>
      <c r="B5961" t="str">
        <f>Segmenter!B5961</f>
        <v/>
      </c>
      <c r="C5961" t="str">
        <f t="shared" si="465"/>
        <v/>
      </c>
      <c r="D5961" t="str">
        <f t="shared" si="466"/>
        <v/>
      </c>
      <c r="E5961" t="str">
        <f t="shared" si="467"/>
        <v/>
      </c>
      <c r="F5961" t="str">
        <f>IF(D5961="","",INDEX(Knutepunkter!$B:$B,D5961+1))</f>
        <v/>
      </c>
      <c r="G5961" t="str">
        <f>IF(D5961="","",INDEX(Knutepunkter!$C:$C,D5961+1))</f>
        <v/>
      </c>
      <c r="H5961" t="str">
        <f>IF(D5961="","",INDEX(Knutepunkter!$D:$D,D5961+1))</f>
        <v/>
      </c>
      <c r="I5961" t="str">
        <f>IF(E5961="","",INDEX(Knutepunkter!$B:$B,E5961+1))</f>
        <v/>
      </c>
      <c r="J5961" t="str">
        <f>IF(E5961="","",INDEX(Knutepunkter!$C:$C,E5961+1))</f>
        <v/>
      </c>
      <c r="K5961" t="str">
        <f>IF(E5961="","",INDEX(Knutepunkter!$D:$D,E5961+1))</f>
        <v/>
      </c>
      <c r="L5961" t="str">
        <f t="shared" si="468"/>
        <v/>
      </c>
      <c r="M5961" t="str">
        <f t="shared" si="469"/>
        <v/>
      </c>
    </row>
    <row r="5962" spans="1:13" x14ac:dyDescent="0.3">
      <c r="A5962" t="str">
        <f>Segmenter!A5962</f>
        <v/>
      </c>
      <c r="B5962" t="str">
        <f>Segmenter!B5962</f>
        <v/>
      </c>
      <c r="C5962" t="str">
        <f t="shared" si="465"/>
        <v/>
      </c>
      <c r="D5962" t="str">
        <f t="shared" si="466"/>
        <v/>
      </c>
      <c r="E5962" t="str">
        <f t="shared" si="467"/>
        <v/>
      </c>
      <c r="F5962" t="str">
        <f>IF(D5962="","",INDEX(Knutepunkter!$B:$B,D5962+1))</f>
        <v/>
      </c>
      <c r="G5962" t="str">
        <f>IF(D5962="","",INDEX(Knutepunkter!$C:$C,D5962+1))</f>
        <v/>
      </c>
      <c r="H5962" t="str">
        <f>IF(D5962="","",INDEX(Knutepunkter!$D:$D,D5962+1))</f>
        <v/>
      </c>
      <c r="I5962" t="str">
        <f>IF(E5962="","",INDEX(Knutepunkter!$B:$B,E5962+1))</f>
        <v/>
      </c>
      <c r="J5962" t="str">
        <f>IF(E5962="","",INDEX(Knutepunkter!$C:$C,E5962+1))</f>
        <v/>
      </c>
      <c r="K5962" t="str">
        <f>IF(E5962="","",INDEX(Knutepunkter!$D:$D,E5962+1))</f>
        <v/>
      </c>
      <c r="L5962" t="str">
        <f t="shared" si="468"/>
        <v/>
      </c>
      <c r="M5962" t="str">
        <f t="shared" si="469"/>
        <v/>
      </c>
    </row>
    <row r="5963" spans="1:13" x14ac:dyDescent="0.3">
      <c r="A5963" t="str">
        <f>Segmenter!A5963</f>
        <v/>
      </c>
      <c r="B5963" t="str">
        <f>Segmenter!B5963</f>
        <v/>
      </c>
      <c r="C5963" t="str">
        <f t="shared" si="465"/>
        <v/>
      </c>
      <c r="D5963" t="str">
        <f t="shared" si="466"/>
        <v/>
      </c>
      <c r="E5963" t="str">
        <f t="shared" si="467"/>
        <v/>
      </c>
      <c r="F5963" t="str">
        <f>IF(D5963="","",INDEX(Knutepunkter!$B:$B,D5963+1))</f>
        <v/>
      </c>
      <c r="G5963" t="str">
        <f>IF(D5963="","",INDEX(Knutepunkter!$C:$C,D5963+1))</f>
        <v/>
      </c>
      <c r="H5963" t="str">
        <f>IF(D5963="","",INDEX(Knutepunkter!$D:$D,D5963+1))</f>
        <v/>
      </c>
      <c r="I5963" t="str">
        <f>IF(E5963="","",INDEX(Knutepunkter!$B:$B,E5963+1))</f>
        <v/>
      </c>
      <c r="J5963" t="str">
        <f>IF(E5963="","",INDEX(Knutepunkter!$C:$C,E5963+1))</f>
        <v/>
      </c>
      <c r="K5963" t="str">
        <f>IF(E5963="","",INDEX(Knutepunkter!$D:$D,E5963+1))</f>
        <v/>
      </c>
      <c r="L5963" t="str">
        <f t="shared" si="468"/>
        <v/>
      </c>
      <c r="M5963" t="str">
        <f t="shared" si="469"/>
        <v/>
      </c>
    </row>
    <row r="5964" spans="1:13" x14ac:dyDescent="0.3">
      <c r="A5964" t="str">
        <f>Segmenter!A5964</f>
        <v/>
      </c>
      <c r="B5964" t="str">
        <f>Segmenter!B5964</f>
        <v/>
      </c>
      <c r="C5964" t="str">
        <f t="shared" si="465"/>
        <v/>
      </c>
      <c r="D5964" t="str">
        <f t="shared" si="466"/>
        <v/>
      </c>
      <c r="E5964" t="str">
        <f t="shared" si="467"/>
        <v/>
      </c>
      <c r="F5964" t="str">
        <f>IF(D5964="","",INDEX(Knutepunkter!$B:$B,D5964+1))</f>
        <v/>
      </c>
      <c r="G5964" t="str">
        <f>IF(D5964="","",INDEX(Knutepunkter!$C:$C,D5964+1))</f>
        <v/>
      </c>
      <c r="H5964" t="str">
        <f>IF(D5964="","",INDEX(Knutepunkter!$D:$D,D5964+1))</f>
        <v/>
      </c>
      <c r="I5964" t="str">
        <f>IF(E5964="","",INDEX(Knutepunkter!$B:$B,E5964+1))</f>
        <v/>
      </c>
      <c r="J5964" t="str">
        <f>IF(E5964="","",INDEX(Knutepunkter!$C:$C,E5964+1))</f>
        <v/>
      </c>
      <c r="K5964" t="str">
        <f>IF(E5964="","",INDEX(Knutepunkter!$D:$D,E5964+1))</f>
        <v/>
      </c>
      <c r="L5964" t="str">
        <f t="shared" si="468"/>
        <v/>
      </c>
      <c r="M5964" t="str">
        <f t="shared" si="469"/>
        <v/>
      </c>
    </row>
    <row r="5965" spans="1:13" x14ac:dyDescent="0.3">
      <c r="A5965" t="str">
        <f>Segmenter!A5965</f>
        <v/>
      </c>
      <c r="B5965" t="str">
        <f>Segmenter!B5965</f>
        <v/>
      </c>
      <c r="C5965" t="str">
        <f t="shared" si="465"/>
        <v/>
      </c>
      <c r="D5965" t="str">
        <f t="shared" si="466"/>
        <v/>
      </c>
      <c r="E5965" t="str">
        <f t="shared" si="467"/>
        <v/>
      </c>
      <c r="F5965" t="str">
        <f>IF(D5965="","",INDEX(Knutepunkter!$B:$B,D5965+1))</f>
        <v/>
      </c>
      <c r="G5965" t="str">
        <f>IF(D5965="","",INDEX(Knutepunkter!$C:$C,D5965+1))</f>
        <v/>
      </c>
      <c r="H5965" t="str">
        <f>IF(D5965="","",INDEX(Knutepunkter!$D:$D,D5965+1))</f>
        <v/>
      </c>
      <c r="I5965" t="str">
        <f>IF(E5965="","",INDEX(Knutepunkter!$B:$B,E5965+1))</f>
        <v/>
      </c>
      <c r="J5965" t="str">
        <f>IF(E5965="","",INDEX(Knutepunkter!$C:$C,E5965+1))</f>
        <v/>
      </c>
      <c r="K5965" t="str">
        <f>IF(E5965="","",INDEX(Knutepunkter!$D:$D,E5965+1))</f>
        <v/>
      </c>
      <c r="L5965" t="str">
        <f t="shared" si="468"/>
        <v/>
      </c>
      <c r="M5965" t="str">
        <f t="shared" si="469"/>
        <v/>
      </c>
    </row>
    <row r="5966" spans="1:13" x14ac:dyDescent="0.3">
      <c r="A5966" t="str">
        <f>Segmenter!A5966</f>
        <v/>
      </c>
      <c r="B5966" t="str">
        <f>Segmenter!B5966</f>
        <v/>
      </c>
      <c r="C5966" t="str">
        <f t="shared" si="465"/>
        <v/>
      </c>
      <c r="D5966" t="str">
        <f t="shared" si="466"/>
        <v/>
      </c>
      <c r="E5966" t="str">
        <f t="shared" si="467"/>
        <v/>
      </c>
      <c r="F5966" t="str">
        <f>IF(D5966="","",INDEX(Knutepunkter!$B:$B,D5966+1))</f>
        <v/>
      </c>
      <c r="G5966" t="str">
        <f>IF(D5966="","",INDEX(Knutepunkter!$C:$C,D5966+1))</f>
        <v/>
      </c>
      <c r="H5966" t="str">
        <f>IF(D5966="","",INDEX(Knutepunkter!$D:$D,D5966+1))</f>
        <v/>
      </c>
      <c r="I5966" t="str">
        <f>IF(E5966="","",INDEX(Knutepunkter!$B:$B,E5966+1))</f>
        <v/>
      </c>
      <c r="J5966" t="str">
        <f>IF(E5966="","",INDEX(Knutepunkter!$C:$C,E5966+1))</f>
        <v/>
      </c>
      <c r="K5966" t="str">
        <f>IF(E5966="","",INDEX(Knutepunkter!$D:$D,E5966+1))</f>
        <v/>
      </c>
      <c r="L5966" t="str">
        <f t="shared" si="468"/>
        <v/>
      </c>
      <c r="M5966" t="str">
        <f t="shared" si="469"/>
        <v/>
      </c>
    </row>
    <row r="5967" spans="1:13" x14ac:dyDescent="0.3">
      <c r="A5967" t="str">
        <f>Segmenter!A5967</f>
        <v/>
      </c>
      <c r="B5967" t="str">
        <f>Segmenter!B5967</f>
        <v/>
      </c>
      <c r="C5967" t="str">
        <f t="shared" si="465"/>
        <v/>
      </c>
      <c r="D5967" t="str">
        <f t="shared" si="466"/>
        <v/>
      </c>
      <c r="E5967" t="str">
        <f t="shared" si="467"/>
        <v/>
      </c>
      <c r="F5967" t="str">
        <f>IF(D5967="","",INDEX(Knutepunkter!$B:$B,D5967+1))</f>
        <v/>
      </c>
      <c r="G5967" t="str">
        <f>IF(D5967="","",INDEX(Knutepunkter!$C:$C,D5967+1))</f>
        <v/>
      </c>
      <c r="H5967" t="str">
        <f>IF(D5967="","",INDEX(Knutepunkter!$D:$D,D5967+1))</f>
        <v/>
      </c>
      <c r="I5967" t="str">
        <f>IF(E5967="","",INDEX(Knutepunkter!$B:$B,E5967+1))</f>
        <v/>
      </c>
      <c r="J5967" t="str">
        <f>IF(E5967="","",INDEX(Knutepunkter!$C:$C,E5967+1))</f>
        <v/>
      </c>
      <c r="K5967" t="str">
        <f>IF(E5967="","",INDEX(Knutepunkter!$D:$D,E5967+1))</f>
        <v/>
      </c>
      <c r="L5967" t="str">
        <f t="shared" si="468"/>
        <v/>
      </c>
      <c r="M5967" t="str">
        <f t="shared" si="469"/>
        <v/>
      </c>
    </row>
    <row r="5968" spans="1:13" x14ac:dyDescent="0.3">
      <c r="A5968" t="str">
        <f>Segmenter!A5968</f>
        <v/>
      </c>
      <c r="B5968" t="str">
        <f>Segmenter!B5968</f>
        <v/>
      </c>
      <c r="C5968" t="str">
        <f t="shared" si="465"/>
        <v/>
      </c>
      <c r="D5968" t="str">
        <f t="shared" si="466"/>
        <v/>
      </c>
      <c r="E5968" t="str">
        <f t="shared" si="467"/>
        <v/>
      </c>
      <c r="F5968" t="str">
        <f>IF(D5968="","",INDEX(Knutepunkter!$B:$B,D5968+1))</f>
        <v/>
      </c>
      <c r="G5968" t="str">
        <f>IF(D5968="","",INDEX(Knutepunkter!$C:$C,D5968+1))</f>
        <v/>
      </c>
      <c r="H5968" t="str">
        <f>IF(D5968="","",INDEX(Knutepunkter!$D:$D,D5968+1))</f>
        <v/>
      </c>
      <c r="I5968" t="str">
        <f>IF(E5968="","",INDEX(Knutepunkter!$B:$B,E5968+1))</f>
        <v/>
      </c>
      <c r="J5968" t="str">
        <f>IF(E5968="","",INDEX(Knutepunkter!$C:$C,E5968+1))</f>
        <v/>
      </c>
      <c r="K5968" t="str">
        <f>IF(E5968="","",INDEX(Knutepunkter!$D:$D,E5968+1))</f>
        <v/>
      </c>
      <c r="L5968" t="str">
        <f t="shared" si="468"/>
        <v/>
      </c>
      <c r="M5968" t="str">
        <f t="shared" si="469"/>
        <v/>
      </c>
    </row>
    <row r="5969" spans="1:13" x14ac:dyDescent="0.3">
      <c r="A5969" t="str">
        <f>Segmenter!A5969</f>
        <v/>
      </c>
      <c r="B5969" t="str">
        <f>Segmenter!B5969</f>
        <v/>
      </c>
      <c r="C5969" t="str">
        <f t="shared" si="465"/>
        <v/>
      </c>
      <c r="D5969" t="str">
        <f t="shared" si="466"/>
        <v/>
      </c>
      <c r="E5969" t="str">
        <f t="shared" si="467"/>
        <v/>
      </c>
      <c r="F5969" t="str">
        <f>IF(D5969="","",INDEX(Knutepunkter!$B:$B,D5969+1))</f>
        <v/>
      </c>
      <c r="G5969" t="str">
        <f>IF(D5969="","",INDEX(Knutepunkter!$C:$C,D5969+1))</f>
        <v/>
      </c>
      <c r="H5969" t="str">
        <f>IF(D5969="","",INDEX(Knutepunkter!$D:$D,D5969+1))</f>
        <v/>
      </c>
      <c r="I5969" t="str">
        <f>IF(E5969="","",INDEX(Knutepunkter!$B:$B,E5969+1))</f>
        <v/>
      </c>
      <c r="J5969" t="str">
        <f>IF(E5969="","",INDEX(Knutepunkter!$C:$C,E5969+1))</f>
        <v/>
      </c>
      <c r="K5969" t="str">
        <f>IF(E5969="","",INDEX(Knutepunkter!$D:$D,E5969+1))</f>
        <v/>
      </c>
      <c r="L5969" t="str">
        <f t="shared" si="468"/>
        <v/>
      </c>
      <c r="M5969" t="str">
        <f t="shared" si="469"/>
        <v/>
      </c>
    </row>
    <row r="5970" spans="1:13" x14ac:dyDescent="0.3">
      <c r="A5970" t="str">
        <f>Segmenter!A5970</f>
        <v/>
      </c>
      <c r="B5970" t="str">
        <f>Segmenter!B5970</f>
        <v/>
      </c>
      <c r="C5970" t="str">
        <f t="shared" si="465"/>
        <v/>
      </c>
      <c r="D5970" t="str">
        <f t="shared" si="466"/>
        <v/>
      </c>
      <c r="E5970" t="str">
        <f t="shared" si="467"/>
        <v/>
      </c>
      <c r="F5970" t="str">
        <f>IF(D5970="","",INDEX(Knutepunkter!$B:$B,D5970+1))</f>
        <v/>
      </c>
      <c r="G5970" t="str">
        <f>IF(D5970="","",INDEX(Knutepunkter!$C:$C,D5970+1))</f>
        <v/>
      </c>
      <c r="H5970" t="str">
        <f>IF(D5970="","",INDEX(Knutepunkter!$D:$D,D5970+1))</f>
        <v/>
      </c>
      <c r="I5970" t="str">
        <f>IF(E5970="","",INDEX(Knutepunkter!$B:$B,E5970+1))</f>
        <v/>
      </c>
      <c r="J5970" t="str">
        <f>IF(E5970="","",INDEX(Knutepunkter!$C:$C,E5970+1))</f>
        <v/>
      </c>
      <c r="K5970" t="str">
        <f>IF(E5970="","",INDEX(Knutepunkter!$D:$D,E5970+1))</f>
        <v/>
      </c>
      <c r="L5970" t="str">
        <f t="shared" si="468"/>
        <v/>
      </c>
      <c r="M5970" t="str">
        <f t="shared" si="469"/>
        <v/>
      </c>
    </row>
    <row r="5971" spans="1:13" x14ac:dyDescent="0.3">
      <c r="A5971" t="str">
        <f>Segmenter!A5971</f>
        <v/>
      </c>
      <c r="B5971" t="str">
        <f>Segmenter!B5971</f>
        <v/>
      </c>
      <c r="C5971" t="str">
        <f t="shared" si="465"/>
        <v/>
      </c>
      <c r="D5971" t="str">
        <f t="shared" si="466"/>
        <v/>
      </c>
      <c r="E5971" t="str">
        <f t="shared" si="467"/>
        <v/>
      </c>
      <c r="F5971" t="str">
        <f>IF(D5971="","",INDEX(Knutepunkter!$B:$B,D5971+1))</f>
        <v/>
      </c>
      <c r="G5971" t="str">
        <f>IF(D5971="","",INDEX(Knutepunkter!$C:$C,D5971+1))</f>
        <v/>
      </c>
      <c r="H5971" t="str">
        <f>IF(D5971="","",INDEX(Knutepunkter!$D:$D,D5971+1))</f>
        <v/>
      </c>
      <c r="I5971" t="str">
        <f>IF(E5971="","",INDEX(Knutepunkter!$B:$B,E5971+1))</f>
        <v/>
      </c>
      <c r="J5971" t="str">
        <f>IF(E5971="","",INDEX(Knutepunkter!$C:$C,E5971+1))</f>
        <v/>
      </c>
      <c r="K5971" t="str">
        <f>IF(E5971="","",INDEX(Knutepunkter!$D:$D,E5971+1))</f>
        <v/>
      </c>
      <c r="L5971" t="str">
        <f t="shared" si="468"/>
        <v/>
      </c>
      <c r="M5971" t="str">
        <f t="shared" si="469"/>
        <v/>
      </c>
    </row>
    <row r="5972" spans="1:13" x14ac:dyDescent="0.3">
      <c r="A5972" t="str">
        <f>Segmenter!A5972</f>
        <v/>
      </c>
      <c r="B5972" t="str">
        <f>Segmenter!B5972</f>
        <v/>
      </c>
      <c r="C5972" t="str">
        <f t="shared" si="465"/>
        <v/>
      </c>
      <c r="D5972" t="str">
        <f t="shared" si="466"/>
        <v/>
      </c>
      <c r="E5972" t="str">
        <f t="shared" si="467"/>
        <v/>
      </c>
      <c r="F5972" t="str">
        <f>IF(D5972="","",INDEX(Knutepunkter!$B:$B,D5972+1))</f>
        <v/>
      </c>
      <c r="G5972" t="str">
        <f>IF(D5972="","",INDEX(Knutepunkter!$C:$C,D5972+1))</f>
        <v/>
      </c>
      <c r="H5972" t="str">
        <f>IF(D5972="","",INDEX(Knutepunkter!$D:$D,D5972+1))</f>
        <v/>
      </c>
      <c r="I5972" t="str">
        <f>IF(E5972="","",INDEX(Knutepunkter!$B:$B,E5972+1))</f>
        <v/>
      </c>
      <c r="J5972" t="str">
        <f>IF(E5972="","",INDEX(Knutepunkter!$C:$C,E5972+1))</f>
        <v/>
      </c>
      <c r="K5972" t="str">
        <f>IF(E5972="","",INDEX(Knutepunkter!$D:$D,E5972+1))</f>
        <v/>
      </c>
      <c r="L5972" t="str">
        <f t="shared" si="468"/>
        <v/>
      </c>
      <c r="M5972" t="str">
        <f t="shared" si="469"/>
        <v/>
      </c>
    </row>
    <row r="5973" spans="1:13" x14ac:dyDescent="0.3">
      <c r="A5973" t="str">
        <f>Segmenter!A5973</f>
        <v/>
      </c>
      <c r="B5973" t="str">
        <f>Segmenter!B5973</f>
        <v/>
      </c>
      <c r="C5973" t="str">
        <f t="shared" si="465"/>
        <v/>
      </c>
      <c r="D5973" t="str">
        <f t="shared" si="466"/>
        <v/>
      </c>
      <c r="E5973" t="str">
        <f t="shared" si="467"/>
        <v/>
      </c>
      <c r="F5973" t="str">
        <f>IF(D5973="","",INDEX(Knutepunkter!$B:$B,D5973+1))</f>
        <v/>
      </c>
      <c r="G5973" t="str">
        <f>IF(D5973="","",INDEX(Knutepunkter!$C:$C,D5973+1))</f>
        <v/>
      </c>
      <c r="H5973" t="str">
        <f>IF(D5973="","",INDEX(Knutepunkter!$D:$D,D5973+1))</f>
        <v/>
      </c>
      <c r="I5973" t="str">
        <f>IF(E5973="","",INDEX(Knutepunkter!$B:$B,E5973+1))</f>
        <v/>
      </c>
      <c r="J5973" t="str">
        <f>IF(E5973="","",INDEX(Knutepunkter!$C:$C,E5973+1))</f>
        <v/>
      </c>
      <c r="K5973" t="str">
        <f>IF(E5973="","",INDEX(Knutepunkter!$D:$D,E5973+1))</f>
        <v/>
      </c>
      <c r="L5973" t="str">
        <f t="shared" si="468"/>
        <v/>
      </c>
      <c r="M5973" t="str">
        <f t="shared" si="469"/>
        <v/>
      </c>
    </row>
    <row r="5974" spans="1:13" x14ac:dyDescent="0.3">
      <c r="A5974" t="str">
        <f>Segmenter!A5974</f>
        <v/>
      </c>
      <c r="B5974" t="str">
        <f>Segmenter!B5974</f>
        <v/>
      </c>
      <c r="C5974" t="str">
        <f t="shared" si="465"/>
        <v/>
      </c>
      <c r="D5974" t="str">
        <f t="shared" si="466"/>
        <v/>
      </c>
      <c r="E5974" t="str">
        <f t="shared" si="467"/>
        <v/>
      </c>
      <c r="F5974" t="str">
        <f>IF(D5974="","",INDEX(Knutepunkter!$B:$B,D5974+1))</f>
        <v/>
      </c>
      <c r="G5974" t="str">
        <f>IF(D5974="","",INDEX(Knutepunkter!$C:$C,D5974+1))</f>
        <v/>
      </c>
      <c r="H5974" t="str">
        <f>IF(D5974="","",INDEX(Knutepunkter!$D:$D,D5974+1))</f>
        <v/>
      </c>
      <c r="I5974" t="str">
        <f>IF(E5974="","",INDEX(Knutepunkter!$B:$B,E5974+1))</f>
        <v/>
      </c>
      <c r="J5974" t="str">
        <f>IF(E5974="","",INDEX(Knutepunkter!$C:$C,E5974+1))</f>
        <v/>
      </c>
      <c r="K5974" t="str">
        <f>IF(E5974="","",INDEX(Knutepunkter!$D:$D,E5974+1))</f>
        <v/>
      </c>
      <c r="L5974" t="str">
        <f t="shared" si="468"/>
        <v/>
      </c>
      <c r="M5974" t="str">
        <f t="shared" si="469"/>
        <v/>
      </c>
    </row>
    <row r="5975" spans="1:13" x14ac:dyDescent="0.3">
      <c r="A5975" t="str">
        <f>Segmenter!A5975</f>
        <v/>
      </c>
      <c r="B5975" t="str">
        <f>Segmenter!B5975</f>
        <v/>
      </c>
      <c r="C5975" t="str">
        <f t="shared" si="465"/>
        <v/>
      </c>
      <c r="D5975" t="str">
        <f t="shared" si="466"/>
        <v/>
      </c>
      <c r="E5975" t="str">
        <f t="shared" si="467"/>
        <v/>
      </c>
      <c r="F5975" t="str">
        <f>IF(D5975="","",INDEX(Knutepunkter!$B:$B,D5975+1))</f>
        <v/>
      </c>
      <c r="G5975" t="str">
        <f>IF(D5975="","",INDEX(Knutepunkter!$C:$C,D5975+1))</f>
        <v/>
      </c>
      <c r="H5975" t="str">
        <f>IF(D5975="","",INDEX(Knutepunkter!$D:$D,D5975+1))</f>
        <v/>
      </c>
      <c r="I5975" t="str">
        <f>IF(E5975="","",INDEX(Knutepunkter!$B:$B,E5975+1))</f>
        <v/>
      </c>
      <c r="J5975" t="str">
        <f>IF(E5975="","",INDEX(Knutepunkter!$C:$C,E5975+1))</f>
        <v/>
      </c>
      <c r="K5975" t="str">
        <f>IF(E5975="","",INDEX(Knutepunkter!$D:$D,E5975+1))</f>
        <v/>
      </c>
      <c r="L5975" t="str">
        <f t="shared" si="468"/>
        <v/>
      </c>
      <c r="M5975" t="str">
        <f t="shared" si="469"/>
        <v/>
      </c>
    </row>
    <row r="5976" spans="1:13" x14ac:dyDescent="0.3">
      <c r="A5976" t="str">
        <f>Segmenter!A5976</f>
        <v/>
      </c>
      <c r="B5976" t="str">
        <f>Segmenter!B5976</f>
        <v/>
      </c>
      <c r="C5976" t="str">
        <f t="shared" si="465"/>
        <v/>
      </c>
      <c r="D5976" t="str">
        <f t="shared" si="466"/>
        <v/>
      </c>
      <c r="E5976" t="str">
        <f t="shared" si="467"/>
        <v/>
      </c>
      <c r="F5976" t="str">
        <f>IF(D5976="","",INDEX(Knutepunkter!$B:$B,D5976+1))</f>
        <v/>
      </c>
      <c r="G5976" t="str">
        <f>IF(D5976="","",INDEX(Knutepunkter!$C:$C,D5976+1))</f>
        <v/>
      </c>
      <c r="H5976" t="str">
        <f>IF(D5976="","",INDEX(Knutepunkter!$D:$D,D5976+1))</f>
        <v/>
      </c>
      <c r="I5976" t="str">
        <f>IF(E5976="","",INDEX(Knutepunkter!$B:$B,E5976+1))</f>
        <v/>
      </c>
      <c r="J5976" t="str">
        <f>IF(E5976="","",INDEX(Knutepunkter!$C:$C,E5976+1))</f>
        <v/>
      </c>
      <c r="K5976" t="str">
        <f>IF(E5976="","",INDEX(Knutepunkter!$D:$D,E5976+1))</f>
        <v/>
      </c>
      <c r="L5976" t="str">
        <f t="shared" si="468"/>
        <v/>
      </c>
      <c r="M5976" t="str">
        <f t="shared" si="469"/>
        <v/>
      </c>
    </row>
    <row r="5977" spans="1:13" x14ac:dyDescent="0.3">
      <c r="A5977" t="str">
        <f>Segmenter!A5977</f>
        <v/>
      </c>
      <c r="B5977" t="str">
        <f>Segmenter!B5977</f>
        <v/>
      </c>
      <c r="C5977" t="str">
        <f t="shared" si="465"/>
        <v/>
      </c>
      <c r="D5977" t="str">
        <f t="shared" si="466"/>
        <v/>
      </c>
      <c r="E5977" t="str">
        <f t="shared" si="467"/>
        <v/>
      </c>
      <c r="F5977" t="str">
        <f>IF(D5977="","",INDEX(Knutepunkter!$B:$B,D5977+1))</f>
        <v/>
      </c>
      <c r="G5977" t="str">
        <f>IF(D5977="","",INDEX(Knutepunkter!$C:$C,D5977+1))</f>
        <v/>
      </c>
      <c r="H5977" t="str">
        <f>IF(D5977="","",INDEX(Knutepunkter!$D:$D,D5977+1))</f>
        <v/>
      </c>
      <c r="I5977" t="str">
        <f>IF(E5977="","",INDEX(Knutepunkter!$B:$B,E5977+1))</f>
        <v/>
      </c>
      <c r="J5977" t="str">
        <f>IF(E5977="","",INDEX(Knutepunkter!$C:$C,E5977+1))</f>
        <v/>
      </c>
      <c r="K5977" t="str">
        <f>IF(E5977="","",INDEX(Knutepunkter!$D:$D,E5977+1))</f>
        <v/>
      </c>
      <c r="L5977" t="str">
        <f t="shared" si="468"/>
        <v/>
      </c>
      <c r="M5977" t="str">
        <f t="shared" si="469"/>
        <v/>
      </c>
    </row>
    <row r="5978" spans="1:13" x14ac:dyDescent="0.3">
      <c r="A5978" t="str">
        <f>Segmenter!A5978</f>
        <v/>
      </c>
      <c r="B5978" t="str">
        <f>Segmenter!B5978</f>
        <v/>
      </c>
      <c r="C5978" t="str">
        <f t="shared" si="465"/>
        <v/>
      </c>
      <c r="D5978" t="str">
        <f t="shared" si="466"/>
        <v/>
      </c>
      <c r="E5978" t="str">
        <f t="shared" si="467"/>
        <v/>
      </c>
      <c r="F5978" t="str">
        <f>IF(D5978="","",INDEX(Knutepunkter!$B:$B,D5978+1))</f>
        <v/>
      </c>
      <c r="G5978" t="str">
        <f>IF(D5978="","",INDEX(Knutepunkter!$C:$C,D5978+1))</f>
        <v/>
      </c>
      <c r="H5978" t="str">
        <f>IF(D5978="","",INDEX(Knutepunkter!$D:$D,D5978+1))</f>
        <v/>
      </c>
      <c r="I5978" t="str">
        <f>IF(E5978="","",INDEX(Knutepunkter!$B:$B,E5978+1))</f>
        <v/>
      </c>
      <c r="J5978" t="str">
        <f>IF(E5978="","",INDEX(Knutepunkter!$C:$C,E5978+1))</f>
        <v/>
      </c>
      <c r="K5978" t="str">
        <f>IF(E5978="","",INDEX(Knutepunkter!$D:$D,E5978+1))</f>
        <v/>
      </c>
      <c r="L5978" t="str">
        <f t="shared" si="468"/>
        <v/>
      </c>
      <c r="M5978" t="str">
        <f t="shared" si="469"/>
        <v/>
      </c>
    </row>
    <row r="5979" spans="1:13" x14ac:dyDescent="0.3">
      <c r="A5979" t="str">
        <f>Segmenter!A5979</f>
        <v/>
      </c>
      <c r="B5979" t="str">
        <f>Segmenter!B5979</f>
        <v/>
      </c>
      <c r="C5979" t="str">
        <f t="shared" si="465"/>
        <v/>
      </c>
      <c r="D5979" t="str">
        <f t="shared" si="466"/>
        <v/>
      </c>
      <c r="E5979" t="str">
        <f t="shared" si="467"/>
        <v/>
      </c>
      <c r="F5979" t="str">
        <f>IF(D5979="","",INDEX(Knutepunkter!$B:$B,D5979+1))</f>
        <v/>
      </c>
      <c r="G5979" t="str">
        <f>IF(D5979="","",INDEX(Knutepunkter!$C:$C,D5979+1))</f>
        <v/>
      </c>
      <c r="H5979" t="str">
        <f>IF(D5979="","",INDEX(Knutepunkter!$D:$D,D5979+1))</f>
        <v/>
      </c>
      <c r="I5979" t="str">
        <f>IF(E5979="","",INDEX(Knutepunkter!$B:$B,E5979+1))</f>
        <v/>
      </c>
      <c r="J5979" t="str">
        <f>IF(E5979="","",INDEX(Knutepunkter!$C:$C,E5979+1))</f>
        <v/>
      </c>
      <c r="K5979" t="str">
        <f>IF(E5979="","",INDEX(Knutepunkter!$D:$D,E5979+1))</f>
        <v/>
      </c>
      <c r="L5979" t="str">
        <f t="shared" si="468"/>
        <v/>
      </c>
      <c r="M5979" t="str">
        <f t="shared" si="469"/>
        <v/>
      </c>
    </row>
    <row r="5980" spans="1:13" x14ac:dyDescent="0.3">
      <c r="A5980" t="str">
        <f>Segmenter!A5980</f>
        <v/>
      </c>
      <c r="B5980" t="str">
        <f>Segmenter!B5980</f>
        <v/>
      </c>
      <c r="C5980" t="str">
        <f t="shared" si="465"/>
        <v/>
      </c>
      <c r="D5980" t="str">
        <f t="shared" si="466"/>
        <v/>
      </c>
      <c r="E5980" t="str">
        <f t="shared" si="467"/>
        <v/>
      </c>
      <c r="F5980" t="str">
        <f>IF(D5980="","",INDEX(Knutepunkter!$B:$B,D5980+1))</f>
        <v/>
      </c>
      <c r="G5980" t="str">
        <f>IF(D5980="","",INDEX(Knutepunkter!$C:$C,D5980+1))</f>
        <v/>
      </c>
      <c r="H5980" t="str">
        <f>IF(D5980="","",INDEX(Knutepunkter!$D:$D,D5980+1))</f>
        <v/>
      </c>
      <c r="I5980" t="str">
        <f>IF(E5980="","",INDEX(Knutepunkter!$B:$B,E5980+1))</f>
        <v/>
      </c>
      <c r="J5980" t="str">
        <f>IF(E5980="","",INDEX(Knutepunkter!$C:$C,E5980+1))</f>
        <v/>
      </c>
      <c r="K5980" t="str">
        <f>IF(E5980="","",INDEX(Knutepunkter!$D:$D,E5980+1))</f>
        <v/>
      </c>
      <c r="L5980" t="str">
        <f t="shared" si="468"/>
        <v/>
      </c>
      <c r="M5980" t="str">
        <f t="shared" si="469"/>
        <v/>
      </c>
    </row>
    <row r="5981" spans="1:13" x14ac:dyDescent="0.3">
      <c r="A5981" t="str">
        <f>Segmenter!A5981</f>
        <v/>
      </c>
      <c r="B5981" t="str">
        <f>Segmenter!B5981</f>
        <v/>
      </c>
      <c r="C5981" t="str">
        <f t="shared" si="465"/>
        <v/>
      </c>
      <c r="D5981" t="str">
        <f t="shared" si="466"/>
        <v/>
      </c>
      <c r="E5981" t="str">
        <f t="shared" si="467"/>
        <v/>
      </c>
      <c r="F5981" t="str">
        <f>IF(D5981="","",INDEX(Knutepunkter!$B:$B,D5981+1))</f>
        <v/>
      </c>
      <c r="G5981" t="str">
        <f>IF(D5981="","",INDEX(Knutepunkter!$C:$C,D5981+1))</f>
        <v/>
      </c>
      <c r="H5981" t="str">
        <f>IF(D5981="","",INDEX(Knutepunkter!$D:$D,D5981+1))</f>
        <v/>
      </c>
      <c r="I5981" t="str">
        <f>IF(E5981="","",INDEX(Knutepunkter!$B:$B,E5981+1))</f>
        <v/>
      </c>
      <c r="J5981" t="str">
        <f>IF(E5981="","",INDEX(Knutepunkter!$C:$C,E5981+1))</f>
        <v/>
      </c>
      <c r="K5981" t="str">
        <f>IF(E5981="","",INDEX(Knutepunkter!$D:$D,E5981+1))</f>
        <v/>
      </c>
      <c r="L5981" t="str">
        <f t="shared" si="468"/>
        <v/>
      </c>
      <c r="M5981" t="str">
        <f t="shared" si="469"/>
        <v/>
      </c>
    </row>
    <row r="5982" spans="1:13" x14ac:dyDescent="0.3">
      <c r="A5982" t="str">
        <f>Segmenter!A5982</f>
        <v/>
      </c>
      <c r="B5982" t="str">
        <f>Segmenter!B5982</f>
        <v/>
      </c>
      <c r="C5982" t="str">
        <f t="shared" si="465"/>
        <v/>
      </c>
      <c r="D5982" t="str">
        <f t="shared" si="466"/>
        <v/>
      </c>
      <c r="E5982" t="str">
        <f t="shared" si="467"/>
        <v/>
      </c>
      <c r="F5982" t="str">
        <f>IF(D5982="","",INDEX(Knutepunkter!$B:$B,D5982+1))</f>
        <v/>
      </c>
      <c r="G5982" t="str">
        <f>IF(D5982="","",INDEX(Knutepunkter!$C:$C,D5982+1))</f>
        <v/>
      </c>
      <c r="H5982" t="str">
        <f>IF(D5982="","",INDEX(Knutepunkter!$D:$D,D5982+1))</f>
        <v/>
      </c>
      <c r="I5982" t="str">
        <f>IF(E5982="","",INDEX(Knutepunkter!$B:$B,E5982+1))</f>
        <v/>
      </c>
      <c r="J5982" t="str">
        <f>IF(E5982="","",INDEX(Knutepunkter!$C:$C,E5982+1))</f>
        <v/>
      </c>
      <c r="K5982" t="str">
        <f>IF(E5982="","",INDEX(Knutepunkter!$D:$D,E5982+1))</f>
        <v/>
      </c>
      <c r="L5982" t="str">
        <f t="shared" si="468"/>
        <v/>
      </c>
      <c r="M5982" t="str">
        <f t="shared" si="469"/>
        <v/>
      </c>
    </row>
    <row r="5983" spans="1:13" x14ac:dyDescent="0.3">
      <c r="A5983" t="str">
        <f>Segmenter!A5983</f>
        <v/>
      </c>
      <c r="B5983" t="str">
        <f>Segmenter!B5983</f>
        <v/>
      </c>
      <c r="C5983" t="str">
        <f t="shared" si="465"/>
        <v/>
      </c>
      <c r="D5983" t="str">
        <f t="shared" si="466"/>
        <v/>
      </c>
      <c r="E5983" t="str">
        <f t="shared" si="467"/>
        <v/>
      </c>
      <c r="F5983" t="str">
        <f>IF(D5983="","",INDEX(Knutepunkter!$B:$B,D5983+1))</f>
        <v/>
      </c>
      <c r="G5983" t="str">
        <f>IF(D5983="","",INDEX(Knutepunkter!$C:$C,D5983+1))</f>
        <v/>
      </c>
      <c r="H5983" t="str">
        <f>IF(D5983="","",INDEX(Knutepunkter!$D:$D,D5983+1))</f>
        <v/>
      </c>
      <c r="I5983" t="str">
        <f>IF(E5983="","",INDEX(Knutepunkter!$B:$B,E5983+1))</f>
        <v/>
      </c>
      <c r="J5983" t="str">
        <f>IF(E5983="","",INDEX(Knutepunkter!$C:$C,E5983+1))</f>
        <v/>
      </c>
      <c r="K5983" t="str">
        <f>IF(E5983="","",INDEX(Knutepunkter!$D:$D,E5983+1))</f>
        <v/>
      </c>
      <c r="L5983" t="str">
        <f t="shared" si="468"/>
        <v/>
      </c>
      <c r="M5983" t="str">
        <f t="shared" si="469"/>
        <v/>
      </c>
    </row>
    <row r="5984" spans="1:13" x14ac:dyDescent="0.3">
      <c r="A5984" t="str">
        <f>Segmenter!A5984</f>
        <v/>
      </c>
      <c r="B5984" t="str">
        <f>Segmenter!B5984</f>
        <v/>
      </c>
      <c r="C5984" t="str">
        <f t="shared" si="465"/>
        <v/>
      </c>
      <c r="D5984" t="str">
        <f t="shared" si="466"/>
        <v/>
      </c>
      <c r="E5984" t="str">
        <f t="shared" si="467"/>
        <v/>
      </c>
      <c r="F5984" t="str">
        <f>IF(D5984="","",INDEX(Knutepunkter!$B:$B,D5984+1))</f>
        <v/>
      </c>
      <c r="G5984" t="str">
        <f>IF(D5984="","",INDEX(Knutepunkter!$C:$C,D5984+1))</f>
        <v/>
      </c>
      <c r="H5984" t="str">
        <f>IF(D5984="","",INDEX(Knutepunkter!$D:$D,D5984+1))</f>
        <v/>
      </c>
      <c r="I5984" t="str">
        <f>IF(E5984="","",INDEX(Knutepunkter!$B:$B,E5984+1))</f>
        <v/>
      </c>
      <c r="J5984" t="str">
        <f>IF(E5984="","",INDEX(Knutepunkter!$C:$C,E5984+1))</f>
        <v/>
      </c>
      <c r="K5984" t="str">
        <f>IF(E5984="","",INDEX(Knutepunkter!$D:$D,E5984+1))</f>
        <v/>
      </c>
      <c r="L5984" t="str">
        <f t="shared" si="468"/>
        <v/>
      </c>
      <c r="M5984" t="str">
        <f t="shared" si="469"/>
        <v/>
      </c>
    </row>
    <row r="5985" spans="1:13" x14ac:dyDescent="0.3">
      <c r="A5985" t="str">
        <f>Segmenter!A5985</f>
        <v/>
      </c>
      <c r="B5985" t="str">
        <f>Segmenter!B5985</f>
        <v/>
      </c>
      <c r="C5985" t="str">
        <f t="shared" si="465"/>
        <v/>
      </c>
      <c r="D5985" t="str">
        <f t="shared" si="466"/>
        <v/>
      </c>
      <c r="E5985" t="str">
        <f t="shared" si="467"/>
        <v/>
      </c>
      <c r="F5985" t="str">
        <f>IF(D5985="","",INDEX(Knutepunkter!$B:$B,D5985+1))</f>
        <v/>
      </c>
      <c r="G5985" t="str">
        <f>IF(D5985="","",INDEX(Knutepunkter!$C:$C,D5985+1))</f>
        <v/>
      </c>
      <c r="H5985" t="str">
        <f>IF(D5985="","",INDEX(Knutepunkter!$D:$D,D5985+1))</f>
        <v/>
      </c>
      <c r="I5985" t="str">
        <f>IF(E5985="","",INDEX(Knutepunkter!$B:$B,E5985+1))</f>
        <v/>
      </c>
      <c r="J5985" t="str">
        <f>IF(E5985="","",INDEX(Knutepunkter!$C:$C,E5985+1))</f>
        <v/>
      </c>
      <c r="K5985" t="str">
        <f>IF(E5985="","",INDEX(Knutepunkter!$D:$D,E5985+1))</f>
        <v/>
      </c>
      <c r="L5985" t="str">
        <f t="shared" si="468"/>
        <v/>
      </c>
      <c r="M5985" t="str">
        <f t="shared" si="469"/>
        <v/>
      </c>
    </row>
    <row r="5986" spans="1:13" x14ac:dyDescent="0.3">
      <c r="A5986" t="str">
        <f>Segmenter!A5986</f>
        <v/>
      </c>
      <c r="B5986" t="str">
        <f>Segmenter!B5986</f>
        <v/>
      </c>
      <c r="C5986" t="str">
        <f t="shared" si="465"/>
        <v/>
      </c>
      <c r="D5986" t="str">
        <f t="shared" si="466"/>
        <v/>
      </c>
      <c r="E5986" t="str">
        <f t="shared" si="467"/>
        <v/>
      </c>
      <c r="F5986" t="str">
        <f>IF(D5986="","",INDEX(Knutepunkter!$B:$B,D5986+1))</f>
        <v/>
      </c>
      <c r="G5986" t="str">
        <f>IF(D5986="","",INDEX(Knutepunkter!$C:$C,D5986+1))</f>
        <v/>
      </c>
      <c r="H5986" t="str">
        <f>IF(D5986="","",INDEX(Knutepunkter!$D:$D,D5986+1))</f>
        <v/>
      </c>
      <c r="I5986" t="str">
        <f>IF(E5986="","",INDEX(Knutepunkter!$B:$B,E5986+1))</f>
        <v/>
      </c>
      <c r="J5986" t="str">
        <f>IF(E5986="","",INDEX(Knutepunkter!$C:$C,E5986+1))</f>
        <v/>
      </c>
      <c r="K5986" t="str">
        <f>IF(E5986="","",INDEX(Knutepunkter!$D:$D,E5986+1))</f>
        <v/>
      </c>
      <c r="L5986" t="str">
        <f t="shared" si="468"/>
        <v/>
      </c>
      <c r="M5986" t="str">
        <f t="shared" si="469"/>
        <v/>
      </c>
    </row>
    <row r="5987" spans="1:13" x14ac:dyDescent="0.3">
      <c r="A5987" t="str">
        <f>Segmenter!A5987</f>
        <v/>
      </c>
      <c r="B5987" t="str">
        <f>Segmenter!B5987</f>
        <v/>
      </c>
      <c r="C5987" t="str">
        <f t="shared" si="465"/>
        <v/>
      </c>
      <c r="D5987" t="str">
        <f t="shared" si="466"/>
        <v/>
      </c>
      <c r="E5987" t="str">
        <f t="shared" si="467"/>
        <v/>
      </c>
      <c r="F5987" t="str">
        <f>IF(D5987="","",INDEX(Knutepunkter!$B:$B,D5987+1))</f>
        <v/>
      </c>
      <c r="G5987" t="str">
        <f>IF(D5987="","",INDEX(Knutepunkter!$C:$C,D5987+1))</f>
        <v/>
      </c>
      <c r="H5987" t="str">
        <f>IF(D5987="","",INDEX(Knutepunkter!$D:$D,D5987+1))</f>
        <v/>
      </c>
      <c r="I5987" t="str">
        <f>IF(E5987="","",INDEX(Knutepunkter!$B:$B,E5987+1))</f>
        <v/>
      </c>
      <c r="J5987" t="str">
        <f>IF(E5987="","",INDEX(Knutepunkter!$C:$C,E5987+1))</f>
        <v/>
      </c>
      <c r="K5987" t="str">
        <f>IF(E5987="","",INDEX(Knutepunkter!$D:$D,E5987+1))</f>
        <v/>
      </c>
      <c r="L5987" t="str">
        <f t="shared" si="468"/>
        <v/>
      </c>
      <c r="M5987" t="str">
        <f t="shared" si="469"/>
        <v/>
      </c>
    </row>
    <row r="5988" spans="1:13" x14ac:dyDescent="0.3">
      <c r="A5988" t="str">
        <f>Segmenter!A5988</f>
        <v/>
      </c>
      <c r="B5988" t="str">
        <f>Segmenter!B5988</f>
        <v/>
      </c>
      <c r="C5988" t="str">
        <f t="shared" si="465"/>
        <v/>
      </c>
      <c r="D5988" t="str">
        <f t="shared" si="466"/>
        <v/>
      </c>
      <c r="E5988" t="str">
        <f t="shared" si="467"/>
        <v/>
      </c>
      <c r="F5988" t="str">
        <f>IF(D5988="","",INDEX(Knutepunkter!$B:$B,D5988+1))</f>
        <v/>
      </c>
      <c r="G5988" t="str">
        <f>IF(D5988="","",INDEX(Knutepunkter!$C:$C,D5988+1))</f>
        <v/>
      </c>
      <c r="H5988" t="str">
        <f>IF(D5988="","",INDEX(Knutepunkter!$D:$D,D5988+1))</f>
        <v/>
      </c>
      <c r="I5988" t="str">
        <f>IF(E5988="","",INDEX(Knutepunkter!$B:$B,E5988+1))</f>
        <v/>
      </c>
      <c r="J5988" t="str">
        <f>IF(E5988="","",INDEX(Knutepunkter!$C:$C,E5988+1))</f>
        <v/>
      </c>
      <c r="K5988" t="str">
        <f>IF(E5988="","",INDEX(Knutepunkter!$D:$D,E5988+1))</f>
        <v/>
      </c>
      <c r="L5988" t="str">
        <f t="shared" si="468"/>
        <v/>
      </c>
      <c r="M5988" t="str">
        <f t="shared" si="469"/>
        <v/>
      </c>
    </row>
    <row r="5989" spans="1:13" x14ac:dyDescent="0.3">
      <c r="A5989" t="str">
        <f>Segmenter!A5989</f>
        <v/>
      </c>
      <c r="B5989" t="str">
        <f>Segmenter!B5989</f>
        <v/>
      </c>
      <c r="C5989" t="str">
        <f t="shared" si="465"/>
        <v/>
      </c>
      <c r="D5989" t="str">
        <f t="shared" si="466"/>
        <v/>
      </c>
      <c r="E5989" t="str">
        <f t="shared" si="467"/>
        <v/>
      </c>
      <c r="F5989" t="str">
        <f>IF(D5989="","",INDEX(Knutepunkter!$B:$B,D5989+1))</f>
        <v/>
      </c>
      <c r="G5989" t="str">
        <f>IF(D5989="","",INDEX(Knutepunkter!$C:$C,D5989+1))</f>
        <v/>
      </c>
      <c r="H5989" t="str">
        <f>IF(D5989="","",INDEX(Knutepunkter!$D:$D,D5989+1))</f>
        <v/>
      </c>
      <c r="I5989" t="str">
        <f>IF(E5989="","",INDEX(Knutepunkter!$B:$B,E5989+1))</f>
        <v/>
      </c>
      <c r="J5989" t="str">
        <f>IF(E5989="","",INDEX(Knutepunkter!$C:$C,E5989+1))</f>
        <v/>
      </c>
      <c r="K5989" t="str">
        <f>IF(E5989="","",INDEX(Knutepunkter!$D:$D,E5989+1))</f>
        <v/>
      </c>
      <c r="L5989" t="str">
        <f t="shared" si="468"/>
        <v/>
      </c>
      <c r="M5989" t="str">
        <f t="shared" si="469"/>
        <v/>
      </c>
    </row>
    <row r="5990" spans="1:13" x14ac:dyDescent="0.3">
      <c r="A5990" t="str">
        <f>Segmenter!A5990</f>
        <v/>
      </c>
      <c r="B5990" t="str">
        <f>Segmenter!B5990</f>
        <v/>
      </c>
      <c r="C5990" t="str">
        <f t="shared" si="465"/>
        <v/>
      </c>
      <c r="D5990" t="str">
        <f t="shared" si="466"/>
        <v/>
      </c>
      <c r="E5990" t="str">
        <f t="shared" si="467"/>
        <v/>
      </c>
      <c r="F5990" t="str">
        <f>IF(D5990="","",INDEX(Knutepunkter!$B:$B,D5990+1))</f>
        <v/>
      </c>
      <c r="G5990" t="str">
        <f>IF(D5990="","",INDEX(Knutepunkter!$C:$C,D5990+1))</f>
        <v/>
      </c>
      <c r="H5990" t="str">
        <f>IF(D5990="","",INDEX(Knutepunkter!$D:$D,D5990+1))</f>
        <v/>
      </c>
      <c r="I5990" t="str">
        <f>IF(E5990="","",INDEX(Knutepunkter!$B:$B,E5990+1))</f>
        <v/>
      </c>
      <c r="J5990" t="str">
        <f>IF(E5990="","",INDEX(Knutepunkter!$C:$C,E5990+1))</f>
        <v/>
      </c>
      <c r="K5990" t="str">
        <f>IF(E5990="","",INDEX(Knutepunkter!$D:$D,E5990+1))</f>
        <v/>
      </c>
      <c r="L5990" t="str">
        <f t="shared" si="468"/>
        <v/>
      </c>
      <c r="M5990" t="str">
        <f t="shared" si="469"/>
        <v/>
      </c>
    </row>
    <row r="5991" spans="1:13" x14ac:dyDescent="0.3">
      <c r="A5991" t="str">
        <f>Segmenter!A5991</f>
        <v/>
      </c>
      <c r="B5991" t="str">
        <f>Segmenter!B5991</f>
        <v/>
      </c>
      <c r="C5991" t="str">
        <f t="shared" si="465"/>
        <v/>
      </c>
      <c r="D5991" t="str">
        <f t="shared" si="466"/>
        <v/>
      </c>
      <c r="E5991" t="str">
        <f t="shared" si="467"/>
        <v/>
      </c>
      <c r="F5991" t="str">
        <f>IF(D5991="","",INDEX(Knutepunkter!$B:$B,D5991+1))</f>
        <v/>
      </c>
      <c r="G5991" t="str">
        <f>IF(D5991="","",INDEX(Knutepunkter!$C:$C,D5991+1))</f>
        <v/>
      </c>
      <c r="H5991" t="str">
        <f>IF(D5991="","",INDEX(Knutepunkter!$D:$D,D5991+1))</f>
        <v/>
      </c>
      <c r="I5991" t="str">
        <f>IF(E5991="","",INDEX(Knutepunkter!$B:$B,E5991+1))</f>
        <v/>
      </c>
      <c r="J5991" t="str">
        <f>IF(E5991="","",INDEX(Knutepunkter!$C:$C,E5991+1))</f>
        <v/>
      </c>
      <c r="K5991" t="str">
        <f>IF(E5991="","",INDEX(Knutepunkter!$D:$D,E5991+1))</f>
        <v/>
      </c>
      <c r="L5991" t="str">
        <f t="shared" si="468"/>
        <v/>
      </c>
      <c r="M5991" t="str">
        <f t="shared" si="469"/>
        <v/>
      </c>
    </row>
    <row r="5992" spans="1:13" x14ac:dyDescent="0.3">
      <c r="A5992" t="str">
        <f>Segmenter!A5992</f>
        <v/>
      </c>
      <c r="B5992" t="str">
        <f>Segmenter!B5992</f>
        <v/>
      </c>
      <c r="C5992" t="str">
        <f t="shared" si="465"/>
        <v/>
      </c>
      <c r="D5992" t="str">
        <f t="shared" si="466"/>
        <v/>
      </c>
      <c r="E5992" t="str">
        <f t="shared" si="467"/>
        <v/>
      </c>
      <c r="F5992" t="str">
        <f>IF(D5992="","",INDEX(Knutepunkter!$B:$B,D5992+1))</f>
        <v/>
      </c>
      <c r="G5992" t="str">
        <f>IF(D5992="","",INDEX(Knutepunkter!$C:$C,D5992+1))</f>
        <v/>
      </c>
      <c r="H5992" t="str">
        <f>IF(D5992="","",INDEX(Knutepunkter!$D:$D,D5992+1))</f>
        <v/>
      </c>
      <c r="I5992" t="str">
        <f>IF(E5992="","",INDEX(Knutepunkter!$B:$B,E5992+1))</f>
        <v/>
      </c>
      <c r="J5992" t="str">
        <f>IF(E5992="","",INDEX(Knutepunkter!$C:$C,E5992+1))</f>
        <v/>
      </c>
      <c r="K5992" t="str">
        <f>IF(E5992="","",INDEX(Knutepunkter!$D:$D,E5992+1))</f>
        <v/>
      </c>
      <c r="L5992" t="str">
        <f t="shared" si="468"/>
        <v/>
      </c>
      <c r="M5992" t="str">
        <f t="shared" si="469"/>
        <v/>
      </c>
    </row>
    <row r="5993" spans="1:13" x14ac:dyDescent="0.3">
      <c r="A5993" t="str">
        <f>Segmenter!A5993</f>
        <v/>
      </c>
      <c r="B5993" t="str">
        <f>Segmenter!B5993</f>
        <v/>
      </c>
      <c r="C5993" t="str">
        <f t="shared" si="465"/>
        <v/>
      </c>
      <c r="D5993" t="str">
        <f t="shared" si="466"/>
        <v/>
      </c>
      <c r="E5993" t="str">
        <f t="shared" si="467"/>
        <v/>
      </c>
      <c r="F5993" t="str">
        <f>IF(D5993="","",INDEX(Knutepunkter!$B:$B,D5993+1))</f>
        <v/>
      </c>
      <c r="G5993" t="str">
        <f>IF(D5993="","",INDEX(Knutepunkter!$C:$C,D5993+1))</f>
        <v/>
      </c>
      <c r="H5993" t="str">
        <f>IF(D5993="","",INDEX(Knutepunkter!$D:$D,D5993+1))</f>
        <v/>
      </c>
      <c r="I5993" t="str">
        <f>IF(E5993="","",INDEX(Knutepunkter!$B:$B,E5993+1))</f>
        <v/>
      </c>
      <c r="J5993" t="str">
        <f>IF(E5993="","",INDEX(Knutepunkter!$C:$C,E5993+1))</f>
        <v/>
      </c>
      <c r="K5993" t="str">
        <f>IF(E5993="","",INDEX(Knutepunkter!$D:$D,E5993+1))</f>
        <v/>
      </c>
      <c r="L5993" t="str">
        <f t="shared" si="468"/>
        <v/>
      </c>
      <c r="M5993" t="str">
        <f t="shared" si="469"/>
        <v/>
      </c>
    </row>
    <row r="5994" spans="1:13" x14ac:dyDescent="0.3">
      <c r="A5994" t="str">
        <f>Segmenter!A5994</f>
        <v/>
      </c>
      <c r="B5994" t="str">
        <f>Segmenter!B5994</f>
        <v/>
      </c>
      <c r="C5994" t="str">
        <f t="shared" si="465"/>
        <v/>
      </c>
      <c r="D5994" t="str">
        <f t="shared" si="466"/>
        <v/>
      </c>
      <c r="E5994" t="str">
        <f t="shared" si="467"/>
        <v/>
      </c>
      <c r="F5994" t="str">
        <f>IF(D5994="","",INDEX(Knutepunkter!$B:$B,D5994+1))</f>
        <v/>
      </c>
      <c r="G5994" t="str">
        <f>IF(D5994="","",INDEX(Knutepunkter!$C:$C,D5994+1))</f>
        <v/>
      </c>
      <c r="H5994" t="str">
        <f>IF(D5994="","",INDEX(Knutepunkter!$D:$D,D5994+1))</f>
        <v/>
      </c>
      <c r="I5994" t="str">
        <f>IF(E5994="","",INDEX(Knutepunkter!$B:$B,E5994+1))</f>
        <v/>
      </c>
      <c r="J5994" t="str">
        <f>IF(E5994="","",INDEX(Knutepunkter!$C:$C,E5994+1))</f>
        <v/>
      </c>
      <c r="K5994" t="str">
        <f>IF(E5994="","",INDEX(Knutepunkter!$D:$D,E5994+1))</f>
        <v/>
      </c>
      <c r="L5994" t="str">
        <f t="shared" si="468"/>
        <v/>
      </c>
      <c r="M5994" t="str">
        <f t="shared" si="469"/>
        <v/>
      </c>
    </row>
    <row r="5995" spans="1:13" x14ac:dyDescent="0.3">
      <c r="A5995" t="str">
        <f>Segmenter!A5995</f>
        <v/>
      </c>
      <c r="B5995" t="str">
        <f>Segmenter!B5995</f>
        <v/>
      </c>
      <c r="C5995" t="str">
        <f t="shared" si="465"/>
        <v/>
      </c>
      <c r="D5995" t="str">
        <f t="shared" si="466"/>
        <v/>
      </c>
      <c r="E5995" t="str">
        <f t="shared" si="467"/>
        <v/>
      </c>
      <c r="F5995" t="str">
        <f>IF(D5995="","",INDEX(Knutepunkter!$B:$B,D5995+1))</f>
        <v/>
      </c>
      <c r="G5995" t="str">
        <f>IF(D5995="","",INDEX(Knutepunkter!$C:$C,D5995+1))</f>
        <v/>
      </c>
      <c r="H5995" t="str">
        <f>IF(D5995="","",INDEX(Knutepunkter!$D:$D,D5995+1))</f>
        <v/>
      </c>
      <c r="I5995" t="str">
        <f>IF(E5995="","",INDEX(Knutepunkter!$B:$B,E5995+1))</f>
        <v/>
      </c>
      <c r="J5995" t="str">
        <f>IF(E5995="","",INDEX(Knutepunkter!$C:$C,E5995+1))</f>
        <v/>
      </c>
      <c r="K5995" t="str">
        <f>IF(E5995="","",INDEX(Knutepunkter!$D:$D,E5995+1))</f>
        <v/>
      </c>
      <c r="L5995" t="str">
        <f t="shared" si="468"/>
        <v/>
      </c>
      <c r="M5995" t="str">
        <f t="shared" si="469"/>
        <v/>
      </c>
    </row>
    <row r="5996" spans="1:13" x14ac:dyDescent="0.3">
      <c r="A5996" t="str">
        <f>Segmenter!A5996</f>
        <v/>
      </c>
      <c r="B5996" t="str">
        <f>Segmenter!B5996</f>
        <v/>
      </c>
      <c r="C5996" t="str">
        <f t="shared" si="465"/>
        <v/>
      </c>
      <c r="D5996" t="str">
        <f t="shared" si="466"/>
        <v/>
      </c>
      <c r="E5996" t="str">
        <f t="shared" si="467"/>
        <v/>
      </c>
      <c r="F5996" t="str">
        <f>IF(D5996="","",INDEX(Knutepunkter!$B:$B,D5996+1))</f>
        <v/>
      </c>
      <c r="G5996" t="str">
        <f>IF(D5996="","",INDEX(Knutepunkter!$C:$C,D5996+1))</f>
        <v/>
      </c>
      <c r="H5996" t="str">
        <f>IF(D5996="","",INDEX(Knutepunkter!$D:$D,D5996+1))</f>
        <v/>
      </c>
      <c r="I5996" t="str">
        <f>IF(E5996="","",INDEX(Knutepunkter!$B:$B,E5996+1))</f>
        <v/>
      </c>
      <c r="J5996" t="str">
        <f>IF(E5996="","",INDEX(Knutepunkter!$C:$C,E5996+1))</f>
        <v/>
      </c>
      <c r="K5996" t="str">
        <f>IF(E5996="","",INDEX(Knutepunkter!$D:$D,E5996+1))</f>
        <v/>
      </c>
      <c r="L5996" t="str">
        <f t="shared" si="468"/>
        <v/>
      </c>
      <c r="M5996" t="str">
        <f t="shared" si="469"/>
        <v/>
      </c>
    </row>
    <row r="5997" spans="1:13" x14ac:dyDescent="0.3">
      <c r="A5997" t="str">
        <f>Segmenter!A5997</f>
        <v/>
      </c>
      <c r="B5997" t="str">
        <f>Segmenter!B5997</f>
        <v/>
      </c>
      <c r="C5997" t="str">
        <f t="shared" si="465"/>
        <v/>
      </c>
      <c r="D5997" t="str">
        <f t="shared" si="466"/>
        <v/>
      </c>
      <c r="E5997" t="str">
        <f t="shared" si="467"/>
        <v/>
      </c>
      <c r="F5997" t="str">
        <f>IF(D5997="","",INDEX(Knutepunkter!$B:$B,D5997+1))</f>
        <v/>
      </c>
      <c r="G5997" t="str">
        <f>IF(D5997="","",INDEX(Knutepunkter!$C:$C,D5997+1))</f>
        <v/>
      </c>
      <c r="H5997" t="str">
        <f>IF(D5997="","",INDEX(Knutepunkter!$D:$D,D5997+1))</f>
        <v/>
      </c>
      <c r="I5997" t="str">
        <f>IF(E5997="","",INDEX(Knutepunkter!$B:$B,E5997+1))</f>
        <v/>
      </c>
      <c r="J5997" t="str">
        <f>IF(E5997="","",INDEX(Knutepunkter!$C:$C,E5997+1))</f>
        <v/>
      </c>
      <c r="K5997" t="str">
        <f>IF(E5997="","",INDEX(Knutepunkter!$D:$D,E5997+1))</f>
        <v/>
      </c>
      <c r="L5997" t="str">
        <f t="shared" si="468"/>
        <v/>
      </c>
      <c r="M5997" t="str">
        <f t="shared" si="469"/>
        <v/>
      </c>
    </row>
    <row r="5998" spans="1:13" x14ac:dyDescent="0.3">
      <c r="A5998" t="str">
        <f>Segmenter!A5998</f>
        <v/>
      </c>
      <c r="B5998" t="str">
        <f>Segmenter!B5998</f>
        <v/>
      </c>
      <c r="C5998" t="str">
        <f t="shared" si="465"/>
        <v/>
      </c>
      <c r="D5998" t="str">
        <f t="shared" si="466"/>
        <v/>
      </c>
      <c r="E5998" t="str">
        <f t="shared" si="467"/>
        <v/>
      </c>
      <c r="F5998" t="str">
        <f>IF(D5998="","",INDEX(Knutepunkter!$B:$B,D5998+1))</f>
        <v/>
      </c>
      <c r="G5998" t="str">
        <f>IF(D5998="","",INDEX(Knutepunkter!$C:$C,D5998+1))</f>
        <v/>
      </c>
      <c r="H5998" t="str">
        <f>IF(D5998="","",INDEX(Knutepunkter!$D:$D,D5998+1))</f>
        <v/>
      </c>
      <c r="I5998" t="str">
        <f>IF(E5998="","",INDEX(Knutepunkter!$B:$B,E5998+1))</f>
        <v/>
      </c>
      <c r="J5998" t="str">
        <f>IF(E5998="","",INDEX(Knutepunkter!$C:$C,E5998+1))</f>
        <v/>
      </c>
      <c r="K5998" t="str">
        <f>IF(E5998="","",INDEX(Knutepunkter!$D:$D,E5998+1))</f>
        <v/>
      </c>
      <c r="L5998" t="str">
        <f t="shared" si="468"/>
        <v/>
      </c>
      <c r="M5998" t="str">
        <f t="shared" si="469"/>
        <v/>
      </c>
    </row>
    <row r="5999" spans="1:13" x14ac:dyDescent="0.3">
      <c r="A5999" t="str">
        <f>Segmenter!A5999</f>
        <v/>
      </c>
      <c r="B5999" t="str">
        <f>Segmenter!B5999</f>
        <v/>
      </c>
      <c r="C5999" t="str">
        <f t="shared" si="465"/>
        <v/>
      </c>
      <c r="D5999" t="str">
        <f t="shared" si="466"/>
        <v/>
      </c>
      <c r="E5999" t="str">
        <f t="shared" si="467"/>
        <v/>
      </c>
      <c r="F5999" t="str">
        <f>IF(D5999="","",INDEX(Knutepunkter!$B:$B,D5999+1))</f>
        <v/>
      </c>
      <c r="G5999" t="str">
        <f>IF(D5999="","",INDEX(Knutepunkter!$C:$C,D5999+1))</f>
        <v/>
      </c>
      <c r="H5999" t="str">
        <f>IF(D5999="","",INDEX(Knutepunkter!$D:$D,D5999+1))</f>
        <v/>
      </c>
      <c r="I5999" t="str">
        <f>IF(E5999="","",INDEX(Knutepunkter!$B:$B,E5999+1))</f>
        <v/>
      </c>
      <c r="J5999" t="str">
        <f>IF(E5999="","",INDEX(Knutepunkter!$C:$C,E5999+1))</f>
        <v/>
      </c>
      <c r="K5999" t="str">
        <f>IF(E5999="","",INDEX(Knutepunkter!$D:$D,E5999+1))</f>
        <v/>
      </c>
      <c r="L5999" t="str">
        <f t="shared" si="468"/>
        <v/>
      </c>
      <c r="M5999" t="str">
        <f t="shared" si="469"/>
        <v/>
      </c>
    </row>
    <row r="6000" spans="1:13" x14ac:dyDescent="0.3">
      <c r="A6000" t="str">
        <f>Segmenter!A6000</f>
        <v/>
      </c>
      <c r="B6000" t="str">
        <f>Segmenter!B6000</f>
        <v/>
      </c>
      <c r="C6000" t="str">
        <f t="shared" si="465"/>
        <v/>
      </c>
      <c r="D6000" t="str">
        <f t="shared" si="466"/>
        <v/>
      </c>
      <c r="E6000" t="str">
        <f t="shared" si="467"/>
        <v/>
      </c>
      <c r="F6000" t="str">
        <f>IF(D6000="","",INDEX(Knutepunkter!$B:$B,D6000+1))</f>
        <v/>
      </c>
      <c r="G6000" t="str">
        <f>IF(D6000="","",INDEX(Knutepunkter!$C:$C,D6000+1))</f>
        <v/>
      </c>
      <c r="H6000" t="str">
        <f>IF(D6000="","",INDEX(Knutepunkter!$D:$D,D6000+1))</f>
        <v/>
      </c>
      <c r="I6000" t="str">
        <f>IF(E6000="","",INDEX(Knutepunkter!$B:$B,E6000+1))</f>
        <v/>
      </c>
      <c r="J6000" t="str">
        <f>IF(E6000="","",INDEX(Knutepunkter!$C:$C,E6000+1))</f>
        <v/>
      </c>
      <c r="K6000" t="str">
        <f>IF(E6000="","",INDEX(Knutepunkter!$D:$D,E6000+1))</f>
        <v/>
      </c>
      <c r="L6000" t="str">
        <f t="shared" si="468"/>
        <v/>
      </c>
      <c r="M6000" t="str">
        <f t="shared" si="469"/>
        <v/>
      </c>
    </row>
    <row r="6001" spans="1:13" x14ac:dyDescent="0.3">
      <c r="A6001" t="str">
        <f>Segmenter!A6001</f>
        <v/>
      </c>
      <c r="B6001" t="str">
        <f>Segmenter!B6001</f>
        <v/>
      </c>
      <c r="C6001" t="str">
        <f t="shared" si="465"/>
        <v/>
      </c>
      <c r="D6001" t="str">
        <f t="shared" si="466"/>
        <v/>
      </c>
      <c r="E6001" t="str">
        <f t="shared" si="467"/>
        <v/>
      </c>
      <c r="F6001" t="str">
        <f>IF(D6001="","",INDEX(Knutepunkter!$B:$B,D6001+1))</f>
        <v/>
      </c>
      <c r="G6001" t="str">
        <f>IF(D6001="","",INDEX(Knutepunkter!$C:$C,D6001+1))</f>
        <v/>
      </c>
      <c r="H6001" t="str">
        <f>IF(D6001="","",INDEX(Knutepunkter!$D:$D,D6001+1))</f>
        <v/>
      </c>
      <c r="I6001" t="str">
        <f>IF(E6001="","",INDEX(Knutepunkter!$B:$B,E6001+1))</f>
        <v/>
      </c>
      <c r="J6001" t="str">
        <f>IF(E6001="","",INDEX(Knutepunkter!$C:$C,E6001+1))</f>
        <v/>
      </c>
      <c r="K6001" t="str">
        <f>IF(E6001="","",INDEX(Knutepunkter!$D:$D,E6001+1))</f>
        <v/>
      </c>
      <c r="L6001" t="str">
        <f t="shared" si="468"/>
        <v/>
      </c>
      <c r="M6001" t="str">
        <f t="shared" si="469"/>
        <v/>
      </c>
    </row>
    <row r="6002" spans="1:13" x14ac:dyDescent="0.3">
      <c r="A6002" t="str">
        <f>Segmenter!A6002</f>
        <v/>
      </c>
      <c r="B6002" t="str">
        <f>Segmenter!B6002</f>
        <v/>
      </c>
      <c r="C6002" t="str">
        <f t="shared" si="465"/>
        <v/>
      </c>
      <c r="D6002" t="str">
        <f t="shared" si="466"/>
        <v/>
      </c>
      <c r="E6002" t="str">
        <f t="shared" si="467"/>
        <v/>
      </c>
      <c r="F6002" t="str">
        <f>IF(D6002="","",INDEX(Knutepunkter!$B:$B,D6002+1))</f>
        <v/>
      </c>
      <c r="G6002" t="str">
        <f>IF(D6002="","",INDEX(Knutepunkter!$C:$C,D6002+1))</f>
        <v/>
      </c>
      <c r="H6002" t="str">
        <f>IF(D6002="","",INDEX(Knutepunkter!$D:$D,D6002+1))</f>
        <v/>
      </c>
      <c r="I6002" t="str">
        <f>IF(E6002="","",INDEX(Knutepunkter!$B:$B,E6002+1))</f>
        <v/>
      </c>
      <c r="J6002" t="str">
        <f>IF(E6002="","",INDEX(Knutepunkter!$C:$C,E6002+1))</f>
        <v/>
      </c>
      <c r="K6002" t="str">
        <f>IF(E6002="","",INDEX(Knutepunkter!$D:$D,E6002+1))</f>
        <v/>
      </c>
      <c r="L6002" t="str">
        <f t="shared" si="468"/>
        <v/>
      </c>
      <c r="M6002" t="str">
        <f t="shared" si="469"/>
        <v/>
      </c>
    </row>
    <row r="6003" spans="1:13" x14ac:dyDescent="0.3">
      <c r="A6003" t="str">
        <f>Segmenter!A6003</f>
        <v/>
      </c>
      <c r="B6003" t="str">
        <f>Segmenter!B6003</f>
        <v/>
      </c>
      <c r="C6003" t="str">
        <f t="shared" si="465"/>
        <v/>
      </c>
      <c r="D6003" t="str">
        <f t="shared" si="466"/>
        <v/>
      </c>
      <c r="E6003" t="str">
        <f t="shared" si="467"/>
        <v/>
      </c>
      <c r="F6003" t="str">
        <f>IF(D6003="","",INDEX(Knutepunkter!$B:$B,D6003+1))</f>
        <v/>
      </c>
      <c r="G6003" t="str">
        <f>IF(D6003="","",INDEX(Knutepunkter!$C:$C,D6003+1))</f>
        <v/>
      </c>
      <c r="H6003" t="str">
        <f>IF(D6003="","",INDEX(Knutepunkter!$D:$D,D6003+1))</f>
        <v/>
      </c>
      <c r="I6003" t="str">
        <f>IF(E6003="","",INDEX(Knutepunkter!$B:$B,E6003+1))</f>
        <v/>
      </c>
      <c r="J6003" t="str">
        <f>IF(E6003="","",INDEX(Knutepunkter!$C:$C,E6003+1))</f>
        <v/>
      </c>
      <c r="K6003" t="str">
        <f>IF(E6003="","",INDEX(Knutepunkter!$D:$D,E6003+1))</f>
        <v/>
      </c>
      <c r="L6003" t="str">
        <f t="shared" si="468"/>
        <v/>
      </c>
      <c r="M6003" t="str">
        <f t="shared" si="469"/>
        <v/>
      </c>
    </row>
    <row r="6004" spans="1:13" x14ac:dyDescent="0.3">
      <c r="A6004" t="str">
        <f>Segmenter!A6004</f>
        <v/>
      </c>
      <c r="B6004" t="str">
        <f>Segmenter!B6004</f>
        <v/>
      </c>
      <c r="C6004" t="str">
        <f t="shared" si="465"/>
        <v/>
      </c>
      <c r="D6004" t="str">
        <f t="shared" si="466"/>
        <v/>
      </c>
      <c r="E6004" t="str">
        <f t="shared" si="467"/>
        <v/>
      </c>
      <c r="F6004" t="str">
        <f>IF(D6004="","",INDEX(Knutepunkter!$B:$B,D6004+1))</f>
        <v/>
      </c>
      <c r="G6004" t="str">
        <f>IF(D6004="","",INDEX(Knutepunkter!$C:$C,D6004+1))</f>
        <v/>
      </c>
      <c r="H6004" t="str">
        <f>IF(D6004="","",INDEX(Knutepunkter!$D:$D,D6004+1))</f>
        <v/>
      </c>
      <c r="I6004" t="str">
        <f>IF(E6004="","",INDEX(Knutepunkter!$B:$B,E6004+1))</f>
        <v/>
      </c>
      <c r="J6004" t="str">
        <f>IF(E6004="","",INDEX(Knutepunkter!$C:$C,E6004+1))</f>
        <v/>
      </c>
      <c r="K6004" t="str">
        <f>IF(E6004="","",INDEX(Knutepunkter!$D:$D,E6004+1))</f>
        <v/>
      </c>
      <c r="L6004" t="str">
        <f t="shared" si="468"/>
        <v/>
      </c>
      <c r="M6004" t="str">
        <f t="shared" si="469"/>
        <v/>
      </c>
    </row>
    <row r="6005" spans="1:13" x14ac:dyDescent="0.3">
      <c r="A6005" t="str">
        <f>Segmenter!A6005</f>
        <v/>
      </c>
      <c r="B6005" t="str">
        <f>Segmenter!B6005</f>
        <v/>
      </c>
      <c r="C6005" t="str">
        <f t="shared" si="465"/>
        <v/>
      </c>
      <c r="D6005" t="str">
        <f t="shared" si="466"/>
        <v/>
      </c>
      <c r="E6005" t="str">
        <f t="shared" si="467"/>
        <v/>
      </c>
      <c r="F6005" t="str">
        <f>IF(D6005="","",INDEX(Knutepunkter!$B:$B,D6005+1))</f>
        <v/>
      </c>
      <c r="G6005" t="str">
        <f>IF(D6005="","",INDEX(Knutepunkter!$C:$C,D6005+1))</f>
        <v/>
      </c>
      <c r="H6005" t="str">
        <f>IF(D6005="","",INDEX(Knutepunkter!$D:$D,D6005+1))</f>
        <v/>
      </c>
      <c r="I6005" t="str">
        <f>IF(E6005="","",INDEX(Knutepunkter!$B:$B,E6005+1))</f>
        <v/>
      </c>
      <c r="J6005" t="str">
        <f>IF(E6005="","",INDEX(Knutepunkter!$C:$C,E6005+1))</f>
        <v/>
      </c>
      <c r="K6005" t="str">
        <f>IF(E6005="","",INDEX(Knutepunkter!$D:$D,E6005+1))</f>
        <v/>
      </c>
      <c r="L6005" t="str">
        <f t="shared" si="468"/>
        <v/>
      </c>
      <c r="M6005" t="str">
        <f t="shared" si="469"/>
        <v/>
      </c>
    </row>
    <row r="6006" spans="1:13" x14ac:dyDescent="0.3">
      <c r="A6006" t="str">
        <f>Segmenter!A6006</f>
        <v/>
      </c>
      <c r="B6006" t="str">
        <f>Segmenter!B6006</f>
        <v/>
      </c>
      <c r="C6006" t="str">
        <f t="shared" si="465"/>
        <v/>
      </c>
      <c r="D6006" t="str">
        <f t="shared" si="466"/>
        <v/>
      </c>
      <c r="E6006" t="str">
        <f t="shared" si="467"/>
        <v/>
      </c>
      <c r="F6006" t="str">
        <f>IF(D6006="","",INDEX(Knutepunkter!$B:$B,D6006+1))</f>
        <v/>
      </c>
      <c r="G6006" t="str">
        <f>IF(D6006="","",INDEX(Knutepunkter!$C:$C,D6006+1))</f>
        <v/>
      </c>
      <c r="H6006" t="str">
        <f>IF(D6006="","",INDEX(Knutepunkter!$D:$D,D6006+1))</f>
        <v/>
      </c>
      <c r="I6006" t="str">
        <f>IF(E6006="","",INDEX(Knutepunkter!$B:$B,E6006+1))</f>
        <v/>
      </c>
      <c r="J6006" t="str">
        <f>IF(E6006="","",INDEX(Knutepunkter!$C:$C,E6006+1))</f>
        <v/>
      </c>
      <c r="K6006" t="str">
        <f>IF(E6006="","",INDEX(Knutepunkter!$D:$D,E6006+1))</f>
        <v/>
      </c>
      <c r="L6006" t="str">
        <f t="shared" si="468"/>
        <v/>
      </c>
      <c r="M6006" t="str">
        <f t="shared" si="469"/>
        <v/>
      </c>
    </row>
    <row r="6007" spans="1:13" x14ac:dyDescent="0.3">
      <c r="A6007" t="str">
        <f>Segmenter!A6007</f>
        <v/>
      </c>
      <c r="B6007" t="str">
        <f>Segmenter!B6007</f>
        <v/>
      </c>
      <c r="C6007" t="str">
        <f t="shared" si="465"/>
        <v/>
      </c>
      <c r="D6007" t="str">
        <f t="shared" si="466"/>
        <v/>
      </c>
      <c r="E6007" t="str">
        <f t="shared" si="467"/>
        <v/>
      </c>
      <c r="F6007" t="str">
        <f>IF(D6007="","",INDEX(Knutepunkter!$B:$B,D6007+1))</f>
        <v/>
      </c>
      <c r="G6007" t="str">
        <f>IF(D6007="","",INDEX(Knutepunkter!$C:$C,D6007+1))</f>
        <v/>
      </c>
      <c r="H6007" t="str">
        <f>IF(D6007="","",INDEX(Knutepunkter!$D:$D,D6007+1))</f>
        <v/>
      </c>
      <c r="I6007" t="str">
        <f>IF(E6007="","",INDEX(Knutepunkter!$B:$B,E6007+1))</f>
        <v/>
      </c>
      <c r="J6007" t="str">
        <f>IF(E6007="","",INDEX(Knutepunkter!$C:$C,E6007+1))</f>
        <v/>
      </c>
      <c r="K6007" t="str">
        <f>IF(E6007="","",INDEX(Knutepunkter!$D:$D,E6007+1))</f>
        <v/>
      </c>
      <c r="L6007" t="str">
        <f t="shared" si="468"/>
        <v/>
      </c>
      <c r="M6007" t="str">
        <f t="shared" si="469"/>
        <v/>
      </c>
    </row>
    <row r="6008" spans="1:13" x14ac:dyDescent="0.3">
      <c r="A6008" t="str">
        <f>Segmenter!A6008</f>
        <v/>
      </c>
      <c r="B6008" t="str">
        <f>Segmenter!B6008</f>
        <v/>
      </c>
      <c r="C6008" t="str">
        <f t="shared" si="465"/>
        <v/>
      </c>
      <c r="D6008" t="str">
        <f t="shared" si="466"/>
        <v/>
      </c>
      <c r="E6008" t="str">
        <f t="shared" si="467"/>
        <v/>
      </c>
      <c r="F6008" t="str">
        <f>IF(D6008="","",INDEX(Knutepunkter!$B:$B,D6008+1))</f>
        <v/>
      </c>
      <c r="G6008" t="str">
        <f>IF(D6008="","",INDEX(Knutepunkter!$C:$C,D6008+1))</f>
        <v/>
      </c>
      <c r="H6008" t="str">
        <f>IF(D6008="","",INDEX(Knutepunkter!$D:$D,D6008+1))</f>
        <v/>
      </c>
      <c r="I6008" t="str">
        <f>IF(E6008="","",INDEX(Knutepunkter!$B:$B,E6008+1))</f>
        <v/>
      </c>
      <c r="J6008" t="str">
        <f>IF(E6008="","",INDEX(Knutepunkter!$C:$C,E6008+1))</f>
        <v/>
      </c>
      <c r="K6008" t="str">
        <f>IF(E6008="","",INDEX(Knutepunkter!$D:$D,E6008+1))</f>
        <v/>
      </c>
      <c r="L6008" t="str">
        <f t="shared" si="468"/>
        <v/>
      </c>
      <c r="M6008" t="str">
        <f t="shared" si="469"/>
        <v/>
      </c>
    </row>
    <row r="6009" spans="1:13" x14ac:dyDescent="0.3">
      <c r="A6009" t="str">
        <f>Segmenter!A6009</f>
        <v/>
      </c>
      <c r="B6009" t="str">
        <f>Segmenter!B6009</f>
        <v/>
      </c>
      <c r="C6009" t="str">
        <f t="shared" si="465"/>
        <v/>
      </c>
      <c r="D6009" t="str">
        <f t="shared" si="466"/>
        <v/>
      </c>
      <c r="E6009" t="str">
        <f t="shared" si="467"/>
        <v/>
      </c>
      <c r="F6009" t="str">
        <f>IF(D6009="","",INDEX(Knutepunkter!$B:$B,D6009+1))</f>
        <v/>
      </c>
      <c r="G6009" t="str">
        <f>IF(D6009="","",INDEX(Knutepunkter!$C:$C,D6009+1))</f>
        <v/>
      </c>
      <c r="H6009" t="str">
        <f>IF(D6009="","",INDEX(Knutepunkter!$D:$D,D6009+1))</f>
        <v/>
      </c>
      <c r="I6009" t="str">
        <f>IF(E6009="","",INDEX(Knutepunkter!$B:$B,E6009+1))</f>
        <v/>
      </c>
      <c r="J6009" t="str">
        <f>IF(E6009="","",INDEX(Knutepunkter!$C:$C,E6009+1))</f>
        <v/>
      </c>
      <c r="K6009" t="str">
        <f>IF(E6009="","",INDEX(Knutepunkter!$D:$D,E6009+1))</f>
        <v/>
      </c>
      <c r="L6009" t="str">
        <f t="shared" si="468"/>
        <v/>
      </c>
      <c r="M6009" t="str">
        <f t="shared" si="469"/>
        <v/>
      </c>
    </row>
    <row r="6010" spans="1:13" x14ac:dyDescent="0.3">
      <c r="A6010" t="str">
        <f>Segmenter!A6010</f>
        <v/>
      </c>
      <c r="B6010" t="str">
        <f>Segmenter!B6010</f>
        <v/>
      </c>
      <c r="C6010" t="str">
        <f t="shared" si="465"/>
        <v/>
      </c>
      <c r="D6010" t="str">
        <f t="shared" si="466"/>
        <v/>
      </c>
      <c r="E6010" t="str">
        <f t="shared" si="467"/>
        <v/>
      </c>
      <c r="F6010" t="str">
        <f>IF(D6010="","",INDEX(Knutepunkter!$B:$B,D6010+1))</f>
        <v/>
      </c>
      <c r="G6010" t="str">
        <f>IF(D6010="","",INDEX(Knutepunkter!$C:$C,D6010+1))</f>
        <v/>
      </c>
      <c r="H6010" t="str">
        <f>IF(D6010="","",INDEX(Knutepunkter!$D:$D,D6010+1))</f>
        <v/>
      </c>
      <c r="I6010" t="str">
        <f>IF(E6010="","",INDEX(Knutepunkter!$B:$B,E6010+1))</f>
        <v/>
      </c>
      <c r="J6010" t="str">
        <f>IF(E6010="","",INDEX(Knutepunkter!$C:$C,E6010+1))</f>
        <v/>
      </c>
      <c r="K6010" t="str">
        <f>IF(E6010="","",INDEX(Knutepunkter!$D:$D,E6010+1))</f>
        <v/>
      </c>
      <c r="L6010" t="str">
        <f t="shared" si="468"/>
        <v/>
      </c>
      <c r="M6010" t="str">
        <f t="shared" si="469"/>
        <v/>
      </c>
    </row>
    <row r="6011" spans="1:13" x14ac:dyDescent="0.3">
      <c r="A6011" t="str">
        <f>Segmenter!A6011</f>
        <v/>
      </c>
      <c r="B6011" t="str">
        <f>Segmenter!B6011</f>
        <v/>
      </c>
      <c r="C6011" t="str">
        <f t="shared" si="465"/>
        <v/>
      </c>
      <c r="D6011" t="str">
        <f t="shared" si="466"/>
        <v/>
      </c>
      <c r="E6011" t="str">
        <f t="shared" si="467"/>
        <v/>
      </c>
      <c r="F6011" t="str">
        <f>IF(D6011="","",INDEX(Knutepunkter!$B:$B,D6011+1))</f>
        <v/>
      </c>
      <c r="G6011" t="str">
        <f>IF(D6011="","",INDEX(Knutepunkter!$C:$C,D6011+1))</f>
        <v/>
      </c>
      <c r="H6011" t="str">
        <f>IF(D6011="","",INDEX(Knutepunkter!$D:$D,D6011+1))</f>
        <v/>
      </c>
      <c r="I6011" t="str">
        <f>IF(E6011="","",INDEX(Knutepunkter!$B:$B,E6011+1))</f>
        <v/>
      </c>
      <c r="J6011" t="str">
        <f>IF(E6011="","",INDEX(Knutepunkter!$C:$C,E6011+1))</f>
        <v/>
      </c>
      <c r="K6011" t="str">
        <f>IF(E6011="","",INDEX(Knutepunkter!$D:$D,E6011+1))</f>
        <v/>
      </c>
      <c r="L6011" t="str">
        <f t="shared" si="468"/>
        <v/>
      </c>
      <c r="M6011" t="str">
        <f t="shared" si="469"/>
        <v/>
      </c>
    </row>
    <row r="6012" spans="1:13" x14ac:dyDescent="0.3">
      <c r="A6012" t="str">
        <f>Segmenter!A6012</f>
        <v/>
      </c>
      <c r="B6012" t="str">
        <f>Segmenter!B6012</f>
        <v/>
      </c>
      <c r="C6012" t="str">
        <f t="shared" si="465"/>
        <v/>
      </c>
      <c r="D6012" t="str">
        <f t="shared" si="466"/>
        <v/>
      </c>
      <c r="E6012" t="str">
        <f t="shared" si="467"/>
        <v/>
      </c>
      <c r="F6012" t="str">
        <f>IF(D6012="","",INDEX(Knutepunkter!$B:$B,D6012+1))</f>
        <v/>
      </c>
      <c r="G6012" t="str">
        <f>IF(D6012="","",INDEX(Knutepunkter!$C:$C,D6012+1))</f>
        <v/>
      </c>
      <c r="H6012" t="str">
        <f>IF(D6012="","",INDEX(Knutepunkter!$D:$D,D6012+1))</f>
        <v/>
      </c>
      <c r="I6012" t="str">
        <f>IF(E6012="","",INDEX(Knutepunkter!$B:$B,E6012+1))</f>
        <v/>
      </c>
      <c r="J6012" t="str">
        <f>IF(E6012="","",INDEX(Knutepunkter!$C:$C,E6012+1))</f>
        <v/>
      </c>
      <c r="K6012" t="str">
        <f>IF(E6012="","",INDEX(Knutepunkter!$D:$D,E6012+1))</f>
        <v/>
      </c>
      <c r="L6012" t="str">
        <f t="shared" si="468"/>
        <v/>
      </c>
      <c r="M6012" t="str">
        <f t="shared" si="469"/>
        <v/>
      </c>
    </row>
    <row r="6013" spans="1:13" x14ac:dyDescent="0.3">
      <c r="A6013" t="str">
        <f>Segmenter!A6013</f>
        <v/>
      </c>
      <c r="B6013" t="str">
        <f>Segmenter!B6013</f>
        <v/>
      </c>
      <c r="C6013" t="str">
        <f t="shared" si="465"/>
        <v/>
      </c>
      <c r="D6013" t="str">
        <f t="shared" si="466"/>
        <v/>
      </c>
      <c r="E6013" t="str">
        <f t="shared" si="467"/>
        <v/>
      </c>
      <c r="F6013" t="str">
        <f>IF(D6013="","",INDEX(Knutepunkter!$B:$B,D6013+1))</f>
        <v/>
      </c>
      <c r="G6013" t="str">
        <f>IF(D6013="","",INDEX(Knutepunkter!$C:$C,D6013+1))</f>
        <v/>
      </c>
      <c r="H6013" t="str">
        <f>IF(D6013="","",INDEX(Knutepunkter!$D:$D,D6013+1))</f>
        <v/>
      </c>
      <c r="I6013" t="str">
        <f>IF(E6013="","",INDEX(Knutepunkter!$B:$B,E6013+1))</f>
        <v/>
      </c>
      <c r="J6013" t="str">
        <f>IF(E6013="","",INDEX(Knutepunkter!$C:$C,E6013+1))</f>
        <v/>
      </c>
      <c r="K6013" t="str">
        <f>IF(E6013="","",INDEX(Knutepunkter!$D:$D,E6013+1))</f>
        <v/>
      </c>
      <c r="L6013" t="str">
        <f t="shared" si="468"/>
        <v/>
      </c>
      <c r="M6013" t="str">
        <f t="shared" si="469"/>
        <v/>
      </c>
    </row>
    <row r="6014" spans="1:13" x14ac:dyDescent="0.3">
      <c r="A6014" t="str">
        <f>Segmenter!A6014</f>
        <v/>
      </c>
      <c r="B6014" t="str">
        <f>Segmenter!B6014</f>
        <v/>
      </c>
      <c r="C6014" t="str">
        <f t="shared" si="465"/>
        <v/>
      </c>
      <c r="D6014" t="str">
        <f t="shared" si="466"/>
        <v/>
      </c>
      <c r="E6014" t="str">
        <f t="shared" si="467"/>
        <v/>
      </c>
      <c r="F6014" t="str">
        <f>IF(D6014="","",INDEX(Knutepunkter!$B:$B,D6014+1))</f>
        <v/>
      </c>
      <c r="G6014" t="str">
        <f>IF(D6014="","",INDEX(Knutepunkter!$C:$C,D6014+1))</f>
        <v/>
      </c>
      <c r="H6014" t="str">
        <f>IF(D6014="","",INDEX(Knutepunkter!$D:$D,D6014+1))</f>
        <v/>
      </c>
      <c r="I6014" t="str">
        <f>IF(E6014="","",INDEX(Knutepunkter!$B:$B,E6014+1))</f>
        <v/>
      </c>
      <c r="J6014" t="str">
        <f>IF(E6014="","",INDEX(Knutepunkter!$C:$C,E6014+1))</f>
        <v/>
      </c>
      <c r="K6014" t="str">
        <f>IF(E6014="","",INDEX(Knutepunkter!$D:$D,E6014+1))</f>
        <v/>
      </c>
      <c r="L6014" t="str">
        <f t="shared" si="468"/>
        <v/>
      </c>
      <c r="M6014" t="str">
        <f t="shared" si="469"/>
        <v/>
      </c>
    </row>
    <row r="6015" spans="1:13" x14ac:dyDescent="0.3">
      <c r="A6015" t="str">
        <f>Segmenter!A6015</f>
        <v/>
      </c>
      <c r="B6015" t="str">
        <f>Segmenter!B6015</f>
        <v/>
      </c>
      <c r="C6015" t="str">
        <f t="shared" si="465"/>
        <v/>
      </c>
      <c r="D6015" t="str">
        <f t="shared" si="466"/>
        <v/>
      </c>
      <c r="E6015" t="str">
        <f t="shared" si="467"/>
        <v/>
      </c>
      <c r="F6015" t="str">
        <f>IF(D6015="","",INDEX(Knutepunkter!$B:$B,D6015+1))</f>
        <v/>
      </c>
      <c r="G6015" t="str">
        <f>IF(D6015="","",INDEX(Knutepunkter!$C:$C,D6015+1))</f>
        <v/>
      </c>
      <c r="H6015" t="str">
        <f>IF(D6015="","",INDEX(Knutepunkter!$D:$D,D6015+1))</f>
        <v/>
      </c>
      <c r="I6015" t="str">
        <f>IF(E6015="","",INDEX(Knutepunkter!$B:$B,E6015+1))</f>
        <v/>
      </c>
      <c r="J6015" t="str">
        <f>IF(E6015="","",INDEX(Knutepunkter!$C:$C,E6015+1))</f>
        <v/>
      </c>
      <c r="K6015" t="str">
        <f>IF(E6015="","",INDEX(Knutepunkter!$D:$D,E6015+1))</f>
        <v/>
      </c>
      <c r="L6015" t="str">
        <f t="shared" si="468"/>
        <v/>
      </c>
      <c r="M6015" t="str">
        <f t="shared" si="469"/>
        <v/>
      </c>
    </row>
    <row r="6016" spans="1:13" x14ac:dyDescent="0.3">
      <c r="A6016" t="str">
        <f>Segmenter!A6016</f>
        <v/>
      </c>
      <c r="B6016" t="str">
        <f>Segmenter!B6016</f>
        <v/>
      </c>
      <c r="C6016" t="str">
        <f t="shared" si="465"/>
        <v/>
      </c>
      <c r="D6016" t="str">
        <f t="shared" si="466"/>
        <v/>
      </c>
      <c r="E6016" t="str">
        <f t="shared" si="467"/>
        <v/>
      </c>
      <c r="F6016" t="str">
        <f>IF(D6016="","",INDEX(Knutepunkter!$B:$B,D6016+1))</f>
        <v/>
      </c>
      <c r="G6016" t="str">
        <f>IF(D6016="","",INDEX(Knutepunkter!$C:$C,D6016+1))</f>
        <v/>
      </c>
      <c r="H6016" t="str">
        <f>IF(D6016="","",INDEX(Knutepunkter!$D:$D,D6016+1))</f>
        <v/>
      </c>
      <c r="I6016" t="str">
        <f>IF(E6016="","",INDEX(Knutepunkter!$B:$B,E6016+1))</f>
        <v/>
      </c>
      <c r="J6016" t="str">
        <f>IF(E6016="","",INDEX(Knutepunkter!$C:$C,E6016+1))</f>
        <v/>
      </c>
      <c r="K6016" t="str">
        <f>IF(E6016="","",INDEX(Knutepunkter!$D:$D,E6016+1))</f>
        <v/>
      </c>
      <c r="L6016" t="str">
        <f t="shared" si="468"/>
        <v/>
      </c>
      <c r="M6016" t="str">
        <f t="shared" si="469"/>
        <v/>
      </c>
    </row>
    <row r="6017" spans="1:13" x14ac:dyDescent="0.3">
      <c r="A6017" t="str">
        <f>Segmenter!A6017</f>
        <v/>
      </c>
      <c r="B6017" t="str">
        <f>Segmenter!B6017</f>
        <v/>
      </c>
      <c r="C6017" t="str">
        <f t="shared" si="465"/>
        <v/>
      </c>
      <c r="D6017" t="str">
        <f t="shared" si="466"/>
        <v/>
      </c>
      <c r="E6017" t="str">
        <f t="shared" si="467"/>
        <v/>
      </c>
      <c r="F6017" t="str">
        <f>IF(D6017="","",INDEX(Knutepunkter!$B:$B,D6017+1))</f>
        <v/>
      </c>
      <c r="G6017" t="str">
        <f>IF(D6017="","",INDEX(Knutepunkter!$C:$C,D6017+1))</f>
        <v/>
      </c>
      <c r="H6017" t="str">
        <f>IF(D6017="","",INDEX(Knutepunkter!$D:$D,D6017+1))</f>
        <v/>
      </c>
      <c r="I6017" t="str">
        <f>IF(E6017="","",INDEX(Knutepunkter!$B:$B,E6017+1))</f>
        <v/>
      </c>
      <c r="J6017" t="str">
        <f>IF(E6017="","",INDEX(Knutepunkter!$C:$C,E6017+1))</f>
        <v/>
      </c>
      <c r="K6017" t="str">
        <f>IF(E6017="","",INDEX(Knutepunkter!$D:$D,E6017+1))</f>
        <v/>
      </c>
      <c r="L6017" t="str">
        <f t="shared" si="468"/>
        <v/>
      </c>
      <c r="M6017" t="str">
        <f t="shared" si="469"/>
        <v/>
      </c>
    </row>
    <row r="6018" spans="1:13" x14ac:dyDescent="0.3">
      <c r="A6018" t="str">
        <f>Segmenter!A6018</f>
        <v/>
      </c>
      <c r="B6018" t="str">
        <f>Segmenter!B6018</f>
        <v/>
      </c>
      <c r="C6018" t="str">
        <f t="shared" ref="C6018:C6081" si="470">IF(B6018="","",IF(AND(F6018=I6018,G6018=J6018,H6018&lt;&gt;K6018),"Søyle","Bjelke"))</f>
        <v/>
      </c>
      <c r="D6018" t="str">
        <f t="shared" ref="D6018:D6081" si="471">IF(B6018="","",VALUE(LEFT(B6018,FIND(" -&gt; ",B6018)-1)))</f>
        <v/>
      </c>
      <c r="E6018" t="str">
        <f t="shared" ref="E6018:E6081" si="472">IF(B6018="","",VALUE(MID(B6018,FIND(" -&gt; ",B6018)+4,99)))</f>
        <v/>
      </c>
      <c r="F6018" t="str">
        <f>IF(D6018="","",INDEX(Knutepunkter!$B:$B,D6018+1))</f>
        <v/>
      </c>
      <c r="G6018" t="str">
        <f>IF(D6018="","",INDEX(Knutepunkter!$C:$C,D6018+1))</f>
        <v/>
      </c>
      <c r="H6018" t="str">
        <f>IF(D6018="","",INDEX(Knutepunkter!$D:$D,D6018+1))</f>
        <v/>
      </c>
      <c r="I6018" t="str">
        <f>IF(E6018="","",INDEX(Knutepunkter!$B:$B,E6018+1))</f>
        <v/>
      </c>
      <c r="J6018" t="str">
        <f>IF(E6018="","",INDEX(Knutepunkter!$C:$C,E6018+1))</f>
        <v/>
      </c>
      <c r="K6018" t="str">
        <f>IF(E6018="","",INDEX(Knutepunkter!$D:$D,E6018+1))</f>
        <v/>
      </c>
      <c r="L6018" t="str">
        <f t="shared" ref="L6018:L6081" si="473">IF(B6018="","",SQRT((I6018-F6018)^2+(J6018-G6018)^2+(K6018-H6018)^2))</f>
        <v/>
      </c>
      <c r="M6018" t="str">
        <f t="shared" ref="M6018:M6081" si="474">IF(L6018="","",L6018/1000)</f>
        <v/>
      </c>
    </row>
    <row r="6019" spans="1:13" x14ac:dyDescent="0.3">
      <c r="A6019" t="str">
        <f>Segmenter!A6019</f>
        <v/>
      </c>
      <c r="B6019" t="str">
        <f>Segmenter!B6019</f>
        <v/>
      </c>
      <c r="C6019" t="str">
        <f t="shared" si="470"/>
        <v/>
      </c>
      <c r="D6019" t="str">
        <f t="shared" si="471"/>
        <v/>
      </c>
      <c r="E6019" t="str">
        <f t="shared" si="472"/>
        <v/>
      </c>
      <c r="F6019" t="str">
        <f>IF(D6019="","",INDEX(Knutepunkter!$B:$B,D6019+1))</f>
        <v/>
      </c>
      <c r="G6019" t="str">
        <f>IF(D6019="","",INDEX(Knutepunkter!$C:$C,D6019+1))</f>
        <v/>
      </c>
      <c r="H6019" t="str">
        <f>IF(D6019="","",INDEX(Knutepunkter!$D:$D,D6019+1))</f>
        <v/>
      </c>
      <c r="I6019" t="str">
        <f>IF(E6019="","",INDEX(Knutepunkter!$B:$B,E6019+1))</f>
        <v/>
      </c>
      <c r="J6019" t="str">
        <f>IF(E6019="","",INDEX(Knutepunkter!$C:$C,E6019+1))</f>
        <v/>
      </c>
      <c r="K6019" t="str">
        <f>IF(E6019="","",INDEX(Knutepunkter!$D:$D,E6019+1))</f>
        <v/>
      </c>
      <c r="L6019" t="str">
        <f t="shared" si="473"/>
        <v/>
      </c>
      <c r="M6019" t="str">
        <f t="shared" si="474"/>
        <v/>
      </c>
    </row>
    <row r="6020" spans="1:13" x14ac:dyDescent="0.3">
      <c r="A6020" t="str">
        <f>Segmenter!A6020</f>
        <v/>
      </c>
      <c r="B6020" t="str">
        <f>Segmenter!B6020</f>
        <v/>
      </c>
      <c r="C6020" t="str">
        <f t="shared" si="470"/>
        <v/>
      </c>
      <c r="D6020" t="str">
        <f t="shared" si="471"/>
        <v/>
      </c>
      <c r="E6020" t="str">
        <f t="shared" si="472"/>
        <v/>
      </c>
      <c r="F6020" t="str">
        <f>IF(D6020="","",INDEX(Knutepunkter!$B:$B,D6020+1))</f>
        <v/>
      </c>
      <c r="G6020" t="str">
        <f>IF(D6020="","",INDEX(Knutepunkter!$C:$C,D6020+1))</f>
        <v/>
      </c>
      <c r="H6020" t="str">
        <f>IF(D6020="","",INDEX(Knutepunkter!$D:$D,D6020+1))</f>
        <v/>
      </c>
      <c r="I6020" t="str">
        <f>IF(E6020="","",INDEX(Knutepunkter!$B:$B,E6020+1))</f>
        <v/>
      </c>
      <c r="J6020" t="str">
        <f>IF(E6020="","",INDEX(Knutepunkter!$C:$C,E6020+1))</f>
        <v/>
      </c>
      <c r="K6020" t="str">
        <f>IF(E6020="","",INDEX(Knutepunkter!$D:$D,E6020+1))</f>
        <v/>
      </c>
      <c r="L6020" t="str">
        <f t="shared" si="473"/>
        <v/>
      </c>
      <c r="M6020" t="str">
        <f t="shared" si="474"/>
        <v/>
      </c>
    </row>
    <row r="6021" spans="1:13" x14ac:dyDescent="0.3">
      <c r="A6021" t="str">
        <f>Segmenter!A6021</f>
        <v/>
      </c>
      <c r="B6021" t="str">
        <f>Segmenter!B6021</f>
        <v/>
      </c>
      <c r="C6021" t="str">
        <f t="shared" si="470"/>
        <v/>
      </c>
      <c r="D6021" t="str">
        <f t="shared" si="471"/>
        <v/>
      </c>
      <c r="E6021" t="str">
        <f t="shared" si="472"/>
        <v/>
      </c>
      <c r="F6021" t="str">
        <f>IF(D6021="","",INDEX(Knutepunkter!$B:$B,D6021+1))</f>
        <v/>
      </c>
      <c r="G6021" t="str">
        <f>IF(D6021="","",INDEX(Knutepunkter!$C:$C,D6021+1))</f>
        <v/>
      </c>
      <c r="H6021" t="str">
        <f>IF(D6021="","",INDEX(Knutepunkter!$D:$D,D6021+1))</f>
        <v/>
      </c>
      <c r="I6021" t="str">
        <f>IF(E6021="","",INDEX(Knutepunkter!$B:$B,E6021+1))</f>
        <v/>
      </c>
      <c r="J6021" t="str">
        <f>IF(E6021="","",INDEX(Knutepunkter!$C:$C,E6021+1))</f>
        <v/>
      </c>
      <c r="K6021" t="str">
        <f>IF(E6021="","",INDEX(Knutepunkter!$D:$D,E6021+1))</f>
        <v/>
      </c>
      <c r="L6021" t="str">
        <f t="shared" si="473"/>
        <v/>
      </c>
      <c r="M6021" t="str">
        <f t="shared" si="474"/>
        <v/>
      </c>
    </row>
    <row r="6022" spans="1:13" x14ac:dyDescent="0.3">
      <c r="A6022" t="str">
        <f>Segmenter!A6022</f>
        <v/>
      </c>
      <c r="B6022" t="str">
        <f>Segmenter!B6022</f>
        <v/>
      </c>
      <c r="C6022" t="str">
        <f t="shared" si="470"/>
        <v/>
      </c>
      <c r="D6022" t="str">
        <f t="shared" si="471"/>
        <v/>
      </c>
      <c r="E6022" t="str">
        <f t="shared" si="472"/>
        <v/>
      </c>
      <c r="F6022" t="str">
        <f>IF(D6022="","",INDEX(Knutepunkter!$B:$B,D6022+1))</f>
        <v/>
      </c>
      <c r="G6022" t="str">
        <f>IF(D6022="","",INDEX(Knutepunkter!$C:$C,D6022+1))</f>
        <v/>
      </c>
      <c r="H6022" t="str">
        <f>IF(D6022="","",INDEX(Knutepunkter!$D:$D,D6022+1))</f>
        <v/>
      </c>
      <c r="I6022" t="str">
        <f>IF(E6022="","",INDEX(Knutepunkter!$B:$B,E6022+1))</f>
        <v/>
      </c>
      <c r="J6022" t="str">
        <f>IF(E6022="","",INDEX(Knutepunkter!$C:$C,E6022+1))</f>
        <v/>
      </c>
      <c r="K6022" t="str">
        <f>IF(E6022="","",INDEX(Knutepunkter!$D:$D,E6022+1))</f>
        <v/>
      </c>
      <c r="L6022" t="str">
        <f t="shared" si="473"/>
        <v/>
      </c>
      <c r="M6022" t="str">
        <f t="shared" si="474"/>
        <v/>
      </c>
    </row>
    <row r="6023" spans="1:13" x14ac:dyDescent="0.3">
      <c r="A6023" t="str">
        <f>Segmenter!A6023</f>
        <v/>
      </c>
      <c r="B6023" t="str">
        <f>Segmenter!B6023</f>
        <v/>
      </c>
      <c r="C6023" t="str">
        <f t="shared" si="470"/>
        <v/>
      </c>
      <c r="D6023" t="str">
        <f t="shared" si="471"/>
        <v/>
      </c>
      <c r="E6023" t="str">
        <f t="shared" si="472"/>
        <v/>
      </c>
      <c r="F6023" t="str">
        <f>IF(D6023="","",INDEX(Knutepunkter!$B:$B,D6023+1))</f>
        <v/>
      </c>
      <c r="G6023" t="str">
        <f>IF(D6023="","",INDEX(Knutepunkter!$C:$C,D6023+1))</f>
        <v/>
      </c>
      <c r="H6023" t="str">
        <f>IF(D6023="","",INDEX(Knutepunkter!$D:$D,D6023+1))</f>
        <v/>
      </c>
      <c r="I6023" t="str">
        <f>IF(E6023="","",INDEX(Knutepunkter!$B:$B,E6023+1))</f>
        <v/>
      </c>
      <c r="J6023" t="str">
        <f>IF(E6023="","",INDEX(Knutepunkter!$C:$C,E6023+1))</f>
        <v/>
      </c>
      <c r="K6023" t="str">
        <f>IF(E6023="","",INDEX(Knutepunkter!$D:$D,E6023+1))</f>
        <v/>
      </c>
      <c r="L6023" t="str">
        <f t="shared" si="473"/>
        <v/>
      </c>
      <c r="M6023" t="str">
        <f t="shared" si="474"/>
        <v/>
      </c>
    </row>
    <row r="6024" spans="1:13" x14ac:dyDescent="0.3">
      <c r="A6024" t="str">
        <f>Segmenter!A6024</f>
        <v/>
      </c>
      <c r="B6024" t="str">
        <f>Segmenter!B6024</f>
        <v/>
      </c>
      <c r="C6024" t="str">
        <f t="shared" si="470"/>
        <v/>
      </c>
      <c r="D6024" t="str">
        <f t="shared" si="471"/>
        <v/>
      </c>
      <c r="E6024" t="str">
        <f t="shared" si="472"/>
        <v/>
      </c>
      <c r="F6024" t="str">
        <f>IF(D6024="","",INDEX(Knutepunkter!$B:$B,D6024+1))</f>
        <v/>
      </c>
      <c r="G6024" t="str">
        <f>IF(D6024="","",INDEX(Knutepunkter!$C:$C,D6024+1))</f>
        <v/>
      </c>
      <c r="H6024" t="str">
        <f>IF(D6024="","",INDEX(Knutepunkter!$D:$D,D6024+1))</f>
        <v/>
      </c>
      <c r="I6024" t="str">
        <f>IF(E6024="","",INDEX(Knutepunkter!$B:$B,E6024+1))</f>
        <v/>
      </c>
      <c r="J6024" t="str">
        <f>IF(E6024="","",INDEX(Knutepunkter!$C:$C,E6024+1))</f>
        <v/>
      </c>
      <c r="K6024" t="str">
        <f>IF(E6024="","",INDEX(Knutepunkter!$D:$D,E6024+1))</f>
        <v/>
      </c>
      <c r="L6024" t="str">
        <f t="shared" si="473"/>
        <v/>
      </c>
      <c r="M6024" t="str">
        <f t="shared" si="474"/>
        <v/>
      </c>
    </row>
    <row r="6025" spans="1:13" x14ac:dyDescent="0.3">
      <c r="A6025" t="str">
        <f>Segmenter!A6025</f>
        <v/>
      </c>
      <c r="B6025" t="str">
        <f>Segmenter!B6025</f>
        <v/>
      </c>
      <c r="C6025" t="str">
        <f t="shared" si="470"/>
        <v/>
      </c>
      <c r="D6025" t="str">
        <f t="shared" si="471"/>
        <v/>
      </c>
      <c r="E6025" t="str">
        <f t="shared" si="472"/>
        <v/>
      </c>
      <c r="F6025" t="str">
        <f>IF(D6025="","",INDEX(Knutepunkter!$B:$B,D6025+1))</f>
        <v/>
      </c>
      <c r="G6025" t="str">
        <f>IF(D6025="","",INDEX(Knutepunkter!$C:$C,D6025+1))</f>
        <v/>
      </c>
      <c r="H6025" t="str">
        <f>IF(D6025="","",INDEX(Knutepunkter!$D:$D,D6025+1))</f>
        <v/>
      </c>
      <c r="I6025" t="str">
        <f>IF(E6025="","",INDEX(Knutepunkter!$B:$B,E6025+1))</f>
        <v/>
      </c>
      <c r="J6025" t="str">
        <f>IF(E6025="","",INDEX(Knutepunkter!$C:$C,E6025+1))</f>
        <v/>
      </c>
      <c r="K6025" t="str">
        <f>IF(E6025="","",INDEX(Knutepunkter!$D:$D,E6025+1))</f>
        <v/>
      </c>
      <c r="L6025" t="str">
        <f t="shared" si="473"/>
        <v/>
      </c>
      <c r="M6025" t="str">
        <f t="shared" si="474"/>
        <v/>
      </c>
    </row>
    <row r="6026" spans="1:13" x14ac:dyDescent="0.3">
      <c r="A6026" t="str">
        <f>Segmenter!A6026</f>
        <v/>
      </c>
      <c r="B6026" t="str">
        <f>Segmenter!B6026</f>
        <v/>
      </c>
      <c r="C6026" t="str">
        <f t="shared" si="470"/>
        <v/>
      </c>
      <c r="D6026" t="str">
        <f t="shared" si="471"/>
        <v/>
      </c>
      <c r="E6026" t="str">
        <f t="shared" si="472"/>
        <v/>
      </c>
      <c r="F6026" t="str">
        <f>IF(D6026="","",INDEX(Knutepunkter!$B:$B,D6026+1))</f>
        <v/>
      </c>
      <c r="G6026" t="str">
        <f>IF(D6026="","",INDEX(Knutepunkter!$C:$C,D6026+1))</f>
        <v/>
      </c>
      <c r="H6026" t="str">
        <f>IF(D6026="","",INDEX(Knutepunkter!$D:$D,D6026+1))</f>
        <v/>
      </c>
      <c r="I6026" t="str">
        <f>IF(E6026="","",INDEX(Knutepunkter!$B:$B,E6026+1))</f>
        <v/>
      </c>
      <c r="J6026" t="str">
        <f>IF(E6026="","",INDEX(Knutepunkter!$C:$C,E6026+1))</f>
        <v/>
      </c>
      <c r="K6026" t="str">
        <f>IF(E6026="","",INDEX(Knutepunkter!$D:$D,E6026+1))</f>
        <v/>
      </c>
      <c r="L6026" t="str">
        <f t="shared" si="473"/>
        <v/>
      </c>
      <c r="M6026" t="str">
        <f t="shared" si="474"/>
        <v/>
      </c>
    </row>
    <row r="6027" spans="1:13" x14ac:dyDescent="0.3">
      <c r="A6027" t="str">
        <f>Segmenter!A6027</f>
        <v/>
      </c>
      <c r="B6027" t="str">
        <f>Segmenter!B6027</f>
        <v/>
      </c>
      <c r="C6027" t="str">
        <f t="shared" si="470"/>
        <v/>
      </c>
      <c r="D6027" t="str">
        <f t="shared" si="471"/>
        <v/>
      </c>
      <c r="E6027" t="str">
        <f t="shared" si="472"/>
        <v/>
      </c>
      <c r="F6027" t="str">
        <f>IF(D6027="","",INDEX(Knutepunkter!$B:$B,D6027+1))</f>
        <v/>
      </c>
      <c r="G6027" t="str">
        <f>IF(D6027="","",INDEX(Knutepunkter!$C:$C,D6027+1))</f>
        <v/>
      </c>
      <c r="H6027" t="str">
        <f>IF(D6027="","",INDEX(Knutepunkter!$D:$D,D6027+1))</f>
        <v/>
      </c>
      <c r="I6027" t="str">
        <f>IF(E6027="","",INDEX(Knutepunkter!$B:$B,E6027+1))</f>
        <v/>
      </c>
      <c r="J6027" t="str">
        <f>IF(E6027="","",INDEX(Knutepunkter!$C:$C,E6027+1))</f>
        <v/>
      </c>
      <c r="K6027" t="str">
        <f>IF(E6027="","",INDEX(Knutepunkter!$D:$D,E6027+1))</f>
        <v/>
      </c>
      <c r="L6027" t="str">
        <f t="shared" si="473"/>
        <v/>
      </c>
      <c r="M6027" t="str">
        <f t="shared" si="474"/>
        <v/>
      </c>
    </row>
    <row r="6028" spans="1:13" x14ac:dyDescent="0.3">
      <c r="A6028" t="str">
        <f>Segmenter!A6028</f>
        <v/>
      </c>
      <c r="B6028" t="str">
        <f>Segmenter!B6028</f>
        <v/>
      </c>
      <c r="C6028" t="str">
        <f t="shared" si="470"/>
        <v/>
      </c>
      <c r="D6028" t="str">
        <f t="shared" si="471"/>
        <v/>
      </c>
      <c r="E6028" t="str">
        <f t="shared" si="472"/>
        <v/>
      </c>
      <c r="F6028" t="str">
        <f>IF(D6028="","",INDEX(Knutepunkter!$B:$B,D6028+1))</f>
        <v/>
      </c>
      <c r="G6028" t="str">
        <f>IF(D6028="","",INDEX(Knutepunkter!$C:$C,D6028+1))</f>
        <v/>
      </c>
      <c r="H6028" t="str">
        <f>IF(D6028="","",INDEX(Knutepunkter!$D:$D,D6028+1))</f>
        <v/>
      </c>
      <c r="I6028" t="str">
        <f>IF(E6028="","",INDEX(Knutepunkter!$B:$B,E6028+1))</f>
        <v/>
      </c>
      <c r="J6028" t="str">
        <f>IF(E6028="","",INDEX(Knutepunkter!$C:$C,E6028+1))</f>
        <v/>
      </c>
      <c r="K6028" t="str">
        <f>IF(E6028="","",INDEX(Knutepunkter!$D:$D,E6028+1))</f>
        <v/>
      </c>
      <c r="L6028" t="str">
        <f t="shared" si="473"/>
        <v/>
      </c>
      <c r="M6028" t="str">
        <f t="shared" si="474"/>
        <v/>
      </c>
    </row>
    <row r="6029" spans="1:13" x14ac:dyDescent="0.3">
      <c r="A6029" t="str">
        <f>Segmenter!A6029</f>
        <v/>
      </c>
      <c r="B6029" t="str">
        <f>Segmenter!B6029</f>
        <v/>
      </c>
      <c r="C6029" t="str">
        <f t="shared" si="470"/>
        <v/>
      </c>
      <c r="D6029" t="str">
        <f t="shared" si="471"/>
        <v/>
      </c>
      <c r="E6029" t="str">
        <f t="shared" si="472"/>
        <v/>
      </c>
      <c r="F6029" t="str">
        <f>IF(D6029="","",INDEX(Knutepunkter!$B:$B,D6029+1))</f>
        <v/>
      </c>
      <c r="G6029" t="str">
        <f>IF(D6029="","",INDEX(Knutepunkter!$C:$C,D6029+1))</f>
        <v/>
      </c>
      <c r="H6029" t="str">
        <f>IF(D6029="","",INDEX(Knutepunkter!$D:$D,D6029+1))</f>
        <v/>
      </c>
      <c r="I6029" t="str">
        <f>IF(E6029="","",INDEX(Knutepunkter!$B:$B,E6029+1))</f>
        <v/>
      </c>
      <c r="J6029" t="str">
        <f>IF(E6029="","",INDEX(Knutepunkter!$C:$C,E6029+1))</f>
        <v/>
      </c>
      <c r="K6029" t="str">
        <f>IF(E6029="","",INDEX(Knutepunkter!$D:$D,E6029+1))</f>
        <v/>
      </c>
      <c r="L6029" t="str">
        <f t="shared" si="473"/>
        <v/>
      </c>
      <c r="M6029" t="str">
        <f t="shared" si="474"/>
        <v/>
      </c>
    </row>
    <row r="6030" spans="1:13" x14ac:dyDescent="0.3">
      <c r="A6030" t="str">
        <f>Segmenter!A6030</f>
        <v/>
      </c>
      <c r="B6030" t="str">
        <f>Segmenter!B6030</f>
        <v/>
      </c>
      <c r="C6030" t="str">
        <f t="shared" si="470"/>
        <v/>
      </c>
      <c r="D6030" t="str">
        <f t="shared" si="471"/>
        <v/>
      </c>
      <c r="E6030" t="str">
        <f t="shared" si="472"/>
        <v/>
      </c>
      <c r="F6030" t="str">
        <f>IF(D6030="","",INDEX(Knutepunkter!$B:$B,D6030+1))</f>
        <v/>
      </c>
      <c r="G6030" t="str">
        <f>IF(D6030="","",INDEX(Knutepunkter!$C:$C,D6030+1))</f>
        <v/>
      </c>
      <c r="H6030" t="str">
        <f>IF(D6030="","",INDEX(Knutepunkter!$D:$D,D6030+1))</f>
        <v/>
      </c>
      <c r="I6030" t="str">
        <f>IF(E6030="","",INDEX(Knutepunkter!$B:$B,E6030+1))</f>
        <v/>
      </c>
      <c r="J6030" t="str">
        <f>IF(E6030="","",INDEX(Knutepunkter!$C:$C,E6030+1))</f>
        <v/>
      </c>
      <c r="K6030" t="str">
        <f>IF(E6030="","",INDEX(Knutepunkter!$D:$D,E6030+1))</f>
        <v/>
      </c>
      <c r="L6030" t="str">
        <f t="shared" si="473"/>
        <v/>
      </c>
      <c r="M6030" t="str">
        <f t="shared" si="474"/>
        <v/>
      </c>
    </row>
    <row r="6031" spans="1:13" x14ac:dyDescent="0.3">
      <c r="A6031" t="str">
        <f>Segmenter!A6031</f>
        <v/>
      </c>
      <c r="B6031" t="str">
        <f>Segmenter!B6031</f>
        <v/>
      </c>
      <c r="C6031" t="str">
        <f t="shared" si="470"/>
        <v/>
      </c>
      <c r="D6031" t="str">
        <f t="shared" si="471"/>
        <v/>
      </c>
      <c r="E6031" t="str">
        <f t="shared" si="472"/>
        <v/>
      </c>
      <c r="F6031" t="str">
        <f>IF(D6031="","",INDEX(Knutepunkter!$B:$B,D6031+1))</f>
        <v/>
      </c>
      <c r="G6031" t="str">
        <f>IF(D6031="","",INDEX(Knutepunkter!$C:$C,D6031+1))</f>
        <v/>
      </c>
      <c r="H6031" t="str">
        <f>IF(D6031="","",INDEX(Knutepunkter!$D:$D,D6031+1))</f>
        <v/>
      </c>
      <c r="I6031" t="str">
        <f>IF(E6031="","",INDEX(Knutepunkter!$B:$B,E6031+1))</f>
        <v/>
      </c>
      <c r="J6031" t="str">
        <f>IF(E6031="","",INDEX(Knutepunkter!$C:$C,E6031+1))</f>
        <v/>
      </c>
      <c r="K6031" t="str">
        <f>IF(E6031="","",INDEX(Knutepunkter!$D:$D,E6031+1))</f>
        <v/>
      </c>
      <c r="L6031" t="str">
        <f t="shared" si="473"/>
        <v/>
      </c>
      <c r="M6031" t="str">
        <f t="shared" si="474"/>
        <v/>
      </c>
    </row>
    <row r="6032" spans="1:13" x14ac:dyDescent="0.3">
      <c r="A6032" t="str">
        <f>Segmenter!A6032</f>
        <v/>
      </c>
      <c r="B6032" t="str">
        <f>Segmenter!B6032</f>
        <v/>
      </c>
      <c r="C6032" t="str">
        <f t="shared" si="470"/>
        <v/>
      </c>
      <c r="D6032" t="str">
        <f t="shared" si="471"/>
        <v/>
      </c>
      <c r="E6032" t="str">
        <f t="shared" si="472"/>
        <v/>
      </c>
      <c r="F6032" t="str">
        <f>IF(D6032="","",INDEX(Knutepunkter!$B:$B,D6032+1))</f>
        <v/>
      </c>
      <c r="G6032" t="str">
        <f>IF(D6032="","",INDEX(Knutepunkter!$C:$C,D6032+1))</f>
        <v/>
      </c>
      <c r="H6032" t="str">
        <f>IF(D6032="","",INDEX(Knutepunkter!$D:$D,D6032+1))</f>
        <v/>
      </c>
      <c r="I6032" t="str">
        <f>IF(E6032="","",INDEX(Knutepunkter!$B:$B,E6032+1))</f>
        <v/>
      </c>
      <c r="J6032" t="str">
        <f>IF(E6032="","",INDEX(Knutepunkter!$C:$C,E6032+1))</f>
        <v/>
      </c>
      <c r="K6032" t="str">
        <f>IF(E6032="","",INDEX(Knutepunkter!$D:$D,E6032+1))</f>
        <v/>
      </c>
      <c r="L6032" t="str">
        <f t="shared" si="473"/>
        <v/>
      </c>
      <c r="M6032" t="str">
        <f t="shared" si="474"/>
        <v/>
      </c>
    </row>
    <row r="6033" spans="1:13" x14ac:dyDescent="0.3">
      <c r="A6033" t="str">
        <f>Segmenter!A6033</f>
        <v/>
      </c>
      <c r="B6033" t="str">
        <f>Segmenter!B6033</f>
        <v/>
      </c>
      <c r="C6033" t="str">
        <f t="shared" si="470"/>
        <v/>
      </c>
      <c r="D6033" t="str">
        <f t="shared" si="471"/>
        <v/>
      </c>
      <c r="E6033" t="str">
        <f t="shared" si="472"/>
        <v/>
      </c>
      <c r="F6033" t="str">
        <f>IF(D6033="","",INDEX(Knutepunkter!$B:$B,D6033+1))</f>
        <v/>
      </c>
      <c r="G6033" t="str">
        <f>IF(D6033="","",INDEX(Knutepunkter!$C:$C,D6033+1))</f>
        <v/>
      </c>
      <c r="H6033" t="str">
        <f>IF(D6033="","",INDEX(Knutepunkter!$D:$D,D6033+1))</f>
        <v/>
      </c>
      <c r="I6033" t="str">
        <f>IF(E6033="","",INDEX(Knutepunkter!$B:$B,E6033+1))</f>
        <v/>
      </c>
      <c r="J6033" t="str">
        <f>IF(E6033="","",INDEX(Knutepunkter!$C:$C,E6033+1))</f>
        <v/>
      </c>
      <c r="K6033" t="str">
        <f>IF(E6033="","",INDEX(Knutepunkter!$D:$D,E6033+1))</f>
        <v/>
      </c>
      <c r="L6033" t="str">
        <f t="shared" si="473"/>
        <v/>
      </c>
      <c r="M6033" t="str">
        <f t="shared" si="474"/>
        <v/>
      </c>
    </row>
    <row r="6034" spans="1:13" x14ac:dyDescent="0.3">
      <c r="A6034" t="str">
        <f>Segmenter!A6034</f>
        <v/>
      </c>
      <c r="B6034" t="str">
        <f>Segmenter!B6034</f>
        <v/>
      </c>
      <c r="C6034" t="str">
        <f t="shared" si="470"/>
        <v/>
      </c>
      <c r="D6034" t="str">
        <f t="shared" si="471"/>
        <v/>
      </c>
      <c r="E6034" t="str">
        <f t="shared" si="472"/>
        <v/>
      </c>
      <c r="F6034" t="str">
        <f>IF(D6034="","",INDEX(Knutepunkter!$B:$B,D6034+1))</f>
        <v/>
      </c>
      <c r="G6034" t="str">
        <f>IF(D6034="","",INDEX(Knutepunkter!$C:$C,D6034+1))</f>
        <v/>
      </c>
      <c r="H6034" t="str">
        <f>IF(D6034="","",INDEX(Knutepunkter!$D:$D,D6034+1))</f>
        <v/>
      </c>
      <c r="I6034" t="str">
        <f>IF(E6034="","",INDEX(Knutepunkter!$B:$B,E6034+1))</f>
        <v/>
      </c>
      <c r="J6034" t="str">
        <f>IF(E6034="","",INDEX(Knutepunkter!$C:$C,E6034+1))</f>
        <v/>
      </c>
      <c r="K6034" t="str">
        <f>IF(E6034="","",INDEX(Knutepunkter!$D:$D,E6034+1))</f>
        <v/>
      </c>
      <c r="L6034" t="str">
        <f t="shared" si="473"/>
        <v/>
      </c>
      <c r="M6034" t="str">
        <f t="shared" si="474"/>
        <v/>
      </c>
    </row>
    <row r="6035" spans="1:13" x14ac:dyDescent="0.3">
      <c r="A6035" t="str">
        <f>Segmenter!A6035</f>
        <v/>
      </c>
      <c r="B6035" t="str">
        <f>Segmenter!B6035</f>
        <v/>
      </c>
      <c r="C6035" t="str">
        <f t="shared" si="470"/>
        <v/>
      </c>
      <c r="D6035" t="str">
        <f t="shared" si="471"/>
        <v/>
      </c>
      <c r="E6035" t="str">
        <f t="shared" si="472"/>
        <v/>
      </c>
      <c r="F6035" t="str">
        <f>IF(D6035="","",INDEX(Knutepunkter!$B:$B,D6035+1))</f>
        <v/>
      </c>
      <c r="G6035" t="str">
        <f>IF(D6035="","",INDEX(Knutepunkter!$C:$C,D6035+1))</f>
        <v/>
      </c>
      <c r="H6035" t="str">
        <f>IF(D6035="","",INDEX(Knutepunkter!$D:$D,D6035+1))</f>
        <v/>
      </c>
      <c r="I6035" t="str">
        <f>IF(E6035="","",INDEX(Knutepunkter!$B:$B,E6035+1))</f>
        <v/>
      </c>
      <c r="J6035" t="str">
        <f>IF(E6035="","",INDEX(Knutepunkter!$C:$C,E6035+1))</f>
        <v/>
      </c>
      <c r="K6035" t="str">
        <f>IF(E6035="","",INDEX(Knutepunkter!$D:$D,E6035+1))</f>
        <v/>
      </c>
      <c r="L6035" t="str">
        <f t="shared" si="473"/>
        <v/>
      </c>
      <c r="M6035" t="str">
        <f t="shared" si="474"/>
        <v/>
      </c>
    </row>
    <row r="6036" spans="1:13" x14ac:dyDescent="0.3">
      <c r="A6036" t="str">
        <f>Segmenter!A6036</f>
        <v/>
      </c>
      <c r="B6036" t="str">
        <f>Segmenter!B6036</f>
        <v/>
      </c>
      <c r="C6036" t="str">
        <f t="shared" si="470"/>
        <v/>
      </c>
      <c r="D6036" t="str">
        <f t="shared" si="471"/>
        <v/>
      </c>
      <c r="E6036" t="str">
        <f t="shared" si="472"/>
        <v/>
      </c>
      <c r="F6036" t="str">
        <f>IF(D6036="","",INDEX(Knutepunkter!$B:$B,D6036+1))</f>
        <v/>
      </c>
      <c r="G6036" t="str">
        <f>IF(D6036="","",INDEX(Knutepunkter!$C:$C,D6036+1))</f>
        <v/>
      </c>
      <c r="H6036" t="str">
        <f>IF(D6036="","",INDEX(Knutepunkter!$D:$D,D6036+1))</f>
        <v/>
      </c>
      <c r="I6036" t="str">
        <f>IF(E6036="","",INDEX(Knutepunkter!$B:$B,E6036+1))</f>
        <v/>
      </c>
      <c r="J6036" t="str">
        <f>IF(E6036="","",INDEX(Knutepunkter!$C:$C,E6036+1))</f>
        <v/>
      </c>
      <c r="K6036" t="str">
        <f>IF(E6036="","",INDEX(Knutepunkter!$D:$D,E6036+1))</f>
        <v/>
      </c>
      <c r="L6036" t="str">
        <f t="shared" si="473"/>
        <v/>
      </c>
      <c r="M6036" t="str">
        <f t="shared" si="474"/>
        <v/>
      </c>
    </row>
    <row r="6037" spans="1:13" x14ac:dyDescent="0.3">
      <c r="A6037" t="str">
        <f>Segmenter!A6037</f>
        <v/>
      </c>
      <c r="B6037" t="str">
        <f>Segmenter!B6037</f>
        <v/>
      </c>
      <c r="C6037" t="str">
        <f t="shared" si="470"/>
        <v/>
      </c>
      <c r="D6037" t="str">
        <f t="shared" si="471"/>
        <v/>
      </c>
      <c r="E6037" t="str">
        <f t="shared" si="472"/>
        <v/>
      </c>
      <c r="F6037" t="str">
        <f>IF(D6037="","",INDEX(Knutepunkter!$B:$B,D6037+1))</f>
        <v/>
      </c>
      <c r="G6037" t="str">
        <f>IF(D6037="","",INDEX(Knutepunkter!$C:$C,D6037+1))</f>
        <v/>
      </c>
      <c r="H6037" t="str">
        <f>IF(D6037="","",INDEX(Knutepunkter!$D:$D,D6037+1))</f>
        <v/>
      </c>
      <c r="I6037" t="str">
        <f>IF(E6037="","",INDEX(Knutepunkter!$B:$B,E6037+1))</f>
        <v/>
      </c>
      <c r="J6037" t="str">
        <f>IF(E6037="","",INDEX(Knutepunkter!$C:$C,E6037+1))</f>
        <v/>
      </c>
      <c r="K6037" t="str">
        <f>IF(E6037="","",INDEX(Knutepunkter!$D:$D,E6037+1))</f>
        <v/>
      </c>
      <c r="L6037" t="str">
        <f t="shared" si="473"/>
        <v/>
      </c>
      <c r="M6037" t="str">
        <f t="shared" si="474"/>
        <v/>
      </c>
    </row>
    <row r="6038" spans="1:13" x14ac:dyDescent="0.3">
      <c r="A6038" t="str">
        <f>Segmenter!A6038</f>
        <v/>
      </c>
      <c r="B6038" t="str">
        <f>Segmenter!B6038</f>
        <v/>
      </c>
      <c r="C6038" t="str">
        <f t="shared" si="470"/>
        <v/>
      </c>
      <c r="D6038" t="str">
        <f t="shared" si="471"/>
        <v/>
      </c>
      <c r="E6038" t="str">
        <f t="shared" si="472"/>
        <v/>
      </c>
      <c r="F6038" t="str">
        <f>IF(D6038="","",INDEX(Knutepunkter!$B:$B,D6038+1))</f>
        <v/>
      </c>
      <c r="G6038" t="str">
        <f>IF(D6038="","",INDEX(Knutepunkter!$C:$C,D6038+1))</f>
        <v/>
      </c>
      <c r="H6038" t="str">
        <f>IF(D6038="","",INDEX(Knutepunkter!$D:$D,D6038+1))</f>
        <v/>
      </c>
      <c r="I6038" t="str">
        <f>IF(E6038="","",INDEX(Knutepunkter!$B:$B,E6038+1))</f>
        <v/>
      </c>
      <c r="J6038" t="str">
        <f>IF(E6038="","",INDEX(Knutepunkter!$C:$C,E6038+1))</f>
        <v/>
      </c>
      <c r="K6038" t="str">
        <f>IF(E6038="","",INDEX(Knutepunkter!$D:$D,E6038+1))</f>
        <v/>
      </c>
      <c r="L6038" t="str">
        <f t="shared" si="473"/>
        <v/>
      </c>
      <c r="M6038" t="str">
        <f t="shared" si="474"/>
        <v/>
      </c>
    </row>
    <row r="6039" spans="1:13" x14ac:dyDescent="0.3">
      <c r="A6039" t="str">
        <f>Segmenter!A6039</f>
        <v/>
      </c>
      <c r="B6039" t="str">
        <f>Segmenter!B6039</f>
        <v/>
      </c>
      <c r="C6039" t="str">
        <f t="shared" si="470"/>
        <v/>
      </c>
      <c r="D6039" t="str">
        <f t="shared" si="471"/>
        <v/>
      </c>
      <c r="E6039" t="str">
        <f t="shared" si="472"/>
        <v/>
      </c>
      <c r="F6039" t="str">
        <f>IF(D6039="","",INDEX(Knutepunkter!$B:$B,D6039+1))</f>
        <v/>
      </c>
      <c r="G6039" t="str">
        <f>IF(D6039="","",INDEX(Knutepunkter!$C:$C,D6039+1))</f>
        <v/>
      </c>
      <c r="H6039" t="str">
        <f>IF(D6039="","",INDEX(Knutepunkter!$D:$D,D6039+1))</f>
        <v/>
      </c>
      <c r="I6039" t="str">
        <f>IF(E6039="","",INDEX(Knutepunkter!$B:$B,E6039+1))</f>
        <v/>
      </c>
      <c r="J6039" t="str">
        <f>IF(E6039="","",INDEX(Knutepunkter!$C:$C,E6039+1))</f>
        <v/>
      </c>
      <c r="K6039" t="str">
        <f>IF(E6039="","",INDEX(Knutepunkter!$D:$D,E6039+1))</f>
        <v/>
      </c>
      <c r="L6039" t="str">
        <f t="shared" si="473"/>
        <v/>
      </c>
      <c r="M6039" t="str">
        <f t="shared" si="474"/>
        <v/>
      </c>
    </row>
    <row r="6040" spans="1:13" x14ac:dyDescent="0.3">
      <c r="A6040" t="str">
        <f>Segmenter!A6040</f>
        <v/>
      </c>
      <c r="B6040" t="str">
        <f>Segmenter!B6040</f>
        <v/>
      </c>
      <c r="C6040" t="str">
        <f t="shared" si="470"/>
        <v/>
      </c>
      <c r="D6040" t="str">
        <f t="shared" si="471"/>
        <v/>
      </c>
      <c r="E6040" t="str">
        <f t="shared" si="472"/>
        <v/>
      </c>
      <c r="F6040" t="str">
        <f>IF(D6040="","",INDEX(Knutepunkter!$B:$B,D6040+1))</f>
        <v/>
      </c>
      <c r="G6040" t="str">
        <f>IF(D6040="","",INDEX(Knutepunkter!$C:$C,D6040+1))</f>
        <v/>
      </c>
      <c r="H6040" t="str">
        <f>IF(D6040="","",INDEX(Knutepunkter!$D:$D,D6040+1))</f>
        <v/>
      </c>
      <c r="I6040" t="str">
        <f>IF(E6040="","",INDEX(Knutepunkter!$B:$B,E6040+1))</f>
        <v/>
      </c>
      <c r="J6040" t="str">
        <f>IF(E6040="","",INDEX(Knutepunkter!$C:$C,E6040+1))</f>
        <v/>
      </c>
      <c r="K6040" t="str">
        <f>IF(E6040="","",INDEX(Knutepunkter!$D:$D,E6040+1))</f>
        <v/>
      </c>
      <c r="L6040" t="str">
        <f t="shared" si="473"/>
        <v/>
      </c>
      <c r="M6040" t="str">
        <f t="shared" si="474"/>
        <v/>
      </c>
    </row>
    <row r="6041" spans="1:13" x14ac:dyDescent="0.3">
      <c r="A6041" t="str">
        <f>Segmenter!A6041</f>
        <v/>
      </c>
      <c r="B6041" t="str">
        <f>Segmenter!B6041</f>
        <v/>
      </c>
      <c r="C6041" t="str">
        <f t="shared" si="470"/>
        <v/>
      </c>
      <c r="D6041" t="str">
        <f t="shared" si="471"/>
        <v/>
      </c>
      <c r="E6041" t="str">
        <f t="shared" si="472"/>
        <v/>
      </c>
      <c r="F6041" t="str">
        <f>IF(D6041="","",INDEX(Knutepunkter!$B:$B,D6041+1))</f>
        <v/>
      </c>
      <c r="G6041" t="str">
        <f>IF(D6041="","",INDEX(Knutepunkter!$C:$C,D6041+1))</f>
        <v/>
      </c>
      <c r="H6041" t="str">
        <f>IF(D6041="","",INDEX(Knutepunkter!$D:$D,D6041+1))</f>
        <v/>
      </c>
      <c r="I6041" t="str">
        <f>IF(E6041="","",INDEX(Knutepunkter!$B:$B,E6041+1))</f>
        <v/>
      </c>
      <c r="J6041" t="str">
        <f>IF(E6041="","",INDEX(Knutepunkter!$C:$C,E6041+1))</f>
        <v/>
      </c>
      <c r="K6041" t="str">
        <f>IF(E6041="","",INDEX(Knutepunkter!$D:$D,E6041+1))</f>
        <v/>
      </c>
      <c r="L6041" t="str">
        <f t="shared" si="473"/>
        <v/>
      </c>
      <c r="M6041" t="str">
        <f t="shared" si="474"/>
        <v/>
      </c>
    </row>
    <row r="6042" spans="1:13" x14ac:dyDescent="0.3">
      <c r="A6042" t="str">
        <f>Segmenter!A6042</f>
        <v/>
      </c>
      <c r="B6042" t="str">
        <f>Segmenter!B6042</f>
        <v/>
      </c>
      <c r="C6042" t="str">
        <f t="shared" si="470"/>
        <v/>
      </c>
      <c r="D6042" t="str">
        <f t="shared" si="471"/>
        <v/>
      </c>
      <c r="E6042" t="str">
        <f t="shared" si="472"/>
        <v/>
      </c>
      <c r="F6042" t="str">
        <f>IF(D6042="","",INDEX(Knutepunkter!$B:$B,D6042+1))</f>
        <v/>
      </c>
      <c r="G6042" t="str">
        <f>IF(D6042="","",INDEX(Knutepunkter!$C:$C,D6042+1))</f>
        <v/>
      </c>
      <c r="H6042" t="str">
        <f>IF(D6042="","",INDEX(Knutepunkter!$D:$D,D6042+1))</f>
        <v/>
      </c>
      <c r="I6042" t="str">
        <f>IF(E6042="","",INDEX(Knutepunkter!$B:$B,E6042+1))</f>
        <v/>
      </c>
      <c r="J6042" t="str">
        <f>IF(E6042="","",INDEX(Knutepunkter!$C:$C,E6042+1))</f>
        <v/>
      </c>
      <c r="K6042" t="str">
        <f>IF(E6042="","",INDEX(Knutepunkter!$D:$D,E6042+1))</f>
        <v/>
      </c>
      <c r="L6042" t="str">
        <f t="shared" si="473"/>
        <v/>
      </c>
      <c r="M6042" t="str">
        <f t="shared" si="474"/>
        <v/>
      </c>
    </row>
    <row r="6043" spans="1:13" x14ac:dyDescent="0.3">
      <c r="A6043" t="str">
        <f>Segmenter!A6043</f>
        <v/>
      </c>
      <c r="B6043" t="str">
        <f>Segmenter!B6043</f>
        <v/>
      </c>
      <c r="C6043" t="str">
        <f t="shared" si="470"/>
        <v/>
      </c>
      <c r="D6043" t="str">
        <f t="shared" si="471"/>
        <v/>
      </c>
      <c r="E6043" t="str">
        <f t="shared" si="472"/>
        <v/>
      </c>
      <c r="F6043" t="str">
        <f>IF(D6043="","",INDEX(Knutepunkter!$B:$B,D6043+1))</f>
        <v/>
      </c>
      <c r="G6043" t="str">
        <f>IF(D6043="","",INDEX(Knutepunkter!$C:$C,D6043+1))</f>
        <v/>
      </c>
      <c r="H6043" t="str">
        <f>IF(D6043="","",INDEX(Knutepunkter!$D:$D,D6043+1))</f>
        <v/>
      </c>
      <c r="I6043" t="str">
        <f>IF(E6043="","",INDEX(Knutepunkter!$B:$B,E6043+1))</f>
        <v/>
      </c>
      <c r="J6043" t="str">
        <f>IF(E6043="","",INDEX(Knutepunkter!$C:$C,E6043+1))</f>
        <v/>
      </c>
      <c r="K6043" t="str">
        <f>IF(E6043="","",INDEX(Knutepunkter!$D:$D,E6043+1))</f>
        <v/>
      </c>
      <c r="L6043" t="str">
        <f t="shared" si="473"/>
        <v/>
      </c>
      <c r="M6043" t="str">
        <f t="shared" si="474"/>
        <v/>
      </c>
    </row>
    <row r="6044" spans="1:13" x14ac:dyDescent="0.3">
      <c r="A6044" t="str">
        <f>Segmenter!A6044</f>
        <v/>
      </c>
      <c r="B6044" t="str">
        <f>Segmenter!B6044</f>
        <v/>
      </c>
      <c r="C6044" t="str">
        <f t="shared" si="470"/>
        <v/>
      </c>
      <c r="D6044" t="str">
        <f t="shared" si="471"/>
        <v/>
      </c>
      <c r="E6044" t="str">
        <f t="shared" si="472"/>
        <v/>
      </c>
      <c r="F6044" t="str">
        <f>IF(D6044="","",INDEX(Knutepunkter!$B:$B,D6044+1))</f>
        <v/>
      </c>
      <c r="G6044" t="str">
        <f>IF(D6044="","",INDEX(Knutepunkter!$C:$C,D6044+1))</f>
        <v/>
      </c>
      <c r="H6044" t="str">
        <f>IF(D6044="","",INDEX(Knutepunkter!$D:$D,D6044+1))</f>
        <v/>
      </c>
      <c r="I6044" t="str">
        <f>IF(E6044="","",INDEX(Knutepunkter!$B:$B,E6044+1))</f>
        <v/>
      </c>
      <c r="J6044" t="str">
        <f>IF(E6044="","",INDEX(Knutepunkter!$C:$C,E6044+1))</f>
        <v/>
      </c>
      <c r="K6044" t="str">
        <f>IF(E6044="","",INDEX(Knutepunkter!$D:$D,E6044+1))</f>
        <v/>
      </c>
      <c r="L6044" t="str">
        <f t="shared" si="473"/>
        <v/>
      </c>
      <c r="M6044" t="str">
        <f t="shared" si="474"/>
        <v/>
      </c>
    </row>
    <row r="6045" spans="1:13" x14ac:dyDescent="0.3">
      <c r="A6045" t="str">
        <f>Segmenter!A6045</f>
        <v/>
      </c>
      <c r="B6045" t="str">
        <f>Segmenter!B6045</f>
        <v/>
      </c>
      <c r="C6045" t="str">
        <f t="shared" si="470"/>
        <v/>
      </c>
      <c r="D6045" t="str">
        <f t="shared" si="471"/>
        <v/>
      </c>
      <c r="E6045" t="str">
        <f t="shared" si="472"/>
        <v/>
      </c>
      <c r="F6045" t="str">
        <f>IF(D6045="","",INDEX(Knutepunkter!$B:$B,D6045+1))</f>
        <v/>
      </c>
      <c r="G6045" t="str">
        <f>IF(D6045="","",INDEX(Knutepunkter!$C:$C,D6045+1))</f>
        <v/>
      </c>
      <c r="H6045" t="str">
        <f>IF(D6045="","",INDEX(Knutepunkter!$D:$D,D6045+1))</f>
        <v/>
      </c>
      <c r="I6045" t="str">
        <f>IF(E6045="","",INDEX(Knutepunkter!$B:$B,E6045+1))</f>
        <v/>
      </c>
      <c r="J6045" t="str">
        <f>IF(E6045="","",INDEX(Knutepunkter!$C:$C,E6045+1))</f>
        <v/>
      </c>
      <c r="K6045" t="str">
        <f>IF(E6045="","",INDEX(Knutepunkter!$D:$D,E6045+1))</f>
        <v/>
      </c>
      <c r="L6045" t="str">
        <f t="shared" si="473"/>
        <v/>
      </c>
      <c r="M6045" t="str">
        <f t="shared" si="474"/>
        <v/>
      </c>
    </row>
    <row r="6046" spans="1:13" x14ac:dyDescent="0.3">
      <c r="A6046" t="str">
        <f>Segmenter!A6046</f>
        <v/>
      </c>
      <c r="B6046" t="str">
        <f>Segmenter!B6046</f>
        <v/>
      </c>
      <c r="C6046" t="str">
        <f t="shared" si="470"/>
        <v/>
      </c>
      <c r="D6046" t="str">
        <f t="shared" si="471"/>
        <v/>
      </c>
      <c r="E6046" t="str">
        <f t="shared" si="472"/>
        <v/>
      </c>
      <c r="F6046" t="str">
        <f>IF(D6046="","",INDEX(Knutepunkter!$B:$B,D6046+1))</f>
        <v/>
      </c>
      <c r="G6046" t="str">
        <f>IF(D6046="","",INDEX(Knutepunkter!$C:$C,D6046+1))</f>
        <v/>
      </c>
      <c r="H6046" t="str">
        <f>IF(D6046="","",INDEX(Knutepunkter!$D:$D,D6046+1))</f>
        <v/>
      </c>
      <c r="I6046" t="str">
        <f>IF(E6046="","",INDEX(Knutepunkter!$B:$B,E6046+1))</f>
        <v/>
      </c>
      <c r="J6046" t="str">
        <f>IF(E6046="","",INDEX(Knutepunkter!$C:$C,E6046+1))</f>
        <v/>
      </c>
      <c r="K6046" t="str">
        <f>IF(E6046="","",INDEX(Knutepunkter!$D:$D,E6046+1))</f>
        <v/>
      </c>
      <c r="L6046" t="str">
        <f t="shared" si="473"/>
        <v/>
      </c>
      <c r="M6046" t="str">
        <f t="shared" si="474"/>
        <v/>
      </c>
    </row>
    <row r="6047" spans="1:13" x14ac:dyDescent="0.3">
      <c r="A6047" t="str">
        <f>Segmenter!A6047</f>
        <v/>
      </c>
      <c r="B6047" t="str">
        <f>Segmenter!B6047</f>
        <v/>
      </c>
      <c r="C6047" t="str">
        <f t="shared" si="470"/>
        <v/>
      </c>
      <c r="D6047" t="str">
        <f t="shared" si="471"/>
        <v/>
      </c>
      <c r="E6047" t="str">
        <f t="shared" si="472"/>
        <v/>
      </c>
      <c r="F6047" t="str">
        <f>IF(D6047="","",INDEX(Knutepunkter!$B:$B,D6047+1))</f>
        <v/>
      </c>
      <c r="G6047" t="str">
        <f>IF(D6047="","",INDEX(Knutepunkter!$C:$C,D6047+1))</f>
        <v/>
      </c>
      <c r="H6047" t="str">
        <f>IF(D6047="","",INDEX(Knutepunkter!$D:$D,D6047+1))</f>
        <v/>
      </c>
      <c r="I6047" t="str">
        <f>IF(E6047="","",INDEX(Knutepunkter!$B:$B,E6047+1))</f>
        <v/>
      </c>
      <c r="J6047" t="str">
        <f>IF(E6047="","",INDEX(Knutepunkter!$C:$C,E6047+1))</f>
        <v/>
      </c>
      <c r="K6047" t="str">
        <f>IF(E6047="","",INDEX(Knutepunkter!$D:$D,E6047+1))</f>
        <v/>
      </c>
      <c r="L6047" t="str">
        <f t="shared" si="473"/>
        <v/>
      </c>
      <c r="M6047" t="str">
        <f t="shared" si="474"/>
        <v/>
      </c>
    </row>
    <row r="6048" spans="1:13" x14ac:dyDescent="0.3">
      <c r="A6048" t="str">
        <f>Segmenter!A6048</f>
        <v/>
      </c>
      <c r="B6048" t="str">
        <f>Segmenter!B6048</f>
        <v/>
      </c>
      <c r="C6048" t="str">
        <f t="shared" si="470"/>
        <v/>
      </c>
      <c r="D6048" t="str">
        <f t="shared" si="471"/>
        <v/>
      </c>
      <c r="E6048" t="str">
        <f t="shared" si="472"/>
        <v/>
      </c>
      <c r="F6048" t="str">
        <f>IF(D6048="","",INDEX(Knutepunkter!$B:$B,D6048+1))</f>
        <v/>
      </c>
      <c r="G6048" t="str">
        <f>IF(D6048="","",INDEX(Knutepunkter!$C:$C,D6048+1))</f>
        <v/>
      </c>
      <c r="H6048" t="str">
        <f>IF(D6048="","",INDEX(Knutepunkter!$D:$D,D6048+1))</f>
        <v/>
      </c>
      <c r="I6048" t="str">
        <f>IF(E6048="","",INDEX(Knutepunkter!$B:$B,E6048+1))</f>
        <v/>
      </c>
      <c r="J6048" t="str">
        <f>IF(E6048="","",INDEX(Knutepunkter!$C:$C,E6048+1))</f>
        <v/>
      </c>
      <c r="K6048" t="str">
        <f>IF(E6048="","",INDEX(Knutepunkter!$D:$D,E6048+1))</f>
        <v/>
      </c>
      <c r="L6048" t="str">
        <f t="shared" si="473"/>
        <v/>
      </c>
      <c r="M6048" t="str">
        <f t="shared" si="474"/>
        <v/>
      </c>
    </row>
    <row r="6049" spans="1:13" x14ac:dyDescent="0.3">
      <c r="A6049" t="str">
        <f>Segmenter!A6049</f>
        <v/>
      </c>
      <c r="B6049" t="str">
        <f>Segmenter!B6049</f>
        <v/>
      </c>
      <c r="C6049" t="str">
        <f t="shared" si="470"/>
        <v/>
      </c>
      <c r="D6049" t="str">
        <f t="shared" si="471"/>
        <v/>
      </c>
      <c r="E6049" t="str">
        <f t="shared" si="472"/>
        <v/>
      </c>
      <c r="F6049" t="str">
        <f>IF(D6049="","",INDEX(Knutepunkter!$B:$B,D6049+1))</f>
        <v/>
      </c>
      <c r="G6049" t="str">
        <f>IF(D6049="","",INDEX(Knutepunkter!$C:$C,D6049+1))</f>
        <v/>
      </c>
      <c r="H6049" t="str">
        <f>IF(D6049="","",INDEX(Knutepunkter!$D:$D,D6049+1))</f>
        <v/>
      </c>
      <c r="I6049" t="str">
        <f>IF(E6049="","",INDEX(Knutepunkter!$B:$B,E6049+1))</f>
        <v/>
      </c>
      <c r="J6049" t="str">
        <f>IF(E6049="","",INDEX(Knutepunkter!$C:$C,E6049+1))</f>
        <v/>
      </c>
      <c r="K6049" t="str">
        <f>IF(E6049="","",INDEX(Knutepunkter!$D:$D,E6049+1))</f>
        <v/>
      </c>
      <c r="L6049" t="str">
        <f t="shared" si="473"/>
        <v/>
      </c>
      <c r="M6049" t="str">
        <f t="shared" si="474"/>
        <v/>
      </c>
    </row>
    <row r="6050" spans="1:13" x14ac:dyDescent="0.3">
      <c r="A6050" t="str">
        <f>Segmenter!A6050</f>
        <v/>
      </c>
      <c r="B6050" t="str">
        <f>Segmenter!B6050</f>
        <v/>
      </c>
      <c r="C6050" t="str">
        <f t="shared" si="470"/>
        <v/>
      </c>
      <c r="D6050" t="str">
        <f t="shared" si="471"/>
        <v/>
      </c>
      <c r="E6050" t="str">
        <f t="shared" si="472"/>
        <v/>
      </c>
      <c r="F6050" t="str">
        <f>IF(D6050="","",INDEX(Knutepunkter!$B:$B,D6050+1))</f>
        <v/>
      </c>
      <c r="G6050" t="str">
        <f>IF(D6050="","",INDEX(Knutepunkter!$C:$C,D6050+1))</f>
        <v/>
      </c>
      <c r="H6050" t="str">
        <f>IF(D6050="","",INDEX(Knutepunkter!$D:$D,D6050+1))</f>
        <v/>
      </c>
      <c r="I6050" t="str">
        <f>IF(E6050="","",INDEX(Knutepunkter!$B:$B,E6050+1))</f>
        <v/>
      </c>
      <c r="J6050" t="str">
        <f>IF(E6050="","",INDEX(Knutepunkter!$C:$C,E6050+1))</f>
        <v/>
      </c>
      <c r="K6050" t="str">
        <f>IF(E6050="","",INDEX(Knutepunkter!$D:$D,E6050+1))</f>
        <v/>
      </c>
      <c r="L6050" t="str">
        <f t="shared" si="473"/>
        <v/>
      </c>
      <c r="M6050" t="str">
        <f t="shared" si="474"/>
        <v/>
      </c>
    </row>
    <row r="6051" spans="1:13" x14ac:dyDescent="0.3">
      <c r="A6051" t="str">
        <f>Segmenter!A6051</f>
        <v/>
      </c>
      <c r="B6051" t="str">
        <f>Segmenter!B6051</f>
        <v/>
      </c>
      <c r="C6051" t="str">
        <f t="shared" si="470"/>
        <v/>
      </c>
      <c r="D6051" t="str">
        <f t="shared" si="471"/>
        <v/>
      </c>
      <c r="E6051" t="str">
        <f t="shared" si="472"/>
        <v/>
      </c>
      <c r="F6051" t="str">
        <f>IF(D6051="","",INDEX(Knutepunkter!$B:$B,D6051+1))</f>
        <v/>
      </c>
      <c r="G6051" t="str">
        <f>IF(D6051="","",INDEX(Knutepunkter!$C:$C,D6051+1))</f>
        <v/>
      </c>
      <c r="H6051" t="str">
        <f>IF(D6051="","",INDEX(Knutepunkter!$D:$D,D6051+1))</f>
        <v/>
      </c>
      <c r="I6051" t="str">
        <f>IF(E6051="","",INDEX(Knutepunkter!$B:$B,E6051+1))</f>
        <v/>
      </c>
      <c r="J6051" t="str">
        <f>IF(E6051="","",INDEX(Knutepunkter!$C:$C,E6051+1))</f>
        <v/>
      </c>
      <c r="K6051" t="str">
        <f>IF(E6051="","",INDEX(Knutepunkter!$D:$D,E6051+1))</f>
        <v/>
      </c>
      <c r="L6051" t="str">
        <f t="shared" si="473"/>
        <v/>
      </c>
      <c r="M6051" t="str">
        <f t="shared" si="474"/>
        <v/>
      </c>
    </row>
    <row r="6052" spans="1:13" x14ac:dyDescent="0.3">
      <c r="A6052" t="str">
        <f>Segmenter!A6052</f>
        <v/>
      </c>
      <c r="B6052" t="str">
        <f>Segmenter!B6052</f>
        <v/>
      </c>
      <c r="C6052" t="str">
        <f t="shared" si="470"/>
        <v/>
      </c>
      <c r="D6052" t="str">
        <f t="shared" si="471"/>
        <v/>
      </c>
      <c r="E6052" t="str">
        <f t="shared" si="472"/>
        <v/>
      </c>
      <c r="F6052" t="str">
        <f>IF(D6052="","",INDEX(Knutepunkter!$B:$B,D6052+1))</f>
        <v/>
      </c>
      <c r="G6052" t="str">
        <f>IF(D6052="","",INDEX(Knutepunkter!$C:$C,D6052+1))</f>
        <v/>
      </c>
      <c r="H6052" t="str">
        <f>IF(D6052="","",INDEX(Knutepunkter!$D:$D,D6052+1))</f>
        <v/>
      </c>
      <c r="I6052" t="str">
        <f>IF(E6052="","",INDEX(Knutepunkter!$B:$B,E6052+1))</f>
        <v/>
      </c>
      <c r="J6052" t="str">
        <f>IF(E6052="","",INDEX(Knutepunkter!$C:$C,E6052+1))</f>
        <v/>
      </c>
      <c r="K6052" t="str">
        <f>IF(E6052="","",INDEX(Knutepunkter!$D:$D,E6052+1))</f>
        <v/>
      </c>
      <c r="L6052" t="str">
        <f t="shared" si="473"/>
        <v/>
      </c>
      <c r="M6052" t="str">
        <f t="shared" si="474"/>
        <v/>
      </c>
    </row>
    <row r="6053" spans="1:13" x14ac:dyDescent="0.3">
      <c r="A6053" t="str">
        <f>Segmenter!A6053</f>
        <v/>
      </c>
      <c r="B6053" t="str">
        <f>Segmenter!B6053</f>
        <v/>
      </c>
      <c r="C6053" t="str">
        <f t="shared" si="470"/>
        <v/>
      </c>
      <c r="D6053" t="str">
        <f t="shared" si="471"/>
        <v/>
      </c>
      <c r="E6053" t="str">
        <f t="shared" si="472"/>
        <v/>
      </c>
      <c r="F6053" t="str">
        <f>IF(D6053="","",INDEX(Knutepunkter!$B:$B,D6053+1))</f>
        <v/>
      </c>
      <c r="G6053" t="str">
        <f>IF(D6053="","",INDEX(Knutepunkter!$C:$C,D6053+1))</f>
        <v/>
      </c>
      <c r="H6053" t="str">
        <f>IF(D6053="","",INDEX(Knutepunkter!$D:$D,D6053+1))</f>
        <v/>
      </c>
      <c r="I6053" t="str">
        <f>IF(E6053="","",INDEX(Knutepunkter!$B:$B,E6053+1))</f>
        <v/>
      </c>
      <c r="J6053" t="str">
        <f>IF(E6053="","",INDEX(Knutepunkter!$C:$C,E6053+1))</f>
        <v/>
      </c>
      <c r="K6053" t="str">
        <f>IF(E6053="","",INDEX(Knutepunkter!$D:$D,E6053+1))</f>
        <v/>
      </c>
      <c r="L6053" t="str">
        <f t="shared" si="473"/>
        <v/>
      </c>
      <c r="M6053" t="str">
        <f t="shared" si="474"/>
        <v/>
      </c>
    </row>
    <row r="6054" spans="1:13" x14ac:dyDescent="0.3">
      <c r="A6054" t="str">
        <f>Segmenter!A6054</f>
        <v/>
      </c>
      <c r="B6054" t="str">
        <f>Segmenter!B6054</f>
        <v/>
      </c>
      <c r="C6054" t="str">
        <f t="shared" si="470"/>
        <v/>
      </c>
      <c r="D6054" t="str">
        <f t="shared" si="471"/>
        <v/>
      </c>
      <c r="E6054" t="str">
        <f t="shared" si="472"/>
        <v/>
      </c>
      <c r="F6054" t="str">
        <f>IF(D6054="","",INDEX(Knutepunkter!$B:$B,D6054+1))</f>
        <v/>
      </c>
      <c r="G6054" t="str">
        <f>IF(D6054="","",INDEX(Knutepunkter!$C:$C,D6054+1))</f>
        <v/>
      </c>
      <c r="H6054" t="str">
        <f>IF(D6054="","",INDEX(Knutepunkter!$D:$D,D6054+1))</f>
        <v/>
      </c>
      <c r="I6054" t="str">
        <f>IF(E6054="","",INDEX(Knutepunkter!$B:$B,E6054+1))</f>
        <v/>
      </c>
      <c r="J6054" t="str">
        <f>IF(E6054="","",INDEX(Knutepunkter!$C:$C,E6054+1))</f>
        <v/>
      </c>
      <c r="K6054" t="str">
        <f>IF(E6054="","",INDEX(Knutepunkter!$D:$D,E6054+1))</f>
        <v/>
      </c>
      <c r="L6054" t="str">
        <f t="shared" si="473"/>
        <v/>
      </c>
      <c r="M6054" t="str">
        <f t="shared" si="474"/>
        <v/>
      </c>
    </row>
    <row r="6055" spans="1:13" x14ac:dyDescent="0.3">
      <c r="A6055" t="str">
        <f>Segmenter!A6055</f>
        <v/>
      </c>
      <c r="B6055" t="str">
        <f>Segmenter!B6055</f>
        <v/>
      </c>
      <c r="C6055" t="str">
        <f t="shared" si="470"/>
        <v/>
      </c>
      <c r="D6055" t="str">
        <f t="shared" si="471"/>
        <v/>
      </c>
      <c r="E6055" t="str">
        <f t="shared" si="472"/>
        <v/>
      </c>
      <c r="F6055" t="str">
        <f>IF(D6055="","",INDEX(Knutepunkter!$B:$B,D6055+1))</f>
        <v/>
      </c>
      <c r="G6055" t="str">
        <f>IF(D6055="","",INDEX(Knutepunkter!$C:$C,D6055+1))</f>
        <v/>
      </c>
      <c r="H6055" t="str">
        <f>IF(D6055="","",INDEX(Knutepunkter!$D:$D,D6055+1))</f>
        <v/>
      </c>
      <c r="I6055" t="str">
        <f>IF(E6055="","",INDEX(Knutepunkter!$B:$B,E6055+1))</f>
        <v/>
      </c>
      <c r="J6055" t="str">
        <f>IF(E6055="","",INDEX(Knutepunkter!$C:$C,E6055+1))</f>
        <v/>
      </c>
      <c r="K6055" t="str">
        <f>IF(E6055="","",INDEX(Knutepunkter!$D:$D,E6055+1))</f>
        <v/>
      </c>
      <c r="L6055" t="str">
        <f t="shared" si="473"/>
        <v/>
      </c>
      <c r="M6055" t="str">
        <f t="shared" si="474"/>
        <v/>
      </c>
    </row>
    <row r="6056" spans="1:13" x14ac:dyDescent="0.3">
      <c r="A6056" t="str">
        <f>Segmenter!A6056</f>
        <v/>
      </c>
      <c r="B6056" t="str">
        <f>Segmenter!B6056</f>
        <v/>
      </c>
      <c r="C6056" t="str">
        <f t="shared" si="470"/>
        <v/>
      </c>
      <c r="D6056" t="str">
        <f t="shared" si="471"/>
        <v/>
      </c>
      <c r="E6056" t="str">
        <f t="shared" si="472"/>
        <v/>
      </c>
      <c r="F6056" t="str">
        <f>IF(D6056="","",INDEX(Knutepunkter!$B:$B,D6056+1))</f>
        <v/>
      </c>
      <c r="G6056" t="str">
        <f>IF(D6056="","",INDEX(Knutepunkter!$C:$C,D6056+1))</f>
        <v/>
      </c>
      <c r="H6056" t="str">
        <f>IF(D6056="","",INDEX(Knutepunkter!$D:$D,D6056+1))</f>
        <v/>
      </c>
      <c r="I6056" t="str">
        <f>IF(E6056="","",INDEX(Knutepunkter!$B:$B,E6056+1))</f>
        <v/>
      </c>
      <c r="J6056" t="str">
        <f>IF(E6056="","",INDEX(Knutepunkter!$C:$C,E6056+1))</f>
        <v/>
      </c>
      <c r="K6056" t="str">
        <f>IF(E6056="","",INDEX(Knutepunkter!$D:$D,E6056+1))</f>
        <v/>
      </c>
      <c r="L6056" t="str">
        <f t="shared" si="473"/>
        <v/>
      </c>
      <c r="M6056" t="str">
        <f t="shared" si="474"/>
        <v/>
      </c>
    </row>
    <row r="6057" spans="1:13" x14ac:dyDescent="0.3">
      <c r="A6057" t="str">
        <f>Segmenter!A6057</f>
        <v/>
      </c>
      <c r="B6057" t="str">
        <f>Segmenter!B6057</f>
        <v/>
      </c>
      <c r="C6057" t="str">
        <f t="shared" si="470"/>
        <v/>
      </c>
      <c r="D6057" t="str">
        <f t="shared" si="471"/>
        <v/>
      </c>
      <c r="E6057" t="str">
        <f t="shared" si="472"/>
        <v/>
      </c>
      <c r="F6057" t="str">
        <f>IF(D6057="","",INDEX(Knutepunkter!$B:$B,D6057+1))</f>
        <v/>
      </c>
      <c r="G6057" t="str">
        <f>IF(D6057="","",INDEX(Knutepunkter!$C:$C,D6057+1))</f>
        <v/>
      </c>
      <c r="H6057" t="str">
        <f>IF(D6057="","",INDEX(Knutepunkter!$D:$D,D6057+1))</f>
        <v/>
      </c>
      <c r="I6057" t="str">
        <f>IF(E6057="","",INDEX(Knutepunkter!$B:$B,E6057+1))</f>
        <v/>
      </c>
      <c r="J6057" t="str">
        <f>IF(E6057="","",INDEX(Knutepunkter!$C:$C,E6057+1))</f>
        <v/>
      </c>
      <c r="K6057" t="str">
        <f>IF(E6057="","",INDEX(Knutepunkter!$D:$D,E6057+1))</f>
        <v/>
      </c>
      <c r="L6057" t="str">
        <f t="shared" si="473"/>
        <v/>
      </c>
      <c r="M6057" t="str">
        <f t="shared" si="474"/>
        <v/>
      </c>
    </row>
    <row r="6058" spans="1:13" x14ac:dyDescent="0.3">
      <c r="A6058" t="str">
        <f>Segmenter!A6058</f>
        <v/>
      </c>
      <c r="B6058" t="str">
        <f>Segmenter!B6058</f>
        <v/>
      </c>
      <c r="C6058" t="str">
        <f t="shared" si="470"/>
        <v/>
      </c>
      <c r="D6058" t="str">
        <f t="shared" si="471"/>
        <v/>
      </c>
      <c r="E6058" t="str">
        <f t="shared" si="472"/>
        <v/>
      </c>
      <c r="F6058" t="str">
        <f>IF(D6058="","",INDEX(Knutepunkter!$B:$B,D6058+1))</f>
        <v/>
      </c>
      <c r="G6058" t="str">
        <f>IF(D6058="","",INDEX(Knutepunkter!$C:$C,D6058+1))</f>
        <v/>
      </c>
      <c r="H6058" t="str">
        <f>IF(D6058="","",INDEX(Knutepunkter!$D:$D,D6058+1))</f>
        <v/>
      </c>
      <c r="I6058" t="str">
        <f>IF(E6058="","",INDEX(Knutepunkter!$B:$B,E6058+1))</f>
        <v/>
      </c>
      <c r="J6058" t="str">
        <f>IF(E6058="","",INDEX(Knutepunkter!$C:$C,E6058+1))</f>
        <v/>
      </c>
      <c r="K6058" t="str">
        <f>IF(E6058="","",INDEX(Knutepunkter!$D:$D,E6058+1))</f>
        <v/>
      </c>
      <c r="L6058" t="str">
        <f t="shared" si="473"/>
        <v/>
      </c>
      <c r="M6058" t="str">
        <f t="shared" si="474"/>
        <v/>
      </c>
    </row>
    <row r="6059" spans="1:13" x14ac:dyDescent="0.3">
      <c r="A6059" t="str">
        <f>Segmenter!A6059</f>
        <v/>
      </c>
      <c r="B6059" t="str">
        <f>Segmenter!B6059</f>
        <v/>
      </c>
      <c r="C6059" t="str">
        <f t="shared" si="470"/>
        <v/>
      </c>
      <c r="D6059" t="str">
        <f t="shared" si="471"/>
        <v/>
      </c>
      <c r="E6059" t="str">
        <f t="shared" si="472"/>
        <v/>
      </c>
      <c r="F6059" t="str">
        <f>IF(D6059="","",INDEX(Knutepunkter!$B:$B,D6059+1))</f>
        <v/>
      </c>
      <c r="G6059" t="str">
        <f>IF(D6059="","",INDEX(Knutepunkter!$C:$C,D6059+1))</f>
        <v/>
      </c>
      <c r="H6059" t="str">
        <f>IF(D6059="","",INDEX(Knutepunkter!$D:$D,D6059+1))</f>
        <v/>
      </c>
      <c r="I6059" t="str">
        <f>IF(E6059="","",INDEX(Knutepunkter!$B:$B,E6059+1))</f>
        <v/>
      </c>
      <c r="J6059" t="str">
        <f>IF(E6059="","",INDEX(Knutepunkter!$C:$C,E6059+1))</f>
        <v/>
      </c>
      <c r="K6059" t="str">
        <f>IF(E6059="","",INDEX(Knutepunkter!$D:$D,E6059+1))</f>
        <v/>
      </c>
      <c r="L6059" t="str">
        <f t="shared" si="473"/>
        <v/>
      </c>
      <c r="M6059" t="str">
        <f t="shared" si="474"/>
        <v/>
      </c>
    </row>
    <row r="6060" spans="1:13" x14ac:dyDescent="0.3">
      <c r="A6060" t="str">
        <f>Segmenter!A6060</f>
        <v/>
      </c>
      <c r="B6060" t="str">
        <f>Segmenter!B6060</f>
        <v/>
      </c>
      <c r="C6060" t="str">
        <f t="shared" si="470"/>
        <v/>
      </c>
      <c r="D6060" t="str">
        <f t="shared" si="471"/>
        <v/>
      </c>
      <c r="E6060" t="str">
        <f t="shared" si="472"/>
        <v/>
      </c>
      <c r="F6060" t="str">
        <f>IF(D6060="","",INDEX(Knutepunkter!$B:$B,D6060+1))</f>
        <v/>
      </c>
      <c r="G6060" t="str">
        <f>IF(D6060="","",INDEX(Knutepunkter!$C:$C,D6060+1))</f>
        <v/>
      </c>
      <c r="H6060" t="str">
        <f>IF(D6060="","",INDEX(Knutepunkter!$D:$D,D6060+1))</f>
        <v/>
      </c>
      <c r="I6060" t="str">
        <f>IF(E6060="","",INDEX(Knutepunkter!$B:$B,E6060+1))</f>
        <v/>
      </c>
      <c r="J6060" t="str">
        <f>IF(E6060="","",INDEX(Knutepunkter!$C:$C,E6060+1))</f>
        <v/>
      </c>
      <c r="K6060" t="str">
        <f>IF(E6060="","",INDEX(Knutepunkter!$D:$D,E6060+1))</f>
        <v/>
      </c>
      <c r="L6060" t="str">
        <f t="shared" si="473"/>
        <v/>
      </c>
      <c r="M6060" t="str">
        <f t="shared" si="474"/>
        <v/>
      </c>
    </row>
    <row r="6061" spans="1:13" x14ac:dyDescent="0.3">
      <c r="A6061" t="str">
        <f>Segmenter!A6061</f>
        <v/>
      </c>
      <c r="B6061" t="str">
        <f>Segmenter!B6061</f>
        <v/>
      </c>
      <c r="C6061" t="str">
        <f t="shared" si="470"/>
        <v/>
      </c>
      <c r="D6061" t="str">
        <f t="shared" si="471"/>
        <v/>
      </c>
      <c r="E6061" t="str">
        <f t="shared" si="472"/>
        <v/>
      </c>
      <c r="F6061" t="str">
        <f>IF(D6061="","",INDEX(Knutepunkter!$B:$B,D6061+1))</f>
        <v/>
      </c>
      <c r="G6061" t="str">
        <f>IF(D6061="","",INDEX(Knutepunkter!$C:$C,D6061+1))</f>
        <v/>
      </c>
      <c r="H6061" t="str">
        <f>IF(D6061="","",INDEX(Knutepunkter!$D:$D,D6061+1))</f>
        <v/>
      </c>
      <c r="I6061" t="str">
        <f>IF(E6061="","",INDEX(Knutepunkter!$B:$B,E6061+1))</f>
        <v/>
      </c>
      <c r="J6061" t="str">
        <f>IF(E6061="","",INDEX(Knutepunkter!$C:$C,E6061+1))</f>
        <v/>
      </c>
      <c r="K6061" t="str">
        <f>IF(E6061="","",INDEX(Knutepunkter!$D:$D,E6061+1))</f>
        <v/>
      </c>
      <c r="L6061" t="str">
        <f t="shared" si="473"/>
        <v/>
      </c>
      <c r="M6061" t="str">
        <f t="shared" si="474"/>
        <v/>
      </c>
    </row>
    <row r="6062" spans="1:13" x14ac:dyDescent="0.3">
      <c r="A6062" t="str">
        <f>Segmenter!A6062</f>
        <v/>
      </c>
      <c r="B6062" t="str">
        <f>Segmenter!B6062</f>
        <v/>
      </c>
      <c r="C6062" t="str">
        <f t="shared" si="470"/>
        <v/>
      </c>
      <c r="D6062" t="str">
        <f t="shared" si="471"/>
        <v/>
      </c>
      <c r="E6062" t="str">
        <f t="shared" si="472"/>
        <v/>
      </c>
      <c r="F6062" t="str">
        <f>IF(D6062="","",INDEX(Knutepunkter!$B:$B,D6062+1))</f>
        <v/>
      </c>
      <c r="G6062" t="str">
        <f>IF(D6062="","",INDEX(Knutepunkter!$C:$C,D6062+1))</f>
        <v/>
      </c>
      <c r="H6062" t="str">
        <f>IF(D6062="","",INDEX(Knutepunkter!$D:$D,D6062+1))</f>
        <v/>
      </c>
      <c r="I6062" t="str">
        <f>IF(E6062="","",INDEX(Knutepunkter!$B:$B,E6062+1))</f>
        <v/>
      </c>
      <c r="J6062" t="str">
        <f>IF(E6062="","",INDEX(Knutepunkter!$C:$C,E6062+1))</f>
        <v/>
      </c>
      <c r="K6062" t="str">
        <f>IF(E6062="","",INDEX(Knutepunkter!$D:$D,E6062+1))</f>
        <v/>
      </c>
      <c r="L6062" t="str">
        <f t="shared" si="473"/>
        <v/>
      </c>
      <c r="M6062" t="str">
        <f t="shared" si="474"/>
        <v/>
      </c>
    </row>
    <row r="6063" spans="1:13" x14ac:dyDescent="0.3">
      <c r="A6063" t="str">
        <f>Segmenter!A6063</f>
        <v/>
      </c>
      <c r="B6063" t="str">
        <f>Segmenter!B6063</f>
        <v/>
      </c>
      <c r="C6063" t="str">
        <f t="shared" si="470"/>
        <v/>
      </c>
      <c r="D6063" t="str">
        <f t="shared" si="471"/>
        <v/>
      </c>
      <c r="E6063" t="str">
        <f t="shared" si="472"/>
        <v/>
      </c>
      <c r="F6063" t="str">
        <f>IF(D6063="","",INDEX(Knutepunkter!$B:$B,D6063+1))</f>
        <v/>
      </c>
      <c r="G6063" t="str">
        <f>IF(D6063="","",INDEX(Knutepunkter!$C:$C,D6063+1))</f>
        <v/>
      </c>
      <c r="H6063" t="str">
        <f>IF(D6063="","",INDEX(Knutepunkter!$D:$D,D6063+1))</f>
        <v/>
      </c>
      <c r="I6063" t="str">
        <f>IF(E6063="","",INDEX(Knutepunkter!$B:$B,E6063+1))</f>
        <v/>
      </c>
      <c r="J6063" t="str">
        <f>IF(E6063="","",INDEX(Knutepunkter!$C:$C,E6063+1))</f>
        <v/>
      </c>
      <c r="K6063" t="str">
        <f>IF(E6063="","",INDEX(Knutepunkter!$D:$D,E6063+1))</f>
        <v/>
      </c>
      <c r="L6063" t="str">
        <f t="shared" si="473"/>
        <v/>
      </c>
      <c r="M6063" t="str">
        <f t="shared" si="474"/>
        <v/>
      </c>
    </row>
    <row r="6064" spans="1:13" x14ac:dyDescent="0.3">
      <c r="A6064" t="str">
        <f>Segmenter!A6064</f>
        <v/>
      </c>
      <c r="B6064" t="str">
        <f>Segmenter!B6064</f>
        <v/>
      </c>
      <c r="C6064" t="str">
        <f t="shared" si="470"/>
        <v/>
      </c>
      <c r="D6064" t="str">
        <f t="shared" si="471"/>
        <v/>
      </c>
      <c r="E6064" t="str">
        <f t="shared" si="472"/>
        <v/>
      </c>
      <c r="F6064" t="str">
        <f>IF(D6064="","",INDEX(Knutepunkter!$B:$B,D6064+1))</f>
        <v/>
      </c>
      <c r="G6064" t="str">
        <f>IF(D6064="","",INDEX(Knutepunkter!$C:$C,D6064+1))</f>
        <v/>
      </c>
      <c r="H6064" t="str">
        <f>IF(D6064="","",INDEX(Knutepunkter!$D:$D,D6064+1))</f>
        <v/>
      </c>
      <c r="I6064" t="str">
        <f>IF(E6064="","",INDEX(Knutepunkter!$B:$B,E6064+1))</f>
        <v/>
      </c>
      <c r="J6064" t="str">
        <f>IF(E6064="","",INDEX(Knutepunkter!$C:$C,E6064+1))</f>
        <v/>
      </c>
      <c r="K6064" t="str">
        <f>IF(E6064="","",INDEX(Knutepunkter!$D:$D,E6064+1))</f>
        <v/>
      </c>
      <c r="L6064" t="str">
        <f t="shared" si="473"/>
        <v/>
      </c>
      <c r="M6064" t="str">
        <f t="shared" si="474"/>
        <v/>
      </c>
    </row>
    <row r="6065" spans="1:13" x14ac:dyDescent="0.3">
      <c r="A6065" t="str">
        <f>Segmenter!A6065</f>
        <v/>
      </c>
      <c r="B6065" t="str">
        <f>Segmenter!B6065</f>
        <v/>
      </c>
      <c r="C6065" t="str">
        <f t="shared" si="470"/>
        <v/>
      </c>
      <c r="D6065" t="str">
        <f t="shared" si="471"/>
        <v/>
      </c>
      <c r="E6065" t="str">
        <f t="shared" si="472"/>
        <v/>
      </c>
      <c r="F6065" t="str">
        <f>IF(D6065="","",INDEX(Knutepunkter!$B:$B,D6065+1))</f>
        <v/>
      </c>
      <c r="G6065" t="str">
        <f>IF(D6065="","",INDEX(Knutepunkter!$C:$C,D6065+1))</f>
        <v/>
      </c>
      <c r="H6065" t="str">
        <f>IF(D6065="","",INDEX(Knutepunkter!$D:$D,D6065+1))</f>
        <v/>
      </c>
      <c r="I6065" t="str">
        <f>IF(E6065="","",INDEX(Knutepunkter!$B:$B,E6065+1))</f>
        <v/>
      </c>
      <c r="J6065" t="str">
        <f>IF(E6065="","",INDEX(Knutepunkter!$C:$C,E6065+1))</f>
        <v/>
      </c>
      <c r="K6065" t="str">
        <f>IF(E6065="","",INDEX(Knutepunkter!$D:$D,E6065+1))</f>
        <v/>
      </c>
      <c r="L6065" t="str">
        <f t="shared" si="473"/>
        <v/>
      </c>
      <c r="M6065" t="str">
        <f t="shared" si="474"/>
        <v/>
      </c>
    </row>
    <row r="6066" spans="1:13" x14ac:dyDescent="0.3">
      <c r="A6066" t="str">
        <f>Segmenter!A6066</f>
        <v/>
      </c>
      <c r="B6066" t="str">
        <f>Segmenter!B6066</f>
        <v/>
      </c>
      <c r="C6066" t="str">
        <f t="shared" si="470"/>
        <v/>
      </c>
      <c r="D6066" t="str">
        <f t="shared" si="471"/>
        <v/>
      </c>
      <c r="E6066" t="str">
        <f t="shared" si="472"/>
        <v/>
      </c>
      <c r="F6066" t="str">
        <f>IF(D6066="","",INDEX(Knutepunkter!$B:$B,D6066+1))</f>
        <v/>
      </c>
      <c r="G6066" t="str">
        <f>IF(D6066="","",INDEX(Knutepunkter!$C:$C,D6066+1))</f>
        <v/>
      </c>
      <c r="H6066" t="str">
        <f>IF(D6066="","",INDEX(Knutepunkter!$D:$D,D6066+1))</f>
        <v/>
      </c>
      <c r="I6066" t="str">
        <f>IF(E6066="","",INDEX(Knutepunkter!$B:$B,E6066+1))</f>
        <v/>
      </c>
      <c r="J6066" t="str">
        <f>IF(E6066="","",INDEX(Knutepunkter!$C:$C,E6066+1))</f>
        <v/>
      </c>
      <c r="K6066" t="str">
        <f>IF(E6066="","",INDEX(Knutepunkter!$D:$D,E6066+1))</f>
        <v/>
      </c>
      <c r="L6066" t="str">
        <f t="shared" si="473"/>
        <v/>
      </c>
      <c r="M6066" t="str">
        <f t="shared" si="474"/>
        <v/>
      </c>
    </row>
    <row r="6067" spans="1:13" x14ac:dyDescent="0.3">
      <c r="A6067" t="str">
        <f>Segmenter!A6067</f>
        <v/>
      </c>
      <c r="B6067" t="str">
        <f>Segmenter!B6067</f>
        <v/>
      </c>
      <c r="C6067" t="str">
        <f t="shared" si="470"/>
        <v/>
      </c>
      <c r="D6067" t="str">
        <f t="shared" si="471"/>
        <v/>
      </c>
      <c r="E6067" t="str">
        <f t="shared" si="472"/>
        <v/>
      </c>
      <c r="F6067" t="str">
        <f>IF(D6067="","",INDEX(Knutepunkter!$B:$B,D6067+1))</f>
        <v/>
      </c>
      <c r="G6067" t="str">
        <f>IF(D6067="","",INDEX(Knutepunkter!$C:$C,D6067+1))</f>
        <v/>
      </c>
      <c r="H6067" t="str">
        <f>IF(D6067="","",INDEX(Knutepunkter!$D:$D,D6067+1))</f>
        <v/>
      </c>
      <c r="I6067" t="str">
        <f>IF(E6067="","",INDEX(Knutepunkter!$B:$B,E6067+1))</f>
        <v/>
      </c>
      <c r="J6067" t="str">
        <f>IF(E6067="","",INDEX(Knutepunkter!$C:$C,E6067+1))</f>
        <v/>
      </c>
      <c r="K6067" t="str">
        <f>IF(E6067="","",INDEX(Knutepunkter!$D:$D,E6067+1))</f>
        <v/>
      </c>
      <c r="L6067" t="str">
        <f t="shared" si="473"/>
        <v/>
      </c>
      <c r="M6067" t="str">
        <f t="shared" si="474"/>
        <v/>
      </c>
    </row>
    <row r="6068" spans="1:13" x14ac:dyDescent="0.3">
      <c r="A6068" t="str">
        <f>Segmenter!A6068</f>
        <v/>
      </c>
      <c r="B6068" t="str">
        <f>Segmenter!B6068</f>
        <v/>
      </c>
      <c r="C6068" t="str">
        <f t="shared" si="470"/>
        <v/>
      </c>
      <c r="D6068" t="str">
        <f t="shared" si="471"/>
        <v/>
      </c>
      <c r="E6068" t="str">
        <f t="shared" si="472"/>
        <v/>
      </c>
      <c r="F6068" t="str">
        <f>IF(D6068="","",INDEX(Knutepunkter!$B:$B,D6068+1))</f>
        <v/>
      </c>
      <c r="G6068" t="str">
        <f>IF(D6068="","",INDEX(Knutepunkter!$C:$C,D6068+1))</f>
        <v/>
      </c>
      <c r="H6068" t="str">
        <f>IF(D6068="","",INDEX(Knutepunkter!$D:$D,D6068+1))</f>
        <v/>
      </c>
      <c r="I6068" t="str">
        <f>IF(E6068="","",INDEX(Knutepunkter!$B:$B,E6068+1))</f>
        <v/>
      </c>
      <c r="J6068" t="str">
        <f>IF(E6068="","",INDEX(Knutepunkter!$C:$C,E6068+1))</f>
        <v/>
      </c>
      <c r="K6068" t="str">
        <f>IF(E6068="","",INDEX(Knutepunkter!$D:$D,E6068+1))</f>
        <v/>
      </c>
      <c r="L6068" t="str">
        <f t="shared" si="473"/>
        <v/>
      </c>
      <c r="M6068" t="str">
        <f t="shared" si="474"/>
        <v/>
      </c>
    </row>
    <row r="6069" spans="1:13" x14ac:dyDescent="0.3">
      <c r="A6069" t="str">
        <f>Segmenter!A6069</f>
        <v/>
      </c>
      <c r="B6069" t="str">
        <f>Segmenter!B6069</f>
        <v/>
      </c>
      <c r="C6069" t="str">
        <f t="shared" si="470"/>
        <v/>
      </c>
      <c r="D6069" t="str">
        <f t="shared" si="471"/>
        <v/>
      </c>
      <c r="E6069" t="str">
        <f t="shared" si="472"/>
        <v/>
      </c>
      <c r="F6069" t="str">
        <f>IF(D6069="","",INDEX(Knutepunkter!$B:$B,D6069+1))</f>
        <v/>
      </c>
      <c r="G6069" t="str">
        <f>IF(D6069="","",INDEX(Knutepunkter!$C:$C,D6069+1))</f>
        <v/>
      </c>
      <c r="H6069" t="str">
        <f>IF(D6069="","",INDEX(Knutepunkter!$D:$D,D6069+1))</f>
        <v/>
      </c>
      <c r="I6069" t="str">
        <f>IF(E6069="","",INDEX(Knutepunkter!$B:$B,E6069+1))</f>
        <v/>
      </c>
      <c r="J6069" t="str">
        <f>IF(E6069="","",INDEX(Knutepunkter!$C:$C,E6069+1))</f>
        <v/>
      </c>
      <c r="K6069" t="str">
        <f>IF(E6069="","",INDEX(Knutepunkter!$D:$D,E6069+1))</f>
        <v/>
      </c>
      <c r="L6069" t="str">
        <f t="shared" si="473"/>
        <v/>
      </c>
      <c r="M6069" t="str">
        <f t="shared" si="474"/>
        <v/>
      </c>
    </row>
    <row r="6070" spans="1:13" x14ac:dyDescent="0.3">
      <c r="A6070" t="str">
        <f>Segmenter!A6070</f>
        <v/>
      </c>
      <c r="B6070" t="str">
        <f>Segmenter!B6070</f>
        <v/>
      </c>
      <c r="C6070" t="str">
        <f t="shared" si="470"/>
        <v/>
      </c>
      <c r="D6070" t="str">
        <f t="shared" si="471"/>
        <v/>
      </c>
      <c r="E6070" t="str">
        <f t="shared" si="472"/>
        <v/>
      </c>
      <c r="F6070" t="str">
        <f>IF(D6070="","",INDEX(Knutepunkter!$B:$B,D6070+1))</f>
        <v/>
      </c>
      <c r="G6070" t="str">
        <f>IF(D6070="","",INDEX(Knutepunkter!$C:$C,D6070+1))</f>
        <v/>
      </c>
      <c r="H6070" t="str">
        <f>IF(D6070="","",INDEX(Knutepunkter!$D:$D,D6070+1))</f>
        <v/>
      </c>
      <c r="I6070" t="str">
        <f>IF(E6070="","",INDEX(Knutepunkter!$B:$B,E6070+1))</f>
        <v/>
      </c>
      <c r="J6070" t="str">
        <f>IF(E6070="","",INDEX(Knutepunkter!$C:$C,E6070+1))</f>
        <v/>
      </c>
      <c r="K6070" t="str">
        <f>IF(E6070="","",INDEX(Knutepunkter!$D:$D,E6070+1))</f>
        <v/>
      </c>
      <c r="L6070" t="str">
        <f t="shared" si="473"/>
        <v/>
      </c>
      <c r="M6070" t="str">
        <f t="shared" si="474"/>
        <v/>
      </c>
    </row>
    <row r="6071" spans="1:13" x14ac:dyDescent="0.3">
      <c r="A6071" t="str">
        <f>Segmenter!A6071</f>
        <v/>
      </c>
      <c r="B6071" t="str">
        <f>Segmenter!B6071</f>
        <v/>
      </c>
      <c r="C6071" t="str">
        <f t="shared" si="470"/>
        <v/>
      </c>
      <c r="D6071" t="str">
        <f t="shared" si="471"/>
        <v/>
      </c>
      <c r="E6071" t="str">
        <f t="shared" si="472"/>
        <v/>
      </c>
      <c r="F6071" t="str">
        <f>IF(D6071="","",INDEX(Knutepunkter!$B:$B,D6071+1))</f>
        <v/>
      </c>
      <c r="G6071" t="str">
        <f>IF(D6071="","",INDEX(Knutepunkter!$C:$C,D6071+1))</f>
        <v/>
      </c>
      <c r="H6071" t="str">
        <f>IF(D6071="","",INDEX(Knutepunkter!$D:$D,D6071+1))</f>
        <v/>
      </c>
      <c r="I6071" t="str">
        <f>IF(E6071="","",INDEX(Knutepunkter!$B:$B,E6071+1))</f>
        <v/>
      </c>
      <c r="J6071" t="str">
        <f>IF(E6071="","",INDEX(Knutepunkter!$C:$C,E6071+1))</f>
        <v/>
      </c>
      <c r="K6071" t="str">
        <f>IF(E6071="","",INDEX(Knutepunkter!$D:$D,E6071+1))</f>
        <v/>
      </c>
      <c r="L6071" t="str">
        <f t="shared" si="473"/>
        <v/>
      </c>
      <c r="M6071" t="str">
        <f t="shared" si="474"/>
        <v/>
      </c>
    </row>
    <row r="6072" spans="1:13" x14ac:dyDescent="0.3">
      <c r="A6072" t="str">
        <f>Segmenter!A6072</f>
        <v/>
      </c>
      <c r="B6072" t="str">
        <f>Segmenter!B6072</f>
        <v/>
      </c>
      <c r="C6072" t="str">
        <f t="shared" si="470"/>
        <v/>
      </c>
      <c r="D6072" t="str">
        <f t="shared" si="471"/>
        <v/>
      </c>
      <c r="E6072" t="str">
        <f t="shared" si="472"/>
        <v/>
      </c>
      <c r="F6072" t="str">
        <f>IF(D6072="","",INDEX(Knutepunkter!$B:$B,D6072+1))</f>
        <v/>
      </c>
      <c r="G6072" t="str">
        <f>IF(D6072="","",INDEX(Knutepunkter!$C:$C,D6072+1))</f>
        <v/>
      </c>
      <c r="H6072" t="str">
        <f>IF(D6072="","",INDEX(Knutepunkter!$D:$D,D6072+1))</f>
        <v/>
      </c>
      <c r="I6072" t="str">
        <f>IF(E6072="","",INDEX(Knutepunkter!$B:$B,E6072+1))</f>
        <v/>
      </c>
      <c r="J6072" t="str">
        <f>IF(E6072="","",INDEX(Knutepunkter!$C:$C,E6072+1))</f>
        <v/>
      </c>
      <c r="K6072" t="str">
        <f>IF(E6072="","",INDEX(Knutepunkter!$D:$D,E6072+1))</f>
        <v/>
      </c>
      <c r="L6072" t="str">
        <f t="shared" si="473"/>
        <v/>
      </c>
      <c r="M6072" t="str">
        <f t="shared" si="474"/>
        <v/>
      </c>
    </row>
    <row r="6073" spans="1:13" x14ac:dyDescent="0.3">
      <c r="A6073" t="str">
        <f>Segmenter!A6073</f>
        <v/>
      </c>
      <c r="B6073" t="str">
        <f>Segmenter!B6073</f>
        <v/>
      </c>
      <c r="C6073" t="str">
        <f t="shared" si="470"/>
        <v/>
      </c>
      <c r="D6073" t="str">
        <f t="shared" si="471"/>
        <v/>
      </c>
      <c r="E6073" t="str">
        <f t="shared" si="472"/>
        <v/>
      </c>
      <c r="F6073" t="str">
        <f>IF(D6073="","",INDEX(Knutepunkter!$B:$B,D6073+1))</f>
        <v/>
      </c>
      <c r="G6073" t="str">
        <f>IF(D6073="","",INDEX(Knutepunkter!$C:$C,D6073+1))</f>
        <v/>
      </c>
      <c r="H6073" t="str">
        <f>IF(D6073="","",INDEX(Knutepunkter!$D:$D,D6073+1))</f>
        <v/>
      </c>
      <c r="I6073" t="str">
        <f>IF(E6073="","",INDEX(Knutepunkter!$B:$B,E6073+1))</f>
        <v/>
      </c>
      <c r="J6073" t="str">
        <f>IF(E6073="","",INDEX(Knutepunkter!$C:$C,E6073+1))</f>
        <v/>
      </c>
      <c r="K6073" t="str">
        <f>IF(E6073="","",INDEX(Knutepunkter!$D:$D,E6073+1))</f>
        <v/>
      </c>
      <c r="L6073" t="str">
        <f t="shared" si="473"/>
        <v/>
      </c>
      <c r="M6073" t="str">
        <f t="shared" si="474"/>
        <v/>
      </c>
    </row>
    <row r="6074" spans="1:13" x14ac:dyDescent="0.3">
      <c r="A6074" t="str">
        <f>Segmenter!A6074</f>
        <v/>
      </c>
      <c r="B6074" t="str">
        <f>Segmenter!B6074</f>
        <v/>
      </c>
      <c r="C6074" t="str">
        <f t="shared" si="470"/>
        <v/>
      </c>
      <c r="D6074" t="str">
        <f t="shared" si="471"/>
        <v/>
      </c>
      <c r="E6074" t="str">
        <f t="shared" si="472"/>
        <v/>
      </c>
      <c r="F6074" t="str">
        <f>IF(D6074="","",INDEX(Knutepunkter!$B:$B,D6074+1))</f>
        <v/>
      </c>
      <c r="G6074" t="str">
        <f>IF(D6074="","",INDEX(Knutepunkter!$C:$C,D6074+1))</f>
        <v/>
      </c>
      <c r="H6074" t="str">
        <f>IF(D6074="","",INDEX(Knutepunkter!$D:$D,D6074+1))</f>
        <v/>
      </c>
      <c r="I6074" t="str">
        <f>IF(E6074="","",INDEX(Knutepunkter!$B:$B,E6074+1))</f>
        <v/>
      </c>
      <c r="J6074" t="str">
        <f>IF(E6074="","",INDEX(Knutepunkter!$C:$C,E6074+1))</f>
        <v/>
      </c>
      <c r="K6074" t="str">
        <f>IF(E6074="","",INDEX(Knutepunkter!$D:$D,E6074+1))</f>
        <v/>
      </c>
      <c r="L6074" t="str">
        <f t="shared" si="473"/>
        <v/>
      </c>
      <c r="M6074" t="str">
        <f t="shared" si="474"/>
        <v/>
      </c>
    </row>
    <row r="6075" spans="1:13" x14ac:dyDescent="0.3">
      <c r="A6075" t="str">
        <f>Segmenter!A6075</f>
        <v/>
      </c>
      <c r="B6075" t="str">
        <f>Segmenter!B6075</f>
        <v/>
      </c>
      <c r="C6075" t="str">
        <f t="shared" si="470"/>
        <v/>
      </c>
      <c r="D6075" t="str">
        <f t="shared" si="471"/>
        <v/>
      </c>
      <c r="E6075" t="str">
        <f t="shared" si="472"/>
        <v/>
      </c>
      <c r="F6075" t="str">
        <f>IF(D6075="","",INDEX(Knutepunkter!$B:$B,D6075+1))</f>
        <v/>
      </c>
      <c r="G6075" t="str">
        <f>IF(D6075="","",INDEX(Knutepunkter!$C:$C,D6075+1))</f>
        <v/>
      </c>
      <c r="H6075" t="str">
        <f>IF(D6075="","",INDEX(Knutepunkter!$D:$D,D6075+1))</f>
        <v/>
      </c>
      <c r="I6075" t="str">
        <f>IF(E6075="","",INDEX(Knutepunkter!$B:$B,E6075+1))</f>
        <v/>
      </c>
      <c r="J6075" t="str">
        <f>IF(E6075="","",INDEX(Knutepunkter!$C:$C,E6075+1))</f>
        <v/>
      </c>
      <c r="K6075" t="str">
        <f>IF(E6075="","",INDEX(Knutepunkter!$D:$D,E6075+1))</f>
        <v/>
      </c>
      <c r="L6075" t="str">
        <f t="shared" si="473"/>
        <v/>
      </c>
      <c r="M6075" t="str">
        <f t="shared" si="474"/>
        <v/>
      </c>
    </row>
    <row r="6076" spans="1:13" x14ac:dyDescent="0.3">
      <c r="A6076" t="str">
        <f>Segmenter!A6076</f>
        <v/>
      </c>
      <c r="B6076" t="str">
        <f>Segmenter!B6076</f>
        <v/>
      </c>
      <c r="C6076" t="str">
        <f t="shared" si="470"/>
        <v/>
      </c>
      <c r="D6076" t="str">
        <f t="shared" si="471"/>
        <v/>
      </c>
      <c r="E6076" t="str">
        <f t="shared" si="472"/>
        <v/>
      </c>
      <c r="F6076" t="str">
        <f>IF(D6076="","",INDEX(Knutepunkter!$B:$B,D6076+1))</f>
        <v/>
      </c>
      <c r="G6076" t="str">
        <f>IF(D6076="","",INDEX(Knutepunkter!$C:$C,D6076+1))</f>
        <v/>
      </c>
      <c r="H6076" t="str">
        <f>IF(D6076="","",INDEX(Knutepunkter!$D:$D,D6076+1))</f>
        <v/>
      </c>
      <c r="I6076" t="str">
        <f>IF(E6076="","",INDEX(Knutepunkter!$B:$B,E6076+1))</f>
        <v/>
      </c>
      <c r="J6076" t="str">
        <f>IF(E6076="","",INDEX(Knutepunkter!$C:$C,E6076+1))</f>
        <v/>
      </c>
      <c r="K6076" t="str">
        <f>IF(E6076="","",INDEX(Knutepunkter!$D:$D,E6076+1))</f>
        <v/>
      </c>
      <c r="L6076" t="str">
        <f t="shared" si="473"/>
        <v/>
      </c>
      <c r="M6076" t="str">
        <f t="shared" si="474"/>
        <v/>
      </c>
    </row>
    <row r="6077" spans="1:13" x14ac:dyDescent="0.3">
      <c r="A6077" t="str">
        <f>Segmenter!A6077</f>
        <v/>
      </c>
      <c r="B6077" t="str">
        <f>Segmenter!B6077</f>
        <v/>
      </c>
      <c r="C6077" t="str">
        <f t="shared" si="470"/>
        <v/>
      </c>
      <c r="D6077" t="str">
        <f t="shared" si="471"/>
        <v/>
      </c>
      <c r="E6077" t="str">
        <f t="shared" si="472"/>
        <v/>
      </c>
      <c r="F6077" t="str">
        <f>IF(D6077="","",INDEX(Knutepunkter!$B:$B,D6077+1))</f>
        <v/>
      </c>
      <c r="G6077" t="str">
        <f>IF(D6077="","",INDEX(Knutepunkter!$C:$C,D6077+1))</f>
        <v/>
      </c>
      <c r="H6077" t="str">
        <f>IF(D6077="","",INDEX(Knutepunkter!$D:$D,D6077+1))</f>
        <v/>
      </c>
      <c r="I6077" t="str">
        <f>IF(E6077="","",INDEX(Knutepunkter!$B:$B,E6077+1))</f>
        <v/>
      </c>
      <c r="J6077" t="str">
        <f>IF(E6077="","",INDEX(Knutepunkter!$C:$C,E6077+1))</f>
        <v/>
      </c>
      <c r="K6077" t="str">
        <f>IF(E6077="","",INDEX(Knutepunkter!$D:$D,E6077+1))</f>
        <v/>
      </c>
      <c r="L6077" t="str">
        <f t="shared" si="473"/>
        <v/>
      </c>
      <c r="M6077" t="str">
        <f t="shared" si="474"/>
        <v/>
      </c>
    </row>
    <row r="6078" spans="1:13" x14ac:dyDescent="0.3">
      <c r="A6078" t="str">
        <f>Segmenter!A6078</f>
        <v/>
      </c>
      <c r="B6078" t="str">
        <f>Segmenter!B6078</f>
        <v/>
      </c>
      <c r="C6078" t="str">
        <f t="shared" si="470"/>
        <v/>
      </c>
      <c r="D6078" t="str">
        <f t="shared" si="471"/>
        <v/>
      </c>
      <c r="E6078" t="str">
        <f t="shared" si="472"/>
        <v/>
      </c>
      <c r="F6078" t="str">
        <f>IF(D6078="","",INDEX(Knutepunkter!$B:$B,D6078+1))</f>
        <v/>
      </c>
      <c r="G6078" t="str">
        <f>IF(D6078="","",INDEX(Knutepunkter!$C:$C,D6078+1))</f>
        <v/>
      </c>
      <c r="H6078" t="str">
        <f>IF(D6078="","",INDEX(Knutepunkter!$D:$D,D6078+1))</f>
        <v/>
      </c>
      <c r="I6078" t="str">
        <f>IF(E6078="","",INDEX(Knutepunkter!$B:$B,E6078+1))</f>
        <v/>
      </c>
      <c r="J6078" t="str">
        <f>IF(E6078="","",INDEX(Knutepunkter!$C:$C,E6078+1))</f>
        <v/>
      </c>
      <c r="K6078" t="str">
        <f>IF(E6078="","",INDEX(Knutepunkter!$D:$D,E6078+1))</f>
        <v/>
      </c>
      <c r="L6078" t="str">
        <f t="shared" si="473"/>
        <v/>
      </c>
      <c r="M6078" t="str">
        <f t="shared" si="474"/>
        <v/>
      </c>
    </row>
    <row r="6079" spans="1:13" x14ac:dyDescent="0.3">
      <c r="A6079" t="str">
        <f>Segmenter!A6079</f>
        <v/>
      </c>
      <c r="B6079" t="str">
        <f>Segmenter!B6079</f>
        <v/>
      </c>
      <c r="C6079" t="str">
        <f t="shared" si="470"/>
        <v/>
      </c>
      <c r="D6079" t="str">
        <f t="shared" si="471"/>
        <v/>
      </c>
      <c r="E6079" t="str">
        <f t="shared" si="472"/>
        <v/>
      </c>
      <c r="F6079" t="str">
        <f>IF(D6079="","",INDEX(Knutepunkter!$B:$B,D6079+1))</f>
        <v/>
      </c>
      <c r="G6079" t="str">
        <f>IF(D6079="","",INDEX(Knutepunkter!$C:$C,D6079+1))</f>
        <v/>
      </c>
      <c r="H6079" t="str">
        <f>IF(D6079="","",INDEX(Knutepunkter!$D:$D,D6079+1))</f>
        <v/>
      </c>
      <c r="I6079" t="str">
        <f>IF(E6079="","",INDEX(Knutepunkter!$B:$B,E6079+1))</f>
        <v/>
      </c>
      <c r="J6079" t="str">
        <f>IF(E6079="","",INDEX(Knutepunkter!$C:$C,E6079+1))</f>
        <v/>
      </c>
      <c r="K6079" t="str">
        <f>IF(E6079="","",INDEX(Knutepunkter!$D:$D,E6079+1))</f>
        <v/>
      </c>
      <c r="L6079" t="str">
        <f t="shared" si="473"/>
        <v/>
      </c>
      <c r="M6079" t="str">
        <f t="shared" si="474"/>
        <v/>
      </c>
    </row>
    <row r="6080" spans="1:13" x14ac:dyDescent="0.3">
      <c r="A6080" t="str">
        <f>Segmenter!A6080</f>
        <v/>
      </c>
      <c r="B6080" t="str">
        <f>Segmenter!B6080</f>
        <v/>
      </c>
      <c r="C6080" t="str">
        <f t="shared" si="470"/>
        <v/>
      </c>
      <c r="D6080" t="str">
        <f t="shared" si="471"/>
        <v/>
      </c>
      <c r="E6080" t="str">
        <f t="shared" si="472"/>
        <v/>
      </c>
      <c r="F6080" t="str">
        <f>IF(D6080="","",INDEX(Knutepunkter!$B:$B,D6080+1))</f>
        <v/>
      </c>
      <c r="G6080" t="str">
        <f>IF(D6080="","",INDEX(Knutepunkter!$C:$C,D6080+1))</f>
        <v/>
      </c>
      <c r="H6080" t="str">
        <f>IF(D6080="","",INDEX(Knutepunkter!$D:$D,D6080+1))</f>
        <v/>
      </c>
      <c r="I6080" t="str">
        <f>IF(E6080="","",INDEX(Knutepunkter!$B:$B,E6080+1))</f>
        <v/>
      </c>
      <c r="J6080" t="str">
        <f>IF(E6080="","",INDEX(Knutepunkter!$C:$C,E6080+1))</f>
        <v/>
      </c>
      <c r="K6080" t="str">
        <f>IF(E6080="","",INDEX(Knutepunkter!$D:$D,E6080+1))</f>
        <v/>
      </c>
      <c r="L6080" t="str">
        <f t="shared" si="473"/>
        <v/>
      </c>
      <c r="M6080" t="str">
        <f t="shared" si="474"/>
        <v/>
      </c>
    </row>
    <row r="6081" spans="1:13" x14ac:dyDescent="0.3">
      <c r="A6081" t="str">
        <f>Segmenter!A6081</f>
        <v/>
      </c>
      <c r="B6081" t="str">
        <f>Segmenter!B6081</f>
        <v/>
      </c>
      <c r="C6081" t="str">
        <f t="shared" si="470"/>
        <v/>
      </c>
      <c r="D6081" t="str">
        <f t="shared" si="471"/>
        <v/>
      </c>
      <c r="E6081" t="str">
        <f t="shared" si="472"/>
        <v/>
      </c>
      <c r="F6081" t="str">
        <f>IF(D6081="","",INDEX(Knutepunkter!$B:$B,D6081+1))</f>
        <v/>
      </c>
      <c r="G6081" t="str">
        <f>IF(D6081="","",INDEX(Knutepunkter!$C:$C,D6081+1))</f>
        <v/>
      </c>
      <c r="H6081" t="str">
        <f>IF(D6081="","",INDEX(Knutepunkter!$D:$D,D6081+1))</f>
        <v/>
      </c>
      <c r="I6081" t="str">
        <f>IF(E6081="","",INDEX(Knutepunkter!$B:$B,E6081+1))</f>
        <v/>
      </c>
      <c r="J6081" t="str">
        <f>IF(E6081="","",INDEX(Knutepunkter!$C:$C,E6081+1))</f>
        <v/>
      </c>
      <c r="K6081" t="str">
        <f>IF(E6081="","",INDEX(Knutepunkter!$D:$D,E6081+1))</f>
        <v/>
      </c>
      <c r="L6081" t="str">
        <f t="shared" si="473"/>
        <v/>
      </c>
      <c r="M6081" t="str">
        <f t="shared" si="474"/>
        <v/>
      </c>
    </row>
    <row r="6082" spans="1:13" x14ac:dyDescent="0.3">
      <c r="A6082" t="str">
        <f>Segmenter!A6082</f>
        <v/>
      </c>
      <c r="B6082" t="str">
        <f>Segmenter!B6082</f>
        <v/>
      </c>
      <c r="C6082" t="str">
        <f t="shared" ref="C6082:C6145" si="475">IF(B6082="","",IF(AND(F6082=I6082,G6082=J6082,H6082&lt;&gt;K6082),"Søyle","Bjelke"))</f>
        <v/>
      </c>
      <c r="D6082" t="str">
        <f t="shared" ref="D6082:D6145" si="476">IF(B6082="","",VALUE(LEFT(B6082,FIND(" -&gt; ",B6082)-1)))</f>
        <v/>
      </c>
      <c r="E6082" t="str">
        <f t="shared" ref="E6082:E6145" si="477">IF(B6082="","",VALUE(MID(B6082,FIND(" -&gt; ",B6082)+4,99)))</f>
        <v/>
      </c>
      <c r="F6082" t="str">
        <f>IF(D6082="","",INDEX(Knutepunkter!$B:$B,D6082+1))</f>
        <v/>
      </c>
      <c r="G6082" t="str">
        <f>IF(D6082="","",INDEX(Knutepunkter!$C:$C,D6082+1))</f>
        <v/>
      </c>
      <c r="H6082" t="str">
        <f>IF(D6082="","",INDEX(Knutepunkter!$D:$D,D6082+1))</f>
        <v/>
      </c>
      <c r="I6082" t="str">
        <f>IF(E6082="","",INDEX(Knutepunkter!$B:$B,E6082+1))</f>
        <v/>
      </c>
      <c r="J6082" t="str">
        <f>IF(E6082="","",INDEX(Knutepunkter!$C:$C,E6082+1))</f>
        <v/>
      </c>
      <c r="K6082" t="str">
        <f>IF(E6082="","",INDEX(Knutepunkter!$D:$D,E6082+1))</f>
        <v/>
      </c>
      <c r="L6082" t="str">
        <f t="shared" ref="L6082:L6145" si="478">IF(B6082="","",SQRT((I6082-F6082)^2+(J6082-G6082)^2+(K6082-H6082)^2))</f>
        <v/>
      </c>
      <c r="M6082" t="str">
        <f t="shared" ref="M6082:M6145" si="479">IF(L6082="","",L6082/1000)</f>
        <v/>
      </c>
    </row>
    <row r="6083" spans="1:13" x14ac:dyDescent="0.3">
      <c r="A6083" t="str">
        <f>Segmenter!A6083</f>
        <v/>
      </c>
      <c r="B6083" t="str">
        <f>Segmenter!B6083</f>
        <v/>
      </c>
      <c r="C6083" t="str">
        <f t="shared" si="475"/>
        <v/>
      </c>
      <c r="D6083" t="str">
        <f t="shared" si="476"/>
        <v/>
      </c>
      <c r="E6083" t="str">
        <f t="shared" si="477"/>
        <v/>
      </c>
      <c r="F6083" t="str">
        <f>IF(D6083="","",INDEX(Knutepunkter!$B:$B,D6083+1))</f>
        <v/>
      </c>
      <c r="G6083" t="str">
        <f>IF(D6083="","",INDEX(Knutepunkter!$C:$C,D6083+1))</f>
        <v/>
      </c>
      <c r="H6083" t="str">
        <f>IF(D6083="","",INDEX(Knutepunkter!$D:$D,D6083+1))</f>
        <v/>
      </c>
      <c r="I6083" t="str">
        <f>IF(E6083="","",INDEX(Knutepunkter!$B:$B,E6083+1))</f>
        <v/>
      </c>
      <c r="J6083" t="str">
        <f>IF(E6083="","",INDEX(Knutepunkter!$C:$C,E6083+1))</f>
        <v/>
      </c>
      <c r="K6083" t="str">
        <f>IF(E6083="","",INDEX(Knutepunkter!$D:$D,E6083+1))</f>
        <v/>
      </c>
      <c r="L6083" t="str">
        <f t="shared" si="478"/>
        <v/>
      </c>
      <c r="M6083" t="str">
        <f t="shared" si="479"/>
        <v/>
      </c>
    </row>
    <row r="6084" spans="1:13" x14ac:dyDescent="0.3">
      <c r="A6084" t="str">
        <f>Segmenter!A6084</f>
        <v/>
      </c>
      <c r="B6084" t="str">
        <f>Segmenter!B6084</f>
        <v/>
      </c>
      <c r="C6084" t="str">
        <f t="shared" si="475"/>
        <v/>
      </c>
      <c r="D6084" t="str">
        <f t="shared" si="476"/>
        <v/>
      </c>
      <c r="E6084" t="str">
        <f t="shared" si="477"/>
        <v/>
      </c>
      <c r="F6084" t="str">
        <f>IF(D6084="","",INDEX(Knutepunkter!$B:$B,D6084+1))</f>
        <v/>
      </c>
      <c r="G6084" t="str">
        <f>IF(D6084="","",INDEX(Knutepunkter!$C:$C,D6084+1))</f>
        <v/>
      </c>
      <c r="H6084" t="str">
        <f>IF(D6084="","",INDEX(Knutepunkter!$D:$D,D6084+1))</f>
        <v/>
      </c>
      <c r="I6084" t="str">
        <f>IF(E6084="","",INDEX(Knutepunkter!$B:$B,E6084+1))</f>
        <v/>
      </c>
      <c r="J6084" t="str">
        <f>IF(E6084="","",INDEX(Knutepunkter!$C:$C,E6084+1))</f>
        <v/>
      </c>
      <c r="K6084" t="str">
        <f>IF(E6084="","",INDEX(Knutepunkter!$D:$D,E6084+1))</f>
        <v/>
      </c>
      <c r="L6084" t="str">
        <f t="shared" si="478"/>
        <v/>
      </c>
      <c r="M6084" t="str">
        <f t="shared" si="479"/>
        <v/>
      </c>
    </row>
    <row r="6085" spans="1:13" x14ac:dyDescent="0.3">
      <c r="A6085" t="str">
        <f>Segmenter!A6085</f>
        <v/>
      </c>
      <c r="B6085" t="str">
        <f>Segmenter!B6085</f>
        <v/>
      </c>
      <c r="C6085" t="str">
        <f t="shared" si="475"/>
        <v/>
      </c>
      <c r="D6085" t="str">
        <f t="shared" si="476"/>
        <v/>
      </c>
      <c r="E6085" t="str">
        <f t="shared" si="477"/>
        <v/>
      </c>
      <c r="F6085" t="str">
        <f>IF(D6085="","",INDEX(Knutepunkter!$B:$B,D6085+1))</f>
        <v/>
      </c>
      <c r="G6085" t="str">
        <f>IF(D6085="","",INDEX(Knutepunkter!$C:$C,D6085+1))</f>
        <v/>
      </c>
      <c r="H6085" t="str">
        <f>IF(D6085="","",INDEX(Knutepunkter!$D:$D,D6085+1))</f>
        <v/>
      </c>
      <c r="I6085" t="str">
        <f>IF(E6085="","",INDEX(Knutepunkter!$B:$B,E6085+1))</f>
        <v/>
      </c>
      <c r="J6085" t="str">
        <f>IF(E6085="","",INDEX(Knutepunkter!$C:$C,E6085+1))</f>
        <v/>
      </c>
      <c r="K6085" t="str">
        <f>IF(E6085="","",INDEX(Knutepunkter!$D:$D,E6085+1))</f>
        <v/>
      </c>
      <c r="L6085" t="str">
        <f t="shared" si="478"/>
        <v/>
      </c>
      <c r="M6085" t="str">
        <f t="shared" si="479"/>
        <v/>
      </c>
    </row>
    <row r="6086" spans="1:13" x14ac:dyDescent="0.3">
      <c r="A6086" t="str">
        <f>Segmenter!A6086</f>
        <v/>
      </c>
      <c r="B6086" t="str">
        <f>Segmenter!B6086</f>
        <v/>
      </c>
      <c r="C6086" t="str">
        <f t="shared" si="475"/>
        <v/>
      </c>
      <c r="D6086" t="str">
        <f t="shared" si="476"/>
        <v/>
      </c>
      <c r="E6086" t="str">
        <f t="shared" si="477"/>
        <v/>
      </c>
      <c r="F6086" t="str">
        <f>IF(D6086="","",INDEX(Knutepunkter!$B:$B,D6086+1))</f>
        <v/>
      </c>
      <c r="G6086" t="str">
        <f>IF(D6086="","",INDEX(Knutepunkter!$C:$C,D6086+1))</f>
        <v/>
      </c>
      <c r="H6086" t="str">
        <f>IF(D6086="","",INDEX(Knutepunkter!$D:$D,D6086+1))</f>
        <v/>
      </c>
      <c r="I6086" t="str">
        <f>IF(E6086="","",INDEX(Knutepunkter!$B:$B,E6086+1))</f>
        <v/>
      </c>
      <c r="J6086" t="str">
        <f>IF(E6086="","",INDEX(Knutepunkter!$C:$C,E6086+1))</f>
        <v/>
      </c>
      <c r="K6086" t="str">
        <f>IF(E6086="","",INDEX(Knutepunkter!$D:$D,E6086+1))</f>
        <v/>
      </c>
      <c r="L6086" t="str">
        <f t="shared" si="478"/>
        <v/>
      </c>
      <c r="M6086" t="str">
        <f t="shared" si="479"/>
        <v/>
      </c>
    </row>
    <row r="6087" spans="1:13" x14ac:dyDescent="0.3">
      <c r="A6087" t="str">
        <f>Segmenter!A6087</f>
        <v/>
      </c>
      <c r="B6087" t="str">
        <f>Segmenter!B6087</f>
        <v/>
      </c>
      <c r="C6087" t="str">
        <f t="shared" si="475"/>
        <v/>
      </c>
      <c r="D6087" t="str">
        <f t="shared" si="476"/>
        <v/>
      </c>
      <c r="E6087" t="str">
        <f t="shared" si="477"/>
        <v/>
      </c>
      <c r="F6087" t="str">
        <f>IF(D6087="","",INDEX(Knutepunkter!$B:$B,D6087+1))</f>
        <v/>
      </c>
      <c r="G6087" t="str">
        <f>IF(D6087="","",INDEX(Knutepunkter!$C:$C,D6087+1))</f>
        <v/>
      </c>
      <c r="H6087" t="str">
        <f>IF(D6087="","",INDEX(Knutepunkter!$D:$D,D6087+1))</f>
        <v/>
      </c>
      <c r="I6087" t="str">
        <f>IF(E6087="","",INDEX(Knutepunkter!$B:$B,E6087+1))</f>
        <v/>
      </c>
      <c r="J6087" t="str">
        <f>IF(E6087="","",INDEX(Knutepunkter!$C:$C,E6087+1))</f>
        <v/>
      </c>
      <c r="K6087" t="str">
        <f>IF(E6087="","",INDEX(Knutepunkter!$D:$D,E6087+1))</f>
        <v/>
      </c>
      <c r="L6087" t="str">
        <f t="shared" si="478"/>
        <v/>
      </c>
      <c r="M6087" t="str">
        <f t="shared" si="479"/>
        <v/>
      </c>
    </row>
    <row r="6088" spans="1:13" x14ac:dyDescent="0.3">
      <c r="A6088" t="str">
        <f>Segmenter!A6088</f>
        <v/>
      </c>
      <c r="B6088" t="str">
        <f>Segmenter!B6088</f>
        <v/>
      </c>
      <c r="C6088" t="str">
        <f t="shared" si="475"/>
        <v/>
      </c>
      <c r="D6088" t="str">
        <f t="shared" si="476"/>
        <v/>
      </c>
      <c r="E6088" t="str">
        <f t="shared" si="477"/>
        <v/>
      </c>
      <c r="F6088" t="str">
        <f>IF(D6088="","",INDEX(Knutepunkter!$B:$B,D6088+1))</f>
        <v/>
      </c>
      <c r="G6088" t="str">
        <f>IF(D6088="","",INDEX(Knutepunkter!$C:$C,D6088+1))</f>
        <v/>
      </c>
      <c r="H6088" t="str">
        <f>IF(D6088="","",INDEX(Knutepunkter!$D:$D,D6088+1))</f>
        <v/>
      </c>
      <c r="I6088" t="str">
        <f>IF(E6088="","",INDEX(Knutepunkter!$B:$B,E6088+1))</f>
        <v/>
      </c>
      <c r="J6088" t="str">
        <f>IF(E6088="","",INDEX(Knutepunkter!$C:$C,E6088+1))</f>
        <v/>
      </c>
      <c r="K6088" t="str">
        <f>IF(E6088="","",INDEX(Knutepunkter!$D:$D,E6088+1))</f>
        <v/>
      </c>
      <c r="L6088" t="str">
        <f t="shared" si="478"/>
        <v/>
      </c>
      <c r="M6088" t="str">
        <f t="shared" si="479"/>
        <v/>
      </c>
    </row>
    <row r="6089" spans="1:13" x14ac:dyDescent="0.3">
      <c r="A6089" t="str">
        <f>Segmenter!A6089</f>
        <v/>
      </c>
      <c r="B6089" t="str">
        <f>Segmenter!B6089</f>
        <v/>
      </c>
      <c r="C6089" t="str">
        <f t="shared" si="475"/>
        <v/>
      </c>
      <c r="D6089" t="str">
        <f t="shared" si="476"/>
        <v/>
      </c>
      <c r="E6089" t="str">
        <f t="shared" si="477"/>
        <v/>
      </c>
      <c r="F6089" t="str">
        <f>IF(D6089="","",INDEX(Knutepunkter!$B:$B,D6089+1))</f>
        <v/>
      </c>
      <c r="G6089" t="str">
        <f>IF(D6089="","",INDEX(Knutepunkter!$C:$C,D6089+1))</f>
        <v/>
      </c>
      <c r="H6089" t="str">
        <f>IF(D6089="","",INDEX(Knutepunkter!$D:$D,D6089+1))</f>
        <v/>
      </c>
      <c r="I6089" t="str">
        <f>IF(E6089="","",INDEX(Knutepunkter!$B:$B,E6089+1))</f>
        <v/>
      </c>
      <c r="J6089" t="str">
        <f>IF(E6089="","",INDEX(Knutepunkter!$C:$C,E6089+1))</f>
        <v/>
      </c>
      <c r="K6089" t="str">
        <f>IF(E6089="","",INDEX(Knutepunkter!$D:$D,E6089+1))</f>
        <v/>
      </c>
      <c r="L6089" t="str">
        <f t="shared" si="478"/>
        <v/>
      </c>
      <c r="M6089" t="str">
        <f t="shared" si="479"/>
        <v/>
      </c>
    </row>
    <row r="6090" spans="1:13" x14ac:dyDescent="0.3">
      <c r="A6090" t="str">
        <f>Segmenter!A6090</f>
        <v/>
      </c>
      <c r="B6090" t="str">
        <f>Segmenter!B6090</f>
        <v/>
      </c>
      <c r="C6090" t="str">
        <f t="shared" si="475"/>
        <v/>
      </c>
      <c r="D6090" t="str">
        <f t="shared" si="476"/>
        <v/>
      </c>
      <c r="E6090" t="str">
        <f t="shared" si="477"/>
        <v/>
      </c>
      <c r="F6090" t="str">
        <f>IF(D6090="","",INDEX(Knutepunkter!$B:$B,D6090+1))</f>
        <v/>
      </c>
      <c r="G6090" t="str">
        <f>IF(D6090="","",INDEX(Knutepunkter!$C:$C,D6090+1))</f>
        <v/>
      </c>
      <c r="H6090" t="str">
        <f>IF(D6090="","",INDEX(Knutepunkter!$D:$D,D6090+1))</f>
        <v/>
      </c>
      <c r="I6090" t="str">
        <f>IF(E6090="","",INDEX(Knutepunkter!$B:$B,E6090+1))</f>
        <v/>
      </c>
      <c r="J6090" t="str">
        <f>IF(E6090="","",INDEX(Knutepunkter!$C:$C,E6090+1))</f>
        <v/>
      </c>
      <c r="K6090" t="str">
        <f>IF(E6090="","",INDEX(Knutepunkter!$D:$D,E6090+1))</f>
        <v/>
      </c>
      <c r="L6090" t="str">
        <f t="shared" si="478"/>
        <v/>
      </c>
      <c r="M6090" t="str">
        <f t="shared" si="479"/>
        <v/>
      </c>
    </row>
    <row r="6091" spans="1:13" x14ac:dyDescent="0.3">
      <c r="A6091" t="str">
        <f>Segmenter!A6091</f>
        <v/>
      </c>
      <c r="B6091" t="str">
        <f>Segmenter!B6091</f>
        <v/>
      </c>
      <c r="C6091" t="str">
        <f t="shared" si="475"/>
        <v/>
      </c>
      <c r="D6091" t="str">
        <f t="shared" si="476"/>
        <v/>
      </c>
      <c r="E6091" t="str">
        <f t="shared" si="477"/>
        <v/>
      </c>
      <c r="F6091" t="str">
        <f>IF(D6091="","",INDEX(Knutepunkter!$B:$B,D6091+1))</f>
        <v/>
      </c>
      <c r="G6091" t="str">
        <f>IF(D6091="","",INDEX(Knutepunkter!$C:$C,D6091+1))</f>
        <v/>
      </c>
      <c r="H6091" t="str">
        <f>IF(D6091="","",INDEX(Knutepunkter!$D:$D,D6091+1))</f>
        <v/>
      </c>
      <c r="I6091" t="str">
        <f>IF(E6091="","",INDEX(Knutepunkter!$B:$B,E6091+1))</f>
        <v/>
      </c>
      <c r="J6091" t="str">
        <f>IF(E6091="","",INDEX(Knutepunkter!$C:$C,E6091+1))</f>
        <v/>
      </c>
      <c r="K6091" t="str">
        <f>IF(E6091="","",INDEX(Knutepunkter!$D:$D,E6091+1))</f>
        <v/>
      </c>
      <c r="L6091" t="str">
        <f t="shared" si="478"/>
        <v/>
      </c>
      <c r="M6091" t="str">
        <f t="shared" si="479"/>
        <v/>
      </c>
    </row>
    <row r="6092" spans="1:13" x14ac:dyDescent="0.3">
      <c r="A6092" t="str">
        <f>Segmenter!A6092</f>
        <v/>
      </c>
      <c r="B6092" t="str">
        <f>Segmenter!B6092</f>
        <v/>
      </c>
      <c r="C6092" t="str">
        <f t="shared" si="475"/>
        <v/>
      </c>
      <c r="D6092" t="str">
        <f t="shared" si="476"/>
        <v/>
      </c>
      <c r="E6092" t="str">
        <f t="shared" si="477"/>
        <v/>
      </c>
      <c r="F6092" t="str">
        <f>IF(D6092="","",INDEX(Knutepunkter!$B:$B,D6092+1))</f>
        <v/>
      </c>
      <c r="G6092" t="str">
        <f>IF(D6092="","",INDEX(Knutepunkter!$C:$C,D6092+1))</f>
        <v/>
      </c>
      <c r="H6092" t="str">
        <f>IF(D6092="","",INDEX(Knutepunkter!$D:$D,D6092+1))</f>
        <v/>
      </c>
      <c r="I6092" t="str">
        <f>IF(E6092="","",INDEX(Knutepunkter!$B:$B,E6092+1))</f>
        <v/>
      </c>
      <c r="J6092" t="str">
        <f>IF(E6092="","",INDEX(Knutepunkter!$C:$C,E6092+1))</f>
        <v/>
      </c>
      <c r="K6092" t="str">
        <f>IF(E6092="","",INDEX(Knutepunkter!$D:$D,E6092+1))</f>
        <v/>
      </c>
      <c r="L6092" t="str">
        <f t="shared" si="478"/>
        <v/>
      </c>
      <c r="M6092" t="str">
        <f t="shared" si="479"/>
        <v/>
      </c>
    </row>
    <row r="6093" spans="1:13" x14ac:dyDescent="0.3">
      <c r="A6093" t="str">
        <f>Segmenter!A6093</f>
        <v/>
      </c>
      <c r="B6093" t="str">
        <f>Segmenter!B6093</f>
        <v/>
      </c>
      <c r="C6093" t="str">
        <f t="shared" si="475"/>
        <v/>
      </c>
      <c r="D6093" t="str">
        <f t="shared" si="476"/>
        <v/>
      </c>
      <c r="E6093" t="str">
        <f t="shared" si="477"/>
        <v/>
      </c>
      <c r="F6093" t="str">
        <f>IF(D6093="","",INDEX(Knutepunkter!$B:$B,D6093+1))</f>
        <v/>
      </c>
      <c r="G6093" t="str">
        <f>IF(D6093="","",INDEX(Knutepunkter!$C:$C,D6093+1))</f>
        <v/>
      </c>
      <c r="H6093" t="str">
        <f>IF(D6093="","",INDEX(Knutepunkter!$D:$D,D6093+1))</f>
        <v/>
      </c>
      <c r="I6093" t="str">
        <f>IF(E6093="","",INDEX(Knutepunkter!$B:$B,E6093+1))</f>
        <v/>
      </c>
      <c r="J6093" t="str">
        <f>IF(E6093="","",INDEX(Knutepunkter!$C:$C,E6093+1))</f>
        <v/>
      </c>
      <c r="K6093" t="str">
        <f>IF(E6093="","",INDEX(Knutepunkter!$D:$D,E6093+1))</f>
        <v/>
      </c>
      <c r="L6093" t="str">
        <f t="shared" si="478"/>
        <v/>
      </c>
      <c r="M6093" t="str">
        <f t="shared" si="479"/>
        <v/>
      </c>
    </row>
    <row r="6094" spans="1:13" x14ac:dyDescent="0.3">
      <c r="A6094" t="str">
        <f>Segmenter!A6094</f>
        <v/>
      </c>
      <c r="B6094" t="str">
        <f>Segmenter!B6094</f>
        <v/>
      </c>
      <c r="C6094" t="str">
        <f t="shared" si="475"/>
        <v/>
      </c>
      <c r="D6094" t="str">
        <f t="shared" si="476"/>
        <v/>
      </c>
      <c r="E6094" t="str">
        <f t="shared" si="477"/>
        <v/>
      </c>
      <c r="F6094" t="str">
        <f>IF(D6094="","",INDEX(Knutepunkter!$B:$B,D6094+1))</f>
        <v/>
      </c>
      <c r="G6094" t="str">
        <f>IF(D6094="","",INDEX(Knutepunkter!$C:$C,D6094+1))</f>
        <v/>
      </c>
      <c r="H6094" t="str">
        <f>IF(D6094="","",INDEX(Knutepunkter!$D:$D,D6094+1))</f>
        <v/>
      </c>
      <c r="I6094" t="str">
        <f>IF(E6094="","",INDEX(Knutepunkter!$B:$B,E6094+1))</f>
        <v/>
      </c>
      <c r="J6094" t="str">
        <f>IF(E6094="","",INDEX(Knutepunkter!$C:$C,E6094+1))</f>
        <v/>
      </c>
      <c r="K6094" t="str">
        <f>IF(E6094="","",INDEX(Knutepunkter!$D:$D,E6094+1))</f>
        <v/>
      </c>
      <c r="L6094" t="str">
        <f t="shared" si="478"/>
        <v/>
      </c>
      <c r="M6094" t="str">
        <f t="shared" si="479"/>
        <v/>
      </c>
    </row>
    <row r="6095" spans="1:13" x14ac:dyDescent="0.3">
      <c r="A6095" t="str">
        <f>Segmenter!A6095</f>
        <v/>
      </c>
      <c r="B6095" t="str">
        <f>Segmenter!B6095</f>
        <v/>
      </c>
      <c r="C6095" t="str">
        <f t="shared" si="475"/>
        <v/>
      </c>
      <c r="D6095" t="str">
        <f t="shared" si="476"/>
        <v/>
      </c>
      <c r="E6095" t="str">
        <f t="shared" si="477"/>
        <v/>
      </c>
      <c r="F6095" t="str">
        <f>IF(D6095="","",INDEX(Knutepunkter!$B:$B,D6095+1))</f>
        <v/>
      </c>
      <c r="G6095" t="str">
        <f>IF(D6095="","",INDEX(Knutepunkter!$C:$C,D6095+1))</f>
        <v/>
      </c>
      <c r="H6095" t="str">
        <f>IF(D6095="","",INDEX(Knutepunkter!$D:$D,D6095+1))</f>
        <v/>
      </c>
      <c r="I6095" t="str">
        <f>IF(E6095="","",INDEX(Knutepunkter!$B:$B,E6095+1))</f>
        <v/>
      </c>
      <c r="J6095" t="str">
        <f>IF(E6095="","",INDEX(Knutepunkter!$C:$C,E6095+1))</f>
        <v/>
      </c>
      <c r="K6095" t="str">
        <f>IF(E6095="","",INDEX(Knutepunkter!$D:$D,E6095+1))</f>
        <v/>
      </c>
      <c r="L6095" t="str">
        <f t="shared" si="478"/>
        <v/>
      </c>
      <c r="M6095" t="str">
        <f t="shared" si="479"/>
        <v/>
      </c>
    </row>
    <row r="6096" spans="1:13" x14ac:dyDescent="0.3">
      <c r="A6096" t="str">
        <f>Segmenter!A6096</f>
        <v/>
      </c>
      <c r="B6096" t="str">
        <f>Segmenter!B6096</f>
        <v/>
      </c>
      <c r="C6096" t="str">
        <f t="shared" si="475"/>
        <v/>
      </c>
      <c r="D6096" t="str">
        <f t="shared" si="476"/>
        <v/>
      </c>
      <c r="E6096" t="str">
        <f t="shared" si="477"/>
        <v/>
      </c>
      <c r="F6096" t="str">
        <f>IF(D6096="","",INDEX(Knutepunkter!$B:$B,D6096+1))</f>
        <v/>
      </c>
      <c r="G6096" t="str">
        <f>IF(D6096="","",INDEX(Knutepunkter!$C:$C,D6096+1))</f>
        <v/>
      </c>
      <c r="H6096" t="str">
        <f>IF(D6096="","",INDEX(Knutepunkter!$D:$D,D6096+1))</f>
        <v/>
      </c>
      <c r="I6096" t="str">
        <f>IF(E6096="","",INDEX(Knutepunkter!$B:$B,E6096+1))</f>
        <v/>
      </c>
      <c r="J6096" t="str">
        <f>IF(E6096="","",INDEX(Knutepunkter!$C:$C,E6096+1))</f>
        <v/>
      </c>
      <c r="K6096" t="str">
        <f>IF(E6096="","",INDEX(Knutepunkter!$D:$D,E6096+1))</f>
        <v/>
      </c>
      <c r="L6096" t="str">
        <f t="shared" si="478"/>
        <v/>
      </c>
      <c r="M6096" t="str">
        <f t="shared" si="479"/>
        <v/>
      </c>
    </row>
    <row r="6097" spans="1:13" x14ac:dyDescent="0.3">
      <c r="A6097" t="str">
        <f>Segmenter!A6097</f>
        <v/>
      </c>
      <c r="B6097" t="str">
        <f>Segmenter!B6097</f>
        <v/>
      </c>
      <c r="C6097" t="str">
        <f t="shared" si="475"/>
        <v/>
      </c>
      <c r="D6097" t="str">
        <f t="shared" si="476"/>
        <v/>
      </c>
      <c r="E6097" t="str">
        <f t="shared" si="477"/>
        <v/>
      </c>
      <c r="F6097" t="str">
        <f>IF(D6097="","",INDEX(Knutepunkter!$B:$B,D6097+1))</f>
        <v/>
      </c>
      <c r="G6097" t="str">
        <f>IF(D6097="","",INDEX(Knutepunkter!$C:$C,D6097+1))</f>
        <v/>
      </c>
      <c r="H6097" t="str">
        <f>IF(D6097="","",INDEX(Knutepunkter!$D:$D,D6097+1))</f>
        <v/>
      </c>
      <c r="I6097" t="str">
        <f>IF(E6097="","",INDEX(Knutepunkter!$B:$B,E6097+1))</f>
        <v/>
      </c>
      <c r="J6097" t="str">
        <f>IF(E6097="","",INDEX(Knutepunkter!$C:$C,E6097+1))</f>
        <v/>
      </c>
      <c r="K6097" t="str">
        <f>IF(E6097="","",INDEX(Knutepunkter!$D:$D,E6097+1))</f>
        <v/>
      </c>
      <c r="L6097" t="str">
        <f t="shared" si="478"/>
        <v/>
      </c>
      <c r="M6097" t="str">
        <f t="shared" si="479"/>
        <v/>
      </c>
    </row>
    <row r="6098" spans="1:13" x14ac:dyDescent="0.3">
      <c r="A6098" t="str">
        <f>Segmenter!A6098</f>
        <v/>
      </c>
      <c r="B6098" t="str">
        <f>Segmenter!B6098</f>
        <v/>
      </c>
      <c r="C6098" t="str">
        <f t="shared" si="475"/>
        <v/>
      </c>
      <c r="D6098" t="str">
        <f t="shared" si="476"/>
        <v/>
      </c>
      <c r="E6098" t="str">
        <f t="shared" si="477"/>
        <v/>
      </c>
      <c r="F6098" t="str">
        <f>IF(D6098="","",INDEX(Knutepunkter!$B:$B,D6098+1))</f>
        <v/>
      </c>
      <c r="G6098" t="str">
        <f>IF(D6098="","",INDEX(Knutepunkter!$C:$C,D6098+1))</f>
        <v/>
      </c>
      <c r="H6098" t="str">
        <f>IF(D6098="","",INDEX(Knutepunkter!$D:$D,D6098+1))</f>
        <v/>
      </c>
      <c r="I6098" t="str">
        <f>IF(E6098="","",INDEX(Knutepunkter!$B:$B,E6098+1))</f>
        <v/>
      </c>
      <c r="J6098" t="str">
        <f>IF(E6098="","",INDEX(Knutepunkter!$C:$C,E6098+1))</f>
        <v/>
      </c>
      <c r="K6098" t="str">
        <f>IF(E6098="","",INDEX(Knutepunkter!$D:$D,E6098+1))</f>
        <v/>
      </c>
      <c r="L6098" t="str">
        <f t="shared" si="478"/>
        <v/>
      </c>
      <c r="M6098" t="str">
        <f t="shared" si="479"/>
        <v/>
      </c>
    </row>
    <row r="6099" spans="1:13" x14ac:dyDescent="0.3">
      <c r="A6099" t="str">
        <f>Segmenter!A6099</f>
        <v/>
      </c>
      <c r="B6099" t="str">
        <f>Segmenter!B6099</f>
        <v/>
      </c>
      <c r="C6099" t="str">
        <f t="shared" si="475"/>
        <v/>
      </c>
      <c r="D6099" t="str">
        <f t="shared" si="476"/>
        <v/>
      </c>
      <c r="E6099" t="str">
        <f t="shared" si="477"/>
        <v/>
      </c>
      <c r="F6099" t="str">
        <f>IF(D6099="","",INDEX(Knutepunkter!$B:$B,D6099+1))</f>
        <v/>
      </c>
      <c r="G6099" t="str">
        <f>IF(D6099="","",INDEX(Knutepunkter!$C:$C,D6099+1))</f>
        <v/>
      </c>
      <c r="H6099" t="str">
        <f>IF(D6099="","",INDEX(Knutepunkter!$D:$D,D6099+1))</f>
        <v/>
      </c>
      <c r="I6099" t="str">
        <f>IF(E6099="","",INDEX(Knutepunkter!$B:$B,E6099+1))</f>
        <v/>
      </c>
      <c r="J6099" t="str">
        <f>IF(E6099="","",INDEX(Knutepunkter!$C:$C,E6099+1))</f>
        <v/>
      </c>
      <c r="K6099" t="str">
        <f>IF(E6099="","",INDEX(Knutepunkter!$D:$D,E6099+1))</f>
        <v/>
      </c>
      <c r="L6099" t="str">
        <f t="shared" si="478"/>
        <v/>
      </c>
      <c r="M6099" t="str">
        <f t="shared" si="479"/>
        <v/>
      </c>
    </row>
    <row r="6100" spans="1:13" x14ac:dyDescent="0.3">
      <c r="A6100" t="str">
        <f>Segmenter!A6100</f>
        <v/>
      </c>
      <c r="B6100" t="str">
        <f>Segmenter!B6100</f>
        <v/>
      </c>
      <c r="C6100" t="str">
        <f t="shared" si="475"/>
        <v/>
      </c>
      <c r="D6100" t="str">
        <f t="shared" si="476"/>
        <v/>
      </c>
      <c r="E6100" t="str">
        <f t="shared" si="477"/>
        <v/>
      </c>
      <c r="F6100" t="str">
        <f>IF(D6100="","",INDEX(Knutepunkter!$B:$B,D6100+1))</f>
        <v/>
      </c>
      <c r="G6100" t="str">
        <f>IF(D6100="","",INDEX(Knutepunkter!$C:$C,D6100+1))</f>
        <v/>
      </c>
      <c r="H6100" t="str">
        <f>IF(D6100="","",INDEX(Knutepunkter!$D:$D,D6100+1))</f>
        <v/>
      </c>
      <c r="I6100" t="str">
        <f>IF(E6100="","",INDEX(Knutepunkter!$B:$B,E6100+1))</f>
        <v/>
      </c>
      <c r="J6100" t="str">
        <f>IF(E6100="","",INDEX(Knutepunkter!$C:$C,E6100+1))</f>
        <v/>
      </c>
      <c r="K6100" t="str">
        <f>IF(E6100="","",INDEX(Knutepunkter!$D:$D,E6100+1))</f>
        <v/>
      </c>
      <c r="L6100" t="str">
        <f t="shared" si="478"/>
        <v/>
      </c>
      <c r="M6100" t="str">
        <f t="shared" si="479"/>
        <v/>
      </c>
    </row>
    <row r="6101" spans="1:13" x14ac:dyDescent="0.3">
      <c r="A6101" t="str">
        <f>Segmenter!A6101</f>
        <v/>
      </c>
      <c r="B6101" t="str">
        <f>Segmenter!B6101</f>
        <v/>
      </c>
      <c r="C6101" t="str">
        <f t="shared" si="475"/>
        <v/>
      </c>
      <c r="D6101" t="str">
        <f t="shared" si="476"/>
        <v/>
      </c>
      <c r="E6101" t="str">
        <f t="shared" si="477"/>
        <v/>
      </c>
      <c r="F6101" t="str">
        <f>IF(D6101="","",INDEX(Knutepunkter!$B:$B,D6101+1))</f>
        <v/>
      </c>
      <c r="G6101" t="str">
        <f>IF(D6101="","",INDEX(Knutepunkter!$C:$C,D6101+1))</f>
        <v/>
      </c>
      <c r="H6101" t="str">
        <f>IF(D6101="","",INDEX(Knutepunkter!$D:$D,D6101+1))</f>
        <v/>
      </c>
      <c r="I6101" t="str">
        <f>IF(E6101="","",INDEX(Knutepunkter!$B:$B,E6101+1))</f>
        <v/>
      </c>
      <c r="J6101" t="str">
        <f>IF(E6101="","",INDEX(Knutepunkter!$C:$C,E6101+1))</f>
        <v/>
      </c>
      <c r="K6101" t="str">
        <f>IF(E6101="","",INDEX(Knutepunkter!$D:$D,E6101+1))</f>
        <v/>
      </c>
      <c r="L6101" t="str">
        <f t="shared" si="478"/>
        <v/>
      </c>
      <c r="M6101" t="str">
        <f t="shared" si="479"/>
        <v/>
      </c>
    </row>
    <row r="6102" spans="1:13" x14ac:dyDescent="0.3">
      <c r="A6102" t="str">
        <f>Segmenter!A6102</f>
        <v/>
      </c>
      <c r="B6102" t="str">
        <f>Segmenter!B6102</f>
        <v/>
      </c>
      <c r="C6102" t="str">
        <f t="shared" si="475"/>
        <v/>
      </c>
      <c r="D6102" t="str">
        <f t="shared" si="476"/>
        <v/>
      </c>
      <c r="E6102" t="str">
        <f t="shared" si="477"/>
        <v/>
      </c>
      <c r="F6102" t="str">
        <f>IF(D6102="","",INDEX(Knutepunkter!$B:$B,D6102+1))</f>
        <v/>
      </c>
      <c r="G6102" t="str">
        <f>IF(D6102="","",INDEX(Knutepunkter!$C:$C,D6102+1))</f>
        <v/>
      </c>
      <c r="H6102" t="str">
        <f>IF(D6102="","",INDEX(Knutepunkter!$D:$D,D6102+1))</f>
        <v/>
      </c>
      <c r="I6102" t="str">
        <f>IF(E6102="","",INDEX(Knutepunkter!$B:$B,E6102+1))</f>
        <v/>
      </c>
      <c r="J6102" t="str">
        <f>IF(E6102="","",INDEX(Knutepunkter!$C:$C,E6102+1))</f>
        <v/>
      </c>
      <c r="K6102" t="str">
        <f>IF(E6102="","",INDEX(Knutepunkter!$D:$D,E6102+1))</f>
        <v/>
      </c>
      <c r="L6102" t="str">
        <f t="shared" si="478"/>
        <v/>
      </c>
      <c r="M6102" t="str">
        <f t="shared" si="479"/>
        <v/>
      </c>
    </row>
    <row r="6103" spans="1:13" x14ac:dyDescent="0.3">
      <c r="A6103" t="str">
        <f>Segmenter!A6103</f>
        <v/>
      </c>
      <c r="B6103" t="str">
        <f>Segmenter!B6103</f>
        <v/>
      </c>
      <c r="C6103" t="str">
        <f t="shared" si="475"/>
        <v/>
      </c>
      <c r="D6103" t="str">
        <f t="shared" si="476"/>
        <v/>
      </c>
      <c r="E6103" t="str">
        <f t="shared" si="477"/>
        <v/>
      </c>
      <c r="F6103" t="str">
        <f>IF(D6103="","",INDEX(Knutepunkter!$B:$B,D6103+1))</f>
        <v/>
      </c>
      <c r="G6103" t="str">
        <f>IF(D6103="","",INDEX(Knutepunkter!$C:$C,D6103+1))</f>
        <v/>
      </c>
      <c r="H6103" t="str">
        <f>IF(D6103="","",INDEX(Knutepunkter!$D:$D,D6103+1))</f>
        <v/>
      </c>
      <c r="I6103" t="str">
        <f>IF(E6103="","",INDEX(Knutepunkter!$B:$B,E6103+1))</f>
        <v/>
      </c>
      <c r="J6103" t="str">
        <f>IF(E6103="","",INDEX(Knutepunkter!$C:$C,E6103+1))</f>
        <v/>
      </c>
      <c r="K6103" t="str">
        <f>IF(E6103="","",INDEX(Knutepunkter!$D:$D,E6103+1))</f>
        <v/>
      </c>
      <c r="L6103" t="str">
        <f t="shared" si="478"/>
        <v/>
      </c>
      <c r="M6103" t="str">
        <f t="shared" si="479"/>
        <v/>
      </c>
    </row>
    <row r="6104" spans="1:13" x14ac:dyDescent="0.3">
      <c r="A6104" t="str">
        <f>Segmenter!A6104</f>
        <v/>
      </c>
      <c r="B6104" t="str">
        <f>Segmenter!B6104</f>
        <v/>
      </c>
      <c r="C6104" t="str">
        <f t="shared" si="475"/>
        <v/>
      </c>
      <c r="D6104" t="str">
        <f t="shared" si="476"/>
        <v/>
      </c>
      <c r="E6104" t="str">
        <f t="shared" si="477"/>
        <v/>
      </c>
      <c r="F6104" t="str">
        <f>IF(D6104="","",INDEX(Knutepunkter!$B:$B,D6104+1))</f>
        <v/>
      </c>
      <c r="G6104" t="str">
        <f>IF(D6104="","",INDEX(Knutepunkter!$C:$C,D6104+1))</f>
        <v/>
      </c>
      <c r="H6104" t="str">
        <f>IF(D6104="","",INDEX(Knutepunkter!$D:$D,D6104+1))</f>
        <v/>
      </c>
      <c r="I6104" t="str">
        <f>IF(E6104="","",INDEX(Knutepunkter!$B:$B,E6104+1))</f>
        <v/>
      </c>
      <c r="J6104" t="str">
        <f>IF(E6104="","",INDEX(Knutepunkter!$C:$C,E6104+1))</f>
        <v/>
      </c>
      <c r="K6104" t="str">
        <f>IF(E6104="","",INDEX(Knutepunkter!$D:$D,E6104+1))</f>
        <v/>
      </c>
      <c r="L6104" t="str">
        <f t="shared" si="478"/>
        <v/>
      </c>
      <c r="M6104" t="str">
        <f t="shared" si="479"/>
        <v/>
      </c>
    </row>
    <row r="6105" spans="1:13" x14ac:dyDescent="0.3">
      <c r="A6105" t="str">
        <f>Segmenter!A6105</f>
        <v/>
      </c>
      <c r="B6105" t="str">
        <f>Segmenter!B6105</f>
        <v/>
      </c>
      <c r="C6105" t="str">
        <f t="shared" si="475"/>
        <v/>
      </c>
      <c r="D6105" t="str">
        <f t="shared" si="476"/>
        <v/>
      </c>
      <c r="E6105" t="str">
        <f t="shared" si="477"/>
        <v/>
      </c>
      <c r="F6105" t="str">
        <f>IF(D6105="","",INDEX(Knutepunkter!$B:$B,D6105+1))</f>
        <v/>
      </c>
      <c r="G6105" t="str">
        <f>IF(D6105="","",INDEX(Knutepunkter!$C:$C,D6105+1))</f>
        <v/>
      </c>
      <c r="H6105" t="str">
        <f>IF(D6105="","",INDEX(Knutepunkter!$D:$D,D6105+1))</f>
        <v/>
      </c>
      <c r="I6105" t="str">
        <f>IF(E6105="","",INDEX(Knutepunkter!$B:$B,E6105+1))</f>
        <v/>
      </c>
      <c r="J6105" t="str">
        <f>IF(E6105="","",INDEX(Knutepunkter!$C:$C,E6105+1))</f>
        <v/>
      </c>
      <c r="K6105" t="str">
        <f>IF(E6105="","",INDEX(Knutepunkter!$D:$D,E6105+1))</f>
        <v/>
      </c>
      <c r="L6105" t="str">
        <f t="shared" si="478"/>
        <v/>
      </c>
      <c r="M6105" t="str">
        <f t="shared" si="479"/>
        <v/>
      </c>
    </row>
    <row r="6106" spans="1:13" x14ac:dyDescent="0.3">
      <c r="A6106" t="str">
        <f>Segmenter!A6106</f>
        <v/>
      </c>
      <c r="B6106" t="str">
        <f>Segmenter!B6106</f>
        <v/>
      </c>
      <c r="C6106" t="str">
        <f t="shared" si="475"/>
        <v/>
      </c>
      <c r="D6106" t="str">
        <f t="shared" si="476"/>
        <v/>
      </c>
      <c r="E6106" t="str">
        <f t="shared" si="477"/>
        <v/>
      </c>
      <c r="F6106" t="str">
        <f>IF(D6106="","",INDEX(Knutepunkter!$B:$B,D6106+1))</f>
        <v/>
      </c>
      <c r="G6106" t="str">
        <f>IF(D6106="","",INDEX(Knutepunkter!$C:$C,D6106+1))</f>
        <v/>
      </c>
      <c r="H6106" t="str">
        <f>IF(D6106="","",INDEX(Knutepunkter!$D:$D,D6106+1))</f>
        <v/>
      </c>
      <c r="I6106" t="str">
        <f>IF(E6106="","",INDEX(Knutepunkter!$B:$B,E6106+1))</f>
        <v/>
      </c>
      <c r="J6106" t="str">
        <f>IF(E6106="","",INDEX(Knutepunkter!$C:$C,E6106+1))</f>
        <v/>
      </c>
      <c r="K6106" t="str">
        <f>IF(E6106="","",INDEX(Knutepunkter!$D:$D,E6106+1))</f>
        <v/>
      </c>
      <c r="L6106" t="str">
        <f t="shared" si="478"/>
        <v/>
      </c>
      <c r="M6106" t="str">
        <f t="shared" si="479"/>
        <v/>
      </c>
    </row>
    <row r="6107" spans="1:13" x14ac:dyDescent="0.3">
      <c r="A6107" t="str">
        <f>Segmenter!A6107</f>
        <v/>
      </c>
      <c r="B6107" t="str">
        <f>Segmenter!B6107</f>
        <v/>
      </c>
      <c r="C6107" t="str">
        <f t="shared" si="475"/>
        <v/>
      </c>
      <c r="D6107" t="str">
        <f t="shared" si="476"/>
        <v/>
      </c>
      <c r="E6107" t="str">
        <f t="shared" si="477"/>
        <v/>
      </c>
      <c r="F6107" t="str">
        <f>IF(D6107="","",INDEX(Knutepunkter!$B:$B,D6107+1))</f>
        <v/>
      </c>
      <c r="G6107" t="str">
        <f>IF(D6107="","",INDEX(Knutepunkter!$C:$C,D6107+1))</f>
        <v/>
      </c>
      <c r="H6107" t="str">
        <f>IF(D6107="","",INDEX(Knutepunkter!$D:$D,D6107+1))</f>
        <v/>
      </c>
      <c r="I6107" t="str">
        <f>IF(E6107="","",INDEX(Knutepunkter!$B:$B,E6107+1))</f>
        <v/>
      </c>
      <c r="J6107" t="str">
        <f>IF(E6107="","",INDEX(Knutepunkter!$C:$C,E6107+1))</f>
        <v/>
      </c>
      <c r="K6107" t="str">
        <f>IF(E6107="","",INDEX(Knutepunkter!$D:$D,E6107+1))</f>
        <v/>
      </c>
      <c r="L6107" t="str">
        <f t="shared" si="478"/>
        <v/>
      </c>
      <c r="M6107" t="str">
        <f t="shared" si="479"/>
        <v/>
      </c>
    </row>
    <row r="6108" spans="1:13" x14ac:dyDescent="0.3">
      <c r="A6108" t="str">
        <f>Segmenter!A6108</f>
        <v/>
      </c>
      <c r="B6108" t="str">
        <f>Segmenter!B6108</f>
        <v/>
      </c>
      <c r="C6108" t="str">
        <f t="shared" si="475"/>
        <v/>
      </c>
      <c r="D6108" t="str">
        <f t="shared" si="476"/>
        <v/>
      </c>
      <c r="E6108" t="str">
        <f t="shared" si="477"/>
        <v/>
      </c>
      <c r="F6108" t="str">
        <f>IF(D6108="","",INDEX(Knutepunkter!$B:$B,D6108+1))</f>
        <v/>
      </c>
      <c r="G6108" t="str">
        <f>IF(D6108="","",INDEX(Knutepunkter!$C:$C,D6108+1))</f>
        <v/>
      </c>
      <c r="H6108" t="str">
        <f>IF(D6108="","",INDEX(Knutepunkter!$D:$D,D6108+1))</f>
        <v/>
      </c>
      <c r="I6108" t="str">
        <f>IF(E6108="","",INDEX(Knutepunkter!$B:$B,E6108+1))</f>
        <v/>
      </c>
      <c r="J6108" t="str">
        <f>IF(E6108="","",INDEX(Knutepunkter!$C:$C,E6108+1))</f>
        <v/>
      </c>
      <c r="K6108" t="str">
        <f>IF(E6108="","",INDEX(Knutepunkter!$D:$D,E6108+1))</f>
        <v/>
      </c>
      <c r="L6108" t="str">
        <f t="shared" si="478"/>
        <v/>
      </c>
      <c r="M6108" t="str">
        <f t="shared" si="479"/>
        <v/>
      </c>
    </row>
    <row r="6109" spans="1:13" x14ac:dyDescent="0.3">
      <c r="A6109" t="str">
        <f>Segmenter!A6109</f>
        <v/>
      </c>
      <c r="B6109" t="str">
        <f>Segmenter!B6109</f>
        <v/>
      </c>
      <c r="C6109" t="str">
        <f t="shared" si="475"/>
        <v/>
      </c>
      <c r="D6109" t="str">
        <f t="shared" si="476"/>
        <v/>
      </c>
      <c r="E6109" t="str">
        <f t="shared" si="477"/>
        <v/>
      </c>
      <c r="F6109" t="str">
        <f>IF(D6109="","",INDEX(Knutepunkter!$B:$B,D6109+1))</f>
        <v/>
      </c>
      <c r="G6109" t="str">
        <f>IF(D6109="","",INDEX(Knutepunkter!$C:$C,D6109+1))</f>
        <v/>
      </c>
      <c r="H6109" t="str">
        <f>IF(D6109="","",INDEX(Knutepunkter!$D:$D,D6109+1))</f>
        <v/>
      </c>
      <c r="I6109" t="str">
        <f>IF(E6109="","",INDEX(Knutepunkter!$B:$B,E6109+1))</f>
        <v/>
      </c>
      <c r="J6109" t="str">
        <f>IF(E6109="","",INDEX(Knutepunkter!$C:$C,E6109+1))</f>
        <v/>
      </c>
      <c r="K6109" t="str">
        <f>IF(E6109="","",INDEX(Knutepunkter!$D:$D,E6109+1))</f>
        <v/>
      </c>
      <c r="L6109" t="str">
        <f t="shared" si="478"/>
        <v/>
      </c>
      <c r="M6109" t="str">
        <f t="shared" si="479"/>
        <v/>
      </c>
    </row>
    <row r="6110" spans="1:13" x14ac:dyDescent="0.3">
      <c r="A6110" t="str">
        <f>Segmenter!A6110</f>
        <v/>
      </c>
      <c r="B6110" t="str">
        <f>Segmenter!B6110</f>
        <v/>
      </c>
      <c r="C6110" t="str">
        <f t="shared" si="475"/>
        <v/>
      </c>
      <c r="D6110" t="str">
        <f t="shared" si="476"/>
        <v/>
      </c>
      <c r="E6110" t="str">
        <f t="shared" si="477"/>
        <v/>
      </c>
      <c r="F6110" t="str">
        <f>IF(D6110="","",INDEX(Knutepunkter!$B:$B,D6110+1))</f>
        <v/>
      </c>
      <c r="G6110" t="str">
        <f>IF(D6110="","",INDEX(Knutepunkter!$C:$C,D6110+1))</f>
        <v/>
      </c>
      <c r="H6110" t="str">
        <f>IF(D6110="","",INDEX(Knutepunkter!$D:$D,D6110+1))</f>
        <v/>
      </c>
      <c r="I6110" t="str">
        <f>IF(E6110="","",INDEX(Knutepunkter!$B:$B,E6110+1))</f>
        <v/>
      </c>
      <c r="J6110" t="str">
        <f>IF(E6110="","",INDEX(Knutepunkter!$C:$C,E6110+1))</f>
        <v/>
      </c>
      <c r="K6110" t="str">
        <f>IF(E6110="","",INDEX(Knutepunkter!$D:$D,E6110+1))</f>
        <v/>
      </c>
      <c r="L6110" t="str">
        <f t="shared" si="478"/>
        <v/>
      </c>
      <c r="M6110" t="str">
        <f t="shared" si="479"/>
        <v/>
      </c>
    </row>
    <row r="6111" spans="1:13" x14ac:dyDescent="0.3">
      <c r="A6111" t="str">
        <f>Segmenter!A6111</f>
        <v/>
      </c>
      <c r="B6111" t="str">
        <f>Segmenter!B6111</f>
        <v/>
      </c>
      <c r="C6111" t="str">
        <f t="shared" si="475"/>
        <v/>
      </c>
      <c r="D6111" t="str">
        <f t="shared" si="476"/>
        <v/>
      </c>
      <c r="E6111" t="str">
        <f t="shared" si="477"/>
        <v/>
      </c>
      <c r="F6111" t="str">
        <f>IF(D6111="","",INDEX(Knutepunkter!$B:$B,D6111+1))</f>
        <v/>
      </c>
      <c r="G6111" t="str">
        <f>IF(D6111="","",INDEX(Knutepunkter!$C:$C,D6111+1))</f>
        <v/>
      </c>
      <c r="H6111" t="str">
        <f>IF(D6111="","",INDEX(Knutepunkter!$D:$D,D6111+1))</f>
        <v/>
      </c>
      <c r="I6111" t="str">
        <f>IF(E6111="","",INDEX(Knutepunkter!$B:$B,E6111+1))</f>
        <v/>
      </c>
      <c r="J6111" t="str">
        <f>IF(E6111="","",INDEX(Knutepunkter!$C:$C,E6111+1))</f>
        <v/>
      </c>
      <c r="K6111" t="str">
        <f>IF(E6111="","",INDEX(Knutepunkter!$D:$D,E6111+1))</f>
        <v/>
      </c>
      <c r="L6111" t="str">
        <f t="shared" si="478"/>
        <v/>
      </c>
      <c r="M6111" t="str">
        <f t="shared" si="479"/>
        <v/>
      </c>
    </row>
    <row r="6112" spans="1:13" x14ac:dyDescent="0.3">
      <c r="A6112" t="str">
        <f>Segmenter!A6112</f>
        <v/>
      </c>
      <c r="B6112" t="str">
        <f>Segmenter!B6112</f>
        <v/>
      </c>
      <c r="C6112" t="str">
        <f t="shared" si="475"/>
        <v/>
      </c>
      <c r="D6112" t="str">
        <f t="shared" si="476"/>
        <v/>
      </c>
      <c r="E6112" t="str">
        <f t="shared" si="477"/>
        <v/>
      </c>
      <c r="F6112" t="str">
        <f>IF(D6112="","",INDEX(Knutepunkter!$B:$B,D6112+1))</f>
        <v/>
      </c>
      <c r="G6112" t="str">
        <f>IF(D6112="","",INDEX(Knutepunkter!$C:$C,D6112+1))</f>
        <v/>
      </c>
      <c r="H6112" t="str">
        <f>IF(D6112="","",INDEX(Knutepunkter!$D:$D,D6112+1))</f>
        <v/>
      </c>
      <c r="I6112" t="str">
        <f>IF(E6112="","",INDEX(Knutepunkter!$B:$B,E6112+1))</f>
        <v/>
      </c>
      <c r="J6112" t="str">
        <f>IF(E6112="","",INDEX(Knutepunkter!$C:$C,E6112+1))</f>
        <v/>
      </c>
      <c r="K6112" t="str">
        <f>IF(E6112="","",INDEX(Knutepunkter!$D:$D,E6112+1))</f>
        <v/>
      </c>
      <c r="L6112" t="str">
        <f t="shared" si="478"/>
        <v/>
      </c>
      <c r="M6112" t="str">
        <f t="shared" si="479"/>
        <v/>
      </c>
    </row>
    <row r="6113" spans="1:13" x14ac:dyDescent="0.3">
      <c r="A6113" t="str">
        <f>Segmenter!A6113</f>
        <v/>
      </c>
      <c r="B6113" t="str">
        <f>Segmenter!B6113</f>
        <v/>
      </c>
      <c r="C6113" t="str">
        <f t="shared" si="475"/>
        <v/>
      </c>
      <c r="D6113" t="str">
        <f t="shared" si="476"/>
        <v/>
      </c>
      <c r="E6113" t="str">
        <f t="shared" si="477"/>
        <v/>
      </c>
      <c r="F6113" t="str">
        <f>IF(D6113="","",INDEX(Knutepunkter!$B:$B,D6113+1))</f>
        <v/>
      </c>
      <c r="G6113" t="str">
        <f>IF(D6113="","",INDEX(Knutepunkter!$C:$C,D6113+1))</f>
        <v/>
      </c>
      <c r="H6113" t="str">
        <f>IF(D6113="","",INDEX(Knutepunkter!$D:$D,D6113+1))</f>
        <v/>
      </c>
      <c r="I6113" t="str">
        <f>IF(E6113="","",INDEX(Knutepunkter!$B:$B,E6113+1))</f>
        <v/>
      </c>
      <c r="J6113" t="str">
        <f>IF(E6113="","",INDEX(Knutepunkter!$C:$C,E6113+1))</f>
        <v/>
      </c>
      <c r="K6113" t="str">
        <f>IF(E6113="","",INDEX(Knutepunkter!$D:$D,E6113+1))</f>
        <v/>
      </c>
      <c r="L6113" t="str">
        <f t="shared" si="478"/>
        <v/>
      </c>
      <c r="M6113" t="str">
        <f t="shared" si="479"/>
        <v/>
      </c>
    </row>
    <row r="6114" spans="1:13" x14ac:dyDescent="0.3">
      <c r="A6114" t="str">
        <f>Segmenter!A6114</f>
        <v/>
      </c>
      <c r="B6114" t="str">
        <f>Segmenter!B6114</f>
        <v/>
      </c>
      <c r="C6114" t="str">
        <f t="shared" si="475"/>
        <v/>
      </c>
      <c r="D6114" t="str">
        <f t="shared" si="476"/>
        <v/>
      </c>
      <c r="E6114" t="str">
        <f t="shared" si="477"/>
        <v/>
      </c>
      <c r="F6114" t="str">
        <f>IF(D6114="","",INDEX(Knutepunkter!$B:$B,D6114+1))</f>
        <v/>
      </c>
      <c r="G6114" t="str">
        <f>IF(D6114="","",INDEX(Knutepunkter!$C:$C,D6114+1))</f>
        <v/>
      </c>
      <c r="H6114" t="str">
        <f>IF(D6114="","",INDEX(Knutepunkter!$D:$D,D6114+1))</f>
        <v/>
      </c>
      <c r="I6114" t="str">
        <f>IF(E6114="","",INDEX(Knutepunkter!$B:$B,E6114+1))</f>
        <v/>
      </c>
      <c r="J6114" t="str">
        <f>IF(E6114="","",INDEX(Knutepunkter!$C:$C,E6114+1))</f>
        <v/>
      </c>
      <c r="K6114" t="str">
        <f>IF(E6114="","",INDEX(Knutepunkter!$D:$D,E6114+1))</f>
        <v/>
      </c>
      <c r="L6114" t="str">
        <f t="shared" si="478"/>
        <v/>
      </c>
      <c r="M6114" t="str">
        <f t="shared" si="479"/>
        <v/>
      </c>
    </row>
    <row r="6115" spans="1:13" x14ac:dyDescent="0.3">
      <c r="A6115" t="str">
        <f>Segmenter!A6115</f>
        <v/>
      </c>
      <c r="B6115" t="str">
        <f>Segmenter!B6115</f>
        <v/>
      </c>
      <c r="C6115" t="str">
        <f t="shared" si="475"/>
        <v/>
      </c>
      <c r="D6115" t="str">
        <f t="shared" si="476"/>
        <v/>
      </c>
      <c r="E6115" t="str">
        <f t="shared" si="477"/>
        <v/>
      </c>
      <c r="F6115" t="str">
        <f>IF(D6115="","",INDEX(Knutepunkter!$B:$B,D6115+1))</f>
        <v/>
      </c>
      <c r="G6115" t="str">
        <f>IF(D6115="","",INDEX(Knutepunkter!$C:$C,D6115+1))</f>
        <v/>
      </c>
      <c r="H6115" t="str">
        <f>IF(D6115="","",INDEX(Knutepunkter!$D:$D,D6115+1))</f>
        <v/>
      </c>
      <c r="I6115" t="str">
        <f>IF(E6115="","",INDEX(Knutepunkter!$B:$B,E6115+1))</f>
        <v/>
      </c>
      <c r="J6115" t="str">
        <f>IF(E6115="","",INDEX(Knutepunkter!$C:$C,E6115+1))</f>
        <v/>
      </c>
      <c r="K6115" t="str">
        <f>IF(E6115="","",INDEX(Knutepunkter!$D:$D,E6115+1))</f>
        <v/>
      </c>
      <c r="L6115" t="str">
        <f t="shared" si="478"/>
        <v/>
      </c>
      <c r="M6115" t="str">
        <f t="shared" si="479"/>
        <v/>
      </c>
    </row>
    <row r="6116" spans="1:13" x14ac:dyDescent="0.3">
      <c r="A6116" t="str">
        <f>Segmenter!A6116</f>
        <v/>
      </c>
      <c r="B6116" t="str">
        <f>Segmenter!B6116</f>
        <v/>
      </c>
      <c r="C6116" t="str">
        <f t="shared" si="475"/>
        <v/>
      </c>
      <c r="D6116" t="str">
        <f t="shared" si="476"/>
        <v/>
      </c>
      <c r="E6116" t="str">
        <f t="shared" si="477"/>
        <v/>
      </c>
      <c r="F6116" t="str">
        <f>IF(D6116="","",INDEX(Knutepunkter!$B:$B,D6116+1))</f>
        <v/>
      </c>
      <c r="G6116" t="str">
        <f>IF(D6116="","",INDEX(Knutepunkter!$C:$C,D6116+1))</f>
        <v/>
      </c>
      <c r="H6116" t="str">
        <f>IF(D6116="","",INDEX(Knutepunkter!$D:$D,D6116+1))</f>
        <v/>
      </c>
      <c r="I6116" t="str">
        <f>IF(E6116="","",INDEX(Knutepunkter!$B:$B,E6116+1))</f>
        <v/>
      </c>
      <c r="J6116" t="str">
        <f>IF(E6116="","",INDEX(Knutepunkter!$C:$C,E6116+1))</f>
        <v/>
      </c>
      <c r="K6116" t="str">
        <f>IF(E6116="","",INDEX(Knutepunkter!$D:$D,E6116+1))</f>
        <v/>
      </c>
      <c r="L6116" t="str">
        <f t="shared" si="478"/>
        <v/>
      </c>
      <c r="M6116" t="str">
        <f t="shared" si="479"/>
        <v/>
      </c>
    </row>
    <row r="6117" spans="1:13" x14ac:dyDescent="0.3">
      <c r="A6117" t="str">
        <f>Segmenter!A6117</f>
        <v/>
      </c>
      <c r="B6117" t="str">
        <f>Segmenter!B6117</f>
        <v/>
      </c>
      <c r="C6117" t="str">
        <f t="shared" si="475"/>
        <v/>
      </c>
      <c r="D6117" t="str">
        <f t="shared" si="476"/>
        <v/>
      </c>
      <c r="E6117" t="str">
        <f t="shared" si="477"/>
        <v/>
      </c>
      <c r="F6117" t="str">
        <f>IF(D6117="","",INDEX(Knutepunkter!$B:$B,D6117+1))</f>
        <v/>
      </c>
      <c r="G6117" t="str">
        <f>IF(D6117="","",INDEX(Knutepunkter!$C:$C,D6117+1))</f>
        <v/>
      </c>
      <c r="H6117" t="str">
        <f>IF(D6117="","",INDEX(Knutepunkter!$D:$D,D6117+1))</f>
        <v/>
      </c>
      <c r="I6117" t="str">
        <f>IF(E6117="","",INDEX(Knutepunkter!$B:$B,E6117+1))</f>
        <v/>
      </c>
      <c r="J6117" t="str">
        <f>IF(E6117="","",INDEX(Knutepunkter!$C:$C,E6117+1))</f>
        <v/>
      </c>
      <c r="K6117" t="str">
        <f>IF(E6117="","",INDEX(Knutepunkter!$D:$D,E6117+1))</f>
        <v/>
      </c>
      <c r="L6117" t="str">
        <f t="shared" si="478"/>
        <v/>
      </c>
      <c r="M6117" t="str">
        <f t="shared" si="479"/>
        <v/>
      </c>
    </row>
    <row r="6118" spans="1:13" x14ac:dyDescent="0.3">
      <c r="A6118" t="str">
        <f>Segmenter!A6118</f>
        <v/>
      </c>
      <c r="B6118" t="str">
        <f>Segmenter!B6118</f>
        <v/>
      </c>
      <c r="C6118" t="str">
        <f t="shared" si="475"/>
        <v/>
      </c>
      <c r="D6118" t="str">
        <f t="shared" si="476"/>
        <v/>
      </c>
      <c r="E6118" t="str">
        <f t="shared" si="477"/>
        <v/>
      </c>
      <c r="F6118" t="str">
        <f>IF(D6118="","",INDEX(Knutepunkter!$B:$B,D6118+1))</f>
        <v/>
      </c>
      <c r="G6118" t="str">
        <f>IF(D6118="","",INDEX(Knutepunkter!$C:$C,D6118+1))</f>
        <v/>
      </c>
      <c r="H6118" t="str">
        <f>IF(D6118="","",INDEX(Knutepunkter!$D:$D,D6118+1))</f>
        <v/>
      </c>
      <c r="I6118" t="str">
        <f>IF(E6118="","",INDEX(Knutepunkter!$B:$B,E6118+1))</f>
        <v/>
      </c>
      <c r="J6118" t="str">
        <f>IF(E6118="","",INDEX(Knutepunkter!$C:$C,E6118+1))</f>
        <v/>
      </c>
      <c r="K6118" t="str">
        <f>IF(E6118="","",INDEX(Knutepunkter!$D:$D,E6118+1))</f>
        <v/>
      </c>
      <c r="L6118" t="str">
        <f t="shared" si="478"/>
        <v/>
      </c>
      <c r="M6118" t="str">
        <f t="shared" si="479"/>
        <v/>
      </c>
    </row>
    <row r="6119" spans="1:13" x14ac:dyDescent="0.3">
      <c r="A6119" t="str">
        <f>Segmenter!A6119</f>
        <v/>
      </c>
      <c r="B6119" t="str">
        <f>Segmenter!B6119</f>
        <v/>
      </c>
      <c r="C6119" t="str">
        <f t="shared" si="475"/>
        <v/>
      </c>
      <c r="D6119" t="str">
        <f t="shared" si="476"/>
        <v/>
      </c>
      <c r="E6119" t="str">
        <f t="shared" si="477"/>
        <v/>
      </c>
      <c r="F6119" t="str">
        <f>IF(D6119="","",INDEX(Knutepunkter!$B:$B,D6119+1))</f>
        <v/>
      </c>
      <c r="G6119" t="str">
        <f>IF(D6119="","",INDEX(Knutepunkter!$C:$C,D6119+1))</f>
        <v/>
      </c>
      <c r="H6119" t="str">
        <f>IF(D6119="","",INDEX(Knutepunkter!$D:$D,D6119+1))</f>
        <v/>
      </c>
      <c r="I6119" t="str">
        <f>IF(E6119="","",INDEX(Knutepunkter!$B:$B,E6119+1))</f>
        <v/>
      </c>
      <c r="J6119" t="str">
        <f>IF(E6119="","",INDEX(Knutepunkter!$C:$C,E6119+1))</f>
        <v/>
      </c>
      <c r="K6119" t="str">
        <f>IF(E6119="","",INDEX(Knutepunkter!$D:$D,E6119+1))</f>
        <v/>
      </c>
      <c r="L6119" t="str">
        <f t="shared" si="478"/>
        <v/>
      </c>
      <c r="M6119" t="str">
        <f t="shared" si="479"/>
        <v/>
      </c>
    </row>
    <row r="6120" spans="1:13" x14ac:dyDescent="0.3">
      <c r="A6120" t="str">
        <f>Segmenter!A6120</f>
        <v/>
      </c>
      <c r="B6120" t="str">
        <f>Segmenter!B6120</f>
        <v/>
      </c>
      <c r="C6120" t="str">
        <f t="shared" si="475"/>
        <v/>
      </c>
      <c r="D6120" t="str">
        <f t="shared" si="476"/>
        <v/>
      </c>
      <c r="E6120" t="str">
        <f t="shared" si="477"/>
        <v/>
      </c>
      <c r="F6120" t="str">
        <f>IF(D6120="","",INDEX(Knutepunkter!$B:$B,D6120+1))</f>
        <v/>
      </c>
      <c r="G6120" t="str">
        <f>IF(D6120="","",INDEX(Knutepunkter!$C:$C,D6120+1))</f>
        <v/>
      </c>
      <c r="H6120" t="str">
        <f>IF(D6120="","",INDEX(Knutepunkter!$D:$D,D6120+1))</f>
        <v/>
      </c>
      <c r="I6120" t="str">
        <f>IF(E6120="","",INDEX(Knutepunkter!$B:$B,E6120+1))</f>
        <v/>
      </c>
      <c r="J6120" t="str">
        <f>IF(E6120="","",INDEX(Knutepunkter!$C:$C,E6120+1))</f>
        <v/>
      </c>
      <c r="K6120" t="str">
        <f>IF(E6120="","",INDEX(Knutepunkter!$D:$D,E6120+1))</f>
        <v/>
      </c>
      <c r="L6120" t="str">
        <f t="shared" si="478"/>
        <v/>
      </c>
      <c r="M6120" t="str">
        <f t="shared" si="479"/>
        <v/>
      </c>
    </row>
    <row r="6121" spans="1:13" x14ac:dyDescent="0.3">
      <c r="A6121" t="str">
        <f>Segmenter!A6121</f>
        <v/>
      </c>
      <c r="B6121" t="str">
        <f>Segmenter!B6121</f>
        <v/>
      </c>
      <c r="C6121" t="str">
        <f t="shared" si="475"/>
        <v/>
      </c>
      <c r="D6121" t="str">
        <f t="shared" si="476"/>
        <v/>
      </c>
      <c r="E6121" t="str">
        <f t="shared" si="477"/>
        <v/>
      </c>
      <c r="F6121" t="str">
        <f>IF(D6121="","",INDEX(Knutepunkter!$B:$B,D6121+1))</f>
        <v/>
      </c>
      <c r="G6121" t="str">
        <f>IF(D6121="","",INDEX(Knutepunkter!$C:$C,D6121+1))</f>
        <v/>
      </c>
      <c r="H6121" t="str">
        <f>IF(D6121="","",INDEX(Knutepunkter!$D:$D,D6121+1))</f>
        <v/>
      </c>
      <c r="I6121" t="str">
        <f>IF(E6121="","",INDEX(Knutepunkter!$B:$B,E6121+1))</f>
        <v/>
      </c>
      <c r="J6121" t="str">
        <f>IF(E6121="","",INDEX(Knutepunkter!$C:$C,E6121+1))</f>
        <v/>
      </c>
      <c r="K6121" t="str">
        <f>IF(E6121="","",INDEX(Knutepunkter!$D:$D,E6121+1))</f>
        <v/>
      </c>
      <c r="L6121" t="str">
        <f t="shared" si="478"/>
        <v/>
      </c>
      <c r="M6121" t="str">
        <f t="shared" si="479"/>
        <v/>
      </c>
    </row>
    <row r="6122" spans="1:13" x14ac:dyDescent="0.3">
      <c r="A6122" t="str">
        <f>Segmenter!A6122</f>
        <v/>
      </c>
      <c r="B6122" t="str">
        <f>Segmenter!B6122</f>
        <v/>
      </c>
      <c r="C6122" t="str">
        <f t="shared" si="475"/>
        <v/>
      </c>
      <c r="D6122" t="str">
        <f t="shared" si="476"/>
        <v/>
      </c>
      <c r="E6122" t="str">
        <f t="shared" si="477"/>
        <v/>
      </c>
      <c r="F6122" t="str">
        <f>IF(D6122="","",INDEX(Knutepunkter!$B:$B,D6122+1))</f>
        <v/>
      </c>
      <c r="G6122" t="str">
        <f>IF(D6122="","",INDEX(Knutepunkter!$C:$C,D6122+1))</f>
        <v/>
      </c>
      <c r="H6122" t="str">
        <f>IF(D6122="","",INDEX(Knutepunkter!$D:$D,D6122+1))</f>
        <v/>
      </c>
      <c r="I6122" t="str">
        <f>IF(E6122="","",INDEX(Knutepunkter!$B:$B,E6122+1))</f>
        <v/>
      </c>
      <c r="J6122" t="str">
        <f>IF(E6122="","",INDEX(Knutepunkter!$C:$C,E6122+1))</f>
        <v/>
      </c>
      <c r="K6122" t="str">
        <f>IF(E6122="","",INDEX(Knutepunkter!$D:$D,E6122+1))</f>
        <v/>
      </c>
      <c r="L6122" t="str">
        <f t="shared" si="478"/>
        <v/>
      </c>
      <c r="M6122" t="str">
        <f t="shared" si="479"/>
        <v/>
      </c>
    </row>
    <row r="6123" spans="1:13" x14ac:dyDescent="0.3">
      <c r="A6123" t="str">
        <f>Segmenter!A6123</f>
        <v/>
      </c>
      <c r="B6123" t="str">
        <f>Segmenter!B6123</f>
        <v/>
      </c>
      <c r="C6123" t="str">
        <f t="shared" si="475"/>
        <v/>
      </c>
      <c r="D6123" t="str">
        <f t="shared" si="476"/>
        <v/>
      </c>
      <c r="E6123" t="str">
        <f t="shared" si="477"/>
        <v/>
      </c>
      <c r="F6123" t="str">
        <f>IF(D6123="","",INDEX(Knutepunkter!$B:$B,D6123+1))</f>
        <v/>
      </c>
      <c r="G6123" t="str">
        <f>IF(D6123="","",INDEX(Knutepunkter!$C:$C,D6123+1))</f>
        <v/>
      </c>
      <c r="H6123" t="str">
        <f>IF(D6123="","",INDEX(Knutepunkter!$D:$D,D6123+1))</f>
        <v/>
      </c>
      <c r="I6123" t="str">
        <f>IF(E6123="","",INDEX(Knutepunkter!$B:$B,E6123+1))</f>
        <v/>
      </c>
      <c r="J6123" t="str">
        <f>IF(E6123="","",INDEX(Knutepunkter!$C:$C,E6123+1))</f>
        <v/>
      </c>
      <c r="K6123" t="str">
        <f>IF(E6123="","",INDEX(Knutepunkter!$D:$D,E6123+1))</f>
        <v/>
      </c>
      <c r="L6123" t="str">
        <f t="shared" si="478"/>
        <v/>
      </c>
      <c r="M6123" t="str">
        <f t="shared" si="479"/>
        <v/>
      </c>
    </row>
    <row r="6124" spans="1:13" x14ac:dyDescent="0.3">
      <c r="A6124" t="str">
        <f>Segmenter!A6124</f>
        <v/>
      </c>
      <c r="B6124" t="str">
        <f>Segmenter!B6124</f>
        <v/>
      </c>
      <c r="C6124" t="str">
        <f t="shared" si="475"/>
        <v/>
      </c>
      <c r="D6124" t="str">
        <f t="shared" si="476"/>
        <v/>
      </c>
      <c r="E6124" t="str">
        <f t="shared" si="477"/>
        <v/>
      </c>
      <c r="F6124" t="str">
        <f>IF(D6124="","",INDEX(Knutepunkter!$B:$B,D6124+1))</f>
        <v/>
      </c>
      <c r="G6124" t="str">
        <f>IF(D6124="","",INDEX(Knutepunkter!$C:$C,D6124+1))</f>
        <v/>
      </c>
      <c r="H6124" t="str">
        <f>IF(D6124="","",INDEX(Knutepunkter!$D:$D,D6124+1))</f>
        <v/>
      </c>
      <c r="I6124" t="str">
        <f>IF(E6124="","",INDEX(Knutepunkter!$B:$B,E6124+1))</f>
        <v/>
      </c>
      <c r="J6124" t="str">
        <f>IF(E6124="","",INDEX(Knutepunkter!$C:$C,E6124+1))</f>
        <v/>
      </c>
      <c r="K6124" t="str">
        <f>IF(E6124="","",INDEX(Knutepunkter!$D:$D,E6124+1))</f>
        <v/>
      </c>
      <c r="L6124" t="str">
        <f t="shared" si="478"/>
        <v/>
      </c>
      <c r="M6124" t="str">
        <f t="shared" si="479"/>
        <v/>
      </c>
    </row>
    <row r="6125" spans="1:13" x14ac:dyDescent="0.3">
      <c r="A6125" t="str">
        <f>Segmenter!A6125</f>
        <v/>
      </c>
      <c r="B6125" t="str">
        <f>Segmenter!B6125</f>
        <v/>
      </c>
      <c r="C6125" t="str">
        <f t="shared" si="475"/>
        <v/>
      </c>
      <c r="D6125" t="str">
        <f t="shared" si="476"/>
        <v/>
      </c>
      <c r="E6125" t="str">
        <f t="shared" si="477"/>
        <v/>
      </c>
      <c r="F6125" t="str">
        <f>IF(D6125="","",INDEX(Knutepunkter!$B:$B,D6125+1))</f>
        <v/>
      </c>
      <c r="G6125" t="str">
        <f>IF(D6125="","",INDEX(Knutepunkter!$C:$C,D6125+1))</f>
        <v/>
      </c>
      <c r="H6125" t="str">
        <f>IF(D6125="","",INDEX(Knutepunkter!$D:$D,D6125+1))</f>
        <v/>
      </c>
      <c r="I6125" t="str">
        <f>IF(E6125="","",INDEX(Knutepunkter!$B:$B,E6125+1))</f>
        <v/>
      </c>
      <c r="J6125" t="str">
        <f>IF(E6125="","",INDEX(Knutepunkter!$C:$C,E6125+1))</f>
        <v/>
      </c>
      <c r="K6125" t="str">
        <f>IF(E6125="","",INDEX(Knutepunkter!$D:$D,E6125+1))</f>
        <v/>
      </c>
      <c r="L6125" t="str">
        <f t="shared" si="478"/>
        <v/>
      </c>
      <c r="M6125" t="str">
        <f t="shared" si="479"/>
        <v/>
      </c>
    </row>
    <row r="6126" spans="1:13" x14ac:dyDescent="0.3">
      <c r="A6126" t="str">
        <f>Segmenter!A6126</f>
        <v/>
      </c>
      <c r="B6126" t="str">
        <f>Segmenter!B6126</f>
        <v/>
      </c>
      <c r="C6126" t="str">
        <f t="shared" si="475"/>
        <v/>
      </c>
      <c r="D6126" t="str">
        <f t="shared" si="476"/>
        <v/>
      </c>
      <c r="E6126" t="str">
        <f t="shared" si="477"/>
        <v/>
      </c>
      <c r="F6126" t="str">
        <f>IF(D6126="","",INDEX(Knutepunkter!$B:$B,D6126+1))</f>
        <v/>
      </c>
      <c r="G6126" t="str">
        <f>IF(D6126="","",INDEX(Knutepunkter!$C:$C,D6126+1))</f>
        <v/>
      </c>
      <c r="H6126" t="str">
        <f>IF(D6126="","",INDEX(Knutepunkter!$D:$D,D6126+1))</f>
        <v/>
      </c>
      <c r="I6126" t="str">
        <f>IF(E6126="","",INDEX(Knutepunkter!$B:$B,E6126+1))</f>
        <v/>
      </c>
      <c r="J6126" t="str">
        <f>IF(E6126="","",INDEX(Knutepunkter!$C:$C,E6126+1))</f>
        <v/>
      </c>
      <c r="K6126" t="str">
        <f>IF(E6126="","",INDEX(Knutepunkter!$D:$D,E6126+1))</f>
        <v/>
      </c>
      <c r="L6126" t="str">
        <f t="shared" si="478"/>
        <v/>
      </c>
      <c r="M6126" t="str">
        <f t="shared" si="479"/>
        <v/>
      </c>
    </row>
    <row r="6127" spans="1:13" x14ac:dyDescent="0.3">
      <c r="A6127" t="str">
        <f>Segmenter!A6127</f>
        <v/>
      </c>
      <c r="B6127" t="str">
        <f>Segmenter!B6127</f>
        <v/>
      </c>
      <c r="C6127" t="str">
        <f t="shared" si="475"/>
        <v/>
      </c>
      <c r="D6127" t="str">
        <f t="shared" si="476"/>
        <v/>
      </c>
      <c r="E6127" t="str">
        <f t="shared" si="477"/>
        <v/>
      </c>
      <c r="F6127" t="str">
        <f>IF(D6127="","",INDEX(Knutepunkter!$B:$B,D6127+1))</f>
        <v/>
      </c>
      <c r="G6127" t="str">
        <f>IF(D6127="","",INDEX(Knutepunkter!$C:$C,D6127+1))</f>
        <v/>
      </c>
      <c r="H6127" t="str">
        <f>IF(D6127="","",INDEX(Knutepunkter!$D:$D,D6127+1))</f>
        <v/>
      </c>
      <c r="I6127" t="str">
        <f>IF(E6127="","",INDEX(Knutepunkter!$B:$B,E6127+1))</f>
        <v/>
      </c>
      <c r="J6127" t="str">
        <f>IF(E6127="","",INDEX(Knutepunkter!$C:$C,E6127+1))</f>
        <v/>
      </c>
      <c r="K6127" t="str">
        <f>IF(E6127="","",INDEX(Knutepunkter!$D:$D,E6127+1))</f>
        <v/>
      </c>
      <c r="L6127" t="str">
        <f t="shared" si="478"/>
        <v/>
      </c>
      <c r="M6127" t="str">
        <f t="shared" si="479"/>
        <v/>
      </c>
    </row>
    <row r="6128" spans="1:13" x14ac:dyDescent="0.3">
      <c r="A6128" t="str">
        <f>Segmenter!A6128</f>
        <v/>
      </c>
      <c r="B6128" t="str">
        <f>Segmenter!B6128</f>
        <v/>
      </c>
      <c r="C6128" t="str">
        <f t="shared" si="475"/>
        <v/>
      </c>
      <c r="D6128" t="str">
        <f t="shared" si="476"/>
        <v/>
      </c>
      <c r="E6128" t="str">
        <f t="shared" si="477"/>
        <v/>
      </c>
      <c r="F6128" t="str">
        <f>IF(D6128="","",INDEX(Knutepunkter!$B:$B,D6128+1))</f>
        <v/>
      </c>
      <c r="G6128" t="str">
        <f>IF(D6128="","",INDEX(Knutepunkter!$C:$C,D6128+1))</f>
        <v/>
      </c>
      <c r="H6128" t="str">
        <f>IF(D6128="","",INDEX(Knutepunkter!$D:$D,D6128+1))</f>
        <v/>
      </c>
      <c r="I6128" t="str">
        <f>IF(E6128="","",INDEX(Knutepunkter!$B:$B,E6128+1))</f>
        <v/>
      </c>
      <c r="J6128" t="str">
        <f>IF(E6128="","",INDEX(Knutepunkter!$C:$C,E6128+1))</f>
        <v/>
      </c>
      <c r="K6128" t="str">
        <f>IF(E6128="","",INDEX(Knutepunkter!$D:$D,E6128+1))</f>
        <v/>
      </c>
      <c r="L6128" t="str">
        <f t="shared" si="478"/>
        <v/>
      </c>
      <c r="M6128" t="str">
        <f t="shared" si="479"/>
        <v/>
      </c>
    </row>
    <row r="6129" spans="1:13" x14ac:dyDescent="0.3">
      <c r="A6129" t="str">
        <f>Segmenter!A6129</f>
        <v/>
      </c>
      <c r="B6129" t="str">
        <f>Segmenter!B6129</f>
        <v/>
      </c>
      <c r="C6129" t="str">
        <f t="shared" si="475"/>
        <v/>
      </c>
      <c r="D6129" t="str">
        <f t="shared" si="476"/>
        <v/>
      </c>
      <c r="E6129" t="str">
        <f t="shared" si="477"/>
        <v/>
      </c>
      <c r="F6129" t="str">
        <f>IF(D6129="","",INDEX(Knutepunkter!$B:$B,D6129+1))</f>
        <v/>
      </c>
      <c r="G6129" t="str">
        <f>IF(D6129="","",INDEX(Knutepunkter!$C:$C,D6129+1))</f>
        <v/>
      </c>
      <c r="H6129" t="str">
        <f>IF(D6129="","",INDEX(Knutepunkter!$D:$D,D6129+1))</f>
        <v/>
      </c>
      <c r="I6129" t="str">
        <f>IF(E6129="","",INDEX(Knutepunkter!$B:$B,E6129+1))</f>
        <v/>
      </c>
      <c r="J6129" t="str">
        <f>IF(E6129="","",INDEX(Knutepunkter!$C:$C,E6129+1))</f>
        <v/>
      </c>
      <c r="K6129" t="str">
        <f>IF(E6129="","",INDEX(Knutepunkter!$D:$D,E6129+1))</f>
        <v/>
      </c>
      <c r="L6129" t="str">
        <f t="shared" si="478"/>
        <v/>
      </c>
      <c r="M6129" t="str">
        <f t="shared" si="479"/>
        <v/>
      </c>
    </row>
    <row r="6130" spans="1:13" x14ac:dyDescent="0.3">
      <c r="A6130" t="str">
        <f>Segmenter!A6130</f>
        <v/>
      </c>
      <c r="B6130" t="str">
        <f>Segmenter!B6130</f>
        <v/>
      </c>
      <c r="C6130" t="str">
        <f t="shared" si="475"/>
        <v/>
      </c>
      <c r="D6130" t="str">
        <f t="shared" si="476"/>
        <v/>
      </c>
      <c r="E6130" t="str">
        <f t="shared" si="477"/>
        <v/>
      </c>
      <c r="F6130" t="str">
        <f>IF(D6130="","",INDEX(Knutepunkter!$B:$B,D6130+1))</f>
        <v/>
      </c>
      <c r="G6130" t="str">
        <f>IF(D6130="","",INDEX(Knutepunkter!$C:$C,D6130+1))</f>
        <v/>
      </c>
      <c r="H6130" t="str">
        <f>IF(D6130="","",INDEX(Knutepunkter!$D:$D,D6130+1))</f>
        <v/>
      </c>
      <c r="I6130" t="str">
        <f>IF(E6130="","",INDEX(Knutepunkter!$B:$B,E6130+1))</f>
        <v/>
      </c>
      <c r="J6130" t="str">
        <f>IF(E6130="","",INDEX(Knutepunkter!$C:$C,E6130+1))</f>
        <v/>
      </c>
      <c r="K6130" t="str">
        <f>IF(E6130="","",INDEX(Knutepunkter!$D:$D,E6130+1))</f>
        <v/>
      </c>
      <c r="L6130" t="str">
        <f t="shared" si="478"/>
        <v/>
      </c>
      <c r="M6130" t="str">
        <f t="shared" si="479"/>
        <v/>
      </c>
    </row>
    <row r="6131" spans="1:13" x14ac:dyDescent="0.3">
      <c r="A6131" t="str">
        <f>Segmenter!A6131</f>
        <v/>
      </c>
      <c r="B6131" t="str">
        <f>Segmenter!B6131</f>
        <v/>
      </c>
      <c r="C6131" t="str">
        <f t="shared" si="475"/>
        <v/>
      </c>
      <c r="D6131" t="str">
        <f t="shared" si="476"/>
        <v/>
      </c>
      <c r="E6131" t="str">
        <f t="shared" si="477"/>
        <v/>
      </c>
      <c r="F6131" t="str">
        <f>IF(D6131="","",INDEX(Knutepunkter!$B:$B,D6131+1))</f>
        <v/>
      </c>
      <c r="G6131" t="str">
        <f>IF(D6131="","",INDEX(Knutepunkter!$C:$C,D6131+1))</f>
        <v/>
      </c>
      <c r="H6131" t="str">
        <f>IF(D6131="","",INDEX(Knutepunkter!$D:$D,D6131+1))</f>
        <v/>
      </c>
      <c r="I6131" t="str">
        <f>IF(E6131="","",INDEX(Knutepunkter!$B:$B,E6131+1))</f>
        <v/>
      </c>
      <c r="J6131" t="str">
        <f>IF(E6131="","",INDEX(Knutepunkter!$C:$C,E6131+1))</f>
        <v/>
      </c>
      <c r="K6131" t="str">
        <f>IF(E6131="","",INDEX(Knutepunkter!$D:$D,E6131+1))</f>
        <v/>
      </c>
      <c r="L6131" t="str">
        <f t="shared" si="478"/>
        <v/>
      </c>
      <c r="M6131" t="str">
        <f t="shared" si="479"/>
        <v/>
      </c>
    </row>
    <row r="6132" spans="1:13" x14ac:dyDescent="0.3">
      <c r="A6132" t="str">
        <f>Segmenter!A6132</f>
        <v/>
      </c>
      <c r="B6132" t="str">
        <f>Segmenter!B6132</f>
        <v/>
      </c>
      <c r="C6132" t="str">
        <f t="shared" si="475"/>
        <v/>
      </c>
      <c r="D6132" t="str">
        <f t="shared" si="476"/>
        <v/>
      </c>
      <c r="E6132" t="str">
        <f t="shared" si="477"/>
        <v/>
      </c>
      <c r="F6132" t="str">
        <f>IF(D6132="","",INDEX(Knutepunkter!$B:$B,D6132+1))</f>
        <v/>
      </c>
      <c r="G6132" t="str">
        <f>IF(D6132="","",INDEX(Knutepunkter!$C:$C,D6132+1))</f>
        <v/>
      </c>
      <c r="H6132" t="str">
        <f>IF(D6132="","",INDEX(Knutepunkter!$D:$D,D6132+1))</f>
        <v/>
      </c>
      <c r="I6132" t="str">
        <f>IF(E6132="","",INDEX(Knutepunkter!$B:$B,E6132+1))</f>
        <v/>
      </c>
      <c r="J6132" t="str">
        <f>IF(E6132="","",INDEX(Knutepunkter!$C:$C,E6132+1))</f>
        <v/>
      </c>
      <c r="K6132" t="str">
        <f>IF(E6132="","",INDEX(Knutepunkter!$D:$D,E6132+1))</f>
        <v/>
      </c>
      <c r="L6132" t="str">
        <f t="shared" si="478"/>
        <v/>
      </c>
      <c r="M6132" t="str">
        <f t="shared" si="479"/>
        <v/>
      </c>
    </row>
    <row r="6133" spans="1:13" x14ac:dyDescent="0.3">
      <c r="A6133" t="str">
        <f>Segmenter!A6133</f>
        <v/>
      </c>
      <c r="B6133" t="str">
        <f>Segmenter!B6133</f>
        <v/>
      </c>
      <c r="C6133" t="str">
        <f t="shared" si="475"/>
        <v/>
      </c>
      <c r="D6133" t="str">
        <f t="shared" si="476"/>
        <v/>
      </c>
      <c r="E6133" t="str">
        <f t="shared" si="477"/>
        <v/>
      </c>
      <c r="F6133" t="str">
        <f>IF(D6133="","",INDEX(Knutepunkter!$B:$B,D6133+1))</f>
        <v/>
      </c>
      <c r="G6133" t="str">
        <f>IF(D6133="","",INDEX(Knutepunkter!$C:$C,D6133+1))</f>
        <v/>
      </c>
      <c r="H6133" t="str">
        <f>IF(D6133="","",INDEX(Knutepunkter!$D:$D,D6133+1))</f>
        <v/>
      </c>
      <c r="I6133" t="str">
        <f>IF(E6133="","",INDEX(Knutepunkter!$B:$B,E6133+1))</f>
        <v/>
      </c>
      <c r="J6133" t="str">
        <f>IF(E6133="","",INDEX(Knutepunkter!$C:$C,E6133+1))</f>
        <v/>
      </c>
      <c r="K6133" t="str">
        <f>IF(E6133="","",INDEX(Knutepunkter!$D:$D,E6133+1))</f>
        <v/>
      </c>
      <c r="L6133" t="str">
        <f t="shared" si="478"/>
        <v/>
      </c>
      <c r="M6133" t="str">
        <f t="shared" si="479"/>
        <v/>
      </c>
    </row>
    <row r="6134" spans="1:13" x14ac:dyDescent="0.3">
      <c r="A6134" t="str">
        <f>Segmenter!A6134</f>
        <v/>
      </c>
      <c r="B6134" t="str">
        <f>Segmenter!B6134</f>
        <v/>
      </c>
      <c r="C6134" t="str">
        <f t="shared" si="475"/>
        <v/>
      </c>
      <c r="D6134" t="str">
        <f t="shared" si="476"/>
        <v/>
      </c>
      <c r="E6134" t="str">
        <f t="shared" si="477"/>
        <v/>
      </c>
      <c r="F6134" t="str">
        <f>IF(D6134="","",INDEX(Knutepunkter!$B:$B,D6134+1))</f>
        <v/>
      </c>
      <c r="G6134" t="str">
        <f>IF(D6134="","",INDEX(Knutepunkter!$C:$C,D6134+1))</f>
        <v/>
      </c>
      <c r="H6134" t="str">
        <f>IF(D6134="","",INDEX(Knutepunkter!$D:$D,D6134+1))</f>
        <v/>
      </c>
      <c r="I6134" t="str">
        <f>IF(E6134="","",INDEX(Knutepunkter!$B:$B,E6134+1))</f>
        <v/>
      </c>
      <c r="J6134" t="str">
        <f>IF(E6134="","",INDEX(Knutepunkter!$C:$C,E6134+1))</f>
        <v/>
      </c>
      <c r="K6134" t="str">
        <f>IF(E6134="","",INDEX(Knutepunkter!$D:$D,E6134+1))</f>
        <v/>
      </c>
      <c r="L6134" t="str">
        <f t="shared" si="478"/>
        <v/>
      </c>
      <c r="M6134" t="str">
        <f t="shared" si="479"/>
        <v/>
      </c>
    </row>
    <row r="6135" spans="1:13" x14ac:dyDescent="0.3">
      <c r="A6135" t="str">
        <f>Segmenter!A6135</f>
        <v/>
      </c>
      <c r="B6135" t="str">
        <f>Segmenter!B6135</f>
        <v/>
      </c>
      <c r="C6135" t="str">
        <f t="shared" si="475"/>
        <v/>
      </c>
      <c r="D6135" t="str">
        <f t="shared" si="476"/>
        <v/>
      </c>
      <c r="E6135" t="str">
        <f t="shared" si="477"/>
        <v/>
      </c>
      <c r="F6135" t="str">
        <f>IF(D6135="","",INDEX(Knutepunkter!$B:$B,D6135+1))</f>
        <v/>
      </c>
      <c r="G6135" t="str">
        <f>IF(D6135="","",INDEX(Knutepunkter!$C:$C,D6135+1))</f>
        <v/>
      </c>
      <c r="H6135" t="str">
        <f>IF(D6135="","",INDEX(Knutepunkter!$D:$D,D6135+1))</f>
        <v/>
      </c>
      <c r="I6135" t="str">
        <f>IF(E6135="","",INDEX(Knutepunkter!$B:$B,E6135+1))</f>
        <v/>
      </c>
      <c r="J6135" t="str">
        <f>IF(E6135="","",INDEX(Knutepunkter!$C:$C,E6135+1))</f>
        <v/>
      </c>
      <c r="K6135" t="str">
        <f>IF(E6135="","",INDEX(Knutepunkter!$D:$D,E6135+1))</f>
        <v/>
      </c>
      <c r="L6135" t="str">
        <f t="shared" si="478"/>
        <v/>
      </c>
      <c r="M6135" t="str">
        <f t="shared" si="479"/>
        <v/>
      </c>
    </row>
    <row r="6136" spans="1:13" x14ac:dyDescent="0.3">
      <c r="A6136" t="str">
        <f>Segmenter!A6136</f>
        <v/>
      </c>
      <c r="B6136" t="str">
        <f>Segmenter!B6136</f>
        <v/>
      </c>
      <c r="C6136" t="str">
        <f t="shared" si="475"/>
        <v/>
      </c>
      <c r="D6136" t="str">
        <f t="shared" si="476"/>
        <v/>
      </c>
      <c r="E6136" t="str">
        <f t="shared" si="477"/>
        <v/>
      </c>
      <c r="F6136" t="str">
        <f>IF(D6136="","",INDEX(Knutepunkter!$B:$B,D6136+1))</f>
        <v/>
      </c>
      <c r="G6136" t="str">
        <f>IF(D6136="","",INDEX(Knutepunkter!$C:$C,D6136+1))</f>
        <v/>
      </c>
      <c r="H6136" t="str">
        <f>IF(D6136="","",INDEX(Knutepunkter!$D:$D,D6136+1))</f>
        <v/>
      </c>
      <c r="I6136" t="str">
        <f>IF(E6136="","",INDEX(Knutepunkter!$B:$B,E6136+1))</f>
        <v/>
      </c>
      <c r="J6136" t="str">
        <f>IF(E6136="","",INDEX(Knutepunkter!$C:$C,E6136+1))</f>
        <v/>
      </c>
      <c r="K6136" t="str">
        <f>IF(E6136="","",INDEX(Knutepunkter!$D:$D,E6136+1))</f>
        <v/>
      </c>
      <c r="L6136" t="str">
        <f t="shared" si="478"/>
        <v/>
      </c>
      <c r="M6136" t="str">
        <f t="shared" si="479"/>
        <v/>
      </c>
    </row>
    <row r="6137" spans="1:13" x14ac:dyDescent="0.3">
      <c r="A6137" t="str">
        <f>Segmenter!A6137</f>
        <v/>
      </c>
      <c r="B6137" t="str">
        <f>Segmenter!B6137</f>
        <v/>
      </c>
      <c r="C6137" t="str">
        <f t="shared" si="475"/>
        <v/>
      </c>
      <c r="D6137" t="str">
        <f t="shared" si="476"/>
        <v/>
      </c>
      <c r="E6137" t="str">
        <f t="shared" si="477"/>
        <v/>
      </c>
      <c r="F6137" t="str">
        <f>IF(D6137="","",INDEX(Knutepunkter!$B:$B,D6137+1))</f>
        <v/>
      </c>
      <c r="G6137" t="str">
        <f>IF(D6137="","",INDEX(Knutepunkter!$C:$C,D6137+1))</f>
        <v/>
      </c>
      <c r="H6137" t="str">
        <f>IF(D6137="","",INDEX(Knutepunkter!$D:$D,D6137+1))</f>
        <v/>
      </c>
      <c r="I6137" t="str">
        <f>IF(E6137="","",INDEX(Knutepunkter!$B:$B,E6137+1))</f>
        <v/>
      </c>
      <c r="J6137" t="str">
        <f>IF(E6137="","",INDEX(Knutepunkter!$C:$C,E6137+1))</f>
        <v/>
      </c>
      <c r="K6137" t="str">
        <f>IF(E6137="","",INDEX(Knutepunkter!$D:$D,E6137+1))</f>
        <v/>
      </c>
      <c r="L6137" t="str">
        <f t="shared" si="478"/>
        <v/>
      </c>
      <c r="M6137" t="str">
        <f t="shared" si="479"/>
        <v/>
      </c>
    </row>
    <row r="6138" spans="1:13" x14ac:dyDescent="0.3">
      <c r="A6138" t="str">
        <f>Segmenter!A6138</f>
        <v/>
      </c>
      <c r="B6138" t="str">
        <f>Segmenter!B6138</f>
        <v/>
      </c>
      <c r="C6138" t="str">
        <f t="shared" si="475"/>
        <v/>
      </c>
      <c r="D6138" t="str">
        <f t="shared" si="476"/>
        <v/>
      </c>
      <c r="E6138" t="str">
        <f t="shared" si="477"/>
        <v/>
      </c>
      <c r="F6138" t="str">
        <f>IF(D6138="","",INDEX(Knutepunkter!$B:$B,D6138+1))</f>
        <v/>
      </c>
      <c r="G6138" t="str">
        <f>IF(D6138="","",INDEX(Knutepunkter!$C:$C,D6138+1))</f>
        <v/>
      </c>
      <c r="H6138" t="str">
        <f>IF(D6138="","",INDEX(Knutepunkter!$D:$D,D6138+1))</f>
        <v/>
      </c>
      <c r="I6138" t="str">
        <f>IF(E6138="","",INDEX(Knutepunkter!$B:$B,E6138+1))</f>
        <v/>
      </c>
      <c r="J6138" t="str">
        <f>IF(E6138="","",INDEX(Knutepunkter!$C:$C,E6138+1))</f>
        <v/>
      </c>
      <c r="K6138" t="str">
        <f>IF(E6138="","",INDEX(Knutepunkter!$D:$D,E6138+1))</f>
        <v/>
      </c>
      <c r="L6138" t="str">
        <f t="shared" si="478"/>
        <v/>
      </c>
      <c r="M6138" t="str">
        <f t="shared" si="479"/>
        <v/>
      </c>
    </row>
    <row r="6139" spans="1:13" x14ac:dyDescent="0.3">
      <c r="A6139" t="str">
        <f>Segmenter!A6139</f>
        <v/>
      </c>
      <c r="B6139" t="str">
        <f>Segmenter!B6139</f>
        <v/>
      </c>
      <c r="C6139" t="str">
        <f t="shared" si="475"/>
        <v/>
      </c>
      <c r="D6139" t="str">
        <f t="shared" si="476"/>
        <v/>
      </c>
      <c r="E6139" t="str">
        <f t="shared" si="477"/>
        <v/>
      </c>
      <c r="F6139" t="str">
        <f>IF(D6139="","",INDEX(Knutepunkter!$B:$B,D6139+1))</f>
        <v/>
      </c>
      <c r="G6139" t="str">
        <f>IF(D6139="","",INDEX(Knutepunkter!$C:$C,D6139+1))</f>
        <v/>
      </c>
      <c r="H6139" t="str">
        <f>IF(D6139="","",INDEX(Knutepunkter!$D:$D,D6139+1))</f>
        <v/>
      </c>
      <c r="I6139" t="str">
        <f>IF(E6139="","",INDEX(Knutepunkter!$B:$B,E6139+1))</f>
        <v/>
      </c>
      <c r="J6139" t="str">
        <f>IF(E6139="","",INDEX(Knutepunkter!$C:$C,E6139+1))</f>
        <v/>
      </c>
      <c r="K6139" t="str">
        <f>IF(E6139="","",INDEX(Knutepunkter!$D:$D,E6139+1))</f>
        <v/>
      </c>
      <c r="L6139" t="str">
        <f t="shared" si="478"/>
        <v/>
      </c>
      <c r="M6139" t="str">
        <f t="shared" si="479"/>
        <v/>
      </c>
    </row>
    <row r="6140" spans="1:13" x14ac:dyDescent="0.3">
      <c r="A6140" t="str">
        <f>Segmenter!A6140</f>
        <v/>
      </c>
      <c r="B6140" t="str">
        <f>Segmenter!B6140</f>
        <v/>
      </c>
      <c r="C6140" t="str">
        <f t="shared" si="475"/>
        <v/>
      </c>
      <c r="D6140" t="str">
        <f t="shared" si="476"/>
        <v/>
      </c>
      <c r="E6140" t="str">
        <f t="shared" si="477"/>
        <v/>
      </c>
      <c r="F6140" t="str">
        <f>IF(D6140="","",INDEX(Knutepunkter!$B:$B,D6140+1))</f>
        <v/>
      </c>
      <c r="G6140" t="str">
        <f>IF(D6140="","",INDEX(Knutepunkter!$C:$C,D6140+1))</f>
        <v/>
      </c>
      <c r="H6140" t="str">
        <f>IF(D6140="","",INDEX(Knutepunkter!$D:$D,D6140+1))</f>
        <v/>
      </c>
      <c r="I6140" t="str">
        <f>IF(E6140="","",INDEX(Knutepunkter!$B:$B,E6140+1))</f>
        <v/>
      </c>
      <c r="J6140" t="str">
        <f>IF(E6140="","",INDEX(Knutepunkter!$C:$C,E6140+1))</f>
        <v/>
      </c>
      <c r="K6140" t="str">
        <f>IF(E6140="","",INDEX(Knutepunkter!$D:$D,E6140+1))</f>
        <v/>
      </c>
      <c r="L6140" t="str">
        <f t="shared" si="478"/>
        <v/>
      </c>
      <c r="M6140" t="str">
        <f t="shared" si="479"/>
        <v/>
      </c>
    </row>
    <row r="6141" spans="1:13" x14ac:dyDescent="0.3">
      <c r="A6141" t="str">
        <f>Segmenter!A6141</f>
        <v/>
      </c>
      <c r="B6141" t="str">
        <f>Segmenter!B6141</f>
        <v/>
      </c>
      <c r="C6141" t="str">
        <f t="shared" si="475"/>
        <v/>
      </c>
      <c r="D6141" t="str">
        <f t="shared" si="476"/>
        <v/>
      </c>
      <c r="E6141" t="str">
        <f t="shared" si="477"/>
        <v/>
      </c>
      <c r="F6141" t="str">
        <f>IF(D6141="","",INDEX(Knutepunkter!$B:$B,D6141+1))</f>
        <v/>
      </c>
      <c r="G6141" t="str">
        <f>IF(D6141="","",INDEX(Knutepunkter!$C:$C,D6141+1))</f>
        <v/>
      </c>
      <c r="H6141" t="str">
        <f>IF(D6141="","",INDEX(Knutepunkter!$D:$D,D6141+1))</f>
        <v/>
      </c>
      <c r="I6141" t="str">
        <f>IF(E6141="","",INDEX(Knutepunkter!$B:$B,E6141+1))</f>
        <v/>
      </c>
      <c r="J6141" t="str">
        <f>IF(E6141="","",INDEX(Knutepunkter!$C:$C,E6141+1))</f>
        <v/>
      </c>
      <c r="K6141" t="str">
        <f>IF(E6141="","",INDEX(Knutepunkter!$D:$D,E6141+1))</f>
        <v/>
      </c>
      <c r="L6141" t="str">
        <f t="shared" si="478"/>
        <v/>
      </c>
      <c r="M6141" t="str">
        <f t="shared" si="479"/>
        <v/>
      </c>
    </row>
    <row r="6142" spans="1:13" x14ac:dyDescent="0.3">
      <c r="A6142" t="str">
        <f>Segmenter!A6142</f>
        <v/>
      </c>
      <c r="B6142" t="str">
        <f>Segmenter!B6142</f>
        <v/>
      </c>
      <c r="C6142" t="str">
        <f t="shared" si="475"/>
        <v/>
      </c>
      <c r="D6142" t="str">
        <f t="shared" si="476"/>
        <v/>
      </c>
      <c r="E6142" t="str">
        <f t="shared" si="477"/>
        <v/>
      </c>
      <c r="F6142" t="str">
        <f>IF(D6142="","",INDEX(Knutepunkter!$B:$B,D6142+1))</f>
        <v/>
      </c>
      <c r="G6142" t="str">
        <f>IF(D6142="","",INDEX(Knutepunkter!$C:$C,D6142+1))</f>
        <v/>
      </c>
      <c r="H6142" t="str">
        <f>IF(D6142="","",INDEX(Knutepunkter!$D:$D,D6142+1))</f>
        <v/>
      </c>
      <c r="I6142" t="str">
        <f>IF(E6142="","",INDEX(Knutepunkter!$B:$B,E6142+1))</f>
        <v/>
      </c>
      <c r="J6142" t="str">
        <f>IF(E6142="","",INDEX(Knutepunkter!$C:$C,E6142+1))</f>
        <v/>
      </c>
      <c r="K6142" t="str">
        <f>IF(E6142="","",INDEX(Knutepunkter!$D:$D,E6142+1))</f>
        <v/>
      </c>
      <c r="L6142" t="str">
        <f t="shared" si="478"/>
        <v/>
      </c>
      <c r="M6142" t="str">
        <f t="shared" si="479"/>
        <v/>
      </c>
    </row>
    <row r="6143" spans="1:13" x14ac:dyDescent="0.3">
      <c r="A6143" t="str">
        <f>Segmenter!A6143</f>
        <v/>
      </c>
      <c r="B6143" t="str">
        <f>Segmenter!B6143</f>
        <v/>
      </c>
      <c r="C6143" t="str">
        <f t="shared" si="475"/>
        <v/>
      </c>
      <c r="D6143" t="str">
        <f t="shared" si="476"/>
        <v/>
      </c>
      <c r="E6143" t="str">
        <f t="shared" si="477"/>
        <v/>
      </c>
      <c r="F6143" t="str">
        <f>IF(D6143="","",INDEX(Knutepunkter!$B:$B,D6143+1))</f>
        <v/>
      </c>
      <c r="G6143" t="str">
        <f>IF(D6143="","",INDEX(Knutepunkter!$C:$C,D6143+1))</f>
        <v/>
      </c>
      <c r="H6143" t="str">
        <f>IF(D6143="","",INDEX(Knutepunkter!$D:$D,D6143+1))</f>
        <v/>
      </c>
      <c r="I6143" t="str">
        <f>IF(E6143="","",INDEX(Knutepunkter!$B:$B,E6143+1))</f>
        <v/>
      </c>
      <c r="J6143" t="str">
        <f>IF(E6143="","",INDEX(Knutepunkter!$C:$C,E6143+1))</f>
        <v/>
      </c>
      <c r="K6143" t="str">
        <f>IF(E6143="","",INDEX(Knutepunkter!$D:$D,E6143+1))</f>
        <v/>
      </c>
      <c r="L6143" t="str">
        <f t="shared" si="478"/>
        <v/>
      </c>
      <c r="M6143" t="str">
        <f t="shared" si="479"/>
        <v/>
      </c>
    </row>
    <row r="6144" spans="1:13" x14ac:dyDescent="0.3">
      <c r="A6144" t="str">
        <f>Segmenter!A6144</f>
        <v/>
      </c>
      <c r="B6144" t="str">
        <f>Segmenter!B6144</f>
        <v/>
      </c>
      <c r="C6144" t="str">
        <f t="shared" si="475"/>
        <v/>
      </c>
      <c r="D6144" t="str">
        <f t="shared" si="476"/>
        <v/>
      </c>
      <c r="E6144" t="str">
        <f t="shared" si="477"/>
        <v/>
      </c>
      <c r="F6144" t="str">
        <f>IF(D6144="","",INDEX(Knutepunkter!$B:$B,D6144+1))</f>
        <v/>
      </c>
      <c r="G6144" t="str">
        <f>IF(D6144="","",INDEX(Knutepunkter!$C:$C,D6144+1))</f>
        <v/>
      </c>
      <c r="H6144" t="str">
        <f>IF(D6144="","",INDEX(Knutepunkter!$D:$D,D6144+1))</f>
        <v/>
      </c>
      <c r="I6144" t="str">
        <f>IF(E6144="","",INDEX(Knutepunkter!$B:$B,E6144+1))</f>
        <v/>
      </c>
      <c r="J6144" t="str">
        <f>IF(E6144="","",INDEX(Knutepunkter!$C:$C,E6144+1))</f>
        <v/>
      </c>
      <c r="K6144" t="str">
        <f>IF(E6144="","",INDEX(Knutepunkter!$D:$D,E6144+1))</f>
        <v/>
      </c>
      <c r="L6144" t="str">
        <f t="shared" si="478"/>
        <v/>
      </c>
      <c r="M6144" t="str">
        <f t="shared" si="479"/>
        <v/>
      </c>
    </row>
    <row r="6145" spans="1:13" x14ac:dyDescent="0.3">
      <c r="A6145" t="str">
        <f>Segmenter!A6145</f>
        <v/>
      </c>
      <c r="B6145" t="str">
        <f>Segmenter!B6145</f>
        <v/>
      </c>
      <c r="C6145" t="str">
        <f t="shared" si="475"/>
        <v/>
      </c>
      <c r="D6145" t="str">
        <f t="shared" si="476"/>
        <v/>
      </c>
      <c r="E6145" t="str">
        <f t="shared" si="477"/>
        <v/>
      </c>
      <c r="F6145" t="str">
        <f>IF(D6145="","",INDEX(Knutepunkter!$B:$B,D6145+1))</f>
        <v/>
      </c>
      <c r="G6145" t="str">
        <f>IF(D6145="","",INDEX(Knutepunkter!$C:$C,D6145+1))</f>
        <v/>
      </c>
      <c r="H6145" t="str">
        <f>IF(D6145="","",INDEX(Knutepunkter!$D:$D,D6145+1))</f>
        <v/>
      </c>
      <c r="I6145" t="str">
        <f>IF(E6145="","",INDEX(Knutepunkter!$B:$B,E6145+1))</f>
        <v/>
      </c>
      <c r="J6145" t="str">
        <f>IF(E6145="","",INDEX(Knutepunkter!$C:$C,E6145+1))</f>
        <v/>
      </c>
      <c r="K6145" t="str">
        <f>IF(E6145="","",INDEX(Knutepunkter!$D:$D,E6145+1))</f>
        <v/>
      </c>
      <c r="L6145" t="str">
        <f t="shared" si="478"/>
        <v/>
      </c>
      <c r="M6145" t="str">
        <f t="shared" si="479"/>
        <v/>
      </c>
    </row>
    <row r="6146" spans="1:13" x14ac:dyDescent="0.3">
      <c r="A6146" t="str">
        <f>Segmenter!A6146</f>
        <v/>
      </c>
      <c r="B6146" t="str">
        <f>Segmenter!B6146</f>
        <v/>
      </c>
      <c r="C6146" t="str">
        <f t="shared" ref="C6146:C6209" si="480">IF(B6146="","",IF(AND(F6146=I6146,G6146=J6146,H6146&lt;&gt;K6146),"Søyle","Bjelke"))</f>
        <v/>
      </c>
      <c r="D6146" t="str">
        <f t="shared" ref="D6146:D6209" si="481">IF(B6146="","",VALUE(LEFT(B6146,FIND(" -&gt; ",B6146)-1)))</f>
        <v/>
      </c>
      <c r="E6146" t="str">
        <f t="shared" ref="E6146:E6209" si="482">IF(B6146="","",VALUE(MID(B6146,FIND(" -&gt; ",B6146)+4,99)))</f>
        <v/>
      </c>
      <c r="F6146" t="str">
        <f>IF(D6146="","",INDEX(Knutepunkter!$B:$B,D6146+1))</f>
        <v/>
      </c>
      <c r="G6146" t="str">
        <f>IF(D6146="","",INDEX(Knutepunkter!$C:$C,D6146+1))</f>
        <v/>
      </c>
      <c r="H6146" t="str">
        <f>IF(D6146="","",INDEX(Knutepunkter!$D:$D,D6146+1))</f>
        <v/>
      </c>
      <c r="I6146" t="str">
        <f>IF(E6146="","",INDEX(Knutepunkter!$B:$B,E6146+1))</f>
        <v/>
      </c>
      <c r="J6146" t="str">
        <f>IF(E6146="","",INDEX(Knutepunkter!$C:$C,E6146+1))</f>
        <v/>
      </c>
      <c r="K6146" t="str">
        <f>IF(E6146="","",INDEX(Knutepunkter!$D:$D,E6146+1))</f>
        <v/>
      </c>
      <c r="L6146" t="str">
        <f t="shared" ref="L6146:L6209" si="483">IF(B6146="","",SQRT((I6146-F6146)^2+(J6146-G6146)^2+(K6146-H6146)^2))</f>
        <v/>
      </c>
      <c r="M6146" t="str">
        <f t="shared" ref="M6146:M6209" si="484">IF(L6146="","",L6146/1000)</f>
        <v/>
      </c>
    </row>
    <row r="6147" spans="1:13" x14ac:dyDescent="0.3">
      <c r="A6147" t="str">
        <f>Segmenter!A6147</f>
        <v/>
      </c>
      <c r="B6147" t="str">
        <f>Segmenter!B6147</f>
        <v/>
      </c>
      <c r="C6147" t="str">
        <f t="shared" si="480"/>
        <v/>
      </c>
      <c r="D6147" t="str">
        <f t="shared" si="481"/>
        <v/>
      </c>
      <c r="E6147" t="str">
        <f t="shared" si="482"/>
        <v/>
      </c>
      <c r="F6147" t="str">
        <f>IF(D6147="","",INDEX(Knutepunkter!$B:$B,D6147+1))</f>
        <v/>
      </c>
      <c r="G6147" t="str">
        <f>IF(D6147="","",INDEX(Knutepunkter!$C:$C,D6147+1))</f>
        <v/>
      </c>
      <c r="H6147" t="str">
        <f>IF(D6147="","",INDEX(Knutepunkter!$D:$D,D6147+1))</f>
        <v/>
      </c>
      <c r="I6147" t="str">
        <f>IF(E6147="","",INDEX(Knutepunkter!$B:$B,E6147+1))</f>
        <v/>
      </c>
      <c r="J6147" t="str">
        <f>IF(E6147="","",INDEX(Knutepunkter!$C:$C,E6147+1))</f>
        <v/>
      </c>
      <c r="K6147" t="str">
        <f>IF(E6147="","",INDEX(Knutepunkter!$D:$D,E6147+1))</f>
        <v/>
      </c>
      <c r="L6147" t="str">
        <f t="shared" si="483"/>
        <v/>
      </c>
      <c r="M6147" t="str">
        <f t="shared" si="484"/>
        <v/>
      </c>
    </row>
    <row r="6148" spans="1:13" x14ac:dyDescent="0.3">
      <c r="A6148" t="str">
        <f>Segmenter!A6148</f>
        <v/>
      </c>
      <c r="B6148" t="str">
        <f>Segmenter!B6148</f>
        <v/>
      </c>
      <c r="C6148" t="str">
        <f t="shared" si="480"/>
        <v/>
      </c>
      <c r="D6148" t="str">
        <f t="shared" si="481"/>
        <v/>
      </c>
      <c r="E6148" t="str">
        <f t="shared" si="482"/>
        <v/>
      </c>
      <c r="F6148" t="str">
        <f>IF(D6148="","",INDEX(Knutepunkter!$B:$B,D6148+1))</f>
        <v/>
      </c>
      <c r="G6148" t="str">
        <f>IF(D6148="","",INDEX(Knutepunkter!$C:$C,D6148+1))</f>
        <v/>
      </c>
      <c r="H6148" t="str">
        <f>IF(D6148="","",INDEX(Knutepunkter!$D:$D,D6148+1))</f>
        <v/>
      </c>
      <c r="I6148" t="str">
        <f>IF(E6148="","",INDEX(Knutepunkter!$B:$B,E6148+1))</f>
        <v/>
      </c>
      <c r="J6148" t="str">
        <f>IF(E6148="","",INDEX(Knutepunkter!$C:$C,E6148+1))</f>
        <v/>
      </c>
      <c r="K6148" t="str">
        <f>IF(E6148="","",INDEX(Knutepunkter!$D:$D,E6148+1))</f>
        <v/>
      </c>
      <c r="L6148" t="str">
        <f t="shared" si="483"/>
        <v/>
      </c>
      <c r="M6148" t="str">
        <f t="shared" si="484"/>
        <v/>
      </c>
    </row>
    <row r="6149" spans="1:13" x14ac:dyDescent="0.3">
      <c r="A6149" t="str">
        <f>Segmenter!A6149</f>
        <v/>
      </c>
      <c r="B6149" t="str">
        <f>Segmenter!B6149</f>
        <v/>
      </c>
      <c r="C6149" t="str">
        <f t="shared" si="480"/>
        <v/>
      </c>
      <c r="D6149" t="str">
        <f t="shared" si="481"/>
        <v/>
      </c>
      <c r="E6149" t="str">
        <f t="shared" si="482"/>
        <v/>
      </c>
      <c r="F6149" t="str">
        <f>IF(D6149="","",INDEX(Knutepunkter!$B:$B,D6149+1))</f>
        <v/>
      </c>
      <c r="G6149" t="str">
        <f>IF(D6149="","",INDEX(Knutepunkter!$C:$C,D6149+1))</f>
        <v/>
      </c>
      <c r="H6149" t="str">
        <f>IF(D6149="","",INDEX(Knutepunkter!$D:$D,D6149+1))</f>
        <v/>
      </c>
      <c r="I6149" t="str">
        <f>IF(E6149="","",INDEX(Knutepunkter!$B:$B,E6149+1))</f>
        <v/>
      </c>
      <c r="J6149" t="str">
        <f>IF(E6149="","",INDEX(Knutepunkter!$C:$C,E6149+1))</f>
        <v/>
      </c>
      <c r="K6149" t="str">
        <f>IF(E6149="","",INDEX(Knutepunkter!$D:$D,E6149+1))</f>
        <v/>
      </c>
      <c r="L6149" t="str">
        <f t="shared" si="483"/>
        <v/>
      </c>
      <c r="M6149" t="str">
        <f t="shared" si="484"/>
        <v/>
      </c>
    </row>
    <row r="6150" spans="1:13" x14ac:dyDescent="0.3">
      <c r="A6150" t="str">
        <f>Segmenter!A6150</f>
        <v/>
      </c>
      <c r="B6150" t="str">
        <f>Segmenter!B6150</f>
        <v/>
      </c>
      <c r="C6150" t="str">
        <f t="shared" si="480"/>
        <v/>
      </c>
      <c r="D6150" t="str">
        <f t="shared" si="481"/>
        <v/>
      </c>
      <c r="E6150" t="str">
        <f t="shared" si="482"/>
        <v/>
      </c>
      <c r="F6150" t="str">
        <f>IF(D6150="","",INDEX(Knutepunkter!$B:$B,D6150+1))</f>
        <v/>
      </c>
      <c r="G6150" t="str">
        <f>IF(D6150="","",INDEX(Knutepunkter!$C:$C,D6150+1))</f>
        <v/>
      </c>
      <c r="H6150" t="str">
        <f>IF(D6150="","",INDEX(Knutepunkter!$D:$D,D6150+1))</f>
        <v/>
      </c>
      <c r="I6150" t="str">
        <f>IF(E6150="","",INDEX(Knutepunkter!$B:$B,E6150+1))</f>
        <v/>
      </c>
      <c r="J6150" t="str">
        <f>IF(E6150="","",INDEX(Knutepunkter!$C:$C,E6150+1))</f>
        <v/>
      </c>
      <c r="K6150" t="str">
        <f>IF(E6150="","",INDEX(Knutepunkter!$D:$D,E6150+1))</f>
        <v/>
      </c>
      <c r="L6150" t="str">
        <f t="shared" si="483"/>
        <v/>
      </c>
      <c r="M6150" t="str">
        <f t="shared" si="484"/>
        <v/>
      </c>
    </row>
    <row r="6151" spans="1:13" x14ac:dyDescent="0.3">
      <c r="A6151" t="str">
        <f>Segmenter!A6151</f>
        <v/>
      </c>
      <c r="B6151" t="str">
        <f>Segmenter!B6151</f>
        <v/>
      </c>
      <c r="C6151" t="str">
        <f t="shared" si="480"/>
        <v/>
      </c>
      <c r="D6151" t="str">
        <f t="shared" si="481"/>
        <v/>
      </c>
      <c r="E6151" t="str">
        <f t="shared" si="482"/>
        <v/>
      </c>
      <c r="F6151" t="str">
        <f>IF(D6151="","",INDEX(Knutepunkter!$B:$B,D6151+1))</f>
        <v/>
      </c>
      <c r="G6151" t="str">
        <f>IF(D6151="","",INDEX(Knutepunkter!$C:$C,D6151+1))</f>
        <v/>
      </c>
      <c r="H6151" t="str">
        <f>IF(D6151="","",INDEX(Knutepunkter!$D:$D,D6151+1))</f>
        <v/>
      </c>
      <c r="I6151" t="str">
        <f>IF(E6151="","",INDEX(Knutepunkter!$B:$B,E6151+1))</f>
        <v/>
      </c>
      <c r="J6151" t="str">
        <f>IF(E6151="","",INDEX(Knutepunkter!$C:$C,E6151+1))</f>
        <v/>
      </c>
      <c r="K6151" t="str">
        <f>IF(E6151="","",INDEX(Knutepunkter!$D:$D,E6151+1))</f>
        <v/>
      </c>
      <c r="L6151" t="str">
        <f t="shared" si="483"/>
        <v/>
      </c>
      <c r="M6151" t="str">
        <f t="shared" si="484"/>
        <v/>
      </c>
    </row>
    <row r="6152" spans="1:13" x14ac:dyDescent="0.3">
      <c r="A6152" t="str">
        <f>Segmenter!A6152</f>
        <v/>
      </c>
      <c r="B6152" t="str">
        <f>Segmenter!B6152</f>
        <v/>
      </c>
      <c r="C6152" t="str">
        <f t="shared" si="480"/>
        <v/>
      </c>
      <c r="D6152" t="str">
        <f t="shared" si="481"/>
        <v/>
      </c>
      <c r="E6152" t="str">
        <f t="shared" si="482"/>
        <v/>
      </c>
      <c r="F6152" t="str">
        <f>IF(D6152="","",INDEX(Knutepunkter!$B:$B,D6152+1))</f>
        <v/>
      </c>
      <c r="G6152" t="str">
        <f>IF(D6152="","",INDEX(Knutepunkter!$C:$C,D6152+1))</f>
        <v/>
      </c>
      <c r="H6152" t="str">
        <f>IF(D6152="","",INDEX(Knutepunkter!$D:$D,D6152+1))</f>
        <v/>
      </c>
      <c r="I6152" t="str">
        <f>IF(E6152="","",INDEX(Knutepunkter!$B:$B,E6152+1))</f>
        <v/>
      </c>
      <c r="J6152" t="str">
        <f>IF(E6152="","",INDEX(Knutepunkter!$C:$C,E6152+1))</f>
        <v/>
      </c>
      <c r="K6152" t="str">
        <f>IF(E6152="","",INDEX(Knutepunkter!$D:$D,E6152+1))</f>
        <v/>
      </c>
      <c r="L6152" t="str">
        <f t="shared" si="483"/>
        <v/>
      </c>
      <c r="M6152" t="str">
        <f t="shared" si="484"/>
        <v/>
      </c>
    </row>
    <row r="6153" spans="1:13" x14ac:dyDescent="0.3">
      <c r="A6153" t="str">
        <f>Segmenter!A6153</f>
        <v/>
      </c>
      <c r="B6153" t="str">
        <f>Segmenter!B6153</f>
        <v/>
      </c>
      <c r="C6153" t="str">
        <f t="shared" si="480"/>
        <v/>
      </c>
      <c r="D6153" t="str">
        <f t="shared" si="481"/>
        <v/>
      </c>
      <c r="E6153" t="str">
        <f t="shared" si="482"/>
        <v/>
      </c>
      <c r="F6153" t="str">
        <f>IF(D6153="","",INDEX(Knutepunkter!$B:$B,D6153+1))</f>
        <v/>
      </c>
      <c r="G6153" t="str">
        <f>IF(D6153="","",INDEX(Knutepunkter!$C:$C,D6153+1))</f>
        <v/>
      </c>
      <c r="H6153" t="str">
        <f>IF(D6153="","",INDEX(Knutepunkter!$D:$D,D6153+1))</f>
        <v/>
      </c>
      <c r="I6153" t="str">
        <f>IF(E6153="","",INDEX(Knutepunkter!$B:$B,E6153+1))</f>
        <v/>
      </c>
      <c r="J6153" t="str">
        <f>IF(E6153="","",INDEX(Knutepunkter!$C:$C,E6153+1))</f>
        <v/>
      </c>
      <c r="K6153" t="str">
        <f>IF(E6153="","",INDEX(Knutepunkter!$D:$D,E6153+1))</f>
        <v/>
      </c>
      <c r="L6153" t="str">
        <f t="shared" si="483"/>
        <v/>
      </c>
      <c r="M6153" t="str">
        <f t="shared" si="484"/>
        <v/>
      </c>
    </row>
    <row r="6154" spans="1:13" x14ac:dyDescent="0.3">
      <c r="A6154" t="str">
        <f>Segmenter!A6154</f>
        <v/>
      </c>
      <c r="B6154" t="str">
        <f>Segmenter!B6154</f>
        <v/>
      </c>
      <c r="C6154" t="str">
        <f t="shared" si="480"/>
        <v/>
      </c>
      <c r="D6154" t="str">
        <f t="shared" si="481"/>
        <v/>
      </c>
      <c r="E6154" t="str">
        <f t="shared" si="482"/>
        <v/>
      </c>
      <c r="F6154" t="str">
        <f>IF(D6154="","",INDEX(Knutepunkter!$B:$B,D6154+1))</f>
        <v/>
      </c>
      <c r="G6154" t="str">
        <f>IF(D6154="","",INDEX(Knutepunkter!$C:$C,D6154+1))</f>
        <v/>
      </c>
      <c r="H6154" t="str">
        <f>IF(D6154="","",INDEX(Knutepunkter!$D:$D,D6154+1))</f>
        <v/>
      </c>
      <c r="I6154" t="str">
        <f>IF(E6154="","",INDEX(Knutepunkter!$B:$B,E6154+1))</f>
        <v/>
      </c>
      <c r="J6154" t="str">
        <f>IF(E6154="","",INDEX(Knutepunkter!$C:$C,E6154+1))</f>
        <v/>
      </c>
      <c r="K6154" t="str">
        <f>IF(E6154="","",INDEX(Knutepunkter!$D:$D,E6154+1))</f>
        <v/>
      </c>
      <c r="L6154" t="str">
        <f t="shared" si="483"/>
        <v/>
      </c>
      <c r="M6154" t="str">
        <f t="shared" si="484"/>
        <v/>
      </c>
    </row>
    <row r="6155" spans="1:13" x14ac:dyDescent="0.3">
      <c r="A6155" t="str">
        <f>Segmenter!A6155</f>
        <v/>
      </c>
      <c r="B6155" t="str">
        <f>Segmenter!B6155</f>
        <v/>
      </c>
      <c r="C6155" t="str">
        <f t="shared" si="480"/>
        <v/>
      </c>
      <c r="D6155" t="str">
        <f t="shared" si="481"/>
        <v/>
      </c>
      <c r="E6155" t="str">
        <f t="shared" si="482"/>
        <v/>
      </c>
      <c r="F6155" t="str">
        <f>IF(D6155="","",INDEX(Knutepunkter!$B:$B,D6155+1))</f>
        <v/>
      </c>
      <c r="G6155" t="str">
        <f>IF(D6155="","",INDEX(Knutepunkter!$C:$C,D6155+1))</f>
        <v/>
      </c>
      <c r="H6155" t="str">
        <f>IF(D6155="","",INDEX(Knutepunkter!$D:$D,D6155+1))</f>
        <v/>
      </c>
      <c r="I6155" t="str">
        <f>IF(E6155="","",INDEX(Knutepunkter!$B:$B,E6155+1))</f>
        <v/>
      </c>
      <c r="J6155" t="str">
        <f>IF(E6155="","",INDEX(Knutepunkter!$C:$C,E6155+1))</f>
        <v/>
      </c>
      <c r="K6155" t="str">
        <f>IF(E6155="","",INDEX(Knutepunkter!$D:$D,E6155+1))</f>
        <v/>
      </c>
      <c r="L6155" t="str">
        <f t="shared" si="483"/>
        <v/>
      </c>
      <c r="M6155" t="str">
        <f t="shared" si="484"/>
        <v/>
      </c>
    </row>
    <row r="6156" spans="1:13" x14ac:dyDescent="0.3">
      <c r="A6156" t="str">
        <f>Segmenter!A6156</f>
        <v/>
      </c>
      <c r="B6156" t="str">
        <f>Segmenter!B6156</f>
        <v/>
      </c>
      <c r="C6156" t="str">
        <f t="shared" si="480"/>
        <v/>
      </c>
      <c r="D6156" t="str">
        <f t="shared" si="481"/>
        <v/>
      </c>
      <c r="E6156" t="str">
        <f t="shared" si="482"/>
        <v/>
      </c>
      <c r="F6156" t="str">
        <f>IF(D6156="","",INDEX(Knutepunkter!$B:$B,D6156+1))</f>
        <v/>
      </c>
      <c r="G6156" t="str">
        <f>IF(D6156="","",INDEX(Knutepunkter!$C:$C,D6156+1))</f>
        <v/>
      </c>
      <c r="H6156" t="str">
        <f>IF(D6156="","",INDEX(Knutepunkter!$D:$D,D6156+1))</f>
        <v/>
      </c>
      <c r="I6156" t="str">
        <f>IF(E6156="","",INDEX(Knutepunkter!$B:$B,E6156+1))</f>
        <v/>
      </c>
      <c r="J6156" t="str">
        <f>IF(E6156="","",INDEX(Knutepunkter!$C:$C,E6156+1))</f>
        <v/>
      </c>
      <c r="K6156" t="str">
        <f>IF(E6156="","",INDEX(Knutepunkter!$D:$D,E6156+1))</f>
        <v/>
      </c>
      <c r="L6156" t="str">
        <f t="shared" si="483"/>
        <v/>
      </c>
      <c r="M6156" t="str">
        <f t="shared" si="484"/>
        <v/>
      </c>
    </row>
    <row r="6157" spans="1:13" x14ac:dyDescent="0.3">
      <c r="A6157" t="str">
        <f>Segmenter!A6157</f>
        <v/>
      </c>
      <c r="B6157" t="str">
        <f>Segmenter!B6157</f>
        <v/>
      </c>
      <c r="C6157" t="str">
        <f t="shared" si="480"/>
        <v/>
      </c>
      <c r="D6157" t="str">
        <f t="shared" si="481"/>
        <v/>
      </c>
      <c r="E6157" t="str">
        <f t="shared" si="482"/>
        <v/>
      </c>
      <c r="F6157" t="str">
        <f>IF(D6157="","",INDEX(Knutepunkter!$B:$B,D6157+1))</f>
        <v/>
      </c>
      <c r="G6157" t="str">
        <f>IF(D6157="","",INDEX(Knutepunkter!$C:$C,D6157+1))</f>
        <v/>
      </c>
      <c r="H6157" t="str">
        <f>IF(D6157="","",INDEX(Knutepunkter!$D:$D,D6157+1))</f>
        <v/>
      </c>
      <c r="I6157" t="str">
        <f>IF(E6157="","",INDEX(Knutepunkter!$B:$B,E6157+1))</f>
        <v/>
      </c>
      <c r="J6157" t="str">
        <f>IF(E6157="","",INDEX(Knutepunkter!$C:$C,E6157+1))</f>
        <v/>
      </c>
      <c r="K6157" t="str">
        <f>IF(E6157="","",INDEX(Knutepunkter!$D:$D,E6157+1))</f>
        <v/>
      </c>
      <c r="L6157" t="str">
        <f t="shared" si="483"/>
        <v/>
      </c>
      <c r="M6157" t="str">
        <f t="shared" si="484"/>
        <v/>
      </c>
    </row>
    <row r="6158" spans="1:13" x14ac:dyDescent="0.3">
      <c r="A6158" t="str">
        <f>Segmenter!A6158</f>
        <v/>
      </c>
      <c r="B6158" t="str">
        <f>Segmenter!B6158</f>
        <v/>
      </c>
      <c r="C6158" t="str">
        <f t="shared" si="480"/>
        <v/>
      </c>
      <c r="D6158" t="str">
        <f t="shared" si="481"/>
        <v/>
      </c>
      <c r="E6158" t="str">
        <f t="shared" si="482"/>
        <v/>
      </c>
      <c r="F6158" t="str">
        <f>IF(D6158="","",INDEX(Knutepunkter!$B:$B,D6158+1))</f>
        <v/>
      </c>
      <c r="G6158" t="str">
        <f>IF(D6158="","",INDEX(Knutepunkter!$C:$C,D6158+1))</f>
        <v/>
      </c>
      <c r="H6158" t="str">
        <f>IF(D6158="","",INDEX(Knutepunkter!$D:$D,D6158+1))</f>
        <v/>
      </c>
      <c r="I6158" t="str">
        <f>IF(E6158="","",INDEX(Knutepunkter!$B:$B,E6158+1))</f>
        <v/>
      </c>
      <c r="J6158" t="str">
        <f>IF(E6158="","",INDEX(Knutepunkter!$C:$C,E6158+1))</f>
        <v/>
      </c>
      <c r="K6158" t="str">
        <f>IF(E6158="","",INDEX(Knutepunkter!$D:$D,E6158+1))</f>
        <v/>
      </c>
      <c r="L6158" t="str">
        <f t="shared" si="483"/>
        <v/>
      </c>
      <c r="M6158" t="str">
        <f t="shared" si="484"/>
        <v/>
      </c>
    </row>
    <row r="6159" spans="1:13" x14ac:dyDescent="0.3">
      <c r="A6159" t="str">
        <f>Segmenter!A6159</f>
        <v/>
      </c>
      <c r="B6159" t="str">
        <f>Segmenter!B6159</f>
        <v/>
      </c>
      <c r="C6159" t="str">
        <f t="shared" si="480"/>
        <v/>
      </c>
      <c r="D6159" t="str">
        <f t="shared" si="481"/>
        <v/>
      </c>
      <c r="E6159" t="str">
        <f t="shared" si="482"/>
        <v/>
      </c>
      <c r="F6159" t="str">
        <f>IF(D6159="","",INDEX(Knutepunkter!$B:$B,D6159+1))</f>
        <v/>
      </c>
      <c r="G6159" t="str">
        <f>IF(D6159="","",INDEX(Knutepunkter!$C:$C,D6159+1))</f>
        <v/>
      </c>
      <c r="H6159" t="str">
        <f>IF(D6159="","",INDEX(Knutepunkter!$D:$D,D6159+1))</f>
        <v/>
      </c>
      <c r="I6159" t="str">
        <f>IF(E6159="","",INDEX(Knutepunkter!$B:$B,E6159+1))</f>
        <v/>
      </c>
      <c r="J6159" t="str">
        <f>IF(E6159="","",INDEX(Knutepunkter!$C:$C,E6159+1))</f>
        <v/>
      </c>
      <c r="K6159" t="str">
        <f>IF(E6159="","",INDEX(Knutepunkter!$D:$D,E6159+1))</f>
        <v/>
      </c>
      <c r="L6159" t="str">
        <f t="shared" si="483"/>
        <v/>
      </c>
      <c r="M6159" t="str">
        <f t="shared" si="484"/>
        <v/>
      </c>
    </row>
    <row r="6160" spans="1:13" x14ac:dyDescent="0.3">
      <c r="A6160" t="str">
        <f>Segmenter!A6160</f>
        <v/>
      </c>
      <c r="B6160" t="str">
        <f>Segmenter!B6160</f>
        <v/>
      </c>
      <c r="C6160" t="str">
        <f t="shared" si="480"/>
        <v/>
      </c>
      <c r="D6160" t="str">
        <f t="shared" si="481"/>
        <v/>
      </c>
      <c r="E6160" t="str">
        <f t="shared" si="482"/>
        <v/>
      </c>
      <c r="F6160" t="str">
        <f>IF(D6160="","",INDEX(Knutepunkter!$B:$B,D6160+1))</f>
        <v/>
      </c>
      <c r="G6160" t="str">
        <f>IF(D6160="","",INDEX(Knutepunkter!$C:$C,D6160+1))</f>
        <v/>
      </c>
      <c r="H6160" t="str">
        <f>IF(D6160="","",INDEX(Knutepunkter!$D:$D,D6160+1))</f>
        <v/>
      </c>
      <c r="I6160" t="str">
        <f>IF(E6160="","",INDEX(Knutepunkter!$B:$B,E6160+1))</f>
        <v/>
      </c>
      <c r="J6160" t="str">
        <f>IF(E6160="","",INDEX(Knutepunkter!$C:$C,E6160+1))</f>
        <v/>
      </c>
      <c r="K6160" t="str">
        <f>IF(E6160="","",INDEX(Knutepunkter!$D:$D,E6160+1))</f>
        <v/>
      </c>
      <c r="L6160" t="str">
        <f t="shared" si="483"/>
        <v/>
      </c>
      <c r="M6160" t="str">
        <f t="shared" si="484"/>
        <v/>
      </c>
    </row>
    <row r="6161" spans="1:13" x14ac:dyDescent="0.3">
      <c r="A6161" t="str">
        <f>Segmenter!A6161</f>
        <v/>
      </c>
      <c r="B6161" t="str">
        <f>Segmenter!B6161</f>
        <v/>
      </c>
      <c r="C6161" t="str">
        <f t="shared" si="480"/>
        <v/>
      </c>
      <c r="D6161" t="str">
        <f t="shared" si="481"/>
        <v/>
      </c>
      <c r="E6161" t="str">
        <f t="shared" si="482"/>
        <v/>
      </c>
      <c r="F6161" t="str">
        <f>IF(D6161="","",INDEX(Knutepunkter!$B:$B,D6161+1))</f>
        <v/>
      </c>
      <c r="G6161" t="str">
        <f>IF(D6161="","",INDEX(Knutepunkter!$C:$C,D6161+1))</f>
        <v/>
      </c>
      <c r="H6161" t="str">
        <f>IF(D6161="","",INDEX(Knutepunkter!$D:$D,D6161+1))</f>
        <v/>
      </c>
      <c r="I6161" t="str">
        <f>IF(E6161="","",INDEX(Knutepunkter!$B:$B,E6161+1))</f>
        <v/>
      </c>
      <c r="J6161" t="str">
        <f>IF(E6161="","",INDEX(Knutepunkter!$C:$C,E6161+1))</f>
        <v/>
      </c>
      <c r="K6161" t="str">
        <f>IF(E6161="","",INDEX(Knutepunkter!$D:$D,E6161+1))</f>
        <v/>
      </c>
      <c r="L6161" t="str">
        <f t="shared" si="483"/>
        <v/>
      </c>
      <c r="M6161" t="str">
        <f t="shared" si="484"/>
        <v/>
      </c>
    </row>
    <row r="6162" spans="1:13" x14ac:dyDescent="0.3">
      <c r="A6162" t="str">
        <f>Segmenter!A6162</f>
        <v/>
      </c>
      <c r="B6162" t="str">
        <f>Segmenter!B6162</f>
        <v/>
      </c>
      <c r="C6162" t="str">
        <f t="shared" si="480"/>
        <v/>
      </c>
      <c r="D6162" t="str">
        <f t="shared" si="481"/>
        <v/>
      </c>
      <c r="E6162" t="str">
        <f t="shared" si="482"/>
        <v/>
      </c>
      <c r="F6162" t="str">
        <f>IF(D6162="","",INDEX(Knutepunkter!$B:$B,D6162+1))</f>
        <v/>
      </c>
      <c r="G6162" t="str">
        <f>IF(D6162="","",INDEX(Knutepunkter!$C:$C,D6162+1))</f>
        <v/>
      </c>
      <c r="H6162" t="str">
        <f>IF(D6162="","",INDEX(Knutepunkter!$D:$D,D6162+1))</f>
        <v/>
      </c>
      <c r="I6162" t="str">
        <f>IF(E6162="","",INDEX(Knutepunkter!$B:$B,E6162+1))</f>
        <v/>
      </c>
      <c r="J6162" t="str">
        <f>IF(E6162="","",INDEX(Knutepunkter!$C:$C,E6162+1))</f>
        <v/>
      </c>
      <c r="K6162" t="str">
        <f>IF(E6162="","",INDEX(Knutepunkter!$D:$D,E6162+1))</f>
        <v/>
      </c>
      <c r="L6162" t="str">
        <f t="shared" si="483"/>
        <v/>
      </c>
      <c r="M6162" t="str">
        <f t="shared" si="484"/>
        <v/>
      </c>
    </row>
    <row r="6163" spans="1:13" x14ac:dyDescent="0.3">
      <c r="A6163" t="str">
        <f>Segmenter!A6163</f>
        <v/>
      </c>
      <c r="B6163" t="str">
        <f>Segmenter!B6163</f>
        <v/>
      </c>
      <c r="C6163" t="str">
        <f t="shared" si="480"/>
        <v/>
      </c>
      <c r="D6163" t="str">
        <f t="shared" si="481"/>
        <v/>
      </c>
      <c r="E6163" t="str">
        <f t="shared" si="482"/>
        <v/>
      </c>
      <c r="F6163" t="str">
        <f>IF(D6163="","",INDEX(Knutepunkter!$B:$B,D6163+1))</f>
        <v/>
      </c>
      <c r="G6163" t="str">
        <f>IF(D6163="","",INDEX(Knutepunkter!$C:$C,D6163+1))</f>
        <v/>
      </c>
      <c r="H6163" t="str">
        <f>IF(D6163="","",INDEX(Knutepunkter!$D:$D,D6163+1))</f>
        <v/>
      </c>
      <c r="I6163" t="str">
        <f>IF(E6163="","",INDEX(Knutepunkter!$B:$B,E6163+1))</f>
        <v/>
      </c>
      <c r="J6163" t="str">
        <f>IF(E6163="","",INDEX(Knutepunkter!$C:$C,E6163+1))</f>
        <v/>
      </c>
      <c r="K6163" t="str">
        <f>IF(E6163="","",INDEX(Knutepunkter!$D:$D,E6163+1))</f>
        <v/>
      </c>
      <c r="L6163" t="str">
        <f t="shared" si="483"/>
        <v/>
      </c>
      <c r="M6163" t="str">
        <f t="shared" si="484"/>
        <v/>
      </c>
    </row>
    <row r="6164" spans="1:13" x14ac:dyDescent="0.3">
      <c r="A6164" t="str">
        <f>Segmenter!A6164</f>
        <v/>
      </c>
      <c r="B6164" t="str">
        <f>Segmenter!B6164</f>
        <v/>
      </c>
      <c r="C6164" t="str">
        <f t="shared" si="480"/>
        <v/>
      </c>
      <c r="D6164" t="str">
        <f t="shared" si="481"/>
        <v/>
      </c>
      <c r="E6164" t="str">
        <f t="shared" si="482"/>
        <v/>
      </c>
      <c r="F6164" t="str">
        <f>IF(D6164="","",INDEX(Knutepunkter!$B:$B,D6164+1))</f>
        <v/>
      </c>
      <c r="G6164" t="str">
        <f>IF(D6164="","",INDEX(Knutepunkter!$C:$C,D6164+1))</f>
        <v/>
      </c>
      <c r="H6164" t="str">
        <f>IF(D6164="","",INDEX(Knutepunkter!$D:$D,D6164+1))</f>
        <v/>
      </c>
      <c r="I6164" t="str">
        <f>IF(E6164="","",INDEX(Knutepunkter!$B:$B,E6164+1))</f>
        <v/>
      </c>
      <c r="J6164" t="str">
        <f>IF(E6164="","",INDEX(Knutepunkter!$C:$C,E6164+1))</f>
        <v/>
      </c>
      <c r="K6164" t="str">
        <f>IF(E6164="","",INDEX(Knutepunkter!$D:$D,E6164+1))</f>
        <v/>
      </c>
      <c r="L6164" t="str">
        <f t="shared" si="483"/>
        <v/>
      </c>
      <c r="M6164" t="str">
        <f t="shared" si="484"/>
        <v/>
      </c>
    </row>
    <row r="6165" spans="1:13" x14ac:dyDescent="0.3">
      <c r="A6165" t="str">
        <f>Segmenter!A6165</f>
        <v/>
      </c>
      <c r="B6165" t="str">
        <f>Segmenter!B6165</f>
        <v/>
      </c>
      <c r="C6165" t="str">
        <f t="shared" si="480"/>
        <v/>
      </c>
      <c r="D6165" t="str">
        <f t="shared" si="481"/>
        <v/>
      </c>
      <c r="E6165" t="str">
        <f t="shared" si="482"/>
        <v/>
      </c>
      <c r="F6165" t="str">
        <f>IF(D6165="","",INDEX(Knutepunkter!$B:$B,D6165+1))</f>
        <v/>
      </c>
      <c r="G6165" t="str">
        <f>IF(D6165="","",INDEX(Knutepunkter!$C:$C,D6165+1))</f>
        <v/>
      </c>
      <c r="H6165" t="str">
        <f>IF(D6165="","",INDEX(Knutepunkter!$D:$D,D6165+1))</f>
        <v/>
      </c>
      <c r="I6165" t="str">
        <f>IF(E6165="","",INDEX(Knutepunkter!$B:$B,E6165+1))</f>
        <v/>
      </c>
      <c r="J6165" t="str">
        <f>IF(E6165="","",INDEX(Knutepunkter!$C:$C,E6165+1))</f>
        <v/>
      </c>
      <c r="K6165" t="str">
        <f>IF(E6165="","",INDEX(Knutepunkter!$D:$D,E6165+1))</f>
        <v/>
      </c>
      <c r="L6165" t="str">
        <f t="shared" si="483"/>
        <v/>
      </c>
      <c r="M6165" t="str">
        <f t="shared" si="484"/>
        <v/>
      </c>
    </row>
    <row r="6166" spans="1:13" x14ac:dyDescent="0.3">
      <c r="A6166" t="str">
        <f>Segmenter!A6166</f>
        <v/>
      </c>
      <c r="B6166" t="str">
        <f>Segmenter!B6166</f>
        <v/>
      </c>
      <c r="C6166" t="str">
        <f t="shared" si="480"/>
        <v/>
      </c>
      <c r="D6166" t="str">
        <f t="shared" si="481"/>
        <v/>
      </c>
      <c r="E6166" t="str">
        <f t="shared" si="482"/>
        <v/>
      </c>
      <c r="F6166" t="str">
        <f>IF(D6166="","",INDEX(Knutepunkter!$B:$B,D6166+1))</f>
        <v/>
      </c>
      <c r="G6166" t="str">
        <f>IF(D6166="","",INDEX(Knutepunkter!$C:$C,D6166+1))</f>
        <v/>
      </c>
      <c r="H6166" t="str">
        <f>IF(D6166="","",INDEX(Knutepunkter!$D:$D,D6166+1))</f>
        <v/>
      </c>
      <c r="I6166" t="str">
        <f>IF(E6166="","",INDEX(Knutepunkter!$B:$B,E6166+1))</f>
        <v/>
      </c>
      <c r="J6166" t="str">
        <f>IF(E6166="","",INDEX(Knutepunkter!$C:$C,E6166+1))</f>
        <v/>
      </c>
      <c r="K6166" t="str">
        <f>IF(E6166="","",INDEX(Knutepunkter!$D:$D,E6166+1))</f>
        <v/>
      </c>
      <c r="L6166" t="str">
        <f t="shared" si="483"/>
        <v/>
      </c>
      <c r="M6166" t="str">
        <f t="shared" si="484"/>
        <v/>
      </c>
    </row>
    <row r="6167" spans="1:13" x14ac:dyDescent="0.3">
      <c r="A6167" t="str">
        <f>Segmenter!A6167</f>
        <v/>
      </c>
      <c r="B6167" t="str">
        <f>Segmenter!B6167</f>
        <v/>
      </c>
      <c r="C6167" t="str">
        <f t="shared" si="480"/>
        <v/>
      </c>
      <c r="D6167" t="str">
        <f t="shared" si="481"/>
        <v/>
      </c>
      <c r="E6167" t="str">
        <f t="shared" si="482"/>
        <v/>
      </c>
      <c r="F6167" t="str">
        <f>IF(D6167="","",INDEX(Knutepunkter!$B:$B,D6167+1))</f>
        <v/>
      </c>
      <c r="G6167" t="str">
        <f>IF(D6167="","",INDEX(Knutepunkter!$C:$C,D6167+1))</f>
        <v/>
      </c>
      <c r="H6167" t="str">
        <f>IF(D6167="","",INDEX(Knutepunkter!$D:$D,D6167+1))</f>
        <v/>
      </c>
      <c r="I6167" t="str">
        <f>IF(E6167="","",INDEX(Knutepunkter!$B:$B,E6167+1))</f>
        <v/>
      </c>
      <c r="J6167" t="str">
        <f>IF(E6167="","",INDEX(Knutepunkter!$C:$C,E6167+1))</f>
        <v/>
      </c>
      <c r="K6167" t="str">
        <f>IF(E6167="","",INDEX(Knutepunkter!$D:$D,E6167+1))</f>
        <v/>
      </c>
      <c r="L6167" t="str">
        <f t="shared" si="483"/>
        <v/>
      </c>
      <c r="M6167" t="str">
        <f t="shared" si="484"/>
        <v/>
      </c>
    </row>
    <row r="6168" spans="1:13" x14ac:dyDescent="0.3">
      <c r="A6168" t="str">
        <f>Segmenter!A6168</f>
        <v/>
      </c>
      <c r="B6168" t="str">
        <f>Segmenter!B6168</f>
        <v/>
      </c>
      <c r="C6168" t="str">
        <f t="shared" si="480"/>
        <v/>
      </c>
      <c r="D6168" t="str">
        <f t="shared" si="481"/>
        <v/>
      </c>
      <c r="E6168" t="str">
        <f t="shared" si="482"/>
        <v/>
      </c>
      <c r="F6168" t="str">
        <f>IF(D6168="","",INDEX(Knutepunkter!$B:$B,D6168+1))</f>
        <v/>
      </c>
      <c r="G6168" t="str">
        <f>IF(D6168="","",INDEX(Knutepunkter!$C:$C,D6168+1))</f>
        <v/>
      </c>
      <c r="H6168" t="str">
        <f>IF(D6168="","",INDEX(Knutepunkter!$D:$D,D6168+1))</f>
        <v/>
      </c>
      <c r="I6168" t="str">
        <f>IF(E6168="","",INDEX(Knutepunkter!$B:$B,E6168+1))</f>
        <v/>
      </c>
      <c r="J6168" t="str">
        <f>IF(E6168="","",INDEX(Knutepunkter!$C:$C,E6168+1))</f>
        <v/>
      </c>
      <c r="K6168" t="str">
        <f>IF(E6168="","",INDEX(Knutepunkter!$D:$D,E6168+1))</f>
        <v/>
      </c>
      <c r="L6168" t="str">
        <f t="shared" si="483"/>
        <v/>
      </c>
      <c r="M6168" t="str">
        <f t="shared" si="484"/>
        <v/>
      </c>
    </row>
    <row r="6169" spans="1:13" x14ac:dyDescent="0.3">
      <c r="A6169" t="str">
        <f>Segmenter!A6169</f>
        <v/>
      </c>
      <c r="B6169" t="str">
        <f>Segmenter!B6169</f>
        <v/>
      </c>
      <c r="C6169" t="str">
        <f t="shared" si="480"/>
        <v/>
      </c>
      <c r="D6169" t="str">
        <f t="shared" si="481"/>
        <v/>
      </c>
      <c r="E6169" t="str">
        <f t="shared" si="482"/>
        <v/>
      </c>
      <c r="F6169" t="str">
        <f>IF(D6169="","",INDEX(Knutepunkter!$B:$B,D6169+1))</f>
        <v/>
      </c>
      <c r="G6169" t="str">
        <f>IF(D6169="","",INDEX(Knutepunkter!$C:$C,D6169+1))</f>
        <v/>
      </c>
      <c r="H6169" t="str">
        <f>IF(D6169="","",INDEX(Knutepunkter!$D:$D,D6169+1))</f>
        <v/>
      </c>
      <c r="I6169" t="str">
        <f>IF(E6169="","",INDEX(Knutepunkter!$B:$B,E6169+1))</f>
        <v/>
      </c>
      <c r="J6169" t="str">
        <f>IF(E6169="","",INDEX(Knutepunkter!$C:$C,E6169+1))</f>
        <v/>
      </c>
      <c r="K6169" t="str">
        <f>IF(E6169="","",INDEX(Knutepunkter!$D:$D,E6169+1))</f>
        <v/>
      </c>
      <c r="L6169" t="str">
        <f t="shared" si="483"/>
        <v/>
      </c>
      <c r="M6169" t="str">
        <f t="shared" si="484"/>
        <v/>
      </c>
    </row>
    <row r="6170" spans="1:13" x14ac:dyDescent="0.3">
      <c r="A6170" t="str">
        <f>Segmenter!A6170</f>
        <v/>
      </c>
      <c r="B6170" t="str">
        <f>Segmenter!B6170</f>
        <v/>
      </c>
      <c r="C6170" t="str">
        <f t="shared" si="480"/>
        <v/>
      </c>
      <c r="D6170" t="str">
        <f t="shared" si="481"/>
        <v/>
      </c>
      <c r="E6170" t="str">
        <f t="shared" si="482"/>
        <v/>
      </c>
      <c r="F6170" t="str">
        <f>IF(D6170="","",INDEX(Knutepunkter!$B:$B,D6170+1))</f>
        <v/>
      </c>
      <c r="G6170" t="str">
        <f>IF(D6170="","",INDEX(Knutepunkter!$C:$C,D6170+1))</f>
        <v/>
      </c>
      <c r="H6170" t="str">
        <f>IF(D6170="","",INDEX(Knutepunkter!$D:$D,D6170+1))</f>
        <v/>
      </c>
      <c r="I6170" t="str">
        <f>IF(E6170="","",INDEX(Knutepunkter!$B:$B,E6170+1))</f>
        <v/>
      </c>
      <c r="J6170" t="str">
        <f>IF(E6170="","",INDEX(Knutepunkter!$C:$C,E6170+1))</f>
        <v/>
      </c>
      <c r="K6170" t="str">
        <f>IF(E6170="","",INDEX(Knutepunkter!$D:$D,E6170+1))</f>
        <v/>
      </c>
      <c r="L6170" t="str">
        <f t="shared" si="483"/>
        <v/>
      </c>
      <c r="M6170" t="str">
        <f t="shared" si="484"/>
        <v/>
      </c>
    </row>
    <row r="6171" spans="1:13" x14ac:dyDescent="0.3">
      <c r="A6171" t="str">
        <f>Segmenter!A6171</f>
        <v/>
      </c>
      <c r="B6171" t="str">
        <f>Segmenter!B6171</f>
        <v/>
      </c>
      <c r="C6171" t="str">
        <f t="shared" si="480"/>
        <v/>
      </c>
      <c r="D6171" t="str">
        <f t="shared" si="481"/>
        <v/>
      </c>
      <c r="E6171" t="str">
        <f t="shared" si="482"/>
        <v/>
      </c>
      <c r="F6171" t="str">
        <f>IF(D6171="","",INDEX(Knutepunkter!$B:$B,D6171+1))</f>
        <v/>
      </c>
      <c r="G6171" t="str">
        <f>IF(D6171="","",INDEX(Knutepunkter!$C:$C,D6171+1))</f>
        <v/>
      </c>
      <c r="H6171" t="str">
        <f>IF(D6171="","",INDEX(Knutepunkter!$D:$D,D6171+1))</f>
        <v/>
      </c>
      <c r="I6171" t="str">
        <f>IF(E6171="","",INDEX(Knutepunkter!$B:$B,E6171+1))</f>
        <v/>
      </c>
      <c r="J6171" t="str">
        <f>IF(E6171="","",INDEX(Knutepunkter!$C:$C,E6171+1))</f>
        <v/>
      </c>
      <c r="K6171" t="str">
        <f>IF(E6171="","",INDEX(Knutepunkter!$D:$D,E6171+1))</f>
        <v/>
      </c>
      <c r="L6171" t="str">
        <f t="shared" si="483"/>
        <v/>
      </c>
      <c r="M6171" t="str">
        <f t="shared" si="484"/>
        <v/>
      </c>
    </row>
    <row r="6172" spans="1:13" x14ac:dyDescent="0.3">
      <c r="A6172" t="str">
        <f>Segmenter!A6172</f>
        <v/>
      </c>
      <c r="B6172" t="str">
        <f>Segmenter!B6172</f>
        <v/>
      </c>
      <c r="C6172" t="str">
        <f t="shared" si="480"/>
        <v/>
      </c>
      <c r="D6172" t="str">
        <f t="shared" si="481"/>
        <v/>
      </c>
      <c r="E6172" t="str">
        <f t="shared" si="482"/>
        <v/>
      </c>
      <c r="F6172" t="str">
        <f>IF(D6172="","",INDEX(Knutepunkter!$B:$B,D6172+1))</f>
        <v/>
      </c>
      <c r="G6172" t="str">
        <f>IF(D6172="","",INDEX(Knutepunkter!$C:$C,D6172+1))</f>
        <v/>
      </c>
      <c r="H6172" t="str">
        <f>IF(D6172="","",INDEX(Knutepunkter!$D:$D,D6172+1))</f>
        <v/>
      </c>
      <c r="I6172" t="str">
        <f>IF(E6172="","",INDEX(Knutepunkter!$B:$B,E6172+1))</f>
        <v/>
      </c>
      <c r="J6172" t="str">
        <f>IF(E6172="","",INDEX(Knutepunkter!$C:$C,E6172+1))</f>
        <v/>
      </c>
      <c r="K6172" t="str">
        <f>IF(E6172="","",INDEX(Knutepunkter!$D:$D,E6172+1))</f>
        <v/>
      </c>
      <c r="L6172" t="str">
        <f t="shared" si="483"/>
        <v/>
      </c>
      <c r="M6172" t="str">
        <f t="shared" si="484"/>
        <v/>
      </c>
    </row>
    <row r="6173" spans="1:13" x14ac:dyDescent="0.3">
      <c r="A6173" t="str">
        <f>Segmenter!A6173</f>
        <v/>
      </c>
      <c r="B6173" t="str">
        <f>Segmenter!B6173</f>
        <v/>
      </c>
      <c r="C6173" t="str">
        <f t="shared" si="480"/>
        <v/>
      </c>
      <c r="D6173" t="str">
        <f t="shared" si="481"/>
        <v/>
      </c>
      <c r="E6173" t="str">
        <f t="shared" si="482"/>
        <v/>
      </c>
      <c r="F6173" t="str">
        <f>IF(D6173="","",INDEX(Knutepunkter!$B:$B,D6173+1))</f>
        <v/>
      </c>
      <c r="G6173" t="str">
        <f>IF(D6173="","",INDEX(Knutepunkter!$C:$C,D6173+1))</f>
        <v/>
      </c>
      <c r="H6173" t="str">
        <f>IF(D6173="","",INDEX(Knutepunkter!$D:$D,D6173+1))</f>
        <v/>
      </c>
      <c r="I6173" t="str">
        <f>IF(E6173="","",INDEX(Knutepunkter!$B:$B,E6173+1))</f>
        <v/>
      </c>
      <c r="J6173" t="str">
        <f>IF(E6173="","",INDEX(Knutepunkter!$C:$C,E6173+1))</f>
        <v/>
      </c>
      <c r="K6173" t="str">
        <f>IF(E6173="","",INDEX(Knutepunkter!$D:$D,E6173+1))</f>
        <v/>
      </c>
      <c r="L6173" t="str">
        <f t="shared" si="483"/>
        <v/>
      </c>
      <c r="M6173" t="str">
        <f t="shared" si="484"/>
        <v/>
      </c>
    </row>
    <row r="6174" spans="1:13" x14ac:dyDescent="0.3">
      <c r="A6174" t="str">
        <f>Segmenter!A6174</f>
        <v/>
      </c>
      <c r="B6174" t="str">
        <f>Segmenter!B6174</f>
        <v/>
      </c>
      <c r="C6174" t="str">
        <f t="shared" si="480"/>
        <v/>
      </c>
      <c r="D6174" t="str">
        <f t="shared" si="481"/>
        <v/>
      </c>
      <c r="E6174" t="str">
        <f t="shared" si="482"/>
        <v/>
      </c>
      <c r="F6174" t="str">
        <f>IF(D6174="","",INDEX(Knutepunkter!$B:$B,D6174+1))</f>
        <v/>
      </c>
      <c r="G6174" t="str">
        <f>IF(D6174="","",INDEX(Knutepunkter!$C:$C,D6174+1))</f>
        <v/>
      </c>
      <c r="H6174" t="str">
        <f>IF(D6174="","",INDEX(Knutepunkter!$D:$D,D6174+1))</f>
        <v/>
      </c>
      <c r="I6174" t="str">
        <f>IF(E6174="","",INDEX(Knutepunkter!$B:$B,E6174+1))</f>
        <v/>
      </c>
      <c r="J6174" t="str">
        <f>IF(E6174="","",INDEX(Knutepunkter!$C:$C,E6174+1))</f>
        <v/>
      </c>
      <c r="K6174" t="str">
        <f>IF(E6174="","",INDEX(Knutepunkter!$D:$D,E6174+1))</f>
        <v/>
      </c>
      <c r="L6174" t="str">
        <f t="shared" si="483"/>
        <v/>
      </c>
      <c r="M6174" t="str">
        <f t="shared" si="484"/>
        <v/>
      </c>
    </row>
    <row r="6175" spans="1:13" x14ac:dyDescent="0.3">
      <c r="A6175" t="str">
        <f>Segmenter!A6175</f>
        <v/>
      </c>
      <c r="B6175" t="str">
        <f>Segmenter!B6175</f>
        <v/>
      </c>
      <c r="C6175" t="str">
        <f t="shared" si="480"/>
        <v/>
      </c>
      <c r="D6175" t="str">
        <f t="shared" si="481"/>
        <v/>
      </c>
      <c r="E6175" t="str">
        <f t="shared" si="482"/>
        <v/>
      </c>
      <c r="F6175" t="str">
        <f>IF(D6175="","",INDEX(Knutepunkter!$B:$B,D6175+1))</f>
        <v/>
      </c>
      <c r="G6175" t="str">
        <f>IF(D6175="","",INDEX(Knutepunkter!$C:$C,D6175+1))</f>
        <v/>
      </c>
      <c r="H6175" t="str">
        <f>IF(D6175="","",INDEX(Knutepunkter!$D:$D,D6175+1))</f>
        <v/>
      </c>
      <c r="I6175" t="str">
        <f>IF(E6175="","",INDEX(Knutepunkter!$B:$B,E6175+1))</f>
        <v/>
      </c>
      <c r="J6175" t="str">
        <f>IF(E6175="","",INDEX(Knutepunkter!$C:$C,E6175+1))</f>
        <v/>
      </c>
      <c r="K6175" t="str">
        <f>IF(E6175="","",INDEX(Knutepunkter!$D:$D,E6175+1))</f>
        <v/>
      </c>
      <c r="L6175" t="str">
        <f t="shared" si="483"/>
        <v/>
      </c>
      <c r="M6175" t="str">
        <f t="shared" si="484"/>
        <v/>
      </c>
    </row>
    <row r="6176" spans="1:13" x14ac:dyDescent="0.3">
      <c r="A6176" t="str">
        <f>Segmenter!A6176</f>
        <v/>
      </c>
      <c r="B6176" t="str">
        <f>Segmenter!B6176</f>
        <v/>
      </c>
      <c r="C6176" t="str">
        <f t="shared" si="480"/>
        <v/>
      </c>
      <c r="D6176" t="str">
        <f t="shared" si="481"/>
        <v/>
      </c>
      <c r="E6176" t="str">
        <f t="shared" si="482"/>
        <v/>
      </c>
      <c r="F6176" t="str">
        <f>IF(D6176="","",INDEX(Knutepunkter!$B:$B,D6176+1))</f>
        <v/>
      </c>
      <c r="G6176" t="str">
        <f>IF(D6176="","",INDEX(Knutepunkter!$C:$C,D6176+1))</f>
        <v/>
      </c>
      <c r="H6176" t="str">
        <f>IF(D6176="","",INDEX(Knutepunkter!$D:$D,D6176+1))</f>
        <v/>
      </c>
      <c r="I6176" t="str">
        <f>IF(E6176="","",INDEX(Knutepunkter!$B:$B,E6176+1))</f>
        <v/>
      </c>
      <c r="J6176" t="str">
        <f>IF(E6176="","",INDEX(Knutepunkter!$C:$C,E6176+1))</f>
        <v/>
      </c>
      <c r="K6176" t="str">
        <f>IF(E6176="","",INDEX(Knutepunkter!$D:$D,E6176+1))</f>
        <v/>
      </c>
      <c r="L6176" t="str">
        <f t="shared" si="483"/>
        <v/>
      </c>
      <c r="M6176" t="str">
        <f t="shared" si="484"/>
        <v/>
      </c>
    </row>
    <row r="6177" spans="1:13" x14ac:dyDescent="0.3">
      <c r="A6177" t="str">
        <f>Segmenter!A6177</f>
        <v/>
      </c>
      <c r="B6177" t="str">
        <f>Segmenter!B6177</f>
        <v/>
      </c>
      <c r="C6177" t="str">
        <f t="shared" si="480"/>
        <v/>
      </c>
      <c r="D6177" t="str">
        <f t="shared" si="481"/>
        <v/>
      </c>
      <c r="E6177" t="str">
        <f t="shared" si="482"/>
        <v/>
      </c>
      <c r="F6177" t="str">
        <f>IF(D6177="","",INDEX(Knutepunkter!$B:$B,D6177+1))</f>
        <v/>
      </c>
      <c r="G6177" t="str">
        <f>IF(D6177="","",INDEX(Knutepunkter!$C:$C,D6177+1))</f>
        <v/>
      </c>
      <c r="H6177" t="str">
        <f>IF(D6177="","",INDEX(Knutepunkter!$D:$D,D6177+1))</f>
        <v/>
      </c>
      <c r="I6177" t="str">
        <f>IF(E6177="","",INDEX(Knutepunkter!$B:$B,E6177+1))</f>
        <v/>
      </c>
      <c r="J6177" t="str">
        <f>IF(E6177="","",INDEX(Knutepunkter!$C:$C,E6177+1))</f>
        <v/>
      </c>
      <c r="K6177" t="str">
        <f>IF(E6177="","",INDEX(Knutepunkter!$D:$D,E6177+1))</f>
        <v/>
      </c>
      <c r="L6177" t="str">
        <f t="shared" si="483"/>
        <v/>
      </c>
      <c r="M6177" t="str">
        <f t="shared" si="484"/>
        <v/>
      </c>
    </row>
    <row r="6178" spans="1:13" x14ac:dyDescent="0.3">
      <c r="A6178" t="str">
        <f>Segmenter!A6178</f>
        <v/>
      </c>
      <c r="B6178" t="str">
        <f>Segmenter!B6178</f>
        <v/>
      </c>
      <c r="C6178" t="str">
        <f t="shared" si="480"/>
        <v/>
      </c>
      <c r="D6178" t="str">
        <f t="shared" si="481"/>
        <v/>
      </c>
      <c r="E6178" t="str">
        <f t="shared" si="482"/>
        <v/>
      </c>
      <c r="F6178" t="str">
        <f>IF(D6178="","",INDEX(Knutepunkter!$B:$B,D6178+1))</f>
        <v/>
      </c>
      <c r="G6178" t="str">
        <f>IF(D6178="","",INDEX(Knutepunkter!$C:$C,D6178+1))</f>
        <v/>
      </c>
      <c r="H6178" t="str">
        <f>IF(D6178="","",INDEX(Knutepunkter!$D:$D,D6178+1))</f>
        <v/>
      </c>
      <c r="I6178" t="str">
        <f>IF(E6178="","",INDEX(Knutepunkter!$B:$B,E6178+1))</f>
        <v/>
      </c>
      <c r="J6178" t="str">
        <f>IF(E6178="","",INDEX(Knutepunkter!$C:$C,E6178+1))</f>
        <v/>
      </c>
      <c r="K6178" t="str">
        <f>IF(E6178="","",INDEX(Knutepunkter!$D:$D,E6178+1))</f>
        <v/>
      </c>
      <c r="L6178" t="str">
        <f t="shared" si="483"/>
        <v/>
      </c>
      <c r="M6178" t="str">
        <f t="shared" si="484"/>
        <v/>
      </c>
    </row>
    <row r="6179" spans="1:13" x14ac:dyDescent="0.3">
      <c r="A6179" t="str">
        <f>Segmenter!A6179</f>
        <v/>
      </c>
      <c r="B6179" t="str">
        <f>Segmenter!B6179</f>
        <v/>
      </c>
      <c r="C6179" t="str">
        <f t="shared" si="480"/>
        <v/>
      </c>
      <c r="D6179" t="str">
        <f t="shared" si="481"/>
        <v/>
      </c>
      <c r="E6179" t="str">
        <f t="shared" si="482"/>
        <v/>
      </c>
      <c r="F6179" t="str">
        <f>IF(D6179="","",INDEX(Knutepunkter!$B:$B,D6179+1))</f>
        <v/>
      </c>
      <c r="G6179" t="str">
        <f>IF(D6179="","",INDEX(Knutepunkter!$C:$C,D6179+1))</f>
        <v/>
      </c>
      <c r="H6179" t="str">
        <f>IF(D6179="","",INDEX(Knutepunkter!$D:$D,D6179+1))</f>
        <v/>
      </c>
      <c r="I6179" t="str">
        <f>IF(E6179="","",INDEX(Knutepunkter!$B:$B,E6179+1))</f>
        <v/>
      </c>
      <c r="J6179" t="str">
        <f>IF(E6179="","",INDEX(Knutepunkter!$C:$C,E6179+1))</f>
        <v/>
      </c>
      <c r="K6179" t="str">
        <f>IF(E6179="","",INDEX(Knutepunkter!$D:$D,E6179+1))</f>
        <v/>
      </c>
      <c r="L6179" t="str">
        <f t="shared" si="483"/>
        <v/>
      </c>
      <c r="M6179" t="str">
        <f t="shared" si="484"/>
        <v/>
      </c>
    </row>
    <row r="6180" spans="1:13" x14ac:dyDescent="0.3">
      <c r="A6180" t="str">
        <f>Segmenter!A6180</f>
        <v/>
      </c>
      <c r="B6180" t="str">
        <f>Segmenter!B6180</f>
        <v/>
      </c>
      <c r="C6180" t="str">
        <f t="shared" si="480"/>
        <v/>
      </c>
      <c r="D6180" t="str">
        <f t="shared" si="481"/>
        <v/>
      </c>
      <c r="E6180" t="str">
        <f t="shared" si="482"/>
        <v/>
      </c>
      <c r="F6180" t="str">
        <f>IF(D6180="","",INDEX(Knutepunkter!$B:$B,D6180+1))</f>
        <v/>
      </c>
      <c r="G6180" t="str">
        <f>IF(D6180="","",INDEX(Knutepunkter!$C:$C,D6180+1))</f>
        <v/>
      </c>
      <c r="H6180" t="str">
        <f>IF(D6180="","",INDEX(Knutepunkter!$D:$D,D6180+1))</f>
        <v/>
      </c>
      <c r="I6180" t="str">
        <f>IF(E6180="","",INDEX(Knutepunkter!$B:$B,E6180+1))</f>
        <v/>
      </c>
      <c r="J6180" t="str">
        <f>IF(E6180="","",INDEX(Knutepunkter!$C:$C,E6180+1))</f>
        <v/>
      </c>
      <c r="K6180" t="str">
        <f>IF(E6180="","",INDEX(Knutepunkter!$D:$D,E6180+1))</f>
        <v/>
      </c>
      <c r="L6180" t="str">
        <f t="shared" si="483"/>
        <v/>
      </c>
      <c r="M6180" t="str">
        <f t="shared" si="484"/>
        <v/>
      </c>
    </row>
    <row r="6181" spans="1:13" x14ac:dyDescent="0.3">
      <c r="A6181" t="str">
        <f>Segmenter!A6181</f>
        <v/>
      </c>
      <c r="B6181" t="str">
        <f>Segmenter!B6181</f>
        <v/>
      </c>
      <c r="C6181" t="str">
        <f t="shared" si="480"/>
        <v/>
      </c>
      <c r="D6181" t="str">
        <f t="shared" si="481"/>
        <v/>
      </c>
      <c r="E6181" t="str">
        <f t="shared" si="482"/>
        <v/>
      </c>
      <c r="F6181" t="str">
        <f>IF(D6181="","",INDEX(Knutepunkter!$B:$B,D6181+1))</f>
        <v/>
      </c>
      <c r="G6181" t="str">
        <f>IF(D6181="","",INDEX(Knutepunkter!$C:$C,D6181+1))</f>
        <v/>
      </c>
      <c r="H6181" t="str">
        <f>IF(D6181="","",INDEX(Knutepunkter!$D:$D,D6181+1))</f>
        <v/>
      </c>
      <c r="I6181" t="str">
        <f>IF(E6181="","",INDEX(Knutepunkter!$B:$B,E6181+1))</f>
        <v/>
      </c>
      <c r="J6181" t="str">
        <f>IF(E6181="","",INDEX(Knutepunkter!$C:$C,E6181+1))</f>
        <v/>
      </c>
      <c r="K6181" t="str">
        <f>IF(E6181="","",INDEX(Knutepunkter!$D:$D,E6181+1))</f>
        <v/>
      </c>
      <c r="L6181" t="str">
        <f t="shared" si="483"/>
        <v/>
      </c>
      <c r="M6181" t="str">
        <f t="shared" si="484"/>
        <v/>
      </c>
    </row>
    <row r="6182" spans="1:13" x14ac:dyDescent="0.3">
      <c r="A6182" t="str">
        <f>Segmenter!A6182</f>
        <v/>
      </c>
      <c r="B6182" t="str">
        <f>Segmenter!B6182</f>
        <v/>
      </c>
      <c r="C6182" t="str">
        <f t="shared" si="480"/>
        <v/>
      </c>
      <c r="D6182" t="str">
        <f t="shared" si="481"/>
        <v/>
      </c>
      <c r="E6182" t="str">
        <f t="shared" si="482"/>
        <v/>
      </c>
      <c r="F6182" t="str">
        <f>IF(D6182="","",INDEX(Knutepunkter!$B:$B,D6182+1))</f>
        <v/>
      </c>
      <c r="G6182" t="str">
        <f>IF(D6182="","",INDEX(Knutepunkter!$C:$C,D6182+1))</f>
        <v/>
      </c>
      <c r="H6182" t="str">
        <f>IF(D6182="","",INDEX(Knutepunkter!$D:$D,D6182+1))</f>
        <v/>
      </c>
      <c r="I6182" t="str">
        <f>IF(E6182="","",INDEX(Knutepunkter!$B:$B,E6182+1))</f>
        <v/>
      </c>
      <c r="J6182" t="str">
        <f>IF(E6182="","",INDEX(Knutepunkter!$C:$C,E6182+1))</f>
        <v/>
      </c>
      <c r="K6182" t="str">
        <f>IF(E6182="","",INDEX(Knutepunkter!$D:$D,E6182+1))</f>
        <v/>
      </c>
      <c r="L6182" t="str">
        <f t="shared" si="483"/>
        <v/>
      </c>
      <c r="M6182" t="str">
        <f t="shared" si="484"/>
        <v/>
      </c>
    </row>
    <row r="6183" spans="1:13" x14ac:dyDescent="0.3">
      <c r="A6183" t="str">
        <f>Segmenter!A6183</f>
        <v/>
      </c>
      <c r="B6183" t="str">
        <f>Segmenter!B6183</f>
        <v/>
      </c>
      <c r="C6183" t="str">
        <f t="shared" si="480"/>
        <v/>
      </c>
      <c r="D6183" t="str">
        <f t="shared" si="481"/>
        <v/>
      </c>
      <c r="E6183" t="str">
        <f t="shared" si="482"/>
        <v/>
      </c>
      <c r="F6183" t="str">
        <f>IF(D6183="","",INDEX(Knutepunkter!$B:$B,D6183+1))</f>
        <v/>
      </c>
      <c r="G6183" t="str">
        <f>IF(D6183="","",INDEX(Knutepunkter!$C:$C,D6183+1))</f>
        <v/>
      </c>
      <c r="H6183" t="str">
        <f>IF(D6183="","",INDEX(Knutepunkter!$D:$D,D6183+1))</f>
        <v/>
      </c>
      <c r="I6183" t="str">
        <f>IF(E6183="","",INDEX(Knutepunkter!$B:$B,E6183+1))</f>
        <v/>
      </c>
      <c r="J6183" t="str">
        <f>IF(E6183="","",INDEX(Knutepunkter!$C:$C,E6183+1))</f>
        <v/>
      </c>
      <c r="K6183" t="str">
        <f>IF(E6183="","",INDEX(Knutepunkter!$D:$D,E6183+1))</f>
        <v/>
      </c>
      <c r="L6183" t="str">
        <f t="shared" si="483"/>
        <v/>
      </c>
      <c r="M6183" t="str">
        <f t="shared" si="484"/>
        <v/>
      </c>
    </row>
    <row r="6184" spans="1:13" x14ac:dyDescent="0.3">
      <c r="A6184" t="str">
        <f>Segmenter!A6184</f>
        <v/>
      </c>
      <c r="B6184" t="str">
        <f>Segmenter!B6184</f>
        <v/>
      </c>
      <c r="C6184" t="str">
        <f t="shared" si="480"/>
        <v/>
      </c>
      <c r="D6184" t="str">
        <f t="shared" si="481"/>
        <v/>
      </c>
      <c r="E6184" t="str">
        <f t="shared" si="482"/>
        <v/>
      </c>
      <c r="F6184" t="str">
        <f>IF(D6184="","",INDEX(Knutepunkter!$B:$B,D6184+1))</f>
        <v/>
      </c>
      <c r="G6184" t="str">
        <f>IF(D6184="","",INDEX(Knutepunkter!$C:$C,D6184+1))</f>
        <v/>
      </c>
      <c r="H6184" t="str">
        <f>IF(D6184="","",INDEX(Knutepunkter!$D:$D,D6184+1))</f>
        <v/>
      </c>
      <c r="I6184" t="str">
        <f>IF(E6184="","",INDEX(Knutepunkter!$B:$B,E6184+1))</f>
        <v/>
      </c>
      <c r="J6184" t="str">
        <f>IF(E6184="","",INDEX(Knutepunkter!$C:$C,E6184+1))</f>
        <v/>
      </c>
      <c r="K6184" t="str">
        <f>IF(E6184="","",INDEX(Knutepunkter!$D:$D,E6184+1))</f>
        <v/>
      </c>
      <c r="L6184" t="str">
        <f t="shared" si="483"/>
        <v/>
      </c>
      <c r="M6184" t="str">
        <f t="shared" si="484"/>
        <v/>
      </c>
    </row>
    <row r="6185" spans="1:13" x14ac:dyDescent="0.3">
      <c r="A6185" t="str">
        <f>Segmenter!A6185</f>
        <v/>
      </c>
      <c r="B6185" t="str">
        <f>Segmenter!B6185</f>
        <v/>
      </c>
      <c r="C6185" t="str">
        <f t="shared" si="480"/>
        <v/>
      </c>
      <c r="D6185" t="str">
        <f t="shared" si="481"/>
        <v/>
      </c>
      <c r="E6185" t="str">
        <f t="shared" si="482"/>
        <v/>
      </c>
      <c r="F6185" t="str">
        <f>IF(D6185="","",INDEX(Knutepunkter!$B:$B,D6185+1))</f>
        <v/>
      </c>
      <c r="G6185" t="str">
        <f>IF(D6185="","",INDEX(Knutepunkter!$C:$C,D6185+1))</f>
        <v/>
      </c>
      <c r="H6185" t="str">
        <f>IF(D6185="","",INDEX(Knutepunkter!$D:$D,D6185+1))</f>
        <v/>
      </c>
      <c r="I6185" t="str">
        <f>IF(E6185="","",INDEX(Knutepunkter!$B:$B,E6185+1))</f>
        <v/>
      </c>
      <c r="J6185" t="str">
        <f>IF(E6185="","",INDEX(Knutepunkter!$C:$C,E6185+1))</f>
        <v/>
      </c>
      <c r="K6185" t="str">
        <f>IF(E6185="","",INDEX(Knutepunkter!$D:$D,E6185+1))</f>
        <v/>
      </c>
      <c r="L6185" t="str">
        <f t="shared" si="483"/>
        <v/>
      </c>
      <c r="M6185" t="str">
        <f t="shared" si="484"/>
        <v/>
      </c>
    </row>
    <row r="6186" spans="1:13" x14ac:dyDescent="0.3">
      <c r="A6186" t="str">
        <f>Segmenter!A6186</f>
        <v/>
      </c>
      <c r="B6186" t="str">
        <f>Segmenter!B6186</f>
        <v/>
      </c>
      <c r="C6186" t="str">
        <f t="shared" si="480"/>
        <v/>
      </c>
      <c r="D6186" t="str">
        <f t="shared" si="481"/>
        <v/>
      </c>
      <c r="E6186" t="str">
        <f t="shared" si="482"/>
        <v/>
      </c>
      <c r="F6186" t="str">
        <f>IF(D6186="","",INDEX(Knutepunkter!$B:$B,D6186+1))</f>
        <v/>
      </c>
      <c r="G6186" t="str">
        <f>IF(D6186="","",INDEX(Knutepunkter!$C:$C,D6186+1))</f>
        <v/>
      </c>
      <c r="H6186" t="str">
        <f>IF(D6186="","",INDEX(Knutepunkter!$D:$D,D6186+1))</f>
        <v/>
      </c>
      <c r="I6186" t="str">
        <f>IF(E6186="","",INDEX(Knutepunkter!$B:$B,E6186+1))</f>
        <v/>
      </c>
      <c r="J6186" t="str">
        <f>IF(E6186="","",INDEX(Knutepunkter!$C:$C,E6186+1))</f>
        <v/>
      </c>
      <c r="K6186" t="str">
        <f>IF(E6186="","",INDEX(Knutepunkter!$D:$D,E6186+1))</f>
        <v/>
      </c>
      <c r="L6186" t="str">
        <f t="shared" si="483"/>
        <v/>
      </c>
      <c r="M6186" t="str">
        <f t="shared" si="484"/>
        <v/>
      </c>
    </row>
    <row r="6187" spans="1:13" x14ac:dyDescent="0.3">
      <c r="A6187" t="str">
        <f>Segmenter!A6187</f>
        <v/>
      </c>
      <c r="B6187" t="str">
        <f>Segmenter!B6187</f>
        <v/>
      </c>
      <c r="C6187" t="str">
        <f t="shared" si="480"/>
        <v/>
      </c>
      <c r="D6187" t="str">
        <f t="shared" si="481"/>
        <v/>
      </c>
      <c r="E6187" t="str">
        <f t="shared" si="482"/>
        <v/>
      </c>
      <c r="F6187" t="str">
        <f>IF(D6187="","",INDEX(Knutepunkter!$B:$B,D6187+1))</f>
        <v/>
      </c>
      <c r="G6187" t="str">
        <f>IF(D6187="","",INDEX(Knutepunkter!$C:$C,D6187+1))</f>
        <v/>
      </c>
      <c r="H6187" t="str">
        <f>IF(D6187="","",INDEX(Knutepunkter!$D:$D,D6187+1))</f>
        <v/>
      </c>
      <c r="I6187" t="str">
        <f>IF(E6187="","",INDEX(Knutepunkter!$B:$B,E6187+1))</f>
        <v/>
      </c>
      <c r="J6187" t="str">
        <f>IF(E6187="","",INDEX(Knutepunkter!$C:$C,E6187+1))</f>
        <v/>
      </c>
      <c r="K6187" t="str">
        <f>IF(E6187="","",INDEX(Knutepunkter!$D:$D,E6187+1))</f>
        <v/>
      </c>
      <c r="L6187" t="str">
        <f t="shared" si="483"/>
        <v/>
      </c>
      <c r="M6187" t="str">
        <f t="shared" si="484"/>
        <v/>
      </c>
    </row>
    <row r="6188" spans="1:13" x14ac:dyDescent="0.3">
      <c r="A6188" t="str">
        <f>Segmenter!A6188</f>
        <v/>
      </c>
      <c r="B6188" t="str">
        <f>Segmenter!B6188</f>
        <v/>
      </c>
      <c r="C6188" t="str">
        <f t="shared" si="480"/>
        <v/>
      </c>
      <c r="D6188" t="str">
        <f t="shared" si="481"/>
        <v/>
      </c>
      <c r="E6188" t="str">
        <f t="shared" si="482"/>
        <v/>
      </c>
      <c r="F6188" t="str">
        <f>IF(D6188="","",INDEX(Knutepunkter!$B:$B,D6188+1))</f>
        <v/>
      </c>
      <c r="G6188" t="str">
        <f>IF(D6188="","",INDEX(Knutepunkter!$C:$C,D6188+1))</f>
        <v/>
      </c>
      <c r="H6188" t="str">
        <f>IF(D6188="","",INDEX(Knutepunkter!$D:$D,D6188+1))</f>
        <v/>
      </c>
      <c r="I6188" t="str">
        <f>IF(E6188="","",INDEX(Knutepunkter!$B:$B,E6188+1))</f>
        <v/>
      </c>
      <c r="J6188" t="str">
        <f>IF(E6188="","",INDEX(Knutepunkter!$C:$C,E6188+1))</f>
        <v/>
      </c>
      <c r="K6188" t="str">
        <f>IF(E6188="","",INDEX(Knutepunkter!$D:$D,E6188+1))</f>
        <v/>
      </c>
      <c r="L6188" t="str">
        <f t="shared" si="483"/>
        <v/>
      </c>
      <c r="M6188" t="str">
        <f t="shared" si="484"/>
        <v/>
      </c>
    </row>
    <row r="6189" spans="1:13" x14ac:dyDescent="0.3">
      <c r="A6189" t="str">
        <f>Segmenter!A6189</f>
        <v/>
      </c>
      <c r="B6189" t="str">
        <f>Segmenter!B6189</f>
        <v/>
      </c>
      <c r="C6189" t="str">
        <f t="shared" si="480"/>
        <v/>
      </c>
      <c r="D6189" t="str">
        <f t="shared" si="481"/>
        <v/>
      </c>
      <c r="E6189" t="str">
        <f t="shared" si="482"/>
        <v/>
      </c>
      <c r="F6189" t="str">
        <f>IF(D6189="","",INDEX(Knutepunkter!$B:$B,D6189+1))</f>
        <v/>
      </c>
      <c r="G6189" t="str">
        <f>IF(D6189="","",INDEX(Knutepunkter!$C:$C,D6189+1))</f>
        <v/>
      </c>
      <c r="H6189" t="str">
        <f>IF(D6189="","",INDEX(Knutepunkter!$D:$D,D6189+1))</f>
        <v/>
      </c>
      <c r="I6189" t="str">
        <f>IF(E6189="","",INDEX(Knutepunkter!$B:$B,E6189+1))</f>
        <v/>
      </c>
      <c r="J6189" t="str">
        <f>IF(E6189="","",INDEX(Knutepunkter!$C:$C,E6189+1))</f>
        <v/>
      </c>
      <c r="K6189" t="str">
        <f>IF(E6189="","",INDEX(Knutepunkter!$D:$D,E6189+1))</f>
        <v/>
      </c>
      <c r="L6189" t="str">
        <f t="shared" si="483"/>
        <v/>
      </c>
      <c r="M6189" t="str">
        <f t="shared" si="484"/>
        <v/>
      </c>
    </row>
    <row r="6190" spans="1:13" x14ac:dyDescent="0.3">
      <c r="A6190" t="str">
        <f>Segmenter!A6190</f>
        <v/>
      </c>
      <c r="B6190" t="str">
        <f>Segmenter!B6190</f>
        <v/>
      </c>
      <c r="C6190" t="str">
        <f t="shared" si="480"/>
        <v/>
      </c>
      <c r="D6190" t="str">
        <f t="shared" si="481"/>
        <v/>
      </c>
      <c r="E6190" t="str">
        <f t="shared" si="482"/>
        <v/>
      </c>
      <c r="F6190" t="str">
        <f>IF(D6190="","",INDEX(Knutepunkter!$B:$B,D6190+1))</f>
        <v/>
      </c>
      <c r="G6190" t="str">
        <f>IF(D6190="","",INDEX(Knutepunkter!$C:$C,D6190+1))</f>
        <v/>
      </c>
      <c r="H6190" t="str">
        <f>IF(D6190="","",INDEX(Knutepunkter!$D:$D,D6190+1))</f>
        <v/>
      </c>
      <c r="I6190" t="str">
        <f>IF(E6190="","",INDEX(Knutepunkter!$B:$B,E6190+1))</f>
        <v/>
      </c>
      <c r="J6190" t="str">
        <f>IF(E6190="","",INDEX(Knutepunkter!$C:$C,E6190+1))</f>
        <v/>
      </c>
      <c r="K6190" t="str">
        <f>IF(E6190="","",INDEX(Knutepunkter!$D:$D,E6190+1))</f>
        <v/>
      </c>
      <c r="L6190" t="str">
        <f t="shared" si="483"/>
        <v/>
      </c>
      <c r="M6190" t="str">
        <f t="shared" si="484"/>
        <v/>
      </c>
    </row>
    <row r="6191" spans="1:13" x14ac:dyDescent="0.3">
      <c r="A6191" t="str">
        <f>Segmenter!A6191</f>
        <v/>
      </c>
      <c r="B6191" t="str">
        <f>Segmenter!B6191</f>
        <v/>
      </c>
      <c r="C6191" t="str">
        <f t="shared" si="480"/>
        <v/>
      </c>
      <c r="D6191" t="str">
        <f t="shared" si="481"/>
        <v/>
      </c>
      <c r="E6191" t="str">
        <f t="shared" si="482"/>
        <v/>
      </c>
      <c r="F6191" t="str">
        <f>IF(D6191="","",INDEX(Knutepunkter!$B:$B,D6191+1))</f>
        <v/>
      </c>
      <c r="G6191" t="str">
        <f>IF(D6191="","",INDEX(Knutepunkter!$C:$C,D6191+1))</f>
        <v/>
      </c>
      <c r="H6191" t="str">
        <f>IF(D6191="","",INDEX(Knutepunkter!$D:$D,D6191+1))</f>
        <v/>
      </c>
      <c r="I6191" t="str">
        <f>IF(E6191="","",INDEX(Knutepunkter!$B:$B,E6191+1))</f>
        <v/>
      </c>
      <c r="J6191" t="str">
        <f>IF(E6191="","",INDEX(Knutepunkter!$C:$C,E6191+1))</f>
        <v/>
      </c>
      <c r="K6191" t="str">
        <f>IF(E6191="","",INDEX(Knutepunkter!$D:$D,E6191+1))</f>
        <v/>
      </c>
      <c r="L6191" t="str">
        <f t="shared" si="483"/>
        <v/>
      </c>
      <c r="M6191" t="str">
        <f t="shared" si="484"/>
        <v/>
      </c>
    </row>
    <row r="6192" spans="1:13" x14ac:dyDescent="0.3">
      <c r="A6192" t="str">
        <f>Segmenter!A6192</f>
        <v/>
      </c>
      <c r="B6192" t="str">
        <f>Segmenter!B6192</f>
        <v/>
      </c>
      <c r="C6192" t="str">
        <f t="shared" si="480"/>
        <v/>
      </c>
      <c r="D6192" t="str">
        <f t="shared" si="481"/>
        <v/>
      </c>
      <c r="E6192" t="str">
        <f t="shared" si="482"/>
        <v/>
      </c>
      <c r="F6192" t="str">
        <f>IF(D6192="","",INDEX(Knutepunkter!$B:$B,D6192+1))</f>
        <v/>
      </c>
      <c r="G6192" t="str">
        <f>IF(D6192="","",INDEX(Knutepunkter!$C:$C,D6192+1))</f>
        <v/>
      </c>
      <c r="H6192" t="str">
        <f>IF(D6192="","",INDEX(Knutepunkter!$D:$D,D6192+1))</f>
        <v/>
      </c>
      <c r="I6192" t="str">
        <f>IF(E6192="","",INDEX(Knutepunkter!$B:$B,E6192+1))</f>
        <v/>
      </c>
      <c r="J6192" t="str">
        <f>IF(E6192="","",INDEX(Knutepunkter!$C:$C,E6192+1))</f>
        <v/>
      </c>
      <c r="K6192" t="str">
        <f>IF(E6192="","",INDEX(Knutepunkter!$D:$D,E6192+1))</f>
        <v/>
      </c>
      <c r="L6192" t="str">
        <f t="shared" si="483"/>
        <v/>
      </c>
      <c r="M6192" t="str">
        <f t="shared" si="484"/>
        <v/>
      </c>
    </row>
    <row r="6193" spans="1:13" x14ac:dyDescent="0.3">
      <c r="A6193" t="str">
        <f>Segmenter!A6193</f>
        <v/>
      </c>
      <c r="B6193" t="str">
        <f>Segmenter!B6193</f>
        <v/>
      </c>
      <c r="C6193" t="str">
        <f t="shared" si="480"/>
        <v/>
      </c>
      <c r="D6193" t="str">
        <f t="shared" si="481"/>
        <v/>
      </c>
      <c r="E6193" t="str">
        <f t="shared" si="482"/>
        <v/>
      </c>
      <c r="F6193" t="str">
        <f>IF(D6193="","",INDEX(Knutepunkter!$B:$B,D6193+1))</f>
        <v/>
      </c>
      <c r="G6193" t="str">
        <f>IF(D6193="","",INDEX(Knutepunkter!$C:$C,D6193+1))</f>
        <v/>
      </c>
      <c r="H6193" t="str">
        <f>IF(D6193="","",INDEX(Knutepunkter!$D:$D,D6193+1))</f>
        <v/>
      </c>
      <c r="I6193" t="str">
        <f>IF(E6193="","",INDEX(Knutepunkter!$B:$B,E6193+1))</f>
        <v/>
      </c>
      <c r="J6193" t="str">
        <f>IF(E6193="","",INDEX(Knutepunkter!$C:$C,E6193+1))</f>
        <v/>
      </c>
      <c r="K6193" t="str">
        <f>IF(E6193="","",INDEX(Knutepunkter!$D:$D,E6193+1))</f>
        <v/>
      </c>
      <c r="L6193" t="str">
        <f t="shared" si="483"/>
        <v/>
      </c>
      <c r="M6193" t="str">
        <f t="shared" si="484"/>
        <v/>
      </c>
    </row>
    <row r="6194" spans="1:13" x14ac:dyDescent="0.3">
      <c r="A6194" t="str">
        <f>Segmenter!A6194</f>
        <v/>
      </c>
      <c r="B6194" t="str">
        <f>Segmenter!B6194</f>
        <v/>
      </c>
      <c r="C6194" t="str">
        <f t="shared" si="480"/>
        <v/>
      </c>
      <c r="D6194" t="str">
        <f t="shared" si="481"/>
        <v/>
      </c>
      <c r="E6194" t="str">
        <f t="shared" si="482"/>
        <v/>
      </c>
      <c r="F6194" t="str">
        <f>IF(D6194="","",INDEX(Knutepunkter!$B:$B,D6194+1))</f>
        <v/>
      </c>
      <c r="G6194" t="str">
        <f>IF(D6194="","",INDEX(Knutepunkter!$C:$C,D6194+1))</f>
        <v/>
      </c>
      <c r="H6194" t="str">
        <f>IF(D6194="","",INDEX(Knutepunkter!$D:$D,D6194+1))</f>
        <v/>
      </c>
      <c r="I6194" t="str">
        <f>IF(E6194="","",INDEX(Knutepunkter!$B:$B,E6194+1))</f>
        <v/>
      </c>
      <c r="J6194" t="str">
        <f>IF(E6194="","",INDEX(Knutepunkter!$C:$C,E6194+1))</f>
        <v/>
      </c>
      <c r="K6194" t="str">
        <f>IF(E6194="","",INDEX(Knutepunkter!$D:$D,E6194+1))</f>
        <v/>
      </c>
      <c r="L6194" t="str">
        <f t="shared" si="483"/>
        <v/>
      </c>
      <c r="M6194" t="str">
        <f t="shared" si="484"/>
        <v/>
      </c>
    </row>
    <row r="6195" spans="1:13" x14ac:dyDescent="0.3">
      <c r="A6195" t="str">
        <f>Segmenter!A6195</f>
        <v/>
      </c>
      <c r="B6195" t="str">
        <f>Segmenter!B6195</f>
        <v/>
      </c>
      <c r="C6195" t="str">
        <f t="shared" si="480"/>
        <v/>
      </c>
      <c r="D6195" t="str">
        <f t="shared" si="481"/>
        <v/>
      </c>
      <c r="E6195" t="str">
        <f t="shared" si="482"/>
        <v/>
      </c>
      <c r="F6195" t="str">
        <f>IF(D6195="","",INDEX(Knutepunkter!$B:$B,D6195+1))</f>
        <v/>
      </c>
      <c r="G6195" t="str">
        <f>IF(D6195="","",INDEX(Knutepunkter!$C:$C,D6195+1))</f>
        <v/>
      </c>
      <c r="H6195" t="str">
        <f>IF(D6195="","",INDEX(Knutepunkter!$D:$D,D6195+1))</f>
        <v/>
      </c>
      <c r="I6195" t="str">
        <f>IF(E6195="","",INDEX(Knutepunkter!$B:$B,E6195+1))</f>
        <v/>
      </c>
      <c r="J6195" t="str">
        <f>IF(E6195="","",INDEX(Knutepunkter!$C:$C,E6195+1))</f>
        <v/>
      </c>
      <c r="K6195" t="str">
        <f>IF(E6195="","",INDEX(Knutepunkter!$D:$D,E6195+1))</f>
        <v/>
      </c>
      <c r="L6195" t="str">
        <f t="shared" si="483"/>
        <v/>
      </c>
      <c r="M6195" t="str">
        <f t="shared" si="484"/>
        <v/>
      </c>
    </row>
    <row r="6196" spans="1:13" x14ac:dyDescent="0.3">
      <c r="A6196" t="str">
        <f>Segmenter!A6196</f>
        <v/>
      </c>
      <c r="B6196" t="str">
        <f>Segmenter!B6196</f>
        <v/>
      </c>
      <c r="C6196" t="str">
        <f t="shared" si="480"/>
        <v/>
      </c>
      <c r="D6196" t="str">
        <f t="shared" si="481"/>
        <v/>
      </c>
      <c r="E6196" t="str">
        <f t="shared" si="482"/>
        <v/>
      </c>
      <c r="F6196" t="str">
        <f>IF(D6196="","",INDEX(Knutepunkter!$B:$B,D6196+1))</f>
        <v/>
      </c>
      <c r="G6196" t="str">
        <f>IF(D6196="","",INDEX(Knutepunkter!$C:$C,D6196+1))</f>
        <v/>
      </c>
      <c r="H6196" t="str">
        <f>IF(D6196="","",INDEX(Knutepunkter!$D:$D,D6196+1))</f>
        <v/>
      </c>
      <c r="I6196" t="str">
        <f>IF(E6196="","",INDEX(Knutepunkter!$B:$B,E6196+1))</f>
        <v/>
      </c>
      <c r="J6196" t="str">
        <f>IF(E6196="","",INDEX(Knutepunkter!$C:$C,E6196+1))</f>
        <v/>
      </c>
      <c r="K6196" t="str">
        <f>IF(E6196="","",INDEX(Knutepunkter!$D:$D,E6196+1))</f>
        <v/>
      </c>
      <c r="L6196" t="str">
        <f t="shared" si="483"/>
        <v/>
      </c>
      <c r="M6196" t="str">
        <f t="shared" si="484"/>
        <v/>
      </c>
    </row>
    <row r="6197" spans="1:13" x14ac:dyDescent="0.3">
      <c r="A6197" t="str">
        <f>Segmenter!A6197</f>
        <v/>
      </c>
      <c r="B6197" t="str">
        <f>Segmenter!B6197</f>
        <v/>
      </c>
      <c r="C6197" t="str">
        <f t="shared" si="480"/>
        <v/>
      </c>
      <c r="D6197" t="str">
        <f t="shared" si="481"/>
        <v/>
      </c>
      <c r="E6197" t="str">
        <f t="shared" si="482"/>
        <v/>
      </c>
      <c r="F6197" t="str">
        <f>IF(D6197="","",INDEX(Knutepunkter!$B:$B,D6197+1))</f>
        <v/>
      </c>
      <c r="G6197" t="str">
        <f>IF(D6197="","",INDEX(Knutepunkter!$C:$C,D6197+1))</f>
        <v/>
      </c>
      <c r="H6197" t="str">
        <f>IF(D6197="","",INDEX(Knutepunkter!$D:$D,D6197+1))</f>
        <v/>
      </c>
      <c r="I6197" t="str">
        <f>IF(E6197="","",INDEX(Knutepunkter!$B:$B,E6197+1))</f>
        <v/>
      </c>
      <c r="J6197" t="str">
        <f>IF(E6197="","",INDEX(Knutepunkter!$C:$C,E6197+1))</f>
        <v/>
      </c>
      <c r="K6197" t="str">
        <f>IF(E6197="","",INDEX(Knutepunkter!$D:$D,E6197+1))</f>
        <v/>
      </c>
      <c r="L6197" t="str">
        <f t="shared" si="483"/>
        <v/>
      </c>
      <c r="M6197" t="str">
        <f t="shared" si="484"/>
        <v/>
      </c>
    </row>
    <row r="6198" spans="1:13" x14ac:dyDescent="0.3">
      <c r="A6198" t="str">
        <f>Segmenter!A6198</f>
        <v/>
      </c>
      <c r="B6198" t="str">
        <f>Segmenter!B6198</f>
        <v/>
      </c>
      <c r="C6198" t="str">
        <f t="shared" si="480"/>
        <v/>
      </c>
      <c r="D6198" t="str">
        <f t="shared" si="481"/>
        <v/>
      </c>
      <c r="E6198" t="str">
        <f t="shared" si="482"/>
        <v/>
      </c>
      <c r="F6198" t="str">
        <f>IF(D6198="","",INDEX(Knutepunkter!$B:$B,D6198+1))</f>
        <v/>
      </c>
      <c r="G6198" t="str">
        <f>IF(D6198="","",INDEX(Knutepunkter!$C:$C,D6198+1))</f>
        <v/>
      </c>
      <c r="H6198" t="str">
        <f>IF(D6198="","",INDEX(Knutepunkter!$D:$D,D6198+1))</f>
        <v/>
      </c>
      <c r="I6198" t="str">
        <f>IF(E6198="","",INDEX(Knutepunkter!$B:$B,E6198+1))</f>
        <v/>
      </c>
      <c r="J6198" t="str">
        <f>IF(E6198="","",INDEX(Knutepunkter!$C:$C,E6198+1))</f>
        <v/>
      </c>
      <c r="K6198" t="str">
        <f>IF(E6198="","",INDEX(Knutepunkter!$D:$D,E6198+1))</f>
        <v/>
      </c>
      <c r="L6198" t="str">
        <f t="shared" si="483"/>
        <v/>
      </c>
      <c r="M6198" t="str">
        <f t="shared" si="484"/>
        <v/>
      </c>
    </row>
    <row r="6199" spans="1:13" x14ac:dyDescent="0.3">
      <c r="A6199" t="str">
        <f>Segmenter!A6199</f>
        <v/>
      </c>
      <c r="B6199" t="str">
        <f>Segmenter!B6199</f>
        <v/>
      </c>
      <c r="C6199" t="str">
        <f t="shared" si="480"/>
        <v/>
      </c>
      <c r="D6199" t="str">
        <f t="shared" si="481"/>
        <v/>
      </c>
      <c r="E6199" t="str">
        <f t="shared" si="482"/>
        <v/>
      </c>
      <c r="F6199" t="str">
        <f>IF(D6199="","",INDEX(Knutepunkter!$B:$B,D6199+1))</f>
        <v/>
      </c>
      <c r="G6199" t="str">
        <f>IF(D6199="","",INDEX(Knutepunkter!$C:$C,D6199+1))</f>
        <v/>
      </c>
      <c r="H6199" t="str">
        <f>IF(D6199="","",INDEX(Knutepunkter!$D:$D,D6199+1))</f>
        <v/>
      </c>
      <c r="I6199" t="str">
        <f>IF(E6199="","",INDEX(Knutepunkter!$B:$B,E6199+1))</f>
        <v/>
      </c>
      <c r="J6199" t="str">
        <f>IF(E6199="","",INDEX(Knutepunkter!$C:$C,E6199+1))</f>
        <v/>
      </c>
      <c r="K6199" t="str">
        <f>IF(E6199="","",INDEX(Knutepunkter!$D:$D,E6199+1))</f>
        <v/>
      </c>
      <c r="L6199" t="str">
        <f t="shared" si="483"/>
        <v/>
      </c>
      <c r="M6199" t="str">
        <f t="shared" si="484"/>
        <v/>
      </c>
    </row>
    <row r="6200" spans="1:13" x14ac:dyDescent="0.3">
      <c r="A6200" t="str">
        <f>Segmenter!A6200</f>
        <v/>
      </c>
      <c r="B6200" t="str">
        <f>Segmenter!B6200</f>
        <v/>
      </c>
      <c r="C6200" t="str">
        <f t="shared" si="480"/>
        <v/>
      </c>
      <c r="D6200" t="str">
        <f t="shared" si="481"/>
        <v/>
      </c>
      <c r="E6200" t="str">
        <f t="shared" si="482"/>
        <v/>
      </c>
      <c r="F6200" t="str">
        <f>IF(D6200="","",INDEX(Knutepunkter!$B:$B,D6200+1))</f>
        <v/>
      </c>
      <c r="G6200" t="str">
        <f>IF(D6200="","",INDEX(Knutepunkter!$C:$C,D6200+1))</f>
        <v/>
      </c>
      <c r="H6200" t="str">
        <f>IF(D6200="","",INDEX(Knutepunkter!$D:$D,D6200+1))</f>
        <v/>
      </c>
      <c r="I6200" t="str">
        <f>IF(E6200="","",INDEX(Knutepunkter!$B:$B,E6200+1))</f>
        <v/>
      </c>
      <c r="J6200" t="str">
        <f>IF(E6200="","",INDEX(Knutepunkter!$C:$C,E6200+1))</f>
        <v/>
      </c>
      <c r="K6200" t="str">
        <f>IF(E6200="","",INDEX(Knutepunkter!$D:$D,E6200+1))</f>
        <v/>
      </c>
      <c r="L6200" t="str">
        <f t="shared" si="483"/>
        <v/>
      </c>
      <c r="M6200" t="str">
        <f t="shared" si="484"/>
        <v/>
      </c>
    </row>
    <row r="6201" spans="1:13" x14ac:dyDescent="0.3">
      <c r="A6201" t="str">
        <f>Segmenter!A6201</f>
        <v/>
      </c>
      <c r="B6201" t="str">
        <f>Segmenter!B6201</f>
        <v/>
      </c>
      <c r="C6201" t="str">
        <f t="shared" si="480"/>
        <v/>
      </c>
      <c r="D6201" t="str">
        <f t="shared" si="481"/>
        <v/>
      </c>
      <c r="E6201" t="str">
        <f t="shared" si="482"/>
        <v/>
      </c>
      <c r="F6201" t="str">
        <f>IF(D6201="","",INDEX(Knutepunkter!$B:$B,D6201+1))</f>
        <v/>
      </c>
      <c r="G6201" t="str">
        <f>IF(D6201="","",INDEX(Knutepunkter!$C:$C,D6201+1))</f>
        <v/>
      </c>
      <c r="H6201" t="str">
        <f>IF(D6201="","",INDEX(Knutepunkter!$D:$D,D6201+1))</f>
        <v/>
      </c>
      <c r="I6201" t="str">
        <f>IF(E6201="","",INDEX(Knutepunkter!$B:$B,E6201+1))</f>
        <v/>
      </c>
      <c r="J6201" t="str">
        <f>IF(E6201="","",INDEX(Knutepunkter!$C:$C,E6201+1))</f>
        <v/>
      </c>
      <c r="K6201" t="str">
        <f>IF(E6201="","",INDEX(Knutepunkter!$D:$D,E6201+1))</f>
        <v/>
      </c>
      <c r="L6201" t="str">
        <f t="shared" si="483"/>
        <v/>
      </c>
      <c r="M6201" t="str">
        <f t="shared" si="484"/>
        <v/>
      </c>
    </row>
    <row r="6202" spans="1:13" x14ac:dyDescent="0.3">
      <c r="A6202" t="str">
        <f>Segmenter!A6202</f>
        <v/>
      </c>
      <c r="B6202" t="str">
        <f>Segmenter!B6202</f>
        <v/>
      </c>
      <c r="C6202" t="str">
        <f t="shared" si="480"/>
        <v/>
      </c>
      <c r="D6202" t="str">
        <f t="shared" si="481"/>
        <v/>
      </c>
      <c r="E6202" t="str">
        <f t="shared" si="482"/>
        <v/>
      </c>
      <c r="F6202" t="str">
        <f>IF(D6202="","",INDEX(Knutepunkter!$B:$B,D6202+1))</f>
        <v/>
      </c>
      <c r="G6202" t="str">
        <f>IF(D6202="","",INDEX(Knutepunkter!$C:$C,D6202+1))</f>
        <v/>
      </c>
      <c r="H6202" t="str">
        <f>IF(D6202="","",INDEX(Knutepunkter!$D:$D,D6202+1))</f>
        <v/>
      </c>
      <c r="I6202" t="str">
        <f>IF(E6202="","",INDEX(Knutepunkter!$B:$B,E6202+1))</f>
        <v/>
      </c>
      <c r="J6202" t="str">
        <f>IF(E6202="","",INDEX(Knutepunkter!$C:$C,E6202+1))</f>
        <v/>
      </c>
      <c r="K6202" t="str">
        <f>IF(E6202="","",INDEX(Knutepunkter!$D:$D,E6202+1))</f>
        <v/>
      </c>
      <c r="L6202" t="str">
        <f t="shared" si="483"/>
        <v/>
      </c>
      <c r="M6202" t="str">
        <f t="shared" si="484"/>
        <v/>
      </c>
    </row>
    <row r="6203" spans="1:13" x14ac:dyDescent="0.3">
      <c r="A6203" t="str">
        <f>Segmenter!A6203</f>
        <v/>
      </c>
      <c r="B6203" t="str">
        <f>Segmenter!B6203</f>
        <v/>
      </c>
      <c r="C6203" t="str">
        <f t="shared" si="480"/>
        <v/>
      </c>
      <c r="D6203" t="str">
        <f t="shared" si="481"/>
        <v/>
      </c>
      <c r="E6203" t="str">
        <f t="shared" si="482"/>
        <v/>
      </c>
      <c r="F6203" t="str">
        <f>IF(D6203="","",INDEX(Knutepunkter!$B:$B,D6203+1))</f>
        <v/>
      </c>
      <c r="G6203" t="str">
        <f>IF(D6203="","",INDEX(Knutepunkter!$C:$C,D6203+1))</f>
        <v/>
      </c>
      <c r="H6203" t="str">
        <f>IF(D6203="","",INDEX(Knutepunkter!$D:$D,D6203+1))</f>
        <v/>
      </c>
      <c r="I6203" t="str">
        <f>IF(E6203="","",INDEX(Knutepunkter!$B:$B,E6203+1))</f>
        <v/>
      </c>
      <c r="J6203" t="str">
        <f>IF(E6203="","",INDEX(Knutepunkter!$C:$C,E6203+1))</f>
        <v/>
      </c>
      <c r="K6203" t="str">
        <f>IF(E6203="","",INDEX(Knutepunkter!$D:$D,E6203+1))</f>
        <v/>
      </c>
      <c r="L6203" t="str">
        <f t="shared" si="483"/>
        <v/>
      </c>
      <c r="M6203" t="str">
        <f t="shared" si="484"/>
        <v/>
      </c>
    </row>
    <row r="6204" spans="1:13" x14ac:dyDescent="0.3">
      <c r="A6204" t="str">
        <f>Segmenter!A6204</f>
        <v/>
      </c>
      <c r="B6204" t="str">
        <f>Segmenter!B6204</f>
        <v/>
      </c>
      <c r="C6204" t="str">
        <f t="shared" si="480"/>
        <v/>
      </c>
      <c r="D6204" t="str">
        <f t="shared" si="481"/>
        <v/>
      </c>
      <c r="E6204" t="str">
        <f t="shared" si="482"/>
        <v/>
      </c>
      <c r="F6204" t="str">
        <f>IF(D6204="","",INDEX(Knutepunkter!$B:$B,D6204+1))</f>
        <v/>
      </c>
      <c r="G6204" t="str">
        <f>IF(D6204="","",INDEX(Knutepunkter!$C:$C,D6204+1))</f>
        <v/>
      </c>
      <c r="H6204" t="str">
        <f>IF(D6204="","",INDEX(Knutepunkter!$D:$D,D6204+1))</f>
        <v/>
      </c>
      <c r="I6204" t="str">
        <f>IF(E6204="","",INDEX(Knutepunkter!$B:$B,E6204+1))</f>
        <v/>
      </c>
      <c r="J6204" t="str">
        <f>IF(E6204="","",INDEX(Knutepunkter!$C:$C,E6204+1))</f>
        <v/>
      </c>
      <c r="K6204" t="str">
        <f>IF(E6204="","",INDEX(Knutepunkter!$D:$D,E6204+1))</f>
        <v/>
      </c>
      <c r="L6204" t="str">
        <f t="shared" si="483"/>
        <v/>
      </c>
      <c r="M6204" t="str">
        <f t="shared" si="484"/>
        <v/>
      </c>
    </row>
    <row r="6205" spans="1:13" x14ac:dyDescent="0.3">
      <c r="A6205" t="str">
        <f>Segmenter!A6205</f>
        <v/>
      </c>
      <c r="B6205" t="str">
        <f>Segmenter!B6205</f>
        <v/>
      </c>
      <c r="C6205" t="str">
        <f t="shared" si="480"/>
        <v/>
      </c>
      <c r="D6205" t="str">
        <f t="shared" si="481"/>
        <v/>
      </c>
      <c r="E6205" t="str">
        <f t="shared" si="482"/>
        <v/>
      </c>
      <c r="F6205" t="str">
        <f>IF(D6205="","",INDEX(Knutepunkter!$B:$B,D6205+1))</f>
        <v/>
      </c>
      <c r="G6205" t="str">
        <f>IF(D6205="","",INDEX(Knutepunkter!$C:$C,D6205+1))</f>
        <v/>
      </c>
      <c r="H6205" t="str">
        <f>IF(D6205="","",INDEX(Knutepunkter!$D:$D,D6205+1))</f>
        <v/>
      </c>
      <c r="I6205" t="str">
        <f>IF(E6205="","",INDEX(Knutepunkter!$B:$B,E6205+1))</f>
        <v/>
      </c>
      <c r="J6205" t="str">
        <f>IF(E6205="","",INDEX(Knutepunkter!$C:$C,E6205+1))</f>
        <v/>
      </c>
      <c r="K6205" t="str">
        <f>IF(E6205="","",INDEX(Knutepunkter!$D:$D,E6205+1))</f>
        <v/>
      </c>
      <c r="L6205" t="str">
        <f t="shared" si="483"/>
        <v/>
      </c>
      <c r="M6205" t="str">
        <f t="shared" si="484"/>
        <v/>
      </c>
    </row>
    <row r="6206" spans="1:13" x14ac:dyDescent="0.3">
      <c r="A6206" t="str">
        <f>Segmenter!A6206</f>
        <v/>
      </c>
      <c r="B6206" t="str">
        <f>Segmenter!B6206</f>
        <v/>
      </c>
      <c r="C6206" t="str">
        <f t="shared" si="480"/>
        <v/>
      </c>
      <c r="D6206" t="str">
        <f t="shared" si="481"/>
        <v/>
      </c>
      <c r="E6206" t="str">
        <f t="shared" si="482"/>
        <v/>
      </c>
      <c r="F6206" t="str">
        <f>IF(D6206="","",INDEX(Knutepunkter!$B:$B,D6206+1))</f>
        <v/>
      </c>
      <c r="G6206" t="str">
        <f>IF(D6206="","",INDEX(Knutepunkter!$C:$C,D6206+1))</f>
        <v/>
      </c>
      <c r="H6206" t="str">
        <f>IF(D6206="","",INDEX(Knutepunkter!$D:$D,D6206+1))</f>
        <v/>
      </c>
      <c r="I6206" t="str">
        <f>IF(E6206="","",INDEX(Knutepunkter!$B:$B,E6206+1))</f>
        <v/>
      </c>
      <c r="J6206" t="str">
        <f>IF(E6206="","",INDEX(Knutepunkter!$C:$C,E6206+1))</f>
        <v/>
      </c>
      <c r="K6206" t="str">
        <f>IF(E6206="","",INDEX(Knutepunkter!$D:$D,E6206+1))</f>
        <v/>
      </c>
      <c r="L6206" t="str">
        <f t="shared" si="483"/>
        <v/>
      </c>
      <c r="M6206" t="str">
        <f t="shared" si="484"/>
        <v/>
      </c>
    </row>
    <row r="6207" spans="1:13" x14ac:dyDescent="0.3">
      <c r="A6207" t="str">
        <f>Segmenter!A6207</f>
        <v/>
      </c>
      <c r="B6207" t="str">
        <f>Segmenter!B6207</f>
        <v/>
      </c>
      <c r="C6207" t="str">
        <f t="shared" si="480"/>
        <v/>
      </c>
      <c r="D6207" t="str">
        <f t="shared" si="481"/>
        <v/>
      </c>
      <c r="E6207" t="str">
        <f t="shared" si="482"/>
        <v/>
      </c>
      <c r="F6207" t="str">
        <f>IF(D6207="","",INDEX(Knutepunkter!$B:$B,D6207+1))</f>
        <v/>
      </c>
      <c r="G6207" t="str">
        <f>IF(D6207="","",INDEX(Knutepunkter!$C:$C,D6207+1))</f>
        <v/>
      </c>
      <c r="H6207" t="str">
        <f>IF(D6207="","",INDEX(Knutepunkter!$D:$D,D6207+1))</f>
        <v/>
      </c>
      <c r="I6207" t="str">
        <f>IF(E6207="","",INDEX(Knutepunkter!$B:$B,E6207+1))</f>
        <v/>
      </c>
      <c r="J6207" t="str">
        <f>IF(E6207="","",INDEX(Knutepunkter!$C:$C,E6207+1))</f>
        <v/>
      </c>
      <c r="K6207" t="str">
        <f>IF(E6207="","",INDEX(Knutepunkter!$D:$D,E6207+1))</f>
        <v/>
      </c>
      <c r="L6207" t="str">
        <f t="shared" si="483"/>
        <v/>
      </c>
      <c r="M6207" t="str">
        <f t="shared" si="484"/>
        <v/>
      </c>
    </row>
    <row r="6208" spans="1:13" x14ac:dyDescent="0.3">
      <c r="A6208" t="str">
        <f>Segmenter!A6208</f>
        <v/>
      </c>
      <c r="B6208" t="str">
        <f>Segmenter!B6208</f>
        <v/>
      </c>
      <c r="C6208" t="str">
        <f t="shared" si="480"/>
        <v/>
      </c>
      <c r="D6208" t="str">
        <f t="shared" si="481"/>
        <v/>
      </c>
      <c r="E6208" t="str">
        <f t="shared" si="482"/>
        <v/>
      </c>
      <c r="F6208" t="str">
        <f>IF(D6208="","",INDEX(Knutepunkter!$B:$B,D6208+1))</f>
        <v/>
      </c>
      <c r="G6208" t="str">
        <f>IF(D6208="","",INDEX(Knutepunkter!$C:$C,D6208+1))</f>
        <v/>
      </c>
      <c r="H6208" t="str">
        <f>IF(D6208="","",INDEX(Knutepunkter!$D:$D,D6208+1))</f>
        <v/>
      </c>
      <c r="I6208" t="str">
        <f>IF(E6208="","",INDEX(Knutepunkter!$B:$B,E6208+1))</f>
        <v/>
      </c>
      <c r="J6208" t="str">
        <f>IF(E6208="","",INDEX(Knutepunkter!$C:$C,E6208+1))</f>
        <v/>
      </c>
      <c r="K6208" t="str">
        <f>IF(E6208="","",INDEX(Knutepunkter!$D:$D,E6208+1))</f>
        <v/>
      </c>
      <c r="L6208" t="str">
        <f t="shared" si="483"/>
        <v/>
      </c>
      <c r="M6208" t="str">
        <f t="shared" si="484"/>
        <v/>
      </c>
    </row>
    <row r="6209" spans="1:13" x14ac:dyDescent="0.3">
      <c r="A6209" t="str">
        <f>Segmenter!A6209</f>
        <v/>
      </c>
      <c r="B6209" t="str">
        <f>Segmenter!B6209</f>
        <v/>
      </c>
      <c r="C6209" t="str">
        <f t="shared" si="480"/>
        <v/>
      </c>
      <c r="D6209" t="str">
        <f t="shared" si="481"/>
        <v/>
      </c>
      <c r="E6209" t="str">
        <f t="shared" si="482"/>
        <v/>
      </c>
      <c r="F6209" t="str">
        <f>IF(D6209="","",INDEX(Knutepunkter!$B:$B,D6209+1))</f>
        <v/>
      </c>
      <c r="G6209" t="str">
        <f>IF(D6209="","",INDEX(Knutepunkter!$C:$C,D6209+1))</f>
        <v/>
      </c>
      <c r="H6209" t="str">
        <f>IF(D6209="","",INDEX(Knutepunkter!$D:$D,D6209+1))</f>
        <v/>
      </c>
      <c r="I6209" t="str">
        <f>IF(E6209="","",INDEX(Knutepunkter!$B:$B,E6209+1))</f>
        <v/>
      </c>
      <c r="J6209" t="str">
        <f>IF(E6209="","",INDEX(Knutepunkter!$C:$C,E6209+1))</f>
        <v/>
      </c>
      <c r="K6209" t="str">
        <f>IF(E6209="","",INDEX(Knutepunkter!$D:$D,E6209+1))</f>
        <v/>
      </c>
      <c r="L6209" t="str">
        <f t="shared" si="483"/>
        <v/>
      </c>
      <c r="M6209" t="str">
        <f t="shared" si="484"/>
        <v/>
      </c>
    </row>
    <row r="6210" spans="1:13" x14ac:dyDescent="0.3">
      <c r="A6210" t="str">
        <f>Segmenter!A6210</f>
        <v/>
      </c>
      <c r="B6210" t="str">
        <f>Segmenter!B6210</f>
        <v/>
      </c>
      <c r="C6210" t="str">
        <f t="shared" ref="C6210:C6273" si="485">IF(B6210="","",IF(AND(F6210=I6210,G6210=J6210,H6210&lt;&gt;K6210),"Søyle","Bjelke"))</f>
        <v/>
      </c>
      <c r="D6210" t="str">
        <f t="shared" ref="D6210:D6273" si="486">IF(B6210="","",VALUE(LEFT(B6210,FIND(" -&gt; ",B6210)-1)))</f>
        <v/>
      </c>
      <c r="E6210" t="str">
        <f t="shared" ref="E6210:E6273" si="487">IF(B6210="","",VALUE(MID(B6210,FIND(" -&gt; ",B6210)+4,99)))</f>
        <v/>
      </c>
      <c r="F6210" t="str">
        <f>IF(D6210="","",INDEX(Knutepunkter!$B:$B,D6210+1))</f>
        <v/>
      </c>
      <c r="G6210" t="str">
        <f>IF(D6210="","",INDEX(Knutepunkter!$C:$C,D6210+1))</f>
        <v/>
      </c>
      <c r="H6210" t="str">
        <f>IF(D6210="","",INDEX(Knutepunkter!$D:$D,D6210+1))</f>
        <v/>
      </c>
      <c r="I6210" t="str">
        <f>IF(E6210="","",INDEX(Knutepunkter!$B:$B,E6210+1))</f>
        <v/>
      </c>
      <c r="J6210" t="str">
        <f>IF(E6210="","",INDEX(Knutepunkter!$C:$C,E6210+1))</f>
        <v/>
      </c>
      <c r="K6210" t="str">
        <f>IF(E6210="","",INDEX(Knutepunkter!$D:$D,E6210+1))</f>
        <v/>
      </c>
      <c r="L6210" t="str">
        <f t="shared" ref="L6210:L6273" si="488">IF(B6210="","",SQRT((I6210-F6210)^2+(J6210-G6210)^2+(K6210-H6210)^2))</f>
        <v/>
      </c>
      <c r="M6210" t="str">
        <f t="shared" ref="M6210:M6273" si="489">IF(L6210="","",L6210/1000)</f>
        <v/>
      </c>
    </row>
    <row r="6211" spans="1:13" x14ac:dyDescent="0.3">
      <c r="A6211" t="str">
        <f>Segmenter!A6211</f>
        <v/>
      </c>
      <c r="B6211" t="str">
        <f>Segmenter!B6211</f>
        <v/>
      </c>
      <c r="C6211" t="str">
        <f t="shared" si="485"/>
        <v/>
      </c>
      <c r="D6211" t="str">
        <f t="shared" si="486"/>
        <v/>
      </c>
      <c r="E6211" t="str">
        <f t="shared" si="487"/>
        <v/>
      </c>
      <c r="F6211" t="str">
        <f>IF(D6211="","",INDEX(Knutepunkter!$B:$B,D6211+1))</f>
        <v/>
      </c>
      <c r="G6211" t="str">
        <f>IF(D6211="","",INDEX(Knutepunkter!$C:$C,D6211+1))</f>
        <v/>
      </c>
      <c r="H6211" t="str">
        <f>IF(D6211="","",INDEX(Knutepunkter!$D:$D,D6211+1))</f>
        <v/>
      </c>
      <c r="I6211" t="str">
        <f>IF(E6211="","",INDEX(Knutepunkter!$B:$B,E6211+1))</f>
        <v/>
      </c>
      <c r="J6211" t="str">
        <f>IF(E6211="","",INDEX(Knutepunkter!$C:$C,E6211+1))</f>
        <v/>
      </c>
      <c r="K6211" t="str">
        <f>IF(E6211="","",INDEX(Knutepunkter!$D:$D,E6211+1))</f>
        <v/>
      </c>
      <c r="L6211" t="str">
        <f t="shared" si="488"/>
        <v/>
      </c>
      <c r="M6211" t="str">
        <f t="shared" si="489"/>
        <v/>
      </c>
    </row>
    <row r="6212" spans="1:13" x14ac:dyDescent="0.3">
      <c r="A6212" t="str">
        <f>Segmenter!A6212</f>
        <v/>
      </c>
      <c r="B6212" t="str">
        <f>Segmenter!B6212</f>
        <v/>
      </c>
      <c r="C6212" t="str">
        <f t="shared" si="485"/>
        <v/>
      </c>
      <c r="D6212" t="str">
        <f t="shared" si="486"/>
        <v/>
      </c>
      <c r="E6212" t="str">
        <f t="shared" si="487"/>
        <v/>
      </c>
      <c r="F6212" t="str">
        <f>IF(D6212="","",INDEX(Knutepunkter!$B:$B,D6212+1))</f>
        <v/>
      </c>
      <c r="G6212" t="str">
        <f>IF(D6212="","",INDEX(Knutepunkter!$C:$C,D6212+1))</f>
        <v/>
      </c>
      <c r="H6212" t="str">
        <f>IF(D6212="","",INDEX(Knutepunkter!$D:$D,D6212+1))</f>
        <v/>
      </c>
      <c r="I6212" t="str">
        <f>IF(E6212="","",INDEX(Knutepunkter!$B:$B,E6212+1))</f>
        <v/>
      </c>
      <c r="J6212" t="str">
        <f>IF(E6212="","",INDEX(Knutepunkter!$C:$C,E6212+1))</f>
        <v/>
      </c>
      <c r="K6212" t="str">
        <f>IF(E6212="","",INDEX(Knutepunkter!$D:$D,E6212+1))</f>
        <v/>
      </c>
      <c r="L6212" t="str">
        <f t="shared" si="488"/>
        <v/>
      </c>
      <c r="M6212" t="str">
        <f t="shared" si="489"/>
        <v/>
      </c>
    </row>
    <row r="6213" spans="1:13" x14ac:dyDescent="0.3">
      <c r="A6213" t="str">
        <f>Segmenter!A6213</f>
        <v/>
      </c>
      <c r="B6213" t="str">
        <f>Segmenter!B6213</f>
        <v/>
      </c>
      <c r="C6213" t="str">
        <f t="shared" si="485"/>
        <v/>
      </c>
      <c r="D6213" t="str">
        <f t="shared" si="486"/>
        <v/>
      </c>
      <c r="E6213" t="str">
        <f t="shared" si="487"/>
        <v/>
      </c>
      <c r="F6213" t="str">
        <f>IF(D6213="","",INDEX(Knutepunkter!$B:$B,D6213+1))</f>
        <v/>
      </c>
      <c r="G6213" t="str">
        <f>IF(D6213="","",INDEX(Knutepunkter!$C:$C,D6213+1))</f>
        <v/>
      </c>
      <c r="H6213" t="str">
        <f>IF(D6213="","",INDEX(Knutepunkter!$D:$D,D6213+1))</f>
        <v/>
      </c>
      <c r="I6213" t="str">
        <f>IF(E6213="","",INDEX(Knutepunkter!$B:$B,E6213+1))</f>
        <v/>
      </c>
      <c r="J6213" t="str">
        <f>IF(E6213="","",INDEX(Knutepunkter!$C:$C,E6213+1))</f>
        <v/>
      </c>
      <c r="K6213" t="str">
        <f>IF(E6213="","",INDEX(Knutepunkter!$D:$D,E6213+1))</f>
        <v/>
      </c>
      <c r="L6213" t="str">
        <f t="shared" si="488"/>
        <v/>
      </c>
      <c r="M6213" t="str">
        <f t="shared" si="489"/>
        <v/>
      </c>
    </row>
    <row r="6214" spans="1:13" x14ac:dyDescent="0.3">
      <c r="A6214" t="str">
        <f>Segmenter!A6214</f>
        <v/>
      </c>
      <c r="B6214" t="str">
        <f>Segmenter!B6214</f>
        <v/>
      </c>
      <c r="C6214" t="str">
        <f t="shared" si="485"/>
        <v/>
      </c>
      <c r="D6214" t="str">
        <f t="shared" si="486"/>
        <v/>
      </c>
      <c r="E6214" t="str">
        <f t="shared" si="487"/>
        <v/>
      </c>
      <c r="F6214" t="str">
        <f>IF(D6214="","",INDEX(Knutepunkter!$B:$B,D6214+1))</f>
        <v/>
      </c>
      <c r="G6214" t="str">
        <f>IF(D6214="","",INDEX(Knutepunkter!$C:$C,D6214+1))</f>
        <v/>
      </c>
      <c r="H6214" t="str">
        <f>IF(D6214="","",INDEX(Knutepunkter!$D:$D,D6214+1))</f>
        <v/>
      </c>
      <c r="I6214" t="str">
        <f>IF(E6214="","",INDEX(Knutepunkter!$B:$B,E6214+1))</f>
        <v/>
      </c>
      <c r="J6214" t="str">
        <f>IF(E6214="","",INDEX(Knutepunkter!$C:$C,E6214+1))</f>
        <v/>
      </c>
      <c r="K6214" t="str">
        <f>IF(E6214="","",INDEX(Knutepunkter!$D:$D,E6214+1))</f>
        <v/>
      </c>
      <c r="L6214" t="str">
        <f t="shared" si="488"/>
        <v/>
      </c>
      <c r="M6214" t="str">
        <f t="shared" si="489"/>
        <v/>
      </c>
    </row>
    <row r="6215" spans="1:13" x14ac:dyDescent="0.3">
      <c r="A6215" t="str">
        <f>Segmenter!A6215</f>
        <v/>
      </c>
      <c r="B6215" t="str">
        <f>Segmenter!B6215</f>
        <v/>
      </c>
      <c r="C6215" t="str">
        <f t="shared" si="485"/>
        <v/>
      </c>
      <c r="D6215" t="str">
        <f t="shared" si="486"/>
        <v/>
      </c>
      <c r="E6215" t="str">
        <f t="shared" si="487"/>
        <v/>
      </c>
      <c r="F6215" t="str">
        <f>IF(D6215="","",INDEX(Knutepunkter!$B:$B,D6215+1))</f>
        <v/>
      </c>
      <c r="G6215" t="str">
        <f>IF(D6215="","",INDEX(Knutepunkter!$C:$C,D6215+1))</f>
        <v/>
      </c>
      <c r="H6215" t="str">
        <f>IF(D6215="","",INDEX(Knutepunkter!$D:$D,D6215+1))</f>
        <v/>
      </c>
      <c r="I6215" t="str">
        <f>IF(E6215="","",INDEX(Knutepunkter!$B:$B,E6215+1))</f>
        <v/>
      </c>
      <c r="J6215" t="str">
        <f>IF(E6215="","",INDEX(Knutepunkter!$C:$C,E6215+1))</f>
        <v/>
      </c>
      <c r="K6215" t="str">
        <f>IF(E6215="","",INDEX(Knutepunkter!$D:$D,E6215+1))</f>
        <v/>
      </c>
      <c r="L6215" t="str">
        <f t="shared" si="488"/>
        <v/>
      </c>
      <c r="M6215" t="str">
        <f t="shared" si="489"/>
        <v/>
      </c>
    </row>
    <row r="6216" spans="1:13" x14ac:dyDescent="0.3">
      <c r="A6216" t="str">
        <f>Segmenter!A6216</f>
        <v/>
      </c>
      <c r="B6216" t="str">
        <f>Segmenter!B6216</f>
        <v/>
      </c>
      <c r="C6216" t="str">
        <f t="shared" si="485"/>
        <v/>
      </c>
      <c r="D6216" t="str">
        <f t="shared" si="486"/>
        <v/>
      </c>
      <c r="E6216" t="str">
        <f t="shared" si="487"/>
        <v/>
      </c>
      <c r="F6216" t="str">
        <f>IF(D6216="","",INDEX(Knutepunkter!$B:$B,D6216+1))</f>
        <v/>
      </c>
      <c r="G6216" t="str">
        <f>IF(D6216="","",INDEX(Knutepunkter!$C:$C,D6216+1))</f>
        <v/>
      </c>
      <c r="H6216" t="str">
        <f>IF(D6216="","",INDEX(Knutepunkter!$D:$D,D6216+1))</f>
        <v/>
      </c>
      <c r="I6216" t="str">
        <f>IF(E6216="","",INDEX(Knutepunkter!$B:$B,E6216+1))</f>
        <v/>
      </c>
      <c r="J6216" t="str">
        <f>IF(E6216="","",INDEX(Knutepunkter!$C:$C,E6216+1))</f>
        <v/>
      </c>
      <c r="K6216" t="str">
        <f>IF(E6216="","",INDEX(Knutepunkter!$D:$D,E6216+1))</f>
        <v/>
      </c>
      <c r="L6216" t="str">
        <f t="shared" si="488"/>
        <v/>
      </c>
      <c r="M6216" t="str">
        <f t="shared" si="489"/>
        <v/>
      </c>
    </row>
    <row r="6217" spans="1:13" x14ac:dyDescent="0.3">
      <c r="A6217" t="str">
        <f>Segmenter!A6217</f>
        <v/>
      </c>
      <c r="B6217" t="str">
        <f>Segmenter!B6217</f>
        <v/>
      </c>
      <c r="C6217" t="str">
        <f t="shared" si="485"/>
        <v/>
      </c>
      <c r="D6217" t="str">
        <f t="shared" si="486"/>
        <v/>
      </c>
      <c r="E6217" t="str">
        <f t="shared" si="487"/>
        <v/>
      </c>
      <c r="F6217" t="str">
        <f>IF(D6217="","",INDEX(Knutepunkter!$B:$B,D6217+1))</f>
        <v/>
      </c>
      <c r="G6217" t="str">
        <f>IF(D6217="","",INDEX(Knutepunkter!$C:$C,D6217+1))</f>
        <v/>
      </c>
      <c r="H6217" t="str">
        <f>IF(D6217="","",INDEX(Knutepunkter!$D:$D,D6217+1))</f>
        <v/>
      </c>
      <c r="I6217" t="str">
        <f>IF(E6217="","",INDEX(Knutepunkter!$B:$B,E6217+1))</f>
        <v/>
      </c>
      <c r="J6217" t="str">
        <f>IF(E6217="","",INDEX(Knutepunkter!$C:$C,E6217+1))</f>
        <v/>
      </c>
      <c r="K6217" t="str">
        <f>IF(E6217="","",INDEX(Knutepunkter!$D:$D,E6217+1))</f>
        <v/>
      </c>
      <c r="L6217" t="str">
        <f t="shared" si="488"/>
        <v/>
      </c>
      <c r="M6217" t="str">
        <f t="shared" si="489"/>
        <v/>
      </c>
    </row>
    <row r="6218" spans="1:13" x14ac:dyDescent="0.3">
      <c r="A6218" t="str">
        <f>Segmenter!A6218</f>
        <v/>
      </c>
      <c r="B6218" t="str">
        <f>Segmenter!B6218</f>
        <v/>
      </c>
      <c r="C6218" t="str">
        <f t="shared" si="485"/>
        <v/>
      </c>
      <c r="D6218" t="str">
        <f t="shared" si="486"/>
        <v/>
      </c>
      <c r="E6218" t="str">
        <f t="shared" si="487"/>
        <v/>
      </c>
      <c r="F6218" t="str">
        <f>IF(D6218="","",INDEX(Knutepunkter!$B:$B,D6218+1))</f>
        <v/>
      </c>
      <c r="G6218" t="str">
        <f>IF(D6218="","",INDEX(Knutepunkter!$C:$C,D6218+1))</f>
        <v/>
      </c>
      <c r="H6218" t="str">
        <f>IF(D6218="","",INDEX(Knutepunkter!$D:$D,D6218+1))</f>
        <v/>
      </c>
      <c r="I6218" t="str">
        <f>IF(E6218="","",INDEX(Knutepunkter!$B:$B,E6218+1))</f>
        <v/>
      </c>
      <c r="J6218" t="str">
        <f>IF(E6218="","",INDEX(Knutepunkter!$C:$C,E6218+1))</f>
        <v/>
      </c>
      <c r="K6218" t="str">
        <f>IF(E6218="","",INDEX(Knutepunkter!$D:$D,E6218+1))</f>
        <v/>
      </c>
      <c r="L6218" t="str">
        <f t="shared" si="488"/>
        <v/>
      </c>
      <c r="M6218" t="str">
        <f t="shared" si="489"/>
        <v/>
      </c>
    </row>
    <row r="6219" spans="1:13" x14ac:dyDescent="0.3">
      <c r="A6219" t="str">
        <f>Segmenter!A6219</f>
        <v/>
      </c>
      <c r="B6219" t="str">
        <f>Segmenter!B6219</f>
        <v/>
      </c>
      <c r="C6219" t="str">
        <f t="shared" si="485"/>
        <v/>
      </c>
      <c r="D6219" t="str">
        <f t="shared" si="486"/>
        <v/>
      </c>
      <c r="E6219" t="str">
        <f t="shared" si="487"/>
        <v/>
      </c>
      <c r="F6219" t="str">
        <f>IF(D6219="","",INDEX(Knutepunkter!$B:$B,D6219+1))</f>
        <v/>
      </c>
      <c r="G6219" t="str">
        <f>IF(D6219="","",INDEX(Knutepunkter!$C:$C,D6219+1))</f>
        <v/>
      </c>
      <c r="H6219" t="str">
        <f>IF(D6219="","",INDEX(Knutepunkter!$D:$D,D6219+1))</f>
        <v/>
      </c>
      <c r="I6219" t="str">
        <f>IF(E6219="","",INDEX(Knutepunkter!$B:$B,E6219+1))</f>
        <v/>
      </c>
      <c r="J6219" t="str">
        <f>IF(E6219="","",INDEX(Knutepunkter!$C:$C,E6219+1))</f>
        <v/>
      </c>
      <c r="K6219" t="str">
        <f>IF(E6219="","",INDEX(Knutepunkter!$D:$D,E6219+1))</f>
        <v/>
      </c>
      <c r="L6219" t="str">
        <f t="shared" si="488"/>
        <v/>
      </c>
      <c r="M6219" t="str">
        <f t="shared" si="489"/>
        <v/>
      </c>
    </row>
    <row r="6220" spans="1:13" x14ac:dyDescent="0.3">
      <c r="A6220" t="str">
        <f>Segmenter!A6220</f>
        <v/>
      </c>
      <c r="B6220" t="str">
        <f>Segmenter!B6220</f>
        <v/>
      </c>
      <c r="C6220" t="str">
        <f t="shared" si="485"/>
        <v/>
      </c>
      <c r="D6220" t="str">
        <f t="shared" si="486"/>
        <v/>
      </c>
      <c r="E6220" t="str">
        <f t="shared" si="487"/>
        <v/>
      </c>
      <c r="F6220" t="str">
        <f>IF(D6220="","",INDEX(Knutepunkter!$B:$B,D6220+1))</f>
        <v/>
      </c>
      <c r="G6220" t="str">
        <f>IF(D6220="","",INDEX(Knutepunkter!$C:$C,D6220+1))</f>
        <v/>
      </c>
      <c r="H6220" t="str">
        <f>IF(D6220="","",INDEX(Knutepunkter!$D:$D,D6220+1))</f>
        <v/>
      </c>
      <c r="I6220" t="str">
        <f>IF(E6220="","",INDEX(Knutepunkter!$B:$B,E6220+1))</f>
        <v/>
      </c>
      <c r="J6220" t="str">
        <f>IF(E6220="","",INDEX(Knutepunkter!$C:$C,E6220+1))</f>
        <v/>
      </c>
      <c r="K6220" t="str">
        <f>IF(E6220="","",INDEX(Knutepunkter!$D:$D,E6220+1))</f>
        <v/>
      </c>
      <c r="L6220" t="str">
        <f t="shared" si="488"/>
        <v/>
      </c>
      <c r="M6220" t="str">
        <f t="shared" si="489"/>
        <v/>
      </c>
    </row>
    <row r="6221" spans="1:13" x14ac:dyDescent="0.3">
      <c r="A6221" t="str">
        <f>Segmenter!A6221</f>
        <v/>
      </c>
      <c r="B6221" t="str">
        <f>Segmenter!B6221</f>
        <v/>
      </c>
      <c r="C6221" t="str">
        <f t="shared" si="485"/>
        <v/>
      </c>
      <c r="D6221" t="str">
        <f t="shared" si="486"/>
        <v/>
      </c>
      <c r="E6221" t="str">
        <f t="shared" si="487"/>
        <v/>
      </c>
      <c r="F6221" t="str">
        <f>IF(D6221="","",INDEX(Knutepunkter!$B:$B,D6221+1))</f>
        <v/>
      </c>
      <c r="G6221" t="str">
        <f>IF(D6221="","",INDEX(Knutepunkter!$C:$C,D6221+1))</f>
        <v/>
      </c>
      <c r="H6221" t="str">
        <f>IF(D6221="","",INDEX(Knutepunkter!$D:$D,D6221+1))</f>
        <v/>
      </c>
      <c r="I6221" t="str">
        <f>IF(E6221="","",INDEX(Knutepunkter!$B:$B,E6221+1))</f>
        <v/>
      </c>
      <c r="J6221" t="str">
        <f>IF(E6221="","",INDEX(Knutepunkter!$C:$C,E6221+1))</f>
        <v/>
      </c>
      <c r="K6221" t="str">
        <f>IF(E6221="","",INDEX(Knutepunkter!$D:$D,E6221+1))</f>
        <v/>
      </c>
      <c r="L6221" t="str">
        <f t="shared" si="488"/>
        <v/>
      </c>
      <c r="M6221" t="str">
        <f t="shared" si="489"/>
        <v/>
      </c>
    </row>
    <row r="6222" spans="1:13" x14ac:dyDescent="0.3">
      <c r="A6222" t="str">
        <f>Segmenter!A6222</f>
        <v/>
      </c>
      <c r="B6222" t="str">
        <f>Segmenter!B6222</f>
        <v/>
      </c>
      <c r="C6222" t="str">
        <f t="shared" si="485"/>
        <v/>
      </c>
      <c r="D6222" t="str">
        <f t="shared" si="486"/>
        <v/>
      </c>
      <c r="E6222" t="str">
        <f t="shared" si="487"/>
        <v/>
      </c>
      <c r="F6222" t="str">
        <f>IF(D6222="","",INDEX(Knutepunkter!$B:$B,D6222+1))</f>
        <v/>
      </c>
      <c r="G6222" t="str">
        <f>IF(D6222="","",INDEX(Knutepunkter!$C:$C,D6222+1))</f>
        <v/>
      </c>
      <c r="H6222" t="str">
        <f>IF(D6222="","",INDEX(Knutepunkter!$D:$D,D6222+1))</f>
        <v/>
      </c>
      <c r="I6222" t="str">
        <f>IF(E6222="","",INDEX(Knutepunkter!$B:$B,E6222+1))</f>
        <v/>
      </c>
      <c r="J6222" t="str">
        <f>IF(E6222="","",INDEX(Knutepunkter!$C:$C,E6222+1))</f>
        <v/>
      </c>
      <c r="K6222" t="str">
        <f>IF(E6222="","",INDEX(Knutepunkter!$D:$D,E6222+1))</f>
        <v/>
      </c>
      <c r="L6222" t="str">
        <f t="shared" si="488"/>
        <v/>
      </c>
      <c r="M6222" t="str">
        <f t="shared" si="489"/>
        <v/>
      </c>
    </row>
    <row r="6223" spans="1:13" x14ac:dyDescent="0.3">
      <c r="A6223" t="str">
        <f>Segmenter!A6223</f>
        <v/>
      </c>
      <c r="B6223" t="str">
        <f>Segmenter!B6223</f>
        <v/>
      </c>
      <c r="C6223" t="str">
        <f t="shared" si="485"/>
        <v/>
      </c>
      <c r="D6223" t="str">
        <f t="shared" si="486"/>
        <v/>
      </c>
      <c r="E6223" t="str">
        <f t="shared" si="487"/>
        <v/>
      </c>
      <c r="F6223" t="str">
        <f>IF(D6223="","",INDEX(Knutepunkter!$B:$B,D6223+1))</f>
        <v/>
      </c>
      <c r="G6223" t="str">
        <f>IF(D6223="","",INDEX(Knutepunkter!$C:$C,D6223+1))</f>
        <v/>
      </c>
      <c r="H6223" t="str">
        <f>IF(D6223="","",INDEX(Knutepunkter!$D:$D,D6223+1))</f>
        <v/>
      </c>
      <c r="I6223" t="str">
        <f>IF(E6223="","",INDEX(Knutepunkter!$B:$B,E6223+1))</f>
        <v/>
      </c>
      <c r="J6223" t="str">
        <f>IF(E6223="","",INDEX(Knutepunkter!$C:$C,E6223+1))</f>
        <v/>
      </c>
      <c r="K6223" t="str">
        <f>IF(E6223="","",INDEX(Knutepunkter!$D:$D,E6223+1))</f>
        <v/>
      </c>
      <c r="L6223" t="str">
        <f t="shared" si="488"/>
        <v/>
      </c>
      <c r="M6223" t="str">
        <f t="shared" si="489"/>
        <v/>
      </c>
    </row>
    <row r="6224" spans="1:13" x14ac:dyDescent="0.3">
      <c r="A6224" t="str">
        <f>Segmenter!A6224</f>
        <v/>
      </c>
      <c r="B6224" t="str">
        <f>Segmenter!B6224</f>
        <v/>
      </c>
      <c r="C6224" t="str">
        <f t="shared" si="485"/>
        <v/>
      </c>
      <c r="D6224" t="str">
        <f t="shared" si="486"/>
        <v/>
      </c>
      <c r="E6224" t="str">
        <f t="shared" si="487"/>
        <v/>
      </c>
      <c r="F6224" t="str">
        <f>IF(D6224="","",INDEX(Knutepunkter!$B:$B,D6224+1))</f>
        <v/>
      </c>
      <c r="G6224" t="str">
        <f>IF(D6224="","",INDEX(Knutepunkter!$C:$C,D6224+1))</f>
        <v/>
      </c>
      <c r="H6224" t="str">
        <f>IF(D6224="","",INDEX(Knutepunkter!$D:$D,D6224+1))</f>
        <v/>
      </c>
      <c r="I6224" t="str">
        <f>IF(E6224="","",INDEX(Knutepunkter!$B:$B,E6224+1))</f>
        <v/>
      </c>
      <c r="J6224" t="str">
        <f>IF(E6224="","",INDEX(Knutepunkter!$C:$C,E6224+1))</f>
        <v/>
      </c>
      <c r="K6224" t="str">
        <f>IF(E6224="","",INDEX(Knutepunkter!$D:$D,E6224+1))</f>
        <v/>
      </c>
      <c r="L6224" t="str">
        <f t="shared" si="488"/>
        <v/>
      </c>
      <c r="M6224" t="str">
        <f t="shared" si="489"/>
        <v/>
      </c>
    </row>
    <row r="6225" spans="1:13" x14ac:dyDescent="0.3">
      <c r="A6225" t="str">
        <f>Segmenter!A6225</f>
        <v/>
      </c>
      <c r="B6225" t="str">
        <f>Segmenter!B6225</f>
        <v/>
      </c>
      <c r="C6225" t="str">
        <f t="shared" si="485"/>
        <v/>
      </c>
      <c r="D6225" t="str">
        <f t="shared" si="486"/>
        <v/>
      </c>
      <c r="E6225" t="str">
        <f t="shared" si="487"/>
        <v/>
      </c>
      <c r="F6225" t="str">
        <f>IF(D6225="","",INDEX(Knutepunkter!$B:$B,D6225+1))</f>
        <v/>
      </c>
      <c r="G6225" t="str">
        <f>IF(D6225="","",INDEX(Knutepunkter!$C:$C,D6225+1))</f>
        <v/>
      </c>
      <c r="H6225" t="str">
        <f>IF(D6225="","",INDEX(Knutepunkter!$D:$D,D6225+1))</f>
        <v/>
      </c>
      <c r="I6225" t="str">
        <f>IF(E6225="","",INDEX(Knutepunkter!$B:$B,E6225+1))</f>
        <v/>
      </c>
      <c r="J6225" t="str">
        <f>IF(E6225="","",INDEX(Knutepunkter!$C:$C,E6225+1))</f>
        <v/>
      </c>
      <c r="K6225" t="str">
        <f>IF(E6225="","",INDEX(Knutepunkter!$D:$D,E6225+1))</f>
        <v/>
      </c>
      <c r="L6225" t="str">
        <f t="shared" si="488"/>
        <v/>
      </c>
      <c r="M6225" t="str">
        <f t="shared" si="489"/>
        <v/>
      </c>
    </row>
    <row r="6226" spans="1:13" x14ac:dyDescent="0.3">
      <c r="A6226" t="str">
        <f>Segmenter!A6226</f>
        <v/>
      </c>
      <c r="B6226" t="str">
        <f>Segmenter!B6226</f>
        <v/>
      </c>
      <c r="C6226" t="str">
        <f t="shared" si="485"/>
        <v/>
      </c>
      <c r="D6226" t="str">
        <f t="shared" si="486"/>
        <v/>
      </c>
      <c r="E6226" t="str">
        <f t="shared" si="487"/>
        <v/>
      </c>
      <c r="F6226" t="str">
        <f>IF(D6226="","",INDEX(Knutepunkter!$B:$B,D6226+1))</f>
        <v/>
      </c>
      <c r="G6226" t="str">
        <f>IF(D6226="","",INDEX(Knutepunkter!$C:$C,D6226+1))</f>
        <v/>
      </c>
      <c r="H6226" t="str">
        <f>IF(D6226="","",INDEX(Knutepunkter!$D:$D,D6226+1))</f>
        <v/>
      </c>
      <c r="I6226" t="str">
        <f>IF(E6226="","",INDEX(Knutepunkter!$B:$B,E6226+1))</f>
        <v/>
      </c>
      <c r="J6226" t="str">
        <f>IF(E6226="","",INDEX(Knutepunkter!$C:$C,E6226+1))</f>
        <v/>
      </c>
      <c r="K6226" t="str">
        <f>IF(E6226="","",INDEX(Knutepunkter!$D:$D,E6226+1))</f>
        <v/>
      </c>
      <c r="L6226" t="str">
        <f t="shared" si="488"/>
        <v/>
      </c>
      <c r="M6226" t="str">
        <f t="shared" si="489"/>
        <v/>
      </c>
    </row>
    <row r="6227" spans="1:13" x14ac:dyDescent="0.3">
      <c r="A6227" t="str">
        <f>Segmenter!A6227</f>
        <v/>
      </c>
      <c r="B6227" t="str">
        <f>Segmenter!B6227</f>
        <v/>
      </c>
      <c r="C6227" t="str">
        <f t="shared" si="485"/>
        <v/>
      </c>
      <c r="D6227" t="str">
        <f t="shared" si="486"/>
        <v/>
      </c>
      <c r="E6227" t="str">
        <f t="shared" si="487"/>
        <v/>
      </c>
      <c r="F6227" t="str">
        <f>IF(D6227="","",INDEX(Knutepunkter!$B:$B,D6227+1))</f>
        <v/>
      </c>
      <c r="G6227" t="str">
        <f>IF(D6227="","",INDEX(Knutepunkter!$C:$C,D6227+1))</f>
        <v/>
      </c>
      <c r="H6227" t="str">
        <f>IF(D6227="","",INDEX(Knutepunkter!$D:$D,D6227+1))</f>
        <v/>
      </c>
      <c r="I6227" t="str">
        <f>IF(E6227="","",INDEX(Knutepunkter!$B:$B,E6227+1))</f>
        <v/>
      </c>
      <c r="J6227" t="str">
        <f>IF(E6227="","",INDEX(Knutepunkter!$C:$C,E6227+1))</f>
        <v/>
      </c>
      <c r="K6227" t="str">
        <f>IF(E6227="","",INDEX(Knutepunkter!$D:$D,E6227+1))</f>
        <v/>
      </c>
      <c r="L6227" t="str">
        <f t="shared" si="488"/>
        <v/>
      </c>
      <c r="M6227" t="str">
        <f t="shared" si="489"/>
        <v/>
      </c>
    </row>
    <row r="6228" spans="1:13" x14ac:dyDescent="0.3">
      <c r="A6228" t="str">
        <f>Segmenter!A6228</f>
        <v/>
      </c>
      <c r="B6228" t="str">
        <f>Segmenter!B6228</f>
        <v/>
      </c>
      <c r="C6228" t="str">
        <f t="shared" si="485"/>
        <v/>
      </c>
      <c r="D6228" t="str">
        <f t="shared" si="486"/>
        <v/>
      </c>
      <c r="E6228" t="str">
        <f t="shared" si="487"/>
        <v/>
      </c>
      <c r="F6228" t="str">
        <f>IF(D6228="","",INDEX(Knutepunkter!$B:$B,D6228+1))</f>
        <v/>
      </c>
      <c r="G6228" t="str">
        <f>IF(D6228="","",INDEX(Knutepunkter!$C:$C,D6228+1))</f>
        <v/>
      </c>
      <c r="H6228" t="str">
        <f>IF(D6228="","",INDEX(Knutepunkter!$D:$D,D6228+1))</f>
        <v/>
      </c>
      <c r="I6228" t="str">
        <f>IF(E6228="","",INDEX(Knutepunkter!$B:$B,E6228+1))</f>
        <v/>
      </c>
      <c r="J6228" t="str">
        <f>IF(E6228="","",INDEX(Knutepunkter!$C:$C,E6228+1))</f>
        <v/>
      </c>
      <c r="K6228" t="str">
        <f>IF(E6228="","",INDEX(Knutepunkter!$D:$D,E6228+1))</f>
        <v/>
      </c>
      <c r="L6228" t="str">
        <f t="shared" si="488"/>
        <v/>
      </c>
      <c r="M6228" t="str">
        <f t="shared" si="489"/>
        <v/>
      </c>
    </row>
    <row r="6229" spans="1:13" x14ac:dyDescent="0.3">
      <c r="A6229" t="str">
        <f>Segmenter!A6229</f>
        <v/>
      </c>
      <c r="B6229" t="str">
        <f>Segmenter!B6229</f>
        <v/>
      </c>
      <c r="C6229" t="str">
        <f t="shared" si="485"/>
        <v/>
      </c>
      <c r="D6229" t="str">
        <f t="shared" si="486"/>
        <v/>
      </c>
      <c r="E6229" t="str">
        <f t="shared" si="487"/>
        <v/>
      </c>
      <c r="F6229" t="str">
        <f>IF(D6229="","",INDEX(Knutepunkter!$B:$B,D6229+1))</f>
        <v/>
      </c>
      <c r="G6229" t="str">
        <f>IF(D6229="","",INDEX(Knutepunkter!$C:$C,D6229+1))</f>
        <v/>
      </c>
      <c r="H6229" t="str">
        <f>IF(D6229="","",INDEX(Knutepunkter!$D:$D,D6229+1))</f>
        <v/>
      </c>
      <c r="I6229" t="str">
        <f>IF(E6229="","",INDEX(Knutepunkter!$B:$B,E6229+1))</f>
        <v/>
      </c>
      <c r="J6229" t="str">
        <f>IF(E6229="","",INDEX(Knutepunkter!$C:$C,E6229+1))</f>
        <v/>
      </c>
      <c r="K6229" t="str">
        <f>IF(E6229="","",INDEX(Knutepunkter!$D:$D,E6229+1))</f>
        <v/>
      </c>
      <c r="L6229" t="str">
        <f t="shared" si="488"/>
        <v/>
      </c>
      <c r="M6229" t="str">
        <f t="shared" si="489"/>
        <v/>
      </c>
    </row>
    <row r="6230" spans="1:13" x14ac:dyDescent="0.3">
      <c r="A6230" t="str">
        <f>Segmenter!A6230</f>
        <v/>
      </c>
      <c r="B6230" t="str">
        <f>Segmenter!B6230</f>
        <v/>
      </c>
      <c r="C6230" t="str">
        <f t="shared" si="485"/>
        <v/>
      </c>
      <c r="D6230" t="str">
        <f t="shared" si="486"/>
        <v/>
      </c>
      <c r="E6230" t="str">
        <f t="shared" si="487"/>
        <v/>
      </c>
      <c r="F6230" t="str">
        <f>IF(D6230="","",INDEX(Knutepunkter!$B:$B,D6230+1))</f>
        <v/>
      </c>
      <c r="G6230" t="str">
        <f>IF(D6230="","",INDEX(Knutepunkter!$C:$C,D6230+1))</f>
        <v/>
      </c>
      <c r="H6230" t="str">
        <f>IF(D6230="","",INDEX(Knutepunkter!$D:$D,D6230+1))</f>
        <v/>
      </c>
      <c r="I6230" t="str">
        <f>IF(E6230="","",INDEX(Knutepunkter!$B:$B,E6230+1))</f>
        <v/>
      </c>
      <c r="J6230" t="str">
        <f>IF(E6230="","",INDEX(Knutepunkter!$C:$C,E6230+1))</f>
        <v/>
      </c>
      <c r="K6230" t="str">
        <f>IF(E6230="","",INDEX(Knutepunkter!$D:$D,E6230+1))</f>
        <v/>
      </c>
      <c r="L6230" t="str">
        <f t="shared" si="488"/>
        <v/>
      </c>
      <c r="M6230" t="str">
        <f t="shared" si="489"/>
        <v/>
      </c>
    </row>
    <row r="6231" spans="1:13" x14ac:dyDescent="0.3">
      <c r="A6231" t="str">
        <f>Segmenter!A6231</f>
        <v/>
      </c>
      <c r="B6231" t="str">
        <f>Segmenter!B6231</f>
        <v/>
      </c>
      <c r="C6231" t="str">
        <f t="shared" si="485"/>
        <v/>
      </c>
      <c r="D6231" t="str">
        <f t="shared" si="486"/>
        <v/>
      </c>
      <c r="E6231" t="str">
        <f t="shared" si="487"/>
        <v/>
      </c>
      <c r="F6231" t="str">
        <f>IF(D6231="","",INDEX(Knutepunkter!$B:$B,D6231+1))</f>
        <v/>
      </c>
      <c r="G6231" t="str">
        <f>IF(D6231="","",INDEX(Knutepunkter!$C:$C,D6231+1))</f>
        <v/>
      </c>
      <c r="H6231" t="str">
        <f>IF(D6231="","",INDEX(Knutepunkter!$D:$D,D6231+1))</f>
        <v/>
      </c>
      <c r="I6231" t="str">
        <f>IF(E6231="","",INDEX(Knutepunkter!$B:$B,E6231+1))</f>
        <v/>
      </c>
      <c r="J6231" t="str">
        <f>IF(E6231="","",INDEX(Knutepunkter!$C:$C,E6231+1))</f>
        <v/>
      </c>
      <c r="K6231" t="str">
        <f>IF(E6231="","",INDEX(Knutepunkter!$D:$D,E6231+1))</f>
        <v/>
      </c>
      <c r="L6231" t="str">
        <f t="shared" si="488"/>
        <v/>
      </c>
      <c r="M6231" t="str">
        <f t="shared" si="489"/>
        <v/>
      </c>
    </row>
    <row r="6232" spans="1:13" x14ac:dyDescent="0.3">
      <c r="A6232" t="str">
        <f>Segmenter!A6232</f>
        <v/>
      </c>
      <c r="B6232" t="str">
        <f>Segmenter!B6232</f>
        <v/>
      </c>
      <c r="C6232" t="str">
        <f t="shared" si="485"/>
        <v/>
      </c>
      <c r="D6232" t="str">
        <f t="shared" si="486"/>
        <v/>
      </c>
      <c r="E6232" t="str">
        <f t="shared" si="487"/>
        <v/>
      </c>
      <c r="F6232" t="str">
        <f>IF(D6232="","",INDEX(Knutepunkter!$B:$B,D6232+1))</f>
        <v/>
      </c>
      <c r="G6232" t="str">
        <f>IF(D6232="","",INDEX(Knutepunkter!$C:$C,D6232+1))</f>
        <v/>
      </c>
      <c r="H6232" t="str">
        <f>IF(D6232="","",INDEX(Knutepunkter!$D:$D,D6232+1))</f>
        <v/>
      </c>
      <c r="I6232" t="str">
        <f>IF(E6232="","",INDEX(Knutepunkter!$B:$B,E6232+1))</f>
        <v/>
      </c>
      <c r="J6232" t="str">
        <f>IF(E6232="","",INDEX(Knutepunkter!$C:$C,E6232+1))</f>
        <v/>
      </c>
      <c r="K6232" t="str">
        <f>IF(E6232="","",INDEX(Knutepunkter!$D:$D,E6232+1))</f>
        <v/>
      </c>
      <c r="L6232" t="str">
        <f t="shared" si="488"/>
        <v/>
      </c>
      <c r="M6232" t="str">
        <f t="shared" si="489"/>
        <v/>
      </c>
    </row>
    <row r="6233" spans="1:13" x14ac:dyDescent="0.3">
      <c r="A6233" t="str">
        <f>Segmenter!A6233</f>
        <v/>
      </c>
      <c r="B6233" t="str">
        <f>Segmenter!B6233</f>
        <v/>
      </c>
      <c r="C6233" t="str">
        <f t="shared" si="485"/>
        <v/>
      </c>
      <c r="D6233" t="str">
        <f t="shared" si="486"/>
        <v/>
      </c>
      <c r="E6233" t="str">
        <f t="shared" si="487"/>
        <v/>
      </c>
      <c r="F6233" t="str">
        <f>IF(D6233="","",INDEX(Knutepunkter!$B:$B,D6233+1))</f>
        <v/>
      </c>
      <c r="G6233" t="str">
        <f>IF(D6233="","",INDEX(Knutepunkter!$C:$C,D6233+1))</f>
        <v/>
      </c>
      <c r="H6233" t="str">
        <f>IF(D6233="","",INDEX(Knutepunkter!$D:$D,D6233+1))</f>
        <v/>
      </c>
      <c r="I6233" t="str">
        <f>IF(E6233="","",INDEX(Knutepunkter!$B:$B,E6233+1))</f>
        <v/>
      </c>
      <c r="J6233" t="str">
        <f>IF(E6233="","",INDEX(Knutepunkter!$C:$C,E6233+1))</f>
        <v/>
      </c>
      <c r="K6233" t="str">
        <f>IF(E6233="","",INDEX(Knutepunkter!$D:$D,E6233+1))</f>
        <v/>
      </c>
      <c r="L6233" t="str">
        <f t="shared" si="488"/>
        <v/>
      </c>
      <c r="M6233" t="str">
        <f t="shared" si="489"/>
        <v/>
      </c>
    </row>
    <row r="6234" spans="1:13" x14ac:dyDescent="0.3">
      <c r="A6234" t="str">
        <f>Segmenter!A6234</f>
        <v/>
      </c>
      <c r="B6234" t="str">
        <f>Segmenter!B6234</f>
        <v/>
      </c>
      <c r="C6234" t="str">
        <f t="shared" si="485"/>
        <v/>
      </c>
      <c r="D6234" t="str">
        <f t="shared" si="486"/>
        <v/>
      </c>
      <c r="E6234" t="str">
        <f t="shared" si="487"/>
        <v/>
      </c>
      <c r="F6234" t="str">
        <f>IF(D6234="","",INDEX(Knutepunkter!$B:$B,D6234+1))</f>
        <v/>
      </c>
      <c r="G6234" t="str">
        <f>IF(D6234="","",INDEX(Knutepunkter!$C:$C,D6234+1))</f>
        <v/>
      </c>
      <c r="H6234" t="str">
        <f>IF(D6234="","",INDEX(Knutepunkter!$D:$D,D6234+1))</f>
        <v/>
      </c>
      <c r="I6234" t="str">
        <f>IF(E6234="","",INDEX(Knutepunkter!$B:$B,E6234+1))</f>
        <v/>
      </c>
      <c r="J6234" t="str">
        <f>IF(E6234="","",INDEX(Knutepunkter!$C:$C,E6234+1))</f>
        <v/>
      </c>
      <c r="K6234" t="str">
        <f>IF(E6234="","",INDEX(Knutepunkter!$D:$D,E6234+1))</f>
        <v/>
      </c>
      <c r="L6234" t="str">
        <f t="shared" si="488"/>
        <v/>
      </c>
      <c r="M6234" t="str">
        <f t="shared" si="489"/>
        <v/>
      </c>
    </row>
    <row r="6235" spans="1:13" x14ac:dyDescent="0.3">
      <c r="A6235" t="str">
        <f>Segmenter!A6235</f>
        <v/>
      </c>
      <c r="B6235" t="str">
        <f>Segmenter!B6235</f>
        <v/>
      </c>
      <c r="C6235" t="str">
        <f t="shared" si="485"/>
        <v/>
      </c>
      <c r="D6235" t="str">
        <f t="shared" si="486"/>
        <v/>
      </c>
      <c r="E6235" t="str">
        <f t="shared" si="487"/>
        <v/>
      </c>
      <c r="F6235" t="str">
        <f>IF(D6235="","",INDEX(Knutepunkter!$B:$B,D6235+1))</f>
        <v/>
      </c>
      <c r="G6235" t="str">
        <f>IF(D6235="","",INDEX(Knutepunkter!$C:$C,D6235+1))</f>
        <v/>
      </c>
      <c r="H6235" t="str">
        <f>IF(D6235="","",INDEX(Knutepunkter!$D:$D,D6235+1))</f>
        <v/>
      </c>
      <c r="I6235" t="str">
        <f>IF(E6235="","",INDEX(Knutepunkter!$B:$B,E6235+1))</f>
        <v/>
      </c>
      <c r="J6235" t="str">
        <f>IF(E6235="","",INDEX(Knutepunkter!$C:$C,E6235+1))</f>
        <v/>
      </c>
      <c r="K6235" t="str">
        <f>IF(E6235="","",INDEX(Knutepunkter!$D:$D,E6235+1))</f>
        <v/>
      </c>
      <c r="L6235" t="str">
        <f t="shared" si="488"/>
        <v/>
      </c>
      <c r="M6235" t="str">
        <f t="shared" si="489"/>
        <v/>
      </c>
    </row>
    <row r="6236" spans="1:13" x14ac:dyDescent="0.3">
      <c r="A6236" t="str">
        <f>Segmenter!A6236</f>
        <v/>
      </c>
      <c r="B6236" t="str">
        <f>Segmenter!B6236</f>
        <v/>
      </c>
      <c r="C6236" t="str">
        <f t="shared" si="485"/>
        <v/>
      </c>
      <c r="D6236" t="str">
        <f t="shared" si="486"/>
        <v/>
      </c>
      <c r="E6236" t="str">
        <f t="shared" si="487"/>
        <v/>
      </c>
      <c r="F6236" t="str">
        <f>IF(D6236="","",INDEX(Knutepunkter!$B:$B,D6236+1))</f>
        <v/>
      </c>
      <c r="G6236" t="str">
        <f>IF(D6236="","",INDEX(Knutepunkter!$C:$C,D6236+1))</f>
        <v/>
      </c>
      <c r="H6236" t="str">
        <f>IF(D6236="","",INDEX(Knutepunkter!$D:$D,D6236+1))</f>
        <v/>
      </c>
      <c r="I6236" t="str">
        <f>IF(E6236="","",INDEX(Knutepunkter!$B:$B,E6236+1))</f>
        <v/>
      </c>
      <c r="J6236" t="str">
        <f>IF(E6236="","",INDEX(Knutepunkter!$C:$C,E6236+1))</f>
        <v/>
      </c>
      <c r="K6236" t="str">
        <f>IF(E6236="","",INDEX(Knutepunkter!$D:$D,E6236+1))</f>
        <v/>
      </c>
      <c r="L6236" t="str">
        <f t="shared" si="488"/>
        <v/>
      </c>
      <c r="M6236" t="str">
        <f t="shared" si="489"/>
        <v/>
      </c>
    </row>
    <row r="6237" spans="1:13" x14ac:dyDescent="0.3">
      <c r="A6237" t="str">
        <f>Segmenter!A6237</f>
        <v/>
      </c>
      <c r="B6237" t="str">
        <f>Segmenter!B6237</f>
        <v/>
      </c>
      <c r="C6237" t="str">
        <f t="shared" si="485"/>
        <v/>
      </c>
      <c r="D6237" t="str">
        <f t="shared" si="486"/>
        <v/>
      </c>
      <c r="E6237" t="str">
        <f t="shared" si="487"/>
        <v/>
      </c>
      <c r="F6237" t="str">
        <f>IF(D6237="","",INDEX(Knutepunkter!$B:$B,D6237+1))</f>
        <v/>
      </c>
      <c r="G6237" t="str">
        <f>IF(D6237="","",INDEX(Knutepunkter!$C:$C,D6237+1))</f>
        <v/>
      </c>
      <c r="H6237" t="str">
        <f>IF(D6237="","",INDEX(Knutepunkter!$D:$D,D6237+1))</f>
        <v/>
      </c>
      <c r="I6237" t="str">
        <f>IF(E6237="","",INDEX(Knutepunkter!$B:$B,E6237+1))</f>
        <v/>
      </c>
      <c r="J6237" t="str">
        <f>IF(E6237="","",INDEX(Knutepunkter!$C:$C,E6237+1))</f>
        <v/>
      </c>
      <c r="K6237" t="str">
        <f>IF(E6237="","",INDEX(Knutepunkter!$D:$D,E6237+1))</f>
        <v/>
      </c>
      <c r="L6237" t="str">
        <f t="shared" si="488"/>
        <v/>
      </c>
      <c r="M6237" t="str">
        <f t="shared" si="489"/>
        <v/>
      </c>
    </row>
    <row r="6238" spans="1:13" x14ac:dyDescent="0.3">
      <c r="A6238" t="str">
        <f>Segmenter!A6238</f>
        <v/>
      </c>
      <c r="B6238" t="str">
        <f>Segmenter!B6238</f>
        <v/>
      </c>
      <c r="C6238" t="str">
        <f t="shared" si="485"/>
        <v/>
      </c>
      <c r="D6238" t="str">
        <f t="shared" si="486"/>
        <v/>
      </c>
      <c r="E6238" t="str">
        <f t="shared" si="487"/>
        <v/>
      </c>
      <c r="F6238" t="str">
        <f>IF(D6238="","",INDEX(Knutepunkter!$B:$B,D6238+1))</f>
        <v/>
      </c>
      <c r="G6238" t="str">
        <f>IF(D6238="","",INDEX(Knutepunkter!$C:$C,D6238+1))</f>
        <v/>
      </c>
      <c r="H6238" t="str">
        <f>IF(D6238="","",INDEX(Knutepunkter!$D:$D,D6238+1))</f>
        <v/>
      </c>
      <c r="I6238" t="str">
        <f>IF(E6238="","",INDEX(Knutepunkter!$B:$B,E6238+1))</f>
        <v/>
      </c>
      <c r="J6238" t="str">
        <f>IF(E6238="","",INDEX(Knutepunkter!$C:$C,E6238+1))</f>
        <v/>
      </c>
      <c r="K6238" t="str">
        <f>IF(E6238="","",INDEX(Knutepunkter!$D:$D,E6238+1))</f>
        <v/>
      </c>
      <c r="L6238" t="str">
        <f t="shared" si="488"/>
        <v/>
      </c>
      <c r="M6238" t="str">
        <f t="shared" si="489"/>
        <v/>
      </c>
    </row>
    <row r="6239" spans="1:13" x14ac:dyDescent="0.3">
      <c r="A6239" t="str">
        <f>Segmenter!A6239</f>
        <v/>
      </c>
      <c r="B6239" t="str">
        <f>Segmenter!B6239</f>
        <v/>
      </c>
      <c r="C6239" t="str">
        <f t="shared" si="485"/>
        <v/>
      </c>
      <c r="D6239" t="str">
        <f t="shared" si="486"/>
        <v/>
      </c>
      <c r="E6239" t="str">
        <f t="shared" si="487"/>
        <v/>
      </c>
      <c r="F6239" t="str">
        <f>IF(D6239="","",INDEX(Knutepunkter!$B:$B,D6239+1))</f>
        <v/>
      </c>
      <c r="G6239" t="str">
        <f>IF(D6239="","",INDEX(Knutepunkter!$C:$C,D6239+1))</f>
        <v/>
      </c>
      <c r="H6239" t="str">
        <f>IF(D6239="","",INDEX(Knutepunkter!$D:$D,D6239+1))</f>
        <v/>
      </c>
      <c r="I6239" t="str">
        <f>IF(E6239="","",INDEX(Knutepunkter!$B:$B,E6239+1))</f>
        <v/>
      </c>
      <c r="J6239" t="str">
        <f>IF(E6239="","",INDEX(Knutepunkter!$C:$C,E6239+1))</f>
        <v/>
      </c>
      <c r="K6239" t="str">
        <f>IF(E6239="","",INDEX(Knutepunkter!$D:$D,E6239+1))</f>
        <v/>
      </c>
      <c r="L6239" t="str">
        <f t="shared" si="488"/>
        <v/>
      </c>
      <c r="M6239" t="str">
        <f t="shared" si="489"/>
        <v/>
      </c>
    </row>
    <row r="6240" spans="1:13" x14ac:dyDescent="0.3">
      <c r="A6240" t="str">
        <f>Segmenter!A6240</f>
        <v/>
      </c>
      <c r="B6240" t="str">
        <f>Segmenter!B6240</f>
        <v/>
      </c>
      <c r="C6240" t="str">
        <f t="shared" si="485"/>
        <v/>
      </c>
      <c r="D6240" t="str">
        <f t="shared" si="486"/>
        <v/>
      </c>
      <c r="E6240" t="str">
        <f t="shared" si="487"/>
        <v/>
      </c>
      <c r="F6240" t="str">
        <f>IF(D6240="","",INDEX(Knutepunkter!$B:$B,D6240+1))</f>
        <v/>
      </c>
      <c r="G6240" t="str">
        <f>IF(D6240="","",INDEX(Knutepunkter!$C:$C,D6240+1))</f>
        <v/>
      </c>
      <c r="H6240" t="str">
        <f>IF(D6240="","",INDEX(Knutepunkter!$D:$D,D6240+1))</f>
        <v/>
      </c>
      <c r="I6240" t="str">
        <f>IF(E6240="","",INDEX(Knutepunkter!$B:$B,E6240+1))</f>
        <v/>
      </c>
      <c r="J6240" t="str">
        <f>IF(E6240="","",INDEX(Knutepunkter!$C:$C,E6240+1))</f>
        <v/>
      </c>
      <c r="K6240" t="str">
        <f>IF(E6240="","",INDEX(Knutepunkter!$D:$D,E6240+1))</f>
        <v/>
      </c>
      <c r="L6240" t="str">
        <f t="shared" si="488"/>
        <v/>
      </c>
      <c r="M6240" t="str">
        <f t="shared" si="489"/>
        <v/>
      </c>
    </row>
    <row r="6241" spans="1:13" x14ac:dyDescent="0.3">
      <c r="A6241" t="str">
        <f>Segmenter!A6241</f>
        <v/>
      </c>
      <c r="B6241" t="str">
        <f>Segmenter!B6241</f>
        <v/>
      </c>
      <c r="C6241" t="str">
        <f t="shared" si="485"/>
        <v/>
      </c>
      <c r="D6241" t="str">
        <f t="shared" si="486"/>
        <v/>
      </c>
      <c r="E6241" t="str">
        <f t="shared" si="487"/>
        <v/>
      </c>
      <c r="F6241" t="str">
        <f>IF(D6241="","",INDEX(Knutepunkter!$B:$B,D6241+1))</f>
        <v/>
      </c>
      <c r="G6241" t="str">
        <f>IF(D6241="","",INDEX(Knutepunkter!$C:$C,D6241+1))</f>
        <v/>
      </c>
      <c r="H6241" t="str">
        <f>IF(D6241="","",INDEX(Knutepunkter!$D:$D,D6241+1))</f>
        <v/>
      </c>
      <c r="I6241" t="str">
        <f>IF(E6241="","",INDEX(Knutepunkter!$B:$B,E6241+1))</f>
        <v/>
      </c>
      <c r="J6241" t="str">
        <f>IF(E6241="","",INDEX(Knutepunkter!$C:$C,E6241+1))</f>
        <v/>
      </c>
      <c r="K6241" t="str">
        <f>IF(E6241="","",INDEX(Knutepunkter!$D:$D,E6241+1))</f>
        <v/>
      </c>
      <c r="L6241" t="str">
        <f t="shared" si="488"/>
        <v/>
      </c>
      <c r="M6241" t="str">
        <f t="shared" si="489"/>
        <v/>
      </c>
    </row>
    <row r="6242" spans="1:13" x14ac:dyDescent="0.3">
      <c r="A6242" t="str">
        <f>Segmenter!A6242</f>
        <v/>
      </c>
      <c r="B6242" t="str">
        <f>Segmenter!B6242</f>
        <v/>
      </c>
      <c r="C6242" t="str">
        <f t="shared" si="485"/>
        <v/>
      </c>
      <c r="D6242" t="str">
        <f t="shared" si="486"/>
        <v/>
      </c>
      <c r="E6242" t="str">
        <f t="shared" si="487"/>
        <v/>
      </c>
      <c r="F6242" t="str">
        <f>IF(D6242="","",INDEX(Knutepunkter!$B:$B,D6242+1))</f>
        <v/>
      </c>
      <c r="G6242" t="str">
        <f>IF(D6242="","",INDEX(Knutepunkter!$C:$C,D6242+1))</f>
        <v/>
      </c>
      <c r="H6242" t="str">
        <f>IF(D6242="","",INDEX(Knutepunkter!$D:$D,D6242+1))</f>
        <v/>
      </c>
      <c r="I6242" t="str">
        <f>IF(E6242="","",INDEX(Knutepunkter!$B:$B,E6242+1))</f>
        <v/>
      </c>
      <c r="J6242" t="str">
        <f>IF(E6242="","",INDEX(Knutepunkter!$C:$C,E6242+1))</f>
        <v/>
      </c>
      <c r="K6242" t="str">
        <f>IF(E6242="","",INDEX(Knutepunkter!$D:$D,E6242+1))</f>
        <v/>
      </c>
      <c r="L6242" t="str">
        <f t="shared" si="488"/>
        <v/>
      </c>
      <c r="M6242" t="str">
        <f t="shared" si="489"/>
        <v/>
      </c>
    </row>
    <row r="6243" spans="1:13" x14ac:dyDescent="0.3">
      <c r="A6243" t="str">
        <f>Segmenter!A6243</f>
        <v/>
      </c>
      <c r="B6243" t="str">
        <f>Segmenter!B6243</f>
        <v/>
      </c>
      <c r="C6243" t="str">
        <f t="shared" si="485"/>
        <v/>
      </c>
      <c r="D6243" t="str">
        <f t="shared" si="486"/>
        <v/>
      </c>
      <c r="E6243" t="str">
        <f t="shared" si="487"/>
        <v/>
      </c>
      <c r="F6243" t="str">
        <f>IF(D6243="","",INDEX(Knutepunkter!$B:$B,D6243+1))</f>
        <v/>
      </c>
      <c r="G6243" t="str">
        <f>IF(D6243="","",INDEX(Knutepunkter!$C:$C,D6243+1))</f>
        <v/>
      </c>
      <c r="H6243" t="str">
        <f>IF(D6243="","",INDEX(Knutepunkter!$D:$D,D6243+1))</f>
        <v/>
      </c>
      <c r="I6243" t="str">
        <f>IF(E6243="","",INDEX(Knutepunkter!$B:$B,E6243+1))</f>
        <v/>
      </c>
      <c r="J6243" t="str">
        <f>IF(E6243="","",INDEX(Knutepunkter!$C:$C,E6243+1))</f>
        <v/>
      </c>
      <c r="K6243" t="str">
        <f>IF(E6243="","",INDEX(Knutepunkter!$D:$D,E6243+1))</f>
        <v/>
      </c>
      <c r="L6243" t="str">
        <f t="shared" si="488"/>
        <v/>
      </c>
      <c r="M6243" t="str">
        <f t="shared" si="489"/>
        <v/>
      </c>
    </row>
    <row r="6244" spans="1:13" x14ac:dyDescent="0.3">
      <c r="A6244" t="str">
        <f>Segmenter!A6244</f>
        <v/>
      </c>
      <c r="B6244" t="str">
        <f>Segmenter!B6244</f>
        <v/>
      </c>
      <c r="C6244" t="str">
        <f t="shared" si="485"/>
        <v/>
      </c>
      <c r="D6244" t="str">
        <f t="shared" si="486"/>
        <v/>
      </c>
      <c r="E6244" t="str">
        <f t="shared" si="487"/>
        <v/>
      </c>
      <c r="F6244" t="str">
        <f>IF(D6244="","",INDEX(Knutepunkter!$B:$B,D6244+1))</f>
        <v/>
      </c>
      <c r="G6244" t="str">
        <f>IF(D6244="","",INDEX(Knutepunkter!$C:$C,D6244+1))</f>
        <v/>
      </c>
      <c r="H6244" t="str">
        <f>IF(D6244="","",INDEX(Knutepunkter!$D:$D,D6244+1))</f>
        <v/>
      </c>
      <c r="I6244" t="str">
        <f>IF(E6244="","",INDEX(Knutepunkter!$B:$B,E6244+1))</f>
        <v/>
      </c>
      <c r="J6244" t="str">
        <f>IF(E6244="","",INDEX(Knutepunkter!$C:$C,E6244+1))</f>
        <v/>
      </c>
      <c r="K6244" t="str">
        <f>IF(E6244="","",INDEX(Knutepunkter!$D:$D,E6244+1))</f>
        <v/>
      </c>
      <c r="L6244" t="str">
        <f t="shared" si="488"/>
        <v/>
      </c>
      <c r="M6244" t="str">
        <f t="shared" si="489"/>
        <v/>
      </c>
    </row>
    <row r="6245" spans="1:13" x14ac:dyDescent="0.3">
      <c r="A6245" t="str">
        <f>Segmenter!A6245</f>
        <v/>
      </c>
      <c r="B6245" t="str">
        <f>Segmenter!B6245</f>
        <v/>
      </c>
      <c r="C6245" t="str">
        <f t="shared" si="485"/>
        <v/>
      </c>
      <c r="D6245" t="str">
        <f t="shared" si="486"/>
        <v/>
      </c>
      <c r="E6245" t="str">
        <f t="shared" si="487"/>
        <v/>
      </c>
      <c r="F6245" t="str">
        <f>IF(D6245="","",INDEX(Knutepunkter!$B:$B,D6245+1))</f>
        <v/>
      </c>
      <c r="G6245" t="str">
        <f>IF(D6245="","",INDEX(Knutepunkter!$C:$C,D6245+1))</f>
        <v/>
      </c>
      <c r="H6245" t="str">
        <f>IF(D6245="","",INDEX(Knutepunkter!$D:$D,D6245+1))</f>
        <v/>
      </c>
      <c r="I6245" t="str">
        <f>IF(E6245="","",INDEX(Knutepunkter!$B:$B,E6245+1))</f>
        <v/>
      </c>
      <c r="J6245" t="str">
        <f>IF(E6245="","",INDEX(Knutepunkter!$C:$C,E6245+1))</f>
        <v/>
      </c>
      <c r="K6245" t="str">
        <f>IF(E6245="","",INDEX(Knutepunkter!$D:$D,E6245+1))</f>
        <v/>
      </c>
      <c r="L6245" t="str">
        <f t="shared" si="488"/>
        <v/>
      </c>
      <c r="M6245" t="str">
        <f t="shared" si="489"/>
        <v/>
      </c>
    </row>
    <row r="6246" spans="1:13" x14ac:dyDescent="0.3">
      <c r="A6246" t="str">
        <f>Segmenter!A6246</f>
        <v/>
      </c>
      <c r="B6246" t="str">
        <f>Segmenter!B6246</f>
        <v/>
      </c>
      <c r="C6246" t="str">
        <f t="shared" si="485"/>
        <v/>
      </c>
      <c r="D6246" t="str">
        <f t="shared" si="486"/>
        <v/>
      </c>
      <c r="E6246" t="str">
        <f t="shared" si="487"/>
        <v/>
      </c>
      <c r="F6246" t="str">
        <f>IF(D6246="","",INDEX(Knutepunkter!$B:$B,D6246+1))</f>
        <v/>
      </c>
      <c r="G6246" t="str">
        <f>IF(D6246="","",INDEX(Knutepunkter!$C:$C,D6246+1))</f>
        <v/>
      </c>
      <c r="H6246" t="str">
        <f>IF(D6246="","",INDEX(Knutepunkter!$D:$D,D6246+1))</f>
        <v/>
      </c>
      <c r="I6246" t="str">
        <f>IF(E6246="","",INDEX(Knutepunkter!$B:$B,E6246+1))</f>
        <v/>
      </c>
      <c r="J6246" t="str">
        <f>IF(E6246="","",INDEX(Knutepunkter!$C:$C,E6246+1))</f>
        <v/>
      </c>
      <c r="K6246" t="str">
        <f>IF(E6246="","",INDEX(Knutepunkter!$D:$D,E6246+1))</f>
        <v/>
      </c>
      <c r="L6246" t="str">
        <f t="shared" si="488"/>
        <v/>
      </c>
      <c r="M6246" t="str">
        <f t="shared" si="489"/>
        <v/>
      </c>
    </row>
    <row r="6247" spans="1:13" x14ac:dyDescent="0.3">
      <c r="A6247" t="str">
        <f>Segmenter!A6247</f>
        <v/>
      </c>
      <c r="B6247" t="str">
        <f>Segmenter!B6247</f>
        <v/>
      </c>
      <c r="C6247" t="str">
        <f t="shared" si="485"/>
        <v/>
      </c>
      <c r="D6247" t="str">
        <f t="shared" si="486"/>
        <v/>
      </c>
      <c r="E6247" t="str">
        <f t="shared" si="487"/>
        <v/>
      </c>
      <c r="F6247" t="str">
        <f>IF(D6247="","",INDEX(Knutepunkter!$B:$B,D6247+1))</f>
        <v/>
      </c>
      <c r="G6247" t="str">
        <f>IF(D6247="","",INDEX(Knutepunkter!$C:$C,D6247+1))</f>
        <v/>
      </c>
      <c r="H6247" t="str">
        <f>IF(D6247="","",INDEX(Knutepunkter!$D:$D,D6247+1))</f>
        <v/>
      </c>
      <c r="I6247" t="str">
        <f>IF(E6247="","",INDEX(Knutepunkter!$B:$B,E6247+1))</f>
        <v/>
      </c>
      <c r="J6247" t="str">
        <f>IF(E6247="","",INDEX(Knutepunkter!$C:$C,E6247+1))</f>
        <v/>
      </c>
      <c r="K6247" t="str">
        <f>IF(E6247="","",INDEX(Knutepunkter!$D:$D,E6247+1))</f>
        <v/>
      </c>
      <c r="L6247" t="str">
        <f t="shared" si="488"/>
        <v/>
      </c>
      <c r="M6247" t="str">
        <f t="shared" si="489"/>
        <v/>
      </c>
    </row>
    <row r="6248" spans="1:13" x14ac:dyDescent="0.3">
      <c r="A6248" t="str">
        <f>Segmenter!A6248</f>
        <v/>
      </c>
      <c r="B6248" t="str">
        <f>Segmenter!B6248</f>
        <v/>
      </c>
      <c r="C6248" t="str">
        <f t="shared" si="485"/>
        <v/>
      </c>
      <c r="D6248" t="str">
        <f t="shared" si="486"/>
        <v/>
      </c>
      <c r="E6248" t="str">
        <f t="shared" si="487"/>
        <v/>
      </c>
      <c r="F6248" t="str">
        <f>IF(D6248="","",INDEX(Knutepunkter!$B:$B,D6248+1))</f>
        <v/>
      </c>
      <c r="G6248" t="str">
        <f>IF(D6248="","",INDEX(Knutepunkter!$C:$C,D6248+1))</f>
        <v/>
      </c>
      <c r="H6248" t="str">
        <f>IF(D6248="","",INDEX(Knutepunkter!$D:$D,D6248+1))</f>
        <v/>
      </c>
      <c r="I6248" t="str">
        <f>IF(E6248="","",INDEX(Knutepunkter!$B:$B,E6248+1))</f>
        <v/>
      </c>
      <c r="J6248" t="str">
        <f>IF(E6248="","",INDEX(Knutepunkter!$C:$C,E6248+1))</f>
        <v/>
      </c>
      <c r="K6248" t="str">
        <f>IF(E6248="","",INDEX(Knutepunkter!$D:$D,E6248+1))</f>
        <v/>
      </c>
      <c r="L6248" t="str">
        <f t="shared" si="488"/>
        <v/>
      </c>
      <c r="M6248" t="str">
        <f t="shared" si="489"/>
        <v/>
      </c>
    </row>
    <row r="6249" spans="1:13" x14ac:dyDescent="0.3">
      <c r="A6249" t="str">
        <f>Segmenter!A6249</f>
        <v/>
      </c>
      <c r="B6249" t="str">
        <f>Segmenter!B6249</f>
        <v/>
      </c>
      <c r="C6249" t="str">
        <f t="shared" si="485"/>
        <v/>
      </c>
      <c r="D6249" t="str">
        <f t="shared" si="486"/>
        <v/>
      </c>
      <c r="E6249" t="str">
        <f t="shared" si="487"/>
        <v/>
      </c>
      <c r="F6249" t="str">
        <f>IF(D6249="","",INDEX(Knutepunkter!$B:$B,D6249+1))</f>
        <v/>
      </c>
      <c r="G6249" t="str">
        <f>IF(D6249="","",INDEX(Knutepunkter!$C:$C,D6249+1))</f>
        <v/>
      </c>
      <c r="H6249" t="str">
        <f>IF(D6249="","",INDEX(Knutepunkter!$D:$D,D6249+1))</f>
        <v/>
      </c>
      <c r="I6249" t="str">
        <f>IF(E6249="","",INDEX(Knutepunkter!$B:$B,E6249+1))</f>
        <v/>
      </c>
      <c r="J6249" t="str">
        <f>IF(E6249="","",INDEX(Knutepunkter!$C:$C,E6249+1))</f>
        <v/>
      </c>
      <c r="K6249" t="str">
        <f>IF(E6249="","",INDEX(Knutepunkter!$D:$D,E6249+1))</f>
        <v/>
      </c>
      <c r="L6249" t="str">
        <f t="shared" si="488"/>
        <v/>
      </c>
      <c r="M6249" t="str">
        <f t="shared" si="489"/>
        <v/>
      </c>
    </row>
    <row r="6250" spans="1:13" x14ac:dyDescent="0.3">
      <c r="A6250" t="str">
        <f>Segmenter!A6250</f>
        <v/>
      </c>
      <c r="B6250" t="str">
        <f>Segmenter!B6250</f>
        <v/>
      </c>
      <c r="C6250" t="str">
        <f t="shared" si="485"/>
        <v/>
      </c>
      <c r="D6250" t="str">
        <f t="shared" si="486"/>
        <v/>
      </c>
      <c r="E6250" t="str">
        <f t="shared" si="487"/>
        <v/>
      </c>
      <c r="F6250" t="str">
        <f>IF(D6250="","",INDEX(Knutepunkter!$B:$B,D6250+1))</f>
        <v/>
      </c>
      <c r="G6250" t="str">
        <f>IF(D6250="","",INDEX(Knutepunkter!$C:$C,D6250+1))</f>
        <v/>
      </c>
      <c r="H6250" t="str">
        <f>IF(D6250="","",INDEX(Knutepunkter!$D:$D,D6250+1))</f>
        <v/>
      </c>
      <c r="I6250" t="str">
        <f>IF(E6250="","",INDEX(Knutepunkter!$B:$B,E6250+1))</f>
        <v/>
      </c>
      <c r="J6250" t="str">
        <f>IF(E6250="","",INDEX(Knutepunkter!$C:$C,E6250+1))</f>
        <v/>
      </c>
      <c r="K6250" t="str">
        <f>IF(E6250="","",INDEX(Knutepunkter!$D:$D,E6250+1))</f>
        <v/>
      </c>
      <c r="L6250" t="str">
        <f t="shared" si="488"/>
        <v/>
      </c>
      <c r="M6250" t="str">
        <f t="shared" si="489"/>
        <v/>
      </c>
    </row>
    <row r="6251" spans="1:13" x14ac:dyDescent="0.3">
      <c r="A6251" t="str">
        <f>Segmenter!A6251</f>
        <v/>
      </c>
      <c r="B6251" t="str">
        <f>Segmenter!B6251</f>
        <v/>
      </c>
      <c r="C6251" t="str">
        <f t="shared" si="485"/>
        <v/>
      </c>
      <c r="D6251" t="str">
        <f t="shared" si="486"/>
        <v/>
      </c>
      <c r="E6251" t="str">
        <f t="shared" si="487"/>
        <v/>
      </c>
      <c r="F6251" t="str">
        <f>IF(D6251="","",INDEX(Knutepunkter!$B:$B,D6251+1))</f>
        <v/>
      </c>
      <c r="G6251" t="str">
        <f>IF(D6251="","",INDEX(Knutepunkter!$C:$C,D6251+1))</f>
        <v/>
      </c>
      <c r="H6251" t="str">
        <f>IF(D6251="","",INDEX(Knutepunkter!$D:$D,D6251+1))</f>
        <v/>
      </c>
      <c r="I6251" t="str">
        <f>IF(E6251="","",INDEX(Knutepunkter!$B:$B,E6251+1))</f>
        <v/>
      </c>
      <c r="J6251" t="str">
        <f>IF(E6251="","",INDEX(Knutepunkter!$C:$C,E6251+1))</f>
        <v/>
      </c>
      <c r="K6251" t="str">
        <f>IF(E6251="","",INDEX(Knutepunkter!$D:$D,E6251+1))</f>
        <v/>
      </c>
      <c r="L6251" t="str">
        <f t="shared" si="488"/>
        <v/>
      </c>
      <c r="M6251" t="str">
        <f t="shared" si="489"/>
        <v/>
      </c>
    </row>
    <row r="6252" spans="1:13" x14ac:dyDescent="0.3">
      <c r="A6252" t="str">
        <f>Segmenter!A6252</f>
        <v/>
      </c>
      <c r="B6252" t="str">
        <f>Segmenter!B6252</f>
        <v/>
      </c>
      <c r="C6252" t="str">
        <f t="shared" si="485"/>
        <v/>
      </c>
      <c r="D6252" t="str">
        <f t="shared" si="486"/>
        <v/>
      </c>
      <c r="E6252" t="str">
        <f t="shared" si="487"/>
        <v/>
      </c>
      <c r="F6252" t="str">
        <f>IF(D6252="","",INDEX(Knutepunkter!$B:$B,D6252+1))</f>
        <v/>
      </c>
      <c r="G6252" t="str">
        <f>IF(D6252="","",INDEX(Knutepunkter!$C:$C,D6252+1))</f>
        <v/>
      </c>
      <c r="H6252" t="str">
        <f>IF(D6252="","",INDEX(Knutepunkter!$D:$D,D6252+1))</f>
        <v/>
      </c>
      <c r="I6252" t="str">
        <f>IF(E6252="","",INDEX(Knutepunkter!$B:$B,E6252+1))</f>
        <v/>
      </c>
      <c r="J6252" t="str">
        <f>IF(E6252="","",INDEX(Knutepunkter!$C:$C,E6252+1))</f>
        <v/>
      </c>
      <c r="K6252" t="str">
        <f>IF(E6252="","",INDEX(Knutepunkter!$D:$D,E6252+1))</f>
        <v/>
      </c>
      <c r="L6252" t="str">
        <f t="shared" si="488"/>
        <v/>
      </c>
      <c r="M6252" t="str">
        <f t="shared" si="489"/>
        <v/>
      </c>
    </row>
    <row r="6253" spans="1:13" x14ac:dyDescent="0.3">
      <c r="A6253" t="str">
        <f>Segmenter!A6253</f>
        <v/>
      </c>
      <c r="B6253" t="str">
        <f>Segmenter!B6253</f>
        <v/>
      </c>
      <c r="C6253" t="str">
        <f t="shared" si="485"/>
        <v/>
      </c>
      <c r="D6253" t="str">
        <f t="shared" si="486"/>
        <v/>
      </c>
      <c r="E6253" t="str">
        <f t="shared" si="487"/>
        <v/>
      </c>
      <c r="F6253" t="str">
        <f>IF(D6253="","",INDEX(Knutepunkter!$B:$B,D6253+1))</f>
        <v/>
      </c>
      <c r="G6253" t="str">
        <f>IF(D6253="","",INDEX(Knutepunkter!$C:$C,D6253+1))</f>
        <v/>
      </c>
      <c r="H6253" t="str">
        <f>IF(D6253="","",INDEX(Knutepunkter!$D:$D,D6253+1))</f>
        <v/>
      </c>
      <c r="I6253" t="str">
        <f>IF(E6253="","",INDEX(Knutepunkter!$B:$B,E6253+1))</f>
        <v/>
      </c>
      <c r="J6253" t="str">
        <f>IF(E6253="","",INDEX(Knutepunkter!$C:$C,E6253+1))</f>
        <v/>
      </c>
      <c r="K6253" t="str">
        <f>IF(E6253="","",INDEX(Knutepunkter!$D:$D,E6253+1))</f>
        <v/>
      </c>
      <c r="L6253" t="str">
        <f t="shared" si="488"/>
        <v/>
      </c>
      <c r="M6253" t="str">
        <f t="shared" si="489"/>
        <v/>
      </c>
    </row>
    <row r="6254" spans="1:13" x14ac:dyDescent="0.3">
      <c r="A6254" t="str">
        <f>Segmenter!A6254</f>
        <v/>
      </c>
      <c r="B6254" t="str">
        <f>Segmenter!B6254</f>
        <v/>
      </c>
      <c r="C6254" t="str">
        <f t="shared" si="485"/>
        <v/>
      </c>
      <c r="D6254" t="str">
        <f t="shared" si="486"/>
        <v/>
      </c>
      <c r="E6254" t="str">
        <f t="shared" si="487"/>
        <v/>
      </c>
      <c r="F6254" t="str">
        <f>IF(D6254="","",INDEX(Knutepunkter!$B:$B,D6254+1))</f>
        <v/>
      </c>
      <c r="G6254" t="str">
        <f>IF(D6254="","",INDEX(Knutepunkter!$C:$C,D6254+1))</f>
        <v/>
      </c>
      <c r="H6254" t="str">
        <f>IF(D6254="","",INDEX(Knutepunkter!$D:$D,D6254+1))</f>
        <v/>
      </c>
      <c r="I6254" t="str">
        <f>IF(E6254="","",INDEX(Knutepunkter!$B:$B,E6254+1))</f>
        <v/>
      </c>
      <c r="J6254" t="str">
        <f>IF(E6254="","",INDEX(Knutepunkter!$C:$C,E6254+1))</f>
        <v/>
      </c>
      <c r="K6254" t="str">
        <f>IF(E6254="","",INDEX(Knutepunkter!$D:$D,E6254+1))</f>
        <v/>
      </c>
      <c r="L6254" t="str">
        <f t="shared" si="488"/>
        <v/>
      </c>
      <c r="M6254" t="str">
        <f t="shared" si="489"/>
        <v/>
      </c>
    </row>
    <row r="6255" spans="1:13" x14ac:dyDescent="0.3">
      <c r="A6255" t="str">
        <f>Segmenter!A6255</f>
        <v/>
      </c>
      <c r="B6255" t="str">
        <f>Segmenter!B6255</f>
        <v/>
      </c>
      <c r="C6255" t="str">
        <f t="shared" si="485"/>
        <v/>
      </c>
      <c r="D6255" t="str">
        <f t="shared" si="486"/>
        <v/>
      </c>
      <c r="E6255" t="str">
        <f t="shared" si="487"/>
        <v/>
      </c>
      <c r="F6255" t="str">
        <f>IF(D6255="","",INDEX(Knutepunkter!$B:$B,D6255+1))</f>
        <v/>
      </c>
      <c r="G6255" t="str">
        <f>IF(D6255="","",INDEX(Knutepunkter!$C:$C,D6255+1))</f>
        <v/>
      </c>
      <c r="H6255" t="str">
        <f>IF(D6255="","",INDEX(Knutepunkter!$D:$D,D6255+1))</f>
        <v/>
      </c>
      <c r="I6255" t="str">
        <f>IF(E6255="","",INDEX(Knutepunkter!$B:$B,E6255+1))</f>
        <v/>
      </c>
      <c r="J6255" t="str">
        <f>IF(E6255="","",INDEX(Knutepunkter!$C:$C,E6255+1))</f>
        <v/>
      </c>
      <c r="K6255" t="str">
        <f>IF(E6255="","",INDEX(Knutepunkter!$D:$D,E6255+1))</f>
        <v/>
      </c>
      <c r="L6255" t="str">
        <f t="shared" si="488"/>
        <v/>
      </c>
      <c r="M6255" t="str">
        <f t="shared" si="489"/>
        <v/>
      </c>
    </row>
    <row r="6256" spans="1:13" x14ac:dyDescent="0.3">
      <c r="A6256" t="str">
        <f>Segmenter!A6256</f>
        <v/>
      </c>
      <c r="B6256" t="str">
        <f>Segmenter!B6256</f>
        <v/>
      </c>
      <c r="C6256" t="str">
        <f t="shared" si="485"/>
        <v/>
      </c>
      <c r="D6256" t="str">
        <f t="shared" si="486"/>
        <v/>
      </c>
      <c r="E6256" t="str">
        <f t="shared" si="487"/>
        <v/>
      </c>
      <c r="F6256" t="str">
        <f>IF(D6256="","",INDEX(Knutepunkter!$B:$B,D6256+1))</f>
        <v/>
      </c>
      <c r="G6256" t="str">
        <f>IF(D6256="","",INDEX(Knutepunkter!$C:$C,D6256+1))</f>
        <v/>
      </c>
      <c r="H6256" t="str">
        <f>IF(D6256="","",INDEX(Knutepunkter!$D:$D,D6256+1))</f>
        <v/>
      </c>
      <c r="I6256" t="str">
        <f>IF(E6256="","",INDEX(Knutepunkter!$B:$B,E6256+1))</f>
        <v/>
      </c>
      <c r="J6256" t="str">
        <f>IF(E6256="","",INDEX(Knutepunkter!$C:$C,E6256+1))</f>
        <v/>
      </c>
      <c r="K6256" t="str">
        <f>IF(E6256="","",INDEX(Knutepunkter!$D:$D,E6256+1))</f>
        <v/>
      </c>
      <c r="L6256" t="str">
        <f t="shared" si="488"/>
        <v/>
      </c>
      <c r="M6256" t="str">
        <f t="shared" si="489"/>
        <v/>
      </c>
    </row>
    <row r="6257" spans="1:13" x14ac:dyDescent="0.3">
      <c r="A6257" t="str">
        <f>Segmenter!A6257</f>
        <v/>
      </c>
      <c r="B6257" t="str">
        <f>Segmenter!B6257</f>
        <v/>
      </c>
      <c r="C6257" t="str">
        <f t="shared" si="485"/>
        <v/>
      </c>
      <c r="D6257" t="str">
        <f t="shared" si="486"/>
        <v/>
      </c>
      <c r="E6257" t="str">
        <f t="shared" si="487"/>
        <v/>
      </c>
      <c r="F6257" t="str">
        <f>IF(D6257="","",INDEX(Knutepunkter!$B:$B,D6257+1))</f>
        <v/>
      </c>
      <c r="G6257" t="str">
        <f>IF(D6257="","",INDEX(Knutepunkter!$C:$C,D6257+1))</f>
        <v/>
      </c>
      <c r="H6257" t="str">
        <f>IF(D6257="","",INDEX(Knutepunkter!$D:$D,D6257+1))</f>
        <v/>
      </c>
      <c r="I6257" t="str">
        <f>IF(E6257="","",INDEX(Knutepunkter!$B:$B,E6257+1))</f>
        <v/>
      </c>
      <c r="J6257" t="str">
        <f>IF(E6257="","",INDEX(Knutepunkter!$C:$C,E6257+1))</f>
        <v/>
      </c>
      <c r="K6257" t="str">
        <f>IF(E6257="","",INDEX(Knutepunkter!$D:$D,E6257+1))</f>
        <v/>
      </c>
      <c r="L6257" t="str">
        <f t="shared" si="488"/>
        <v/>
      </c>
      <c r="M6257" t="str">
        <f t="shared" si="489"/>
        <v/>
      </c>
    </row>
    <row r="6258" spans="1:13" x14ac:dyDescent="0.3">
      <c r="A6258" t="str">
        <f>Segmenter!A6258</f>
        <v/>
      </c>
      <c r="B6258" t="str">
        <f>Segmenter!B6258</f>
        <v/>
      </c>
      <c r="C6258" t="str">
        <f t="shared" si="485"/>
        <v/>
      </c>
      <c r="D6258" t="str">
        <f t="shared" si="486"/>
        <v/>
      </c>
      <c r="E6258" t="str">
        <f t="shared" si="487"/>
        <v/>
      </c>
      <c r="F6258" t="str">
        <f>IF(D6258="","",INDEX(Knutepunkter!$B:$B,D6258+1))</f>
        <v/>
      </c>
      <c r="G6258" t="str">
        <f>IF(D6258="","",INDEX(Knutepunkter!$C:$C,D6258+1))</f>
        <v/>
      </c>
      <c r="H6258" t="str">
        <f>IF(D6258="","",INDEX(Knutepunkter!$D:$D,D6258+1))</f>
        <v/>
      </c>
      <c r="I6258" t="str">
        <f>IF(E6258="","",INDEX(Knutepunkter!$B:$B,E6258+1))</f>
        <v/>
      </c>
      <c r="J6258" t="str">
        <f>IF(E6258="","",INDEX(Knutepunkter!$C:$C,E6258+1))</f>
        <v/>
      </c>
      <c r="K6258" t="str">
        <f>IF(E6258="","",INDEX(Knutepunkter!$D:$D,E6258+1))</f>
        <v/>
      </c>
      <c r="L6258" t="str">
        <f t="shared" si="488"/>
        <v/>
      </c>
      <c r="M6258" t="str">
        <f t="shared" si="489"/>
        <v/>
      </c>
    </row>
    <row r="6259" spans="1:13" x14ac:dyDescent="0.3">
      <c r="A6259" t="str">
        <f>Segmenter!A6259</f>
        <v/>
      </c>
      <c r="B6259" t="str">
        <f>Segmenter!B6259</f>
        <v/>
      </c>
      <c r="C6259" t="str">
        <f t="shared" si="485"/>
        <v/>
      </c>
      <c r="D6259" t="str">
        <f t="shared" si="486"/>
        <v/>
      </c>
      <c r="E6259" t="str">
        <f t="shared" si="487"/>
        <v/>
      </c>
      <c r="F6259" t="str">
        <f>IF(D6259="","",INDEX(Knutepunkter!$B:$B,D6259+1))</f>
        <v/>
      </c>
      <c r="G6259" t="str">
        <f>IF(D6259="","",INDEX(Knutepunkter!$C:$C,D6259+1))</f>
        <v/>
      </c>
      <c r="H6259" t="str">
        <f>IF(D6259="","",INDEX(Knutepunkter!$D:$D,D6259+1))</f>
        <v/>
      </c>
      <c r="I6259" t="str">
        <f>IF(E6259="","",INDEX(Knutepunkter!$B:$B,E6259+1))</f>
        <v/>
      </c>
      <c r="J6259" t="str">
        <f>IF(E6259="","",INDEX(Knutepunkter!$C:$C,E6259+1))</f>
        <v/>
      </c>
      <c r="K6259" t="str">
        <f>IF(E6259="","",INDEX(Knutepunkter!$D:$D,E6259+1))</f>
        <v/>
      </c>
      <c r="L6259" t="str">
        <f t="shared" si="488"/>
        <v/>
      </c>
      <c r="M6259" t="str">
        <f t="shared" si="489"/>
        <v/>
      </c>
    </row>
    <row r="6260" spans="1:13" x14ac:dyDescent="0.3">
      <c r="A6260" t="str">
        <f>Segmenter!A6260</f>
        <v/>
      </c>
      <c r="B6260" t="str">
        <f>Segmenter!B6260</f>
        <v/>
      </c>
      <c r="C6260" t="str">
        <f t="shared" si="485"/>
        <v/>
      </c>
      <c r="D6260" t="str">
        <f t="shared" si="486"/>
        <v/>
      </c>
      <c r="E6260" t="str">
        <f t="shared" si="487"/>
        <v/>
      </c>
      <c r="F6260" t="str">
        <f>IF(D6260="","",INDEX(Knutepunkter!$B:$B,D6260+1))</f>
        <v/>
      </c>
      <c r="G6260" t="str">
        <f>IF(D6260="","",INDEX(Knutepunkter!$C:$C,D6260+1))</f>
        <v/>
      </c>
      <c r="H6260" t="str">
        <f>IF(D6260="","",INDEX(Knutepunkter!$D:$D,D6260+1))</f>
        <v/>
      </c>
      <c r="I6260" t="str">
        <f>IF(E6260="","",INDEX(Knutepunkter!$B:$B,E6260+1))</f>
        <v/>
      </c>
      <c r="J6260" t="str">
        <f>IF(E6260="","",INDEX(Knutepunkter!$C:$C,E6260+1))</f>
        <v/>
      </c>
      <c r="K6260" t="str">
        <f>IF(E6260="","",INDEX(Knutepunkter!$D:$D,E6260+1))</f>
        <v/>
      </c>
      <c r="L6260" t="str">
        <f t="shared" si="488"/>
        <v/>
      </c>
      <c r="M6260" t="str">
        <f t="shared" si="489"/>
        <v/>
      </c>
    </row>
    <row r="6261" spans="1:13" x14ac:dyDescent="0.3">
      <c r="A6261" t="str">
        <f>Segmenter!A6261</f>
        <v/>
      </c>
      <c r="B6261" t="str">
        <f>Segmenter!B6261</f>
        <v/>
      </c>
      <c r="C6261" t="str">
        <f t="shared" si="485"/>
        <v/>
      </c>
      <c r="D6261" t="str">
        <f t="shared" si="486"/>
        <v/>
      </c>
      <c r="E6261" t="str">
        <f t="shared" si="487"/>
        <v/>
      </c>
      <c r="F6261" t="str">
        <f>IF(D6261="","",INDEX(Knutepunkter!$B:$B,D6261+1))</f>
        <v/>
      </c>
      <c r="G6261" t="str">
        <f>IF(D6261="","",INDEX(Knutepunkter!$C:$C,D6261+1))</f>
        <v/>
      </c>
      <c r="H6261" t="str">
        <f>IF(D6261="","",INDEX(Knutepunkter!$D:$D,D6261+1))</f>
        <v/>
      </c>
      <c r="I6261" t="str">
        <f>IF(E6261="","",INDEX(Knutepunkter!$B:$B,E6261+1))</f>
        <v/>
      </c>
      <c r="J6261" t="str">
        <f>IF(E6261="","",INDEX(Knutepunkter!$C:$C,E6261+1))</f>
        <v/>
      </c>
      <c r="K6261" t="str">
        <f>IF(E6261="","",INDEX(Knutepunkter!$D:$D,E6261+1))</f>
        <v/>
      </c>
      <c r="L6261" t="str">
        <f t="shared" si="488"/>
        <v/>
      </c>
      <c r="M6261" t="str">
        <f t="shared" si="489"/>
        <v/>
      </c>
    </row>
    <row r="6262" spans="1:13" x14ac:dyDescent="0.3">
      <c r="A6262" t="str">
        <f>Segmenter!A6262</f>
        <v/>
      </c>
      <c r="B6262" t="str">
        <f>Segmenter!B6262</f>
        <v/>
      </c>
      <c r="C6262" t="str">
        <f t="shared" si="485"/>
        <v/>
      </c>
      <c r="D6262" t="str">
        <f t="shared" si="486"/>
        <v/>
      </c>
      <c r="E6262" t="str">
        <f t="shared" si="487"/>
        <v/>
      </c>
      <c r="F6262" t="str">
        <f>IF(D6262="","",INDEX(Knutepunkter!$B:$B,D6262+1))</f>
        <v/>
      </c>
      <c r="G6262" t="str">
        <f>IF(D6262="","",INDEX(Knutepunkter!$C:$C,D6262+1))</f>
        <v/>
      </c>
      <c r="H6262" t="str">
        <f>IF(D6262="","",INDEX(Knutepunkter!$D:$D,D6262+1))</f>
        <v/>
      </c>
      <c r="I6262" t="str">
        <f>IF(E6262="","",INDEX(Knutepunkter!$B:$B,E6262+1))</f>
        <v/>
      </c>
      <c r="J6262" t="str">
        <f>IF(E6262="","",INDEX(Knutepunkter!$C:$C,E6262+1))</f>
        <v/>
      </c>
      <c r="K6262" t="str">
        <f>IF(E6262="","",INDEX(Knutepunkter!$D:$D,E6262+1))</f>
        <v/>
      </c>
      <c r="L6262" t="str">
        <f t="shared" si="488"/>
        <v/>
      </c>
      <c r="M6262" t="str">
        <f t="shared" si="489"/>
        <v/>
      </c>
    </row>
    <row r="6263" spans="1:13" x14ac:dyDescent="0.3">
      <c r="A6263" t="str">
        <f>Segmenter!A6263</f>
        <v/>
      </c>
      <c r="B6263" t="str">
        <f>Segmenter!B6263</f>
        <v/>
      </c>
      <c r="C6263" t="str">
        <f t="shared" si="485"/>
        <v/>
      </c>
      <c r="D6263" t="str">
        <f t="shared" si="486"/>
        <v/>
      </c>
      <c r="E6263" t="str">
        <f t="shared" si="487"/>
        <v/>
      </c>
      <c r="F6263" t="str">
        <f>IF(D6263="","",INDEX(Knutepunkter!$B:$B,D6263+1))</f>
        <v/>
      </c>
      <c r="G6263" t="str">
        <f>IF(D6263="","",INDEX(Knutepunkter!$C:$C,D6263+1))</f>
        <v/>
      </c>
      <c r="H6263" t="str">
        <f>IF(D6263="","",INDEX(Knutepunkter!$D:$D,D6263+1))</f>
        <v/>
      </c>
      <c r="I6263" t="str">
        <f>IF(E6263="","",INDEX(Knutepunkter!$B:$B,E6263+1))</f>
        <v/>
      </c>
      <c r="J6263" t="str">
        <f>IF(E6263="","",INDEX(Knutepunkter!$C:$C,E6263+1))</f>
        <v/>
      </c>
      <c r="K6263" t="str">
        <f>IF(E6263="","",INDEX(Knutepunkter!$D:$D,E6263+1))</f>
        <v/>
      </c>
      <c r="L6263" t="str">
        <f t="shared" si="488"/>
        <v/>
      </c>
      <c r="M6263" t="str">
        <f t="shared" si="489"/>
        <v/>
      </c>
    </row>
    <row r="6264" spans="1:13" x14ac:dyDescent="0.3">
      <c r="A6264" t="str">
        <f>Segmenter!A6264</f>
        <v/>
      </c>
      <c r="B6264" t="str">
        <f>Segmenter!B6264</f>
        <v/>
      </c>
      <c r="C6264" t="str">
        <f t="shared" si="485"/>
        <v/>
      </c>
      <c r="D6264" t="str">
        <f t="shared" si="486"/>
        <v/>
      </c>
      <c r="E6264" t="str">
        <f t="shared" si="487"/>
        <v/>
      </c>
      <c r="F6264" t="str">
        <f>IF(D6264="","",INDEX(Knutepunkter!$B:$B,D6264+1))</f>
        <v/>
      </c>
      <c r="G6264" t="str">
        <f>IF(D6264="","",INDEX(Knutepunkter!$C:$C,D6264+1))</f>
        <v/>
      </c>
      <c r="H6264" t="str">
        <f>IF(D6264="","",INDEX(Knutepunkter!$D:$D,D6264+1))</f>
        <v/>
      </c>
      <c r="I6264" t="str">
        <f>IF(E6264="","",INDEX(Knutepunkter!$B:$B,E6264+1))</f>
        <v/>
      </c>
      <c r="J6264" t="str">
        <f>IF(E6264="","",INDEX(Knutepunkter!$C:$C,E6264+1))</f>
        <v/>
      </c>
      <c r="K6264" t="str">
        <f>IF(E6264="","",INDEX(Knutepunkter!$D:$D,E6264+1))</f>
        <v/>
      </c>
      <c r="L6264" t="str">
        <f t="shared" si="488"/>
        <v/>
      </c>
      <c r="M6264" t="str">
        <f t="shared" si="489"/>
        <v/>
      </c>
    </row>
    <row r="6265" spans="1:13" x14ac:dyDescent="0.3">
      <c r="A6265" t="str">
        <f>Segmenter!A6265</f>
        <v/>
      </c>
      <c r="B6265" t="str">
        <f>Segmenter!B6265</f>
        <v/>
      </c>
      <c r="C6265" t="str">
        <f t="shared" si="485"/>
        <v/>
      </c>
      <c r="D6265" t="str">
        <f t="shared" si="486"/>
        <v/>
      </c>
      <c r="E6265" t="str">
        <f t="shared" si="487"/>
        <v/>
      </c>
      <c r="F6265" t="str">
        <f>IF(D6265="","",INDEX(Knutepunkter!$B:$B,D6265+1))</f>
        <v/>
      </c>
      <c r="G6265" t="str">
        <f>IF(D6265="","",INDEX(Knutepunkter!$C:$C,D6265+1))</f>
        <v/>
      </c>
      <c r="H6265" t="str">
        <f>IF(D6265="","",INDEX(Knutepunkter!$D:$D,D6265+1))</f>
        <v/>
      </c>
      <c r="I6265" t="str">
        <f>IF(E6265="","",INDEX(Knutepunkter!$B:$B,E6265+1))</f>
        <v/>
      </c>
      <c r="J6265" t="str">
        <f>IF(E6265="","",INDEX(Knutepunkter!$C:$C,E6265+1))</f>
        <v/>
      </c>
      <c r="K6265" t="str">
        <f>IF(E6265="","",INDEX(Knutepunkter!$D:$D,E6265+1))</f>
        <v/>
      </c>
      <c r="L6265" t="str">
        <f t="shared" si="488"/>
        <v/>
      </c>
      <c r="M6265" t="str">
        <f t="shared" si="489"/>
        <v/>
      </c>
    </row>
    <row r="6266" spans="1:13" x14ac:dyDescent="0.3">
      <c r="A6266" t="str">
        <f>Segmenter!A6266</f>
        <v/>
      </c>
      <c r="B6266" t="str">
        <f>Segmenter!B6266</f>
        <v/>
      </c>
      <c r="C6266" t="str">
        <f t="shared" si="485"/>
        <v/>
      </c>
      <c r="D6266" t="str">
        <f t="shared" si="486"/>
        <v/>
      </c>
      <c r="E6266" t="str">
        <f t="shared" si="487"/>
        <v/>
      </c>
      <c r="F6266" t="str">
        <f>IF(D6266="","",INDEX(Knutepunkter!$B:$B,D6266+1))</f>
        <v/>
      </c>
      <c r="G6266" t="str">
        <f>IF(D6266="","",INDEX(Knutepunkter!$C:$C,D6266+1))</f>
        <v/>
      </c>
      <c r="H6266" t="str">
        <f>IF(D6266="","",INDEX(Knutepunkter!$D:$D,D6266+1))</f>
        <v/>
      </c>
      <c r="I6266" t="str">
        <f>IF(E6266="","",INDEX(Knutepunkter!$B:$B,E6266+1))</f>
        <v/>
      </c>
      <c r="J6266" t="str">
        <f>IF(E6266="","",INDEX(Knutepunkter!$C:$C,E6266+1))</f>
        <v/>
      </c>
      <c r="K6266" t="str">
        <f>IF(E6266="","",INDEX(Knutepunkter!$D:$D,E6266+1))</f>
        <v/>
      </c>
      <c r="L6266" t="str">
        <f t="shared" si="488"/>
        <v/>
      </c>
      <c r="M6266" t="str">
        <f t="shared" si="489"/>
        <v/>
      </c>
    </row>
    <row r="6267" spans="1:13" x14ac:dyDescent="0.3">
      <c r="A6267" t="str">
        <f>Segmenter!A6267</f>
        <v/>
      </c>
      <c r="B6267" t="str">
        <f>Segmenter!B6267</f>
        <v/>
      </c>
      <c r="C6267" t="str">
        <f t="shared" si="485"/>
        <v/>
      </c>
      <c r="D6267" t="str">
        <f t="shared" si="486"/>
        <v/>
      </c>
      <c r="E6267" t="str">
        <f t="shared" si="487"/>
        <v/>
      </c>
      <c r="F6267" t="str">
        <f>IF(D6267="","",INDEX(Knutepunkter!$B:$B,D6267+1))</f>
        <v/>
      </c>
      <c r="G6267" t="str">
        <f>IF(D6267="","",INDEX(Knutepunkter!$C:$C,D6267+1))</f>
        <v/>
      </c>
      <c r="H6267" t="str">
        <f>IF(D6267="","",INDEX(Knutepunkter!$D:$D,D6267+1))</f>
        <v/>
      </c>
      <c r="I6267" t="str">
        <f>IF(E6267="","",INDEX(Knutepunkter!$B:$B,E6267+1))</f>
        <v/>
      </c>
      <c r="J6267" t="str">
        <f>IF(E6267="","",INDEX(Knutepunkter!$C:$C,E6267+1))</f>
        <v/>
      </c>
      <c r="K6267" t="str">
        <f>IF(E6267="","",INDEX(Knutepunkter!$D:$D,E6267+1))</f>
        <v/>
      </c>
      <c r="L6267" t="str">
        <f t="shared" si="488"/>
        <v/>
      </c>
      <c r="M6267" t="str">
        <f t="shared" si="489"/>
        <v/>
      </c>
    </row>
    <row r="6268" spans="1:13" x14ac:dyDescent="0.3">
      <c r="A6268" t="str">
        <f>Segmenter!A6268</f>
        <v/>
      </c>
      <c r="B6268" t="str">
        <f>Segmenter!B6268</f>
        <v/>
      </c>
      <c r="C6268" t="str">
        <f t="shared" si="485"/>
        <v/>
      </c>
      <c r="D6268" t="str">
        <f t="shared" si="486"/>
        <v/>
      </c>
      <c r="E6268" t="str">
        <f t="shared" si="487"/>
        <v/>
      </c>
      <c r="F6268" t="str">
        <f>IF(D6268="","",INDEX(Knutepunkter!$B:$B,D6268+1))</f>
        <v/>
      </c>
      <c r="G6268" t="str">
        <f>IF(D6268="","",INDEX(Knutepunkter!$C:$C,D6268+1))</f>
        <v/>
      </c>
      <c r="H6268" t="str">
        <f>IF(D6268="","",INDEX(Knutepunkter!$D:$D,D6268+1))</f>
        <v/>
      </c>
      <c r="I6268" t="str">
        <f>IF(E6268="","",INDEX(Knutepunkter!$B:$B,E6268+1))</f>
        <v/>
      </c>
      <c r="J6268" t="str">
        <f>IF(E6268="","",INDEX(Knutepunkter!$C:$C,E6268+1))</f>
        <v/>
      </c>
      <c r="K6268" t="str">
        <f>IF(E6268="","",INDEX(Knutepunkter!$D:$D,E6268+1))</f>
        <v/>
      </c>
      <c r="L6268" t="str">
        <f t="shared" si="488"/>
        <v/>
      </c>
      <c r="M6268" t="str">
        <f t="shared" si="489"/>
        <v/>
      </c>
    </row>
    <row r="6269" spans="1:13" x14ac:dyDescent="0.3">
      <c r="A6269" t="str">
        <f>Segmenter!A6269</f>
        <v/>
      </c>
      <c r="B6269" t="str">
        <f>Segmenter!B6269</f>
        <v/>
      </c>
      <c r="C6269" t="str">
        <f t="shared" si="485"/>
        <v/>
      </c>
      <c r="D6269" t="str">
        <f t="shared" si="486"/>
        <v/>
      </c>
      <c r="E6269" t="str">
        <f t="shared" si="487"/>
        <v/>
      </c>
      <c r="F6269" t="str">
        <f>IF(D6269="","",INDEX(Knutepunkter!$B:$B,D6269+1))</f>
        <v/>
      </c>
      <c r="G6269" t="str">
        <f>IF(D6269="","",INDEX(Knutepunkter!$C:$C,D6269+1))</f>
        <v/>
      </c>
      <c r="H6269" t="str">
        <f>IF(D6269="","",INDEX(Knutepunkter!$D:$D,D6269+1))</f>
        <v/>
      </c>
      <c r="I6269" t="str">
        <f>IF(E6269="","",INDEX(Knutepunkter!$B:$B,E6269+1))</f>
        <v/>
      </c>
      <c r="J6269" t="str">
        <f>IF(E6269="","",INDEX(Knutepunkter!$C:$C,E6269+1))</f>
        <v/>
      </c>
      <c r="K6269" t="str">
        <f>IF(E6269="","",INDEX(Knutepunkter!$D:$D,E6269+1))</f>
        <v/>
      </c>
      <c r="L6269" t="str">
        <f t="shared" si="488"/>
        <v/>
      </c>
      <c r="M6269" t="str">
        <f t="shared" si="489"/>
        <v/>
      </c>
    </row>
    <row r="6270" spans="1:13" x14ac:dyDescent="0.3">
      <c r="A6270" t="str">
        <f>Segmenter!A6270</f>
        <v/>
      </c>
      <c r="B6270" t="str">
        <f>Segmenter!B6270</f>
        <v/>
      </c>
      <c r="C6270" t="str">
        <f t="shared" si="485"/>
        <v/>
      </c>
      <c r="D6270" t="str">
        <f t="shared" si="486"/>
        <v/>
      </c>
      <c r="E6270" t="str">
        <f t="shared" si="487"/>
        <v/>
      </c>
      <c r="F6270" t="str">
        <f>IF(D6270="","",INDEX(Knutepunkter!$B:$B,D6270+1))</f>
        <v/>
      </c>
      <c r="G6270" t="str">
        <f>IF(D6270="","",INDEX(Knutepunkter!$C:$C,D6270+1))</f>
        <v/>
      </c>
      <c r="H6270" t="str">
        <f>IF(D6270="","",INDEX(Knutepunkter!$D:$D,D6270+1))</f>
        <v/>
      </c>
      <c r="I6270" t="str">
        <f>IF(E6270="","",INDEX(Knutepunkter!$B:$B,E6270+1))</f>
        <v/>
      </c>
      <c r="J6270" t="str">
        <f>IF(E6270="","",INDEX(Knutepunkter!$C:$C,E6270+1))</f>
        <v/>
      </c>
      <c r="K6270" t="str">
        <f>IF(E6270="","",INDEX(Knutepunkter!$D:$D,E6270+1))</f>
        <v/>
      </c>
      <c r="L6270" t="str">
        <f t="shared" si="488"/>
        <v/>
      </c>
      <c r="M6270" t="str">
        <f t="shared" si="489"/>
        <v/>
      </c>
    </row>
    <row r="6271" spans="1:13" x14ac:dyDescent="0.3">
      <c r="A6271" t="str">
        <f>Segmenter!A6271</f>
        <v/>
      </c>
      <c r="B6271" t="str">
        <f>Segmenter!B6271</f>
        <v/>
      </c>
      <c r="C6271" t="str">
        <f t="shared" si="485"/>
        <v/>
      </c>
      <c r="D6271" t="str">
        <f t="shared" si="486"/>
        <v/>
      </c>
      <c r="E6271" t="str">
        <f t="shared" si="487"/>
        <v/>
      </c>
      <c r="F6271" t="str">
        <f>IF(D6271="","",INDEX(Knutepunkter!$B:$B,D6271+1))</f>
        <v/>
      </c>
      <c r="G6271" t="str">
        <f>IF(D6271="","",INDEX(Knutepunkter!$C:$C,D6271+1))</f>
        <v/>
      </c>
      <c r="H6271" t="str">
        <f>IF(D6271="","",INDEX(Knutepunkter!$D:$D,D6271+1))</f>
        <v/>
      </c>
      <c r="I6271" t="str">
        <f>IF(E6271="","",INDEX(Knutepunkter!$B:$B,E6271+1))</f>
        <v/>
      </c>
      <c r="J6271" t="str">
        <f>IF(E6271="","",INDEX(Knutepunkter!$C:$C,E6271+1))</f>
        <v/>
      </c>
      <c r="K6271" t="str">
        <f>IF(E6271="","",INDEX(Knutepunkter!$D:$D,E6271+1))</f>
        <v/>
      </c>
      <c r="L6271" t="str">
        <f t="shared" si="488"/>
        <v/>
      </c>
      <c r="M6271" t="str">
        <f t="shared" si="489"/>
        <v/>
      </c>
    </row>
    <row r="6272" spans="1:13" x14ac:dyDescent="0.3">
      <c r="A6272" t="str">
        <f>Segmenter!A6272</f>
        <v/>
      </c>
      <c r="B6272" t="str">
        <f>Segmenter!B6272</f>
        <v/>
      </c>
      <c r="C6272" t="str">
        <f t="shared" si="485"/>
        <v/>
      </c>
      <c r="D6272" t="str">
        <f t="shared" si="486"/>
        <v/>
      </c>
      <c r="E6272" t="str">
        <f t="shared" si="487"/>
        <v/>
      </c>
      <c r="F6272" t="str">
        <f>IF(D6272="","",INDEX(Knutepunkter!$B:$B,D6272+1))</f>
        <v/>
      </c>
      <c r="G6272" t="str">
        <f>IF(D6272="","",INDEX(Knutepunkter!$C:$C,D6272+1))</f>
        <v/>
      </c>
      <c r="H6272" t="str">
        <f>IF(D6272="","",INDEX(Knutepunkter!$D:$D,D6272+1))</f>
        <v/>
      </c>
      <c r="I6272" t="str">
        <f>IF(E6272="","",INDEX(Knutepunkter!$B:$B,E6272+1))</f>
        <v/>
      </c>
      <c r="J6272" t="str">
        <f>IF(E6272="","",INDEX(Knutepunkter!$C:$C,E6272+1))</f>
        <v/>
      </c>
      <c r="K6272" t="str">
        <f>IF(E6272="","",INDEX(Knutepunkter!$D:$D,E6272+1))</f>
        <v/>
      </c>
      <c r="L6272" t="str">
        <f t="shared" si="488"/>
        <v/>
      </c>
      <c r="M6272" t="str">
        <f t="shared" si="489"/>
        <v/>
      </c>
    </row>
    <row r="6273" spans="1:13" x14ac:dyDescent="0.3">
      <c r="A6273" t="str">
        <f>Segmenter!A6273</f>
        <v/>
      </c>
      <c r="B6273" t="str">
        <f>Segmenter!B6273</f>
        <v/>
      </c>
      <c r="C6273" t="str">
        <f t="shared" si="485"/>
        <v/>
      </c>
      <c r="D6273" t="str">
        <f t="shared" si="486"/>
        <v/>
      </c>
      <c r="E6273" t="str">
        <f t="shared" si="487"/>
        <v/>
      </c>
      <c r="F6273" t="str">
        <f>IF(D6273="","",INDEX(Knutepunkter!$B:$B,D6273+1))</f>
        <v/>
      </c>
      <c r="G6273" t="str">
        <f>IF(D6273="","",INDEX(Knutepunkter!$C:$C,D6273+1))</f>
        <v/>
      </c>
      <c r="H6273" t="str">
        <f>IF(D6273="","",INDEX(Knutepunkter!$D:$D,D6273+1))</f>
        <v/>
      </c>
      <c r="I6273" t="str">
        <f>IF(E6273="","",INDEX(Knutepunkter!$B:$B,E6273+1))</f>
        <v/>
      </c>
      <c r="J6273" t="str">
        <f>IF(E6273="","",INDEX(Knutepunkter!$C:$C,E6273+1))</f>
        <v/>
      </c>
      <c r="K6273" t="str">
        <f>IF(E6273="","",INDEX(Knutepunkter!$D:$D,E6273+1))</f>
        <v/>
      </c>
      <c r="L6273" t="str">
        <f t="shared" si="488"/>
        <v/>
      </c>
      <c r="M6273" t="str">
        <f t="shared" si="489"/>
        <v/>
      </c>
    </row>
    <row r="6274" spans="1:13" x14ac:dyDescent="0.3">
      <c r="A6274" t="str">
        <f>Segmenter!A6274</f>
        <v/>
      </c>
      <c r="B6274" t="str">
        <f>Segmenter!B6274</f>
        <v/>
      </c>
      <c r="C6274" t="str">
        <f t="shared" ref="C6274:C6337" si="490">IF(B6274="","",IF(AND(F6274=I6274,G6274=J6274,H6274&lt;&gt;K6274),"Søyle","Bjelke"))</f>
        <v/>
      </c>
      <c r="D6274" t="str">
        <f t="shared" ref="D6274:D6337" si="491">IF(B6274="","",VALUE(LEFT(B6274,FIND(" -&gt; ",B6274)-1)))</f>
        <v/>
      </c>
      <c r="E6274" t="str">
        <f t="shared" ref="E6274:E6337" si="492">IF(B6274="","",VALUE(MID(B6274,FIND(" -&gt; ",B6274)+4,99)))</f>
        <v/>
      </c>
      <c r="F6274" t="str">
        <f>IF(D6274="","",INDEX(Knutepunkter!$B:$B,D6274+1))</f>
        <v/>
      </c>
      <c r="G6274" t="str">
        <f>IF(D6274="","",INDEX(Knutepunkter!$C:$C,D6274+1))</f>
        <v/>
      </c>
      <c r="H6274" t="str">
        <f>IF(D6274="","",INDEX(Knutepunkter!$D:$D,D6274+1))</f>
        <v/>
      </c>
      <c r="I6274" t="str">
        <f>IF(E6274="","",INDEX(Knutepunkter!$B:$B,E6274+1))</f>
        <v/>
      </c>
      <c r="J6274" t="str">
        <f>IF(E6274="","",INDEX(Knutepunkter!$C:$C,E6274+1))</f>
        <v/>
      </c>
      <c r="K6274" t="str">
        <f>IF(E6274="","",INDEX(Knutepunkter!$D:$D,E6274+1))</f>
        <v/>
      </c>
      <c r="L6274" t="str">
        <f t="shared" ref="L6274:L6337" si="493">IF(B6274="","",SQRT((I6274-F6274)^2+(J6274-G6274)^2+(K6274-H6274)^2))</f>
        <v/>
      </c>
      <c r="M6274" t="str">
        <f t="shared" ref="M6274:M6337" si="494">IF(L6274="","",L6274/1000)</f>
        <v/>
      </c>
    </row>
    <row r="6275" spans="1:13" x14ac:dyDescent="0.3">
      <c r="A6275" t="str">
        <f>Segmenter!A6275</f>
        <v/>
      </c>
      <c r="B6275" t="str">
        <f>Segmenter!B6275</f>
        <v/>
      </c>
      <c r="C6275" t="str">
        <f t="shared" si="490"/>
        <v/>
      </c>
      <c r="D6275" t="str">
        <f t="shared" si="491"/>
        <v/>
      </c>
      <c r="E6275" t="str">
        <f t="shared" si="492"/>
        <v/>
      </c>
      <c r="F6275" t="str">
        <f>IF(D6275="","",INDEX(Knutepunkter!$B:$B,D6275+1))</f>
        <v/>
      </c>
      <c r="G6275" t="str">
        <f>IF(D6275="","",INDEX(Knutepunkter!$C:$C,D6275+1))</f>
        <v/>
      </c>
      <c r="H6275" t="str">
        <f>IF(D6275="","",INDEX(Knutepunkter!$D:$D,D6275+1))</f>
        <v/>
      </c>
      <c r="I6275" t="str">
        <f>IF(E6275="","",INDEX(Knutepunkter!$B:$B,E6275+1))</f>
        <v/>
      </c>
      <c r="J6275" t="str">
        <f>IF(E6275="","",INDEX(Knutepunkter!$C:$C,E6275+1))</f>
        <v/>
      </c>
      <c r="K6275" t="str">
        <f>IF(E6275="","",INDEX(Knutepunkter!$D:$D,E6275+1))</f>
        <v/>
      </c>
      <c r="L6275" t="str">
        <f t="shared" si="493"/>
        <v/>
      </c>
      <c r="M6275" t="str">
        <f t="shared" si="494"/>
        <v/>
      </c>
    </row>
    <row r="6276" spans="1:13" x14ac:dyDescent="0.3">
      <c r="A6276" t="str">
        <f>Segmenter!A6276</f>
        <v/>
      </c>
      <c r="B6276" t="str">
        <f>Segmenter!B6276</f>
        <v/>
      </c>
      <c r="C6276" t="str">
        <f t="shared" si="490"/>
        <v/>
      </c>
      <c r="D6276" t="str">
        <f t="shared" si="491"/>
        <v/>
      </c>
      <c r="E6276" t="str">
        <f t="shared" si="492"/>
        <v/>
      </c>
      <c r="F6276" t="str">
        <f>IF(D6276="","",INDEX(Knutepunkter!$B:$B,D6276+1))</f>
        <v/>
      </c>
      <c r="G6276" t="str">
        <f>IF(D6276="","",INDEX(Knutepunkter!$C:$C,D6276+1))</f>
        <v/>
      </c>
      <c r="H6276" t="str">
        <f>IF(D6276="","",INDEX(Knutepunkter!$D:$D,D6276+1))</f>
        <v/>
      </c>
      <c r="I6276" t="str">
        <f>IF(E6276="","",INDEX(Knutepunkter!$B:$B,E6276+1))</f>
        <v/>
      </c>
      <c r="J6276" t="str">
        <f>IF(E6276="","",INDEX(Knutepunkter!$C:$C,E6276+1))</f>
        <v/>
      </c>
      <c r="K6276" t="str">
        <f>IF(E6276="","",INDEX(Knutepunkter!$D:$D,E6276+1))</f>
        <v/>
      </c>
      <c r="L6276" t="str">
        <f t="shared" si="493"/>
        <v/>
      </c>
      <c r="M6276" t="str">
        <f t="shared" si="494"/>
        <v/>
      </c>
    </row>
    <row r="6277" spans="1:13" x14ac:dyDescent="0.3">
      <c r="A6277" t="str">
        <f>Segmenter!A6277</f>
        <v/>
      </c>
      <c r="B6277" t="str">
        <f>Segmenter!B6277</f>
        <v/>
      </c>
      <c r="C6277" t="str">
        <f t="shared" si="490"/>
        <v/>
      </c>
      <c r="D6277" t="str">
        <f t="shared" si="491"/>
        <v/>
      </c>
      <c r="E6277" t="str">
        <f t="shared" si="492"/>
        <v/>
      </c>
      <c r="F6277" t="str">
        <f>IF(D6277="","",INDEX(Knutepunkter!$B:$B,D6277+1))</f>
        <v/>
      </c>
      <c r="G6277" t="str">
        <f>IF(D6277="","",INDEX(Knutepunkter!$C:$C,D6277+1))</f>
        <v/>
      </c>
      <c r="H6277" t="str">
        <f>IF(D6277="","",INDEX(Knutepunkter!$D:$D,D6277+1))</f>
        <v/>
      </c>
      <c r="I6277" t="str">
        <f>IF(E6277="","",INDEX(Knutepunkter!$B:$B,E6277+1))</f>
        <v/>
      </c>
      <c r="J6277" t="str">
        <f>IF(E6277="","",INDEX(Knutepunkter!$C:$C,E6277+1))</f>
        <v/>
      </c>
      <c r="K6277" t="str">
        <f>IF(E6277="","",INDEX(Knutepunkter!$D:$D,E6277+1))</f>
        <v/>
      </c>
      <c r="L6277" t="str">
        <f t="shared" si="493"/>
        <v/>
      </c>
      <c r="M6277" t="str">
        <f t="shared" si="494"/>
        <v/>
      </c>
    </row>
    <row r="6278" spans="1:13" x14ac:dyDescent="0.3">
      <c r="A6278" t="str">
        <f>Segmenter!A6278</f>
        <v/>
      </c>
      <c r="B6278" t="str">
        <f>Segmenter!B6278</f>
        <v/>
      </c>
      <c r="C6278" t="str">
        <f t="shared" si="490"/>
        <v/>
      </c>
      <c r="D6278" t="str">
        <f t="shared" si="491"/>
        <v/>
      </c>
      <c r="E6278" t="str">
        <f t="shared" si="492"/>
        <v/>
      </c>
      <c r="F6278" t="str">
        <f>IF(D6278="","",INDEX(Knutepunkter!$B:$B,D6278+1))</f>
        <v/>
      </c>
      <c r="G6278" t="str">
        <f>IF(D6278="","",INDEX(Knutepunkter!$C:$C,D6278+1))</f>
        <v/>
      </c>
      <c r="H6278" t="str">
        <f>IF(D6278="","",INDEX(Knutepunkter!$D:$D,D6278+1))</f>
        <v/>
      </c>
      <c r="I6278" t="str">
        <f>IF(E6278="","",INDEX(Knutepunkter!$B:$B,E6278+1))</f>
        <v/>
      </c>
      <c r="J6278" t="str">
        <f>IF(E6278="","",INDEX(Knutepunkter!$C:$C,E6278+1))</f>
        <v/>
      </c>
      <c r="K6278" t="str">
        <f>IF(E6278="","",INDEX(Knutepunkter!$D:$D,E6278+1))</f>
        <v/>
      </c>
      <c r="L6278" t="str">
        <f t="shared" si="493"/>
        <v/>
      </c>
      <c r="M6278" t="str">
        <f t="shared" si="494"/>
        <v/>
      </c>
    </row>
    <row r="6279" spans="1:13" x14ac:dyDescent="0.3">
      <c r="A6279" t="str">
        <f>Segmenter!A6279</f>
        <v/>
      </c>
      <c r="B6279" t="str">
        <f>Segmenter!B6279</f>
        <v/>
      </c>
      <c r="C6279" t="str">
        <f t="shared" si="490"/>
        <v/>
      </c>
      <c r="D6279" t="str">
        <f t="shared" si="491"/>
        <v/>
      </c>
      <c r="E6279" t="str">
        <f t="shared" si="492"/>
        <v/>
      </c>
      <c r="F6279" t="str">
        <f>IF(D6279="","",INDEX(Knutepunkter!$B:$B,D6279+1))</f>
        <v/>
      </c>
      <c r="G6279" t="str">
        <f>IF(D6279="","",INDEX(Knutepunkter!$C:$C,D6279+1))</f>
        <v/>
      </c>
      <c r="H6279" t="str">
        <f>IF(D6279="","",INDEX(Knutepunkter!$D:$D,D6279+1))</f>
        <v/>
      </c>
      <c r="I6279" t="str">
        <f>IF(E6279="","",INDEX(Knutepunkter!$B:$B,E6279+1))</f>
        <v/>
      </c>
      <c r="J6279" t="str">
        <f>IF(E6279="","",INDEX(Knutepunkter!$C:$C,E6279+1))</f>
        <v/>
      </c>
      <c r="K6279" t="str">
        <f>IF(E6279="","",INDEX(Knutepunkter!$D:$D,E6279+1))</f>
        <v/>
      </c>
      <c r="L6279" t="str">
        <f t="shared" si="493"/>
        <v/>
      </c>
      <c r="M6279" t="str">
        <f t="shared" si="494"/>
        <v/>
      </c>
    </row>
    <row r="6280" spans="1:13" x14ac:dyDescent="0.3">
      <c r="A6280" t="str">
        <f>Segmenter!A6280</f>
        <v/>
      </c>
      <c r="B6280" t="str">
        <f>Segmenter!B6280</f>
        <v/>
      </c>
      <c r="C6280" t="str">
        <f t="shared" si="490"/>
        <v/>
      </c>
      <c r="D6280" t="str">
        <f t="shared" si="491"/>
        <v/>
      </c>
      <c r="E6280" t="str">
        <f t="shared" si="492"/>
        <v/>
      </c>
      <c r="F6280" t="str">
        <f>IF(D6280="","",INDEX(Knutepunkter!$B:$B,D6280+1))</f>
        <v/>
      </c>
      <c r="G6280" t="str">
        <f>IF(D6280="","",INDEX(Knutepunkter!$C:$C,D6280+1))</f>
        <v/>
      </c>
      <c r="H6280" t="str">
        <f>IF(D6280="","",INDEX(Knutepunkter!$D:$D,D6280+1))</f>
        <v/>
      </c>
      <c r="I6280" t="str">
        <f>IF(E6280="","",INDEX(Knutepunkter!$B:$B,E6280+1))</f>
        <v/>
      </c>
      <c r="J6280" t="str">
        <f>IF(E6280="","",INDEX(Knutepunkter!$C:$C,E6280+1))</f>
        <v/>
      </c>
      <c r="K6280" t="str">
        <f>IF(E6280="","",INDEX(Knutepunkter!$D:$D,E6280+1))</f>
        <v/>
      </c>
      <c r="L6280" t="str">
        <f t="shared" si="493"/>
        <v/>
      </c>
      <c r="M6280" t="str">
        <f t="shared" si="494"/>
        <v/>
      </c>
    </row>
    <row r="6281" spans="1:13" x14ac:dyDescent="0.3">
      <c r="A6281" t="str">
        <f>Segmenter!A6281</f>
        <v/>
      </c>
      <c r="B6281" t="str">
        <f>Segmenter!B6281</f>
        <v/>
      </c>
      <c r="C6281" t="str">
        <f t="shared" si="490"/>
        <v/>
      </c>
      <c r="D6281" t="str">
        <f t="shared" si="491"/>
        <v/>
      </c>
      <c r="E6281" t="str">
        <f t="shared" si="492"/>
        <v/>
      </c>
      <c r="F6281" t="str">
        <f>IF(D6281="","",INDEX(Knutepunkter!$B:$B,D6281+1))</f>
        <v/>
      </c>
      <c r="G6281" t="str">
        <f>IF(D6281="","",INDEX(Knutepunkter!$C:$C,D6281+1))</f>
        <v/>
      </c>
      <c r="H6281" t="str">
        <f>IF(D6281="","",INDEX(Knutepunkter!$D:$D,D6281+1))</f>
        <v/>
      </c>
      <c r="I6281" t="str">
        <f>IF(E6281="","",INDEX(Knutepunkter!$B:$B,E6281+1))</f>
        <v/>
      </c>
      <c r="J6281" t="str">
        <f>IF(E6281="","",INDEX(Knutepunkter!$C:$C,E6281+1))</f>
        <v/>
      </c>
      <c r="K6281" t="str">
        <f>IF(E6281="","",INDEX(Knutepunkter!$D:$D,E6281+1))</f>
        <v/>
      </c>
      <c r="L6281" t="str">
        <f t="shared" si="493"/>
        <v/>
      </c>
      <c r="M6281" t="str">
        <f t="shared" si="494"/>
        <v/>
      </c>
    </row>
    <row r="6282" spans="1:13" x14ac:dyDescent="0.3">
      <c r="A6282" t="str">
        <f>Segmenter!A6282</f>
        <v/>
      </c>
      <c r="B6282" t="str">
        <f>Segmenter!B6282</f>
        <v/>
      </c>
      <c r="C6282" t="str">
        <f t="shared" si="490"/>
        <v/>
      </c>
      <c r="D6282" t="str">
        <f t="shared" si="491"/>
        <v/>
      </c>
      <c r="E6282" t="str">
        <f t="shared" si="492"/>
        <v/>
      </c>
      <c r="F6282" t="str">
        <f>IF(D6282="","",INDEX(Knutepunkter!$B:$B,D6282+1))</f>
        <v/>
      </c>
      <c r="G6282" t="str">
        <f>IF(D6282="","",INDEX(Knutepunkter!$C:$C,D6282+1))</f>
        <v/>
      </c>
      <c r="H6282" t="str">
        <f>IF(D6282="","",INDEX(Knutepunkter!$D:$D,D6282+1))</f>
        <v/>
      </c>
      <c r="I6282" t="str">
        <f>IF(E6282="","",INDEX(Knutepunkter!$B:$B,E6282+1))</f>
        <v/>
      </c>
      <c r="J6282" t="str">
        <f>IF(E6282="","",INDEX(Knutepunkter!$C:$C,E6282+1))</f>
        <v/>
      </c>
      <c r="K6282" t="str">
        <f>IF(E6282="","",INDEX(Knutepunkter!$D:$D,E6282+1))</f>
        <v/>
      </c>
      <c r="L6282" t="str">
        <f t="shared" si="493"/>
        <v/>
      </c>
      <c r="M6282" t="str">
        <f t="shared" si="494"/>
        <v/>
      </c>
    </row>
    <row r="6283" spans="1:13" x14ac:dyDescent="0.3">
      <c r="A6283" t="str">
        <f>Segmenter!A6283</f>
        <v/>
      </c>
      <c r="B6283" t="str">
        <f>Segmenter!B6283</f>
        <v/>
      </c>
      <c r="C6283" t="str">
        <f t="shared" si="490"/>
        <v/>
      </c>
      <c r="D6283" t="str">
        <f t="shared" si="491"/>
        <v/>
      </c>
      <c r="E6283" t="str">
        <f t="shared" si="492"/>
        <v/>
      </c>
      <c r="F6283" t="str">
        <f>IF(D6283="","",INDEX(Knutepunkter!$B:$B,D6283+1))</f>
        <v/>
      </c>
      <c r="G6283" t="str">
        <f>IF(D6283="","",INDEX(Knutepunkter!$C:$C,D6283+1))</f>
        <v/>
      </c>
      <c r="H6283" t="str">
        <f>IF(D6283="","",INDEX(Knutepunkter!$D:$D,D6283+1))</f>
        <v/>
      </c>
      <c r="I6283" t="str">
        <f>IF(E6283="","",INDEX(Knutepunkter!$B:$B,E6283+1))</f>
        <v/>
      </c>
      <c r="J6283" t="str">
        <f>IF(E6283="","",INDEX(Knutepunkter!$C:$C,E6283+1))</f>
        <v/>
      </c>
      <c r="K6283" t="str">
        <f>IF(E6283="","",INDEX(Knutepunkter!$D:$D,E6283+1))</f>
        <v/>
      </c>
      <c r="L6283" t="str">
        <f t="shared" si="493"/>
        <v/>
      </c>
      <c r="M6283" t="str">
        <f t="shared" si="494"/>
        <v/>
      </c>
    </row>
    <row r="6284" spans="1:13" x14ac:dyDescent="0.3">
      <c r="A6284" t="str">
        <f>Segmenter!A6284</f>
        <v/>
      </c>
      <c r="B6284" t="str">
        <f>Segmenter!B6284</f>
        <v/>
      </c>
      <c r="C6284" t="str">
        <f t="shared" si="490"/>
        <v/>
      </c>
      <c r="D6284" t="str">
        <f t="shared" si="491"/>
        <v/>
      </c>
      <c r="E6284" t="str">
        <f t="shared" si="492"/>
        <v/>
      </c>
      <c r="F6284" t="str">
        <f>IF(D6284="","",INDEX(Knutepunkter!$B:$B,D6284+1))</f>
        <v/>
      </c>
      <c r="G6284" t="str">
        <f>IF(D6284="","",INDEX(Knutepunkter!$C:$C,D6284+1))</f>
        <v/>
      </c>
      <c r="H6284" t="str">
        <f>IF(D6284="","",INDEX(Knutepunkter!$D:$D,D6284+1))</f>
        <v/>
      </c>
      <c r="I6284" t="str">
        <f>IF(E6284="","",INDEX(Knutepunkter!$B:$B,E6284+1))</f>
        <v/>
      </c>
      <c r="J6284" t="str">
        <f>IF(E6284="","",INDEX(Knutepunkter!$C:$C,E6284+1))</f>
        <v/>
      </c>
      <c r="K6284" t="str">
        <f>IF(E6284="","",INDEX(Knutepunkter!$D:$D,E6284+1))</f>
        <v/>
      </c>
      <c r="L6284" t="str">
        <f t="shared" si="493"/>
        <v/>
      </c>
      <c r="M6284" t="str">
        <f t="shared" si="494"/>
        <v/>
      </c>
    </row>
    <row r="6285" spans="1:13" x14ac:dyDescent="0.3">
      <c r="A6285" t="str">
        <f>Segmenter!A6285</f>
        <v/>
      </c>
      <c r="B6285" t="str">
        <f>Segmenter!B6285</f>
        <v/>
      </c>
      <c r="C6285" t="str">
        <f t="shared" si="490"/>
        <v/>
      </c>
      <c r="D6285" t="str">
        <f t="shared" si="491"/>
        <v/>
      </c>
      <c r="E6285" t="str">
        <f t="shared" si="492"/>
        <v/>
      </c>
      <c r="F6285" t="str">
        <f>IF(D6285="","",INDEX(Knutepunkter!$B:$B,D6285+1))</f>
        <v/>
      </c>
      <c r="G6285" t="str">
        <f>IF(D6285="","",INDEX(Knutepunkter!$C:$C,D6285+1))</f>
        <v/>
      </c>
      <c r="H6285" t="str">
        <f>IF(D6285="","",INDEX(Knutepunkter!$D:$D,D6285+1))</f>
        <v/>
      </c>
      <c r="I6285" t="str">
        <f>IF(E6285="","",INDEX(Knutepunkter!$B:$B,E6285+1))</f>
        <v/>
      </c>
      <c r="J6285" t="str">
        <f>IF(E6285="","",INDEX(Knutepunkter!$C:$C,E6285+1))</f>
        <v/>
      </c>
      <c r="K6285" t="str">
        <f>IF(E6285="","",INDEX(Knutepunkter!$D:$D,E6285+1))</f>
        <v/>
      </c>
      <c r="L6285" t="str">
        <f t="shared" si="493"/>
        <v/>
      </c>
      <c r="M6285" t="str">
        <f t="shared" si="494"/>
        <v/>
      </c>
    </row>
    <row r="6286" spans="1:13" x14ac:dyDescent="0.3">
      <c r="A6286" t="str">
        <f>Segmenter!A6286</f>
        <v/>
      </c>
      <c r="B6286" t="str">
        <f>Segmenter!B6286</f>
        <v/>
      </c>
      <c r="C6286" t="str">
        <f t="shared" si="490"/>
        <v/>
      </c>
      <c r="D6286" t="str">
        <f t="shared" si="491"/>
        <v/>
      </c>
      <c r="E6286" t="str">
        <f t="shared" si="492"/>
        <v/>
      </c>
      <c r="F6286" t="str">
        <f>IF(D6286="","",INDEX(Knutepunkter!$B:$B,D6286+1))</f>
        <v/>
      </c>
      <c r="G6286" t="str">
        <f>IF(D6286="","",INDEX(Knutepunkter!$C:$C,D6286+1))</f>
        <v/>
      </c>
      <c r="H6286" t="str">
        <f>IF(D6286="","",INDEX(Knutepunkter!$D:$D,D6286+1))</f>
        <v/>
      </c>
      <c r="I6286" t="str">
        <f>IF(E6286="","",INDEX(Knutepunkter!$B:$B,E6286+1))</f>
        <v/>
      </c>
      <c r="J6286" t="str">
        <f>IF(E6286="","",INDEX(Knutepunkter!$C:$C,E6286+1))</f>
        <v/>
      </c>
      <c r="K6286" t="str">
        <f>IF(E6286="","",INDEX(Knutepunkter!$D:$D,E6286+1))</f>
        <v/>
      </c>
      <c r="L6286" t="str">
        <f t="shared" si="493"/>
        <v/>
      </c>
      <c r="M6286" t="str">
        <f t="shared" si="494"/>
        <v/>
      </c>
    </row>
    <row r="6287" spans="1:13" x14ac:dyDescent="0.3">
      <c r="A6287" t="str">
        <f>Segmenter!A6287</f>
        <v/>
      </c>
      <c r="B6287" t="str">
        <f>Segmenter!B6287</f>
        <v/>
      </c>
      <c r="C6287" t="str">
        <f t="shared" si="490"/>
        <v/>
      </c>
      <c r="D6287" t="str">
        <f t="shared" si="491"/>
        <v/>
      </c>
      <c r="E6287" t="str">
        <f t="shared" si="492"/>
        <v/>
      </c>
      <c r="F6287" t="str">
        <f>IF(D6287="","",INDEX(Knutepunkter!$B:$B,D6287+1))</f>
        <v/>
      </c>
      <c r="G6287" t="str">
        <f>IF(D6287="","",INDEX(Knutepunkter!$C:$C,D6287+1))</f>
        <v/>
      </c>
      <c r="H6287" t="str">
        <f>IF(D6287="","",INDEX(Knutepunkter!$D:$D,D6287+1))</f>
        <v/>
      </c>
      <c r="I6287" t="str">
        <f>IF(E6287="","",INDEX(Knutepunkter!$B:$B,E6287+1))</f>
        <v/>
      </c>
      <c r="J6287" t="str">
        <f>IF(E6287="","",INDEX(Knutepunkter!$C:$C,E6287+1))</f>
        <v/>
      </c>
      <c r="K6287" t="str">
        <f>IF(E6287="","",INDEX(Knutepunkter!$D:$D,E6287+1))</f>
        <v/>
      </c>
      <c r="L6287" t="str">
        <f t="shared" si="493"/>
        <v/>
      </c>
      <c r="M6287" t="str">
        <f t="shared" si="494"/>
        <v/>
      </c>
    </row>
    <row r="6288" spans="1:13" x14ac:dyDescent="0.3">
      <c r="A6288" t="str">
        <f>Segmenter!A6288</f>
        <v/>
      </c>
      <c r="B6288" t="str">
        <f>Segmenter!B6288</f>
        <v/>
      </c>
      <c r="C6288" t="str">
        <f t="shared" si="490"/>
        <v/>
      </c>
      <c r="D6288" t="str">
        <f t="shared" si="491"/>
        <v/>
      </c>
      <c r="E6288" t="str">
        <f t="shared" si="492"/>
        <v/>
      </c>
      <c r="F6288" t="str">
        <f>IF(D6288="","",INDEX(Knutepunkter!$B:$B,D6288+1))</f>
        <v/>
      </c>
      <c r="G6288" t="str">
        <f>IF(D6288="","",INDEX(Knutepunkter!$C:$C,D6288+1))</f>
        <v/>
      </c>
      <c r="H6288" t="str">
        <f>IF(D6288="","",INDEX(Knutepunkter!$D:$D,D6288+1))</f>
        <v/>
      </c>
      <c r="I6288" t="str">
        <f>IF(E6288="","",INDEX(Knutepunkter!$B:$B,E6288+1))</f>
        <v/>
      </c>
      <c r="J6288" t="str">
        <f>IF(E6288="","",INDEX(Knutepunkter!$C:$C,E6288+1))</f>
        <v/>
      </c>
      <c r="K6288" t="str">
        <f>IF(E6288="","",INDEX(Knutepunkter!$D:$D,E6288+1))</f>
        <v/>
      </c>
      <c r="L6288" t="str">
        <f t="shared" si="493"/>
        <v/>
      </c>
      <c r="M6288" t="str">
        <f t="shared" si="494"/>
        <v/>
      </c>
    </row>
    <row r="6289" spans="1:13" x14ac:dyDescent="0.3">
      <c r="A6289" t="str">
        <f>Segmenter!A6289</f>
        <v/>
      </c>
      <c r="B6289" t="str">
        <f>Segmenter!B6289</f>
        <v/>
      </c>
      <c r="C6289" t="str">
        <f t="shared" si="490"/>
        <v/>
      </c>
      <c r="D6289" t="str">
        <f t="shared" si="491"/>
        <v/>
      </c>
      <c r="E6289" t="str">
        <f t="shared" si="492"/>
        <v/>
      </c>
      <c r="F6289" t="str">
        <f>IF(D6289="","",INDEX(Knutepunkter!$B:$B,D6289+1))</f>
        <v/>
      </c>
      <c r="G6289" t="str">
        <f>IF(D6289="","",INDEX(Knutepunkter!$C:$C,D6289+1))</f>
        <v/>
      </c>
      <c r="H6289" t="str">
        <f>IF(D6289="","",INDEX(Knutepunkter!$D:$D,D6289+1))</f>
        <v/>
      </c>
      <c r="I6289" t="str">
        <f>IF(E6289="","",INDEX(Knutepunkter!$B:$B,E6289+1))</f>
        <v/>
      </c>
      <c r="J6289" t="str">
        <f>IF(E6289="","",INDEX(Knutepunkter!$C:$C,E6289+1))</f>
        <v/>
      </c>
      <c r="K6289" t="str">
        <f>IF(E6289="","",INDEX(Knutepunkter!$D:$D,E6289+1))</f>
        <v/>
      </c>
      <c r="L6289" t="str">
        <f t="shared" si="493"/>
        <v/>
      </c>
      <c r="M6289" t="str">
        <f t="shared" si="494"/>
        <v/>
      </c>
    </row>
    <row r="6290" spans="1:13" x14ac:dyDescent="0.3">
      <c r="A6290" t="str">
        <f>Segmenter!A6290</f>
        <v/>
      </c>
      <c r="B6290" t="str">
        <f>Segmenter!B6290</f>
        <v/>
      </c>
      <c r="C6290" t="str">
        <f t="shared" si="490"/>
        <v/>
      </c>
      <c r="D6290" t="str">
        <f t="shared" si="491"/>
        <v/>
      </c>
      <c r="E6290" t="str">
        <f t="shared" si="492"/>
        <v/>
      </c>
      <c r="F6290" t="str">
        <f>IF(D6290="","",INDEX(Knutepunkter!$B:$B,D6290+1))</f>
        <v/>
      </c>
      <c r="G6290" t="str">
        <f>IF(D6290="","",INDEX(Knutepunkter!$C:$C,D6290+1))</f>
        <v/>
      </c>
      <c r="H6290" t="str">
        <f>IF(D6290="","",INDEX(Knutepunkter!$D:$D,D6290+1))</f>
        <v/>
      </c>
      <c r="I6290" t="str">
        <f>IF(E6290="","",INDEX(Knutepunkter!$B:$B,E6290+1))</f>
        <v/>
      </c>
      <c r="J6290" t="str">
        <f>IF(E6290="","",INDEX(Knutepunkter!$C:$C,E6290+1))</f>
        <v/>
      </c>
      <c r="K6290" t="str">
        <f>IF(E6290="","",INDEX(Knutepunkter!$D:$D,E6290+1))</f>
        <v/>
      </c>
      <c r="L6290" t="str">
        <f t="shared" si="493"/>
        <v/>
      </c>
      <c r="M6290" t="str">
        <f t="shared" si="494"/>
        <v/>
      </c>
    </row>
    <row r="6291" spans="1:13" x14ac:dyDescent="0.3">
      <c r="A6291" t="str">
        <f>Segmenter!A6291</f>
        <v/>
      </c>
      <c r="B6291" t="str">
        <f>Segmenter!B6291</f>
        <v/>
      </c>
      <c r="C6291" t="str">
        <f t="shared" si="490"/>
        <v/>
      </c>
      <c r="D6291" t="str">
        <f t="shared" si="491"/>
        <v/>
      </c>
      <c r="E6291" t="str">
        <f t="shared" si="492"/>
        <v/>
      </c>
      <c r="F6291" t="str">
        <f>IF(D6291="","",INDEX(Knutepunkter!$B:$B,D6291+1))</f>
        <v/>
      </c>
      <c r="G6291" t="str">
        <f>IF(D6291="","",INDEX(Knutepunkter!$C:$C,D6291+1))</f>
        <v/>
      </c>
      <c r="H6291" t="str">
        <f>IF(D6291="","",INDEX(Knutepunkter!$D:$D,D6291+1))</f>
        <v/>
      </c>
      <c r="I6291" t="str">
        <f>IF(E6291="","",INDEX(Knutepunkter!$B:$B,E6291+1))</f>
        <v/>
      </c>
      <c r="J6291" t="str">
        <f>IF(E6291="","",INDEX(Knutepunkter!$C:$C,E6291+1))</f>
        <v/>
      </c>
      <c r="K6291" t="str">
        <f>IF(E6291="","",INDEX(Knutepunkter!$D:$D,E6291+1))</f>
        <v/>
      </c>
      <c r="L6291" t="str">
        <f t="shared" si="493"/>
        <v/>
      </c>
      <c r="M6291" t="str">
        <f t="shared" si="494"/>
        <v/>
      </c>
    </row>
    <row r="6292" spans="1:13" x14ac:dyDescent="0.3">
      <c r="A6292" t="str">
        <f>Segmenter!A6292</f>
        <v/>
      </c>
      <c r="B6292" t="str">
        <f>Segmenter!B6292</f>
        <v/>
      </c>
      <c r="C6292" t="str">
        <f t="shared" si="490"/>
        <v/>
      </c>
      <c r="D6292" t="str">
        <f t="shared" si="491"/>
        <v/>
      </c>
      <c r="E6292" t="str">
        <f t="shared" si="492"/>
        <v/>
      </c>
      <c r="F6292" t="str">
        <f>IF(D6292="","",INDEX(Knutepunkter!$B:$B,D6292+1))</f>
        <v/>
      </c>
      <c r="G6292" t="str">
        <f>IF(D6292="","",INDEX(Knutepunkter!$C:$C,D6292+1))</f>
        <v/>
      </c>
      <c r="H6292" t="str">
        <f>IF(D6292="","",INDEX(Knutepunkter!$D:$D,D6292+1))</f>
        <v/>
      </c>
      <c r="I6292" t="str">
        <f>IF(E6292="","",INDEX(Knutepunkter!$B:$B,E6292+1))</f>
        <v/>
      </c>
      <c r="J6292" t="str">
        <f>IF(E6292="","",INDEX(Knutepunkter!$C:$C,E6292+1))</f>
        <v/>
      </c>
      <c r="K6292" t="str">
        <f>IF(E6292="","",INDEX(Knutepunkter!$D:$D,E6292+1))</f>
        <v/>
      </c>
      <c r="L6292" t="str">
        <f t="shared" si="493"/>
        <v/>
      </c>
      <c r="M6292" t="str">
        <f t="shared" si="494"/>
        <v/>
      </c>
    </row>
    <row r="6293" spans="1:13" x14ac:dyDescent="0.3">
      <c r="A6293" t="str">
        <f>Segmenter!A6293</f>
        <v/>
      </c>
      <c r="B6293" t="str">
        <f>Segmenter!B6293</f>
        <v/>
      </c>
      <c r="C6293" t="str">
        <f t="shared" si="490"/>
        <v/>
      </c>
      <c r="D6293" t="str">
        <f t="shared" si="491"/>
        <v/>
      </c>
      <c r="E6293" t="str">
        <f t="shared" si="492"/>
        <v/>
      </c>
      <c r="F6293" t="str">
        <f>IF(D6293="","",INDEX(Knutepunkter!$B:$B,D6293+1))</f>
        <v/>
      </c>
      <c r="G6293" t="str">
        <f>IF(D6293="","",INDEX(Knutepunkter!$C:$C,D6293+1))</f>
        <v/>
      </c>
      <c r="H6293" t="str">
        <f>IF(D6293="","",INDEX(Knutepunkter!$D:$D,D6293+1))</f>
        <v/>
      </c>
      <c r="I6293" t="str">
        <f>IF(E6293="","",INDEX(Knutepunkter!$B:$B,E6293+1))</f>
        <v/>
      </c>
      <c r="J6293" t="str">
        <f>IF(E6293="","",INDEX(Knutepunkter!$C:$C,E6293+1))</f>
        <v/>
      </c>
      <c r="K6293" t="str">
        <f>IF(E6293="","",INDEX(Knutepunkter!$D:$D,E6293+1))</f>
        <v/>
      </c>
      <c r="L6293" t="str">
        <f t="shared" si="493"/>
        <v/>
      </c>
      <c r="M6293" t="str">
        <f t="shared" si="494"/>
        <v/>
      </c>
    </row>
    <row r="6294" spans="1:13" x14ac:dyDescent="0.3">
      <c r="A6294" t="str">
        <f>Segmenter!A6294</f>
        <v/>
      </c>
      <c r="B6294" t="str">
        <f>Segmenter!B6294</f>
        <v/>
      </c>
      <c r="C6294" t="str">
        <f t="shared" si="490"/>
        <v/>
      </c>
      <c r="D6294" t="str">
        <f t="shared" si="491"/>
        <v/>
      </c>
      <c r="E6294" t="str">
        <f t="shared" si="492"/>
        <v/>
      </c>
      <c r="F6294" t="str">
        <f>IF(D6294="","",INDEX(Knutepunkter!$B:$B,D6294+1))</f>
        <v/>
      </c>
      <c r="G6294" t="str">
        <f>IF(D6294="","",INDEX(Knutepunkter!$C:$C,D6294+1))</f>
        <v/>
      </c>
      <c r="H6294" t="str">
        <f>IF(D6294="","",INDEX(Knutepunkter!$D:$D,D6294+1))</f>
        <v/>
      </c>
      <c r="I6294" t="str">
        <f>IF(E6294="","",INDEX(Knutepunkter!$B:$B,E6294+1))</f>
        <v/>
      </c>
      <c r="J6294" t="str">
        <f>IF(E6294="","",INDEX(Knutepunkter!$C:$C,E6294+1))</f>
        <v/>
      </c>
      <c r="K6294" t="str">
        <f>IF(E6294="","",INDEX(Knutepunkter!$D:$D,E6294+1))</f>
        <v/>
      </c>
      <c r="L6294" t="str">
        <f t="shared" si="493"/>
        <v/>
      </c>
      <c r="M6294" t="str">
        <f t="shared" si="494"/>
        <v/>
      </c>
    </row>
    <row r="6295" spans="1:13" x14ac:dyDescent="0.3">
      <c r="A6295" t="str">
        <f>Segmenter!A6295</f>
        <v/>
      </c>
      <c r="B6295" t="str">
        <f>Segmenter!B6295</f>
        <v/>
      </c>
      <c r="C6295" t="str">
        <f t="shared" si="490"/>
        <v/>
      </c>
      <c r="D6295" t="str">
        <f t="shared" si="491"/>
        <v/>
      </c>
      <c r="E6295" t="str">
        <f t="shared" si="492"/>
        <v/>
      </c>
      <c r="F6295" t="str">
        <f>IF(D6295="","",INDEX(Knutepunkter!$B:$B,D6295+1))</f>
        <v/>
      </c>
      <c r="G6295" t="str">
        <f>IF(D6295="","",INDEX(Knutepunkter!$C:$C,D6295+1))</f>
        <v/>
      </c>
      <c r="H6295" t="str">
        <f>IF(D6295="","",INDEX(Knutepunkter!$D:$D,D6295+1))</f>
        <v/>
      </c>
      <c r="I6295" t="str">
        <f>IF(E6295="","",INDEX(Knutepunkter!$B:$B,E6295+1))</f>
        <v/>
      </c>
      <c r="J6295" t="str">
        <f>IF(E6295="","",INDEX(Knutepunkter!$C:$C,E6295+1))</f>
        <v/>
      </c>
      <c r="K6295" t="str">
        <f>IF(E6295="","",INDEX(Knutepunkter!$D:$D,E6295+1))</f>
        <v/>
      </c>
      <c r="L6295" t="str">
        <f t="shared" si="493"/>
        <v/>
      </c>
      <c r="M6295" t="str">
        <f t="shared" si="494"/>
        <v/>
      </c>
    </row>
    <row r="6296" spans="1:13" x14ac:dyDescent="0.3">
      <c r="A6296" t="str">
        <f>Segmenter!A6296</f>
        <v/>
      </c>
      <c r="B6296" t="str">
        <f>Segmenter!B6296</f>
        <v/>
      </c>
      <c r="C6296" t="str">
        <f t="shared" si="490"/>
        <v/>
      </c>
      <c r="D6296" t="str">
        <f t="shared" si="491"/>
        <v/>
      </c>
      <c r="E6296" t="str">
        <f t="shared" si="492"/>
        <v/>
      </c>
      <c r="F6296" t="str">
        <f>IF(D6296="","",INDEX(Knutepunkter!$B:$B,D6296+1))</f>
        <v/>
      </c>
      <c r="G6296" t="str">
        <f>IF(D6296="","",INDEX(Knutepunkter!$C:$C,D6296+1))</f>
        <v/>
      </c>
      <c r="H6296" t="str">
        <f>IF(D6296="","",INDEX(Knutepunkter!$D:$D,D6296+1))</f>
        <v/>
      </c>
      <c r="I6296" t="str">
        <f>IF(E6296="","",INDEX(Knutepunkter!$B:$B,E6296+1))</f>
        <v/>
      </c>
      <c r="J6296" t="str">
        <f>IF(E6296="","",INDEX(Knutepunkter!$C:$C,E6296+1))</f>
        <v/>
      </c>
      <c r="K6296" t="str">
        <f>IF(E6296="","",INDEX(Knutepunkter!$D:$D,E6296+1))</f>
        <v/>
      </c>
      <c r="L6296" t="str">
        <f t="shared" si="493"/>
        <v/>
      </c>
      <c r="M6296" t="str">
        <f t="shared" si="494"/>
        <v/>
      </c>
    </row>
    <row r="6297" spans="1:13" x14ac:dyDescent="0.3">
      <c r="A6297" t="str">
        <f>Segmenter!A6297</f>
        <v/>
      </c>
      <c r="B6297" t="str">
        <f>Segmenter!B6297</f>
        <v/>
      </c>
      <c r="C6297" t="str">
        <f t="shared" si="490"/>
        <v/>
      </c>
      <c r="D6297" t="str">
        <f t="shared" si="491"/>
        <v/>
      </c>
      <c r="E6297" t="str">
        <f t="shared" si="492"/>
        <v/>
      </c>
      <c r="F6297" t="str">
        <f>IF(D6297="","",INDEX(Knutepunkter!$B:$B,D6297+1))</f>
        <v/>
      </c>
      <c r="G6297" t="str">
        <f>IF(D6297="","",INDEX(Knutepunkter!$C:$C,D6297+1))</f>
        <v/>
      </c>
      <c r="H6297" t="str">
        <f>IF(D6297="","",INDEX(Knutepunkter!$D:$D,D6297+1))</f>
        <v/>
      </c>
      <c r="I6297" t="str">
        <f>IF(E6297="","",INDEX(Knutepunkter!$B:$B,E6297+1))</f>
        <v/>
      </c>
      <c r="J6297" t="str">
        <f>IF(E6297="","",INDEX(Knutepunkter!$C:$C,E6297+1))</f>
        <v/>
      </c>
      <c r="K6297" t="str">
        <f>IF(E6297="","",INDEX(Knutepunkter!$D:$D,E6297+1))</f>
        <v/>
      </c>
      <c r="L6297" t="str">
        <f t="shared" si="493"/>
        <v/>
      </c>
      <c r="M6297" t="str">
        <f t="shared" si="494"/>
        <v/>
      </c>
    </row>
    <row r="6298" spans="1:13" x14ac:dyDescent="0.3">
      <c r="A6298" t="str">
        <f>Segmenter!A6298</f>
        <v/>
      </c>
      <c r="B6298" t="str">
        <f>Segmenter!B6298</f>
        <v/>
      </c>
      <c r="C6298" t="str">
        <f t="shared" si="490"/>
        <v/>
      </c>
      <c r="D6298" t="str">
        <f t="shared" si="491"/>
        <v/>
      </c>
      <c r="E6298" t="str">
        <f t="shared" si="492"/>
        <v/>
      </c>
      <c r="F6298" t="str">
        <f>IF(D6298="","",INDEX(Knutepunkter!$B:$B,D6298+1))</f>
        <v/>
      </c>
      <c r="G6298" t="str">
        <f>IF(D6298="","",INDEX(Knutepunkter!$C:$C,D6298+1))</f>
        <v/>
      </c>
      <c r="H6298" t="str">
        <f>IF(D6298="","",INDEX(Knutepunkter!$D:$D,D6298+1))</f>
        <v/>
      </c>
      <c r="I6298" t="str">
        <f>IF(E6298="","",INDEX(Knutepunkter!$B:$B,E6298+1))</f>
        <v/>
      </c>
      <c r="J6298" t="str">
        <f>IF(E6298="","",INDEX(Knutepunkter!$C:$C,E6298+1))</f>
        <v/>
      </c>
      <c r="K6298" t="str">
        <f>IF(E6298="","",INDEX(Knutepunkter!$D:$D,E6298+1))</f>
        <v/>
      </c>
      <c r="L6298" t="str">
        <f t="shared" si="493"/>
        <v/>
      </c>
      <c r="M6298" t="str">
        <f t="shared" si="494"/>
        <v/>
      </c>
    </row>
    <row r="6299" spans="1:13" x14ac:dyDescent="0.3">
      <c r="A6299" t="str">
        <f>Segmenter!A6299</f>
        <v/>
      </c>
      <c r="B6299" t="str">
        <f>Segmenter!B6299</f>
        <v/>
      </c>
      <c r="C6299" t="str">
        <f t="shared" si="490"/>
        <v/>
      </c>
      <c r="D6299" t="str">
        <f t="shared" si="491"/>
        <v/>
      </c>
      <c r="E6299" t="str">
        <f t="shared" si="492"/>
        <v/>
      </c>
      <c r="F6299" t="str">
        <f>IF(D6299="","",INDEX(Knutepunkter!$B:$B,D6299+1))</f>
        <v/>
      </c>
      <c r="G6299" t="str">
        <f>IF(D6299="","",INDEX(Knutepunkter!$C:$C,D6299+1))</f>
        <v/>
      </c>
      <c r="H6299" t="str">
        <f>IF(D6299="","",INDEX(Knutepunkter!$D:$D,D6299+1))</f>
        <v/>
      </c>
      <c r="I6299" t="str">
        <f>IF(E6299="","",INDEX(Knutepunkter!$B:$B,E6299+1))</f>
        <v/>
      </c>
      <c r="J6299" t="str">
        <f>IF(E6299="","",INDEX(Knutepunkter!$C:$C,E6299+1))</f>
        <v/>
      </c>
      <c r="K6299" t="str">
        <f>IF(E6299="","",INDEX(Knutepunkter!$D:$D,E6299+1))</f>
        <v/>
      </c>
      <c r="L6299" t="str">
        <f t="shared" si="493"/>
        <v/>
      </c>
      <c r="M6299" t="str">
        <f t="shared" si="494"/>
        <v/>
      </c>
    </row>
    <row r="6300" spans="1:13" x14ac:dyDescent="0.3">
      <c r="A6300" t="str">
        <f>Segmenter!A6300</f>
        <v/>
      </c>
      <c r="B6300" t="str">
        <f>Segmenter!B6300</f>
        <v/>
      </c>
      <c r="C6300" t="str">
        <f t="shared" si="490"/>
        <v/>
      </c>
      <c r="D6300" t="str">
        <f t="shared" si="491"/>
        <v/>
      </c>
      <c r="E6300" t="str">
        <f t="shared" si="492"/>
        <v/>
      </c>
      <c r="F6300" t="str">
        <f>IF(D6300="","",INDEX(Knutepunkter!$B:$B,D6300+1))</f>
        <v/>
      </c>
      <c r="G6300" t="str">
        <f>IF(D6300="","",INDEX(Knutepunkter!$C:$C,D6300+1))</f>
        <v/>
      </c>
      <c r="H6300" t="str">
        <f>IF(D6300="","",INDEX(Knutepunkter!$D:$D,D6300+1))</f>
        <v/>
      </c>
      <c r="I6300" t="str">
        <f>IF(E6300="","",INDEX(Knutepunkter!$B:$B,E6300+1))</f>
        <v/>
      </c>
      <c r="J6300" t="str">
        <f>IF(E6300="","",INDEX(Knutepunkter!$C:$C,E6300+1))</f>
        <v/>
      </c>
      <c r="K6300" t="str">
        <f>IF(E6300="","",INDEX(Knutepunkter!$D:$D,E6300+1))</f>
        <v/>
      </c>
      <c r="L6300" t="str">
        <f t="shared" si="493"/>
        <v/>
      </c>
      <c r="M6300" t="str">
        <f t="shared" si="494"/>
        <v/>
      </c>
    </row>
    <row r="6301" spans="1:13" x14ac:dyDescent="0.3">
      <c r="A6301" t="str">
        <f>Segmenter!A6301</f>
        <v/>
      </c>
      <c r="B6301" t="str">
        <f>Segmenter!B6301</f>
        <v/>
      </c>
      <c r="C6301" t="str">
        <f t="shared" si="490"/>
        <v/>
      </c>
      <c r="D6301" t="str">
        <f t="shared" si="491"/>
        <v/>
      </c>
      <c r="E6301" t="str">
        <f t="shared" si="492"/>
        <v/>
      </c>
      <c r="F6301" t="str">
        <f>IF(D6301="","",INDEX(Knutepunkter!$B:$B,D6301+1))</f>
        <v/>
      </c>
      <c r="G6301" t="str">
        <f>IF(D6301="","",INDEX(Knutepunkter!$C:$C,D6301+1))</f>
        <v/>
      </c>
      <c r="H6301" t="str">
        <f>IF(D6301="","",INDEX(Knutepunkter!$D:$D,D6301+1))</f>
        <v/>
      </c>
      <c r="I6301" t="str">
        <f>IF(E6301="","",INDEX(Knutepunkter!$B:$B,E6301+1))</f>
        <v/>
      </c>
      <c r="J6301" t="str">
        <f>IF(E6301="","",INDEX(Knutepunkter!$C:$C,E6301+1))</f>
        <v/>
      </c>
      <c r="K6301" t="str">
        <f>IF(E6301="","",INDEX(Knutepunkter!$D:$D,E6301+1))</f>
        <v/>
      </c>
      <c r="L6301" t="str">
        <f t="shared" si="493"/>
        <v/>
      </c>
      <c r="M6301" t="str">
        <f t="shared" si="494"/>
        <v/>
      </c>
    </row>
    <row r="6302" spans="1:13" x14ac:dyDescent="0.3">
      <c r="A6302" t="str">
        <f>Segmenter!A6302</f>
        <v/>
      </c>
      <c r="B6302" t="str">
        <f>Segmenter!B6302</f>
        <v/>
      </c>
      <c r="C6302" t="str">
        <f t="shared" si="490"/>
        <v/>
      </c>
      <c r="D6302" t="str">
        <f t="shared" si="491"/>
        <v/>
      </c>
      <c r="E6302" t="str">
        <f t="shared" si="492"/>
        <v/>
      </c>
      <c r="F6302" t="str">
        <f>IF(D6302="","",INDEX(Knutepunkter!$B:$B,D6302+1))</f>
        <v/>
      </c>
      <c r="G6302" t="str">
        <f>IF(D6302="","",INDEX(Knutepunkter!$C:$C,D6302+1))</f>
        <v/>
      </c>
      <c r="H6302" t="str">
        <f>IF(D6302="","",INDEX(Knutepunkter!$D:$D,D6302+1))</f>
        <v/>
      </c>
      <c r="I6302" t="str">
        <f>IF(E6302="","",INDEX(Knutepunkter!$B:$B,E6302+1))</f>
        <v/>
      </c>
      <c r="J6302" t="str">
        <f>IF(E6302="","",INDEX(Knutepunkter!$C:$C,E6302+1))</f>
        <v/>
      </c>
      <c r="K6302" t="str">
        <f>IF(E6302="","",INDEX(Knutepunkter!$D:$D,E6302+1))</f>
        <v/>
      </c>
      <c r="L6302" t="str">
        <f t="shared" si="493"/>
        <v/>
      </c>
      <c r="M6302" t="str">
        <f t="shared" si="494"/>
        <v/>
      </c>
    </row>
    <row r="6303" spans="1:13" x14ac:dyDescent="0.3">
      <c r="A6303" t="str">
        <f>Segmenter!A6303</f>
        <v/>
      </c>
      <c r="B6303" t="str">
        <f>Segmenter!B6303</f>
        <v/>
      </c>
      <c r="C6303" t="str">
        <f t="shared" si="490"/>
        <v/>
      </c>
      <c r="D6303" t="str">
        <f t="shared" si="491"/>
        <v/>
      </c>
      <c r="E6303" t="str">
        <f t="shared" si="492"/>
        <v/>
      </c>
      <c r="F6303" t="str">
        <f>IF(D6303="","",INDEX(Knutepunkter!$B:$B,D6303+1))</f>
        <v/>
      </c>
      <c r="G6303" t="str">
        <f>IF(D6303="","",INDEX(Knutepunkter!$C:$C,D6303+1))</f>
        <v/>
      </c>
      <c r="H6303" t="str">
        <f>IF(D6303="","",INDEX(Knutepunkter!$D:$D,D6303+1))</f>
        <v/>
      </c>
      <c r="I6303" t="str">
        <f>IF(E6303="","",INDEX(Knutepunkter!$B:$B,E6303+1))</f>
        <v/>
      </c>
      <c r="J6303" t="str">
        <f>IF(E6303="","",INDEX(Knutepunkter!$C:$C,E6303+1))</f>
        <v/>
      </c>
      <c r="K6303" t="str">
        <f>IF(E6303="","",INDEX(Knutepunkter!$D:$D,E6303+1))</f>
        <v/>
      </c>
      <c r="L6303" t="str">
        <f t="shared" si="493"/>
        <v/>
      </c>
      <c r="M6303" t="str">
        <f t="shared" si="494"/>
        <v/>
      </c>
    </row>
    <row r="6304" spans="1:13" x14ac:dyDescent="0.3">
      <c r="A6304" t="str">
        <f>Segmenter!A6304</f>
        <v/>
      </c>
      <c r="B6304" t="str">
        <f>Segmenter!B6304</f>
        <v/>
      </c>
      <c r="C6304" t="str">
        <f t="shared" si="490"/>
        <v/>
      </c>
      <c r="D6304" t="str">
        <f t="shared" si="491"/>
        <v/>
      </c>
      <c r="E6304" t="str">
        <f t="shared" si="492"/>
        <v/>
      </c>
      <c r="F6304" t="str">
        <f>IF(D6304="","",INDEX(Knutepunkter!$B:$B,D6304+1))</f>
        <v/>
      </c>
      <c r="G6304" t="str">
        <f>IF(D6304="","",INDEX(Knutepunkter!$C:$C,D6304+1))</f>
        <v/>
      </c>
      <c r="H6304" t="str">
        <f>IF(D6304="","",INDEX(Knutepunkter!$D:$D,D6304+1))</f>
        <v/>
      </c>
      <c r="I6304" t="str">
        <f>IF(E6304="","",INDEX(Knutepunkter!$B:$B,E6304+1))</f>
        <v/>
      </c>
      <c r="J6304" t="str">
        <f>IF(E6304="","",INDEX(Knutepunkter!$C:$C,E6304+1))</f>
        <v/>
      </c>
      <c r="K6304" t="str">
        <f>IF(E6304="","",INDEX(Knutepunkter!$D:$D,E6304+1))</f>
        <v/>
      </c>
      <c r="L6304" t="str">
        <f t="shared" si="493"/>
        <v/>
      </c>
      <c r="M6304" t="str">
        <f t="shared" si="494"/>
        <v/>
      </c>
    </row>
    <row r="6305" spans="1:13" x14ac:dyDescent="0.3">
      <c r="A6305" t="str">
        <f>Segmenter!A6305</f>
        <v/>
      </c>
      <c r="B6305" t="str">
        <f>Segmenter!B6305</f>
        <v/>
      </c>
      <c r="C6305" t="str">
        <f t="shared" si="490"/>
        <v/>
      </c>
      <c r="D6305" t="str">
        <f t="shared" si="491"/>
        <v/>
      </c>
      <c r="E6305" t="str">
        <f t="shared" si="492"/>
        <v/>
      </c>
      <c r="F6305" t="str">
        <f>IF(D6305="","",INDEX(Knutepunkter!$B:$B,D6305+1))</f>
        <v/>
      </c>
      <c r="G6305" t="str">
        <f>IF(D6305="","",INDEX(Knutepunkter!$C:$C,D6305+1))</f>
        <v/>
      </c>
      <c r="H6305" t="str">
        <f>IF(D6305="","",INDEX(Knutepunkter!$D:$D,D6305+1))</f>
        <v/>
      </c>
      <c r="I6305" t="str">
        <f>IF(E6305="","",INDEX(Knutepunkter!$B:$B,E6305+1))</f>
        <v/>
      </c>
      <c r="J6305" t="str">
        <f>IF(E6305="","",INDEX(Knutepunkter!$C:$C,E6305+1))</f>
        <v/>
      </c>
      <c r="K6305" t="str">
        <f>IF(E6305="","",INDEX(Knutepunkter!$D:$D,E6305+1))</f>
        <v/>
      </c>
      <c r="L6305" t="str">
        <f t="shared" si="493"/>
        <v/>
      </c>
      <c r="M6305" t="str">
        <f t="shared" si="494"/>
        <v/>
      </c>
    </row>
    <row r="6306" spans="1:13" x14ac:dyDescent="0.3">
      <c r="A6306" t="str">
        <f>Segmenter!A6306</f>
        <v/>
      </c>
      <c r="B6306" t="str">
        <f>Segmenter!B6306</f>
        <v/>
      </c>
      <c r="C6306" t="str">
        <f t="shared" si="490"/>
        <v/>
      </c>
      <c r="D6306" t="str">
        <f t="shared" si="491"/>
        <v/>
      </c>
      <c r="E6306" t="str">
        <f t="shared" si="492"/>
        <v/>
      </c>
      <c r="F6306" t="str">
        <f>IF(D6306="","",INDEX(Knutepunkter!$B:$B,D6306+1))</f>
        <v/>
      </c>
      <c r="G6306" t="str">
        <f>IF(D6306="","",INDEX(Knutepunkter!$C:$C,D6306+1))</f>
        <v/>
      </c>
      <c r="H6306" t="str">
        <f>IF(D6306="","",INDEX(Knutepunkter!$D:$D,D6306+1))</f>
        <v/>
      </c>
      <c r="I6306" t="str">
        <f>IF(E6306="","",INDEX(Knutepunkter!$B:$B,E6306+1))</f>
        <v/>
      </c>
      <c r="J6306" t="str">
        <f>IF(E6306="","",INDEX(Knutepunkter!$C:$C,E6306+1))</f>
        <v/>
      </c>
      <c r="K6306" t="str">
        <f>IF(E6306="","",INDEX(Knutepunkter!$D:$D,E6306+1))</f>
        <v/>
      </c>
      <c r="L6306" t="str">
        <f t="shared" si="493"/>
        <v/>
      </c>
      <c r="M6306" t="str">
        <f t="shared" si="494"/>
        <v/>
      </c>
    </row>
    <row r="6307" spans="1:13" x14ac:dyDescent="0.3">
      <c r="A6307" t="str">
        <f>Segmenter!A6307</f>
        <v/>
      </c>
      <c r="B6307" t="str">
        <f>Segmenter!B6307</f>
        <v/>
      </c>
      <c r="C6307" t="str">
        <f t="shared" si="490"/>
        <v/>
      </c>
      <c r="D6307" t="str">
        <f t="shared" si="491"/>
        <v/>
      </c>
      <c r="E6307" t="str">
        <f t="shared" si="492"/>
        <v/>
      </c>
      <c r="F6307" t="str">
        <f>IF(D6307="","",INDEX(Knutepunkter!$B:$B,D6307+1))</f>
        <v/>
      </c>
      <c r="G6307" t="str">
        <f>IF(D6307="","",INDEX(Knutepunkter!$C:$C,D6307+1))</f>
        <v/>
      </c>
      <c r="H6307" t="str">
        <f>IF(D6307="","",INDEX(Knutepunkter!$D:$D,D6307+1))</f>
        <v/>
      </c>
      <c r="I6307" t="str">
        <f>IF(E6307="","",INDEX(Knutepunkter!$B:$B,E6307+1))</f>
        <v/>
      </c>
      <c r="J6307" t="str">
        <f>IF(E6307="","",INDEX(Knutepunkter!$C:$C,E6307+1))</f>
        <v/>
      </c>
      <c r="K6307" t="str">
        <f>IF(E6307="","",INDEX(Knutepunkter!$D:$D,E6307+1))</f>
        <v/>
      </c>
      <c r="L6307" t="str">
        <f t="shared" si="493"/>
        <v/>
      </c>
      <c r="M6307" t="str">
        <f t="shared" si="494"/>
        <v/>
      </c>
    </row>
    <row r="6308" spans="1:13" x14ac:dyDescent="0.3">
      <c r="A6308" t="str">
        <f>Segmenter!A6308</f>
        <v/>
      </c>
      <c r="B6308" t="str">
        <f>Segmenter!B6308</f>
        <v/>
      </c>
      <c r="C6308" t="str">
        <f t="shared" si="490"/>
        <v/>
      </c>
      <c r="D6308" t="str">
        <f t="shared" si="491"/>
        <v/>
      </c>
      <c r="E6308" t="str">
        <f t="shared" si="492"/>
        <v/>
      </c>
      <c r="F6308" t="str">
        <f>IF(D6308="","",INDEX(Knutepunkter!$B:$B,D6308+1))</f>
        <v/>
      </c>
      <c r="G6308" t="str">
        <f>IF(D6308="","",INDEX(Knutepunkter!$C:$C,D6308+1))</f>
        <v/>
      </c>
      <c r="H6308" t="str">
        <f>IF(D6308="","",INDEX(Knutepunkter!$D:$D,D6308+1))</f>
        <v/>
      </c>
      <c r="I6308" t="str">
        <f>IF(E6308="","",INDEX(Knutepunkter!$B:$B,E6308+1))</f>
        <v/>
      </c>
      <c r="J6308" t="str">
        <f>IF(E6308="","",INDEX(Knutepunkter!$C:$C,E6308+1))</f>
        <v/>
      </c>
      <c r="K6308" t="str">
        <f>IF(E6308="","",INDEX(Knutepunkter!$D:$D,E6308+1))</f>
        <v/>
      </c>
      <c r="L6308" t="str">
        <f t="shared" si="493"/>
        <v/>
      </c>
      <c r="M6308" t="str">
        <f t="shared" si="494"/>
        <v/>
      </c>
    </row>
    <row r="6309" spans="1:13" x14ac:dyDescent="0.3">
      <c r="A6309" t="str">
        <f>Segmenter!A6309</f>
        <v/>
      </c>
      <c r="B6309" t="str">
        <f>Segmenter!B6309</f>
        <v/>
      </c>
      <c r="C6309" t="str">
        <f t="shared" si="490"/>
        <v/>
      </c>
      <c r="D6309" t="str">
        <f t="shared" si="491"/>
        <v/>
      </c>
      <c r="E6309" t="str">
        <f t="shared" si="492"/>
        <v/>
      </c>
      <c r="F6309" t="str">
        <f>IF(D6309="","",INDEX(Knutepunkter!$B:$B,D6309+1))</f>
        <v/>
      </c>
      <c r="G6309" t="str">
        <f>IF(D6309="","",INDEX(Knutepunkter!$C:$C,D6309+1))</f>
        <v/>
      </c>
      <c r="H6309" t="str">
        <f>IF(D6309="","",INDEX(Knutepunkter!$D:$D,D6309+1))</f>
        <v/>
      </c>
      <c r="I6309" t="str">
        <f>IF(E6309="","",INDEX(Knutepunkter!$B:$B,E6309+1))</f>
        <v/>
      </c>
      <c r="J6309" t="str">
        <f>IF(E6309="","",INDEX(Knutepunkter!$C:$C,E6309+1))</f>
        <v/>
      </c>
      <c r="K6309" t="str">
        <f>IF(E6309="","",INDEX(Knutepunkter!$D:$D,E6309+1))</f>
        <v/>
      </c>
      <c r="L6309" t="str">
        <f t="shared" si="493"/>
        <v/>
      </c>
      <c r="M6309" t="str">
        <f t="shared" si="494"/>
        <v/>
      </c>
    </row>
    <row r="6310" spans="1:13" x14ac:dyDescent="0.3">
      <c r="A6310" t="str">
        <f>Segmenter!A6310</f>
        <v/>
      </c>
      <c r="B6310" t="str">
        <f>Segmenter!B6310</f>
        <v/>
      </c>
      <c r="C6310" t="str">
        <f t="shared" si="490"/>
        <v/>
      </c>
      <c r="D6310" t="str">
        <f t="shared" si="491"/>
        <v/>
      </c>
      <c r="E6310" t="str">
        <f t="shared" si="492"/>
        <v/>
      </c>
      <c r="F6310" t="str">
        <f>IF(D6310="","",INDEX(Knutepunkter!$B:$B,D6310+1))</f>
        <v/>
      </c>
      <c r="G6310" t="str">
        <f>IF(D6310="","",INDEX(Knutepunkter!$C:$C,D6310+1))</f>
        <v/>
      </c>
      <c r="H6310" t="str">
        <f>IF(D6310="","",INDEX(Knutepunkter!$D:$D,D6310+1))</f>
        <v/>
      </c>
      <c r="I6310" t="str">
        <f>IF(E6310="","",INDEX(Knutepunkter!$B:$B,E6310+1))</f>
        <v/>
      </c>
      <c r="J6310" t="str">
        <f>IF(E6310="","",INDEX(Knutepunkter!$C:$C,E6310+1))</f>
        <v/>
      </c>
      <c r="K6310" t="str">
        <f>IF(E6310="","",INDEX(Knutepunkter!$D:$D,E6310+1))</f>
        <v/>
      </c>
      <c r="L6310" t="str">
        <f t="shared" si="493"/>
        <v/>
      </c>
      <c r="M6310" t="str">
        <f t="shared" si="494"/>
        <v/>
      </c>
    </row>
    <row r="6311" spans="1:13" x14ac:dyDescent="0.3">
      <c r="A6311" t="str">
        <f>Segmenter!A6311</f>
        <v/>
      </c>
      <c r="B6311" t="str">
        <f>Segmenter!B6311</f>
        <v/>
      </c>
      <c r="C6311" t="str">
        <f t="shared" si="490"/>
        <v/>
      </c>
      <c r="D6311" t="str">
        <f t="shared" si="491"/>
        <v/>
      </c>
      <c r="E6311" t="str">
        <f t="shared" si="492"/>
        <v/>
      </c>
      <c r="F6311" t="str">
        <f>IF(D6311="","",INDEX(Knutepunkter!$B:$B,D6311+1))</f>
        <v/>
      </c>
      <c r="G6311" t="str">
        <f>IF(D6311="","",INDEX(Knutepunkter!$C:$C,D6311+1))</f>
        <v/>
      </c>
      <c r="H6311" t="str">
        <f>IF(D6311="","",INDEX(Knutepunkter!$D:$D,D6311+1))</f>
        <v/>
      </c>
      <c r="I6311" t="str">
        <f>IF(E6311="","",INDEX(Knutepunkter!$B:$B,E6311+1))</f>
        <v/>
      </c>
      <c r="J6311" t="str">
        <f>IF(E6311="","",INDEX(Knutepunkter!$C:$C,E6311+1))</f>
        <v/>
      </c>
      <c r="K6311" t="str">
        <f>IF(E6311="","",INDEX(Knutepunkter!$D:$D,E6311+1))</f>
        <v/>
      </c>
      <c r="L6311" t="str">
        <f t="shared" si="493"/>
        <v/>
      </c>
      <c r="M6311" t="str">
        <f t="shared" si="494"/>
        <v/>
      </c>
    </row>
    <row r="6312" spans="1:13" x14ac:dyDescent="0.3">
      <c r="A6312" t="str">
        <f>Segmenter!A6312</f>
        <v/>
      </c>
      <c r="B6312" t="str">
        <f>Segmenter!B6312</f>
        <v/>
      </c>
      <c r="C6312" t="str">
        <f t="shared" si="490"/>
        <v/>
      </c>
      <c r="D6312" t="str">
        <f t="shared" si="491"/>
        <v/>
      </c>
      <c r="E6312" t="str">
        <f t="shared" si="492"/>
        <v/>
      </c>
      <c r="F6312" t="str">
        <f>IF(D6312="","",INDEX(Knutepunkter!$B:$B,D6312+1))</f>
        <v/>
      </c>
      <c r="G6312" t="str">
        <f>IF(D6312="","",INDEX(Knutepunkter!$C:$C,D6312+1))</f>
        <v/>
      </c>
      <c r="H6312" t="str">
        <f>IF(D6312="","",INDEX(Knutepunkter!$D:$D,D6312+1))</f>
        <v/>
      </c>
      <c r="I6312" t="str">
        <f>IF(E6312="","",INDEX(Knutepunkter!$B:$B,E6312+1))</f>
        <v/>
      </c>
      <c r="J6312" t="str">
        <f>IF(E6312="","",INDEX(Knutepunkter!$C:$C,E6312+1))</f>
        <v/>
      </c>
      <c r="K6312" t="str">
        <f>IF(E6312="","",INDEX(Knutepunkter!$D:$D,E6312+1))</f>
        <v/>
      </c>
      <c r="L6312" t="str">
        <f t="shared" si="493"/>
        <v/>
      </c>
      <c r="M6312" t="str">
        <f t="shared" si="494"/>
        <v/>
      </c>
    </row>
    <row r="6313" spans="1:13" x14ac:dyDescent="0.3">
      <c r="A6313" t="str">
        <f>Segmenter!A6313</f>
        <v/>
      </c>
      <c r="B6313" t="str">
        <f>Segmenter!B6313</f>
        <v/>
      </c>
      <c r="C6313" t="str">
        <f t="shared" si="490"/>
        <v/>
      </c>
      <c r="D6313" t="str">
        <f t="shared" si="491"/>
        <v/>
      </c>
      <c r="E6313" t="str">
        <f t="shared" si="492"/>
        <v/>
      </c>
      <c r="F6313" t="str">
        <f>IF(D6313="","",INDEX(Knutepunkter!$B:$B,D6313+1))</f>
        <v/>
      </c>
      <c r="G6313" t="str">
        <f>IF(D6313="","",INDEX(Knutepunkter!$C:$C,D6313+1))</f>
        <v/>
      </c>
      <c r="H6313" t="str">
        <f>IF(D6313="","",INDEX(Knutepunkter!$D:$D,D6313+1))</f>
        <v/>
      </c>
      <c r="I6313" t="str">
        <f>IF(E6313="","",INDEX(Knutepunkter!$B:$B,E6313+1))</f>
        <v/>
      </c>
      <c r="J6313" t="str">
        <f>IF(E6313="","",INDEX(Knutepunkter!$C:$C,E6313+1))</f>
        <v/>
      </c>
      <c r="K6313" t="str">
        <f>IF(E6313="","",INDEX(Knutepunkter!$D:$D,E6313+1))</f>
        <v/>
      </c>
      <c r="L6313" t="str">
        <f t="shared" si="493"/>
        <v/>
      </c>
      <c r="M6313" t="str">
        <f t="shared" si="494"/>
        <v/>
      </c>
    </row>
    <row r="6314" spans="1:13" x14ac:dyDescent="0.3">
      <c r="A6314" t="str">
        <f>Segmenter!A6314</f>
        <v/>
      </c>
      <c r="B6314" t="str">
        <f>Segmenter!B6314</f>
        <v/>
      </c>
      <c r="C6314" t="str">
        <f t="shared" si="490"/>
        <v/>
      </c>
      <c r="D6314" t="str">
        <f t="shared" si="491"/>
        <v/>
      </c>
      <c r="E6314" t="str">
        <f t="shared" si="492"/>
        <v/>
      </c>
      <c r="F6314" t="str">
        <f>IF(D6314="","",INDEX(Knutepunkter!$B:$B,D6314+1))</f>
        <v/>
      </c>
      <c r="G6314" t="str">
        <f>IF(D6314="","",INDEX(Knutepunkter!$C:$C,D6314+1))</f>
        <v/>
      </c>
      <c r="H6314" t="str">
        <f>IF(D6314="","",INDEX(Knutepunkter!$D:$D,D6314+1))</f>
        <v/>
      </c>
      <c r="I6314" t="str">
        <f>IF(E6314="","",INDEX(Knutepunkter!$B:$B,E6314+1))</f>
        <v/>
      </c>
      <c r="J6314" t="str">
        <f>IF(E6314="","",INDEX(Knutepunkter!$C:$C,E6314+1))</f>
        <v/>
      </c>
      <c r="K6314" t="str">
        <f>IF(E6314="","",INDEX(Knutepunkter!$D:$D,E6314+1))</f>
        <v/>
      </c>
      <c r="L6314" t="str">
        <f t="shared" si="493"/>
        <v/>
      </c>
      <c r="M6314" t="str">
        <f t="shared" si="494"/>
        <v/>
      </c>
    </row>
    <row r="6315" spans="1:13" x14ac:dyDescent="0.3">
      <c r="A6315" t="str">
        <f>Segmenter!A6315</f>
        <v/>
      </c>
      <c r="B6315" t="str">
        <f>Segmenter!B6315</f>
        <v/>
      </c>
      <c r="C6315" t="str">
        <f t="shared" si="490"/>
        <v/>
      </c>
      <c r="D6315" t="str">
        <f t="shared" si="491"/>
        <v/>
      </c>
      <c r="E6315" t="str">
        <f t="shared" si="492"/>
        <v/>
      </c>
      <c r="F6315" t="str">
        <f>IF(D6315="","",INDEX(Knutepunkter!$B:$B,D6315+1))</f>
        <v/>
      </c>
      <c r="G6315" t="str">
        <f>IF(D6315="","",INDEX(Knutepunkter!$C:$C,D6315+1))</f>
        <v/>
      </c>
      <c r="H6315" t="str">
        <f>IF(D6315="","",INDEX(Knutepunkter!$D:$D,D6315+1))</f>
        <v/>
      </c>
      <c r="I6315" t="str">
        <f>IF(E6315="","",INDEX(Knutepunkter!$B:$B,E6315+1))</f>
        <v/>
      </c>
      <c r="J6315" t="str">
        <f>IF(E6315="","",INDEX(Knutepunkter!$C:$C,E6315+1))</f>
        <v/>
      </c>
      <c r="K6315" t="str">
        <f>IF(E6315="","",INDEX(Knutepunkter!$D:$D,E6315+1))</f>
        <v/>
      </c>
      <c r="L6315" t="str">
        <f t="shared" si="493"/>
        <v/>
      </c>
      <c r="M6315" t="str">
        <f t="shared" si="494"/>
        <v/>
      </c>
    </row>
    <row r="6316" spans="1:13" x14ac:dyDescent="0.3">
      <c r="A6316" t="str">
        <f>Segmenter!A6316</f>
        <v/>
      </c>
      <c r="B6316" t="str">
        <f>Segmenter!B6316</f>
        <v/>
      </c>
      <c r="C6316" t="str">
        <f t="shared" si="490"/>
        <v/>
      </c>
      <c r="D6316" t="str">
        <f t="shared" si="491"/>
        <v/>
      </c>
      <c r="E6316" t="str">
        <f t="shared" si="492"/>
        <v/>
      </c>
      <c r="F6316" t="str">
        <f>IF(D6316="","",INDEX(Knutepunkter!$B:$B,D6316+1))</f>
        <v/>
      </c>
      <c r="G6316" t="str">
        <f>IF(D6316="","",INDEX(Knutepunkter!$C:$C,D6316+1))</f>
        <v/>
      </c>
      <c r="H6316" t="str">
        <f>IF(D6316="","",INDEX(Knutepunkter!$D:$D,D6316+1))</f>
        <v/>
      </c>
      <c r="I6316" t="str">
        <f>IF(E6316="","",INDEX(Knutepunkter!$B:$B,E6316+1))</f>
        <v/>
      </c>
      <c r="J6316" t="str">
        <f>IF(E6316="","",INDEX(Knutepunkter!$C:$C,E6316+1))</f>
        <v/>
      </c>
      <c r="K6316" t="str">
        <f>IF(E6316="","",INDEX(Knutepunkter!$D:$D,E6316+1))</f>
        <v/>
      </c>
      <c r="L6316" t="str">
        <f t="shared" si="493"/>
        <v/>
      </c>
      <c r="M6316" t="str">
        <f t="shared" si="494"/>
        <v/>
      </c>
    </row>
    <row r="6317" spans="1:13" x14ac:dyDescent="0.3">
      <c r="A6317" t="str">
        <f>Segmenter!A6317</f>
        <v/>
      </c>
      <c r="B6317" t="str">
        <f>Segmenter!B6317</f>
        <v/>
      </c>
      <c r="C6317" t="str">
        <f t="shared" si="490"/>
        <v/>
      </c>
      <c r="D6317" t="str">
        <f t="shared" si="491"/>
        <v/>
      </c>
      <c r="E6317" t="str">
        <f t="shared" si="492"/>
        <v/>
      </c>
      <c r="F6317" t="str">
        <f>IF(D6317="","",INDEX(Knutepunkter!$B:$B,D6317+1))</f>
        <v/>
      </c>
      <c r="G6317" t="str">
        <f>IF(D6317="","",INDEX(Knutepunkter!$C:$C,D6317+1))</f>
        <v/>
      </c>
      <c r="H6317" t="str">
        <f>IF(D6317="","",INDEX(Knutepunkter!$D:$D,D6317+1))</f>
        <v/>
      </c>
      <c r="I6317" t="str">
        <f>IF(E6317="","",INDEX(Knutepunkter!$B:$B,E6317+1))</f>
        <v/>
      </c>
      <c r="J6317" t="str">
        <f>IF(E6317="","",INDEX(Knutepunkter!$C:$C,E6317+1))</f>
        <v/>
      </c>
      <c r="K6317" t="str">
        <f>IF(E6317="","",INDEX(Knutepunkter!$D:$D,E6317+1))</f>
        <v/>
      </c>
      <c r="L6317" t="str">
        <f t="shared" si="493"/>
        <v/>
      </c>
      <c r="M6317" t="str">
        <f t="shared" si="494"/>
        <v/>
      </c>
    </row>
    <row r="6318" spans="1:13" x14ac:dyDescent="0.3">
      <c r="A6318" t="str">
        <f>Segmenter!A6318</f>
        <v/>
      </c>
      <c r="B6318" t="str">
        <f>Segmenter!B6318</f>
        <v/>
      </c>
      <c r="C6318" t="str">
        <f t="shared" si="490"/>
        <v/>
      </c>
      <c r="D6318" t="str">
        <f t="shared" si="491"/>
        <v/>
      </c>
      <c r="E6318" t="str">
        <f t="shared" si="492"/>
        <v/>
      </c>
      <c r="F6318" t="str">
        <f>IF(D6318="","",INDEX(Knutepunkter!$B:$B,D6318+1))</f>
        <v/>
      </c>
      <c r="G6318" t="str">
        <f>IF(D6318="","",INDEX(Knutepunkter!$C:$C,D6318+1))</f>
        <v/>
      </c>
      <c r="H6318" t="str">
        <f>IF(D6318="","",INDEX(Knutepunkter!$D:$D,D6318+1))</f>
        <v/>
      </c>
      <c r="I6318" t="str">
        <f>IF(E6318="","",INDEX(Knutepunkter!$B:$B,E6318+1))</f>
        <v/>
      </c>
      <c r="J6318" t="str">
        <f>IF(E6318="","",INDEX(Knutepunkter!$C:$C,E6318+1))</f>
        <v/>
      </c>
      <c r="K6318" t="str">
        <f>IF(E6318="","",INDEX(Knutepunkter!$D:$D,E6318+1))</f>
        <v/>
      </c>
      <c r="L6318" t="str">
        <f t="shared" si="493"/>
        <v/>
      </c>
      <c r="M6318" t="str">
        <f t="shared" si="494"/>
        <v/>
      </c>
    </row>
    <row r="6319" spans="1:13" x14ac:dyDescent="0.3">
      <c r="A6319" t="str">
        <f>Segmenter!A6319</f>
        <v/>
      </c>
      <c r="B6319" t="str">
        <f>Segmenter!B6319</f>
        <v/>
      </c>
      <c r="C6319" t="str">
        <f t="shared" si="490"/>
        <v/>
      </c>
      <c r="D6319" t="str">
        <f t="shared" si="491"/>
        <v/>
      </c>
      <c r="E6319" t="str">
        <f t="shared" si="492"/>
        <v/>
      </c>
      <c r="F6319" t="str">
        <f>IF(D6319="","",INDEX(Knutepunkter!$B:$B,D6319+1))</f>
        <v/>
      </c>
      <c r="G6319" t="str">
        <f>IF(D6319="","",INDEX(Knutepunkter!$C:$C,D6319+1))</f>
        <v/>
      </c>
      <c r="H6319" t="str">
        <f>IF(D6319="","",INDEX(Knutepunkter!$D:$D,D6319+1))</f>
        <v/>
      </c>
      <c r="I6319" t="str">
        <f>IF(E6319="","",INDEX(Knutepunkter!$B:$B,E6319+1))</f>
        <v/>
      </c>
      <c r="J6319" t="str">
        <f>IF(E6319="","",INDEX(Knutepunkter!$C:$C,E6319+1))</f>
        <v/>
      </c>
      <c r="K6319" t="str">
        <f>IF(E6319="","",INDEX(Knutepunkter!$D:$D,E6319+1))</f>
        <v/>
      </c>
      <c r="L6319" t="str">
        <f t="shared" si="493"/>
        <v/>
      </c>
      <c r="M6319" t="str">
        <f t="shared" si="494"/>
        <v/>
      </c>
    </row>
    <row r="6320" spans="1:13" x14ac:dyDescent="0.3">
      <c r="A6320" t="str">
        <f>Segmenter!A6320</f>
        <v/>
      </c>
      <c r="B6320" t="str">
        <f>Segmenter!B6320</f>
        <v/>
      </c>
      <c r="C6320" t="str">
        <f t="shared" si="490"/>
        <v/>
      </c>
      <c r="D6320" t="str">
        <f t="shared" si="491"/>
        <v/>
      </c>
      <c r="E6320" t="str">
        <f t="shared" si="492"/>
        <v/>
      </c>
      <c r="F6320" t="str">
        <f>IF(D6320="","",INDEX(Knutepunkter!$B:$B,D6320+1))</f>
        <v/>
      </c>
      <c r="G6320" t="str">
        <f>IF(D6320="","",INDEX(Knutepunkter!$C:$C,D6320+1))</f>
        <v/>
      </c>
      <c r="H6320" t="str">
        <f>IF(D6320="","",INDEX(Knutepunkter!$D:$D,D6320+1))</f>
        <v/>
      </c>
      <c r="I6320" t="str">
        <f>IF(E6320="","",INDEX(Knutepunkter!$B:$B,E6320+1))</f>
        <v/>
      </c>
      <c r="J6320" t="str">
        <f>IF(E6320="","",INDEX(Knutepunkter!$C:$C,E6320+1))</f>
        <v/>
      </c>
      <c r="K6320" t="str">
        <f>IF(E6320="","",INDEX(Knutepunkter!$D:$D,E6320+1))</f>
        <v/>
      </c>
      <c r="L6320" t="str">
        <f t="shared" si="493"/>
        <v/>
      </c>
      <c r="M6320" t="str">
        <f t="shared" si="494"/>
        <v/>
      </c>
    </row>
    <row r="6321" spans="1:13" x14ac:dyDescent="0.3">
      <c r="A6321" t="str">
        <f>Segmenter!A6321</f>
        <v/>
      </c>
      <c r="B6321" t="str">
        <f>Segmenter!B6321</f>
        <v/>
      </c>
      <c r="C6321" t="str">
        <f t="shared" si="490"/>
        <v/>
      </c>
      <c r="D6321" t="str">
        <f t="shared" si="491"/>
        <v/>
      </c>
      <c r="E6321" t="str">
        <f t="shared" si="492"/>
        <v/>
      </c>
      <c r="F6321" t="str">
        <f>IF(D6321="","",INDEX(Knutepunkter!$B:$B,D6321+1))</f>
        <v/>
      </c>
      <c r="G6321" t="str">
        <f>IF(D6321="","",INDEX(Knutepunkter!$C:$C,D6321+1))</f>
        <v/>
      </c>
      <c r="H6321" t="str">
        <f>IF(D6321="","",INDEX(Knutepunkter!$D:$D,D6321+1))</f>
        <v/>
      </c>
      <c r="I6321" t="str">
        <f>IF(E6321="","",INDEX(Knutepunkter!$B:$B,E6321+1))</f>
        <v/>
      </c>
      <c r="J6321" t="str">
        <f>IF(E6321="","",INDEX(Knutepunkter!$C:$C,E6321+1))</f>
        <v/>
      </c>
      <c r="K6321" t="str">
        <f>IF(E6321="","",INDEX(Knutepunkter!$D:$D,E6321+1))</f>
        <v/>
      </c>
      <c r="L6321" t="str">
        <f t="shared" si="493"/>
        <v/>
      </c>
      <c r="M6321" t="str">
        <f t="shared" si="494"/>
        <v/>
      </c>
    </row>
    <row r="6322" spans="1:13" x14ac:dyDescent="0.3">
      <c r="A6322" t="str">
        <f>Segmenter!A6322</f>
        <v/>
      </c>
      <c r="B6322" t="str">
        <f>Segmenter!B6322</f>
        <v/>
      </c>
      <c r="C6322" t="str">
        <f t="shared" si="490"/>
        <v/>
      </c>
      <c r="D6322" t="str">
        <f t="shared" si="491"/>
        <v/>
      </c>
      <c r="E6322" t="str">
        <f t="shared" si="492"/>
        <v/>
      </c>
      <c r="F6322" t="str">
        <f>IF(D6322="","",INDEX(Knutepunkter!$B:$B,D6322+1))</f>
        <v/>
      </c>
      <c r="G6322" t="str">
        <f>IF(D6322="","",INDEX(Knutepunkter!$C:$C,D6322+1))</f>
        <v/>
      </c>
      <c r="H6322" t="str">
        <f>IF(D6322="","",INDEX(Knutepunkter!$D:$D,D6322+1))</f>
        <v/>
      </c>
      <c r="I6322" t="str">
        <f>IF(E6322="","",INDEX(Knutepunkter!$B:$B,E6322+1))</f>
        <v/>
      </c>
      <c r="J6322" t="str">
        <f>IF(E6322="","",INDEX(Knutepunkter!$C:$C,E6322+1))</f>
        <v/>
      </c>
      <c r="K6322" t="str">
        <f>IF(E6322="","",INDEX(Knutepunkter!$D:$D,E6322+1))</f>
        <v/>
      </c>
      <c r="L6322" t="str">
        <f t="shared" si="493"/>
        <v/>
      </c>
      <c r="M6322" t="str">
        <f t="shared" si="494"/>
        <v/>
      </c>
    </row>
    <row r="6323" spans="1:13" x14ac:dyDescent="0.3">
      <c r="A6323" t="str">
        <f>Segmenter!A6323</f>
        <v/>
      </c>
      <c r="B6323" t="str">
        <f>Segmenter!B6323</f>
        <v/>
      </c>
      <c r="C6323" t="str">
        <f t="shared" si="490"/>
        <v/>
      </c>
      <c r="D6323" t="str">
        <f t="shared" si="491"/>
        <v/>
      </c>
      <c r="E6323" t="str">
        <f t="shared" si="492"/>
        <v/>
      </c>
      <c r="F6323" t="str">
        <f>IF(D6323="","",INDEX(Knutepunkter!$B:$B,D6323+1))</f>
        <v/>
      </c>
      <c r="G6323" t="str">
        <f>IF(D6323="","",INDEX(Knutepunkter!$C:$C,D6323+1))</f>
        <v/>
      </c>
      <c r="H6323" t="str">
        <f>IF(D6323="","",INDEX(Knutepunkter!$D:$D,D6323+1))</f>
        <v/>
      </c>
      <c r="I6323" t="str">
        <f>IF(E6323="","",INDEX(Knutepunkter!$B:$B,E6323+1))</f>
        <v/>
      </c>
      <c r="J6323" t="str">
        <f>IF(E6323="","",INDEX(Knutepunkter!$C:$C,E6323+1))</f>
        <v/>
      </c>
      <c r="K6323" t="str">
        <f>IF(E6323="","",INDEX(Knutepunkter!$D:$D,E6323+1))</f>
        <v/>
      </c>
      <c r="L6323" t="str">
        <f t="shared" si="493"/>
        <v/>
      </c>
      <c r="M6323" t="str">
        <f t="shared" si="494"/>
        <v/>
      </c>
    </row>
    <row r="6324" spans="1:13" x14ac:dyDescent="0.3">
      <c r="A6324" t="str">
        <f>Segmenter!A6324</f>
        <v/>
      </c>
      <c r="B6324" t="str">
        <f>Segmenter!B6324</f>
        <v/>
      </c>
      <c r="C6324" t="str">
        <f t="shared" si="490"/>
        <v/>
      </c>
      <c r="D6324" t="str">
        <f t="shared" si="491"/>
        <v/>
      </c>
      <c r="E6324" t="str">
        <f t="shared" si="492"/>
        <v/>
      </c>
      <c r="F6324" t="str">
        <f>IF(D6324="","",INDEX(Knutepunkter!$B:$B,D6324+1))</f>
        <v/>
      </c>
      <c r="G6324" t="str">
        <f>IF(D6324="","",INDEX(Knutepunkter!$C:$C,D6324+1))</f>
        <v/>
      </c>
      <c r="H6324" t="str">
        <f>IF(D6324="","",INDEX(Knutepunkter!$D:$D,D6324+1))</f>
        <v/>
      </c>
      <c r="I6324" t="str">
        <f>IF(E6324="","",INDEX(Knutepunkter!$B:$B,E6324+1))</f>
        <v/>
      </c>
      <c r="J6324" t="str">
        <f>IF(E6324="","",INDEX(Knutepunkter!$C:$C,E6324+1))</f>
        <v/>
      </c>
      <c r="K6324" t="str">
        <f>IF(E6324="","",INDEX(Knutepunkter!$D:$D,E6324+1))</f>
        <v/>
      </c>
      <c r="L6324" t="str">
        <f t="shared" si="493"/>
        <v/>
      </c>
      <c r="M6324" t="str">
        <f t="shared" si="494"/>
        <v/>
      </c>
    </row>
    <row r="6325" spans="1:13" x14ac:dyDescent="0.3">
      <c r="A6325" t="str">
        <f>Segmenter!A6325</f>
        <v/>
      </c>
      <c r="B6325" t="str">
        <f>Segmenter!B6325</f>
        <v/>
      </c>
      <c r="C6325" t="str">
        <f t="shared" si="490"/>
        <v/>
      </c>
      <c r="D6325" t="str">
        <f t="shared" si="491"/>
        <v/>
      </c>
      <c r="E6325" t="str">
        <f t="shared" si="492"/>
        <v/>
      </c>
      <c r="F6325" t="str">
        <f>IF(D6325="","",INDEX(Knutepunkter!$B:$B,D6325+1))</f>
        <v/>
      </c>
      <c r="G6325" t="str">
        <f>IF(D6325="","",INDEX(Knutepunkter!$C:$C,D6325+1))</f>
        <v/>
      </c>
      <c r="H6325" t="str">
        <f>IF(D6325="","",INDEX(Knutepunkter!$D:$D,D6325+1))</f>
        <v/>
      </c>
      <c r="I6325" t="str">
        <f>IF(E6325="","",INDEX(Knutepunkter!$B:$B,E6325+1))</f>
        <v/>
      </c>
      <c r="J6325" t="str">
        <f>IF(E6325="","",INDEX(Knutepunkter!$C:$C,E6325+1))</f>
        <v/>
      </c>
      <c r="K6325" t="str">
        <f>IF(E6325="","",INDEX(Knutepunkter!$D:$D,E6325+1))</f>
        <v/>
      </c>
      <c r="L6325" t="str">
        <f t="shared" si="493"/>
        <v/>
      </c>
      <c r="M6325" t="str">
        <f t="shared" si="494"/>
        <v/>
      </c>
    </row>
    <row r="6326" spans="1:13" x14ac:dyDescent="0.3">
      <c r="A6326" t="str">
        <f>Segmenter!A6326</f>
        <v/>
      </c>
      <c r="B6326" t="str">
        <f>Segmenter!B6326</f>
        <v/>
      </c>
      <c r="C6326" t="str">
        <f t="shared" si="490"/>
        <v/>
      </c>
      <c r="D6326" t="str">
        <f t="shared" si="491"/>
        <v/>
      </c>
      <c r="E6326" t="str">
        <f t="shared" si="492"/>
        <v/>
      </c>
      <c r="F6326" t="str">
        <f>IF(D6326="","",INDEX(Knutepunkter!$B:$B,D6326+1))</f>
        <v/>
      </c>
      <c r="G6326" t="str">
        <f>IF(D6326="","",INDEX(Knutepunkter!$C:$C,D6326+1))</f>
        <v/>
      </c>
      <c r="H6326" t="str">
        <f>IF(D6326="","",INDEX(Knutepunkter!$D:$D,D6326+1))</f>
        <v/>
      </c>
      <c r="I6326" t="str">
        <f>IF(E6326="","",INDEX(Knutepunkter!$B:$B,E6326+1))</f>
        <v/>
      </c>
      <c r="J6326" t="str">
        <f>IF(E6326="","",INDEX(Knutepunkter!$C:$C,E6326+1))</f>
        <v/>
      </c>
      <c r="K6326" t="str">
        <f>IF(E6326="","",INDEX(Knutepunkter!$D:$D,E6326+1))</f>
        <v/>
      </c>
      <c r="L6326" t="str">
        <f t="shared" si="493"/>
        <v/>
      </c>
      <c r="M6326" t="str">
        <f t="shared" si="494"/>
        <v/>
      </c>
    </row>
    <row r="6327" spans="1:13" x14ac:dyDescent="0.3">
      <c r="A6327" t="str">
        <f>Segmenter!A6327</f>
        <v/>
      </c>
      <c r="B6327" t="str">
        <f>Segmenter!B6327</f>
        <v/>
      </c>
      <c r="C6327" t="str">
        <f t="shared" si="490"/>
        <v/>
      </c>
      <c r="D6327" t="str">
        <f t="shared" si="491"/>
        <v/>
      </c>
      <c r="E6327" t="str">
        <f t="shared" si="492"/>
        <v/>
      </c>
      <c r="F6327" t="str">
        <f>IF(D6327="","",INDEX(Knutepunkter!$B:$B,D6327+1))</f>
        <v/>
      </c>
      <c r="G6327" t="str">
        <f>IF(D6327="","",INDEX(Knutepunkter!$C:$C,D6327+1))</f>
        <v/>
      </c>
      <c r="H6327" t="str">
        <f>IF(D6327="","",INDEX(Knutepunkter!$D:$D,D6327+1))</f>
        <v/>
      </c>
      <c r="I6327" t="str">
        <f>IF(E6327="","",INDEX(Knutepunkter!$B:$B,E6327+1))</f>
        <v/>
      </c>
      <c r="J6327" t="str">
        <f>IF(E6327="","",INDEX(Knutepunkter!$C:$C,E6327+1))</f>
        <v/>
      </c>
      <c r="K6327" t="str">
        <f>IF(E6327="","",INDEX(Knutepunkter!$D:$D,E6327+1))</f>
        <v/>
      </c>
      <c r="L6327" t="str">
        <f t="shared" si="493"/>
        <v/>
      </c>
      <c r="M6327" t="str">
        <f t="shared" si="494"/>
        <v/>
      </c>
    </row>
    <row r="6328" spans="1:13" x14ac:dyDescent="0.3">
      <c r="A6328" t="str">
        <f>Segmenter!A6328</f>
        <v/>
      </c>
      <c r="B6328" t="str">
        <f>Segmenter!B6328</f>
        <v/>
      </c>
      <c r="C6328" t="str">
        <f t="shared" si="490"/>
        <v/>
      </c>
      <c r="D6328" t="str">
        <f t="shared" si="491"/>
        <v/>
      </c>
      <c r="E6328" t="str">
        <f t="shared" si="492"/>
        <v/>
      </c>
      <c r="F6328" t="str">
        <f>IF(D6328="","",INDEX(Knutepunkter!$B:$B,D6328+1))</f>
        <v/>
      </c>
      <c r="G6328" t="str">
        <f>IF(D6328="","",INDEX(Knutepunkter!$C:$C,D6328+1))</f>
        <v/>
      </c>
      <c r="H6328" t="str">
        <f>IF(D6328="","",INDEX(Knutepunkter!$D:$D,D6328+1))</f>
        <v/>
      </c>
      <c r="I6328" t="str">
        <f>IF(E6328="","",INDEX(Knutepunkter!$B:$B,E6328+1))</f>
        <v/>
      </c>
      <c r="J6328" t="str">
        <f>IF(E6328="","",INDEX(Knutepunkter!$C:$C,E6328+1))</f>
        <v/>
      </c>
      <c r="K6328" t="str">
        <f>IF(E6328="","",INDEX(Knutepunkter!$D:$D,E6328+1))</f>
        <v/>
      </c>
      <c r="L6328" t="str">
        <f t="shared" si="493"/>
        <v/>
      </c>
      <c r="M6328" t="str">
        <f t="shared" si="494"/>
        <v/>
      </c>
    </row>
    <row r="6329" spans="1:13" x14ac:dyDescent="0.3">
      <c r="A6329" t="str">
        <f>Segmenter!A6329</f>
        <v/>
      </c>
      <c r="B6329" t="str">
        <f>Segmenter!B6329</f>
        <v/>
      </c>
      <c r="C6329" t="str">
        <f t="shared" si="490"/>
        <v/>
      </c>
      <c r="D6329" t="str">
        <f t="shared" si="491"/>
        <v/>
      </c>
      <c r="E6329" t="str">
        <f t="shared" si="492"/>
        <v/>
      </c>
      <c r="F6329" t="str">
        <f>IF(D6329="","",INDEX(Knutepunkter!$B:$B,D6329+1))</f>
        <v/>
      </c>
      <c r="G6329" t="str">
        <f>IF(D6329="","",INDEX(Knutepunkter!$C:$C,D6329+1))</f>
        <v/>
      </c>
      <c r="H6329" t="str">
        <f>IF(D6329="","",INDEX(Knutepunkter!$D:$D,D6329+1))</f>
        <v/>
      </c>
      <c r="I6329" t="str">
        <f>IF(E6329="","",INDEX(Knutepunkter!$B:$B,E6329+1))</f>
        <v/>
      </c>
      <c r="J6329" t="str">
        <f>IF(E6329="","",INDEX(Knutepunkter!$C:$C,E6329+1))</f>
        <v/>
      </c>
      <c r="K6329" t="str">
        <f>IF(E6329="","",INDEX(Knutepunkter!$D:$D,E6329+1))</f>
        <v/>
      </c>
      <c r="L6329" t="str">
        <f t="shared" si="493"/>
        <v/>
      </c>
      <c r="M6329" t="str">
        <f t="shared" si="494"/>
        <v/>
      </c>
    </row>
    <row r="6330" spans="1:13" x14ac:dyDescent="0.3">
      <c r="A6330" t="str">
        <f>Segmenter!A6330</f>
        <v/>
      </c>
      <c r="B6330" t="str">
        <f>Segmenter!B6330</f>
        <v/>
      </c>
      <c r="C6330" t="str">
        <f t="shared" si="490"/>
        <v/>
      </c>
      <c r="D6330" t="str">
        <f t="shared" si="491"/>
        <v/>
      </c>
      <c r="E6330" t="str">
        <f t="shared" si="492"/>
        <v/>
      </c>
      <c r="F6330" t="str">
        <f>IF(D6330="","",INDEX(Knutepunkter!$B:$B,D6330+1))</f>
        <v/>
      </c>
      <c r="G6330" t="str">
        <f>IF(D6330="","",INDEX(Knutepunkter!$C:$C,D6330+1))</f>
        <v/>
      </c>
      <c r="H6330" t="str">
        <f>IF(D6330="","",INDEX(Knutepunkter!$D:$D,D6330+1))</f>
        <v/>
      </c>
      <c r="I6330" t="str">
        <f>IF(E6330="","",INDEX(Knutepunkter!$B:$B,E6330+1))</f>
        <v/>
      </c>
      <c r="J6330" t="str">
        <f>IF(E6330="","",INDEX(Knutepunkter!$C:$C,E6330+1))</f>
        <v/>
      </c>
      <c r="K6330" t="str">
        <f>IF(E6330="","",INDEX(Knutepunkter!$D:$D,E6330+1))</f>
        <v/>
      </c>
      <c r="L6330" t="str">
        <f t="shared" si="493"/>
        <v/>
      </c>
      <c r="M6330" t="str">
        <f t="shared" si="494"/>
        <v/>
      </c>
    </row>
    <row r="6331" spans="1:13" x14ac:dyDescent="0.3">
      <c r="A6331" t="str">
        <f>Segmenter!A6331</f>
        <v/>
      </c>
      <c r="B6331" t="str">
        <f>Segmenter!B6331</f>
        <v/>
      </c>
      <c r="C6331" t="str">
        <f t="shared" si="490"/>
        <v/>
      </c>
      <c r="D6331" t="str">
        <f t="shared" si="491"/>
        <v/>
      </c>
      <c r="E6331" t="str">
        <f t="shared" si="492"/>
        <v/>
      </c>
      <c r="F6331" t="str">
        <f>IF(D6331="","",INDEX(Knutepunkter!$B:$B,D6331+1))</f>
        <v/>
      </c>
      <c r="G6331" t="str">
        <f>IF(D6331="","",INDEX(Knutepunkter!$C:$C,D6331+1))</f>
        <v/>
      </c>
      <c r="H6331" t="str">
        <f>IF(D6331="","",INDEX(Knutepunkter!$D:$D,D6331+1))</f>
        <v/>
      </c>
      <c r="I6331" t="str">
        <f>IF(E6331="","",INDEX(Knutepunkter!$B:$B,E6331+1))</f>
        <v/>
      </c>
      <c r="J6331" t="str">
        <f>IF(E6331="","",INDEX(Knutepunkter!$C:$C,E6331+1))</f>
        <v/>
      </c>
      <c r="K6331" t="str">
        <f>IF(E6331="","",INDEX(Knutepunkter!$D:$D,E6331+1))</f>
        <v/>
      </c>
      <c r="L6331" t="str">
        <f t="shared" si="493"/>
        <v/>
      </c>
      <c r="M6331" t="str">
        <f t="shared" si="494"/>
        <v/>
      </c>
    </row>
    <row r="6332" spans="1:13" x14ac:dyDescent="0.3">
      <c r="A6332" t="str">
        <f>Segmenter!A6332</f>
        <v/>
      </c>
      <c r="B6332" t="str">
        <f>Segmenter!B6332</f>
        <v/>
      </c>
      <c r="C6332" t="str">
        <f t="shared" si="490"/>
        <v/>
      </c>
      <c r="D6332" t="str">
        <f t="shared" si="491"/>
        <v/>
      </c>
      <c r="E6332" t="str">
        <f t="shared" si="492"/>
        <v/>
      </c>
      <c r="F6332" t="str">
        <f>IF(D6332="","",INDEX(Knutepunkter!$B:$B,D6332+1))</f>
        <v/>
      </c>
      <c r="G6332" t="str">
        <f>IF(D6332="","",INDEX(Knutepunkter!$C:$C,D6332+1))</f>
        <v/>
      </c>
      <c r="H6332" t="str">
        <f>IF(D6332="","",INDEX(Knutepunkter!$D:$D,D6332+1))</f>
        <v/>
      </c>
      <c r="I6332" t="str">
        <f>IF(E6332="","",INDEX(Knutepunkter!$B:$B,E6332+1))</f>
        <v/>
      </c>
      <c r="J6332" t="str">
        <f>IF(E6332="","",INDEX(Knutepunkter!$C:$C,E6332+1))</f>
        <v/>
      </c>
      <c r="K6332" t="str">
        <f>IF(E6332="","",INDEX(Knutepunkter!$D:$D,E6332+1))</f>
        <v/>
      </c>
      <c r="L6332" t="str">
        <f t="shared" si="493"/>
        <v/>
      </c>
      <c r="M6332" t="str">
        <f t="shared" si="494"/>
        <v/>
      </c>
    </row>
    <row r="6333" spans="1:13" x14ac:dyDescent="0.3">
      <c r="A6333" t="str">
        <f>Segmenter!A6333</f>
        <v/>
      </c>
      <c r="B6333" t="str">
        <f>Segmenter!B6333</f>
        <v/>
      </c>
      <c r="C6333" t="str">
        <f t="shared" si="490"/>
        <v/>
      </c>
      <c r="D6333" t="str">
        <f t="shared" si="491"/>
        <v/>
      </c>
      <c r="E6333" t="str">
        <f t="shared" si="492"/>
        <v/>
      </c>
      <c r="F6333" t="str">
        <f>IF(D6333="","",INDEX(Knutepunkter!$B:$B,D6333+1))</f>
        <v/>
      </c>
      <c r="G6333" t="str">
        <f>IF(D6333="","",INDEX(Knutepunkter!$C:$C,D6333+1))</f>
        <v/>
      </c>
      <c r="H6333" t="str">
        <f>IF(D6333="","",INDEX(Knutepunkter!$D:$D,D6333+1))</f>
        <v/>
      </c>
      <c r="I6333" t="str">
        <f>IF(E6333="","",INDEX(Knutepunkter!$B:$B,E6333+1))</f>
        <v/>
      </c>
      <c r="J6333" t="str">
        <f>IF(E6333="","",INDEX(Knutepunkter!$C:$C,E6333+1))</f>
        <v/>
      </c>
      <c r="K6333" t="str">
        <f>IF(E6333="","",INDEX(Knutepunkter!$D:$D,E6333+1))</f>
        <v/>
      </c>
      <c r="L6333" t="str">
        <f t="shared" si="493"/>
        <v/>
      </c>
      <c r="M6333" t="str">
        <f t="shared" si="494"/>
        <v/>
      </c>
    </row>
    <row r="6334" spans="1:13" x14ac:dyDescent="0.3">
      <c r="A6334" t="str">
        <f>Segmenter!A6334</f>
        <v/>
      </c>
      <c r="B6334" t="str">
        <f>Segmenter!B6334</f>
        <v/>
      </c>
      <c r="C6334" t="str">
        <f t="shared" si="490"/>
        <v/>
      </c>
      <c r="D6334" t="str">
        <f t="shared" si="491"/>
        <v/>
      </c>
      <c r="E6334" t="str">
        <f t="shared" si="492"/>
        <v/>
      </c>
      <c r="F6334" t="str">
        <f>IF(D6334="","",INDEX(Knutepunkter!$B:$B,D6334+1))</f>
        <v/>
      </c>
      <c r="G6334" t="str">
        <f>IF(D6334="","",INDEX(Knutepunkter!$C:$C,D6334+1))</f>
        <v/>
      </c>
      <c r="H6334" t="str">
        <f>IF(D6334="","",INDEX(Knutepunkter!$D:$D,D6334+1))</f>
        <v/>
      </c>
      <c r="I6334" t="str">
        <f>IF(E6334="","",INDEX(Knutepunkter!$B:$B,E6334+1))</f>
        <v/>
      </c>
      <c r="J6334" t="str">
        <f>IF(E6334="","",INDEX(Knutepunkter!$C:$C,E6334+1))</f>
        <v/>
      </c>
      <c r="K6334" t="str">
        <f>IF(E6334="","",INDEX(Knutepunkter!$D:$D,E6334+1))</f>
        <v/>
      </c>
      <c r="L6334" t="str">
        <f t="shared" si="493"/>
        <v/>
      </c>
      <c r="M6334" t="str">
        <f t="shared" si="494"/>
        <v/>
      </c>
    </row>
    <row r="6335" spans="1:13" x14ac:dyDescent="0.3">
      <c r="A6335" t="str">
        <f>Segmenter!A6335</f>
        <v/>
      </c>
      <c r="B6335" t="str">
        <f>Segmenter!B6335</f>
        <v/>
      </c>
      <c r="C6335" t="str">
        <f t="shared" si="490"/>
        <v/>
      </c>
      <c r="D6335" t="str">
        <f t="shared" si="491"/>
        <v/>
      </c>
      <c r="E6335" t="str">
        <f t="shared" si="492"/>
        <v/>
      </c>
      <c r="F6335" t="str">
        <f>IF(D6335="","",INDEX(Knutepunkter!$B:$B,D6335+1))</f>
        <v/>
      </c>
      <c r="G6335" t="str">
        <f>IF(D6335="","",INDEX(Knutepunkter!$C:$C,D6335+1))</f>
        <v/>
      </c>
      <c r="H6335" t="str">
        <f>IF(D6335="","",INDEX(Knutepunkter!$D:$D,D6335+1))</f>
        <v/>
      </c>
      <c r="I6335" t="str">
        <f>IF(E6335="","",INDEX(Knutepunkter!$B:$B,E6335+1))</f>
        <v/>
      </c>
      <c r="J6335" t="str">
        <f>IF(E6335="","",INDEX(Knutepunkter!$C:$C,E6335+1))</f>
        <v/>
      </c>
      <c r="K6335" t="str">
        <f>IF(E6335="","",INDEX(Knutepunkter!$D:$D,E6335+1))</f>
        <v/>
      </c>
      <c r="L6335" t="str">
        <f t="shared" si="493"/>
        <v/>
      </c>
      <c r="M6335" t="str">
        <f t="shared" si="494"/>
        <v/>
      </c>
    </row>
    <row r="6336" spans="1:13" x14ac:dyDescent="0.3">
      <c r="A6336" t="str">
        <f>Segmenter!A6336</f>
        <v/>
      </c>
      <c r="B6336" t="str">
        <f>Segmenter!B6336</f>
        <v/>
      </c>
      <c r="C6336" t="str">
        <f t="shared" si="490"/>
        <v/>
      </c>
      <c r="D6336" t="str">
        <f t="shared" si="491"/>
        <v/>
      </c>
      <c r="E6336" t="str">
        <f t="shared" si="492"/>
        <v/>
      </c>
      <c r="F6336" t="str">
        <f>IF(D6336="","",INDEX(Knutepunkter!$B:$B,D6336+1))</f>
        <v/>
      </c>
      <c r="G6336" t="str">
        <f>IF(D6336="","",INDEX(Knutepunkter!$C:$C,D6336+1))</f>
        <v/>
      </c>
      <c r="H6336" t="str">
        <f>IF(D6336="","",INDEX(Knutepunkter!$D:$D,D6336+1))</f>
        <v/>
      </c>
      <c r="I6336" t="str">
        <f>IF(E6336="","",INDEX(Knutepunkter!$B:$B,E6336+1))</f>
        <v/>
      </c>
      <c r="J6336" t="str">
        <f>IF(E6336="","",INDEX(Knutepunkter!$C:$C,E6336+1))</f>
        <v/>
      </c>
      <c r="K6336" t="str">
        <f>IF(E6336="","",INDEX(Knutepunkter!$D:$D,E6336+1))</f>
        <v/>
      </c>
      <c r="L6336" t="str">
        <f t="shared" si="493"/>
        <v/>
      </c>
      <c r="M6336" t="str">
        <f t="shared" si="494"/>
        <v/>
      </c>
    </row>
    <row r="6337" spans="1:13" x14ac:dyDescent="0.3">
      <c r="A6337" t="str">
        <f>Segmenter!A6337</f>
        <v/>
      </c>
      <c r="B6337" t="str">
        <f>Segmenter!B6337</f>
        <v/>
      </c>
      <c r="C6337" t="str">
        <f t="shared" si="490"/>
        <v/>
      </c>
      <c r="D6337" t="str">
        <f t="shared" si="491"/>
        <v/>
      </c>
      <c r="E6337" t="str">
        <f t="shared" si="492"/>
        <v/>
      </c>
      <c r="F6337" t="str">
        <f>IF(D6337="","",INDEX(Knutepunkter!$B:$B,D6337+1))</f>
        <v/>
      </c>
      <c r="G6337" t="str">
        <f>IF(D6337="","",INDEX(Knutepunkter!$C:$C,D6337+1))</f>
        <v/>
      </c>
      <c r="H6337" t="str">
        <f>IF(D6337="","",INDEX(Knutepunkter!$D:$D,D6337+1))</f>
        <v/>
      </c>
      <c r="I6337" t="str">
        <f>IF(E6337="","",INDEX(Knutepunkter!$B:$B,E6337+1))</f>
        <v/>
      </c>
      <c r="J6337" t="str">
        <f>IF(E6337="","",INDEX(Knutepunkter!$C:$C,E6337+1))</f>
        <v/>
      </c>
      <c r="K6337" t="str">
        <f>IF(E6337="","",INDEX(Knutepunkter!$D:$D,E6337+1))</f>
        <v/>
      </c>
      <c r="L6337" t="str">
        <f t="shared" si="493"/>
        <v/>
      </c>
      <c r="M6337" t="str">
        <f t="shared" si="494"/>
        <v/>
      </c>
    </row>
    <row r="6338" spans="1:13" x14ac:dyDescent="0.3">
      <c r="A6338" t="str">
        <f>Segmenter!A6338</f>
        <v/>
      </c>
      <c r="B6338" t="str">
        <f>Segmenter!B6338</f>
        <v/>
      </c>
      <c r="C6338" t="str">
        <f t="shared" ref="C6338:C6401" si="495">IF(B6338="","",IF(AND(F6338=I6338,G6338=J6338,H6338&lt;&gt;K6338),"Søyle","Bjelke"))</f>
        <v/>
      </c>
      <c r="D6338" t="str">
        <f t="shared" ref="D6338:D6401" si="496">IF(B6338="","",VALUE(LEFT(B6338,FIND(" -&gt; ",B6338)-1)))</f>
        <v/>
      </c>
      <c r="E6338" t="str">
        <f t="shared" ref="E6338:E6401" si="497">IF(B6338="","",VALUE(MID(B6338,FIND(" -&gt; ",B6338)+4,99)))</f>
        <v/>
      </c>
      <c r="F6338" t="str">
        <f>IF(D6338="","",INDEX(Knutepunkter!$B:$B,D6338+1))</f>
        <v/>
      </c>
      <c r="G6338" t="str">
        <f>IF(D6338="","",INDEX(Knutepunkter!$C:$C,D6338+1))</f>
        <v/>
      </c>
      <c r="H6338" t="str">
        <f>IF(D6338="","",INDEX(Knutepunkter!$D:$D,D6338+1))</f>
        <v/>
      </c>
      <c r="I6338" t="str">
        <f>IF(E6338="","",INDEX(Knutepunkter!$B:$B,E6338+1))</f>
        <v/>
      </c>
      <c r="J6338" t="str">
        <f>IF(E6338="","",INDEX(Knutepunkter!$C:$C,E6338+1))</f>
        <v/>
      </c>
      <c r="K6338" t="str">
        <f>IF(E6338="","",INDEX(Knutepunkter!$D:$D,E6338+1))</f>
        <v/>
      </c>
      <c r="L6338" t="str">
        <f t="shared" ref="L6338:L6401" si="498">IF(B6338="","",SQRT((I6338-F6338)^2+(J6338-G6338)^2+(K6338-H6338)^2))</f>
        <v/>
      </c>
      <c r="M6338" t="str">
        <f t="shared" ref="M6338:M6401" si="499">IF(L6338="","",L6338/1000)</f>
        <v/>
      </c>
    </row>
    <row r="6339" spans="1:13" x14ac:dyDescent="0.3">
      <c r="A6339" t="str">
        <f>Segmenter!A6339</f>
        <v/>
      </c>
      <c r="B6339" t="str">
        <f>Segmenter!B6339</f>
        <v/>
      </c>
      <c r="C6339" t="str">
        <f t="shared" si="495"/>
        <v/>
      </c>
      <c r="D6339" t="str">
        <f t="shared" si="496"/>
        <v/>
      </c>
      <c r="E6339" t="str">
        <f t="shared" si="497"/>
        <v/>
      </c>
      <c r="F6339" t="str">
        <f>IF(D6339="","",INDEX(Knutepunkter!$B:$B,D6339+1))</f>
        <v/>
      </c>
      <c r="G6339" t="str">
        <f>IF(D6339="","",INDEX(Knutepunkter!$C:$C,D6339+1))</f>
        <v/>
      </c>
      <c r="H6339" t="str">
        <f>IF(D6339="","",INDEX(Knutepunkter!$D:$D,D6339+1))</f>
        <v/>
      </c>
      <c r="I6339" t="str">
        <f>IF(E6339="","",INDEX(Knutepunkter!$B:$B,E6339+1))</f>
        <v/>
      </c>
      <c r="J6339" t="str">
        <f>IF(E6339="","",INDEX(Knutepunkter!$C:$C,E6339+1))</f>
        <v/>
      </c>
      <c r="K6339" t="str">
        <f>IF(E6339="","",INDEX(Knutepunkter!$D:$D,E6339+1))</f>
        <v/>
      </c>
      <c r="L6339" t="str">
        <f t="shared" si="498"/>
        <v/>
      </c>
      <c r="M6339" t="str">
        <f t="shared" si="499"/>
        <v/>
      </c>
    </row>
    <row r="6340" spans="1:13" x14ac:dyDescent="0.3">
      <c r="A6340" t="str">
        <f>Segmenter!A6340</f>
        <v/>
      </c>
      <c r="B6340" t="str">
        <f>Segmenter!B6340</f>
        <v/>
      </c>
      <c r="C6340" t="str">
        <f t="shared" si="495"/>
        <v/>
      </c>
      <c r="D6340" t="str">
        <f t="shared" si="496"/>
        <v/>
      </c>
      <c r="E6340" t="str">
        <f t="shared" si="497"/>
        <v/>
      </c>
      <c r="F6340" t="str">
        <f>IF(D6340="","",INDEX(Knutepunkter!$B:$B,D6340+1))</f>
        <v/>
      </c>
      <c r="G6340" t="str">
        <f>IF(D6340="","",INDEX(Knutepunkter!$C:$C,D6340+1))</f>
        <v/>
      </c>
      <c r="H6340" t="str">
        <f>IF(D6340="","",INDEX(Knutepunkter!$D:$D,D6340+1))</f>
        <v/>
      </c>
      <c r="I6340" t="str">
        <f>IF(E6340="","",INDEX(Knutepunkter!$B:$B,E6340+1))</f>
        <v/>
      </c>
      <c r="J6340" t="str">
        <f>IF(E6340="","",INDEX(Knutepunkter!$C:$C,E6340+1))</f>
        <v/>
      </c>
      <c r="K6340" t="str">
        <f>IF(E6340="","",INDEX(Knutepunkter!$D:$D,E6340+1))</f>
        <v/>
      </c>
      <c r="L6340" t="str">
        <f t="shared" si="498"/>
        <v/>
      </c>
      <c r="M6340" t="str">
        <f t="shared" si="499"/>
        <v/>
      </c>
    </row>
    <row r="6341" spans="1:13" x14ac:dyDescent="0.3">
      <c r="A6341" t="str">
        <f>Segmenter!A6341</f>
        <v/>
      </c>
      <c r="B6341" t="str">
        <f>Segmenter!B6341</f>
        <v/>
      </c>
      <c r="C6341" t="str">
        <f t="shared" si="495"/>
        <v/>
      </c>
      <c r="D6341" t="str">
        <f t="shared" si="496"/>
        <v/>
      </c>
      <c r="E6341" t="str">
        <f t="shared" si="497"/>
        <v/>
      </c>
      <c r="F6341" t="str">
        <f>IF(D6341="","",INDEX(Knutepunkter!$B:$B,D6341+1))</f>
        <v/>
      </c>
      <c r="G6341" t="str">
        <f>IF(D6341="","",INDEX(Knutepunkter!$C:$C,D6341+1))</f>
        <v/>
      </c>
      <c r="H6341" t="str">
        <f>IF(D6341="","",INDEX(Knutepunkter!$D:$D,D6341+1))</f>
        <v/>
      </c>
      <c r="I6341" t="str">
        <f>IF(E6341="","",INDEX(Knutepunkter!$B:$B,E6341+1))</f>
        <v/>
      </c>
      <c r="J6341" t="str">
        <f>IF(E6341="","",INDEX(Knutepunkter!$C:$C,E6341+1))</f>
        <v/>
      </c>
      <c r="K6341" t="str">
        <f>IF(E6341="","",INDEX(Knutepunkter!$D:$D,E6341+1))</f>
        <v/>
      </c>
      <c r="L6341" t="str">
        <f t="shared" si="498"/>
        <v/>
      </c>
      <c r="M6341" t="str">
        <f t="shared" si="499"/>
        <v/>
      </c>
    </row>
    <row r="6342" spans="1:13" x14ac:dyDescent="0.3">
      <c r="A6342" t="str">
        <f>Segmenter!A6342</f>
        <v/>
      </c>
      <c r="B6342" t="str">
        <f>Segmenter!B6342</f>
        <v/>
      </c>
      <c r="C6342" t="str">
        <f t="shared" si="495"/>
        <v/>
      </c>
      <c r="D6342" t="str">
        <f t="shared" si="496"/>
        <v/>
      </c>
      <c r="E6342" t="str">
        <f t="shared" si="497"/>
        <v/>
      </c>
      <c r="F6342" t="str">
        <f>IF(D6342="","",INDEX(Knutepunkter!$B:$B,D6342+1))</f>
        <v/>
      </c>
      <c r="G6342" t="str">
        <f>IF(D6342="","",INDEX(Knutepunkter!$C:$C,D6342+1))</f>
        <v/>
      </c>
      <c r="H6342" t="str">
        <f>IF(D6342="","",INDEX(Knutepunkter!$D:$D,D6342+1))</f>
        <v/>
      </c>
      <c r="I6342" t="str">
        <f>IF(E6342="","",INDEX(Knutepunkter!$B:$B,E6342+1))</f>
        <v/>
      </c>
      <c r="J6342" t="str">
        <f>IF(E6342="","",INDEX(Knutepunkter!$C:$C,E6342+1))</f>
        <v/>
      </c>
      <c r="K6342" t="str">
        <f>IF(E6342="","",INDEX(Knutepunkter!$D:$D,E6342+1))</f>
        <v/>
      </c>
      <c r="L6342" t="str">
        <f t="shared" si="498"/>
        <v/>
      </c>
      <c r="M6342" t="str">
        <f t="shared" si="499"/>
        <v/>
      </c>
    </row>
    <row r="6343" spans="1:13" x14ac:dyDescent="0.3">
      <c r="A6343" t="str">
        <f>Segmenter!A6343</f>
        <v/>
      </c>
      <c r="B6343" t="str">
        <f>Segmenter!B6343</f>
        <v/>
      </c>
      <c r="C6343" t="str">
        <f t="shared" si="495"/>
        <v/>
      </c>
      <c r="D6343" t="str">
        <f t="shared" si="496"/>
        <v/>
      </c>
      <c r="E6343" t="str">
        <f t="shared" si="497"/>
        <v/>
      </c>
      <c r="F6343" t="str">
        <f>IF(D6343="","",INDEX(Knutepunkter!$B:$B,D6343+1))</f>
        <v/>
      </c>
      <c r="G6343" t="str">
        <f>IF(D6343="","",INDEX(Knutepunkter!$C:$C,D6343+1))</f>
        <v/>
      </c>
      <c r="H6343" t="str">
        <f>IF(D6343="","",INDEX(Knutepunkter!$D:$D,D6343+1))</f>
        <v/>
      </c>
      <c r="I6343" t="str">
        <f>IF(E6343="","",INDEX(Knutepunkter!$B:$B,E6343+1))</f>
        <v/>
      </c>
      <c r="J6343" t="str">
        <f>IF(E6343="","",INDEX(Knutepunkter!$C:$C,E6343+1))</f>
        <v/>
      </c>
      <c r="K6343" t="str">
        <f>IF(E6343="","",INDEX(Knutepunkter!$D:$D,E6343+1))</f>
        <v/>
      </c>
      <c r="L6343" t="str">
        <f t="shared" si="498"/>
        <v/>
      </c>
      <c r="M6343" t="str">
        <f t="shared" si="499"/>
        <v/>
      </c>
    </row>
    <row r="6344" spans="1:13" x14ac:dyDescent="0.3">
      <c r="A6344" t="str">
        <f>Segmenter!A6344</f>
        <v/>
      </c>
      <c r="B6344" t="str">
        <f>Segmenter!B6344</f>
        <v/>
      </c>
      <c r="C6344" t="str">
        <f t="shared" si="495"/>
        <v/>
      </c>
      <c r="D6344" t="str">
        <f t="shared" si="496"/>
        <v/>
      </c>
      <c r="E6344" t="str">
        <f t="shared" si="497"/>
        <v/>
      </c>
      <c r="F6344" t="str">
        <f>IF(D6344="","",INDEX(Knutepunkter!$B:$B,D6344+1))</f>
        <v/>
      </c>
      <c r="G6344" t="str">
        <f>IF(D6344="","",INDEX(Knutepunkter!$C:$C,D6344+1))</f>
        <v/>
      </c>
      <c r="H6344" t="str">
        <f>IF(D6344="","",INDEX(Knutepunkter!$D:$D,D6344+1))</f>
        <v/>
      </c>
      <c r="I6344" t="str">
        <f>IF(E6344="","",INDEX(Knutepunkter!$B:$B,E6344+1))</f>
        <v/>
      </c>
      <c r="J6344" t="str">
        <f>IF(E6344="","",INDEX(Knutepunkter!$C:$C,E6344+1))</f>
        <v/>
      </c>
      <c r="K6344" t="str">
        <f>IF(E6344="","",INDEX(Knutepunkter!$D:$D,E6344+1))</f>
        <v/>
      </c>
      <c r="L6344" t="str">
        <f t="shared" si="498"/>
        <v/>
      </c>
      <c r="M6344" t="str">
        <f t="shared" si="499"/>
        <v/>
      </c>
    </row>
    <row r="6345" spans="1:13" x14ac:dyDescent="0.3">
      <c r="A6345" t="str">
        <f>Segmenter!A6345</f>
        <v/>
      </c>
      <c r="B6345" t="str">
        <f>Segmenter!B6345</f>
        <v/>
      </c>
      <c r="C6345" t="str">
        <f t="shared" si="495"/>
        <v/>
      </c>
      <c r="D6345" t="str">
        <f t="shared" si="496"/>
        <v/>
      </c>
      <c r="E6345" t="str">
        <f t="shared" si="497"/>
        <v/>
      </c>
      <c r="F6345" t="str">
        <f>IF(D6345="","",INDEX(Knutepunkter!$B:$B,D6345+1))</f>
        <v/>
      </c>
      <c r="G6345" t="str">
        <f>IF(D6345="","",INDEX(Knutepunkter!$C:$C,D6345+1))</f>
        <v/>
      </c>
      <c r="H6345" t="str">
        <f>IF(D6345="","",INDEX(Knutepunkter!$D:$D,D6345+1))</f>
        <v/>
      </c>
      <c r="I6345" t="str">
        <f>IF(E6345="","",INDEX(Knutepunkter!$B:$B,E6345+1))</f>
        <v/>
      </c>
      <c r="J6345" t="str">
        <f>IF(E6345="","",INDEX(Knutepunkter!$C:$C,E6345+1))</f>
        <v/>
      </c>
      <c r="K6345" t="str">
        <f>IF(E6345="","",INDEX(Knutepunkter!$D:$D,E6345+1))</f>
        <v/>
      </c>
      <c r="L6345" t="str">
        <f t="shared" si="498"/>
        <v/>
      </c>
      <c r="M6345" t="str">
        <f t="shared" si="499"/>
        <v/>
      </c>
    </row>
    <row r="6346" spans="1:13" x14ac:dyDescent="0.3">
      <c r="A6346" t="str">
        <f>Segmenter!A6346</f>
        <v/>
      </c>
      <c r="B6346" t="str">
        <f>Segmenter!B6346</f>
        <v/>
      </c>
      <c r="C6346" t="str">
        <f t="shared" si="495"/>
        <v/>
      </c>
      <c r="D6346" t="str">
        <f t="shared" si="496"/>
        <v/>
      </c>
      <c r="E6346" t="str">
        <f t="shared" si="497"/>
        <v/>
      </c>
      <c r="F6346" t="str">
        <f>IF(D6346="","",INDEX(Knutepunkter!$B:$B,D6346+1))</f>
        <v/>
      </c>
      <c r="G6346" t="str">
        <f>IF(D6346="","",INDEX(Knutepunkter!$C:$C,D6346+1))</f>
        <v/>
      </c>
      <c r="H6346" t="str">
        <f>IF(D6346="","",INDEX(Knutepunkter!$D:$D,D6346+1))</f>
        <v/>
      </c>
      <c r="I6346" t="str">
        <f>IF(E6346="","",INDEX(Knutepunkter!$B:$B,E6346+1))</f>
        <v/>
      </c>
      <c r="J6346" t="str">
        <f>IF(E6346="","",INDEX(Knutepunkter!$C:$C,E6346+1))</f>
        <v/>
      </c>
      <c r="K6346" t="str">
        <f>IF(E6346="","",INDEX(Knutepunkter!$D:$D,E6346+1))</f>
        <v/>
      </c>
      <c r="L6346" t="str">
        <f t="shared" si="498"/>
        <v/>
      </c>
      <c r="M6346" t="str">
        <f t="shared" si="499"/>
        <v/>
      </c>
    </row>
    <row r="6347" spans="1:13" x14ac:dyDescent="0.3">
      <c r="A6347" t="str">
        <f>Segmenter!A6347</f>
        <v/>
      </c>
      <c r="B6347" t="str">
        <f>Segmenter!B6347</f>
        <v/>
      </c>
      <c r="C6347" t="str">
        <f t="shared" si="495"/>
        <v/>
      </c>
      <c r="D6347" t="str">
        <f t="shared" si="496"/>
        <v/>
      </c>
      <c r="E6347" t="str">
        <f t="shared" si="497"/>
        <v/>
      </c>
      <c r="F6347" t="str">
        <f>IF(D6347="","",INDEX(Knutepunkter!$B:$B,D6347+1))</f>
        <v/>
      </c>
      <c r="G6347" t="str">
        <f>IF(D6347="","",INDEX(Knutepunkter!$C:$C,D6347+1))</f>
        <v/>
      </c>
      <c r="H6347" t="str">
        <f>IF(D6347="","",INDEX(Knutepunkter!$D:$D,D6347+1))</f>
        <v/>
      </c>
      <c r="I6347" t="str">
        <f>IF(E6347="","",INDEX(Knutepunkter!$B:$B,E6347+1))</f>
        <v/>
      </c>
      <c r="J6347" t="str">
        <f>IF(E6347="","",INDEX(Knutepunkter!$C:$C,E6347+1))</f>
        <v/>
      </c>
      <c r="K6347" t="str">
        <f>IF(E6347="","",INDEX(Knutepunkter!$D:$D,E6347+1))</f>
        <v/>
      </c>
      <c r="L6347" t="str">
        <f t="shared" si="498"/>
        <v/>
      </c>
      <c r="M6347" t="str">
        <f t="shared" si="499"/>
        <v/>
      </c>
    </row>
    <row r="6348" spans="1:13" x14ac:dyDescent="0.3">
      <c r="A6348" t="str">
        <f>Segmenter!A6348</f>
        <v/>
      </c>
      <c r="B6348" t="str">
        <f>Segmenter!B6348</f>
        <v/>
      </c>
      <c r="C6348" t="str">
        <f t="shared" si="495"/>
        <v/>
      </c>
      <c r="D6348" t="str">
        <f t="shared" si="496"/>
        <v/>
      </c>
      <c r="E6348" t="str">
        <f t="shared" si="497"/>
        <v/>
      </c>
      <c r="F6348" t="str">
        <f>IF(D6348="","",INDEX(Knutepunkter!$B:$B,D6348+1))</f>
        <v/>
      </c>
      <c r="G6348" t="str">
        <f>IF(D6348="","",INDEX(Knutepunkter!$C:$C,D6348+1))</f>
        <v/>
      </c>
      <c r="H6348" t="str">
        <f>IF(D6348="","",INDEX(Knutepunkter!$D:$D,D6348+1))</f>
        <v/>
      </c>
      <c r="I6348" t="str">
        <f>IF(E6348="","",INDEX(Knutepunkter!$B:$B,E6348+1))</f>
        <v/>
      </c>
      <c r="J6348" t="str">
        <f>IF(E6348="","",INDEX(Knutepunkter!$C:$C,E6348+1))</f>
        <v/>
      </c>
      <c r="K6348" t="str">
        <f>IF(E6348="","",INDEX(Knutepunkter!$D:$D,E6348+1))</f>
        <v/>
      </c>
      <c r="L6348" t="str">
        <f t="shared" si="498"/>
        <v/>
      </c>
      <c r="M6348" t="str">
        <f t="shared" si="499"/>
        <v/>
      </c>
    </row>
    <row r="6349" spans="1:13" x14ac:dyDescent="0.3">
      <c r="A6349" t="str">
        <f>Segmenter!A6349</f>
        <v/>
      </c>
      <c r="B6349" t="str">
        <f>Segmenter!B6349</f>
        <v/>
      </c>
      <c r="C6349" t="str">
        <f t="shared" si="495"/>
        <v/>
      </c>
      <c r="D6349" t="str">
        <f t="shared" si="496"/>
        <v/>
      </c>
      <c r="E6349" t="str">
        <f t="shared" si="497"/>
        <v/>
      </c>
      <c r="F6349" t="str">
        <f>IF(D6349="","",INDEX(Knutepunkter!$B:$B,D6349+1))</f>
        <v/>
      </c>
      <c r="G6349" t="str">
        <f>IF(D6349="","",INDEX(Knutepunkter!$C:$C,D6349+1))</f>
        <v/>
      </c>
      <c r="H6349" t="str">
        <f>IF(D6349="","",INDEX(Knutepunkter!$D:$D,D6349+1))</f>
        <v/>
      </c>
      <c r="I6349" t="str">
        <f>IF(E6349="","",INDEX(Knutepunkter!$B:$B,E6349+1))</f>
        <v/>
      </c>
      <c r="J6349" t="str">
        <f>IF(E6349="","",INDEX(Knutepunkter!$C:$C,E6349+1))</f>
        <v/>
      </c>
      <c r="K6349" t="str">
        <f>IF(E6349="","",INDEX(Knutepunkter!$D:$D,E6349+1))</f>
        <v/>
      </c>
      <c r="L6349" t="str">
        <f t="shared" si="498"/>
        <v/>
      </c>
      <c r="M6349" t="str">
        <f t="shared" si="499"/>
        <v/>
      </c>
    </row>
    <row r="6350" spans="1:13" x14ac:dyDescent="0.3">
      <c r="A6350" t="str">
        <f>Segmenter!A6350</f>
        <v/>
      </c>
      <c r="B6350" t="str">
        <f>Segmenter!B6350</f>
        <v/>
      </c>
      <c r="C6350" t="str">
        <f t="shared" si="495"/>
        <v/>
      </c>
      <c r="D6350" t="str">
        <f t="shared" si="496"/>
        <v/>
      </c>
      <c r="E6350" t="str">
        <f t="shared" si="497"/>
        <v/>
      </c>
      <c r="F6350" t="str">
        <f>IF(D6350="","",INDEX(Knutepunkter!$B:$B,D6350+1))</f>
        <v/>
      </c>
      <c r="G6350" t="str">
        <f>IF(D6350="","",INDEX(Knutepunkter!$C:$C,D6350+1))</f>
        <v/>
      </c>
      <c r="H6350" t="str">
        <f>IF(D6350="","",INDEX(Knutepunkter!$D:$D,D6350+1))</f>
        <v/>
      </c>
      <c r="I6350" t="str">
        <f>IF(E6350="","",INDEX(Knutepunkter!$B:$B,E6350+1))</f>
        <v/>
      </c>
      <c r="J6350" t="str">
        <f>IF(E6350="","",INDEX(Knutepunkter!$C:$C,E6350+1))</f>
        <v/>
      </c>
      <c r="K6350" t="str">
        <f>IF(E6350="","",INDEX(Knutepunkter!$D:$D,E6350+1))</f>
        <v/>
      </c>
      <c r="L6350" t="str">
        <f t="shared" si="498"/>
        <v/>
      </c>
      <c r="M6350" t="str">
        <f t="shared" si="499"/>
        <v/>
      </c>
    </row>
    <row r="6351" spans="1:13" x14ac:dyDescent="0.3">
      <c r="A6351" t="str">
        <f>Segmenter!A6351</f>
        <v/>
      </c>
      <c r="B6351" t="str">
        <f>Segmenter!B6351</f>
        <v/>
      </c>
      <c r="C6351" t="str">
        <f t="shared" si="495"/>
        <v/>
      </c>
      <c r="D6351" t="str">
        <f t="shared" si="496"/>
        <v/>
      </c>
      <c r="E6351" t="str">
        <f t="shared" si="497"/>
        <v/>
      </c>
      <c r="F6351" t="str">
        <f>IF(D6351="","",INDEX(Knutepunkter!$B:$B,D6351+1))</f>
        <v/>
      </c>
      <c r="G6351" t="str">
        <f>IF(D6351="","",INDEX(Knutepunkter!$C:$C,D6351+1))</f>
        <v/>
      </c>
      <c r="H6351" t="str">
        <f>IF(D6351="","",INDEX(Knutepunkter!$D:$D,D6351+1))</f>
        <v/>
      </c>
      <c r="I6351" t="str">
        <f>IF(E6351="","",INDEX(Knutepunkter!$B:$B,E6351+1))</f>
        <v/>
      </c>
      <c r="J6351" t="str">
        <f>IF(E6351="","",INDEX(Knutepunkter!$C:$C,E6351+1))</f>
        <v/>
      </c>
      <c r="K6351" t="str">
        <f>IF(E6351="","",INDEX(Knutepunkter!$D:$D,E6351+1))</f>
        <v/>
      </c>
      <c r="L6351" t="str">
        <f t="shared" si="498"/>
        <v/>
      </c>
      <c r="M6351" t="str">
        <f t="shared" si="499"/>
        <v/>
      </c>
    </row>
    <row r="6352" spans="1:13" x14ac:dyDescent="0.3">
      <c r="A6352" t="str">
        <f>Segmenter!A6352</f>
        <v/>
      </c>
      <c r="B6352" t="str">
        <f>Segmenter!B6352</f>
        <v/>
      </c>
      <c r="C6352" t="str">
        <f t="shared" si="495"/>
        <v/>
      </c>
      <c r="D6352" t="str">
        <f t="shared" si="496"/>
        <v/>
      </c>
      <c r="E6352" t="str">
        <f t="shared" si="497"/>
        <v/>
      </c>
      <c r="F6352" t="str">
        <f>IF(D6352="","",INDEX(Knutepunkter!$B:$B,D6352+1))</f>
        <v/>
      </c>
      <c r="G6352" t="str">
        <f>IF(D6352="","",INDEX(Knutepunkter!$C:$C,D6352+1))</f>
        <v/>
      </c>
      <c r="H6352" t="str">
        <f>IF(D6352="","",INDEX(Knutepunkter!$D:$D,D6352+1))</f>
        <v/>
      </c>
      <c r="I6352" t="str">
        <f>IF(E6352="","",INDEX(Knutepunkter!$B:$B,E6352+1))</f>
        <v/>
      </c>
      <c r="J6352" t="str">
        <f>IF(E6352="","",INDEX(Knutepunkter!$C:$C,E6352+1))</f>
        <v/>
      </c>
      <c r="K6352" t="str">
        <f>IF(E6352="","",INDEX(Knutepunkter!$D:$D,E6352+1))</f>
        <v/>
      </c>
      <c r="L6352" t="str">
        <f t="shared" si="498"/>
        <v/>
      </c>
      <c r="M6352" t="str">
        <f t="shared" si="499"/>
        <v/>
      </c>
    </row>
    <row r="6353" spans="1:13" x14ac:dyDescent="0.3">
      <c r="A6353" t="str">
        <f>Segmenter!A6353</f>
        <v/>
      </c>
      <c r="B6353" t="str">
        <f>Segmenter!B6353</f>
        <v/>
      </c>
      <c r="C6353" t="str">
        <f t="shared" si="495"/>
        <v/>
      </c>
      <c r="D6353" t="str">
        <f t="shared" si="496"/>
        <v/>
      </c>
      <c r="E6353" t="str">
        <f t="shared" si="497"/>
        <v/>
      </c>
      <c r="F6353" t="str">
        <f>IF(D6353="","",INDEX(Knutepunkter!$B:$B,D6353+1))</f>
        <v/>
      </c>
      <c r="G6353" t="str">
        <f>IF(D6353="","",INDEX(Knutepunkter!$C:$C,D6353+1))</f>
        <v/>
      </c>
      <c r="H6353" t="str">
        <f>IF(D6353="","",INDEX(Knutepunkter!$D:$D,D6353+1))</f>
        <v/>
      </c>
      <c r="I6353" t="str">
        <f>IF(E6353="","",INDEX(Knutepunkter!$B:$B,E6353+1))</f>
        <v/>
      </c>
      <c r="J6353" t="str">
        <f>IF(E6353="","",INDEX(Knutepunkter!$C:$C,E6353+1))</f>
        <v/>
      </c>
      <c r="K6353" t="str">
        <f>IF(E6353="","",INDEX(Knutepunkter!$D:$D,E6353+1))</f>
        <v/>
      </c>
      <c r="L6353" t="str">
        <f t="shared" si="498"/>
        <v/>
      </c>
      <c r="M6353" t="str">
        <f t="shared" si="499"/>
        <v/>
      </c>
    </row>
    <row r="6354" spans="1:13" x14ac:dyDescent="0.3">
      <c r="A6354" t="str">
        <f>Segmenter!A6354</f>
        <v/>
      </c>
      <c r="B6354" t="str">
        <f>Segmenter!B6354</f>
        <v/>
      </c>
      <c r="C6354" t="str">
        <f t="shared" si="495"/>
        <v/>
      </c>
      <c r="D6354" t="str">
        <f t="shared" si="496"/>
        <v/>
      </c>
      <c r="E6354" t="str">
        <f t="shared" si="497"/>
        <v/>
      </c>
      <c r="F6354" t="str">
        <f>IF(D6354="","",INDEX(Knutepunkter!$B:$B,D6354+1))</f>
        <v/>
      </c>
      <c r="G6354" t="str">
        <f>IF(D6354="","",INDEX(Knutepunkter!$C:$C,D6354+1))</f>
        <v/>
      </c>
      <c r="H6354" t="str">
        <f>IF(D6354="","",INDEX(Knutepunkter!$D:$D,D6354+1))</f>
        <v/>
      </c>
      <c r="I6354" t="str">
        <f>IF(E6354="","",INDEX(Knutepunkter!$B:$B,E6354+1))</f>
        <v/>
      </c>
      <c r="J6354" t="str">
        <f>IF(E6354="","",INDEX(Knutepunkter!$C:$C,E6354+1))</f>
        <v/>
      </c>
      <c r="K6354" t="str">
        <f>IF(E6354="","",INDEX(Knutepunkter!$D:$D,E6354+1))</f>
        <v/>
      </c>
      <c r="L6354" t="str">
        <f t="shared" si="498"/>
        <v/>
      </c>
      <c r="M6354" t="str">
        <f t="shared" si="499"/>
        <v/>
      </c>
    </row>
    <row r="6355" spans="1:13" x14ac:dyDescent="0.3">
      <c r="A6355" t="str">
        <f>Segmenter!A6355</f>
        <v/>
      </c>
      <c r="B6355" t="str">
        <f>Segmenter!B6355</f>
        <v/>
      </c>
      <c r="C6355" t="str">
        <f t="shared" si="495"/>
        <v/>
      </c>
      <c r="D6355" t="str">
        <f t="shared" si="496"/>
        <v/>
      </c>
      <c r="E6355" t="str">
        <f t="shared" si="497"/>
        <v/>
      </c>
      <c r="F6355" t="str">
        <f>IF(D6355="","",INDEX(Knutepunkter!$B:$B,D6355+1))</f>
        <v/>
      </c>
      <c r="G6355" t="str">
        <f>IF(D6355="","",INDEX(Knutepunkter!$C:$C,D6355+1))</f>
        <v/>
      </c>
      <c r="H6355" t="str">
        <f>IF(D6355="","",INDEX(Knutepunkter!$D:$D,D6355+1))</f>
        <v/>
      </c>
      <c r="I6355" t="str">
        <f>IF(E6355="","",INDEX(Knutepunkter!$B:$B,E6355+1))</f>
        <v/>
      </c>
      <c r="J6355" t="str">
        <f>IF(E6355="","",INDEX(Knutepunkter!$C:$C,E6355+1))</f>
        <v/>
      </c>
      <c r="K6355" t="str">
        <f>IF(E6355="","",INDEX(Knutepunkter!$D:$D,E6355+1))</f>
        <v/>
      </c>
      <c r="L6355" t="str">
        <f t="shared" si="498"/>
        <v/>
      </c>
      <c r="M6355" t="str">
        <f t="shared" si="499"/>
        <v/>
      </c>
    </row>
    <row r="6356" spans="1:13" x14ac:dyDescent="0.3">
      <c r="A6356" t="str">
        <f>Segmenter!A6356</f>
        <v/>
      </c>
      <c r="B6356" t="str">
        <f>Segmenter!B6356</f>
        <v/>
      </c>
      <c r="C6356" t="str">
        <f t="shared" si="495"/>
        <v/>
      </c>
      <c r="D6356" t="str">
        <f t="shared" si="496"/>
        <v/>
      </c>
      <c r="E6356" t="str">
        <f t="shared" si="497"/>
        <v/>
      </c>
      <c r="F6356" t="str">
        <f>IF(D6356="","",INDEX(Knutepunkter!$B:$B,D6356+1))</f>
        <v/>
      </c>
      <c r="G6356" t="str">
        <f>IF(D6356="","",INDEX(Knutepunkter!$C:$C,D6356+1))</f>
        <v/>
      </c>
      <c r="H6356" t="str">
        <f>IF(D6356="","",INDEX(Knutepunkter!$D:$D,D6356+1))</f>
        <v/>
      </c>
      <c r="I6356" t="str">
        <f>IF(E6356="","",INDEX(Knutepunkter!$B:$B,E6356+1))</f>
        <v/>
      </c>
      <c r="J6356" t="str">
        <f>IF(E6356="","",INDEX(Knutepunkter!$C:$C,E6356+1))</f>
        <v/>
      </c>
      <c r="K6356" t="str">
        <f>IF(E6356="","",INDEX(Knutepunkter!$D:$D,E6356+1))</f>
        <v/>
      </c>
      <c r="L6356" t="str">
        <f t="shared" si="498"/>
        <v/>
      </c>
      <c r="M6356" t="str">
        <f t="shared" si="499"/>
        <v/>
      </c>
    </row>
    <row r="6357" spans="1:13" x14ac:dyDescent="0.3">
      <c r="A6357" t="str">
        <f>Segmenter!A6357</f>
        <v/>
      </c>
      <c r="B6357" t="str">
        <f>Segmenter!B6357</f>
        <v/>
      </c>
      <c r="C6357" t="str">
        <f t="shared" si="495"/>
        <v/>
      </c>
      <c r="D6357" t="str">
        <f t="shared" si="496"/>
        <v/>
      </c>
      <c r="E6357" t="str">
        <f t="shared" si="497"/>
        <v/>
      </c>
      <c r="F6357" t="str">
        <f>IF(D6357="","",INDEX(Knutepunkter!$B:$B,D6357+1))</f>
        <v/>
      </c>
      <c r="G6357" t="str">
        <f>IF(D6357="","",INDEX(Knutepunkter!$C:$C,D6357+1))</f>
        <v/>
      </c>
      <c r="H6357" t="str">
        <f>IF(D6357="","",INDEX(Knutepunkter!$D:$D,D6357+1))</f>
        <v/>
      </c>
      <c r="I6357" t="str">
        <f>IF(E6357="","",INDEX(Knutepunkter!$B:$B,E6357+1))</f>
        <v/>
      </c>
      <c r="J6357" t="str">
        <f>IF(E6357="","",INDEX(Knutepunkter!$C:$C,E6357+1))</f>
        <v/>
      </c>
      <c r="K6357" t="str">
        <f>IF(E6357="","",INDEX(Knutepunkter!$D:$D,E6357+1))</f>
        <v/>
      </c>
      <c r="L6357" t="str">
        <f t="shared" si="498"/>
        <v/>
      </c>
      <c r="M6357" t="str">
        <f t="shared" si="499"/>
        <v/>
      </c>
    </row>
    <row r="6358" spans="1:13" x14ac:dyDescent="0.3">
      <c r="A6358" t="str">
        <f>Segmenter!A6358</f>
        <v/>
      </c>
      <c r="B6358" t="str">
        <f>Segmenter!B6358</f>
        <v/>
      </c>
      <c r="C6358" t="str">
        <f t="shared" si="495"/>
        <v/>
      </c>
      <c r="D6358" t="str">
        <f t="shared" si="496"/>
        <v/>
      </c>
      <c r="E6358" t="str">
        <f t="shared" si="497"/>
        <v/>
      </c>
      <c r="F6358" t="str">
        <f>IF(D6358="","",INDEX(Knutepunkter!$B:$B,D6358+1))</f>
        <v/>
      </c>
      <c r="G6358" t="str">
        <f>IF(D6358="","",INDEX(Knutepunkter!$C:$C,D6358+1))</f>
        <v/>
      </c>
      <c r="H6358" t="str">
        <f>IF(D6358="","",INDEX(Knutepunkter!$D:$D,D6358+1))</f>
        <v/>
      </c>
      <c r="I6358" t="str">
        <f>IF(E6358="","",INDEX(Knutepunkter!$B:$B,E6358+1))</f>
        <v/>
      </c>
      <c r="J6358" t="str">
        <f>IF(E6358="","",INDEX(Knutepunkter!$C:$C,E6358+1))</f>
        <v/>
      </c>
      <c r="K6358" t="str">
        <f>IF(E6358="","",INDEX(Knutepunkter!$D:$D,E6358+1))</f>
        <v/>
      </c>
      <c r="L6358" t="str">
        <f t="shared" si="498"/>
        <v/>
      </c>
      <c r="M6358" t="str">
        <f t="shared" si="499"/>
        <v/>
      </c>
    </row>
    <row r="6359" spans="1:13" x14ac:dyDescent="0.3">
      <c r="A6359" t="str">
        <f>Segmenter!A6359</f>
        <v/>
      </c>
      <c r="B6359" t="str">
        <f>Segmenter!B6359</f>
        <v/>
      </c>
      <c r="C6359" t="str">
        <f t="shared" si="495"/>
        <v/>
      </c>
      <c r="D6359" t="str">
        <f t="shared" si="496"/>
        <v/>
      </c>
      <c r="E6359" t="str">
        <f t="shared" si="497"/>
        <v/>
      </c>
      <c r="F6359" t="str">
        <f>IF(D6359="","",INDEX(Knutepunkter!$B:$B,D6359+1))</f>
        <v/>
      </c>
      <c r="G6359" t="str">
        <f>IF(D6359="","",INDEX(Knutepunkter!$C:$C,D6359+1))</f>
        <v/>
      </c>
      <c r="H6359" t="str">
        <f>IF(D6359="","",INDEX(Knutepunkter!$D:$D,D6359+1))</f>
        <v/>
      </c>
      <c r="I6359" t="str">
        <f>IF(E6359="","",INDEX(Knutepunkter!$B:$B,E6359+1))</f>
        <v/>
      </c>
      <c r="J6359" t="str">
        <f>IF(E6359="","",INDEX(Knutepunkter!$C:$C,E6359+1))</f>
        <v/>
      </c>
      <c r="K6359" t="str">
        <f>IF(E6359="","",INDEX(Knutepunkter!$D:$D,E6359+1))</f>
        <v/>
      </c>
      <c r="L6359" t="str">
        <f t="shared" si="498"/>
        <v/>
      </c>
      <c r="M6359" t="str">
        <f t="shared" si="499"/>
        <v/>
      </c>
    </row>
    <row r="6360" spans="1:13" x14ac:dyDescent="0.3">
      <c r="A6360" t="str">
        <f>Segmenter!A6360</f>
        <v/>
      </c>
      <c r="B6360" t="str">
        <f>Segmenter!B6360</f>
        <v/>
      </c>
      <c r="C6360" t="str">
        <f t="shared" si="495"/>
        <v/>
      </c>
      <c r="D6360" t="str">
        <f t="shared" si="496"/>
        <v/>
      </c>
      <c r="E6360" t="str">
        <f t="shared" si="497"/>
        <v/>
      </c>
      <c r="F6360" t="str">
        <f>IF(D6360="","",INDEX(Knutepunkter!$B:$B,D6360+1))</f>
        <v/>
      </c>
      <c r="G6360" t="str">
        <f>IF(D6360="","",INDEX(Knutepunkter!$C:$C,D6360+1))</f>
        <v/>
      </c>
      <c r="H6360" t="str">
        <f>IF(D6360="","",INDEX(Knutepunkter!$D:$D,D6360+1))</f>
        <v/>
      </c>
      <c r="I6360" t="str">
        <f>IF(E6360="","",INDEX(Knutepunkter!$B:$B,E6360+1))</f>
        <v/>
      </c>
      <c r="J6360" t="str">
        <f>IF(E6360="","",INDEX(Knutepunkter!$C:$C,E6360+1))</f>
        <v/>
      </c>
      <c r="K6360" t="str">
        <f>IF(E6360="","",INDEX(Knutepunkter!$D:$D,E6360+1))</f>
        <v/>
      </c>
      <c r="L6360" t="str">
        <f t="shared" si="498"/>
        <v/>
      </c>
      <c r="M6360" t="str">
        <f t="shared" si="499"/>
        <v/>
      </c>
    </row>
    <row r="6361" spans="1:13" x14ac:dyDescent="0.3">
      <c r="A6361" t="str">
        <f>Segmenter!A6361</f>
        <v/>
      </c>
      <c r="B6361" t="str">
        <f>Segmenter!B6361</f>
        <v/>
      </c>
      <c r="C6361" t="str">
        <f t="shared" si="495"/>
        <v/>
      </c>
      <c r="D6361" t="str">
        <f t="shared" si="496"/>
        <v/>
      </c>
      <c r="E6361" t="str">
        <f t="shared" si="497"/>
        <v/>
      </c>
      <c r="F6361" t="str">
        <f>IF(D6361="","",INDEX(Knutepunkter!$B:$B,D6361+1))</f>
        <v/>
      </c>
      <c r="G6361" t="str">
        <f>IF(D6361="","",INDEX(Knutepunkter!$C:$C,D6361+1))</f>
        <v/>
      </c>
      <c r="H6361" t="str">
        <f>IF(D6361="","",INDEX(Knutepunkter!$D:$D,D6361+1))</f>
        <v/>
      </c>
      <c r="I6361" t="str">
        <f>IF(E6361="","",INDEX(Knutepunkter!$B:$B,E6361+1))</f>
        <v/>
      </c>
      <c r="J6361" t="str">
        <f>IF(E6361="","",INDEX(Knutepunkter!$C:$C,E6361+1))</f>
        <v/>
      </c>
      <c r="K6361" t="str">
        <f>IF(E6361="","",INDEX(Knutepunkter!$D:$D,E6361+1))</f>
        <v/>
      </c>
      <c r="L6361" t="str">
        <f t="shared" si="498"/>
        <v/>
      </c>
      <c r="M6361" t="str">
        <f t="shared" si="499"/>
        <v/>
      </c>
    </row>
    <row r="6362" spans="1:13" x14ac:dyDescent="0.3">
      <c r="A6362" t="str">
        <f>Segmenter!A6362</f>
        <v/>
      </c>
      <c r="B6362" t="str">
        <f>Segmenter!B6362</f>
        <v/>
      </c>
      <c r="C6362" t="str">
        <f t="shared" si="495"/>
        <v/>
      </c>
      <c r="D6362" t="str">
        <f t="shared" si="496"/>
        <v/>
      </c>
      <c r="E6362" t="str">
        <f t="shared" si="497"/>
        <v/>
      </c>
      <c r="F6362" t="str">
        <f>IF(D6362="","",INDEX(Knutepunkter!$B:$B,D6362+1))</f>
        <v/>
      </c>
      <c r="G6362" t="str">
        <f>IF(D6362="","",INDEX(Knutepunkter!$C:$C,D6362+1))</f>
        <v/>
      </c>
      <c r="H6362" t="str">
        <f>IF(D6362="","",INDEX(Knutepunkter!$D:$D,D6362+1))</f>
        <v/>
      </c>
      <c r="I6362" t="str">
        <f>IF(E6362="","",INDEX(Knutepunkter!$B:$B,E6362+1))</f>
        <v/>
      </c>
      <c r="J6362" t="str">
        <f>IF(E6362="","",INDEX(Knutepunkter!$C:$C,E6362+1))</f>
        <v/>
      </c>
      <c r="K6362" t="str">
        <f>IF(E6362="","",INDEX(Knutepunkter!$D:$D,E6362+1))</f>
        <v/>
      </c>
      <c r="L6362" t="str">
        <f t="shared" si="498"/>
        <v/>
      </c>
      <c r="M6362" t="str">
        <f t="shared" si="499"/>
        <v/>
      </c>
    </row>
    <row r="6363" spans="1:13" x14ac:dyDescent="0.3">
      <c r="A6363" t="str">
        <f>Segmenter!A6363</f>
        <v/>
      </c>
      <c r="B6363" t="str">
        <f>Segmenter!B6363</f>
        <v/>
      </c>
      <c r="C6363" t="str">
        <f t="shared" si="495"/>
        <v/>
      </c>
      <c r="D6363" t="str">
        <f t="shared" si="496"/>
        <v/>
      </c>
      <c r="E6363" t="str">
        <f t="shared" si="497"/>
        <v/>
      </c>
      <c r="F6363" t="str">
        <f>IF(D6363="","",INDEX(Knutepunkter!$B:$B,D6363+1))</f>
        <v/>
      </c>
      <c r="G6363" t="str">
        <f>IF(D6363="","",INDEX(Knutepunkter!$C:$C,D6363+1))</f>
        <v/>
      </c>
      <c r="H6363" t="str">
        <f>IF(D6363="","",INDEX(Knutepunkter!$D:$D,D6363+1))</f>
        <v/>
      </c>
      <c r="I6363" t="str">
        <f>IF(E6363="","",INDEX(Knutepunkter!$B:$B,E6363+1))</f>
        <v/>
      </c>
      <c r="J6363" t="str">
        <f>IF(E6363="","",INDEX(Knutepunkter!$C:$C,E6363+1))</f>
        <v/>
      </c>
      <c r="K6363" t="str">
        <f>IF(E6363="","",INDEX(Knutepunkter!$D:$D,E6363+1))</f>
        <v/>
      </c>
      <c r="L6363" t="str">
        <f t="shared" si="498"/>
        <v/>
      </c>
      <c r="M6363" t="str">
        <f t="shared" si="499"/>
        <v/>
      </c>
    </row>
    <row r="6364" spans="1:13" x14ac:dyDescent="0.3">
      <c r="A6364" t="str">
        <f>Segmenter!A6364</f>
        <v/>
      </c>
      <c r="B6364" t="str">
        <f>Segmenter!B6364</f>
        <v/>
      </c>
      <c r="C6364" t="str">
        <f t="shared" si="495"/>
        <v/>
      </c>
      <c r="D6364" t="str">
        <f t="shared" si="496"/>
        <v/>
      </c>
      <c r="E6364" t="str">
        <f t="shared" si="497"/>
        <v/>
      </c>
      <c r="F6364" t="str">
        <f>IF(D6364="","",INDEX(Knutepunkter!$B:$B,D6364+1))</f>
        <v/>
      </c>
      <c r="G6364" t="str">
        <f>IF(D6364="","",INDEX(Knutepunkter!$C:$C,D6364+1))</f>
        <v/>
      </c>
      <c r="H6364" t="str">
        <f>IF(D6364="","",INDEX(Knutepunkter!$D:$D,D6364+1))</f>
        <v/>
      </c>
      <c r="I6364" t="str">
        <f>IF(E6364="","",INDEX(Knutepunkter!$B:$B,E6364+1))</f>
        <v/>
      </c>
      <c r="J6364" t="str">
        <f>IF(E6364="","",INDEX(Knutepunkter!$C:$C,E6364+1))</f>
        <v/>
      </c>
      <c r="K6364" t="str">
        <f>IF(E6364="","",INDEX(Knutepunkter!$D:$D,E6364+1))</f>
        <v/>
      </c>
      <c r="L6364" t="str">
        <f t="shared" si="498"/>
        <v/>
      </c>
      <c r="M6364" t="str">
        <f t="shared" si="499"/>
        <v/>
      </c>
    </row>
    <row r="6365" spans="1:13" x14ac:dyDescent="0.3">
      <c r="A6365" t="str">
        <f>Segmenter!A6365</f>
        <v/>
      </c>
      <c r="B6365" t="str">
        <f>Segmenter!B6365</f>
        <v/>
      </c>
      <c r="C6365" t="str">
        <f t="shared" si="495"/>
        <v/>
      </c>
      <c r="D6365" t="str">
        <f t="shared" si="496"/>
        <v/>
      </c>
      <c r="E6365" t="str">
        <f t="shared" si="497"/>
        <v/>
      </c>
      <c r="F6365" t="str">
        <f>IF(D6365="","",INDEX(Knutepunkter!$B:$B,D6365+1))</f>
        <v/>
      </c>
      <c r="G6365" t="str">
        <f>IF(D6365="","",INDEX(Knutepunkter!$C:$C,D6365+1))</f>
        <v/>
      </c>
      <c r="H6365" t="str">
        <f>IF(D6365="","",INDEX(Knutepunkter!$D:$D,D6365+1))</f>
        <v/>
      </c>
      <c r="I6365" t="str">
        <f>IF(E6365="","",INDEX(Knutepunkter!$B:$B,E6365+1))</f>
        <v/>
      </c>
      <c r="J6365" t="str">
        <f>IF(E6365="","",INDEX(Knutepunkter!$C:$C,E6365+1))</f>
        <v/>
      </c>
      <c r="K6365" t="str">
        <f>IF(E6365="","",INDEX(Knutepunkter!$D:$D,E6365+1))</f>
        <v/>
      </c>
      <c r="L6365" t="str">
        <f t="shared" si="498"/>
        <v/>
      </c>
      <c r="M6365" t="str">
        <f t="shared" si="499"/>
        <v/>
      </c>
    </row>
    <row r="6366" spans="1:13" x14ac:dyDescent="0.3">
      <c r="A6366" t="str">
        <f>Segmenter!A6366</f>
        <v/>
      </c>
      <c r="B6366" t="str">
        <f>Segmenter!B6366</f>
        <v/>
      </c>
      <c r="C6366" t="str">
        <f t="shared" si="495"/>
        <v/>
      </c>
      <c r="D6366" t="str">
        <f t="shared" si="496"/>
        <v/>
      </c>
      <c r="E6366" t="str">
        <f t="shared" si="497"/>
        <v/>
      </c>
      <c r="F6366" t="str">
        <f>IF(D6366="","",INDEX(Knutepunkter!$B:$B,D6366+1))</f>
        <v/>
      </c>
      <c r="G6366" t="str">
        <f>IF(D6366="","",INDEX(Knutepunkter!$C:$C,D6366+1))</f>
        <v/>
      </c>
      <c r="H6366" t="str">
        <f>IF(D6366="","",INDEX(Knutepunkter!$D:$D,D6366+1))</f>
        <v/>
      </c>
      <c r="I6366" t="str">
        <f>IF(E6366="","",INDEX(Knutepunkter!$B:$B,E6366+1))</f>
        <v/>
      </c>
      <c r="J6366" t="str">
        <f>IF(E6366="","",INDEX(Knutepunkter!$C:$C,E6366+1))</f>
        <v/>
      </c>
      <c r="K6366" t="str">
        <f>IF(E6366="","",INDEX(Knutepunkter!$D:$D,E6366+1))</f>
        <v/>
      </c>
      <c r="L6366" t="str">
        <f t="shared" si="498"/>
        <v/>
      </c>
      <c r="M6366" t="str">
        <f t="shared" si="499"/>
        <v/>
      </c>
    </row>
    <row r="6367" spans="1:13" x14ac:dyDescent="0.3">
      <c r="A6367" t="str">
        <f>Segmenter!A6367</f>
        <v/>
      </c>
      <c r="B6367" t="str">
        <f>Segmenter!B6367</f>
        <v/>
      </c>
      <c r="C6367" t="str">
        <f t="shared" si="495"/>
        <v/>
      </c>
      <c r="D6367" t="str">
        <f t="shared" si="496"/>
        <v/>
      </c>
      <c r="E6367" t="str">
        <f t="shared" si="497"/>
        <v/>
      </c>
      <c r="F6367" t="str">
        <f>IF(D6367="","",INDEX(Knutepunkter!$B:$B,D6367+1))</f>
        <v/>
      </c>
      <c r="G6367" t="str">
        <f>IF(D6367="","",INDEX(Knutepunkter!$C:$C,D6367+1))</f>
        <v/>
      </c>
      <c r="H6367" t="str">
        <f>IF(D6367="","",INDEX(Knutepunkter!$D:$D,D6367+1))</f>
        <v/>
      </c>
      <c r="I6367" t="str">
        <f>IF(E6367="","",INDEX(Knutepunkter!$B:$B,E6367+1))</f>
        <v/>
      </c>
      <c r="J6367" t="str">
        <f>IF(E6367="","",INDEX(Knutepunkter!$C:$C,E6367+1))</f>
        <v/>
      </c>
      <c r="K6367" t="str">
        <f>IF(E6367="","",INDEX(Knutepunkter!$D:$D,E6367+1))</f>
        <v/>
      </c>
      <c r="L6367" t="str">
        <f t="shared" si="498"/>
        <v/>
      </c>
      <c r="M6367" t="str">
        <f t="shared" si="499"/>
        <v/>
      </c>
    </row>
    <row r="6368" spans="1:13" x14ac:dyDescent="0.3">
      <c r="A6368" t="str">
        <f>Segmenter!A6368</f>
        <v/>
      </c>
      <c r="B6368" t="str">
        <f>Segmenter!B6368</f>
        <v/>
      </c>
      <c r="C6368" t="str">
        <f t="shared" si="495"/>
        <v/>
      </c>
      <c r="D6368" t="str">
        <f t="shared" si="496"/>
        <v/>
      </c>
      <c r="E6368" t="str">
        <f t="shared" si="497"/>
        <v/>
      </c>
      <c r="F6368" t="str">
        <f>IF(D6368="","",INDEX(Knutepunkter!$B:$B,D6368+1))</f>
        <v/>
      </c>
      <c r="G6368" t="str">
        <f>IF(D6368="","",INDEX(Knutepunkter!$C:$C,D6368+1))</f>
        <v/>
      </c>
      <c r="H6368" t="str">
        <f>IF(D6368="","",INDEX(Knutepunkter!$D:$D,D6368+1))</f>
        <v/>
      </c>
      <c r="I6368" t="str">
        <f>IF(E6368="","",INDEX(Knutepunkter!$B:$B,E6368+1))</f>
        <v/>
      </c>
      <c r="J6368" t="str">
        <f>IF(E6368="","",INDEX(Knutepunkter!$C:$C,E6368+1))</f>
        <v/>
      </c>
      <c r="K6368" t="str">
        <f>IF(E6368="","",INDEX(Knutepunkter!$D:$D,E6368+1))</f>
        <v/>
      </c>
      <c r="L6368" t="str">
        <f t="shared" si="498"/>
        <v/>
      </c>
      <c r="M6368" t="str">
        <f t="shared" si="499"/>
        <v/>
      </c>
    </row>
    <row r="6369" spans="1:13" x14ac:dyDescent="0.3">
      <c r="A6369" t="str">
        <f>Segmenter!A6369</f>
        <v/>
      </c>
      <c r="B6369" t="str">
        <f>Segmenter!B6369</f>
        <v/>
      </c>
      <c r="C6369" t="str">
        <f t="shared" si="495"/>
        <v/>
      </c>
      <c r="D6369" t="str">
        <f t="shared" si="496"/>
        <v/>
      </c>
      <c r="E6369" t="str">
        <f t="shared" si="497"/>
        <v/>
      </c>
      <c r="F6369" t="str">
        <f>IF(D6369="","",INDEX(Knutepunkter!$B:$B,D6369+1))</f>
        <v/>
      </c>
      <c r="G6369" t="str">
        <f>IF(D6369="","",INDEX(Knutepunkter!$C:$C,D6369+1))</f>
        <v/>
      </c>
      <c r="H6369" t="str">
        <f>IF(D6369="","",INDEX(Knutepunkter!$D:$D,D6369+1))</f>
        <v/>
      </c>
      <c r="I6369" t="str">
        <f>IF(E6369="","",INDEX(Knutepunkter!$B:$B,E6369+1))</f>
        <v/>
      </c>
      <c r="J6369" t="str">
        <f>IF(E6369="","",INDEX(Knutepunkter!$C:$C,E6369+1))</f>
        <v/>
      </c>
      <c r="K6369" t="str">
        <f>IF(E6369="","",INDEX(Knutepunkter!$D:$D,E6369+1))</f>
        <v/>
      </c>
      <c r="L6369" t="str">
        <f t="shared" si="498"/>
        <v/>
      </c>
      <c r="M6369" t="str">
        <f t="shared" si="499"/>
        <v/>
      </c>
    </row>
    <row r="6370" spans="1:13" x14ac:dyDescent="0.3">
      <c r="A6370" t="str">
        <f>Segmenter!A6370</f>
        <v/>
      </c>
      <c r="B6370" t="str">
        <f>Segmenter!B6370</f>
        <v/>
      </c>
      <c r="C6370" t="str">
        <f t="shared" si="495"/>
        <v/>
      </c>
      <c r="D6370" t="str">
        <f t="shared" si="496"/>
        <v/>
      </c>
      <c r="E6370" t="str">
        <f t="shared" si="497"/>
        <v/>
      </c>
      <c r="F6370" t="str">
        <f>IF(D6370="","",INDEX(Knutepunkter!$B:$B,D6370+1))</f>
        <v/>
      </c>
      <c r="G6370" t="str">
        <f>IF(D6370="","",INDEX(Knutepunkter!$C:$C,D6370+1))</f>
        <v/>
      </c>
      <c r="H6370" t="str">
        <f>IF(D6370="","",INDEX(Knutepunkter!$D:$D,D6370+1))</f>
        <v/>
      </c>
      <c r="I6370" t="str">
        <f>IF(E6370="","",INDEX(Knutepunkter!$B:$B,E6370+1))</f>
        <v/>
      </c>
      <c r="J6370" t="str">
        <f>IF(E6370="","",INDEX(Knutepunkter!$C:$C,E6370+1))</f>
        <v/>
      </c>
      <c r="K6370" t="str">
        <f>IF(E6370="","",INDEX(Knutepunkter!$D:$D,E6370+1))</f>
        <v/>
      </c>
      <c r="L6370" t="str">
        <f t="shared" si="498"/>
        <v/>
      </c>
      <c r="M6370" t="str">
        <f t="shared" si="499"/>
        <v/>
      </c>
    </row>
    <row r="6371" spans="1:13" x14ac:dyDescent="0.3">
      <c r="A6371" t="str">
        <f>Segmenter!A6371</f>
        <v/>
      </c>
      <c r="B6371" t="str">
        <f>Segmenter!B6371</f>
        <v/>
      </c>
      <c r="C6371" t="str">
        <f t="shared" si="495"/>
        <v/>
      </c>
      <c r="D6371" t="str">
        <f t="shared" si="496"/>
        <v/>
      </c>
      <c r="E6371" t="str">
        <f t="shared" si="497"/>
        <v/>
      </c>
      <c r="F6371" t="str">
        <f>IF(D6371="","",INDEX(Knutepunkter!$B:$B,D6371+1))</f>
        <v/>
      </c>
      <c r="G6371" t="str">
        <f>IF(D6371="","",INDEX(Knutepunkter!$C:$C,D6371+1))</f>
        <v/>
      </c>
      <c r="H6371" t="str">
        <f>IF(D6371="","",INDEX(Knutepunkter!$D:$D,D6371+1))</f>
        <v/>
      </c>
      <c r="I6371" t="str">
        <f>IF(E6371="","",INDEX(Knutepunkter!$B:$B,E6371+1))</f>
        <v/>
      </c>
      <c r="J6371" t="str">
        <f>IF(E6371="","",INDEX(Knutepunkter!$C:$C,E6371+1))</f>
        <v/>
      </c>
      <c r="K6371" t="str">
        <f>IF(E6371="","",INDEX(Knutepunkter!$D:$D,E6371+1))</f>
        <v/>
      </c>
      <c r="L6371" t="str">
        <f t="shared" si="498"/>
        <v/>
      </c>
      <c r="M6371" t="str">
        <f t="shared" si="499"/>
        <v/>
      </c>
    </row>
    <row r="6372" spans="1:13" x14ac:dyDescent="0.3">
      <c r="A6372" t="str">
        <f>Segmenter!A6372</f>
        <v/>
      </c>
      <c r="B6372" t="str">
        <f>Segmenter!B6372</f>
        <v/>
      </c>
      <c r="C6372" t="str">
        <f t="shared" si="495"/>
        <v/>
      </c>
      <c r="D6372" t="str">
        <f t="shared" si="496"/>
        <v/>
      </c>
      <c r="E6372" t="str">
        <f t="shared" si="497"/>
        <v/>
      </c>
      <c r="F6372" t="str">
        <f>IF(D6372="","",INDEX(Knutepunkter!$B:$B,D6372+1))</f>
        <v/>
      </c>
      <c r="G6372" t="str">
        <f>IF(D6372="","",INDEX(Knutepunkter!$C:$C,D6372+1))</f>
        <v/>
      </c>
      <c r="H6372" t="str">
        <f>IF(D6372="","",INDEX(Knutepunkter!$D:$D,D6372+1))</f>
        <v/>
      </c>
      <c r="I6372" t="str">
        <f>IF(E6372="","",INDEX(Knutepunkter!$B:$B,E6372+1))</f>
        <v/>
      </c>
      <c r="J6372" t="str">
        <f>IF(E6372="","",INDEX(Knutepunkter!$C:$C,E6372+1))</f>
        <v/>
      </c>
      <c r="K6372" t="str">
        <f>IF(E6372="","",INDEX(Knutepunkter!$D:$D,E6372+1))</f>
        <v/>
      </c>
      <c r="L6372" t="str">
        <f t="shared" si="498"/>
        <v/>
      </c>
      <c r="M6372" t="str">
        <f t="shared" si="499"/>
        <v/>
      </c>
    </row>
    <row r="6373" spans="1:13" x14ac:dyDescent="0.3">
      <c r="A6373" t="str">
        <f>Segmenter!A6373</f>
        <v/>
      </c>
      <c r="B6373" t="str">
        <f>Segmenter!B6373</f>
        <v/>
      </c>
      <c r="C6373" t="str">
        <f t="shared" si="495"/>
        <v/>
      </c>
      <c r="D6373" t="str">
        <f t="shared" si="496"/>
        <v/>
      </c>
      <c r="E6373" t="str">
        <f t="shared" si="497"/>
        <v/>
      </c>
      <c r="F6373" t="str">
        <f>IF(D6373="","",INDEX(Knutepunkter!$B:$B,D6373+1))</f>
        <v/>
      </c>
      <c r="G6373" t="str">
        <f>IF(D6373="","",INDEX(Knutepunkter!$C:$C,D6373+1))</f>
        <v/>
      </c>
      <c r="H6373" t="str">
        <f>IF(D6373="","",INDEX(Knutepunkter!$D:$D,D6373+1))</f>
        <v/>
      </c>
      <c r="I6373" t="str">
        <f>IF(E6373="","",INDEX(Knutepunkter!$B:$B,E6373+1))</f>
        <v/>
      </c>
      <c r="J6373" t="str">
        <f>IF(E6373="","",INDEX(Knutepunkter!$C:$C,E6373+1))</f>
        <v/>
      </c>
      <c r="K6373" t="str">
        <f>IF(E6373="","",INDEX(Knutepunkter!$D:$D,E6373+1))</f>
        <v/>
      </c>
      <c r="L6373" t="str">
        <f t="shared" si="498"/>
        <v/>
      </c>
      <c r="M6373" t="str">
        <f t="shared" si="499"/>
        <v/>
      </c>
    </row>
    <row r="6374" spans="1:13" x14ac:dyDescent="0.3">
      <c r="A6374" t="str">
        <f>Segmenter!A6374</f>
        <v/>
      </c>
      <c r="B6374" t="str">
        <f>Segmenter!B6374</f>
        <v/>
      </c>
      <c r="C6374" t="str">
        <f t="shared" si="495"/>
        <v/>
      </c>
      <c r="D6374" t="str">
        <f t="shared" si="496"/>
        <v/>
      </c>
      <c r="E6374" t="str">
        <f t="shared" si="497"/>
        <v/>
      </c>
      <c r="F6374" t="str">
        <f>IF(D6374="","",INDEX(Knutepunkter!$B:$B,D6374+1))</f>
        <v/>
      </c>
      <c r="G6374" t="str">
        <f>IF(D6374="","",INDEX(Knutepunkter!$C:$C,D6374+1))</f>
        <v/>
      </c>
      <c r="H6374" t="str">
        <f>IF(D6374="","",INDEX(Knutepunkter!$D:$D,D6374+1))</f>
        <v/>
      </c>
      <c r="I6374" t="str">
        <f>IF(E6374="","",INDEX(Knutepunkter!$B:$B,E6374+1))</f>
        <v/>
      </c>
      <c r="J6374" t="str">
        <f>IF(E6374="","",INDEX(Knutepunkter!$C:$C,E6374+1))</f>
        <v/>
      </c>
      <c r="K6374" t="str">
        <f>IF(E6374="","",INDEX(Knutepunkter!$D:$D,E6374+1))</f>
        <v/>
      </c>
      <c r="L6374" t="str">
        <f t="shared" si="498"/>
        <v/>
      </c>
      <c r="M6374" t="str">
        <f t="shared" si="499"/>
        <v/>
      </c>
    </row>
    <row r="6375" spans="1:13" x14ac:dyDescent="0.3">
      <c r="A6375" t="str">
        <f>Segmenter!A6375</f>
        <v/>
      </c>
      <c r="B6375" t="str">
        <f>Segmenter!B6375</f>
        <v/>
      </c>
      <c r="C6375" t="str">
        <f t="shared" si="495"/>
        <v/>
      </c>
      <c r="D6375" t="str">
        <f t="shared" si="496"/>
        <v/>
      </c>
      <c r="E6375" t="str">
        <f t="shared" si="497"/>
        <v/>
      </c>
      <c r="F6375" t="str">
        <f>IF(D6375="","",INDEX(Knutepunkter!$B:$B,D6375+1))</f>
        <v/>
      </c>
      <c r="G6375" t="str">
        <f>IF(D6375="","",INDEX(Knutepunkter!$C:$C,D6375+1))</f>
        <v/>
      </c>
      <c r="H6375" t="str">
        <f>IF(D6375="","",INDEX(Knutepunkter!$D:$D,D6375+1))</f>
        <v/>
      </c>
      <c r="I6375" t="str">
        <f>IF(E6375="","",INDEX(Knutepunkter!$B:$B,E6375+1))</f>
        <v/>
      </c>
      <c r="J6375" t="str">
        <f>IF(E6375="","",INDEX(Knutepunkter!$C:$C,E6375+1))</f>
        <v/>
      </c>
      <c r="K6375" t="str">
        <f>IF(E6375="","",INDEX(Knutepunkter!$D:$D,E6375+1))</f>
        <v/>
      </c>
      <c r="L6375" t="str">
        <f t="shared" si="498"/>
        <v/>
      </c>
      <c r="M6375" t="str">
        <f t="shared" si="499"/>
        <v/>
      </c>
    </row>
    <row r="6376" spans="1:13" x14ac:dyDescent="0.3">
      <c r="A6376" t="str">
        <f>Segmenter!A6376</f>
        <v/>
      </c>
      <c r="B6376" t="str">
        <f>Segmenter!B6376</f>
        <v/>
      </c>
      <c r="C6376" t="str">
        <f t="shared" si="495"/>
        <v/>
      </c>
      <c r="D6376" t="str">
        <f t="shared" si="496"/>
        <v/>
      </c>
      <c r="E6376" t="str">
        <f t="shared" si="497"/>
        <v/>
      </c>
      <c r="F6376" t="str">
        <f>IF(D6376="","",INDEX(Knutepunkter!$B:$B,D6376+1))</f>
        <v/>
      </c>
      <c r="G6376" t="str">
        <f>IF(D6376="","",INDEX(Knutepunkter!$C:$C,D6376+1))</f>
        <v/>
      </c>
      <c r="H6376" t="str">
        <f>IF(D6376="","",INDEX(Knutepunkter!$D:$D,D6376+1))</f>
        <v/>
      </c>
      <c r="I6376" t="str">
        <f>IF(E6376="","",INDEX(Knutepunkter!$B:$B,E6376+1))</f>
        <v/>
      </c>
      <c r="J6376" t="str">
        <f>IF(E6376="","",INDEX(Knutepunkter!$C:$C,E6376+1))</f>
        <v/>
      </c>
      <c r="K6376" t="str">
        <f>IF(E6376="","",INDEX(Knutepunkter!$D:$D,E6376+1))</f>
        <v/>
      </c>
      <c r="L6376" t="str">
        <f t="shared" si="498"/>
        <v/>
      </c>
      <c r="M6376" t="str">
        <f t="shared" si="499"/>
        <v/>
      </c>
    </row>
    <row r="6377" spans="1:13" x14ac:dyDescent="0.3">
      <c r="A6377" t="str">
        <f>Segmenter!A6377</f>
        <v/>
      </c>
      <c r="B6377" t="str">
        <f>Segmenter!B6377</f>
        <v/>
      </c>
      <c r="C6377" t="str">
        <f t="shared" si="495"/>
        <v/>
      </c>
      <c r="D6377" t="str">
        <f t="shared" si="496"/>
        <v/>
      </c>
      <c r="E6377" t="str">
        <f t="shared" si="497"/>
        <v/>
      </c>
      <c r="F6377" t="str">
        <f>IF(D6377="","",INDEX(Knutepunkter!$B:$B,D6377+1))</f>
        <v/>
      </c>
      <c r="G6377" t="str">
        <f>IF(D6377="","",INDEX(Knutepunkter!$C:$C,D6377+1))</f>
        <v/>
      </c>
      <c r="H6377" t="str">
        <f>IF(D6377="","",INDEX(Knutepunkter!$D:$D,D6377+1))</f>
        <v/>
      </c>
      <c r="I6377" t="str">
        <f>IF(E6377="","",INDEX(Knutepunkter!$B:$B,E6377+1))</f>
        <v/>
      </c>
      <c r="J6377" t="str">
        <f>IF(E6377="","",INDEX(Knutepunkter!$C:$C,E6377+1))</f>
        <v/>
      </c>
      <c r="K6377" t="str">
        <f>IF(E6377="","",INDEX(Knutepunkter!$D:$D,E6377+1))</f>
        <v/>
      </c>
      <c r="L6377" t="str">
        <f t="shared" si="498"/>
        <v/>
      </c>
      <c r="M6377" t="str">
        <f t="shared" si="499"/>
        <v/>
      </c>
    </row>
    <row r="6378" spans="1:13" x14ac:dyDescent="0.3">
      <c r="A6378" t="str">
        <f>Segmenter!A6378</f>
        <v/>
      </c>
      <c r="B6378" t="str">
        <f>Segmenter!B6378</f>
        <v/>
      </c>
      <c r="C6378" t="str">
        <f t="shared" si="495"/>
        <v/>
      </c>
      <c r="D6378" t="str">
        <f t="shared" si="496"/>
        <v/>
      </c>
      <c r="E6378" t="str">
        <f t="shared" si="497"/>
        <v/>
      </c>
      <c r="F6378" t="str">
        <f>IF(D6378="","",INDEX(Knutepunkter!$B:$B,D6378+1))</f>
        <v/>
      </c>
      <c r="G6378" t="str">
        <f>IF(D6378="","",INDEX(Knutepunkter!$C:$C,D6378+1))</f>
        <v/>
      </c>
      <c r="H6378" t="str">
        <f>IF(D6378="","",INDEX(Knutepunkter!$D:$D,D6378+1))</f>
        <v/>
      </c>
      <c r="I6378" t="str">
        <f>IF(E6378="","",INDEX(Knutepunkter!$B:$B,E6378+1))</f>
        <v/>
      </c>
      <c r="J6378" t="str">
        <f>IF(E6378="","",INDEX(Knutepunkter!$C:$C,E6378+1))</f>
        <v/>
      </c>
      <c r="K6378" t="str">
        <f>IF(E6378="","",INDEX(Knutepunkter!$D:$D,E6378+1))</f>
        <v/>
      </c>
      <c r="L6378" t="str">
        <f t="shared" si="498"/>
        <v/>
      </c>
      <c r="M6378" t="str">
        <f t="shared" si="499"/>
        <v/>
      </c>
    </row>
    <row r="6379" spans="1:13" x14ac:dyDescent="0.3">
      <c r="A6379" t="str">
        <f>Segmenter!A6379</f>
        <v/>
      </c>
      <c r="B6379" t="str">
        <f>Segmenter!B6379</f>
        <v/>
      </c>
      <c r="C6379" t="str">
        <f t="shared" si="495"/>
        <v/>
      </c>
      <c r="D6379" t="str">
        <f t="shared" si="496"/>
        <v/>
      </c>
      <c r="E6379" t="str">
        <f t="shared" si="497"/>
        <v/>
      </c>
      <c r="F6379" t="str">
        <f>IF(D6379="","",INDEX(Knutepunkter!$B:$B,D6379+1))</f>
        <v/>
      </c>
      <c r="G6379" t="str">
        <f>IF(D6379="","",INDEX(Knutepunkter!$C:$C,D6379+1))</f>
        <v/>
      </c>
      <c r="H6379" t="str">
        <f>IF(D6379="","",INDEX(Knutepunkter!$D:$D,D6379+1))</f>
        <v/>
      </c>
      <c r="I6379" t="str">
        <f>IF(E6379="","",INDEX(Knutepunkter!$B:$B,E6379+1))</f>
        <v/>
      </c>
      <c r="J6379" t="str">
        <f>IF(E6379="","",INDEX(Knutepunkter!$C:$C,E6379+1))</f>
        <v/>
      </c>
      <c r="K6379" t="str">
        <f>IF(E6379="","",INDEX(Knutepunkter!$D:$D,E6379+1))</f>
        <v/>
      </c>
      <c r="L6379" t="str">
        <f t="shared" si="498"/>
        <v/>
      </c>
      <c r="M6379" t="str">
        <f t="shared" si="499"/>
        <v/>
      </c>
    </row>
    <row r="6380" spans="1:13" x14ac:dyDescent="0.3">
      <c r="A6380" t="str">
        <f>Segmenter!A6380</f>
        <v/>
      </c>
      <c r="B6380" t="str">
        <f>Segmenter!B6380</f>
        <v/>
      </c>
      <c r="C6380" t="str">
        <f t="shared" si="495"/>
        <v/>
      </c>
      <c r="D6380" t="str">
        <f t="shared" si="496"/>
        <v/>
      </c>
      <c r="E6380" t="str">
        <f t="shared" si="497"/>
        <v/>
      </c>
      <c r="F6380" t="str">
        <f>IF(D6380="","",INDEX(Knutepunkter!$B:$B,D6380+1))</f>
        <v/>
      </c>
      <c r="G6380" t="str">
        <f>IF(D6380="","",INDEX(Knutepunkter!$C:$C,D6380+1))</f>
        <v/>
      </c>
      <c r="H6380" t="str">
        <f>IF(D6380="","",INDEX(Knutepunkter!$D:$D,D6380+1))</f>
        <v/>
      </c>
      <c r="I6380" t="str">
        <f>IF(E6380="","",INDEX(Knutepunkter!$B:$B,E6380+1))</f>
        <v/>
      </c>
      <c r="J6380" t="str">
        <f>IF(E6380="","",INDEX(Knutepunkter!$C:$C,E6380+1))</f>
        <v/>
      </c>
      <c r="K6380" t="str">
        <f>IF(E6380="","",INDEX(Knutepunkter!$D:$D,E6380+1))</f>
        <v/>
      </c>
      <c r="L6380" t="str">
        <f t="shared" si="498"/>
        <v/>
      </c>
      <c r="M6380" t="str">
        <f t="shared" si="499"/>
        <v/>
      </c>
    </row>
    <row r="6381" spans="1:13" x14ac:dyDescent="0.3">
      <c r="A6381" t="str">
        <f>Segmenter!A6381</f>
        <v/>
      </c>
      <c r="B6381" t="str">
        <f>Segmenter!B6381</f>
        <v/>
      </c>
      <c r="C6381" t="str">
        <f t="shared" si="495"/>
        <v/>
      </c>
      <c r="D6381" t="str">
        <f t="shared" si="496"/>
        <v/>
      </c>
      <c r="E6381" t="str">
        <f t="shared" si="497"/>
        <v/>
      </c>
      <c r="F6381" t="str">
        <f>IF(D6381="","",INDEX(Knutepunkter!$B:$B,D6381+1))</f>
        <v/>
      </c>
      <c r="G6381" t="str">
        <f>IF(D6381="","",INDEX(Knutepunkter!$C:$C,D6381+1))</f>
        <v/>
      </c>
      <c r="H6381" t="str">
        <f>IF(D6381="","",INDEX(Knutepunkter!$D:$D,D6381+1))</f>
        <v/>
      </c>
      <c r="I6381" t="str">
        <f>IF(E6381="","",INDEX(Knutepunkter!$B:$B,E6381+1))</f>
        <v/>
      </c>
      <c r="J6381" t="str">
        <f>IF(E6381="","",INDEX(Knutepunkter!$C:$C,E6381+1))</f>
        <v/>
      </c>
      <c r="K6381" t="str">
        <f>IF(E6381="","",INDEX(Knutepunkter!$D:$D,E6381+1))</f>
        <v/>
      </c>
      <c r="L6381" t="str">
        <f t="shared" si="498"/>
        <v/>
      </c>
      <c r="M6381" t="str">
        <f t="shared" si="499"/>
        <v/>
      </c>
    </row>
    <row r="6382" spans="1:13" x14ac:dyDescent="0.3">
      <c r="A6382" t="str">
        <f>Segmenter!A6382</f>
        <v/>
      </c>
      <c r="B6382" t="str">
        <f>Segmenter!B6382</f>
        <v/>
      </c>
      <c r="C6382" t="str">
        <f t="shared" si="495"/>
        <v/>
      </c>
      <c r="D6382" t="str">
        <f t="shared" si="496"/>
        <v/>
      </c>
      <c r="E6382" t="str">
        <f t="shared" si="497"/>
        <v/>
      </c>
      <c r="F6382" t="str">
        <f>IF(D6382="","",INDEX(Knutepunkter!$B:$B,D6382+1))</f>
        <v/>
      </c>
      <c r="G6382" t="str">
        <f>IF(D6382="","",INDEX(Knutepunkter!$C:$C,D6382+1))</f>
        <v/>
      </c>
      <c r="H6382" t="str">
        <f>IF(D6382="","",INDEX(Knutepunkter!$D:$D,D6382+1))</f>
        <v/>
      </c>
      <c r="I6382" t="str">
        <f>IF(E6382="","",INDEX(Knutepunkter!$B:$B,E6382+1))</f>
        <v/>
      </c>
      <c r="J6382" t="str">
        <f>IF(E6382="","",INDEX(Knutepunkter!$C:$C,E6382+1))</f>
        <v/>
      </c>
      <c r="K6382" t="str">
        <f>IF(E6382="","",INDEX(Knutepunkter!$D:$D,E6382+1))</f>
        <v/>
      </c>
      <c r="L6382" t="str">
        <f t="shared" si="498"/>
        <v/>
      </c>
      <c r="M6382" t="str">
        <f t="shared" si="499"/>
        <v/>
      </c>
    </row>
    <row r="6383" spans="1:13" x14ac:dyDescent="0.3">
      <c r="A6383" t="str">
        <f>Segmenter!A6383</f>
        <v/>
      </c>
      <c r="B6383" t="str">
        <f>Segmenter!B6383</f>
        <v/>
      </c>
      <c r="C6383" t="str">
        <f t="shared" si="495"/>
        <v/>
      </c>
      <c r="D6383" t="str">
        <f t="shared" si="496"/>
        <v/>
      </c>
      <c r="E6383" t="str">
        <f t="shared" si="497"/>
        <v/>
      </c>
      <c r="F6383" t="str">
        <f>IF(D6383="","",INDEX(Knutepunkter!$B:$B,D6383+1))</f>
        <v/>
      </c>
      <c r="G6383" t="str">
        <f>IF(D6383="","",INDEX(Knutepunkter!$C:$C,D6383+1))</f>
        <v/>
      </c>
      <c r="H6383" t="str">
        <f>IF(D6383="","",INDEX(Knutepunkter!$D:$D,D6383+1))</f>
        <v/>
      </c>
      <c r="I6383" t="str">
        <f>IF(E6383="","",INDEX(Knutepunkter!$B:$B,E6383+1))</f>
        <v/>
      </c>
      <c r="J6383" t="str">
        <f>IF(E6383="","",INDEX(Knutepunkter!$C:$C,E6383+1))</f>
        <v/>
      </c>
      <c r="K6383" t="str">
        <f>IF(E6383="","",INDEX(Knutepunkter!$D:$D,E6383+1))</f>
        <v/>
      </c>
      <c r="L6383" t="str">
        <f t="shared" si="498"/>
        <v/>
      </c>
      <c r="M6383" t="str">
        <f t="shared" si="499"/>
        <v/>
      </c>
    </row>
    <row r="6384" spans="1:13" x14ac:dyDescent="0.3">
      <c r="A6384" t="str">
        <f>Segmenter!A6384</f>
        <v/>
      </c>
      <c r="B6384" t="str">
        <f>Segmenter!B6384</f>
        <v/>
      </c>
      <c r="C6384" t="str">
        <f t="shared" si="495"/>
        <v/>
      </c>
      <c r="D6384" t="str">
        <f t="shared" si="496"/>
        <v/>
      </c>
      <c r="E6384" t="str">
        <f t="shared" si="497"/>
        <v/>
      </c>
      <c r="F6384" t="str">
        <f>IF(D6384="","",INDEX(Knutepunkter!$B:$B,D6384+1))</f>
        <v/>
      </c>
      <c r="G6384" t="str">
        <f>IF(D6384="","",INDEX(Knutepunkter!$C:$C,D6384+1))</f>
        <v/>
      </c>
      <c r="H6384" t="str">
        <f>IF(D6384="","",INDEX(Knutepunkter!$D:$D,D6384+1))</f>
        <v/>
      </c>
      <c r="I6384" t="str">
        <f>IF(E6384="","",INDEX(Knutepunkter!$B:$B,E6384+1))</f>
        <v/>
      </c>
      <c r="J6384" t="str">
        <f>IF(E6384="","",INDEX(Knutepunkter!$C:$C,E6384+1))</f>
        <v/>
      </c>
      <c r="K6384" t="str">
        <f>IF(E6384="","",INDEX(Knutepunkter!$D:$D,E6384+1))</f>
        <v/>
      </c>
      <c r="L6384" t="str">
        <f t="shared" si="498"/>
        <v/>
      </c>
      <c r="M6384" t="str">
        <f t="shared" si="499"/>
        <v/>
      </c>
    </row>
    <row r="6385" spans="1:13" x14ac:dyDescent="0.3">
      <c r="A6385" t="str">
        <f>Segmenter!A6385</f>
        <v/>
      </c>
      <c r="B6385" t="str">
        <f>Segmenter!B6385</f>
        <v/>
      </c>
      <c r="C6385" t="str">
        <f t="shared" si="495"/>
        <v/>
      </c>
      <c r="D6385" t="str">
        <f t="shared" si="496"/>
        <v/>
      </c>
      <c r="E6385" t="str">
        <f t="shared" si="497"/>
        <v/>
      </c>
      <c r="F6385" t="str">
        <f>IF(D6385="","",INDEX(Knutepunkter!$B:$B,D6385+1))</f>
        <v/>
      </c>
      <c r="G6385" t="str">
        <f>IF(D6385="","",INDEX(Knutepunkter!$C:$C,D6385+1))</f>
        <v/>
      </c>
      <c r="H6385" t="str">
        <f>IF(D6385="","",INDEX(Knutepunkter!$D:$D,D6385+1))</f>
        <v/>
      </c>
      <c r="I6385" t="str">
        <f>IF(E6385="","",INDEX(Knutepunkter!$B:$B,E6385+1))</f>
        <v/>
      </c>
      <c r="J6385" t="str">
        <f>IF(E6385="","",INDEX(Knutepunkter!$C:$C,E6385+1))</f>
        <v/>
      </c>
      <c r="K6385" t="str">
        <f>IF(E6385="","",INDEX(Knutepunkter!$D:$D,E6385+1))</f>
        <v/>
      </c>
      <c r="L6385" t="str">
        <f t="shared" si="498"/>
        <v/>
      </c>
      <c r="M6385" t="str">
        <f t="shared" si="499"/>
        <v/>
      </c>
    </row>
    <row r="6386" spans="1:13" x14ac:dyDescent="0.3">
      <c r="A6386" t="str">
        <f>Segmenter!A6386</f>
        <v/>
      </c>
      <c r="B6386" t="str">
        <f>Segmenter!B6386</f>
        <v/>
      </c>
      <c r="C6386" t="str">
        <f t="shared" si="495"/>
        <v/>
      </c>
      <c r="D6386" t="str">
        <f t="shared" si="496"/>
        <v/>
      </c>
      <c r="E6386" t="str">
        <f t="shared" si="497"/>
        <v/>
      </c>
      <c r="F6386" t="str">
        <f>IF(D6386="","",INDEX(Knutepunkter!$B:$B,D6386+1))</f>
        <v/>
      </c>
      <c r="G6386" t="str">
        <f>IF(D6386="","",INDEX(Knutepunkter!$C:$C,D6386+1))</f>
        <v/>
      </c>
      <c r="H6386" t="str">
        <f>IF(D6386="","",INDEX(Knutepunkter!$D:$D,D6386+1))</f>
        <v/>
      </c>
      <c r="I6386" t="str">
        <f>IF(E6386="","",INDEX(Knutepunkter!$B:$B,E6386+1))</f>
        <v/>
      </c>
      <c r="J6386" t="str">
        <f>IF(E6386="","",INDEX(Knutepunkter!$C:$C,E6386+1))</f>
        <v/>
      </c>
      <c r="K6386" t="str">
        <f>IF(E6386="","",INDEX(Knutepunkter!$D:$D,E6386+1))</f>
        <v/>
      </c>
      <c r="L6386" t="str">
        <f t="shared" si="498"/>
        <v/>
      </c>
      <c r="M6386" t="str">
        <f t="shared" si="499"/>
        <v/>
      </c>
    </row>
    <row r="6387" spans="1:13" x14ac:dyDescent="0.3">
      <c r="A6387" t="str">
        <f>Segmenter!A6387</f>
        <v/>
      </c>
      <c r="B6387" t="str">
        <f>Segmenter!B6387</f>
        <v/>
      </c>
      <c r="C6387" t="str">
        <f t="shared" si="495"/>
        <v/>
      </c>
      <c r="D6387" t="str">
        <f t="shared" si="496"/>
        <v/>
      </c>
      <c r="E6387" t="str">
        <f t="shared" si="497"/>
        <v/>
      </c>
      <c r="F6387" t="str">
        <f>IF(D6387="","",INDEX(Knutepunkter!$B:$B,D6387+1))</f>
        <v/>
      </c>
      <c r="G6387" t="str">
        <f>IF(D6387="","",INDEX(Knutepunkter!$C:$C,D6387+1))</f>
        <v/>
      </c>
      <c r="H6387" t="str">
        <f>IF(D6387="","",INDEX(Knutepunkter!$D:$D,D6387+1))</f>
        <v/>
      </c>
      <c r="I6387" t="str">
        <f>IF(E6387="","",INDEX(Knutepunkter!$B:$B,E6387+1))</f>
        <v/>
      </c>
      <c r="J6387" t="str">
        <f>IF(E6387="","",INDEX(Knutepunkter!$C:$C,E6387+1))</f>
        <v/>
      </c>
      <c r="K6387" t="str">
        <f>IF(E6387="","",INDEX(Knutepunkter!$D:$D,E6387+1))</f>
        <v/>
      </c>
      <c r="L6387" t="str">
        <f t="shared" si="498"/>
        <v/>
      </c>
      <c r="M6387" t="str">
        <f t="shared" si="499"/>
        <v/>
      </c>
    </row>
    <row r="6388" spans="1:13" x14ac:dyDescent="0.3">
      <c r="A6388" t="str">
        <f>Segmenter!A6388</f>
        <v/>
      </c>
      <c r="B6388" t="str">
        <f>Segmenter!B6388</f>
        <v/>
      </c>
      <c r="C6388" t="str">
        <f t="shared" si="495"/>
        <v/>
      </c>
      <c r="D6388" t="str">
        <f t="shared" si="496"/>
        <v/>
      </c>
      <c r="E6388" t="str">
        <f t="shared" si="497"/>
        <v/>
      </c>
      <c r="F6388" t="str">
        <f>IF(D6388="","",INDEX(Knutepunkter!$B:$B,D6388+1))</f>
        <v/>
      </c>
      <c r="G6388" t="str">
        <f>IF(D6388="","",INDEX(Knutepunkter!$C:$C,D6388+1))</f>
        <v/>
      </c>
      <c r="H6388" t="str">
        <f>IF(D6388="","",INDEX(Knutepunkter!$D:$D,D6388+1))</f>
        <v/>
      </c>
      <c r="I6388" t="str">
        <f>IF(E6388="","",INDEX(Knutepunkter!$B:$B,E6388+1))</f>
        <v/>
      </c>
      <c r="J6388" t="str">
        <f>IF(E6388="","",INDEX(Knutepunkter!$C:$C,E6388+1))</f>
        <v/>
      </c>
      <c r="K6388" t="str">
        <f>IF(E6388="","",INDEX(Knutepunkter!$D:$D,E6388+1))</f>
        <v/>
      </c>
      <c r="L6388" t="str">
        <f t="shared" si="498"/>
        <v/>
      </c>
      <c r="M6388" t="str">
        <f t="shared" si="499"/>
        <v/>
      </c>
    </row>
    <row r="6389" spans="1:13" x14ac:dyDescent="0.3">
      <c r="A6389" t="str">
        <f>Segmenter!A6389</f>
        <v/>
      </c>
      <c r="B6389" t="str">
        <f>Segmenter!B6389</f>
        <v/>
      </c>
      <c r="C6389" t="str">
        <f t="shared" si="495"/>
        <v/>
      </c>
      <c r="D6389" t="str">
        <f t="shared" si="496"/>
        <v/>
      </c>
      <c r="E6389" t="str">
        <f t="shared" si="497"/>
        <v/>
      </c>
      <c r="F6389" t="str">
        <f>IF(D6389="","",INDEX(Knutepunkter!$B:$B,D6389+1))</f>
        <v/>
      </c>
      <c r="G6389" t="str">
        <f>IF(D6389="","",INDEX(Knutepunkter!$C:$C,D6389+1))</f>
        <v/>
      </c>
      <c r="H6389" t="str">
        <f>IF(D6389="","",INDEX(Knutepunkter!$D:$D,D6389+1))</f>
        <v/>
      </c>
      <c r="I6389" t="str">
        <f>IF(E6389="","",INDEX(Knutepunkter!$B:$B,E6389+1))</f>
        <v/>
      </c>
      <c r="J6389" t="str">
        <f>IF(E6389="","",INDEX(Knutepunkter!$C:$C,E6389+1))</f>
        <v/>
      </c>
      <c r="K6389" t="str">
        <f>IF(E6389="","",INDEX(Knutepunkter!$D:$D,E6389+1))</f>
        <v/>
      </c>
      <c r="L6389" t="str">
        <f t="shared" si="498"/>
        <v/>
      </c>
      <c r="M6389" t="str">
        <f t="shared" si="499"/>
        <v/>
      </c>
    </row>
    <row r="6390" spans="1:13" x14ac:dyDescent="0.3">
      <c r="A6390" t="str">
        <f>Segmenter!A6390</f>
        <v/>
      </c>
      <c r="B6390" t="str">
        <f>Segmenter!B6390</f>
        <v/>
      </c>
      <c r="C6390" t="str">
        <f t="shared" si="495"/>
        <v/>
      </c>
      <c r="D6390" t="str">
        <f t="shared" si="496"/>
        <v/>
      </c>
      <c r="E6390" t="str">
        <f t="shared" si="497"/>
        <v/>
      </c>
      <c r="F6390" t="str">
        <f>IF(D6390="","",INDEX(Knutepunkter!$B:$B,D6390+1))</f>
        <v/>
      </c>
      <c r="G6390" t="str">
        <f>IF(D6390="","",INDEX(Knutepunkter!$C:$C,D6390+1))</f>
        <v/>
      </c>
      <c r="H6390" t="str">
        <f>IF(D6390="","",INDEX(Knutepunkter!$D:$D,D6390+1))</f>
        <v/>
      </c>
      <c r="I6390" t="str">
        <f>IF(E6390="","",INDEX(Knutepunkter!$B:$B,E6390+1))</f>
        <v/>
      </c>
      <c r="J6390" t="str">
        <f>IF(E6390="","",INDEX(Knutepunkter!$C:$C,E6390+1))</f>
        <v/>
      </c>
      <c r="K6390" t="str">
        <f>IF(E6390="","",INDEX(Knutepunkter!$D:$D,E6390+1))</f>
        <v/>
      </c>
      <c r="L6390" t="str">
        <f t="shared" si="498"/>
        <v/>
      </c>
      <c r="M6390" t="str">
        <f t="shared" si="499"/>
        <v/>
      </c>
    </row>
    <row r="6391" spans="1:13" x14ac:dyDescent="0.3">
      <c r="A6391" t="str">
        <f>Segmenter!A6391</f>
        <v/>
      </c>
      <c r="B6391" t="str">
        <f>Segmenter!B6391</f>
        <v/>
      </c>
      <c r="C6391" t="str">
        <f t="shared" si="495"/>
        <v/>
      </c>
      <c r="D6391" t="str">
        <f t="shared" si="496"/>
        <v/>
      </c>
      <c r="E6391" t="str">
        <f t="shared" si="497"/>
        <v/>
      </c>
      <c r="F6391" t="str">
        <f>IF(D6391="","",INDEX(Knutepunkter!$B:$B,D6391+1))</f>
        <v/>
      </c>
      <c r="G6391" t="str">
        <f>IF(D6391="","",INDEX(Knutepunkter!$C:$C,D6391+1))</f>
        <v/>
      </c>
      <c r="H6391" t="str">
        <f>IF(D6391="","",INDEX(Knutepunkter!$D:$D,D6391+1))</f>
        <v/>
      </c>
      <c r="I6391" t="str">
        <f>IF(E6391="","",INDEX(Knutepunkter!$B:$B,E6391+1))</f>
        <v/>
      </c>
      <c r="J6391" t="str">
        <f>IF(E6391="","",INDEX(Knutepunkter!$C:$C,E6391+1))</f>
        <v/>
      </c>
      <c r="K6391" t="str">
        <f>IF(E6391="","",INDEX(Knutepunkter!$D:$D,E6391+1))</f>
        <v/>
      </c>
      <c r="L6391" t="str">
        <f t="shared" si="498"/>
        <v/>
      </c>
      <c r="M6391" t="str">
        <f t="shared" si="499"/>
        <v/>
      </c>
    </row>
    <row r="6392" spans="1:13" x14ac:dyDescent="0.3">
      <c r="A6392" t="str">
        <f>Segmenter!A6392</f>
        <v/>
      </c>
      <c r="B6392" t="str">
        <f>Segmenter!B6392</f>
        <v/>
      </c>
      <c r="C6392" t="str">
        <f t="shared" si="495"/>
        <v/>
      </c>
      <c r="D6392" t="str">
        <f t="shared" si="496"/>
        <v/>
      </c>
      <c r="E6392" t="str">
        <f t="shared" si="497"/>
        <v/>
      </c>
      <c r="F6392" t="str">
        <f>IF(D6392="","",INDEX(Knutepunkter!$B:$B,D6392+1))</f>
        <v/>
      </c>
      <c r="G6392" t="str">
        <f>IF(D6392="","",INDEX(Knutepunkter!$C:$C,D6392+1))</f>
        <v/>
      </c>
      <c r="H6392" t="str">
        <f>IF(D6392="","",INDEX(Knutepunkter!$D:$D,D6392+1))</f>
        <v/>
      </c>
      <c r="I6392" t="str">
        <f>IF(E6392="","",INDEX(Knutepunkter!$B:$B,E6392+1))</f>
        <v/>
      </c>
      <c r="J6392" t="str">
        <f>IF(E6392="","",INDEX(Knutepunkter!$C:$C,E6392+1))</f>
        <v/>
      </c>
      <c r="K6392" t="str">
        <f>IF(E6392="","",INDEX(Knutepunkter!$D:$D,E6392+1))</f>
        <v/>
      </c>
      <c r="L6392" t="str">
        <f t="shared" si="498"/>
        <v/>
      </c>
      <c r="M6392" t="str">
        <f t="shared" si="499"/>
        <v/>
      </c>
    </row>
    <row r="6393" spans="1:13" x14ac:dyDescent="0.3">
      <c r="A6393" t="str">
        <f>Segmenter!A6393</f>
        <v/>
      </c>
      <c r="B6393" t="str">
        <f>Segmenter!B6393</f>
        <v/>
      </c>
      <c r="C6393" t="str">
        <f t="shared" si="495"/>
        <v/>
      </c>
      <c r="D6393" t="str">
        <f t="shared" si="496"/>
        <v/>
      </c>
      <c r="E6393" t="str">
        <f t="shared" si="497"/>
        <v/>
      </c>
      <c r="F6393" t="str">
        <f>IF(D6393="","",INDEX(Knutepunkter!$B:$B,D6393+1))</f>
        <v/>
      </c>
      <c r="G6393" t="str">
        <f>IF(D6393="","",INDEX(Knutepunkter!$C:$C,D6393+1))</f>
        <v/>
      </c>
      <c r="H6393" t="str">
        <f>IF(D6393="","",INDEX(Knutepunkter!$D:$D,D6393+1))</f>
        <v/>
      </c>
      <c r="I6393" t="str">
        <f>IF(E6393="","",INDEX(Knutepunkter!$B:$B,E6393+1))</f>
        <v/>
      </c>
      <c r="J6393" t="str">
        <f>IF(E6393="","",INDEX(Knutepunkter!$C:$C,E6393+1))</f>
        <v/>
      </c>
      <c r="K6393" t="str">
        <f>IF(E6393="","",INDEX(Knutepunkter!$D:$D,E6393+1))</f>
        <v/>
      </c>
      <c r="L6393" t="str">
        <f t="shared" si="498"/>
        <v/>
      </c>
      <c r="M6393" t="str">
        <f t="shared" si="499"/>
        <v/>
      </c>
    </row>
    <row r="6394" spans="1:13" x14ac:dyDescent="0.3">
      <c r="A6394" t="str">
        <f>Segmenter!A6394</f>
        <v/>
      </c>
      <c r="B6394" t="str">
        <f>Segmenter!B6394</f>
        <v/>
      </c>
      <c r="C6394" t="str">
        <f t="shared" si="495"/>
        <v/>
      </c>
      <c r="D6394" t="str">
        <f t="shared" si="496"/>
        <v/>
      </c>
      <c r="E6394" t="str">
        <f t="shared" si="497"/>
        <v/>
      </c>
      <c r="F6394" t="str">
        <f>IF(D6394="","",INDEX(Knutepunkter!$B:$B,D6394+1))</f>
        <v/>
      </c>
      <c r="G6394" t="str">
        <f>IF(D6394="","",INDEX(Knutepunkter!$C:$C,D6394+1))</f>
        <v/>
      </c>
      <c r="H6394" t="str">
        <f>IF(D6394="","",INDEX(Knutepunkter!$D:$D,D6394+1))</f>
        <v/>
      </c>
      <c r="I6394" t="str">
        <f>IF(E6394="","",INDEX(Knutepunkter!$B:$B,E6394+1))</f>
        <v/>
      </c>
      <c r="J6394" t="str">
        <f>IF(E6394="","",INDEX(Knutepunkter!$C:$C,E6394+1))</f>
        <v/>
      </c>
      <c r="K6394" t="str">
        <f>IF(E6394="","",INDEX(Knutepunkter!$D:$D,E6394+1))</f>
        <v/>
      </c>
      <c r="L6394" t="str">
        <f t="shared" si="498"/>
        <v/>
      </c>
      <c r="M6394" t="str">
        <f t="shared" si="499"/>
        <v/>
      </c>
    </row>
    <row r="6395" spans="1:13" x14ac:dyDescent="0.3">
      <c r="A6395" t="str">
        <f>Segmenter!A6395</f>
        <v/>
      </c>
      <c r="B6395" t="str">
        <f>Segmenter!B6395</f>
        <v/>
      </c>
      <c r="C6395" t="str">
        <f t="shared" si="495"/>
        <v/>
      </c>
      <c r="D6395" t="str">
        <f t="shared" si="496"/>
        <v/>
      </c>
      <c r="E6395" t="str">
        <f t="shared" si="497"/>
        <v/>
      </c>
      <c r="F6395" t="str">
        <f>IF(D6395="","",INDEX(Knutepunkter!$B:$B,D6395+1))</f>
        <v/>
      </c>
      <c r="G6395" t="str">
        <f>IF(D6395="","",INDEX(Knutepunkter!$C:$C,D6395+1))</f>
        <v/>
      </c>
      <c r="H6395" t="str">
        <f>IF(D6395="","",INDEX(Knutepunkter!$D:$D,D6395+1))</f>
        <v/>
      </c>
      <c r="I6395" t="str">
        <f>IF(E6395="","",INDEX(Knutepunkter!$B:$B,E6395+1))</f>
        <v/>
      </c>
      <c r="J6395" t="str">
        <f>IF(E6395="","",INDEX(Knutepunkter!$C:$C,E6395+1))</f>
        <v/>
      </c>
      <c r="K6395" t="str">
        <f>IF(E6395="","",INDEX(Knutepunkter!$D:$D,E6395+1))</f>
        <v/>
      </c>
      <c r="L6395" t="str">
        <f t="shared" si="498"/>
        <v/>
      </c>
      <c r="M6395" t="str">
        <f t="shared" si="499"/>
        <v/>
      </c>
    </row>
    <row r="6396" spans="1:13" x14ac:dyDescent="0.3">
      <c r="A6396" t="str">
        <f>Segmenter!A6396</f>
        <v/>
      </c>
      <c r="B6396" t="str">
        <f>Segmenter!B6396</f>
        <v/>
      </c>
      <c r="C6396" t="str">
        <f t="shared" si="495"/>
        <v/>
      </c>
      <c r="D6396" t="str">
        <f t="shared" si="496"/>
        <v/>
      </c>
      <c r="E6396" t="str">
        <f t="shared" si="497"/>
        <v/>
      </c>
      <c r="F6396" t="str">
        <f>IF(D6396="","",INDEX(Knutepunkter!$B:$B,D6396+1))</f>
        <v/>
      </c>
      <c r="G6396" t="str">
        <f>IF(D6396="","",INDEX(Knutepunkter!$C:$C,D6396+1))</f>
        <v/>
      </c>
      <c r="H6396" t="str">
        <f>IF(D6396="","",INDEX(Knutepunkter!$D:$D,D6396+1))</f>
        <v/>
      </c>
      <c r="I6396" t="str">
        <f>IF(E6396="","",INDEX(Knutepunkter!$B:$B,E6396+1))</f>
        <v/>
      </c>
      <c r="J6396" t="str">
        <f>IF(E6396="","",INDEX(Knutepunkter!$C:$C,E6396+1))</f>
        <v/>
      </c>
      <c r="K6396" t="str">
        <f>IF(E6396="","",INDEX(Knutepunkter!$D:$D,E6396+1))</f>
        <v/>
      </c>
      <c r="L6396" t="str">
        <f t="shared" si="498"/>
        <v/>
      </c>
      <c r="M6396" t="str">
        <f t="shared" si="499"/>
        <v/>
      </c>
    </row>
    <row r="6397" spans="1:13" x14ac:dyDescent="0.3">
      <c r="A6397" t="str">
        <f>Segmenter!A6397</f>
        <v/>
      </c>
      <c r="B6397" t="str">
        <f>Segmenter!B6397</f>
        <v/>
      </c>
      <c r="C6397" t="str">
        <f t="shared" si="495"/>
        <v/>
      </c>
      <c r="D6397" t="str">
        <f t="shared" si="496"/>
        <v/>
      </c>
      <c r="E6397" t="str">
        <f t="shared" si="497"/>
        <v/>
      </c>
      <c r="F6397" t="str">
        <f>IF(D6397="","",INDEX(Knutepunkter!$B:$B,D6397+1))</f>
        <v/>
      </c>
      <c r="G6397" t="str">
        <f>IF(D6397="","",INDEX(Knutepunkter!$C:$C,D6397+1))</f>
        <v/>
      </c>
      <c r="H6397" t="str">
        <f>IF(D6397="","",INDEX(Knutepunkter!$D:$D,D6397+1))</f>
        <v/>
      </c>
      <c r="I6397" t="str">
        <f>IF(E6397="","",INDEX(Knutepunkter!$B:$B,E6397+1))</f>
        <v/>
      </c>
      <c r="J6397" t="str">
        <f>IF(E6397="","",INDEX(Knutepunkter!$C:$C,E6397+1))</f>
        <v/>
      </c>
      <c r="K6397" t="str">
        <f>IF(E6397="","",INDEX(Knutepunkter!$D:$D,E6397+1))</f>
        <v/>
      </c>
      <c r="L6397" t="str">
        <f t="shared" si="498"/>
        <v/>
      </c>
      <c r="M6397" t="str">
        <f t="shared" si="499"/>
        <v/>
      </c>
    </row>
    <row r="6398" spans="1:13" x14ac:dyDescent="0.3">
      <c r="A6398" t="str">
        <f>Segmenter!A6398</f>
        <v/>
      </c>
      <c r="B6398" t="str">
        <f>Segmenter!B6398</f>
        <v/>
      </c>
      <c r="C6398" t="str">
        <f t="shared" si="495"/>
        <v/>
      </c>
      <c r="D6398" t="str">
        <f t="shared" si="496"/>
        <v/>
      </c>
      <c r="E6398" t="str">
        <f t="shared" si="497"/>
        <v/>
      </c>
      <c r="F6398" t="str">
        <f>IF(D6398="","",INDEX(Knutepunkter!$B:$B,D6398+1))</f>
        <v/>
      </c>
      <c r="G6398" t="str">
        <f>IF(D6398="","",INDEX(Knutepunkter!$C:$C,D6398+1))</f>
        <v/>
      </c>
      <c r="H6398" t="str">
        <f>IF(D6398="","",INDEX(Knutepunkter!$D:$D,D6398+1))</f>
        <v/>
      </c>
      <c r="I6398" t="str">
        <f>IF(E6398="","",INDEX(Knutepunkter!$B:$B,E6398+1))</f>
        <v/>
      </c>
      <c r="J6398" t="str">
        <f>IF(E6398="","",INDEX(Knutepunkter!$C:$C,E6398+1))</f>
        <v/>
      </c>
      <c r="K6398" t="str">
        <f>IF(E6398="","",INDEX(Knutepunkter!$D:$D,E6398+1))</f>
        <v/>
      </c>
      <c r="L6398" t="str">
        <f t="shared" si="498"/>
        <v/>
      </c>
      <c r="M6398" t="str">
        <f t="shared" si="499"/>
        <v/>
      </c>
    </row>
    <row r="6399" spans="1:13" x14ac:dyDescent="0.3">
      <c r="A6399" t="str">
        <f>Segmenter!A6399</f>
        <v/>
      </c>
      <c r="B6399" t="str">
        <f>Segmenter!B6399</f>
        <v/>
      </c>
      <c r="C6399" t="str">
        <f t="shared" si="495"/>
        <v/>
      </c>
      <c r="D6399" t="str">
        <f t="shared" si="496"/>
        <v/>
      </c>
      <c r="E6399" t="str">
        <f t="shared" si="497"/>
        <v/>
      </c>
      <c r="F6399" t="str">
        <f>IF(D6399="","",INDEX(Knutepunkter!$B:$B,D6399+1))</f>
        <v/>
      </c>
      <c r="G6399" t="str">
        <f>IF(D6399="","",INDEX(Knutepunkter!$C:$C,D6399+1))</f>
        <v/>
      </c>
      <c r="H6399" t="str">
        <f>IF(D6399="","",INDEX(Knutepunkter!$D:$D,D6399+1))</f>
        <v/>
      </c>
      <c r="I6399" t="str">
        <f>IF(E6399="","",INDEX(Knutepunkter!$B:$B,E6399+1))</f>
        <v/>
      </c>
      <c r="J6399" t="str">
        <f>IF(E6399="","",INDEX(Knutepunkter!$C:$C,E6399+1))</f>
        <v/>
      </c>
      <c r="K6399" t="str">
        <f>IF(E6399="","",INDEX(Knutepunkter!$D:$D,E6399+1))</f>
        <v/>
      </c>
      <c r="L6399" t="str">
        <f t="shared" si="498"/>
        <v/>
      </c>
      <c r="M6399" t="str">
        <f t="shared" si="499"/>
        <v/>
      </c>
    </row>
    <row r="6400" spans="1:13" x14ac:dyDescent="0.3">
      <c r="A6400" t="str">
        <f>Segmenter!A6400</f>
        <v/>
      </c>
      <c r="B6400" t="str">
        <f>Segmenter!B6400</f>
        <v/>
      </c>
      <c r="C6400" t="str">
        <f t="shared" si="495"/>
        <v/>
      </c>
      <c r="D6400" t="str">
        <f t="shared" si="496"/>
        <v/>
      </c>
      <c r="E6400" t="str">
        <f t="shared" si="497"/>
        <v/>
      </c>
      <c r="F6400" t="str">
        <f>IF(D6400="","",INDEX(Knutepunkter!$B:$B,D6400+1))</f>
        <v/>
      </c>
      <c r="G6400" t="str">
        <f>IF(D6400="","",INDEX(Knutepunkter!$C:$C,D6400+1))</f>
        <v/>
      </c>
      <c r="H6400" t="str">
        <f>IF(D6400="","",INDEX(Knutepunkter!$D:$D,D6400+1))</f>
        <v/>
      </c>
      <c r="I6400" t="str">
        <f>IF(E6400="","",INDEX(Knutepunkter!$B:$B,E6400+1))</f>
        <v/>
      </c>
      <c r="J6400" t="str">
        <f>IF(E6400="","",INDEX(Knutepunkter!$C:$C,E6400+1))</f>
        <v/>
      </c>
      <c r="K6400" t="str">
        <f>IF(E6400="","",INDEX(Knutepunkter!$D:$D,E6400+1))</f>
        <v/>
      </c>
      <c r="L6400" t="str">
        <f t="shared" si="498"/>
        <v/>
      </c>
      <c r="M6400" t="str">
        <f t="shared" si="499"/>
        <v/>
      </c>
    </row>
    <row r="6401" spans="1:13" x14ac:dyDescent="0.3">
      <c r="A6401" t="str">
        <f>Segmenter!A6401</f>
        <v/>
      </c>
      <c r="B6401" t="str">
        <f>Segmenter!B6401</f>
        <v/>
      </c>
      <c r="C6401" t="str">
        <f t="shared" si="495"/>
        <v/>
      </c>
      <c r="D6401" t="str">
        <f t="shared" si="496"/>
        <v/>
      </c>
      <c r="E6401" t="str">
        <f t="shared" si="497"/>
        <v/>
      </c>
      <c r="F6401" t="str">
        <f>IF(D6401="","",INDEX(Knutepunkter!$B:$B,D6401+1))</f>
        <v/>
      </c>
      <c r="G6401" t="str">
        <f>IF(D6401="","",INDEX(Knutepunkter!$C:$C,D6401+1))</f>
        <v/>
      </c>
      <c r="H6401" t="str">
        <f>IF(D6401="","",INDEX(Knutepunkter!$D:$D,D6401+1))</f>
        <v/>
      </c>
      <c r="I6401" t="str">
        <f>IF(E6401="","",INDEX(Knutepunkter!$B:$B,E6401+1))</f>
        <v/>
      </c>
      <c r="J6401" t="str">
        <f>IF(E6401="","",INDEX(Knutepunkter!$C:$C,E6401+1))</f>
        <v/>
      </c>
      <c r="K6401" t="str">
        <f>IF(E6401="","",INDEX(Knutepunkter!$D:$D,E6401+1))</f>
        <v/>
      </c>
      <c r="L6401" t="str">
        <f t="shared" si="498"/>
        <v/>
      </c>
      <c r="M6401" t="str">
        <f t="shared" si="499"/>
        <v/>
      </c>
    </row>
    <row r="6402" spans="1:13" x14ac:dyDescent="0.3">
      <c r="A6402" t="str">
        <f>Segmenter!A6402</f>
        <v/>
      </c>
      <c r="B6402" t="str">
        <f>Segmenter!B6402</f>
        <v/>
      </c>
      <c r="C6402" t="str">
        <f t="shared" ref="C6402:C6465" si="500">IF(B6402="","",IF(AND(F6402=I6402,G6402=J6402,H6402&lt;&gt;K6402),"Søyle","Bjelke"))</f>
        <v/>
      </c>
      <c r="D6402" t="str">
        <f t="shared" ref="D6402:D6465" si="501">IF(B6402="","",VALUE(LEFT(B6402,FIND(" -&gt; ",B6402)-1)))</f>
        <v/>
      </c>
      <c r="E6402" t="str">
        <f t="shared" ref="E6402:E6465" si="502">IF(B6402="","",VALUE(MID(B6402,FIND(" -&gt; ",B6402)+4,99)))</f>
        <v/>
      </c>
      <c r="F6402" t="str">
        <f>IF(D6402="","",INDEX(Knutepunkter!$B:$B,D6402+1))</f>
        <v/>
      </c>
      <c r="G6402" t="str">
        <f>IF(D6402="","",INDEX(Knutepunkter!$C:$C,D6402+1))</f>
        <v/>
      </c>
      <c r="H6402" t="str">
        <f>IF(D6402="","",INDEX(Knutepunkter!$D:$D,D6402+1))</f>
        <v/>
      </c>
      <c r="I6402" t="str">
        <f>IF(E6402="","",INDEX(Knutepunkter!$B:$B,E6402+1))</f>
        <v/>
      </c>
      <c r="J6402" t="str">
        <f>IF(E6402="","",INDEX(Knutepunkter!$C:$C,E6402+1))</f>
        <v/>
      </c>
      <c r="K6402" t="str">
        <f>IF(E6402="","",INDEX(Knutepunkter!$D:$D,E6402+1))</f>
        <v/>
      </c>
      <c r="L6402" t="str">
        <f t="shared" ref="L6402:L6465" si="503">IF(B6402="","",SQRT((I6402-F6402)^2+(J6402-G6402)^2+(K6402-H6402)^2))</f>
        <v/>
      </c>
      <c r="M6402" t="str">
        <f t="shared" ref="M6402:M6465" si="504">IF(L6402="","",L6402/1000)</f>
        <v/>
      </c>
    </row>
    <row r="6403" spans="1:13" x14ac:dyDescent="0.3">
      <c r="A6403" t="str">
        <f>Segmenter!A6403</f>
        <v/>
      </c>
      <c r="B6403" t="str">
        <f>Segmenter!B6403</f>
        <v/>
      </c>
      <c r="C6403" t="str">
        <f t="shared" si="500"/>
        <v/>
      </c>
      <c r="D6403" t="str">
        <f t="shared" si="501"/>
        <v/>
      </c>
      <c r="E6403" t="str">
        <f t="shared" si="502"/>
        <v/>
      </c>
      <c r="F6403" t="str">
        <f>IF(D6403="","",INDEX(Knutepunkter!$B:$B,D6403+1))</f>
        <v/>
      </c>
      <c r="G6403" t="str">
        <f>IF(D6403="","",INDEX(Knutepunkter!$C:$C,D6403+1))</f>
        <v/>
      </c>
      <c r="H6403" t="str">
        <f>IF(D6403="","",INDEX(Knutepunkter!$D:$D,D6403+1))</f>
        <v/>
      </c>
      <c r="I6403" t="str">
        <f>IF(E6403="","",INDEX(Knutepunkter!$B:$B,E6403+1))</f>
        <v/>
      </c>
      <c r="J6403" t="str">
        <f>IF(E6403="","",INDEX(Knutepunkter!$C:$C,E6403+1))</f>
        <v/>
      </c>
      <c r="K6403" t="str">
        <f>IF(E6403="","",INDEX(Knutepunkter!$D:$D,E6403+1))</f>
        <v/>
      </c>
      <c r="L6403" t="str">
        <f t="shared" si="503"/>
        <v/>
      </c>
      <c r="M6403" t="str">
        <f t="shared" si="504"/>
        <v/>
      </c>
    </row>
    <row r="6404" spans="1:13" x14ac:dyDescent="0.3">
      <c r="A6404" t="str">
        <f>Segmenter!A6404</f>
        <v/>
      </c>
      <c r="B6404" t="str">
        <f>Segmenter!B6404</f>
        <v/>
      </c>
      <c r="C6404" t="str">
        <f t="shared" si="500"/>
        <v/>
      </c>
      <c r="D6404" t="str">
        <f t="shared" si="501"/>
        <v/>
      </c>
      <c r="E6404" t="str">
        <f t="shared" si="502"/>
        <v/>
      </c>
      <c r="F6404" t="str">
        <f>IF(D6404="","",INDEX(Knutepunkter!$B:$B,D6404+1))</f>
        <v/>
      </c>
      <c r="G6404" t="str">
        <f>IF(D6404="","",INDEX(Knutepunkter!$C:$C,D6404+1))</f>
        <v/>
      </c>
      <c r="H6404" t="str">
        <f>IF(D6404="","",INDEX(Knutepunkter!$D:$D,D6404+1))</f>
        <v/>
      </c>
      <c r="I6404" t="str">
        <f>IF(E6404="","",INDEX(Knutepunkter!$B:$B,E6404+1))</f>
        <v/>
      </c>
      <c r="J6404" t="str">
        <f>IF(E6404="","",INDEX(Knutepunkter!$C:$C,E6404+1))</f>
        <v/>
      </c>
      <c r="K6404" t="str">
        <f>IF(E6404="","",INDEX(Knutepunkter!$D:$D,E6404+1))</f>
        <v/>
      </c>
      <c r="L6404" t="str">
        <f t="shared" si="503"/>
        <v/>
      </c>
      <c r="M6404" t="str">
        <f t="shared" si="504"/>
        <v/>
      </c>
    </row>
    <row r="6405" spans="1:13" x14ac:dyDescent="0.3">
      <c r="A6405" t="str">
        <f>Segmenter!A6405</f>
        <v/>
      </c>
      <c r="B6405" t="str">
        <f>Segmenter!B6405</f>
        <v/>
      </c>
      <c r="C6405" t="str">
        <f t="shared" si="500"/>
        <v/>
      </c>
      <c r="D6405" t="str">
        <f t="shared" si="501"/>
        <v/>
      </c>
      <c r="E6405" t="str">
        <f t="shared" si="502"/>
        <v/>
      </c>
      <c r="F6405" t="str">
        <f>IF(D6405="","",INDEX(Knutepunkter!$B:$B,D6405+1))</f>
        <v/>
      </c>
      <c r="G6405" t="str">
        <f>IF(D6405="","",INDEX(Knutepunkter!$C:$C,D6405+1))</f>
        <v/>
      </c>
      <c r="H6405" t="str">
        <f>IF(D6405="","",INDEX(Knutepunkter!$D:$D,D6405+1))</f>
        <v/>
      </c>
      <c r="I6405" t="str">
        <f>IF(E6405="","",INDEX(Knutepunkter!$B:$B,E6405+1))</f>
        <v/>
      </c>
      <c r="J6405" t="str">
        <f>IF(E6405="","",INDEX(Knutepunkter!$C:$C,E6405+1))</f>
        <v/>
      </c>
      <c r="K6405" t="str">
        <f>IF(E6405="","",INDEX(Knutepunkter!$D:$D,E6405+1))</f>
        <v/>
      </c>
      <c r="L6405" t="str">
        <f t="shared" si="503"/>
        <v/>
      </c>
      <c r="M6405" t="str">
        <f t="shared" si="504"/>
        <v/>
      </c>
    </row>
    <row r="6406" spans="1:13" x14ac:dyDescent="0.3">
      <c r="A6406" t="str">
        <f>Segmenter!A6406</f>
        <v/>
      </c>
      <c r="B6406" t="str">
        <f>Segmenter!B6406</f>
        <v/>
      </c>
      <c r="C6406" t="str">
        <f t="shared" si="500"/>
        <v/>
      </c>
      <c r="D6406" t="str">
        <f t="shared" si="501"/>
        <v/>
      </c>
      <c r="E6406" t="str">
        <f t="shared" si="502"/>
        <v/>
      </c>
      <c r="F6406" t="str">
        <f>IF(D6406="","",INDEX(Knutepunkter!$B:$B,D6406+1))</f>
        <v/>
      </c>
      <c r="G6406" t="str">
        <f>IF(D6406="","",INDEX(Knutepunkter!$C:$C,D6406+1))</f>
        <v/>
      </c>
      <c r="H6406" t="str">
        <f>IF(D6406="","",INDEX(Knutepunkter!$D:$D,D6406+1))</f>
        <v/>
      </c>
      <c r="I6406" t="str">
        <f>IF(E6406="","",INDEX(Knutepunkter!$B:$B,E6406+1))</f>
        <v/>
      </c>
      <c r="J6406" t="str">
        <f>IF(E6406="","",INDEX(Knutepunkter!$C:$C,E6406+1))</f>
        <v/>
      </c>
      <c r="K6406" t="str">
        <f>IF(E6406="","",INDEX(Knutepunkter!$D:$D,E6406+1))</f>
        <v/>
      </c>
      <c r="L6406" t="str">
        <f t="shared" si="503"/>
        <v/>
      </c>
      <c r="M6406" t="str">
        <f t="shared" si="504"/>
        <v/>
      </c>
    </row>
    <row r="6407" spans="1:13" x14ac:dyDescent="0.3">
      <c r="A6407" t="str">
        <f>Segmenter!A6407</f>
        <v/>
      </c>
      <c r="B6407" t="str">
        <f>Segmenter!B6407</f>
        <v/>
      </c>
      <c r="C6407" t="str">
        <f t="shared" si="500"/>
        <v/>
      </c>
      <c r="D6407" t="str">
        <f t="shared" si="501"/>
        <v/>
      </c>
      <c r="E6407" t="str">
        <f t="shared" si="502"/>
        <v/>
      </c>
      <c r="F6407" t="str">
        <f>IF(D6407="","",INDEX(Knutepunkter!$B:$B,D6407+1))</f>
        <v/>
      </c>
      <c r="G6407" t="str">
        <f>IF(D6407="","",INDEX(Knutepunkter!$C:$C,D6407+1))</f>
        <v/>
      </c>
      <c r="H6407" t="str">
        <f>IF(D6407="","",INDEX(Knutepunkter!$D:$D,D6407+1))</f>
        <v/>
      </c>
      <c r="I6407" t="str">
        <f>IF(E6407="","",INDEX(Knutepunkter!$B:$B,E6407+1))</f>
        <v/>
      </c>
      <c r="J6407" t="str">
        <f>IF(E6407="","",INDEX(Knutepunkter!$C:$C,E6407+1))</f>
        <v/>
      </c>
      <c r="K6407" t="str">
        <f>IF(E6407="","",INDEX(Knutepunkter!$D:$D,E6407+1))</f>
        <v/>
      </c>
      <c r="L6407" t="str">
        <f t="shared" si="503"/>
        <v/>
      </c>
      <c r="M6407" t="str">
        <f t="shared" si="504"/>
        <v/>
      </c>
    </row>
    <row r="6408" spans="1:13" x14ac:dyDescent="0.3">
      <c r="A6408" t="str">
        <f>Segmenter!A6408</f>
        <v/>
      </c>
      <c r="B6408" t="str">
        <f>Segmenter!B6408</f>
        <v/>
      </c>
      <c r="C6408" t="str">
        <f t="shared" si="500"/>
        <v/>
      </c>
      <c r="D6408" t="str">
        <f t="shared" si="501"/>
        <v/>
      </c>
      <c r="E6408" t="str">
        <f t="shared" si="502"/>
        <v/>
      </c>
      <c r="F6408" t="str">
        <f>IF(D6408="","",INDEX(Knutepunkter!$B:$B,D6408+1))</f>
        <v/>
      </c>
      <c r="G6408" t="str">
        <f>IF(D6408="","",INDEX(Knutepunkter!$C:$C,D6408+1))</f>
        <v/>
      </c>
      <c r="H6408" t="str">
        <f>IF(D6408="","",INDEX(Knutepunkter!$D:$D,D6408+1))</f>
        <v/>
      </c>
      <c r="I6408" t="str">
        <f>IF(E6408="","",INDEX(Knutepunkter!$B:$B,E6408+1))</f>
        <v/>
      </c>
      <c r="J6408" t="str">
        <f>IF(E6408="","",INDEX(Knutepunkter!$C:$C,E6408+1))</f>
        <v/>
      </c>
      <c r="K6408" t="str">
        <f>IF(E6408="","",INDEX(Knutepunkter!$D:$D,E6408+1))</f>
        <v/>
      </c>
      <c r="L6408" t="str">
        <f t="shared" si="503"/>
        <v/>
      </c>
      <c r="M6408" t="str">
        <f t="shared" si="504"/>
        <v/>
      </c>
    </row>
    <row r="6409" spans="1:13" x14ac:dyDescent="0.3">
      <c r="A6409" t="str">
        <f>Segmenter!A6409</f>
        <v/>
      </c>
      <c r="B6409" t="str">
        <f>Segmenter!B6409</f>
        <v/>
      </c>
      <c r="C6409" t="str">
        <f t="shared" si="500"/>
        <v/>
      </c>
      <c r="D6409" t="str">
        <f t="shared" si="501"/>
        <v/>
      </c>
      <c r="E6409" t="str">
        <f t="shared" si="502"/>
        <v/>
      </c>
      <c r="F6409" t="str">
        <f>IF(D6409="","",INDEX(Knutepunkter!$B:$B,D6409+1))</f>
        <v/>
      </c>
      <c r="G6409" t="str">
        <f>IF(D6409="","",INDEX(Knutepunkter!$C:$C,D6409+1))</f>
        <v/>
      </c>
      <c r="H6409" t="str">
        <f>IF(D6409="","",INDEX(Knutepunkter!$D:$D,D6409+1))</f>
        <v/>
      </c>
      <c r="I6409" t="str">
        <f>IF(E6409="","",INDEX(Knutepunkter!$B:$B,E6409+1))</f>
        <v/>
      </c>
      <c r="J6409" t="str">
        <f>IF(E6409="","",INDEX(Knutepunkter!$C:$C,E6409+1))</f>
        <v/>
      </c>
      <c r="K6409" t="str">
        <f>IF(E6409="","",INDEX(Knutepunkter!$D:$D,E6409+1))</f>
        <v/>
      </c>
      <c r="L6409" t="str">
        <f t="shared" si="503"/>
        <v/>
      </c>
      <c r="M6409" t="str">
        <f t="shared" si="504"/>
        <v/>
      </c>
    </row>
    <row r="6410" spans="1:13" x14ac:dyDescent="0.3">
      <c r="A6410" t="str">
        <f>Segmenter!A6410</f>
        <v/>
      </c>
      <c r="B6410" t="str">
        <f>Segmenter!B6410</f>
        <v/>
      </c>
      <c r="C6410" t="str">
        <f t="shared" si="500"/>
        <v/>
      </c>
      <c r="D6410" t="str">
        <f t="shared" si="501"/>
        <v/>
      </c>
      <c r="E6410" t="str">
        <f t="shared" si="502"/>
        <v/>
      </c>
      <c r="F6410" t="str">
        <f>IF(D6410="","",INDEX(Knutepunkter!$B:$B,D6410+1))</f>
        <v/>
      </c>
      <c r="G6410" t="str">
        <f>IF(D6410="","",INDEX(Knutepunkter!$C:$C,D6410+1))</f>
        <v/>
      </c>
      <c r="H6410" t="str">
        <f>IF(D6410="","",INDEX(Knutepunkter!$D:$D,D6410+1))</f>
        <v/>
      </c>
      <c r="I6410" t="str">
        <f>IF(E6410="","",INDEX(Knutepunkter!$B:$B,E6410+1))</f>
        <v/>
      </c>
      <c r="J6410" t="str">
        <f>IF(E6410="","",INDEX(Knutepunkter!$C:$C,E6410+1))</f>
        <v/>
      </c>
      <c r="K6410" t="str">
        <f>IF(E6410="","",INDEX(Knutepunkter!$D:$D,E6410+1))</f>
        <v/>
      </c>
      <c r="L6410" t="str">
        <f t="shared" si="503"/>
        <v/>
      </c>
      <c r="M6410" t="str">
        <f t="shared" si="504"/>
        <v/>
      </c>
    </row>
    <row r="6411" spans="1:13" x14ac:dyDescent="0.3">
      <c r="A6411" t="str">
        <f>Segmenter!A6411</f>
        <v/>
      </c>
      <c r="B6411" t="str">
        <f>Segmenter!B6411</f>
        <v/>
      </c>
      <c r="C6411" t="str">
        <f t="shared" si="500"/>
        <v/>
      </c>
      <c r="D6411" t="str">
        <f t="shared" si="501"/>
        <v/>
      </c>
      <c r="E6411" t="str">
        <f t="shared" si="502"/>
        <v/>
      </c>
      <c r="F6411" t="str">
        <f>IF(D6411="","",INDEX(Knutepunkter!$B:$B,D6411+1))</f>
        <v/>
      </c>
      <c r="G6411" t="str">
        <f>IF(D6411="","",INDEX(Knutepunkter!$C:$C,D6411+1))</f>
        <v/>
      </c>
      <c r="H6411" t="str">
        <f>IF(D6411="","",INDEX(Knutepunkter!$D:$D,D6411+1))</f>
        <v/>
      </c>
      <c r="I6411" t="str">
        <f>IF(E6411="","",INDEX(Knutepunkter!$B:$B,E6411+1))</f>
        <v/>
      </c>
      <c r="J6411" t="str">
        <f>IF(E6411="","",INDEX(Knutepunkter!$C:$C,E6411+1))</f>
        <v/>
      </c>
      <c r="K6411" t="str">
        <f>IF(E6411="","",INDEX(Knutepunkter!$D:$D,E6411+1))</f>
        <v/>
      </c>
      <c r="L6411" t="str">
        <f t="shared" si="503"/>
        <v/>
      </c>
      <c r="M6411" t="str">
        <f t="shared" si="504"/>
        <v/>
      </c>
    </row>
    <row r="6412" spans="1:13" x14ac:dyDescent="0.3">
      <c r="A6412" t="str">
        <f>Segmenter!A6412</f>
        <v/>
      </c>
      <c r="B6412" t="str">
        <f>Segmenter!B6412</f>
        <v/>
      </c>
      <c r="C6412" t="str">
        <f t="shared" si="500"/>
        <v/>
      </c>
      <c r="D6412" t="str">
        <f t="shared" si="501"/>
        <v/>
      </c>
      <c r="E6412" t="str">
        <f t="shared" si="502"/>
        <v/>
      </c>
      <c r="F6412" t="str">
        <f>IF(D6412="","",INDEX(Knutepunkter!$B:$B,D6412+1))</f>
        <v/>
      </c>
      <c r="G6412" t="str">
        <f>IF(D6412="","",INDEX(Knutepunkter!$C:$C,D6412+1))</f>
        <v/>
      </c>
      <c r="H6412" t="str">
        <f>IF(D6412="","",INDEX(Knutepunkter!$D:$D,D6412+1))</f>
        <v/>
      </c>
      <c r="I6412" t="str">
        <f>IF(E6412="","",INDEX(Knutepunkter!$B:$B,E6412+1))</f>
        <v/>
      </c>
      <c r="J6412" t="str">
        <f>IF(E6412="","",INDEX(Knutepunkter!$C:$C,E6412+1))</f>
        <v/>
      </c>
      <c r="K6412" t="str">
        <f>IF(E6412="","",INDEX(Knutepunkter!$D:$D,E6412+1))</f>
        <v/>
      </c>
      <c r="L6412" t="str">
        <f t="shared" si="503"/>
        <v/>
      </c>
      <c r="M6412" t="str">
        <f t="shared" si="504"/>
        <v/>
      </c>
    </row>
    <row r="6413" spans="1:13" x14ac:dyDescent="0.3">
      <c r="A6413" t="str">
        <f>Segmenter!A6413</f>
        <v/>
      </c>
      <c r="B6413" t="str">
        <f>Segmenter!B6413</f>
        <v/>
      </c>
      <c r="C6413" t="str">
        <f t="shared" si="500"/>
        <v/>
      </c>
      <c r="D6413" t="str">
        <f t="shared" si="501"/>
        <v/>
      </c>
      <c r="E6413" t="str">
        <f t="shared" si="502"/>
        <v/>
      </c>
      <c r="F6413" t="str">
        <f>IF(D6413="","",INDEX(Knutepunkter!$B:$B,D6413+1))</f>
        <v/>
      </c>
      <c r="G6413" t="str">
        <f>IF(D6413="","",INDEX(Knutepunkter!$C:$C,D6413+1))</f>
        <v/>
      </c>
      <c r="H6413" t="str">
        <f>IF(D6413="","",INDEX(Knutepunkter!$D:$D,D6413+1))</f>
        <v/>
      </c>
      <c r="I6413" t="str">
        <f>IF(E6413="","",INDEX(Knutepunkter!$B:$B,E6413+1))</f>
        <v/>
      </c>
      <c r="J6413" t="str">
        <f>IF(E6413="","",INDEX(Knutepunkter!$C:$C,E6413+1))</f>
        <v/>
      </c>
      <c r="K6413" t="str">
        <f>IF(E6413="","",INDEX(Knutepunkter!$D:$D,E6413+1))</f>
        <v/>
      </c>
      <c r="L6413" t="str">
        <f t="shared" si="503"/>
        <v/>
      </c>
      <c r="M6413" t="str">
        <f t="shared" si="504"/>
        <v/>
      </c>
    </row>
    <row r="6414" spans="1:13" x14ac:dyDescent="0.3">
      <c r="A6414" t="str">
        <f>Segmenter!A6414</f>
        <v/>
      </c>
      <c r="B6414" t="str">
        <f>Segmenter!B6414</f>
        <v/>
      </c>
      <c r="C6414" t="str">
        <f t="shared" si="500"/>
        <v/>
      </c>
      <c r="D6414" t="str">
        <f t="shared" si="501"/>
        <v/>
      </c>
      <c r="E6414" t="str">
        <f t="shared" si="502"/>
        <v/>
      </c>
      <c r="F6414" t="str">
        <f>IF(D6414="","",INDEX(Knutepunkter!$B:$B,D6414+1))</f>
        <v/>
      </c>
      <c r="G6414" t="str">
        <f>IF(D6414="","",INDEX(Knutepunkter!$C:$C,D6414+1))</f>
        <v/>
      </c>
      <c r="H6414" t="str">
        <f>IF(D6414="","",INDEX(Knutepunkter!$D:$D,D6414+1))</f>
        <v/>
      </c>
      <c r="I6414" t="str">
        <f>IF(E6414="","",INDEX(Knutepunkter!$B:$B,E6414+1))</f>
        <v/>
      </c>
      <c r="J6414" t="str">
        <f>IF(E6414="","",INDEX(Knutepunkter!$C:$C,E6414+1))</f>
        <v/>
      </c>
      <c r="K6414" t="str">
        <f>IF(E6414="","",INDEX(Knutepunkter!$D:$D,E6414+1))</f>
        <v/>
      </c>
      <c r="L6414" t="str">
        <f t="shared" si="503"/>
        <v/>
      </c>
      <c r="M6414" t="str">
        <f t="shared" si="504"/>
        <v/>
      </c>
    </row>
    <row r="6415" spans="1:13" x14ac:dyDescent="0.3">
      <c r="A6415" t="str">
        <f>Segmenter!A6415</f>
        <v/>
      </c>
      <c r="B6415" t="str">
        <f>Segmenter!B6415</f>
        <v/>
      </c>
      <c r="C6415" t="str">
        <f t="shared" si="500"/>
        <v/>
      </c>
      <c r="D6415" t="str">
        <f t="shared" si="501"/>
        <v/>
      </c>
      <c r="E6415" t="str">
        <f t="shared" si="502"/>
        <v/>
      </c>
      <c r="F6415" t="str">
        <f>IF(D6415="","",INDEX(Knutepunkter!$B:$B,D6415+1))</f>
        <v/>
      </c>
      <c r="G6415" t="str">
        <f>IF(D6415="","",INDEX(Knutepunkter!$C:$C,D6415+1))</f>
        <v/>
      </c>
      <c r="H6415" t="str">
        <f>IF(D6415="","",INDEX(Knutepunkter!$D:$D,D6415+1))</f>
        <v/>
      </c>
      <c r="I6415" t="str">
        <f>IF(E6415="","",INDEX(Knutepunkter!$B:$B,E6415+1))</f>
        <v/>
      </c>
      <c r="J6415" t="str">
        <f>IF(E6415="","",INDEX(Knutepunkter!$C:$C,E6415+1))</f>
        <v/>
      </c>
      <c r="K6415" t="str">
        <f>IF(E6415="","",INDEX(Knutepunkter!$D:$D,E6415+1))</f>
        <v/>
      </c>
      <c r="L6415" t="str">
        <f t="shared" si="503"/>
        <v/>
      </c>
      <c r="M6415" t="str">
        <f t="shared" si="504"/>
        <v/>
      </c>
    </row>
    <row r="6416" spans="1:13" x14ac:dyDescent="0.3">
      <c r="A6416" t="str">
        <f>Segmenter!A6416</f>
        <v/>
      </c>
      <c r="B6416" t="str">
        <f>Segmenter!B6416</f>
        <v/>
      </c>
      <c r="C6416" t="str">
        <f t="shared" si="500"/>
        <v/>
      </c>
      <c r="D6416" t="str">
        <f t="shared" si="501"/>
        <v/>
      </c>
      <c r="E6416" t="str">
        <f t="shared" si="502"/>
        <v/>
      </c>
      <c r="F6416" t="str">
        <f>IF(D6416="","",INDEX(Knutepunkter!$B:$B,D6416+1))</f>
        <v/>
      </c>
      <c r="G6416" t="str">
        <f>IF(D6416="","",INDEX(Knutepunkter!$C:$C,D6416+1))</f>
        <v/>
      </c>
      <c r="H6416" t="str">
        <f>IF(D6416="","",INDEX(Knutepunkter!$D:$D,D6416+1))</f>
        <v/>
      </c>
      <c r="I6416" t="str">
        <f>IF(E6416="","",INDEX(Knutepunkter!$B:$B,E6416+1))</f>
        <v/>
      </c>
      <c r="J6416" t="str">
        <f>IF(E6416="","",INDEX(Knutepunkter!$C:$C,E6416+1))</f>
        <v/>
      </c>
      <c r="K6416" t="str">
        <f>IF(E6416="","",INDEX(Knutepunkter!$D:$D,E6416+1))</f>
        <v/>
      </c>
      <c r="L6416" t="str">
        <f t="shared" si="503"/>
        <v/>
      </c>
      <c r="M6416" t="str">
        <f t="shared" si="504"/>
        <v/>
      </c>
    </row>
    <row r="6417" spans="1:13" x14ac:dyDescent="0.3">
      <c r="A6417" t="str">
        <f>Segmenter!A6417</f>
        <v/>
      </c>
      <c r="B6417" t="str">
        <f>Segmenter!B6417</f>
        <v/>
      </c>
      <c r="C6417" t="str">
        <f t="shared" si="500"/>
        <v/>
      </c>
      <c r="D6417" t="str">
        <f t="shared" si="501"/>
        <v/>
      </c>
      <c r="E6417" t="str">
        <f t="shared" si="502"/>
        <v/>
      </c>
      <c r="F6417" t="str">
        <f>IF(D6417="","",INDEX(Knutepunkter!$B:$B,D6417+1))</f>
        <v/>
      </c>
      <c r="G6417" t="str">
        <f>IF(D6417="","",INDEX(Knutepunkter!$C:$C,D6417+1))</f>
        <v/>
      </c>
      <c r="H6417" t="str">
        <f>IF(D6417="","",INDEX(Knutepunkter!$D:$D,D6417+1))</f>
        <v/>
      </c>
      <c r="I6417" t="str">
        <f>IF(E6417="","",INDEX(Knutepunkter!$B:$B,E6417+1))</f>
        <v/>
      </c>
      <c r="J6417" t="str">
        <f>IF(E6417="","",INDEX(Knutepunkter!$C:$C,E6417+1))</f>
        <v/>
      </c>
      <c r="K6417" t="str">
        <f>IF(E6417="","",INDEX(Knutepunkter!$D:$D,E6417+1))</f>
        <v/>
      </c>
      <c r="L6417" t="str">
        <f t="shared" si="503"/>
        <v/>
      </c>
      <c r="M6417" t="str">
        <f t="shared" si="504"/>
        <v/>
      </c>
    </row>
    <row r="6418" spans="1:13" x14ac:dyDescent="0.3">
      <c r="A6418" t="str">
        <f>Segmenter!A6418</f>
        <v/>
      </c>
      <c r="B6418" t="str">
        <f>Segmenter!B6418</f>
        <v/>
      </c>
      <c r="C6418" t="str">
        <f t="shared" si="500"/>
        <v/>
      </c>
      <c r="D6418" t="str">
        <f t="shared" si="501"/>
        <v/>
      </c>
      <c r="E6418" t="str">
        <f t="shared" si="502"/>
        <v/>
      </c>
      <c r="F6418" t="str">
        <f>IF(D6418="","",INDEX(Knutepunkter!$B:$B,D6418+1))</f>
        <v/>
      </c>
      <c r="G6418" t="str">
        <f>IF(D6418="","",INDEX(Knutepunkter!$C:$C,D6418+1))</f>
        <v/>
      </c>
      <c r="H6418" t="str">
        <f>IF(D6418="","",INDEX(Knutepunkter!$D:$D,D6418+1))</f>
        <v/>
      </c>
      <c r="I6418" t="str">
        <f>IF(E6418="","",INDEX(Knutepunkter!$B:$B,E6418+1))</f>
        <v/>
      </c>
      <c r="J6418" t="str">
        <f>IF(E6418="","",INDEX(Knutepunkter!$C:$C,E6418+1))</f>
        <v/>
      </c>
      <c r="K6418" t="str">
        <f>IF(E6418="","",INDEX(Knutepunkter!$D:$D,E6418+1))</f>
        <v/>
      </c>
      <c r="L6418" t="str">
        <f t="shared" si="503"/>
        <v/>
      </c>
      <c r="M6418" t="str">
        <f t="shared" si="504"/>
        <v/>
      </c>
    </row>
    <row r="6419" spans="1:13" x14ac:dyDescent="0.3">
      <c r="A6419" t="str">
        <f>Segmenter!A6419</f>
        <v/>
      </c>
      <c r="B6419" t="str">
        <f>Segmenter!B6419</f>
        <v/>
      </c>
      <c r="C6419" t="str">
        <f t="shared" si="500"/>
        <v/>
      </c>
      <c r="D6419" t="str">
        <f t="shared" si="501"/>
        <v/>
      </c>
      <c r="E6419" t="str">
        <f t="shared" si="502"/>
        <v/>
      </c>
      <c r="F6419" t="str">
        <f>IF(D6419="","",INDEX(Knutepunkter!$B:$B,D6419+1))</f>
        <v/>
      </c>
      <c r="G6419" t="str">
        <f>IF(D6419="","",INDEX(Knutepunkter!$C:$C,D6419+1))</f>
        <v/>
      </c>
      <c r="H6419" t="str">
        <f>IF(D6419="","",INDEX(Knutepunkter!$D:$D,D6419+1))</f>
        <v/>
      </c>
      <c r="I6419" t="str">
        <f>IF(E6419="","",INDEX(Knutepunkter!$B:$B,E6419+1))</f>
        <v/>
      </c>
      <c r="J6419" t="str">
        <f>IF(E6419="","",INDEX(Knutepunkter!$C:$C,E6419+1))</f>
        <v/>
      </c>
      <c r="K6419" t="str">
        <f>IF(E6419="","",INDEX(Knutepunkter!$D:$D,E6419+1))</f>
        <v/>
      </c>
      <c r="L6419" t="str">
        <f t="shared" si="503"/>
        <v/>
      </c>
      <c r="M6419" t="str">
        <f t="shared" si="504"/>
        <v/>
      </c>
    </row>
    <row r="6420" spans="1:13" x14ac:dyDescent="0.3">
      <c r="A6420" t="str">
        <f>Segmenter!A6420</f>
        <v/>
      </c>
      <c r="B6420" t="str">
        <f>Segmenter!B6420</f>
        <v/>
      </c>
      <c r="C6420" t="str">
        <f t="shared" si="500"/>
        <v/>
      </c>
      <c r="D6420" t="str">
        <f t="shared" si="501"/>
        <v/>
      </c>
      <c r="E6420" t="str">
        <f t="shared" si="502"/>
        <v/>
      </c>
      <c r="F6420" t="str">
        <f>IF(D6420="","",INDEX(Knutepunkter!$B:$B,D6420+1))</f>
        <v/>
      </c>
      <c r="G6420" t="str">
        <f>IF(D6420="","",INDEX(Knutepunkter!$C:$C,D6420+1))</f>
        <v/>
      </c>
      <c r="H6420" t="str">
        <f>IF(D6420="","",INDEX(Knutepunkter!$D:$D,D6420+1))</f>
        <v/>
      </c>
      <c r="I6420" t="str">
        <f>IF(E6420="","",INDEX(Knutepunkter!$B:$B,E6420+1))</f>
        <v/>
      </c>
      <c r="J6420" t="str">
        <f>IF(E6420="","",INDEX(Knutepunkter!$C:$C,E6420+1))</f>
        <v/>
      </c>
      <c r="K6420" t="str">
        <f>IF(E6420="","",INDEX(Knutepunkter!$D:$D,E6420+1))</f>
        <v/>
      </c>
      <c r="L6420" t="str">
        <f t="shared" si="503"/>
        <v/>
      </c>
      <c r="M6420" t="str">
        <f t="shared" si="504"/>
        <v/>
      </c>
    </row>
    <row r="6421" spans="1:13" x14ac:dyDescent="0.3">
      <c r="A6421" t="str">
        <f>Segmenter!A6421</f>
        <v/>
      </c>
      <c r="B6421" t="str">
        <f>Segmenter!B6421</f>
        <v/>
      </c>
      <c r="C6421" t="str">
        <f t="shared" si="500"/>
        <v/>
      </c>
      <c r="D6421" t="str">
        <f t="shared" si="501"/>
        <v/>
      </c>
      <c r="E6421" t="str">
        <f t="shared" si="502"/>
        <v/>
      </c>
      <c r="F6421" t="str">
        <f>IF(D6421="","",INDEX(Knutepunkter!$B:$B,D6421+1))</f>
        <v/>
      </c>
      <c r="G6421" t="str">
        <f>IF(D6421="","",INDEX(Knutepunkter!$C:$C,D6421+1))</f>
        <v/>
      </c>
      <c r="H6421" t="str">
        <f>IF(D6421="","",INDEX(Knutepunkter!$D:$D,D6421+1))</f>
        <v/>
      </c>
      <c r="I6421" t="str">
        <f>IF(E6421="","",INDEX(Knutepunkter!$B:$B,E6421+1))</f>
        <v/>
      </c>
      <c r="J6421" t="str">
        <f>IF(E6421="","",INDEX(Knutepunkter!$C:$C,E6421+1))</f>
        <v/>
      </c>
      <c r="K6421" t="str">
        <f>IF(E6421="","",INDEX(Knutepunkter!$D:$D,E6421+1))</f>
        <v/>
      </c>
      <c r="L6421" t="str">
        <f t="shared" si="503"/>
        <v/>
      </c>
      <c r="M6421" t="str">
        <f t="shared" si="504"/>
        <v/>
      </c>
    </row>
    <row r="6422" spans="1:13" x14ac:dyDescent="0.3">
      <c r="A6422" t="str">
        <f>Segmenter!A6422</f>
        <v/>
      </c>
      <c r="B6422" t="str">
        <f>Segmenter!B6422</f>
        <v/>
      </c>
      <c r="C6422" t="str">
        <f t="shared" si="500"/>
        <v/>
      </c>
      <c r="D6422" t="str">
        <f t="shared" si="501"/>
        <v/>
      </c>
      <c r="E6422" t="str">
        <f t="shared" si="502"/>
        <v/>
      </c>
      <c r="F6422" t="str">
        <f>IF(D6422="","",INDEX(Knutepunkter!$B:$B,D6422+1))</f>
        <v/>
      </c>
      <c r="G6422" t="str">
        <f>IF(D6422="","",INDEX(Knutepunkter!$C:$C,D6422+1))</f>
        <v/>
      </c>
      <c r="H6422" t="str">
        <f>IF(D6422="","",INDEX(Knutepunkter!$D:$D,D6422+1))</f>
        <v/>
      </c>
      <c r="I6422" t="str">
        <f>IF(E6422="","",INDEX(Knutepunkter!$B:$B,E6422+1))</f>
        <v/>
      </c>
      <c r="J6422" t="str">
        <f>IF(E6422="","",INDEX(Knutepunkter!$C:$C,E6422+1))</f>
        <v/>
      </c>
      <c r="K6422" t="str">
        <f>IF(E6422="","",INDEX(Knutepunkter!$D:$D,E6422+1))</f>
        <v/>
      </c>
      <c r="L6422" t="str">
        <f t="shared" si="503"/>
        <v/>
      </c>
      <c r="M6422" t="str">
        <f t="shared" si="504"/>
        <v/>
      </c>
    </row>
    <row r="6423" spans="1:13" x14ac:dyDescent="0.3">
      <c r="A6423" t="str">
        <f>Segmenter!A6423</f>
        <v/>
      </c>
      <c r="B6423" t="str">
        <f>Segmenter!B6423</f>
        <v/>
      </c>
      <c r="C6423" t="str">
        <f t="shared" si="500"/>
        <v/>
      </c>
      <c r="D6423" t="str">
        <f t="shared" si="501"/>
        <v/>
      </c>
      <c r="E6423" t="str">
        <f t="shared" si="502"/>
        <v/>
      </c>
      <c r="F6423" t="str">
        <f>IF(D6423="","",INDEX(Knutepunkter!$B:$B,D6423+1))</f>
        <v/>
      </c>
      <c r="G6423" t="str">
        <f>IF(D6423="","",INDEX(Knutepunkter!$C:$C,D6423+1))</f>
        <v/>
      </c>
      <c r="H6423" t="str">
        <f>IF(D6423="","",INDEX(Knutepunkter!$D:$D,D6423+1))</f>
        <v/>
      </c>
      <c r="I6423" t="str">
        <f>IF(E6423="","",INDEX(Knutepunkter!$B:$B,E6423+1))</f>
        <v/>
      </c>
      <c r="J6423" t="str">
        <f>IF(E6423="","",INDEX(Knutepunkter!$C:$C,E6423+1))</f>
        <v/>
      </c>
      <c r="K6423" t="str">
        <f>IF(E6423="","",INDEX(Knutepunkter!$D:$D,E6423+1))</f>
        <v/>
      </c>
      <c r="L6423" t="str">
        <f t="shared" si="503"/>
        <v/>
      </c>
      <c r="M6423" t="str">
        <f t="shared" si="504"/>
        <v/>
      </c>
    </row>
    <row r="6424" spans="1:13" x14ac:dyDescent="0.3">
      <c r="A6424" t="str">
        <f>Segmenter!A6424</f>
        <v/>
      </c>
      <c r="B6424" t="str">
        <f>Segmenter!B6424</f>
        <v/>
      </c>
      <c r="C6424" t="str">
        <f t="shared" si="500"/>
        <v/>
      </c>
      <c r="D6424" t="str">
        <f t="shared" si="501"/>
        <v/>
      </c>
      <c r="E6424" t="str">
        <f t="shared" si="502"/>
        <v/>
      </c>
      <c r="F6424" t="str">
        <f>IF(D6424="","",INDEX(Knutepunkter!$B:$B,D6424+1))</f>
        <v/>
      </c>
      <c r="G6424" t="str">
        <f>IF(D6424="","",INDEX(Knutepunkter!$C:$C,D6424+1))</f>
        <v/>
      </c>
      <c r="H6424" t="str">
        <f>IF(D6424="","",INDEX(Knutepunkter!$D:$D,D6424+1))</f>
        <v/>
      </c>
      <c r="I6424" t="str">
        <f>IF(E6424="","",INDEX(Knutepunkter!$B:$B,E6424+1))</f>
        <v/>
      </c>
      <c r="J6424" t="str">
        <f>IF(E6424="","",INDEX(Knutepunkter!$C:$C,E6424+1))</f>
        <v/>
      </c>
      <c r="K6424" t="str">
        <f>IF(E6424="","",INDEX(Knutepunkter!$D:$D,E6424+1))</f>
        <v/>
      </c>
      <c r="L6424" t="str">
        <f t="shared" si="503"/>
        <v/>
      </c>
      <c r="M6424" t="str">
        <f t="shared" si="504"/>
        <v/>
      </c>
    </row>
    <row r="6425" spans="1:13" x14ac:dyDescent="0.3">
      <c r="A6425" t="str">
        <f>Segmenter!A6425</f>
        <v/>
      </c>
      <c r="B6425" t="str">
        <f>Segmenter!B6425</f>
        <v/>
      </c>
      <c r="C6425" t="str">
        <f t="shared" si="500"/>
        <v/>
      </c>
      <c r="D6425" t="str">
        <f t="shared" si="501"/>
        <v/>
      </c>
      <c r="E6425" t="str">
        <f t="shared" si="502"/>
        <v/>
      </c>
      <c r="F6425" t="str">
        <f>IF(D6425="","",INDEX(Knutepunkter!$B:$B,D6425+1))</f>
        <v/>
      </c>
      <c r="G6425" t="str">
        <f>IF(D6425="","",INDEX(Knutepunkter!$C:$C,D6425+1))</f>
        <v/>
      </c>
      <c r="H6425" t="str">
        <f>IF(D6425="","",INDEX(Knutepunkter!$D:$D,D6425+1))</f>
        <v/>
      </c>
      <c r="I6425" t="str">
        <f>IF(E6425="","",INDEX(Knutepunkter!$B:$B,E6425+1))</f>
        <v/>
      </c>
      <c r="J6425" t="str">
        <f>IF(E6425="","",INDEX(Knutepunkter!$C:$C,E6425+1))</f>
        <v/>
      </c>
      <c r="K6425" t="str">
        <f>IF(E6425="","",INDEX(Knutepunkter!$D:$D,E6425+1))</f>
        <v/>
      </c>
      <c r="L6425" t="str">
        <f t="shared" si="503"/>
        <v/>
      </c>
      <c r="M6425" t="str">
        <f t="shared" si="504"/>
        <v/>
      </c>
    </row>
    <row r="6426" spans="1:13" x14ac:dyDescent="0.3">
      <c r="A6426" t="str">
        <f>Segmenter!A6426</f>
        <v/>
      </c>
      <c r="B6426" t="str">
        <f>Segmenter!B6426</f>
        <v/>
      </c>
      <c r="C6426" t="str">
        <f t="shared" si="500"/>
        <v/>
      </c>
      <c r="D6426" t="str">
        <f t="shared" si="501"/>
        <v/>
      </c>
      <c r="E6426" t="str">
        <f t="shared" si="502"/>
        <v/>
      </c>
      <c r="F6426" t="str">
        <f>IF(D6426="","",INDEX(Knutepunkter!$B:$B,D6426+1))</f>
        <v/>
      </c>
      <c r="G6426" t="str">
        <f>IF(D6426="","",INDEX(Knutepunkter!$C:$C,D6426+1))</f>
        <v/>
      </c>
      <c r="H6426" t="str">
        <f>IF(D6426="","",INDEX(Knutepunkter!$D:$D,D6426+1))</f>
        <v/>
      </c>
      <c r="I6426" t="str">
        <f>IF(E6426="","",INDEX(Knutepunkter!$B:$B,E6426+1))</f>
        <v/>
      </c>
      <c r="J6426" t="str">
        <f>IF(E6426="","",INDEX(Knutepunkter!$C:$C,E6426+1))</f>
        <v/>
      </c>
      <c r="K6426" t="str">
        <f>IF(E6426="","",INDEX(Knutepunkter!$D:$D,E6426+1))</f>
        <v/>
      </c>
      <c r="L6426" t="str">
        <f t="shared" si="503"/>
        <v/>
      </c>
      <c r="M6426" t="str">
        <f t="shared" si="504"/>
        <v/>
      </c>
    </row>
    <row r="6427" spans="1:13" x14ac:dyDescent="0.3">
      <c r="A6427" t="str">
        <f>Segmenter!A6427</f>
        <v/>
      </c>
      <c r="B6427" t="str">
        <f>Segmenter!B6427</f>
        <v/>
      </c>
      <c r="C6427" t="str">
        <f t="shared" si="500"/>
        <v/>
      </c>
      <c r="D6427" t="str">
        <f t="shared" si="501"/>
        <v/>
      </c>
      <c r="E6427" t="str">
        <f t="shared" si="502"/>
        <v/>
      </c>
      <c r="F6427" t="str">
        <f>IF(D6427="","",INDEX(Knutepunkter!$B:$B,D6427+1))</f>
        <v/>
      </c>
      <c r="G6427" t="str">
        <f>IF(D6427="","",INDEX(Knutepunkter!$C:$C,D6427+1))</f>
        <v/>
      </c>
      <c r="H6427" t="str">
        <f>IF(D6427="","",INDEX(Knutepunkter!$D:$D,D6427+1))</f>
        <v/>
      </c>
      <c r="I6427" t="str">
        <f>IF(E6427="","",INDEX(Knutepunkter!$B:$B,E6427+1))</f>
        <v/>
      </c>
      <c r="J6427" t="str">
        <f>IF(E6427="","",INDEX(Knutepunkter!$C:$C,E6427+1))</f>
        <v/>
      </c>
      <c r="K6427" t="str">
        <f>IF(E6427="","",INDEX(Knutepunkter!$D:$D,E6427+1))</f>
        <v/>
      </c>
      <c r="L6427" t="str">
        <f t="shared" si="503"/>
        <v/>
      </c>
      <c r="M6427" t="str">
        <f t="shared" si="504"/>
        <v/>
      </c>
    </row>
    <row r="6428" spans="1:13" x14ac:dyDescent="0.3">
      <c r="A6428" t="str">
        <f>Segmenter!A6428</f>
        <v/>
      </c>
      <c r="B6428" t="str">
        <f>Segmenter!B6428</f>
        <v/>
      </c>
      <c r="C6428" t="str">
        <f t="shared" si="500"/>
        <v/>
      </c>
      <c r="D6428" t="str">
        <f t="shared" si="501"/>
        <v/>
      </c>
      <c r="E6428" t="str">
        <f t="shared" si="502"/>
        <v/>
      </c>
      <c r="F6428" t="str">
        <f>IF(D6428="","",INDEX(Knutepunkter!$B:$B,D6428+1))</f>
        <v/>
      </c>
      <c r="G6428" t="str">
        <f>IF(D6428="","",INDEX(Knutepunkter!$C:$C,D6428+1))</f>
        <v/>
      </c>
      <c r="H6428" t="str">
        <f>IF(D6428="","",INDEX(Knutepunkter!$D:$D,D6428+1))</f>
        <v/>
      </c>
      <c r="I6428" t="str">
        <f>IF(E6428="","",INDEX(Knutepunkter!$B:$B,E6428+1))</f>
        <v/>
      </c>
      <c r="J6428" t="str">
        <f>IF(E6428="","",INDEX(Knutepunkter!$C:$C,E6428+1))</f>
        <v/>
      </c>
      <c r="K6428" t="str">
        <f>IF(E6428="","",INDEX(Knutepunkter!$D:$D,E6428+1))</f>
        <v/>
      </c>
      <c r="L6428" t="str">
        <f t="shared" si="503"/>
        <v/>
      </c>
      <c r="M6428" t="str">
        <f t="shared" si="504"/>
        <v/>
      </c>
    </row>
    <row r="6429" spans="1:13" x14ac:dyDescent="0.3">
      <c r="A6429" t="str">
        <f>Segmenter!A6429</f>
        <v/>
      </c>
      <c r="B6429" t="str">
        <f>Segmenter!B6429</f>
        <v/>
      </c>
      <c r="C6429" t="str">
        <f t="shared" si="500"/>
        <v/>
      </c>
      <c r="D6429" t="str">
        <f t="shared" si="501"/>
        <v/>
      </c>
      <c r="E6429" t="str">
        <f t="shared" si="502"/>
        <v/>
      </c>
      <c r="F6429" t="str">
        <f>IF(D6429="","",INDEX(Knutepunkter!$B:$B,D6429+1))</f>
        <v/>
      </c>
      <c r="G6429" t="str">
        <f>IF(D6429="","",INDEX(Knutepunkter!$C:$C,D6429+1))</f>
        <v/>
      </c>
      <c r="H6429" t="str">
        <f>IF(D6429="","",INDEX(Knutepunkter!$D:$D,D6429+1))</f>
        <v/>
      </c>
      <c r="I6429" t="str">
        <f>IF(E6429="","",INDEX(Knutepunkter!$B:$B,E6429+1))</f>
        <v/>
      </c>
      <c r="J6429" t="str">
        <f>IF(E6429="","",INDEX(Knutepunkter!$C:$C,E6429+1))</f>
        <v/>
      </c>
      <c r="K6429" t="str">
        <f>IF(E6429="","",INDEX(Knutepunkter!$D:$D,E6429+1))</f>
        <v/>
      </c>
      <c r="L6429" t="str">
        <f t="shared" si="503"/>
        <v/>
      </c>
      <c r="M6429" t="str">
        <f t="shared" si="504"/>
        <v/>
      </c>
    </row>
    <row r="6430" spans="1:13" x14ac:dyDescent="0.3">
      <c r="A6430" t="str">
        <f>Segmenter!A6430</f>
        <v/>
      </c>
      <c r="B6430" t="str">
        <f>Segmenter!B6430</f>
        <v/>
      </c>
      <c r="C6430" t="str">
        <f t="shared" si="500"/>
        <v/>
      </c>
      <c r="D6430" t="str">
        <f t="shared" si="501"/>
        <v/>
      </c>
      <c r="E6430" t="str">
        <f t="shared" si="502"/>
        <v/>
      </c>
      <c r="F6430" t="str">
        <f>IF(D6430="","",INDEX(Knutepunkter!$B:$B,D6430+1))</f>
        <v/>
      </c>
      <c r="G6430" t="str">
        <f>IF(D6430="","",INDEX(Knutepunkter!$C:$C,D6430+1))</f>
        <v/>
      </c>
      <c r="H6430" t="str">
        <f>IF(D6430="","",INDEX(Knutepunkter!$D:$D,D6430+1))</f>
        <v/>
      </c>
      <c r="I6430" t="str">
        <f>IF(E6430="","",INDEX(Knutepunkter!$B:$B,E6430+1))</f>
        <v/>
      </c>
      <c r="J6430" t="str">
        <f>IF(E6430="","",INDEX(Knutepunkter!$C:$C,E6430+1))</f>
        <v/>
      </c>
      <c r="K6430" t="str">
        <f>IF(E6430="","",INDEX(Knutepunkter!$D:$D,E6430+1))</f>
        <v/>
      </c>
      <c r="L6430" t="str">
        <f t="shared" si="503"/>
        <v/>
      </c>
      <c r="M6430" t="str">
        <f t="shared" si="504"/>
        <v/>
      </c>
    </row>
    <row r="6431" spans="1:13" x14ac:dyDescent="0.3">
      <c r="A6431" t="str">
        <f>Segmenter!A6431</f>
        <v/>
      </c>
      <c r="B6431" t="str">
        <f>Segmenter!B6431</f>
        <v/>
      </c>
      <c r="C6431" t="str">
        <f t="shared" si="500"/>
        <v/>
      </c>
      <c r="D6431" t="str">
        <f t="shared" si="501"/>
        <v/>
      </c>
      <c r="E6431" t="str">
        <f t="shared" si="502"/>
        <v/>
      </c>
      <c r="F6431" t="str">
        <f>IF(D6431="","",INDEX(Knutepunkter!$B:$B,D6431+1))</f>
        <v/>
      </c>
      <c r="G6431" t="str">
        <f>IF(D6431="","",INDEX(Knutepunkter!$C:$C,D6431+1))</f>
        <v/>
      </c>
      <c r="H6431" t="str">
        <f>IF(D6431="","",INDEX(Knutepunkter!$D:$D,D6431+1))</f>
        <v/>
      </c>
      <c r="I6431" t="str">
        <f>IF(E6431="","",INDEX(Knutepunkter!$B:$B,E6431+1))</f>
        <v/>
      </c>
      <c r="J6431" t="str">
        <f>IF(E6431="","",INDEX(Knutepunkter!$C:$C,E6431+1))</f>
        <v/>
      </c>
      <c r="K6431" t="str">
        <f>IF(E6431="","",INDEX(Knutepunkter!$D:$D,E6431+1))</f>
        <v/>
      </c>
      <c r="L6431" t="str">
        <f t="shared" si="503"/>
        <v/>
      </c>
      <c r="M6431" t="str">
        <f t="shared" si="504"/>
        <v/>
      </c>
    </row>
    <row r="6432" spans="1:13" x14ac:dyDescent="0.3">
      <c r="A6432" t="str">
        <f>Segmenter!A6432</f>
        <v/>
      </c>
      <c r="B6432" t="str">
        <f>Segmenter!B6432</f>
        <v/>
      </c>
      <c r="C6432" t="str">
        <f t="shared" si="500"/>
        <v/>
      </c>
      <c r="D6432" t="str">
        <f t="shared" si="501"/>
        <v/>
      </c>
      <c r="E6432" t="str">
        <f t="shared" si="502"/>
        <v/>
      </c>
      <c r="F6432" t="str">
        <f>IF(D6432="","",INDEX(Knutepunkter!$B:$B,D6432+1))</f>
        <v/>
      </c>
      <c r="G6432" t="str">
        <f>IF(D6432="","",INDEX(Knutepunkter!$C:$C,D6432+1))</f>
        <v/>
      </c>
      <c r="H6432" t="str">
        <f>IF(D6432="","",INDEX(Knutepunkter!$D:$D,D6432+1))</f>
        <v/>
      </c>
      <c r="I6432" t="str">
        <f>IF(E6432="","",INDEX(Knutepunkter!$B:$B,E6432+1))</f>
        <v/>
      </c>
      <c r="J6432" t="str">
        <f>IF(E6432="","",INDEX(Knutepunkter!$C:$C,E6432+1))</f>
        <v/>
      </c>
      <c r="K6432" t="str">
        <f>IF(E6432="","",INDEX(Knutepunkter!$D:$D,E6432+1))</f>
        <v/>
      </c>
      <c r="L6432" t="str">
        <f t="shared" si="503"/>
        <v/>
      </c>
      <c r="M6432" t="str">
        <f t="shared" si="504"/>
        <v/>
      </c>
    </row>
    <row r="6433" spans="1:13" x14ac:dyDescent="0.3">
      <c r="A6433" t="str">
        <f>Segmenter!A6433</f>
        <v/>
      </c>
      <c r="B6433" t="str">
        <f>Segmenter!B6433</f>
        <v/>
      </c>
      <c r="C6433" t="str">
        <f t="shared" si="500"/>
        <v/>
      </c>
      <c r="D6433" t="str">
        <f t="shared" si="501"/>
        <v/>
      </c>
      <c r="E6433" t="str">
        <f t="shared" si="502"/>
        <v/>
      </c>
      <c r="F6433" t="str">
        <f>IF(D6433="","",INDEX(Knutepunkter!$B:$B,D6433+1))</f>
        <v/>
      </c>
      <c r="G6433" t="str">
        <f>IF(D6433="","",INDEX(Knutepunkter!$C:$C,D6433+1))</f>
        <v/>
      </c>
      <c r="H6433" t="str">
        <f>IF(D6433="","",INDEX(Knutepunkter!$D:$D,D6433+1))</f>
        <v/>
      </c>
      <c r="I6433" t="str">
        <f>IF(E6433="","",INDEX(Knutepunkter!$B:$B,E6433+1))</f>
        <v/>
      </c>
      <c r="J6433" t="str">
        <f>IF(E6433="","",INDEX(Knutepunkter!$C:$C,E6433+1))</f>
        <v/>
      </c>
      <c r="K6433" t="str">
        <f>IF(E6433="","",INDEX(Knutepunkter!$D:$D,E6433+1))</f>
        <v/>
      </c>
      <c r="L6433" t="str">
        <f t="shared" si="503"/>
        <v/>
      </c>
      <c r="M6433" t="str">
        <f t="shared" si="504"/>
        <v/>
      </c>
    </row>
    <row r="6434" spans="1:13" x14ac:dyDescent="0.3">
      <c r="A6434" t="str">
        <f>Segmenter!A6434</f>
        <v/>
      </c>
      <c r="B6434" t="str">
        <f>Segmenter!B6434</f>
        <v/>
      </c>
      <c r="C6434" t="str">
        <f t="shared" si="500"/>
        <v/>
      </c>
      <c r="D6434" t="str">
        <f t="shared" si="501"/>
        <v/>
      </c>
      <c r="E6434" t="str">
        <f t="shared" si="502"/>
        <v/>
      </c>
      <c r="F6434" t="str">
        <f>IF(D6434="","",INDEX(Knutepunkter!$B:$B,D6434+1))</f>
        <v/>
      </c>
      <c r="G6434" t="str">
        <f>IF(D6434="","",INDEX(Knutepunkter!$C:$C,D6434+1))</f>
        <v/>
      </c>
      <c r="H6434" t="str">
        <f>IF(D6434="","",INDEX(Knutepunkter!$D:$D,D6434+1))</f>
        <v/>
      </c>
      <c r="I6434" t="str">
        <f>IF(E6434="","",INDEX(Knutepunkter!$B:$B,E6434+1))</f>
        <v/>
      </c>
      <c r="J6434" t="str">
        <f>IF(E6434="","",INDEX(Knutepunkter!$C:$C,E6434+1))</f>
        <v/>
      </c>
      <c r="K6434" t="str">
        <f>IF(E6434="","",INDEX(Knutepunkter!$D:$D,E6434+1))</f>
        <v/>
      </c>
      <c r="L6434" t="str">
        <f t="shared" si="503"/>
        <v/>
      </c>
      <c r="M6434" t="str">
        <f t="shared" si="504"/>
        <v/>
      </c>
    </row>
    <row r="6435" spans="1:13" x14ac:dyDescent="0.3">
      <c r="A6435" t="str">
        <f>Segmenter!A6435</f>
        <v/>
      </c>
      <c r="B6435" t="str">
        <f>Segmenter!B6435</f>
        <v/>
      </c>
      <c r="C6435" t="str">
        <f t="shared" si="500"/>
        <v/>
      </c>
      <c r="D6435" t="str">
        <f t="shared" si="501"/>
        <v/>
      </c>
      <c r="E6435" t="str">
        <f t="shared" si="502"/>
        <v/>
      </c>
      <c r="F6435" t="str">
        <f>IF(D6435="","",INDEX(Knutepunkter!$B:$B,D6435+1))</f>
        <v/>
      </c>
      <c r="G6435" t="str">
        <f>IF(D6435="","",INDEX(Knutepunkter!$C:$C,D6435+1))</f>
        <v/>
      </c>
      <c r="H6435" t="str">
        <f>IF(D6435="","",INDEX(Knutepunkter!$D:$D,D6435+1))</f>
        <v/>
      </c>
      <c r="I6435" t="str">
        <f>IF(E6435="","",INDEX(Knutepunkter!$B:$B,E6435+1))</f>
        <v/>
      </c>
      <c r="J6435" t="str">
        <f>IF(E6435="","",INDEX(Knutepunkter!$C:$C,E6435+1))</f>
        <v/>
      </c>
      <c r="K6435" t="str">
        <f>IF(E6435="","",INDEX(Knutepunkter!$D:$D,E6435+1))</f>
        <v/>
      </c>
      <c r="L6435" t="str">
        <f t="shared" si="503"/>
        <v/>
      </c>
      <c r="M6435" t="str">
        <f t="shared" si="504"/>
        <v/>
      </c>
    </row>
    <row r="6436" spans="1:13" x14ac:dyDescent="0.3">
      <c r="A6436" t="str">
        <f>Segmenter!A6436</f>
        <v/>
      </c>
      <c r="B6436" t="str">
        <f>Segmenter!B6436</f>
        <v/>
      </c>
      <c r="C6436" t="str">
        <f t="shared" si="500"/>
        <v/>
      </c>
      <c r="D6436" t="str">
        <f t="shared" si="501"/>
        <v/>
      </c>
      <c r="E6436" t="str">
        <f t="shared" si="502"/>
        <v/>
      </c>
      <c r="F6436" t="str">
        <f>IF(D6436="","",INDEX(Knutepunkter!$B:$B,D6436+1))</f>
        <v/>
      </c>
      <c r="G6436" t="str">
        <f>IF(D6436="","",INDEX(Knutepunkter!$C:$C,D6436+1))</f>
        <v/>
      </c>
      <c r="H6436" t="str">
        <f>IF(D6436="","",INDEX(Knutepunkter!$D:$D,D6436+1))</f>
        <v/>
      </c>
      <c r="I6436" t="str">
        <f>IF(E6436="","",INDEX(Knutepunkter!$B:$B,E6436+1))</f>
        <v/>
      </c>
      <c r="J6436" t="str">
        <f>IF(E6436="","",INDEX(Knutepunkter!$C:$C,E6436+1))</f>
        <v/>
      </c>
      <c r="K6436" t="str">
        <f>IF(E6436="","",INDEX(Knutepunkter!$D:$D,E6436+1))</f>
        <v/>
      </c>
      <c r="L6436" t="str">
        <f t="shared" si="503"/>
        <v/>
      </c>
      <c r="M6436" t="str">
        <f t="shared" si="504"/>
        <v/>
      </c>
    </row>
    <row r="6437" spans="1:13" x14ac:dyDescent="0.3">
      <c r="A6437" t="str">
        <f>Segmenter!A6437</f>
        <v/>
      </c>
      <c r="B6437" t="str">
        <f>Segmenter!B6437</f>
        <v/>
      </c>
      <c r="C6437" t="str">
        <f t="shared" si="500"/>
        <v/>
      </c>
      <c r="D6437" t="str">
        <f t="shared" si="501"/>
        <v/>
      </c>
      <c r="E6437" t="str">
        <f t="shared" si="502"/>
        <v/>
      </c>
      <c r="F6437" t="str">
        <f>IF(D6437="","",INDEX(Knutepunkter!$B:$B,D6437+1))</f>
        <v/>
      </c>
      <c r="G6437" t="str">
        <f>IF(D6437="","",INDEX(Knutepunkter!$C:$C,D6437+1))</f>
        <v/>
      </c>
      <c r="H6437" t="str">
        <f>IF(D6437="","",INDEX(Knutepunkter!$D:$D,D6437+1))</f>
        <v/>
      </c>
      <c r="I6437" t="str">
        <f>IF(E6437="","",INDEX(Knutepunkter!$B:$B,E6437+1))</f>
        <v/>
      </c>
      <c r="J6437" t="str">
        <f>IF(E6437="","",INDEX(Knutepunkter!$C:$C,E6437+1))</f>
        <v/>
      </c>
      <c r="K6437" t="str">
        <f>IF(E6437="","",INDEX(Knutepunkter!$D:$D,E6437+1))</f>
        <v/>
      </c>
      <c r="L6437" t="str">
        <f t="shared" si="503"/>
        <v/>
      </c>
      <c r="M6437" t="str">
        <f t="shared" si="504"/>
        <v/>
      </c>
    </row>
    <row r="6438" spans="1:13" x14ac:dyDescent="0.3">
      <c r="A6438" t="str">
        <f>Segmenter!A6438</f>
        <v/>
      </c>
      <c r="B6438" t="str">
        <f>Segmenter!B6438</f>
        <v/>
      </c>
      <c r="C6438" t="str">
        <f t="shared" si="500"/>
        <v/>
      </c>
      <c r="D6438" t="str">
        <f t="shared" si="501"/>
        <v/>
      </c>
      <c r="E6438" t="str">
        <f t="shared" si="502"/>
        <v/>
      </c>
      <c r="F6438" t="str">
        <f>IF(D6438="","",INDEX(Knutepunkter!$B:$B,D6438+1))</f>
        <v/>
      </c>
      <c r="G6438" t="str">
        <f>IF(D6438="","",INDEX(Knutepunkter!$C:$C,D6438+1))</f>
        <v/>
      </c>
      <c r="H6438" t="str">
        <f>IF(D6438="","",INDEX(Knutepunkter!$D:$D,D6438+1))</f>
        <v/>
      </c>
      <c r="I6438" t="str">
        <f>IF(E6438="","",INDEX(Knutepunkter!$B:$B,E6438+1))</f>
        <v/>
      </c>
      <c r="J6438" t="str">
        <f>IF(E6438="","",INDEX(Knutepunkter!$C:$C,E6438+1))</f>
        <v/>
      </c>
      <c r="K6438" t="str">
        <f>IF(E6438="","",INDEX(Knutepunkter!$D:$D,E6438+1))</f>
        <v/>
      </c>
      <c r="L6438" t="str">
        <f t="shared" si="503"/>
        <v/>
      </c>
      <c r="M6438" t="str">
        <f t="shared" si="504"/>
        <v/>
      </c>
    </row>
    <row r="6439" spans="1:13" x14ac:dyDescent="0.3">
      <c r="A6439" t="str">
        <f>Segmenter!A6439</f>
        <v/>
      </c>
      <c r="B6439" t="str">
        <f>Segmenter!B6439</f>
        <v/>
      </c>
      <c r="C6439" t="str">
        <f t="shared" si="500"/>
        <v/>
      </c>
      <c r="D6439" t="str">
        <f t="shared" si="501"/>
        <v/>
      </c>
      <c r="E6439" t="str">
        <f t="shared" si="502"/>
        <v/>
      </c>
      <c r="F6439" t="str">
        <f>IF(D6439="","",INDEX(Knutepunkter!$B:$B,D6439+1))</f>
        <v/>
      </c>
      <c r="G6439" t="str">
        <f>IF(D6439="","",INDEX(Knutepunkter!$C:$C,D6439+1))</f>
        <v/>
      </c>
      <c r="H6439" t="str">
        <f>IF(D6439="","",INDEX(Knutepunkter!$D:$D,D6439+1))</f>
        <v/>
      </c>
      <c r="I6439" t="str">
        <f>IF(E6439="","",INDEX(Knutepunkter!$B:$B,E6439+1))</f>
        <v/>
      </c>
      <c r="J6439" t="str">
        <f>IF(E6439="","",INDEX(Knutepunkter!$C:$C,E6439+1))</f>
        <v/>
      </c>
      <c r="K6439" t="str">
        <f>IF(E6439="","",INDEX(Knutepunkter!$D:$D,E6439+1))</f>
        <v/>
      </c>
      <c r="L6439" t="str">
        <f t="shared" si="503"/>
        <v/>
      </c>
      <c r="M6439" t="str">
        <f t="shared" si="504"/>
        <v/>
      </c>
    </row>
    <row r="6440" spans="1:13" x14ac:dyDescent="0.3">
      <c r="A6440" t="str">
        <f>Segmenter!A6440</f>
        <v/>
      </c>
      <c r="B6440" t="str">
        <f>Segmenter!B6440</f>
        <v/>
      </c>
      <c r="C6440" t="str">
        <f t="shared" si="500"/>
        <v/>
      </c>
      <c r="D6440" t="str">
        <f t="shared" si="501"/>
        <v/>
      </c>
      <c r="E6440" t="str">
        <f t="shared" si="502"/>
        <v/>
      </c>
      <c r="F6440" t="str">
        <f>IF(D6440="","",INDEX(Knutepunkter!$B:$B,D6440+1))</f>
        <v/>
      </c>
      <c r="G6440" t="str">
        <f>IF(D6440="","",INDEX(Knutepunkter!$C:$C,D6440+1))</f>
        <v/>
      </c>
      <c r="H6440" t="str">
        <f>IF(D6440="","",INDEX(Knutepunkter!$D:$D,D6440+1))</f>
        <v/>
      </c>
      <c r="I6440" t="str">
        <f>IF(E6440="","",INDEX(Knutepunkter!$B:$B,E6440+1))</f>
        <v/>
      </c>
      <c r="J6440" t="str">
        <f>IF(E6440="","",INDEX(Knutepunkter!$C:$C,E6440+1))</f>
        <v/>
      </c>
      <c r="K6440" t="str">
        <f>IF(E6440="","",INDEX(Knutepunkter!$D:$D,E6440+1))</f>
        <v/>
      </c>
      <c r="L6440" t="str">
        <f t="shared" si="503"/>
        <v/>
      </c>
      <c r="M6440" t="str">
        <f t="shared" si="504"/>
        <v/>
      </c>
    </row>
    <row r="6441" spans="1:13" x14ac:dyDescent="0.3">
      <c r="A6441" t="str">
        <f>Segmenter!A6441</f>
        <v/>
      </c>
      <c r="B6441" t="str">
        <f>Segmenter!B6441</f>
        <v/>
      </c>
      <c r="C6441" t="str">
        <f t="shared" si="500"/>
        <v/>
      </c>
      <c r="D6441" t="str">
        <f t="shared" si="501"/>
        <v/>
      </c>
      <c r="E6441" t="str">
        <f t="shared" si="502"/>
        <v/>
      </c>
      <c r="F6441" t="str">
        <f>IF(D6441="","",INDEX(Knutepunkter!$B:$B,D6441+1))</f>
        <v/>
      </c>
      <c r="G6441" t="str">
        <f>IF(D6441="","",INDEX(Knutepunkter!$C:$C,D6441+1))</f>
        <v/>
      </c>
      <c r="H6441" t="str">
        <f>IF(D6441="","",INDEX(Knutepunkter!$D:$D,D6441+1))</f>
        <v/>
      </c>
      <c r="I6441" t="str">
        <f>IF(E6441="","",INDEX(Knutepunkter!$B:$B,E6441+1))</f>
        <v/>
      </c>
      <c r="J6441" t="str">
        <f>IF(E6441="","",INDEX(Knutepunkter!$C:$C,E6441+1))</f>
        <v/>
      </c>
      <c r="K6441" t="str">
        <f>IF(E6441="","",INDEX(Knutepunkter!$D:$D,E6441+1))</f>
        <v/>
      </c>
      <c r="L6441" t="str">
        <f t="shared" si="503"/>
        <v/>
      </c>
      <c r="M6441" t="str">
        <f t="shared" si="504"/>
        <v/>
      </c>
    </row>
    <row r="6442" spans="1:13" x14ac:dyDescent="0.3">
      <c r="A6442" t="str">
        <f>Segmenter!A6442</f>
        <v/>
      </c>
      <c r="B6442" t="str">
        <f>Segmenter!B6442</f>
        <v/>
      </c>
      <c r="C6442" t="str">
        <f t="shared" si="500"/>
        <v/>
      </c>
      <c r="D6442" t="str">
        <f t="shared" si="501"/>
        <v/>
      </c>
      <c r="E6442" t="str">
        <f t="shared" si="502"/>
        <v/>
      </c>
      <c r="F6442" t="str">
        <f>IF(D6442="","",INDEX(Knutepunkter!$B:$B,D6442+1))</f>
        <v/>
      </c>
      <c r="G6442" t="str">
        <f>IF(D6442="","",INDEX(Knutepunkter!$C:$C,D6442+1))</f>
        <v/>
      </c>
      <c r="H6442" t="str">
        <f>IF(D6442="","",INDEX(Knutepunkter!$D:$D,D6442+1))</f>
        <v/>
      </c>
      <c r="I6442" t="str">
        <f>IF(E6442="","",INDEX(Knutepunkter!$B:$B,E6442+1))</f>
        <v/>
      </c>
      <c r="J6442" t="str">
        <f>IF(E6442="","",INDEX(Knutepunkter!$C:$C,E6442+1))</f>
        <v/>
      </c>
      <c r="K6442" t="str">
        <f>IF(E6442="","",INDEX(Knutepunkter!$D:$D,E6442+1))</f>
        <v/>
      </c>
      <c r="L6442" t="str">
        <f t="shared" si="503"/>
        <v/>
      </c>
      <c r="M6442" t="str">
        <f t="shared" si="504"/>
        <v/>
      </c>
    </row>
    <row r="6443" spans="1:13" x14ac:dyDescent="0.3">
      <c r="A6443" t="str">
        <f>Segmenter!A6443</f>
        <v/>
      </c>
      <c r="B6443" t="str">
        <f>Segmenter!B6443</f>
        <v/>
      </c>
      <c r="C6443" t="str">
        <f t="shared" si="500"/>
        <v/>
      </c>
      <c r="D6443" t="str">
        <f t="shared" si="501"/>
        <v/>
      </c>
      <c r="E6443" t="str">
        <f t="shared" si="502"/>
        <v/>
      </c>
      <c r="F6443" t="str">
        <f>IF(D6443="","",INDEX(Knutepunkter!$B:$B,D6443+1))</f>
        <v/>
      </c>
      <c r="G6443" t="str">
        <f>IF(D6443="","",INDEX(Knutepunkter!$C:$C,D6443+1))</f>
        <v/>
      </c>
      <c r="H6443" t="str">
        <f>IF(D6443="","",INDEX(Knutepunkter!$D:$D,D6443+1))</f>
        <v/>
      </c>
      <c r="I6443" t="str">
        <f>IF(E6443="","",INDEX(Knutepunkter!$B:$B,E6443+1))</f>
        <v/>
      </c>
      <c r="J6443" t="str">
        <f>IF(E6443="","",INDEX(Knutepunkter!$C:$C,E6443+1))</f>
        <v/>
      </c>
      <c r="K6443" t="str">
        <f>IF(E6443="","",INDEX(Knutepunkter!$D:$D,E6443+1))</f>
        <v/>
      </c>
      <c r="L6443" t="str">
        <f t="shared" si="503"/>
        <v/>
      </c>
      <c r="M6443" t="str">
        <f t="shared" si="504"/>
        <v/>
      </c>
    </row>
    <row r="6444" spans="1:13" x14ac:dyDescent="0.3">
      <c r="A6444" t="str">
        <f>Segmenter!A6444</f>
        <v/>
      </c>
      <c r="B6444" t="str">
        <f>Segmenter!B6444</f>
        <v/>
      </c>
      <c r="C6444" t="str">
        <f t="shared" si="500"/>
        <v/>
      </c>
      <c r="D6444" t="str">
        <f t="shared" si="501"/>
        <v/>
      </c>
      <c r="E6444" t="str">
        <f t="shared" si="502"/>
        <v/>
      </c>
      <c r="F6444" t="str">
        <f>IF(D6444="","",INDEX(Knutepunkter!$B:$B,D6444+1))</f>
        <v/>
      </c>
      <c r="G6444" t="str">
        <f>IF(D6444="","",INDEX(Knutepunkter!$C:$C,D6444+1))</f>
        <v/>
      </c>
      <c r="H6444" t="str">
        <f>IF(D6444="","",INDEX(Knutepunkter!$D:$D,D6444+1))</f>
        <v/>
      </c>
      <c r="I6444" t="str">
        <f>IF(E6444="","",INDEX(Knutepunkter!$B:$B,E6444+1))</f>
        <v/>
      </c>
      <c r="J6444" t="str">
        <f>IF(E6444="","",INDEX(Knutepunkter!$C:$C,E6444+1))</f>
        <v/>
      </c>
      <c r="K6444" t="str">
        <f>IF(E6444="","",INDEX(Knutepunkter!$D:$D,E6444+1))</f>
        <v/>
      </c>
      <c r="L6444" t="str">
        <f t="shared" si="503"/>
        <v/>
      </c>
      <c r="M6444" t="str">
        <f t="shared" si="504"/>
        <v/>
      </c>
    </row>
    <row r="6445" spans="1:13" x14ac:dyDescent="0.3">
      <c r="A6445" t="str">
        <f>Segmenter!A6445</f>
        <v/>
      </c>
      <c r="B6445" t="str">
        <f>Segmenter!B6445</f>
        <v/>
      </c>
      <c r="C6445" t="str">
        <f t="shared" si="500"/>
        <v/>
      </c>
      <c r="D6445" t="str">
        <f t="shared" si="501"/>
        <v/>
      </c>
      <c r="E6445" t="str">
        <f t="shared" si="502"/>
        <v/>
      </c>
      <c r="F6445" t="str">
        <f>IF(D6445="","",INDEX(Knutepunkter!$B:$B,D6445+1))</f>
        <v/>
      </c>
      <c r="G6445" t="str">
        <f>IF(D6445="","",INDEX(Knutepunkter!$C:$C,D6445+1))</f>
        <v/>
      </c>
      <c r="H6445" t="str">
        <f>IF(D6445="","",INDEX(Knutepunkter!$D:$D,D6445+1))</f>
        <v/>
      </c>
      <c r="I6445" t="str">
        <f>IF(E6445="","",INDEX(Knutepunkter!$B:$B,E6445+1))</f>
        <v/>
      </c>
      <c r="J6445" t="str">
        <f>IF(E6445="","",INDEX(Knutepunkter!$C:$C,E6445+1))</f>
        <v/>
      </c>
      <c r="K6445" t="str">
        <f>IF(E6445="","",INDEX(Knutepunkter!$D:$D,E6445+1))</f>
        <v/>
      </c>
      <c r="L6445" t="str">
        <f t="shared" si="503"/>
        <v/>
      </c>
      <c r="M6445" t="str">
        <f t="shared" si="504"/>
        <v/>
      </c>
    </row>
    <row r="6446" spans="1:13" x14ac:dyDescent="0.3">
      <c r="A6446" t="str">
        <f>Segmenter!A6446</f>
        <v/>
      </c>
      <c r="B6446" t="str">
        <f>Segmenter!B6446</f>
        <v/>
      </c>
      <c r="C6446" t="str">
        <f t="shared" si="500"/>
        <v/>
      </c>
      <c r="D6446" t="str">
        <f t="shared" si="501"/>
        <v/>
      </c>
      <c r="E6446" t="str">
        <f t="shared" si="502"/>
        <v/>
      </c>
      <c r="F6446" t="str">
        <f>IF(D6446="","",INDEX(Knutepunkter!$B:$B,D6446+1))</f>
        <v/>
      </c>
      <c r="G6446" t="str">
        <f>IF(D6446="","",INDEX(Knutepunkter!$C:$C,D6446+1))</f>
        <v/>
      </c>
      <c r="H6446" t="str">
        <f>IF(D6446="","",INDEX(Knutepunkter!$D:$D,D6446+1))</f>
        <v/>
      </c>
      <c r="I6446" t="str">
        <f>IF(E6446="","",INDEX(Knutepunkter!$B:$B,E6446+1))</f>
        <v/>
      </c>
      <c r="J6446" t="str">
        <f>IF(E6446="","",INDEX(Knutepunkter!$C:$C,E6446+1))</f>
        <v/>
      </c>
      <c r="K6446" t="str">
        <f>IF(E6446="","",INDEX(Knutepunkter!$D:$D,E6446+1))</f>
        <v/>
      </c>
      <c r="L6446" t="str">
        <f t="shared" si="503"/>
        <v/>
      </c>
      <c r="M6446" t="str">
        <f t="shared" si="504"/>
        <v/>
      </c>
    </row>
    <row r="6447" spans="1:13" x14ac:dyDescent="0.3">
      <c r="A6447" t="str">
        <f>Segmenter!A6447</f>
        <v/>
      </c>
      <c r="B6447" t="str">
        <f>Segmenter!B6447</f>
        <v/>
      </c>
      <c r="C6447" t="str">
        <f t="shared" si="500"/>
        <v/>
      </c>
      <c r="D6447" t="str">
        <f t="shared" si="501"/>
        <v/>
      </c>
      <c r="E6447" t="str">
        <f t="shared" si="502"/>
        <v/>
      </c>
      <c r="F6447" t="str">
        <f>IF(D6447="","",INDEX(Knutepunkter!$B:$B,D6447+1))</f>
        <v/>
      </c>
      <c r="G6447" t="str">
        <f>IF(D6447="","",INDEX(Knutepunkter!$C:$C,D6447+1))</f>
        <v/>
      </c>
      <c r="H6447" t="str">
        <f>IF(D6447="","",INDEX(Knutepunkter!$D:$D,D6447+1))</f>
        <v/>
      </c>
      <c r="I6447" t="str">
        <f>IF(E6447="","",INDEX(Knutepunkter!$B:$B,E6447+1))</f>
        <v/>
      </c>
      <c r="J6447" t="str">
        <f>IF(E6447="","",INDEX(Knutepunkter!$C:$C,E6447+1))</f>
        <v/>
      </c>
      <c r="K6447" t="str">
        <f>IF(E6447="","",INDEX(Knutepunkter!$D:$D,E6447+1))</f>
        <v/>
      </c>
      <c r="L6447" t="str">
        <f t="shared" si="503"/>
        <v/>
      </c>
      <c r="M6447" t="str">
        <f t="shared" si="504"/>
        <v/>
      </c>
    </row>
    <row r="6448" spans="1:13" x14ac:dyDescent="0.3">
      <c r="A6448" t="str">
        <f>Segmenter!A6448</f>
        <v/>
      </c>
      <c r="B6448" t="str">
        <f>Segmenter!B6448</f>
        <v/>
      </c>
      <c r="C6448" t="str">
        <f t="shared" si="500"/>
        <v/>
      </c>
      <c r="D6448" t="str">
        <f t="shared" si="501"/>
        <v/>
      </c>
      <c r="E6448" t="str">
        <f t="shared" si="502"/>
        <v/>
      </c>
      <c r="F6448" t="str">
        <f>IF(D6448="","",INDEX(Knutepunkter!$B:$B,D6448+1))</f>
        <v/>
      </c>
      <c r="G6448" t="str">
        <f>IF(D6448="","",INDEX(Knutepunkter!$C:$C,D6448+1))</f>
        <v/>
      </c>
      <c r="H6448" t="str">
        <f>IF(D6448="","",INDEX(Knutepunkter!$D:$D,D6448+1))</f>
        <v/>
      </c>
      <c r="I6448" t="str">
        <f>IF(E6448="","",INDEX(Knutepunkter!$B:$B,E6448+1))</f>
        <v/>
      </c>
      <c r="J6448" t="str">
        <f>IF(E6448="","",INDEX(Knutepunkter!$C:$C,E6448+1))</f>
        <v/>
      </c>
      <c r="K6448" t="str">
        <f>IF(E6448="","",INDEX(Knutepunkter!$D:$D,E6448+1))</f>
        <v/>
      </c>
      <c r="L6448" t="str">
        <f t="shared" si="503"/>
        <v/>
      </c>
      <c r="M6448" t="str">
        <f t="shared" si="504"/>
        <v/>
      </c>
    </row>
    <row r="6449" spans="1:13" x14ac:dyDescent="0.3">
      <c r="A6449" t="str">
        <f>Segmenter!A6449</f>
        <v/>
      </c>
      <c r="B6449" t="str">
        <f>Segmenter!B6449</f>
        <v/>
      </c>
      <c r="C6449" t="str">
        <f t="shared" si="500"/>
        <v/>
      </c>
      <c r="D6449" t="str">
        <f t="shared" si="501"/>
        <v/>
      </c>
      <c r="E6449" t="str">
        <f t="shared" si="502"/>
        <v/>
      </c>
      <c r="F6449" t="str">
        <f>IF(D6449="","",INDEX(Knutepunkter!$B:$B,D6449+1))</f>
        <v/>
      </c>
      <c r="G6449" t="str">
        <f>IF(D6449="","",INDEX(Knutepunkter!$C:$C,D6449+1))</f>
        <v/>
      </c>
      <c r="H6449" t="str">
        <f>IF(D6449="","",INDEX(Knutepunkter!$D:$D,D6449+1))</f>
        <v/>
      </c>
      <c r="I6449" t="str">
        <f>IF(E6449="","",INDEX(Knutepunkter!$B:$B,E6449+1))</f>
        <v/>
      </c>
      <c r="J6449" t="str">
        <f>IF(E6449="","",INDEX(Knutepunkter!$C:$C,E6449+1))</f>
        <v/>
      </c>
      <c r="K6449" t="str">
        <f>IF(E6449="","",INDEX(Knutepunkter!$D:$D,E6449+1))</f>
        <v/>
      </c>
      <c r="L6449" t="str">
        <f t="shared" si="503"/>
        <v/>
      </c>
      <c r="M6449" t="str">
        <f t="shared" si="504"/>
        <v/>
      </c>
    </row>
    <row r="6450" spans="1:13" x14ac:dyDescent="0.3">
      <c r="A6450" t="str">
        <f>Segmenter!A6450</f>
        <v/>
      </c>
      <c r="B6450" t="str">
        <f>Segmenter!B6450</f>
        <v/>
      </c>
      <c r="C6450" t="str">
        <f t="shared" si="500"/>
        <v/>
      </c>
      <c r="D6450" t="str">
        <f t="shared" si="501"/>
        <v/>
      </c>
      <c r="E6450" t="str">
        <f t="shared" si="502"/>
        <v/>
      </c>
      <c r="F6450" t="str">
        <f>IF(D6450="","",INDEX(Knutepunkter!$B:$B,D6450+1))</f>
        <v/>
      </c>
      <c r="G6450" t="str">
        <f>IF(D6450="","",INDEX(Knutepunkter!$C:$C,D6450+1))</f>
        <v/>
      </c>
      <c r="H6450" t="str">
        <f>IF(D6450="","",INDEX(Knutepunkter!$D:$D,D6450+1))</f>
        <v/>
      </c>
      <c r="I6450" t="str">
        <f>IF(E6450="","",INDEX(Knutepunkter!$B:$B,E6450+1))</f>
        <v/>
      </c>
      <c r="J6450" t="str">
        <f>IF(E6450="","",INDEX(Knutepunkter!$C:$C,E6450+1))</f>
        <v/>
      </c>
      <c r="K6450" t="str">
        <f>IF(E6450="","",INDEX(Knutepunkter!$D:$D,E6450+1))</f>
        <v/>
      </c>
      <c r="L6450" t="str">
        <f t="shared" si="503"/>
        <v/>
      </c>
      <c r="M6450" t="str">
        <f t="shared" si="504"/>
        <v/>
      </c>
    </row>
    <row r="6451" spans="1:13" x14ac:dyDescent="0.3">
      <c r="A6451" t="str">
        <f>Segmenter!A6451</f>
        <v/>
      </c>
      <c r="B6451" t="str">
        <f>Segmenter!B6451</f>
        <v/>
      </c>
      <c r="C6451" t="str">
        <f t="shared" si="500"/>
        <v/>
      </c>
      <c r="D6451" t="str">
        <f t="shared" si="501"/>
        <v/>
      </c>
      <c r="E6451" t="str">
        <f t="shared" si="502"/>
        <v/>
      </c>
      <c r="F6451" t="str">
        <f>IF(D6451="","",INDEX(Knutepunkter!$B:$B,D6451+1))</f>
        <v/>
      </c>
      <c r="G6451" t="str">
        <f>IF(D6451="","",INDEX(Knutepunkter!$C:$C,D6451+1))</f>
        <v/>
      </c>
      <c r="H6451" t="str">
        <f>IF(D6451="","",INDEX(Knutepunkter!$D:$D,D6451+1))</f>
        <v/>
      </c>
      <c r="I6451" t="str">
        <f>IF(E6451="","",INDEX(Knutepunkter!$B:$B,E6451+1))</f>
        <v/>
      </c>
      <c r="J6451" t="str">
        <f>IF(E6451="","",INDEX(Knutepunkter!$C:$C,E6451+1))</f>
        <v/>
      </c>
      <c r="K6451" t="str">
        <f>IF(E6451="","",INDEX(Knutepunkter!$D:$D,E6451+1))</f>
        <v/>
      </c>
      <c r="L6451" t="str">
        <f t="shared" si="503"/>
        <v/>
      </c>
      <c r="M6451" t="str">
        <f t="shared" si="504"/>
        <v/>
      </c>
    </row>
    <row r="6452" spans="1:13" x14ac:dyDescent="0.3">
      <c r="A6452" t="str">
        <f>Segmenter!A6452</f>
        <v/>
      </c>
      <c r="B6452" t="str">
        <f>Segmenter!B6452</f>
        <v/>
      </c>
      <c r="C6452" t="str">
        <f t="shared" si="500"/>
        <v/>
      </c>
      <c r="D6452" t="str">
        <f t="shared" si="501"/>
        <v/>
      </c>
      <c r="E6452" t="str">
        <f t="shared" si="502"/>
        <v/>
      </c>
      <c r="F6452" t="str">
        <f>IF(D6452="","",INDEX(Knutepunkter!$B:$B,D6452+1))</f>
        <v/>
      </c>
      <c r="G6452" t="str">
        <f>IF(D6452="","",INDEX(Knutepunkter!$C:$C,D6452+1))</f>
        <v/>
      </c>
      <c r="H6452" t="str">
        <f>IF(D6452="","",INDEX(Knutepunkter!$D:$D,D6452+1))</f>
        <v/>
      </c>
      <c r="I6452" t="str">
        <f>IF(E6452="","",INDEX(Knutepunkter!$B:$B,E6452+1))</f>
        <v/>
      </c>
      <c r="J6452" t="str">
        <f>IF(E6452="","",INDEX(Knutepunkter!$C:$C,E6452+1))</f>
        <v/>
      </c>
      <c r="K6452" t="str">
        <f>IF(E6452="","",INDEX(Knutepunkter!$D:$D,E6452+1))</f>
        <v/>
      </c>
      <c r="L6452" t="str">
        <f t="shared" si="503"/>
        <v/>
      </c>
      <c r="M6452" t="str">
        <f t="shared" si="504"/>
        <v/>
      </c>
    </row>
    <row r="6453" spans="1:13" x14ac:dyDescent="0.3">
      <c r="A6453" t="str">
        <f>Segmenter!A6453</f>
        <v/>
      </c>
      <c r="B6453" t="str">
        <f>Segmenter!B6453</f>
        <v/>
      </c>
      <c r="C6453" t="str">
        <f t="shared" si="500"/>
        <v/>
      </c>
      <c r="D6453" t="str">
        <f t="shared" si="501"/>
        <v/>
      </c>
      <c r="E6453" t="str">
        <f t="shared" si="502"/>
        <v/>
      </c>
      <c r="F6453" t="str">
        <f>IF(D6453="","",INDEX(Knutepunkter!$B:$B,D6453+1))</f>
        <v/>
      </c>
      <c r="G6453" t="str">
        <f>IF(D6453="","",INDEX(Knutepunkter!$C:$C,D6453+1))</f>
        <v/>
      </c>
      <c r="H6453" t="str">
        <f>IF(D6453="","",INDEX(Knutepunkter!$D:$D,D6453+1))</f>
        <v/>
      </c>
      <c r="I6453" t="str">
        <f>IF(E6453="","",INDEX(Knutepunkter!$B:$B,E6453+1))</f>
        <v/>
      </c>
      <c r="J6453" t="str">
        <f>IF(E6453="","",INDEX(Knutepunkter!$C:$C,E6453+1))</f>
        <v/>
      </c>
      <c r="K6453" t="str">
        <f>IF(E6453="","",INDEX(Knutepunkter!$D:$D,E6453+1))</f>
        <v/>
      </c>
      <c r="L6453" t="str">
        <f t="shared" si="503"/>
        <v/>
      </c>
      <c r="M6453" t="str">
        <f t="shared" si="504"/>
        <v/>
      </c>
    </row>
    <row r="6454" spans="1:13" x14ac:dyDescent="0.3">
      <c r="A6454" t="str">
        <f>Segmenter!A6454</f>
        <v/>
      </c>
      <c r="B6454" t="str">
        <f>Segmenter!B6454</f>
        <v/>
      </c>
      <c r="C6454" t="str">
        <f t="shared" si="500"/>
        <v/>
      </c>
      <c r="D6454" t="str">
        <f t="shared" si="501"/>
        <v/>
      </c>
      <c r="E6454" t="str">
        <f t="shared" si="502"/>
        <v/>
      </c>
      <c r="F6454" t="str">
        <f>IF(D6454="","",INDEX(Knutepunkter!$B:$B,D6454+1))</f>
        <v/>
      </c>
      <c r="G6454" t="str">
        <f>IF(D6454="","",INDEX(Knutepunkter!$C:$C,D6454+1))</f>
        <v/>
      </c>
      <c r="H6454" t="str">
        <f>IF(D6454="","",INDEX(Knutepunkter!$D:$D,D6454+1))</f>
        <v/>
      </c>
      <c r="I6454" t="str">
        <f>IF(E6454="","",INDEX(Knutepunkter!$B:$B,E6454+1))</f>
        <v/>
      </c>
      <c r="J6454" t="str">
        <f>IF(E6454="","",INDEX(Knutepunkter!$C:$C,E6454+1))</f>
        <v/>
      </c>
      <c r="K6454" t="str">
        <f>IF(E6454="","",INDEX(Knutepunkter!$D:$D,E6454+1))</f>
        <v/>
      </c>
      <c r="L6454" t="str">
        <f t="shared" si="503"/>
        <v/>
      </c>
      <c r="M6454" t="str">
        <f t="shared" si="504"/>
        <v/>
      </c>
    </row>
    <row r="6455" spans="1:13" x14ac:dyDescent="0.3">
      <c r="A6455" t="str">
        <f>Segmenter!A6455</f>
        <v/>
      </c>
      <c r="B6455" t="str">
        <f>Segmenter!B6455</f>
        <v/>
      </c>
      <c r="C6455" t="str">
        <f t="shared" si="500"/>
        <v/>
      </c>
      <c r="D6455" t="str">
        <f t="shared" si="501"/>
        <v/>
      </c>
      <c r="E6455" t="str">
        <f t="shared" si="502"/>
        <v/>
      </c>
      <c r="F6455" t="str">
        <f>IF(D6455="","",INDEX(Knutepunkter!$B:$B,D6455+1))</f>
        <v/>
      </c>
      <c r="G6455" t="str">
        <f>IF(D6455="","",INDEX(Knutepunkter!$C:$C,D6455+1))</f>
        <v/>
      </c>
      <c r="H6455" t="str">
        <f>IF(D6455="","",INDEX(Knutepunkter!$D:$D,D6455+1))</f>
        <v/>
      </c>
      <c r="I6455" t="str">
        <f>IF(E6455="","",INDEX(Knutepunkter!$B:$B,E6455+1))</f>
        <v/>
      </c>
      <c r="J6455" t="str">
        <f>IF(E6455="","",INDEX(Knutepunkter!$C:$C,E6455+1))</f>
        <v/>
      </c>
      <c r="K6455" t="str">
        <f>IF(E6455="","",INDEX(Knutepunkter!$D:$D,E6455+1))</f>
        <v/>
      </c>
      <c r="L6455" t="str">
        <f t="shared" si="503"/>
        <v/>
      </c>
      <c r="M6455" t="str">
        <f t="shared" si="504"/>
        <v/>
      </c>
    </row>
    <row r="6456" spans="1:13" x14ac:dyDescent="0.3">
      <c r="A6456" t="str">
        <f>Segmenter!A6456</f>
        <v/>
      </c>
      <c r="B6456" t="str">
        <f>Segmenter!B6456</f>
        <v/>
      </c>
      <c r="C6456" t="str">
        <f t="shared" si="500"/>
        <v/>
      </c>
      <c r="D6456" t="str">
        <f t="shared" si="501"/>
        <v/>
      </c>
      <c r="E6456" t="str">
        <f t="shared" si="502"/>
        <v/>
      </c>
      <c r="F6456" t="str">
        <f>IF(D6456="","",INDEX(Knutepunkter!$B:$B,D6456+1))</f>
        <v/>
      </c>
      <c r="G6456" t="str">
        <f>IF(D6456="","",INDEX(Knutepunkter!$C:$C,D6456+1))</f>
        <v/>
      </c>
      <c r="H6456" t="str">
        <f>IF(D6456="","",INDEX(Knutepunkter!$D:$D,D6456+1))</f>
        <v/>
      </c>
      <c r="I6456" t="str">
        <f>IF(E6456="","",INDEX(Knutepunkter!$B:$B,E6456+1))</f>
        <v/>
      </c>
      <c r="J6456" t="str">
        <f>IF(E6456="","",INDEX(Knutepunkter!$C:$C,E6456+1))</f>
        <v/>
      </c>
      <c r="K6456" t="str">
        <f>IF(E6456="","",INDEX(Knutepunkter!$D:$D,E6456+1))</f>
        <v/>
      </c>
      <c r="L6456" t="str">
        <f t="shared" si="503"/>
        <v/>
      </c>
      <c r="M6456" t="str">
        <f t="shared" si="504"/>
        <v/>
      </c>
    </row>
    <row r="6457" spans="1:13" x14ac:dyDescent="0.3">
      <c r="A6457" t="str">
        <f>Segmenter!A6457</f>
        <v/>
      </c>
      <c r="B6457" t="str">
        <f>Segmenter!B6457</f>
        <v/>
      </c>
      <c r="C6457" t="str">
        <f t="shared" si="500"/>
        <v/>
      </c>
      <c r="D6457" t="str">
        <f t="shared" si="501"/>
        <v/>
      </c>
      <c r="E6457" t="str">
        <f t="shared" si="502"/>
        <v/>
      </c>
      <c r="F6457" t="str">
        <f>IF(D6457="","",INDEX(Knutepunkter!$B:$B,D6457+1))</f>
        <v/>
      </c>
      <c r="G6457" t="str">
        <f>IF(D6457="","",INDEX(Knutepunkter!$C:$C,D6457+1))</f>
        <v/>
      </c>
      <c r="H6457" t="str">
        <f>IF(D6457="","",INDEX(Knutepunkter!$D:$D,D6457+1))</f>
        <v/>
      </c>
      <c r="I6457" t="str">
        <f>IF(E6457="","",INDEX(Knutepunkter!$B:$B,E6457+1))</f>
        <v/>
      </c>
      <c r="J6457" t="str">
        <f>IF(E6457="","",INDEX(Knutepunkter!$C:$C,E6457+1))</f>
        <v/>
      </c>
      <c r="K6457" t="str">
        <f>IF(E6457="","",INDEX(Knutepunkter!$D:$D,E6457+1))</f>
        <v/>
      </c>
      <c r="L6457" t="str">
        <f t="shared" si="503"/>
        <v/>
      </c>
      <c r="M6457" t="str">
        <f t="shared" si="504"/>
        <v/>
      </c>
    </row>
    <row r="6458" spans="1:13" x14ac:dyDescent="0.3">
      <c r="A6458" t="str">
        <f>Segmenter!A6458</f>
        <v/>
      </c>
      <c r="B6458" t="str">
        <f>Segmenter!B6458</f>
        <v/>
      </c>
      <c r="C6458" t="str">
        <f t="shared" si="500"/>
        <v/>
      </c>
      <c r="D6458" t="str">
        <f t="shared" si="501"/>
        <v/>
      </c>
      <c r="E6458" t="str">
        <f t="shared" si="502"/>
        <v/>
      </c>
      <c r="F6458" t="str">
        <f>IF(D6458="","",INDEX(Knutepunkter!$B:$B,D6458+1))</f>
        <v/>
      </c>
      <c r="G6458" t="str">
        <f>IF(D6458="","",INDEX(Knutepunkter!$C:$C,D6458+1))</f>
        <v/>
      </c>
      <c r="H6458" t="str">
        <f>IF(D6458="","",INDEX(Knutepunkter!$D:$D,D6458+1))</f>
        <v/>
      </c>
      <c r="I6458" t="str">
        <f>IF(E6458="","",INDEX(Knutepunkter!$B:$B,E6458+1))</f>
        <v/>
      </c>
      <c r="J6458" t="str">
        <f>IF(E6458="","",INDEX(Knutepunkter!$C:$C,E6458+1))</f>
        <v/>
      </c>
      <c r="K6458" t="str">
        <f>IF(E6458="","",INDEX(Knutepunkter!$D:$D,E6458+1))</f>
        <v/>
      </c>
      <c r="L6458" t="str">
        <f t="shared" si="503"/>
        <v/>
      </c>
      <c r="M6458" t="str">
        <f t="shared" si="504"/>
        <v/>
      </c>
    </row>
    <row r="6459" spans="1:13" x14ac:dyDescent="0.3">
      <c r="A6459" t="str">
        <f>Segmenter!A6459</f>
        <v/>
      </c>
      <c r="B6459" t="str">
        <f>Segmenter!B6459</f>
        <v/>
      </c>
      <c r="C6459" t="str">
        <f t="shared" si="500"/>
        <v/>
      </c>
      <c r="D6459" t="str">
        <f t="shared" si="501"/>
        <v/>
      </c>
      <c r="E6459" t="str">
        <f t="shared" si="502"/>
        <v/>
      </c>
      <c r="F6459" t="str">
        <f>IF(D6459="","",INDEX(Knutepunkter!$B:$B,D6459+1))</f>
        <v/>
      </c>
      <c r="G6459" t="str">
        <f>IF(D6459="","",INDEX(Knutepunkter!$C:$C,D6459+1))</f>
        <v/>
      </c>
      <c r="H6459" t="str">
        <f>IF(D6459="","",INDEX(Knutepunkter!$D:$D,D6459+1))</f>
        <v/>
      </c>
      <c r="I6459" t="str">
        <f>IF(E6459="","",INDEX(Knutepunkter!$B:$B,E6459+1))</f>
        <v/>
      </c>
      <c r="J6459" t="str">
        <f>IF(E6459="","",INDEX(Knutepunkter!$C:$C,E6459+1))</f>
        <v/>
      </c>
      <c r="K6459" t="str">
        <f>IF(E6459="","",INDEX(Knutepunkter!$D:$D,E6459+1))</f>
        <v/>
      </c>
      <c r="L6459" t="str">
        <f t="shared" si="503"/>
        <v/>
      </c>
      <c r="M6459" t="str">
        <f t="shared" si="504"/>
        <v/>
      </c>
    </row>
    <row r="6460" spans="1:13" x14ac:dyDescent="0.3">
      <c r="A6460" t="str">
        <f>Segmenter!A6460</f>
        <v/>
      </c>
      <c r="B6460" t="str">
        <f>Segmenter!B6460</f>
        <v/>
      </c>
      <c r="C6460" t="str">
        <f t="shared" si="500"/>
        <v/>
      </c>
      <c r="D6460" t="str">
        <f t="shared" si="501"/>
        <v/>
      </c>
      <c r="E6460" t="str">
        <f t="shared" si="502"/>
        <v/>
      </c>
      <c r="F6460" t="str">
        <f>IF(D6460="","",INDEX(Knutepunkter!$B:$B,D6460+1))</f>
        <v/>
      </c>
      <c r="G6460" t="str">
        <f>IF(D6460="","",INDEX(Knutepunkter!$C:$C,D6460+1))</f>
        <v/>
      </c>
      <c r="H6460" t="str">
        <f>IF(D6460="","",INDEX(Knutepunkter!$D:$D,D6460+1))</f>
        <v/>
      </c>
      <c r="I6460" t="str">
        <f>IF(E6460="","",INDEX(Knutepunkter!$B:$B,E6460+1))</f>
        <v/>
      </c>
      <c r="J6460" t="str">
        <f>IF(E6460="","",INDEX(Knutepunkter!$C:$C,E6460+1))</f>
        <v/>
      </c>
      <c r="K6460" t="str">
        <f>IF(E6460="","",INDEX(Knutepunkter!$D:$D,E6460+1))</f>
        <v/>
      </c>
      <c r="L6460" t="str">
        <f t="shared" si="503"/>
        <v/>
      </c>
      <c r="M6460" t="str">
        <f t="shared" si="504"/>
        <v/>
      </c>
    </row>
    <row r="6461" spans="1:13" x14ac:dyDescent="0.3">
      <c r="A6461" t="str">
        <f>Segmenter!A6461</f>
        <v/>
      </c>
      <c r="B6461" t="str">
        <f>Segmenter!B6461</f>
        <v/>
      </c>
      <c r="C6461" t="str">
        <f t="shared" si="500"/>
        <v/>
      </c>
      <c r="D6461" t="str">
        <f t="shared" si="501"/>
        <v/>
      </c>
      <c r="E6461" t="str">
        <f t="shared" si="502"/>
        <v/>
      </c>
      <c r="F6461" t="str">
        <f>IF(D6461="","",INDEX(Knutepunkter!$B:$B,D6461+1))</f>
        <v/>
      </c>
      <c r="G6461" t="str">
        <f>IF(D6461="","",INDEX(Knutepunkter!$C:$C,D6461+1))</f>
        <v/>
      </c>
      <c r="H6461" t="str">
        <f>IF(D6461="","",INDEX(Knutepunkter!$D:$D,D6461+1))</f>
        <v/>
      </c>
      <c r="I6461" t="str">
        <f>IF(E6461="","",INDEX(Knutepunkter!$B:$B,E6461+1))</f>
        <v/>
      </c>
      <c r="J6461" t="str">
        <f>IF(E6461="","",INDEX(Knutepunkter!$C:$C,E6461+1))</f>
        <v/>
      </c>
      <c r="K6461" t="str">
        <f>IF(E6461="","",INDEX(Knutepunkter!$D:$D,E6461+1))</f>
        <v/>
      </c>
      <c r="L6461" t="str">
        <f t="shared" si="503"/>
        <v/>
      </c>
      <c r="M6461" t="str">
        <f t="shared" si="504"/>
        <v/>
      </c>
    </row>
    <row r="6462" spans="1:13" x14ac:dyDescent="0.3">
      <c r="A6462" t="str">
        <f>Segmenter!A6462</f>
        <v/>
      </c>
      <c r="B6462" t="str">
        <f>Segmenter!B6462</f>
        <v/>
      </c>
      <c r="C6462" t="str">
        <f t="shared" si="500"/>
        <v/>
      </c>
      <c r="D6462" t="str">
        <f t="shared" si="501"/>
        <v/>
      </c>
      <c r="E6462" t="str">
        <f t="shared" si="502"/>
        <v/>
      </c>
      <c r="F6462" t="str">
        <f>IF(D6462="","",INDEX(Knutepunkter!$B:$B,D6462+1))</f>
        <v/>
      </c>
      <c r="G6462" t="str">
        <f>IF(D6462="","",INDEX(Knutepunkter!$C:$C,D6462+1))</f>
        <v/>
      </c>
      <c r="H6462" t="str">
        <f>IF(D6462="","",INDEX(Knutepunkter!$D:$D,D6462+1))</f>
        <v/>
      </c>
      <c r="I6462" t="str">
        <f>IF(E6462="","",INDEX(Knutepunkter!$B:$B,E6462+1))</f>
        <v/>
      </c>
      <c r="J6462" t="str">
        <f>IF(E6462="","",INDEX(Knutepunkter!$C:$C,E6462+1))</f>
        <v/>
      </c>
      <c r="K6462" t="str">
        <f>IF(E6462="","",INDEX(Knutepunkter!$D:$D,E6462+1))</f>
        <v/>
      </c>
      <c r="L6462" t="str">
        <f t="shared" si="503"/>
        <v/>
      </c>
      <c r="M6462" t="str">
        <f t="shared" si="504"/>
        <v/>
      </c>
    </row>
    <row r="6463" spans="1:13" x14ac:dyDescent="0.3">
      <c r="A6463" t="str">
        <f>Segmenter!A6463</f>
        <v/>
      </c>
      <c r="B6463" t="str">
        <f>Segmenter!B6463</f>
        <v/>
      </c>
      <c r="C6463" t="str">
        <f t="shared" si="500"/>
        <v/>
      </c>
      <c r="D6463" t="str">
        <f t="shared" si="501"/>
        <v/>
      </c>
      <c r="E6463" t="str">
        <f t="shared" si="502"/>
        <v/>
      </c>
      <c r="F6463" t="str">
        <f>IF(D6463="","",INDEX(Knutepunkter!$B:$B,D6463+1))</f>
        <v/>
      </c>
      <c r="G6463" t="str">
        <f>IF(D6463="","",INDEX(Knutepunkter!$C:$C,D6463+1))</f>
        <v/>
      </c>
      <c r="H6463" t="str">
        <f>IF(D6463="","",INDEX(Knutepunkter!$D:$D,D6463+1))</f>
        <v/>
      </c>
      <c r="I6463" t="str">
        <f>IF(E6463="","",INDEX(Knutepunkter!$B:$B,E6463+1))</f>
        <v/>
      </c>
      <c r="J6463" t="str">
        <f>IF(E6463="","",INDEX(Knutepunkter!$C:$C,E6463+1))</f>
        <v/>
      </c>
      <c r="K6463" t="str">
        <f>IF(E6463="","",INDEX(Knutepunkter!$D:$D,E6463+1))</f>
        <v/>
      </c>
      <c r="L6463" t="str">
        <f t="shared" si="503"/>
        <v/>
      </c>
      <c r="M6463" t="str">
        <f t="shared" si="504"/>
        <v/>
      </c>
    </row>
    <row r="6464" spans="1:13" x14ac:dyDescent="0.3">
      <c r="A6464" t="str">
        <f>Segmenter!A6464</f>
        <v/>
      </c>
      <c r="B6464" t="str">
        <f>Segmenter!B6464</f>
        <v/>
      </c>
      <c r="C6464" t="str">
        <f t="shared" si="500"/>
        <v/>
      </c>
      <c r="D6464" t="str">
        <f t="shared" si="501"/>
        <v/>
      </c>
      <c r="E6464" t="str">
        <f t="shared" si="502"/>
        <v/>
      </c>
      <c r="F6464" t="str">
        <f>IF(D6464="","",INDEX(Knutepunkter!$B:$B,D6464+1))</f>
        <v/>
      </c>
      <c r="G6464" t="str">
        <f>IF(D6464="","",INDEX(Knutepunkter!$C:$C,D6464+1))</f>
        <v/>
      </c>
      <c r="H6464" t="str">
        <f>IF(D6464="","",INDEX(Knutepunkter!$D:$D,D6464+1))</f>
        <v/>
      </c>
      <c r="I6464" t="str">
        <f>IF(E6464="","",INDEX(Knutepunkter!$B:$B,E6464+1))</f>
        <v/>
      </c>
      <c r="J6464" t="str">
        <f>IF(E6464="","",INDEX(Knutepunkter!$C:$C,E6464+1))</f>
        <v/>
      </c>
      <c r="K6464" t="str">
        <f>IF(E6464="","",INDEX(Knutepunkter!$D:$D,E6464+1))</f>
        <v/>
      </c>
      <c r="L6464" t="str">
        <f t="shared" si="503"/>
        <v/>
      </c>
      <c r="M6464" t="str">
        <f t="shared" si="504"/>
        <v/>
      </c>
    </row>
    <row r="6465" spans="1:13" x14ac:dyDescent="0.3">
      <c r="A6465" t="str">
        <f>Segmenter!A6465</f>
        <v/>
      </c>
      <c r="B6465" t="str">
        <f>Segmenter!B6465</f>
        <v/>
      </c>
      <c r="C6465" t="str">
        <f t="shared" si="500"/>
        <v/>
      </c>
      <c r="D6465" t="str">
        <f t="shared" si="501"/>
        <v/>
      </c>
      <c r="E6465" t="str">
        <f t="shared" si="502"/>
        <v/>
      </c>
      <c r="F6465" t="str">
        <f>IF(D6465="","",INDEX(Knutepunkter!$B:$B,D6465+1))</f>
        <v/>
      </c>
      <c r="G6465" t="str">
        <f>IF(D6465="","",INDEX(Knutepunkter!$C:$C,D6465+1))</f>
        <v/>
      </c>
      <c r="H6465" t="str">
        <f>IF(D6465="","",INDEX(Knutepunkter!$D:$D,D6465+1))</f>
        <v/>
      </c>
      <c r="I6465" t="str">
        <f>IF(E6465="","",INDEX(Knutepunkter!$B:$B,E6465+1))</f>
        <v/>
      </c>
      <c r="J6465" t="str">
        <f>IF(E6465="","",INDEX(Knutepunkter!$C:$C,E6465+1))</f>
        <v/>
      </c>
      <c r="K6465" t="str">
        <f>IF(E6465="","",INDEX(Knutepunkter!$D:$D,E6465+1))</f>
        <v/>
      </c>
      <c r="L6465" t="str">
        <f t="shared" si="503"/>
        <v/>
      </c>
      <c r="M6465" t="str">
        <f t="shared" si="504"/>
        <v/>
      </c>
    </row>
    <row r="6466" spans="1:13" x14ac:dyDescent="0.3">
      <c r="A6466" t="str">
        <f>Segmenter!A6466</f>
        <v/>
      </c>
      <c r="B6466" t="str">
        <f>Segmenter!B6466</f>
        <v/>
      </c>
      <c r="C6466" t="str">
        <f t="shared" ref="C6466:C6529" si="505">IF(B6466="","",IF(AND(F6466=I6466,G6466=J6466,H6466&lt;&gt;K6466),"Søyle","Bjelke"))</f>
        <v/>
      </c>
      <c r="D6466" t="str">
        <f t="shared" ref="D6466:D6529" si="506">IF(B6466="","",VALUE(LEFT(B6466,FIND(" -&gt; ",B6466)-1)))</f>
        <v/>
      </c>
      <c r="E6466" t="str">
        <f t="shared" ref="E6466:E6529" si="507">IF(B6466="","",VALUE(MID(B6466,FIND(" -&gt; ",B6466)+4,99)))</f>
        <v/>
      </c>
      <c r="F6466" t="str">
        <f>IF(D6466="","",INDEX(Knutepunkter!$B:$B,D6466+1))</f>
        <v/>
      </c>
      <c r="G6466" t="str">
        <f>IF(D6466="","",INDEX(Knutepunkter!$C:$C,D6466+1))</f>
        <v/>
      </c>
      <c r="H6466" t="str">
        <f>IF(D6466="","",INDEX(Knutepunkter!$D:$D,D6466+1))</f>
        <v/>
      </c>
      <c r="I6466" t="str">
        <f>IF(E6466="","",INDEX(Knutepunkter!$B:$B,E6466+1))</f>
        <v/>
      </c>
      <c r="J6466" t="str">
        <f>IF(E6466="","",INDEX(Knutepunkter!$C:$C,E6466+1))</f>
        <v/>
      </c>
      <c r="K6466" t="str">
        <f>IF(E6466="","",INDEX(Knutepunkter!$D:$D,E6466+1))</f>
        <v/>
      </c>
      <c r="L6466" t="str">
        <f t="shared" ref="L6466:L6529" si="508">IF(B6466="","",SQRT((I6466-F6466)^2+(J6466-G6466)^2+(K6466-H6466)^2))</f>
        <v/>
      </c>
      <c r="M6466" t="str">
        <f t="shared" ref="M6466:M6529" si="509">IF(L6466="","",L6466/1000)</f>
        <v/>
      </c>
    </row>
    <row r="6467" spans="1:13" x14ac:dyDescent="0.3">
      <c r="A6467" t="str">
        <f>Segmenter!A6467</f>
        <v/>
      </c>
      <c r="B6467" t="str">
        <f>Segmenter!B6467</f>
        <v/>
      </c>
      <c r="C6467" t="str">
        <f t="shared" si="505"/>
        <v/>
      </c>
      <c r="D6467" t="str">
        <f t="shared" si="506"/>
        <v/>
      </c>
      <c r="E6467" t="str">
        <f t="shared" si="507"/>
        <v/>
      </c>
      <c r="F6467" t="str">
        <f>IF(D6467="","",INDEX(Knutepunkter!$B:$B,D6467+1))</f>
        <v/>
      </c>
      <c r="G6467" t="str">
        <f>IF(D6467="","",INDEX(Knutepunkter!$C:$C,D6467+1))</f>
        <v/>
      </c>
      <c r="H6467" t="str">
        <f>IF(D6467="","",INDEX(Knutepunkter!$D:$D,D6467+1))</f>
        <v/>
      </c>
      <c r="I6467" t="str">
        <f>IF(E6467="","",INDEX(Knutepunkter!$B:$B,E6467+1))</f>
        <v/>
      </c>
      <c r="J6467" t="str">
        <f>IF(E6467="","",INDEX(Knutepunkter!$C:$C,E6467+1))</f>
        <v/>
      </c>
      <c r="K6467" t="str">
        <f>IF(E6467="","",INDEX(Knutepunkter!$D:$D,E6467+1))</f>
        <v/>
      </c>
      <c r="L6467" t="str">
        <f t="shared" si="508"/>
        <v/>
      </c>
      <c r="M6467" t="str">
        <f t="shared" si="509"/>
        <v/>
      </c>
    </row>
    <row r="6468" spans="1:13" x14ac:dyDescent="0.3">
      <c r="A6468" t="str">
        <f>Segmenter!A6468</f>
        <v/>
      </c>
      <c r="B6468" t="str">
        <f>Segmenter!B6468</f>
        <v/>
      </c>
      <c r="C6468" t="str">
        <f t="shared" si="505"/>
        <v/>
      </c>
      <c r="D6468" t="str">
        <f t="shared" si="506"/>
        <v/>
      </c>
      <c r="E6468" t="str">
        <f t="shared" si="507"/>
        <v/>
      </c>
      <c r="F6468" t="str">
        <f>IF(D6468="","",INDEX(Knutepunkter!$B:$B,D6468+1))</f>
        <v/>
      </c>
      <c r="G6468" t="str">
        <f>IF(D6468="","",INDEX(Knutepunkter!$C:$C,D6468+1))</f>
        <v/>
      </c>
      <c r="H6468" t="str">
        <f>IF(D6468="","",INDEX(Knutepunkter!$D:$D,D6468+1))</f>
        <v/>
      </c>
      <c r="I6468" t="str">
        <f>IF(E6468="","",INDEX(Knutepunkter!$B:$B,E6468+1))</f>
        <v/>
      </c>
      <c r="J6468" t="str">
        <f>IF(E6468="","",INDEX(Knutepunkter!$C:$C,E6468+1))</f>
        <v/>
      </c>
      <c r="K6468" t="str">
        <f>IF(E6468="","",INDEX(Knutepunkter!$D:$D,E6468+1))</f>
        <v/>
      </c>
      <c r="L6468" t="str">
        <f t="shared" si="508"/>
        <v/>
      </c>
      <c r="M6468" t="str">
        <f t="shared" si="509"/>
        <v/>
      </c>
    </row>
    <row r="6469" spans="1:13" x14ac:dyDescent="0.3">
      <c r="A6469" t="str">
        <f>Segmenter!A6469</f>
        <v/>
      </c>
      <c r="B6469" t="str">
        <f>Segmenter!B6469</f>
        <v/>
      </c>
      <c r="C6469" t="str">
        <f t="shared" si="505"/>
        <v/>
      </c>
      <c r="D6469" t="str">
        <f t="shared" si="506"/>
        <v/>
      </c>
      <c r="E6469" t="str">
        <f t="shared" si="507"/>
        <v/>
      </c>
      <c r="F6469" t="str">
        <f>IF(D6469="","",INDEX(Knutepunkter!$B:$B,D6469+1))</f>
        <v/>
      </c>
      <c r="G6469" t="str">
        <f>IF(D6469="","",INDEX(Knutepunkter!$C:$C,D6469+1))</f>
        <v/>
      </c>
      <c r="H6469" t="str">
        <f>IF(D6469="","",INDEX(Knutepunkter!$D:$D,D6469+1))</f>
        <v/>
      </c>
      <c r="I6469" t="str">
        <f>IF(E6469="","",INDEX(Knutepunkter!$B:$B,E6469+1))</f>
        <v/>
      </c>
      <c r="J6469" t="str">
        <f>IF(E6469="","",INDEX(Knutepunkter!$C:$C,E6469+1))</f>
        <v/>
      </c>
      <c r="K6469" t="str">
        <f>IF(E6469="","",INDEX(Knutepunkter!$D:$D,E6469+1))</f>
        <v/>
      </c>
      <c r="L6469" t="str">
        <f t="shared" si="508"/>
        <v/>
      </c>
      <c r="M6469" t="str">
        <f t="shared" si="509"/>
        <v/>
      </c>
    </row>
    <row r="6470" spans="1:13" x14ac:dyDescent="0.3">
      <c r="A6470" t="str">
        <f>Segmenter!A6470</f>
        <v/>
      </c>
      <c r="B6470" t="str">
        <f>Segmenter!B6470</f>
        <v/>
      </c>
      <c r="C6470" t="str">
        <f t="shared" si="505"/>
        <v/>
      </c>
      <c r="D6470" t="str">
        <f t="shared" si="506"/>
        <v/>
      </c>
      <c r="E6470" t="str">
        <f t="shared" si="507"/>
        <v/>
      </c>
      <c r="F6470" t="str">
        <f>IF(D6470="","",INDEX(Knutepunkter!$B:$B,D6470+1))</f>
        <v/>
      </c>
      <c r="G6470" t="str">
        <f>IF(D6470="","",INDEX(Knutepunkter!$C:$C,D6470+1))</f>
        <v/>
      </c>
      <c r="H6470" t="str">
        <f>IF(D6470="","",INDEX(Knutepunkter!$D:$D,D6470+1))</f>
        <v/>
      </c>
      <c r="I6470" t="str">
        <f>IF(E6470="","",INDEX(Knutepunkter!$B:$B,E6470+1))</f>
        <v/>
      </c>
      <c r="J6470" t="str">
        <f>IF(E6470="","",INDEX(Knutepunkter!$C:$C,E6470+1))</f>
        <v/>
      </c>
      <c r="K6470" t="str">
        <f>IF(E6470="","",INDEX(Knutepunkter!$D:$D,E6470+1))</f>
        <v/>
      </c>
      <c r="L6470" t="str">
        <f t="shared" si="508"/>
        <v/>
      </c>
      <c r="M6470" t="str">
        <f t="shared" si="509"/>
        <v/>
      </c>
    </row>
    <row r="6471" spans="1:13" x14ac:dyDescent="0.3">
      <c r="A6471" t="str">
        <f>Segmenter!A6471</f>
        <v/>
      </c>
      <c r="B6471" t="str">
        <f>Segmenter!B6471</f>
        <v/>
      </c>
      <c r="C6471" t="str">
        <f t="shared" si="505"/>
        <v/>
      </c>
      <c r="D6471" t="str">
        <f t="shared" si="506"/>
        <v/>
      </c>
      <c r="E6471" t="str">
        <f t="shared" si="507"/>
        <v/>
      </c>
      <c r="F6471" t="str">
        <f>IF(D6471="","",INDEX(Knutepunkter!$B:$B,D6471+1))</f>
        <v/>
      </c>
      <c r="G6471" t="str">
        <f>IF(D6471="","",INDEX(Knutepunkter!$C:$C,D6471+1))</f>
        <v/>
      </c>
      <c r="H6471" t="str">
        <f>IF(D6471="","",INDEX(Knutepunkter!$D:$D,D6471+1))</f>
        <v/>
      </c>
      <c r="I6471" t="str">
        <f>IF(E6471="","",INDEX(Knutepunkter!$B:$B,E6471+1))</f>
        <v/>
      </c>
      <c r="J6471" t="str">
        <f>IF(E6471="","",INDEX(Knutepunkter!$C:$C,E6471+1))</f>
        <v/>
      </c>
      <c r="K6471" t="str">
        <f>IF(E6471="","",INDEX(Knutepunkter!$D:$D,E6471+1))</f>
        <v/>
      </c>
      <c r="L6471" t="str">
        <f t="shared" si="508"/>
        <v/>
      </c>
      <c r="M6471" t="str">
        <f t="shared" si="509"/>
        <v/>
      </c>
    </row>
    <row r="6472" spans="1:13" x14ac:dyDescent="0.3">
      <c r="A6472" t="str">
        <f>Segmenter!A6472</f>
        <v/>
      </c>
      <c r="B6472" t="str">
        <f>Segmenter!B6472</f>
        <v/>
      </c>
      <c r="C6472" t="str">
        <f t="shared" si="505"/>
        <v/>
      </c>
      <c r="D6472" t="str">
        <f t="shared" si="506"/>
        <v/>
      </c>
      <c r="E6472" t="str">
        <f t="shared" si="507"/>
        <v/>
      </c>
      <c r="F6472" t="str">
        <f>IF(D6472="","",INDEX(Knutepunkter!$B:$B,D6472+1))</f>
        <v/>
      </c>
      <c r="G6472" t="str">
        <f>IF(D6472="","",INDEX(Knutepunkter!$C:$C,D6472+1))</f>
        <v/>
      </c>
      <c r="H6472" t="str">
        <f>IF(D6472="","",INDEX(Knutepunkter!$D:$D,D6472+1))</f>
        <v/>
      </c>
      <c r="I6472" t="str">
        <f>IF(E6472="","",INDEX(Knutepunkter!$B:$B,E6472+1))</f>
        <v/>
      </c>
      <c r="J6472" t="str">
        <f>IF(E6472="","",INDEX(Knutepunkter!$C:$C,E6472+1))</f>
        <v/>
      </c>
      <c r="K6472" t="str">
        <f>IF(E6472="","",INDEX(Knutepunkter!$D:$D,E6472+1))</f>
        <v/>
      </c>
      <c r="L6472" t="str">
        <f t="shared" si="508"/>
        <v/>
      </c>
      <c r="M6472" t="str">
        <f t="shared" si="509"/>
        <v/>
      </c>
    </row>
    <row r="6473" spans="1:13" x14ac:dyDescent="0.3">
      <c r="A6473" t="str">
        <f>Segmenter!A6473</f>
        <v/>
      </c>
      <c r="B6473" t="str">
        <f>Segmenter!B6473</f>
        <v/>
      </c>
      <c r="C6473" t="str">
        <f t="shared" si="505"/>
        <v/>
      </c>
      <c r="D6473" t="str">
        <f t="shared" si="506"/>
        <v/>
      </c>
      <c r="E6473" t="str">
        <f t="shared" si="507"/>
        <v/>
      </c>
      <c r="F6473" t="str">
        <f>IF(D6473="","",INDEX(Knutepunkter!$B:$B,D6473+1))</f>
        <v/>
      </c>
      <c r="G6473" t="str">
        <f>IF(D6473="","",INDEX(Knutepunkter!$C:$C,D6473+1))</f>
        <v/>
      </c>
      <c r="H6473" t="str">
        <f>IF(D6473="","",INDEX(Knutepunkter!$D:$D,D6473+1))</f>
        <v/>
      </c>
      <c r="I6473" t="str">
        <f>IF(E6473="","",INDEX(Knutepunkter!$B:$B,E6473+1))</f>
        <v/>
      </c>
      <c r="J6473" t="str">
        <f>IF(E6473="","",INDEX(Knutepunkter!$C:$C,E6473+1))</f>
        <v/>
      </c>
      <c r="K6473" t="str">
        <f>IF(E6473="","",INDEX(Knutepunkter!$D:$D,E6473+1))</f>
        <v/>
      </c>
      <c r="L6473" t="str">
        <f t="shared" si="508"/>
        <v/>
      </c>
      <c r="M6473" t="str">
        <f t="shared" si="509"/>
        <v/>
      </c>
    </row>
    <row r="6474" spans="1:13" x14ac:dyDescent="0.3">
      <c r="A6474" t="str">
        <f>Segmenter!A6474</f>
        <v/>
      </c>
      <c r="B6474" t="str">
        <f>Segmenter!B6474</f>
        <v/>
      </c>
      <c r="C6474" t="str">
        <f t="shared" si="505"/>
        <v/>
      </c>
      <c r="D6474" t="str">
        <f t="shared" si="506"/>
        <v/>
      </c>
      <c r="E6474" t="str">
        <f t="shared" si="507"/>
        <v/>
      </c>
      <c r="F6474" t="str">
        <f>IF(D6474="","",INDEX(Knutepunkter!$B:$B,D6474+1))</f>
        <v/>
      </c>
      <c r="G6474" t="str">
        <f>IF(D6474="","",INDEX(Knutepunkter!$C:$C,D6474+1))</f>
        <v/>
      </c>
      <c r="H6474" t="str">
        <f>IF(D6474="","",INDEX(Knutepunkter!$D:$D,D6474+1))</f>
        <v/>
      </c>
      <c r="I6474" t="str">
        <f>IF(E6474="","",INDEX(Knutepunkter!$B:$B,E6474+1))</f>
        <v/>
      </c>
      <c r="J6474" t="str">
        <f>IF(E6474="","",INDEX(Knutepunkter!$C:$C,E6474+1))</f>
        <v/>
      </c>
      <c r="K6474" t="str">
        <f>IF(E6474="","",INDEX(Knutepunkter!$D:$D,E6474+1))</f>
        <v/>
      </c>
      <c r="L6474" t="str">
        <f t="shared" si="508"/>
        <v/>
      </c>
      <c r="M6474" t="str">
        <f t="shared" si="509"/>
        <v/>
      </c>
    </row>
    <row r="6475" spans="1:13" x14ac:dyDescent="0.3">
      <c r="A6475" t="str">
        <f>Segmenter!A6475</f>
        <v/>
      </c>
      <c r="B6475" t="str">
        <f>Segmenter!B6475</f>
        <v/>
      </c>
      <c r="C6475" t="str">
        <f t="shared" si="505"/>
        <v/>
      </c>
      <c r="D6475" t="str">
        <f t="shared" si="506"/>
        <v/>
      </c>
      <c r="E6475" t="str">
        <f t="shared" si="507"/>
        <v/>
      </c>
      <c r="F6475" t="str">
        <f>IF(D6475="","",INDEX(Knutepunkter!$B:$B,D6475+1))</f>
        <v/>
      </c>
      <c r="G6475" t="str">
        <f>IF(D6475="","",INDEX(Knutepunkter!$C:$C,D6475+1))</f>
        <v/>
      </c>
      <c r="H6475" t="str">
        <f>IF(D6475="","",INDEX(Knutepunkter!$D:$D,D6475+1))</f>
        <v/>
      </c>
      <c r="I6475" t="str">
        <f>IF(E6475="","",INDEX(Knutepunkter!$B:$B,E6475+1))</f>
        <v/>
      </c>
      <c r="J6475" t="str">
        <f>IF(E6475="","",INDEX(Knutepunkter!$C:$C,E6475+1))</f>
        <v/>
      </c>
      <c r="K6475" t="str">
        <f>IF(E6475="","",INDEX(Knutepunkter!$D:$D,E6475+1))</f>
        <v/>
      </c>
      <c r="L6475" t="str">
        <f t="shared" si="508"/>
        <v/>
      </c>
      <c r="M6475" t="str">
        <f t="shared" si="509"/>
        <v/>
      </c>
    </row>
    <row r="6476" spans="1:13" x14ac:dyDescent="0.3">
      <c r="A6476" t="str">
        <f>Segmenter!A6476</f>
        <v/>
      </c>
      <c r="B6476" t="str">
        <f>Segmenter!B6476</f>
        <v/>
      </c>
      <c r="C6476" t="str">
        <f t="shared" si="505"/>
        <v/>
      </c>
      <c r="D6476" t="str">
        <f t="shared" si="506"/>
        <v/>
      </c>
      <c r="E6476" t="str">
        <f t="shared" si="507"/>
        <v/>
      </c>
      <c r="F6476" t="str">
        <f>IF(D6476="","",INDEX(Knutepunkter!$B:$B,D6476+1))</f>
        <v/>
      </c>
      <c r="G6476" t="str">
        <f>IF(D6476="","",INDEX(Knutepunkter!$C:$C,D6476+1))</f>
        <v/>
      </c>
      <c r="H6476" t="str">
        <f>IF(D6476="","",INDEX(Knutepunkter!$D:$D,D6476+1))</f>
        <v/>
      </c>
      <c r="I6476" t="str">
        <f>IF(E6476="","",INDEX(Knutepunkter!$B:$B,E6476+1))</f>
        <v/>
      </c>
      <c r="J6476" t="str">
        <f>IF(E6476="","",INDEX(Knutepunkter!$C:$C,E6476+1))</f>
        <v/>
      </c>
      <c r="K6476" t="str">
        <f>IF(E6476="","",INDEX(Knutepunkter!$D:$D,E6476+1))</f>
        <v/>
      </c>
      <c r="L6476" t="str">
        <f t="shared" si="508"/>
        <v/>
      </c>
      <c r="M6476" t="str">
        <f t="shared" si="509"/>
        <v/>
      </c>
    </row>
    <row r="6477" spans="1:13" x14ac:dyDescent="0.3">
      <c r="A6477" t="str">
        <f>Segmenter!A6477</f>
        <v/>
      </c>
      <c r="B6477" t="str">
        <f>Segmenter!B6477</f>
        <v/>
      </c>
      <c r="C6477" t="str">
        <f t="shared" si="505"/>
        <v/>
      </c>
      <c r="D6477" t="str">
        <f t="shared" si="506"/>
        <v/>
      </c>
      <c r="E6477" t="str">
        <f t="shared" si="507"/>
        <v/>
      </c>
      <c r="F6477" t="str">
        <f>IF(D6477="","",INDEX(Knutepunkter!$B:$B,D6477+1))</f>
        <v/>
      </c>
      <c r="G6477" t="str">
        <f>IF(D6477="","",INDEX(Knutepunkter!$C:$C,D6477+1))</f>
        <v/>
      </c>
      <c r="H6477" t="str">
        <f>IF(D6477="","",INDEX(Knutepunkter!$D:$D,D6477+1))</f>
        <v/>
      </c>
      <c r="I6477" t="str">
        <f>IF(E6477="","",INDEX(Knutepunkter!$B:$B,E6477+1))</f>
        <v/>
      </c>
      <c r="J6477" t="str">
        <f>IF(E6477="","",INDEX(Knutepunkter!$C:$C,E6477+1))</f>
        <v/>
      </c>
      <c r="K6477" t="str">
        <f>IF(E6477="","",INDEX(Knutepunkter!$D:$D,E6477+1))</f>
        <v/>
      </c>
      <c r="L6477" t="str">
        <f t="shared" si="508"/>
        <v/>
      </c>
      <c r="M6477" t="str">
        <f t="shared" si="509"/>
        <v/>
      </c>
    </row>
    <row r="6478" spans="1:13" x14ac:dyDescent="0.3">
      <c r="A6478" t="str">
        <f>Segmenter!A6478</f>
        <v/>
      </c>
      <c r="B6478" t="str">
        <f>Segmenter!B6478</f>
        <v/>
      </c>
      <c r="C6478" t="str">
        <f t="shared" si="505"/>
        <v/>
      </c>
      <c r="D6478" t="str">
        <f t="shared" si="506"/>
        <v/>
      </c>
      <c r="E6478" t="str">
        <f t="shared" si="507"/>
        <v/>
      </c>
      <c r="F6478" t="str">
        <f>IF(D6478="","",INDEX(Knutepunkter!$B:$B,D6478+1))</f>
        <v/>
      </c>
      <c r="G6478" t="str">
        <f>IF(D6478="","",INDEX(Knutepunkter!$C:$C,D6478+1))</f>
        <v/>
      </c>
      <c r="H6478" t="str">
        <f>IF(D6478="","",INDEX(Knutepunkter!$D:$D,D6478+1))</f>
        <v/>
      </c>
      <c r="I6478" t="str">
        <f>IF(E6478="","",INDEX(Knutepunkter!$B:$B,E6478+1))</f>
        <v/>
      </c>
      <c r="J6478" t="str">
        <f>IF(E6478="","",INDEX(Knutepunkter!$C:$C,E6478+1))</f>
        <v/>
      </c>
      <c r="K6478" t="str">
        <f>IF(E6478="","",INDEX(Knutepunkter!$D:$D,E6478+1))</f>
        <v/>
      </c>
      <c r="L6478" t="str">
        <f t="shared" si="508"/>
        <v/>
      </c>
      <c r="M6478" t="str">
        <f t="shared" si="509"/>
        <v/>
      </c>
    </row>
    <row r="6479" spans="1:13" x14ac:dyDescent="0.3">
      <c r="A6479" t="str">
        <f>Segmenter!A6479</f>
        <v/>
      </c>
      <c r="B6479" t="str">
        <f>Segmenter!B6479</f>
        <v/>
      </c>
      <c r="C6479" t="str">
        <f t="shared" si="505"/>
        <v/>
      </c>
      <c r="D6479" t="str">
        <f t="shared" si="506"/>
        <v/>
      </c>
      <c r="E6479" t="str">
        <f t="shared" si="507"/>
        <v/>
      </c>
      <c r="F6479" t="str">
        <f>IF(D6479="","",INDEX(Knutepunkter!$B:$B,D6479+1))</f>
        <v/>
      </c>
      <c r="G6479" t="str">
        <f>IF(D6479="","",INDEX(Knutepunkter!$C:$C,D6479+1))</f>
        <v/>
      </c>
      <c r="H6479" t="str">
        <f>IF(D6479="","",INDEX(Knutepunkter!$D:$D,D6479+1))</f>
        <v/>
      </c>
      <c r="I6479" t="str">
        <f>IF(E6479="","",INDEX(Knutepunkter!$B:$B,E6479+1))</f>
        <v/>
      </c>
      <c r="J6479" t="str">
        <f>IF(E6479="","",INDEX(Knutepunkter!$C:$C,E6479+1))</f>
        <v/>
      </c>
      <c r="K6479" t="str">
        <f>IF(E6479="","",INDEX(Knutepunkter!$D:$D,E6479+1))</f>
        <v/>
      </c>
      <c r="L6479" t="str">
        <f t="shared" si="508"/>
        <v/>
      </c>
      <c r="M6479" t="str">
        <f t="shared" si="509"/>
        <v/>
      </c>
    </row>
    <row r="6480" spans="1:13" x14ac:dyDescent="0.3">
      <c r="A6480" t="str">
        <f>Segmenter!A6480</f>
        <v/>
      </c>
      <c r="B6480" t="str">
        <f>Segmenter!B6480</f>
        <v/>
      </c>
      <c r="C6480" t="str">
        <f t="shared" si="505"/>
        <v/>
      </c>
      <c r="D6480" t="str">
        <f t="shared" si="506"/>
        <v/>
      </c>
      <c r="E6480" t="str">
        <f t="shared" si="507"/>
        <v/>
      </c>
      <c r="F6480" t="str">
        <f>IF(D6480="","",INDEX(Knutepunkter!$B:$B,D6480+1))</f>
        <v/>
      </c>
      <c r="G6480" t="str">
        <f>IF(D6480="","",INDEX(Knutepunkter!$C:$C,D6480+1))</f>
        <v/>
      </c>
      <c r="H6480" t="str">
        <f>IF(D6480="","",INDEX(Knutepunkter!$D:$D,D6480+1))</f>
        <v/>
      </c>
      <c r="I6480" t="str">
        <f>IF(E6480="","",INDEX(Knutepunkter!$B:$B,E6480+1))</f>
        <v/>
      </c>
      <c r="J6480" t="str">
        <f>IF(E6480="","",INDEX(Knutepunkter!$C:$C,E6480+1))</f>
        <v/>
      </c>
      <c r="K6480" t="str">
        <f>IF(E6480="","",INDEX(Knutepunkter!$D:$D,E6480+1))</f>
        <v/>
      </c>
      <c r="L6480" t="str">
        <f t="shared" si="508"/>
        <v/>
      </c>
      <c r="M6480" t="str">
        <f t="shared" si="509"/>
        <v/>
      </c>
    </row>
    <row r="6481" spans="1:13" x14ac:dyDescent="0.3">
      <c r="A6481" t="str">
        <f>Segmenter!A6481</f>
        <v/>
      </c>
      <c r="B6481" t="str">
        <f>Segmenter!B6481</f>
        <v/>
      </c>
      <c r="C6481" t="str">
        <f t="shared" si="505"/>
        <v/>
      </c>
      <c r="D6481" t="str">
        <f t="shared" si="506"/>
        <v/>
      </c>
      <c r="E6481" t="str">
        <f t="shared" si="507"/>
        <v/>
      </c>
      <c r="F6481" t="str">
        <f>IF(D6481="","",INDEX(Knutepunkter!$B:$B,D6481+1))</f>
        <v/>
      </c>
      <c r="G6481" t="str">
        <f>IF(D6481="","",INDEX(Knutepunkter!$C:$C,D6481+1))</f>
        <v/>
      </c>
      <c r="H6481" t="str">
        <f>IF(D6481="","",INDEX(Knutepunkter!$D:$D,D6481+1))</f>
        <v/>
      </c>
      <c r="I6481" t="str">
        <f>IF(E6481="","",INDEX(Knutepunkter!$B:$B,E6481+1))</f>
        <v/>
      </c>
      <c r="J6481" t="str">
        <f>IF(E6481="","",INDEX(Knutepunkter!$C:$C,E6481+1))</f>
        <v/>
      </c>
      <c r="K6481" t="str">
        <f>IF(E6481="","",INDEX(Knutepunkter!$D:$D,E6481+1))</f>
        <v/>
      </c>
      <c r="L6481" t="str">
        <f t="shared" si="508"/>
        <v/>
      </c>
      <c r="M6481" t="str">
        <f t="shared" si="509"/>
        <v/>
      </c>
    </row>
    <row r="6482" spans="1:13" x14ac:dyDescent="0.3">
      <c r="A6482" t="str">
        <f>Segmenter!A6482</f>
        <v/>
      </c>
      <c r="B6482" t="str">
        <f>Segmenter!B6482</f>
        <v/>
      </c>
      <c r="C6482" t="str">
        <f t="shared" si="505"/>
        <v/>
      </c>
      <c r="D6482" t="str">
        <f t="shared" si="506"/>
        <v/>
      </c>
      <c r="E6482" t="str">
        <f t="shared" si="507"/>
        <v/>
      </c>
      <c r="F6482" t="str">
        <f>IF(D6482="","",INDEX(Knutepunkter!$B:$B,D6482+1))</f>
        <v/>
      </c>
      <c r="G6482" t="str">
        <f>IF(D6482="","",INDEX(Knutepunkter!$C:$C,D6482+1))</f>
        <v/>
      </c>
      <c r="H6482" t="str">
        <f>IF(D6482="","",INDEX(Knutepunkter!$D:$D,D6482+1))</f>
        <v/>
      </c>
      <c r="I6482" t="str">
        <f>IF(E6482="","",INDEX(Knutepunkter!$B:$B,E6482+1))</f>
        <v/>
      </c>
      <c r="J6482" t="str">
        <f>IF(E6482="","",INDEX(Knutepunkter!$C:$C,E6482+1))</f>
        <v/>
      </c>
      <c r="K6482" t="str">
        <f>IF(E6482="","",INDEX(Knutepunkter!$D:$D,E6482+1))</f>
        <v/>
      </c>
      <c r="L6482" t="str">
        <f t="shared" si="508"/>
        <v/>
      </c>
      <c r="M6482" t="str">
        <f t="shared" si="509"/>
        <v/>
      </c>
    </row>
    <row r="6483" spans="1:13" x14ac:dyDescent="0.3">
      <c r="A6483" t="str">
        <f>Segmenter!A6483</f>
        <v/>
      </c>
      <c r="B6483" t="str">
        <f>Segmenter!B6483</f>
        <v/>
      </c>
      <c r="C6483" t="str">
        <f t="shared" si="505"/>
        <v/>
      </c>
      <c r="D6483" t="str">
        <f t="shared" si="506"/>
        <v/>
      </c>
      <c r="E6483" t="str">
        <f t="shared" si="507"/>
        <v/>
      </c>
      <c r="F6483" t="str">
        <f>IF(D6483="","",INDEX(Knutepunkter!$B:$B,D6483+1))</f>
        <v/>
      </c>
      <c r="G6483" t="str">
        <f>IF(D6483="","",INDEX(Knutepunkter!$C:$C,D6483+1))</f>
        <v/>
      </c>
      <c r="H6483" t="str">
        <f>IF(D6483="","",INDEX(Knutepunkter!$D:$D,D6483+1))</f>
        <v/>
      </c>
      <c r="I6483" t="str">
        <f>IF(E6483="","",INDEX(Knutepunkter!$B:$B,E6483+1))</f>
        <v/>
      </c>
      <c r="J6483" t="str">
        <f>IF(E6483="","",INDEX(Knutepunkter!$C:$C,E6483+1))</f>
        <v/>
      </c>
      <c r="K6483" t="str">
        <f>IF(E6483="","",INDEX(Knutepunkter!$D:$D,E6483+1))</f>
        <v/>
      </c>
      <c r="L6483" t="str">
        <f t="shared" si="508"/>
        <v/>
      </c>
      <c r="M6483" t="str">
        <f t="shared" si="509"/>
        <v/>
      </c>
    </row>
    <row r="6484" spans="1:13" x14ac:dyDescent="0.3">
      <c r="A6484" t="str">
        <f>Segmenter!A6484</f>
        <v/>
      </c>
      <c r="B6484" t="str">
        <f>Segmenter!B6484</f>
        <v/>
      </c>
      <c r="C6484" t="str">
        <f t="shared" si="505"/>
        <v/>
      </c>
      <c r="D6484" t="str">
        <f t="shared" si="506"/>
        <v/>
      </c>
      <c r="E6484" t="str">
        <f t="shared" si="507"/>
        <v/>
      </c>
      <c r="F6484" t="str">
        <f>IF(D6484="","",INDEX(Knutepunkter!$B:$B,D6484+1))</f>
        <v/>
      </c>
      <c r="G6484" t="str">
        <f>IF(D6484="","",INDEX(Knutepunkter!$C:$C,D6484+1))</f>
        <v/>
      </c>
      <c r="H6484" t="str">
        <f>IF(D6484="","",INDEX(Knutepunkter!$D:$D,D6484+1))</f>
        <v/>
      </c>
      <c r="I6484" t="str">
        <f>IF(E6484="","",INDEX(Knutepunkter!$B:$B,E6484+1))</f>
        <v/>
      </c>
      <c r="J6484" t="str">
        <f>IF(E6484="","",INDEX(Knutepunkter!$C:$C,E6484+1))</f>
        <v/>
      </c>
      <c r="K6484" t="str">
        <f>IF(E6484="","",INDEX(Knutepunkter!$D:$D,E6484+1))</f>
        <v/>
      </c>
      <c r="L6484" t="str">
        <f t="shared" si="508"/>
        <v/>
      </c>
      <c r="M6484" t="str">
        <f t="shared" si="509"/>
        <v/>
      </c>
    </row>
    <row r="6485" spans="1:13" x14ac:dyDescent="0.3">
      <c r="A6485" t="str">
        <f>Segmenter!A6485</f>
        <v/>
      </c>
      <c r="B6485" t="str">
        <f>Segmenter!B6485</f>
        <v/>
      </c>
      <c r="C6485" t="str">
        <f t="shared" si="505"/>
        <v/>
      </c>
      <c r="D6485" t="str">
        <f t="shared" si="506"/>
        <v/>
      </c>
      <c r="E6485" t="str">
        <f t="shared" si="507"/>
        <v/>
      </c>
      <c r="F6485" t="str">
        <f>IF(D6485="","",INDEX(Knutepunkter!$B:$B,D6485+1))</f>
        <v/>
      </c>
      <c r="G6485" t="str">
        <f>IF(D6485="","",INDEX(Knutepunkter!$C:$C,D6485+1))</f>
        <v/>
      </c>
      <c r="H6485" t="str">
        <f>IF(D6485="","",INDEX(Knutepunkter!$D:$D,D6485+1))</f>
        <v/>
      </c>
      <c r="I6485" t="str">
        <f>IF(E6485="","",INDEX(Knutepunkter!$B:$B,E6485+1))</f>
        <v/>
      </c>
      <c r="J6485" t="str">
        <f>IF(E6485="","",INDEX(Knutepunkter!$C:$C,E6485+1))</f>
        <v/>
      </c>
      <c r="K6485" t="str">
        <f>IF(E6485="","",INDEX(Knutepunkter!$D:$D,E6485+1))</f>
        <v/>
      </c>
      <c r="L6485" t="str">
        <f t="shared" si="508"/>
        <v/>
      </c>
      <c r="M6485" t="str">
        <f t="shared" si="509"/>
        <v/>
      </c>
    </row>
    <row r="6486" spans="1:13" x14ac:dyDescent="0.3">
      <c r="A6486" t="str">
        <f>Segmenter!A6486</f>
        <v/>
      </c>
      <c r="B6486" t="str">
        <f>Segmenter!B6486</f>
        <v/>
      </c>
      <c r="C6486" t="str">
        <f t="shared" si="505"/>
        <v/>
      </c>
      <c r="D6486" t="str">
        <f t="shared" si="506"/>
        <v/>
      </c>
      <c r="E6486" t="str">
        <f t="shared" si="507"/>
        <v/>
      </c>
      <c r="F6486" t="str">
        <f>IF(D6486="","",INDEX(Knutepunkter!$B:$B,D6486+1))</f>
        <v/>
      </c>
      <c r="G6486" t="str">
        <f>IF(D6486="","",INDEX(Knutepunkter!$C:$C,D6486+1))</f>
        <v/>
      </c>
      <c r="H6486" t="str">
        <f>IF(D6486="","",INDEX(Knutepunkter!$D:$D,D6486+1))</f>
        <v/>
      </c>
      <c r="I6486" t="str">
        <f>IF(E6486="","",INDEX(Knutepunkter!$B:$B,E6486+1))</f>
        <v/>
      </c>
      <c r="J6486" t="str">
        <f>IF(E6486="","",INDEX(Knutepunkter!$C:$C,E6486+1))</f>
        <v/>
      </c>
      <c r="K6486" t="str">
        <f>IF(E6486="","",INDEX(Knutepunkter!$D:$D,E6486+1))</f>
        <v/>
      </c>
      <c r="L6486" t="str">
        <f t="shared" si="508"/>
        <v/>
      </c>
      <c r="M6486" t="str">
        <f t="shared" si="509"/>
        <v/>
      </c>
    </row>
    <row r="6487" spans="1:13" x14ac:dyDescent="0.3">
      <c r="A6487" t="str">
        <f>Segmenter!A6487</f>
        <v/>
      </c>
      <c r="B6487" t="str">
        <f>Segmenter!B6487</f>
        <v/>
      </c>
      <c r="C6487" t="str">
        <f t="shared" si="505"/>
        <v/>
      </c>
      <c r="D6487" t="str">
        <f t="shared" si="506"/>
        <v/>
      </c>
      <c r="E6487" t="str">
        <f t="shared" si="507"/>
        <v/>
      </c>
      <c r="F6487" t="str">
        <f>IF(D6487="","",INDEX(Knutepunkter!$B:$B,D6487+1))</f>
        <v/>
      </c>
      <c r="G6487" t="str">
        <f>IF(D6487="","",INDEX(Knutepunkter!$C:$C,D6487+1))</f>
        <v/>
      </c>
      <c r="H6487" t="str">
        <f>IF(D6487="","",INDEX(Knutepunkter!$D:$D,D6487+1))</f>
        <v/>
      </c>
      <c r="I6487" t="str">
        <f>IF(E6487="","",INDEX(Knutepunkter!$B:$B,E6487+1))</f>
        <v/>
      </c>
      <c r="J6487" t="str">
        <f>IF(E6487="","",INDEX(Knutepunkter!$C:$C,E6487+1))</f>
        <v/>
      </c>
      <c r="K6487" t="str">
        <f>IF(E6487="","",INDEX(Knutepunkter!$D:$D,E6487+1))</f>
        <v/>
      </c>
      <c r="L6487" t="str">
        <f t="shared" si="508"/>
        <v/>
      </c>
      <c r="M6487" t="str">
        <f t="shared" si="509"/>
        <v/>
      </c>
    </row>
    <row r="6488" spans="1:13" x14ac:dyDescent="0.3">
      <c r="A6488" t="str">
        <f>Segmenter!A6488</f>
        <v/>
      </c>
      <c r="B6488" t="str">
        <f>Segmenter!B6488</f>
        <v/>
      </c>
      <c r="C6488" t="str">
        <f t="shared" si="505"/>
        <v/>
      </c>
      <c r="D6488" t="str">
        <f t="shared" si="506"/>
        <v/>
      </c>
      <c r="E6488" t="str">
        <f t="shared" si="507"/>
        <v/>
      </c>
      <c r="F6488" t="str">
        <f>IF(D6488="","",INDEX(Knutepunkter!$B:$B,D6488+1))</f>
        <v/>
      </c>
      <c r="G6488" t="str">
        <f>IF(D6488="","",INDEX(Knutepunkter!$C:$C,D6488+1))</f>
        <v/>
      </c>
      <c r="H6488" t="str">
        <f>IF(D6488="","",INDEX(Knutepunkter!$D:$D,D6488+1))</f>
        <v/>
      </c>
      <c r="I6488" t="str">
        <f>IF(E6488="","",INDEX(Knutepunkter!$B:$B,E6488+1))</f>
        <v/>
      </c>
      <c r="J6488" t="str">
        <f>IF(E6488="","",INDEX(Knutepunkter!$C:$C,E6488+1))</f>
        <v/>
      </c>
      <c r="K6488" t="str">
        <f>IF(E6488="","",INDEX(Knutepunkter!$D:$D,E6488+1))</f>
        <v/>
      </c>
      <c r="L6488" t="str">
        <f t="shared" si="508"/>
        <v/>
      </c>
      <c r="M6488" t="str">
        <f t="shared" si="509"/>
        <v/>
      </c>
    </row>
    <row r="6489" spans="1:13" x14ac:dyDescent="0.3">
      <c r="A6489" t="str">
        <f>Segmenter!A6489</f>
        <v/>
      </c>
      <c r="B6489" t="str">
        <f>Segmenter!B6489</f>
        <v/>
      </c>
      <c r="C6489" t="str">
        <f t="shared" si="505"/>
        <v/>
      </c>
      <c r="D6489" t="str">
        <f t="shared" si="506"/>
        <v/>
      </c>
      <c r="E6489" t="str">
        <f t="shared" si="507"/>
        <v/>
      </c>
      <c r="F6489" t="str">
        <f>IF(D6489="","",INDEX(Knutepunkter!$B:$B,D6489+1))</f>
        <v/>
      </c>
      <c r="G6489" t="str">
        <f>IF(D6489="","",INDEX(Knutepunkter!$C:$C,D6489+1))</f>
        <v/>
      </c>
      <c r="H6489" t="str">
        <f>IF(D6489="","",INDEX(Knutepunkter!$D:$D,D6489+1))</f>
        <v/>
      </c>
      <c r="I6489" t="str">
        <f>IF(E6489="","",INDEX(Knutepunkter!$B:$B,E6489+1))</f>
        <v/>
      </c>
      <c r="J6489" t="str">
        <f>IF(E6489="","",INDEX(Knutepunkter!$C:$C,E6489+1))</f>
        <v/>
      </c>
      <c r="K6489" t="str">
        <f>IF(E6489="","",INDEX(Knutepunkter!$D:$D,E6489+1))</f>
        <v/>
      </c>
      <c r="L6489" t="str">
        <f t="shared" si="508"/>
        <v/>
      </c>
      <c r="M6489" t="str">
        <f t="shared" si="509"/>
        <v/>
      </c>
    </row>
    <row r="6490" spans="1:13" x14ac:dyDescent="0.3">
      <c r="A6490" t="str">
        <f>Segmenter!A6490</f>
        <v/>
      </c>
      <c r="B6490" t="str">
        <f>Segmenter!B6490</f>
        <v/>
      </c>
      <c r="C6490" t="str">
        <f t="shared" si="505"/>
        <v/>
      </c>
      <c r="D6490" t="str">
        <f t="shared" si="506"/>
        <v/>
      </c>
      <c r="E6490" t="str">
        <f t="shared" si="507"/>
        <v/>
      </c>
      <c r="F6490" t="str">
        <f>IF(D6490="","",INDEX(Knutepunkter!$B:$B,D6490+1))</f>
        <v/>
      </c>
      <c r="G6490" t="str">
        <f>IF(D6490="","",INDEX(Knutepunkter!$C:$C,D6490+1))</f>
        <v/>
      </c>
      <c r="H6490" t="str">
        <f>IF(D6490="","",INDEX(Knutepunkter!$D:$D,D6490+1))</f>
        <v/>
      </c>
      <c r="I6490" t="str">
        <f>IF(E6490="","",INDEX(Knutepunkter!$B:$B,E6490+1))</f>
        <v/>
      </c>
      <c r="J6490" t="str">
        <f>IF(E6490="","",INDEX(Knutepunkter!$C:$C,E6490+1))</f>
        <v/>
      </c>
      <c r="K6490" t="str">
        <f>IF(E6490="","",INDEX(Knutepunkter!$D:$D,E6490+1))</f>
        <v/>
      </c>
      <c r="L6490" t="str">
        <f t="shared" si="508"/>
        <v/>
      </c>
      <c r="M6490" t="str">
        <f t="shared" si="509"/>
        <v/>
      </c>
    </row>
    <row r="6491" spans="1:13" x14ac:dyDescent="0.3">
      <c r="A6491" t="str">
        <f>Segmenter!A6491</f>
        <v/>
      </c>
      <c r="B6491" t="str">
        <f>Segmenter!B6491</f>
        <v/>
      </c>
      <c r="C6491" t="str">
        <f t="shared" si="505"/>
        <v/>
      </c>
      <c r="D6491" t="str">
        <f t="shared" si="506"/>
        <v/>
      </c>
      <c r="E6491" t="str">
        <f t="shared" si="507"/>
        <v/>
      </c>
      <c r="F6491" t="str">
        <f>IF(D6491="","",INDEX(Knutepunkter!$B:$B,D6491+1))</f>
        <v/>
      </c>
      <c r="G6491" t="str">
        <f>IF(D6491="","",INDEX(Knutepunkter!$C:$C,D6491+1))</f>
        <v/>
      </c>
      <c r="H6491" t="str">
        <f>IF(D6491="","",INDEX(Knutepunkter!$D:$D,D6491+1))</f>
        <v/>
      </c>
      <c r="I6491" t="str">
        <f>IF(E6491="","",INDEX(Knutepunkter!$B:$B,E6491+1))</f>
        <v/>
      </c>
      <c r="J6491" t="str">
        <f>IF(E6491="","",INDEX(Knutepunkter!$C:$C,E6491+1))</f>
        <v/>
      </c>
      <c r="K6491" t="str">
        <f>IF(E6491="","",INDEX(Knutepunkter!$D:$D,E6491+1))</f>
        <v/>
      </c>
      <c r="L6491" t="str">
        <f t="shared" si="508"/>
        <v/>
      </c>
      <c r="M6491" t="str">
        <f t="shared" si="509"/>
        <v/>
      </c>
    </row>
    <row r="6492" spans="1:13" x14ac:dyDescent="0.3">
      <c r="A6492" t="str">
        <f>Segmenter!A6492</f>
        <v/>
      </c>
      <c r="B6492" t="str">
        <f>Segmenter!B6492</f>
        <v/>
      </c>
      <c r="C6492" t="str">
        <f t="shared" si="505"/>
        <v/>
      </c>
      <c r="D6492" t="str">
        <f t="shared" si="506"/>
        <v/>
      </c>
      <c r="E6492" t="str">
        <f t="shared" si="507"/>
        <v/>
      </c>
      <c r="F6492" t="str">
        <f>IF(D6492="","",INDEX(Knutepunkter!$B:$B,D6492+1))</f>
        <v/>
      </c>
      <c r="G6492" t="str">
        <f>IF(D6492="","",INDEX(Knutepunkter!$C:$C,D6492+1))</f>
        <v/>
      </c>
      <c r="H6492" t="str">
        <f>IF(D6492="","",INDEX(Knutepunkter!$D:$D,D6492+1))</f>
        <v/>
      </c>
      <c r="I6492" t="str">
        <f>IF(E6492="","",INDEX(Knutepunkter!$B:$B,E6492+1))</f>
        <v/>
      </c>
      <c r="J6492" t="str">
        <f>IF(E6492="","",INDEX(Knutepunkter!$C:$C,E6492+1))</f>
        <v/>
      </c>
      <c r="K6492" t="str">
        <f>IF(E6492="","",INDEX(Knutepunkter!$D:$D,E6492+1))</f>
        <v/>
      </c>
      <c r="L6492" t="str">
        <f t="shared" si="508"/>
        <v/>
      </c>
      <c r="M6492" t="str">
        <f t="shared" si="509"/>
        <v/>
      </c>
    </row>
    <row r="6493" spans="1:13" x14ac:dyDescent="0.3">
      <c r="A6493" t="str">
        <f>Segmenter!A6493</f>
        <v/>
      </c>
      <c r="B6493" t="str">
        <f>Segmenter!B6493</f>
        <v/>
      </c>
      <c r="C6493" t="str">
        <f t="shared" si="505"/>
        <v/>
      </c>
      <c r="D6493" t="str">
        <f t="shared" si="506"/>
        <v/>
      </c>
      <c r="E6493" t="str">
        <f t="shared" si="507"/>
        <v/>
      </c>
      <c r="F6493" t="str">
        <f>IF(D6493="","",INDEX(Knutepunkter!$B:$B,D6493+1))</f>
        <v/>
      </c>
      <c r="G6493" t="str">
        <f>IF(D6493="","",INDEX(Knutepunkter!$C:$C,D6493+1))</f>
        <v/>
      </c>
      <c r="H6493" t="str">
        <f>IF(D6493="","",INDEX(Knutepunkter!$D:$D,D6493+1))</f>
        <v/>
      </c>
      <c r="I6493" t="str">
        <f>IF(E6493="","",INDEX(Knutepunkter!$B:$B,E6493+1))</f>
        <v/>
      </c>
      <c r="J6493" t="str">
        <f>IF(E6493="","",INDEX(Knutepunkter!$C:$C,E6493+1))</f>
        <v/>
      </c>
      <c r="K6493" t="str">
        <f>IF(E6493="","",INDEX(Knutepunkter!$D:$D,E6493+1))</f>
        <v/>
      </c>
      <c r="L6493" t="str">
        <f t="shared" si="508"/>
        <v/>
      </c>
      <c r="M6493" t="str">
        <f t="shared" si="509"/>
        <v/>
      </c>
    </row>
    <row r="6494" spans="1:13" x14ac:dyDescent="0.3">
      <c r="A6494" t="str">
        <f>Segmenter!A6494</f>
        <v/>
      </c>
      <c r="B6494" t="str">
        <f>Segmenter!B6494</f>
        <v/>
      </c>
      <c r="C6494" t="str">
        <f t="shared" si="505"/>
        <v/>
      </c>
      <c r="D6494" t="str">
        <f t="shared" si="506"/>
        <v/>
      </c>
      <c r="E6494" t="str">
        <f t="shared" si="507"/>
        <v/>
      </c>
      <c r="F6494" t="str">
        <f>IF(D6494="","",INDEX(Knutepunkter!$B:$B,D6494+1))</f>
        <v/>
      </c>
      <c r="G6494" t="str">
        <f>IF(D6494="","",INDEX(Knutepunkter!$C:$C,D6494+1))</f>
        <v/>
      </c>
      <c r="H6494" t="str">
        <f>IF(D6494="","",INDEX(Knutepunkter!$D:$D,D6494+1))</f>
        <v/>
      </c>
      <c r="I6494" t="str">
        <f>IF(E6494="","",INDEX(Knutepunkter!$B:$B,E6494+1))</f>
        <v/>
      </c>
      <c r="J6494" t="str">
        <f>IF(E6494="","",INDEX(Knutepunkter!$C:$C,E6494+1))</f>
        <v/>
      </c>
      <c r="K6494" t="str">
        <f>IF(E6494="","",INDEX(Knutepunkter!$D:$D,E6494+1))</f>
        <v/>
      </c>
      <c r="L6494" t="str">
        <f t="shared" si="508"/>
        <v/>
      </c>
      <c r="M6494" t="str">
        <f t="shared" si="509"/>
        <v/>
      </c>
    </row>
    <row r="6495" spans="1:13" x14ac:dyDescent="0.3">
      <c r="A6495" t="str">
        <f>Segmenter!A6495</f>
        <v/>
      </c>
      <c r="B6495" t="str">
        <f>Segmenter!B6495</f>
        <v/>
      </c>
      <c r="C6495" t="str">
        <f t="shared" si="505"/>
        <v/>
      </c>
      <c r="D6495" t="str">
        <f t="shared" si="506"/>
        <v/>
      </c>
      <c r="E6495" t="str">
        <f t="shared" si="507"/>
        <v/>
      </c>
      <c r="F6495" t="str">
        <f>IF(D6495="","",INDEX(Knutepunkter!$B:$B,D6495+1))</f>
        <v/>
      </c>
      <c r="G6495" t="str">
        <f>IF(D6495="","",INDEX(Knutepunkter!$C:$C,D6495+1))</f>
        <v/>
      </c>
      <c r="H6495" t="str">
        <f>IF(D6495="","",INDEX(Knutepunkter!$D:$D,D6495+1))</f>
        <v/>
      </c>
      <c r="I6495" t="str">
        <f>IF(E6495="","",INDEX(Knutepunkter!$B:$B,E6495+1))</f>
        <v/>
      </c>
      <c r="J6495" t="str">
        <f>IF(E6495="","",INDEX(Knutepunkter!$C:$C,E6495+1))</f>
        <v/>
      </c>
      <c r="K6495" t="str">
        <f>IF(E6495="","",INDEX(Knutepunkter!$D:$D,E6495+1))</f>
        <v/>
      </c>
      <c r="L6495" t="str">
        <f t="shared" si="508"/>
        <v/>
      </c>
      <c r="M6495" t="str">
        <f t="shared" si="509"/>
        <v/>
      </c>
    </row>
    <row r="6496" spans="1:13" x14ac:dyDescent="0.3">
      <c r="A6496" t="str">
        <f>Segmenter!A6496</f>
        <v/>
      </c>
      <c r="B6496" t="str">
        <f>Segmenter!B6496</f>
        <v/>
      </c>
      <c r="C6496" t="str">
        <f t="shared" si="505"/>
        <v/>
      </c>
      <c r="D6496" t="str">
        <f t="shared" si="506"/>
        <v/>
      </c>
      <c r="E6496" t="str">
        <f t="shared" si="507"/>
        <v/>
      </c>
      <c r="F6496" t="str">
        <f>IF(D6496="","",INDEX(Knutepunkter!$B:$B,D6496+1))</f>
        <v/>
      </c>
      <c r="G6496" t="str">
        <f>IF(D6496="","",INDEX(Knutepunkter!$C:$C,D6496+1))</f>
        <v/>
      </c>
      <c r="H6496" t="str">
        <f>IF(D6496="","",INDEX(Knutepunkter!$D:$D,D6496+1))</f>
        <v/>
      </c>
      <c r="I6496" t="str">
        <f>IF(E6496="","",INDEX(Knutepunkter!$B:$B,E6496+1))</f>
        <v/>
      </c>
      <c r="J6496" t="str">
        <f>IF(E6496="","",INDEX(Knutepunkter!$C:$C,E6496+1))</f>
        <v/>
      </c>
      <c r="K6496" t="str">
        <f>IF(E6496="","",INDEX(Knutepunkter!$D:$D,E6496+1))</f>
        <v/>
      </c>
      <c r="L6496" t="str">
        <f t="shared" si="508"/>
        <v/>
      </c>
      <c r="M6496" t="str">
        <f t="shared" si="509"/>
        <v/>
      </c>
    </row>
    <row r="6497" spans="1:13" x14ac:dyDescent="0.3">
      <c r="A6497" t="str">
        <f>Segmenter!A6497</f>
        <v/>
      </c>
      <c r="B6497" t="str">
        <f>Segmenter!B6497</f>
        <v/>
      </c>
      <c r="C6497" t="str">
        <f t="shared" si="505"/>
        <v/>
      </c>
      <c r="D6497" t="str">
        <f t="shared" si="506"/>
        <v/>
      </c>
      <c r="E6497" t="str">
        <f t="shared" si="507"/>
        <v/>
      </c>
      <c r="F6497" t="str">
        <f>IF(D6497="","",INDEX(Knutepunkter!$B:$B,D6497+1))</f>
        <v/>
      </c>
      <c r="G6497" t="str">
        <f>IF(D6497="","",INDEX(Knutepunkter!$C:$C,D6497+1))</f>
        <v/>
      </c>
      <c r="H6497" t="str">
        <f>IF(D6497="","",INDEX(Knutepunkter!$D:$D,D6497+1))</f>
        <v/>
      </c>
      <c r="I6497" t="str">
        <f>IF(E6497="","",INDEX(Knutepunkter!$B:$B,E6497+1))</f>
        <v/>
      </c>
      <c r="J6497" t="str">
        <f>IF(E6497="","",INDEX(Knutepunkter!$C:$C,E6497+1))</f>
        <v/>
      </c>
      <c r="K6497" t="str">
        <f>IF(E6497="","",INDEX(Knutepunkter!$D:$D,E6497+1))</f>
        <v/>
      </c>
      <c r="L6497" t="str">
        <f t="shared" si="508"/>
        <v/>
      </c>
      <c r="M6497" t="str">
        <f t="shared" si="509"/>
        <v/>
      </c>
    </row>
    <row r="6498" spans="1:13" x14ac:dyDescent="0.3">
      <c r="A6498" t="str">
        <f>Segmenter!A6498</f>
        <v/>
      </c>
      <c r="B6498" t="str">
        <f>Segmenter!B6498</f>
        <v/>
      </c>
      <c r="C6498" t="str">
        <f t="shared" si="505"/>
        <v/>
      </c>
      <c r="D6498" t="str">
        <f t="shared" si="506"/>
        <v/>
      </c>
      <c r="E6498" t="str">
        <f t="shared" si="507"/>
        <v/>
      </c>
      <c r="F6498" t="str">
        <f>IF(D6498="","",INDEX(Knutepunkter!$B:$B,D6498+1))</f>
        <v/>
      </c>
      <c r="G6498" t="str">
        <f>IF(D6498="","",INDEX(Knutepunkter!$C:$C,D6498+1))</f>
        <v/>
      </c>
      <c r="H6498" t="str">
        <f>IF(D6498="","",INDEX(Knutepunkter!$D:$D,D6498+1))</f>
        <v/>
      </c>
      <c r="I6498" t="str">
        <f>IF(E6498="","",INDEX(Knutepunkter!$B:$B,E6498+1))</f>
        <v/>
      </c>
      <c r="J6498" t="str">
        <f>IF(E6498="","",INDEX(Knutepunkter!$C:$C,E6498+1))</f>
        <v/>
      </c>
      <c r="K6498" t="str">
        <f>IF(E6498="","",INDEX(Knutepunkter!$D:$D,E6498+1))</f>
        <v/>
      </c>
      <c r="L6498" t="str">
        <f t="shared" si="508"/>
        <v/>
      </c>
      <c r="M6498" t="str">
        <f t="shared" si="509"/>
        <v/>
      </c>
    </row>
    <row r="6499" spans="1:13" x14ac:dyDescent="0.3">
      <c r="A6499" t="str">
        <f>Segmenter!A6499</f>
        <v/>
      </c>
      <c r="B6499" t="str">
        <f>Segmenter!B6499</f>
        <v/>
      </c>
      <c r="C6499" t="str">
        <f t="shared" si="505"/>
        <v/>
      </c>
      <c r="D6499" t="str">
        <f t="shared" si="506"/>
        <v/>
      </c>
      <c r="E6499" t="str">
        <f t="shared" si="507"/>
        <v/>
      </c>
      <c r="F6499" t="str">
        <f>IF(D6499="","",INDEX(Knutepunkter!$B:$B,D6499+1))</f>
        <v/>
      </c>
      <c r="G6499" t="str">
        <f>IF(D6499="","",INDEX(Knutepunkter!$C:$C,D6499+1))</f>
        <v/>
      </c>
      <c r="H6499" t="str">
        <f>IF(D6499="","",INDEX(Knutepunkter!$D:$D,D6499+1))</f>
        <v/>
      </c>
      <c r="I6499" t="str">
        <f>IF(E6499="","",INDEX(Knutepunkter!$B:$B,E6499+1))</f>
        <v/>
      </c>
      <c r="J6499" t="str">
        <f>IF(E6499="","",INDEX(Knutepunkter!$C:$C,E6499+1))</f>
        <v/>
      </c>
      <c r="K6499" t="str">
        <f>IF(E6499="","",INDEX(Knutepunkter!$D:$D,E6499+1))</f>
        <v/>
      </c>
      <c r="L6499" t="str">
        <f t="shared" si="508"/>
        <v/>
      </c>
      <c r="M6499" t="str">
        <f t="shared" si="509"/>
        <v/>
      </c>
    </row>
    <row r="6500" spans="1:13" x14ac:dyDescent="0.3">
      <c r="A6500" t="str">
        <f>Segmenter!A6500</f>
        <v/>
      </c>
      <c r="B6500" t="str">
        <f>Segmenter!B6500</f>
        <v/>
      </c>
      <c r="C6500" t="str">
        <f t="shared" si="505"/>
        <v/>
      </c>
      <c r="D6500" t="str">
        <f t="shared" si="506"/>
        <v/>
      </c>
      <c r="E6500" t="str">
        <f t="shared" si="507"/>
        <v/>
      </c>
      <c r="F6500" t="str">
        <f>IF(D6500="","",INDEX(Knutepunkter!$B:$B,D6500+1))</f>
        <v/>
      </c>
      <c r="G6500" t="str">
        <f>IF(D6500="","",INDEX(Knutepunkter!$C:$C,D6500+1))</f>
        <v/>
      </c>
      <c r="H6500" t="str">
        <f>IF(D6500="","",INDEX(Knutepunkter!$D:$D,D6500+1))</f>
        <v/>
      </c>
      <c r="I6500" t="str">
        <f>IF(E6500="","",INDEX(Knutepunkter!$B:$B,E6500+1))</f>
        <v/>
      </c>
      <c r="J6500" t="str">
        <f>IF(E6500="","",INDEX(Knutepunkter!$C:$C,E6500+1))</f>
        <v/>
      </c>
      <c r="K6500" t="str">
        <f>IF(E6500="","",INDEX(Knutepunkter!$D:$D,E6500+1))</f>
        <v/>
      </c>
      <c r="L6500" t="str">
        <f t="shared" si="508"/>
        <v/>
      </c>
      <c r="M6500" t="str">
        <f t="shared" si="509"/>
        <v/>
      </c>
    </row>
    <row r="6501" spans="1:13" x14ac:dyDescent="0.3">
      <c r="A6501" t="str">
        <f>Segmenter!A6501</f>
        <v/>
      </c>
      <c r="B6501" t="str">
        <f>Segmenter!B6501</f>
        <v/>
      </c>
      <c r="C6501" t="str">
        <f t="shared" si="505"/>
        <v/>
      </c>
      <c r="D6501" t="str">
        <f t="shared" si="506"/>
        <v/>
      </c>
      <c r="E6501" t="str">
        <f t="shared" si="507"/>
        <v/>
      </c>
      <c r="F6501" t="str">
        <f>IF(D6501="","",INDEX(Knutepunkter!$B:$B,D6501+1))</f>
        <v/>
      </c>
      <c r="G6501" t="str">
        <f>IF(D6501="","",INDEX(Knutepunkter!$C:$C,D6501+1))</f>
        <v/>
      </c>
      <c r="H6501" t="str">
        <f>IF(D6501="","",INDEX(Knutepunkter!$D:$D,D6501+1))</f>
        <v/>
      </c>
      <c r="I6501" t="str">
        <f>IF(E6501="","",INDEX(Knutepunkter!$B:$B,E6501+1))</f>
        <v/>
      </c>
      <c r="J6501" t="str">
        <f>IF(E6501="","",INDEX(Knutepunkter!$C:$C,E6501+1))</f>
        <v/>
      </c>
      <c r="K6501" t="str">
        <f>IF(E6501="","",INDEX(Knutepunkter!$D:$D,E6501+1))</f>
        <v/>
      </c>
      <c r="L6501" t="str">
        <f t="shared" si="508"/>
        <v/>
      </c>
      <c r="M6501" t="str">
        <f t="shared" si="509"/>
        <v/>
      </c>
    </row>
    <row r="6502" spans="1:13" x14ac:dyDescent="0.3">
      <c r="A6502" t="str">
        <f>Segmenter!A6502</f>
        <v/>
      </c>
      <c r="B6502" t="str">
        <f>Segmenter!B6502</f>
        <v/>
      </c>
      <c r="C6502" t="str">
        <f t="shared" si="505"/>
        <v/>
      </c>
      <c r="D6502" t="str">
        <f t="shared" si="506"/>
        <v/>
      </c>
      <c r="E6502" t="str">
        <f t="shared" si="507"/>
        <v/>
      </c>
      <c r="F6502" t="str">
        <f>IF(D6502="","",INDEX(Knutepunkter!$B:$B,D6502+1))</f>
        <v/>
      </c>
      <c r="G6502" t="str">
        <f>IF(D6502="","",INDEX(Knutepunkter!$C:$C,D6502+1))</f>
        <v/>
      </c>
      <c r="H6502" t="str">
        <f>IF(D6502="","",INDEX(Knutepunkter!$D:$D,D6502+1))</f>
        <v/>
      </c>
      <c r="I6502" t="str">
        <f>IF(E6502="","",INDEX(Knutepunkter!$B:$B,E6502+1))</f>
        <v/>
      </c>
      <c r="J6502" t="str">
        <f>IF(E6502="","",INDEX(Knutepunkter!$C:$C,E6502+1))</f>
        <v/>
      </c>
      <c r="K6502" t="str">
        <f>IF(E6502="","",INDEX(Knutepunkter!$D:$D,E6502+1))</f>
        <v/>
      </c>
      <c r="L6502" t="str">
        <f t="shared" si="508"/>
        <v/>
      </c>
      <c r="M6502" t="str">
        <f t="shared" si="509"/>
        <v/>
      </c>
    </row>
    <row r="6503" spans="1:13" x14ac:dyDescent="0.3">
      <c r="A6503" t="str">
        <f>Segmenter!A6503</f>
        <v/>
      </c>
      <c r="B6503" t="str">
        <f>Segmenter!B6503</f>
        <v/>
      </c>
      <c r="C6503" t="str">
        <f t="shared" si="505"/>
        <v/>
      </c>
      <c r="D6503" t="str">
        <f t="shared" si="506"/>
        <v/>
      </c>
      <c r="E6503" t="str">
        <f t="shared" si="507"/>
        <v/>
      </c>
      <c r="F6503" t="str">
        <f>IF(D6503="","",INDEX(Knutepunkter!$B:$B,D6503+1))</f>
        <v/>
      </c>
      <c r="G6503" t="str">
        <f>IF(D6503="","",INDEX(Knutepunkter!$C:$C,D6503+1))</f>
        <v/>
      </c>
      <c r="H6503" t="str">
        <f>IF(D6503="","",INDEX(Knutepunkter!$D:$D,D6503+1))</f>
        <v/>
      </c>
      <c r="I6503" t="str">
        <f>IF(E6503="","",INDEX(Knutepunkter!$B:$B,E6503+1))</f>
        <v/>
      </c>
      <c r="J6503" t="str">
        <f>IF(E6503="","",INDEX(Knutepunkter!$C:$C,E6503+1))</f>
        <v/>
      </c>
      <c r="K6503" t="str">
        <f>IF(E6503="","",INDEX(Knutepunkter!$D:$D,E6503+1))</f>
        <v/>
      </c>
      <c r="L6503" t="str">
        <f t="shared" si="508"/>
        <v/>
      </c>
      <c r="M6503" t="str">
        <f t="shared" si="509"/>
        <v/>
      </c>
    </row>
    <row r="6504" spans="1:13" x14ac:dyDescent="0.3">
      <c r="A6504" t="str">
        <f>Segmenter!A6504</f>
        <v/>
      </c>
      <c r="B6504" t="str">
        <f>Segmenter!B6504</f>
        <v/>
      </c>
      <c r="C6504" t="str">
        <f t="shared" si="505"/>
        <v/>
      </c>
      <c r="D6504" t="str">
        <f t="shared" si="506"/>
        <v/>
      </c>
      <c r="E6504" t="str">
        <f t="shared" si="507"/>
        <v/>
      </c>
      <c r="F6504" t="str">
        <f>IF(D6504="","",INDEX(Knutepunkter!$B:$B,D6504+1))</f>
        <v/>
      </c>
      <c r="G6504" t="str">
        <f>IF(D6504="","",INDEX(Knutepunkter!$C:$C,D6504+1))</f>
        <v/>
      </c>
      <c r="H6504" t="str">
        <f>IF(D6504="","",INDEX(Knutepunkter!$D:$D,D6504+1))</f>
        <v/>
      </c>
      <c r="I6504" t="str">
        <f>IF(E6504="","",INDEX(Knutepunkter!$B:$B,E6504+1))</f>
        <v/>
      </c>
      <c r="J6504" t="str">
        <f>IF(E6504="","",INDEX(Knutepunkter!$C:$C,E6504+1))</f>
        <v/>
      </c>
      <c r="K6504" t="str">
        <f>IF(E6504="","",INDEX(Knutepunkter!$D:$D,E6504+1))</f>
        <v/>
      </c>
      <c r="L6504" t="str">
        <f t="shared" si="508"/>
        <v/>
      </c>
      <c r="M6504" t="str">
        <f t="shared" si="509"/>
        <v/>
      </c>
    </row>
    <row r="6505" spans="1:13" x14ac:dyDescent="0.3">
      <c r="A6505" t="str">
        <f>Segmenter!A6505</f>
        <v/>
      </c>
      <c r="B6505" t="str">
        <f>Segmenter!B6505</f>
        <v/>
      </c>
      <c r="C6505" t="str">
        <f t="shared" si="505"/>
        <v/>
      </c>
      <c r="D6505" t="str">
        <f t="shared" si="506"/>
        <v/>
      </c>
      <c r="E6505" t="str">
        <f t="shared" si="507"/>
        <v/>
      </c>
      <c r="F6505" t="str">
        <f>IF(D6505="","",INDEX(Knutepunkter!$B:$B,D6505+1))</f>
        <v/>
      </c>
      <c r="G6505" t="str">
        <f>IF(D6505="","",INDEX(Knutepunkter!$C:$C,D6505+1))</f>
        <v/>
      </c>
      <c r="H6505" t="str">
        <f>IF(D6505="","",INDEX(Knutepunkter!$D:$D,D6505+1))</f>
        <v/>
      </c>
      <c r="I6505" t="str">
        <f>IF(E6505="","",INDEX(Knutepunkter!$B:$B,E6505+1))</f>
        <v/>
      </c>
      <c r="J6505" t="str">
        <f>IF(E6505="","",INDEX(Knutepunkter!$C:$C,E6505+1))</f>
        <v/>
      </c>
      <c r="K6505" t="str">
        <f>IF(E6505="","",INDEX(Knutepunkter!$D:$D,E6505+1))</f>
        <v/>
      </c>
      <c r="L6505" t="str">
        <f t="shared" si="508"/>
        <v/>
      </c>
      <c r="M6505" t="str">
        <f t="shared" si="509"/>
        <v/>
      </c>
    </row>
    <row r="6506" spans="1:13" x14ac:dyDescent="0.3">
      <c r="A6506" t="str">
        <f>Segmenter!A6506</f>
        <v/>
      </c>
      <c r="B6506" t="str">
        <f>Segmenter!B6506</f>
        <v/>
      </c>
      <c r="C6506" t="str">
        <f t="shared" si="505"/>
        <v/>
      </c>
      <c r="D6506" t="str">
        <f t="shared" si="506"/>
        <v/>
      </c>
      <c r="E6506" t="str">
        <f t="shared" si="507"/>
        <v/>
      </c>
      <c r="F6506" t="str">
        <f>IF(D6506="","",INDEX(Knutepunkter!$B:$B,D6506+1))</f>
        <v/>
      </c>
      <c r="G6506" t="str">
        <f>IF(D6506="","",INDEX(Knutepunkter!$C:$C,D6506+1))</f>
        <v/>
      </c>
      <c r="H6506" t="str">
        <f>IF(D6506="","",INDEX(Knutepunkter!$D:$D,D6506+1))</f>
        <v/>
      </c>
      <c r="I6506" t="str">
        <f>IF(E6506="","",INDEX(Knutepunkter!$B:$B,E6506+1))</f>
        <v/>
      </c>
      <c r="J6506" t="str">
        <f>IF(E6506="","",INDEX(Knutepunkter!$C:$C,E6506+1))</f>
        <v/>
      </c>
      <c r="K6506" t="str">
        <f>IF(E6506="","",INDEX(Knutepunkter!$D:$D,E6506+1))</f>
        <v/>
      </c>
      <c r="L6506" t="str">
        <f t="shared" si="508"/>
        <v/>
      </c>
      <c r="M6506" t="str">
        <f t="shared" si="509"/>
        <v/>
      </c>
    </row>
    <row r="6507" spans="1:13" x14ac:dyDescent="0.3">
      <c r="A6507" t="str">
        <f>Segmenter!A6507</f>
        <v/>
      </c>
      <c r="B6507" t="str">
        <f>Segmenter!B6507</f>
        <v/>
      </c>
      <c r="C6507" t="str">
        <f t="shared" si="505"/>
        <v/>
      </c>
      <c r="D6507" t="str">
        <f t="shared" si="506"/>
        <v/>
      </c>
      <c r="E6507" t="str">
        <f t="shared" si="507"/>
        <v/>
      </c>
      <c r="F6507" t="str">
        <f>IF(D6507="","",INDEX(Knutepunkter!$B:$B,D6507+1))</f>
        <v/>
      </c>
      <c r="G6507" t="str">
        <f>IF(D6507="","",INDEX(Knutepunkter!$C:$C,D6507+1))</f>
        <v/>
      </c>
      <c r="H6507" t="str">
        <f>IF(D6507="","",INDEX(Knutepunkter!$D:$D,D6507+1))</f>
        <v/>
      </c>
      <c r="I6507" t="str">
        <f>IF(E6507="","",INDEX(Knutepunkter!$B:$B,E6507+1))</f>
        <v/>
      </c>
      <c r="J6507" t="str">
        <f>IF(E6507="","",INDEX(Knutepunkter!$C:$C,E6507+1))</f>
        <v/>
      </c>
      <c r="K6507" t="str">
        <f>IF(E6507="","",INDEX(Knutepunkter!$D:$D,E6507+1))</f>
        <v/>
      </c>
      <c r="L6507" t="str">
        <f t="shared" si="508"/>
        <v/>
      </c>
      <c r="M6507" t="str">
        <f t="shared" si="509"/>
        <v/>
      </c>
    </row>
    <row r="6508" spans="1:13" x14ac:dyDescent="0.3">
      <c r="A6508" t="str">
        <f>Segmenter!A6508</f>
        <v/>
      </c>
      <c r="B6508" t="str">
        <f>Segmenter!B6508</f>
        <v/>
      </c>
      <c r="C6508" t="str">
        <f t="shared" si="505"/>
        <v/>
      </c>
      <c r="D6508" t="str">
        <f t="shared" si="506"/>
        <v/>
      </c>
      <c r="E6508" t="str">
        <f t="shared" si="507"/>
        <v/>
      </c>
      <c r="F6508" t="str">
        <f>IF(D6508="","",INDEX(Knutepunkter!$B:$B,D6508+1))</f>
        <v/>
      </c>
      <c r="G6508" t="str">
        <f>IF(D6508="","",INDEX(Knutepunkter!$C:$C,D6508+1))</f>
        <v/>
      </c>
      <c r="H6508" t="str">
        <f>IF(D6508="","",INDEX(Knutepunkter!$D:$D,D6508+1))</f>
        <v/>
      </c>
      <c r="I6508" t="str">
        <f>IF(E6508="","",INDEX(Knutepunkter!$B:$B,E6508+1))</f>
        <v/>
      </c>
      <c r="J6508" t="str">
        <f>IF(E6508="","",INDEX(Knutepunkter!$C:$C,E6508+1))</f>
        <v/>
      </c>
      <c r="K6508" t="str">
        <f>IF(E6508="","",INDEX(Knutepunkter!$D:$D,E6508+1))</f>
        <v/>
      </c>
      <c r="L6508" t="str">
        <f t="shared" si="508"/>
        <v/>
      </c>
      <c r="M6508" t="str">
        <f t="shared" si="509"/>
        <v/>
      </c>
    </row>
    <row r="6509" spans="1:13" x14ac:dyDescent="0.3">
      <c r="A6509" t="str">
        <f>Segmenter!A6509</f>
        <v/>
      </c>
      <c r="B6509" t="str">
        <f>Segmenter!B6509</f>
        <v/>
      </c>
      <c r="C6509" t="str">
        <f t="shared" si="505"/>
        <v/>
      </c>
      <c r="D6509" t="str">
        <f t="shared" si="506"/>
        <v/>
      </c>
      <c r="E6509" t="str">
        <f t="shared" si="507"/>
        <v/>
      </c>
      <c r="F6509" t="str">
        <f>IF(D6509="","",INDEX(Knutepunkter!$B:$B,D6509+1))</f>
        <v/>
      </c>
      <c r="G6509" t="str">
        <f>IF(D6509="","",INDEX(Knutepunkter!$C:$C,D6509+1))</f>
        <v/>
      </c>
      <c r="H6509" t="str">
        <f>IF(D6509="","",INDEX(Knutepunkter!$D:$D,D6509+1))</f>
        <v/>
      </c>
      <c r="I6509" t="str">
        <f>IF(E6509="","",INDEX(Knutepunkter!$B:$B,E6509+1))</f>
        <v/>
      </c>
      <c r="J6509" t="str">
        <f>IF(E6509="","",INDEX(Knutepunkter!$C:$C,E6509+1))</f>
        <v/>
      </c>
      <c r="K6509" t="str">
        <f>IF(E6509="","",INDEX(Knutepunkter!$D:$D,E6509+1))</f>
        <v/>
      </c>
      <c r="L6509" t="str">
        <f t="shared" si="508"/>
        <v/>
      </c>
      <c r="M6509" t="str">
        <f t="shared" si="509"/>
        <v/>
      </c>
    </row>
    <row r="6510" spans="1:13" x14ac:dyDescent="0.3">
      <c r="A6510" t="str">
        <f>Segmenter!A6510</f>
        <v/>
      </c>
      <c r="B6510" t="str">
        <f>Segmenter!B6510</f>
        <v/>
      </c>
      <c r="C6510" t="str">
        <f t="shared" si="505"/>
        <v/>
      </c>
      <c r="D6510" t="str">
        <f t="shared" si="506"/>
        <v/>
      </c>
      <c r="E6510" t="str">
        <f t="shared" si="507"/>
        <v/>
      </c>
      <c r="F6510" t="str">
        <f>IF(D6510="","",INDEX(Knutepunkter!$B:$B,D6510+1))</f>
        <v/>
      </c>
      <c r="G6510" t="str">
        <f>IF(D6510="","",INDEX(Knutepunkter!$C:$C,D6510+1))</f>
        <v/>
      </c>
      <c r="H6510" t="str">
        <f>IF(D6510="","",INDEX(Knutepunkter!$D:$D,D6510+1))</f>
        <v/>
      </c>
      <c r="I6510" t="str">
        <f>IF(E6510="","",INDEX(Knutepunkter!$B:$B,E6510+1))</f>
        <v/>
      </c>
      <c r="J6510" t="str">
        <f>IF(E6510="","",INDEX(Knutepunkter!$C:$C,E6510+1))</f>
        <v/>
      </c>
      <c r="K6510" t="str">
        <f>IF(E6510="","",INDEX(Knutepunkter!$D:$D,E6510+1))</f>
        <v/>
      </c>
      <c r="L6510" t="str">
        <f t="shared" si="508"/>
        <v/>
      </c>
      <c r="M6510" t="str">
        <f t="shared" si="509"/>
        <v/>
      </c>
    </row>
    <row r="6511" spans="1:13" x14ac:dyDescent="0.3">
      <c r="A6511" t="str">
        <f>Segmenter!A6511</f>
        <v/>
      </c>
      <c r="B6511" t="str">
        <f>Segmenter!B6511</f>
        <v/>
      </c>
      <c r="C6511" t="str">
        <f t="shared" si="505"/>
        <v/>
      </c>
      <c r="D6511" t="str">
        <f t="shared" si="506"/>
        <v/>
      </c>
      <c r="E6511" t="str">
        <f t="shared" si="507"/>
        <v/>
      </c>
      <c r="F6511" t="str">
        <f>IF(D6511="","",INDEX(Knutepunkter!$B:$B,D6511+1))</f>
        <v/>
      </c>
      <c r="G6511" t="str">
        <f>IF(D6511="","",INDEX(Knutepunkter!$C:$C,D6511+1))</f>
        <v/>
      </c>
      <c r="H6511" t="str">
        <f>IF(D6511="","",INDEX(Knutepunkter!$D:$D,D6511+1))</f>
        <v/>
      </c>
      <c r="I6511" t="str">
        <f>IF(E6511="","",INDEX(Knutepunkter!$B:$B,E6511+1))</f>
        <v/>
      </c>
      <c r="J6511" t="str">
        <f>IF(E6511="","",INDEX(Knutepunkter!$C:$C,E6511+1))</f>
        <v/>
      </c>
      <c r="K6511" t="str">
        <f>IF(E6511="","",INDEX(Knutepunkter!$D:$D,E6511+1))</f>
        <v/>
      </c>
      <c r="L6511" t="str">
        <f t="shared" si="508"/>
        <v/>
      </c>
      <c r="M6511" t="str">
        <f t="shared" si="509"/>
        <v/>
      </c>
    </row>
    <row r="6512" spans="1:13" x14ac:dyDescent="0.3">
      <c r="A6512" t="str">
        <f>Segmenter!A6512</f>
        <v/>
      </c>
      <c r="B6512" t="str">
        <f>Segmenter!B6512</f>
        <v/>
      </c>
      <c r="C6512" t="str">
        <f t="shared" si="505"/>
        <v/>
      </c>
      <c r="D6512" t="str">
        <f t="shared" si="506"/>
        <v/>
      </c>
      <c r="E6512" t="str">
        <f t="shared" si="507"/>
        <v/>
      </c>
      <c r="F6512" t="str">
        <f>IF(D6512="","",INDEX(Knutepunkter!$B:$B,D6512+1))</f>
        <v/>
      </c>
      <c r="G6512" t="str">
        <f>IF(D6512="","",INDEX(Knutepunkter!$C:$C,D6512+1))</f>
        <v/>
      </c>
      <c r="H6512" t="str">
        <f>IF(D6512="","",INDEX(Knutepunkter!$D:$D,D6512+1))</f>
        <v/>
      </c>
      <c r="I6512" t="str">
        <f>IF(E6512="","",INDEX(Knutepunkter!$B:$B,E6512+1))</f>
        <v/>
      </c>
      <c r="J6512" t="str">
        <f>IF(E6512="","",INDEX(Knutepunkter!$C:$C,E6512+1))</f>
        <v/>
      </c>
      <c r="K6512" t="str">
        <f>IF(E6512="","",INDEX(Knutepunkter!$D:$D,E6512+1))</f>
        <v/>
      </c>
      <c r="L6512" t="str">
        <f t="shared" si="508"/>
        <v/>
      </c>
      <c r="M6512" t="str">
        <f t="shared" si="509"/>
        <v/>
      </c>
    </row>
    <row r="6513" spans="1:13" x14ac:dyDescent="0.3">
      <c r="A6513" t="str">
        <f>Segmenter!A6513</f>
        <v/>
      </c>
      <c r="B6513" t="str">
        <f>Segmenter!B6513</f>
        <v/>
      </c>
      <c r="C6513" t="str">
        <f t="shared" si="505"/>
        <v/>
      </c>
      <c r="D6513" t="str">
        <f t="shared" si="506"/>
        <v/>
      </c>
      <c r="E6513" t="str">
        <f t="shared" si="507"/>
        <v/>
      </c>
      <c r="F6513" t="str">
        <f>IF(D6513="","",INDEX(Knutepunkter!$B:$B,D6513+1))</f>
        <v/>
      </c>
      <c r="G6513" t="str">
        <f>IF(D6513="","",INDEX(Knutepunkter!$C:$C,D6513+1))</f>
        <v/>
      </c>
      <c r="H6513" t="str">
        <f>IF(D6513="","",INDEX(Knutepunkter!$D:$D,D6513+1))</f>
        <v/>
      </c>
      <c r="I6513" t="str">
        <f>IF(E6513="","",INDEX(Knutepunkter!$B:$B,E6513+1))</f>
        <v/>
      </c>
      <c r="J6513" t="str">
        <f>IF(E6513="","",INDEX(Knutepunkter!$C:$C,E6513+1))</f>
        <v/>
      </c>
      <c r="K6513" t="str">
        <f>IF(E6513="","",INDEX(Knutepunkter!$D:$D,E6513+1))</f>
        <v/>
      </c>
      <c r="L6513" t="str">
        <f t="shared" si="508"/>
        <v/>
      </c>
      <c r="M6513" t="str">
        <f t="shared" si="509"/>
        <v/>
      </c>
    </row>
    <row r="6514" spans="1:13" x14ac:dyDescent="0.3">
      <c r="A6514" t="str">
        <f>Segmenter!A6514</f>
        <v/>
      </c>
      <c r="B6514" t="str">
        <f>Segmenter!B6514</f>
        <v/>
      </c>
      <c r="C6514" t="str">
        <f t="shared" si="505"/>
        <v/>
      </c>
      <c r="D6514" t="str">
        <f t="shared" si="506"/>
        <v/>
      </c>
      <c r="E6514" t="str">
        <f t="shared" si="507"/>
        <v/>
      </c>
      <c r="F6514" t="str">
        <f>IF(D6514="","",INDEX(Knutepunkter!$B:$B,D6514+1))</f>
        <v/>
      </c>
      <c r="G6514" t="str">
        <f>IF(D6514="","",INDEX(Knutepunkter!$C:$C,D6514+1))</f>
        <v/>
      </c>
      <c r="H6514" t="str">
        <f>IF(D6514="","",INDEX(Knutepunkter!$D:$D,D6514+1))</f>
        <v/>
      </c>
      <c r="I6514" t="str">
        <f>IF(E6514="","",INDEX(Knutepunkter!$B:$B,E6514+1))</f>
        <v/>
      </c>
      <c r="J6514" t="str">
        <f>IF(E6514="","",INDEX(Knutepunkter!$C:$C,E6514+1))</f>
        <v/>
      </c>
      <c r="K6514" t="str">
        <f>IF(E6514="","",INDEX(Knutepunkter!$D:$D,E6514+1))</f>
        <v/>
      </c>
      <c r="L6514" t="str">
        <f t="shared" si="508"/>
        <v/>
      </c>
      <c r="M6514" t="str">
        <f t="shared" si="509"/>
        <v/>
      </c>
    </row>
    <row r="6515" spans="1:13" x14ac:dyDescent="0.3">
      <c r="A6515" t="str">
        <f>Segmenter!A6515</f>
        <v/>
      </c>
      <c r="B6515" t="str">
        <f>Segmenter!B6515</f>
        <v/>
      </c>
      <c r="C6515" t="str">
        <f t="shared" si="505"/>
        <v/>
      </c>
      <c r="D6515" t="str">
        <f t="shared" si="506"/>
        <v/>
      </c>
      <c r="E6515" t="str">
        <f t="shared" si="507"/>
        <v/>
      </c>
      <c r="F6515" t="str">
        <f>IF(D6515="","",INDEX(Knutepunkter!$B:$B,D6515+1))</f>
        <v/>
      </c>
      <c r="G6515" t="str">
        <f>IF(D6515="","",INDEX(Knutepunkter!$C:$C,D6515+1))</f>
        <v/>
      </c>
      <c r="H6515" t="str">
        <f>IF(D6515="","",INDEX(Knutepunkter!$D:$D,D6515+1))</f>
        <v/>
      </c>
      <c r="I6515" t="str">
        <f>IF(E6515="","",INDEX(Knutepunkter!$B:$B,E6515+1))</f>
        <v/>
      </c>
      <c r="J6515" t="str">
        <f>IF(E6515="","",INDEX(Knutepunkter!$C:$C,E6515+1))</f>
        <v/>
      </c>
      <c r="K6515" t="str">
        <f>IF(E6515="","",INDEX(Knutepunkter!$D:$D,E6515+1))</f>
        <v/>
      </c>
      <c r="L6515" t="str">
        <f t="shared" si="508"/>
        <v/>
      </c>
      <c r="M6515" t="str">
        <f t="shared" si="509"/>
        <v/>
      </c>
    </row>
    <row r="6516" spans="1:13" x14ac:dyDescent="0.3">
      <c r="A6516" t="str">
        <f>Segmenter!A6516</f>
        <v/>
      </c>
      <c r="B6516" t="str">
        <f>Segmenter!B6516</f>
        <v/>
      </c>
      <c r="C6516" t="str">
        <f t="shared" si="505"/>
        <v/>
      </c>
      <c r="D6516" t="str">
        <f t="shared" si="506"/>
        <v/>
      </c>
      <c r="E6516" t="str">
        <f t="shared" si="507"/>
        <v/>
      </c>
      <c r="F6516" t="str">
        <f>IF(D6516="","",INDEX(Knutepunkter!$B:$B,D6516+1))</f>
        <v/>
      </c>
      <c r="G6516" t="str">
        <f>IF(D6516="","",INDEX(Knutepunkter!$C:$C,D6516+1))</f>
        <v/>
      </c>
      <c r="H6516" t="str">
        <f>IF(D6516="","",INDEX(Knutepunkter!$D:$D,D6516+1))</f>
        <v/>
      </c>
      <c r="I6516" t="str">
        <f>IF(E6516="","",INDEX(Knutepunkter!$B:$B,E6516+1))</f>
        <v/>
      </c>
      <c r="J6516" t="str">
        <f>IF(E6516="","",INDEX(Knutepunkter!$C:$C,E6516+1))</f>
        <v/>
      </c>
      <c r="K6516" t="str">
        <f>IF(E6516="","",INDEX(Knutepunkter!$D:$D,E6516+1))</f>
        <v/>
      </c>
      <c r="L6516" t="str">
        <f t="shared" si="508"/>
        <v/>
      </c>
      <c r="M6516" t="str">
        <f t="shared" si="509"/>
        <v/>
      </c>
    </row>
    <row r="6517" spans="1:13" x14ac:dyDescent="0.3">
      <c r="A6517" t="str">
        <f>Segmenter!A6517</f>
        <v/>
      </c>
      <c r="B6517" t="str">
        <f>Segmenter!B6517</f>
        <v/>
      </c>
      <c r="C6517" t="str">
        <f t="shared" si="505"/>
        <v/>
      </c>
      <c r="D6517" t="str">
        <f t="shared" si="506"/>
        <v/>
      </c>
      <c r="E6517" t="str">
        <f t="shared" si="507"/>
        <v/>
      </c>
      <c r="F6517" t="str">
        <f>IF(D6517="","",INDEX(Knutepunkter!$B:$B,D6517+1))</f>
        <v/>
      </c>
      <c r="G6517" t="str">
        <f>IF(D6517="","",INDEX(Knutepunkter!$C:$C,D6517+1))</f>
        <v/>
      </c>
      <c r="H6517" t="str">
        <f>IF(D6517="","",INDEX(Knutepunkter!$D:$D,D6517+1))</f>
        <v/>
      </c>
      <c r="I6517" t="str">
        <f>IF(E6517="","",INDEX(Knutepunkter!$B:$B,E6517+1))</f>
        <v/>
      </c>
      <c r="J6517" t="str">
        <f>IF(E6517="","",INDEX(Knutepunkter!$C:$C,E6517+1))</f>
        <v/>
      </c>
      <c r="K6517" t="str">
        <f>IF(E6517="","",INDEX(Knutepunkter!$D:$D,E6517+1))</f>
        <v/>
      </c>
      <c r="L6517" t="str">
        <f t="shared" si="508"/>
        <v/>
      </c>
      <c r="M6517" t="str">
        <f t="shared" si="509"/>
        <v/>
      </c>
    </row>
    <row r="6518" spans="1:13" x14ac:dyDescent="0.3">
      <c r="A6518" t="str">
        <f>Segmenter!A6518</f>
        <v/>
      </c>
      <c r="B6518" t="str">
        <f>Segmenter!B6518</f>
        <v/>
      </c>
      <c r="C6518" t="str">
        <f t="shared" si="505"/>
        <v/>
      </c>
      <c r="D6518" t="str">
        <f t="shared" si="506"/>
        <v/>
      </c>
      <c r="E6518" t="str">
        <f t="shared" si="507"/>
        <v/>
      </c>
      <c r="F6518" t="str">
        <f>IF(D6518="","",INDEX(Knutepunkter!$B:$B,D6518+1))</f>
        <v/>
      </c>
      <c r="G6518" t="str">
        <f>IF(D6518="","",INDEX(Knutepunkter!$C:$C,D6518+1))</f>
        <v/>
      </c>
      <c r="H6518" t="str">
        <f>IF(D6518="","",INDEX(Knutepunkter!$D:$D,D6518+1))</f>
        <v/>
      </c>
      <c r="I6518" t="str">
        <f>IF(E6518="","",INDEX(Knutepunkter!$B:$B,E6518+1))</f>
        <v/>
      </c>
      <c r="J6518" t="str">
        <f>IF(E6518="","",INDEX(Knutepunkter!$C:$C,E6518+1))</f>
        <v/>
      </c>
      <c r="K6518" t="str">
        <f>IF(E6518="","",INDEX(Knutepunkter!$D:$D,E6518+1))</f>
        <v/>
      </c>
      <c r="L6518" t="str">
        <f t="shared" si="508"/>
        <v/>
      </c>
      <c r="M6518" t="str">
        <f t="shared" si="509"/>
        <v/>
      </c>
    </row>
    <row r="6519" spans="1:13" x14ac:dyDescent="0.3">
      <c r="A6519" t="str">
        <f>Segmenter!A6519</f>
        <v/>
      </c>
      <c r="B6519" t="str">
        <f>Segmenter!B6519</f>
        <v/>
      </c>
      <c r="C6519" t="str">
        <f t="shared" si="505"/>
        <v/>
      </c>
      <c r="D6519" t="str">
        <f t="shared" si="506"/>
        <v/>
      </c>
      <c r="E6519" t="str">
        <f t="shared" si="507"/>
        <v/>
      </c>
      <c r="F6519" t="str">
        <f>IF(D6519="","",INDEX(Knutepunkter!$B:$B,D6519+1))</f>
        <v/>
      </c>
      <c r="G6519" t="str">
        <f>IF(D6519="","",INDEX(Knutepunkter!$C:$C,D6519+1))</f>
        <v/>
      </c>
      <c r="H6519" t="str">
        <f>IF(D6519="","",INDEX(Knutepunkter!$D:$D,D6519+1))</f>
        <v/>
      </c>
      <c r="I6519" t="str">
        <f>IF(E6519="","",INDEX(Knutepunkter!$B:$B,E6519+1))</f>
        <v/>
      </c>
      <c r="J6519" t="str">
        <f>IF(E6519="","",INDEX(Knutepunkter!$C:$C,E6519+1))</f>
        <v/>
      </c>
      <c r="K6519" t="str">
        <f>IF(E6519="","",INDEX(Knutepunkter!$D:$D,E6519+1))</f>
        <v/>
      </c>
      <c r="L6519" t="str">
        <f t="shared" si="508"/>
        <v/>
      </c>
      <c r="M6519" t="str">
        <f t="shared" si="509"/>
        <v/>
      </c>
    </row>
    <row r="6520" spans="1:13" x14ac:dyDescent="0.3">
      <c r="A6520" t="str">
        <f>Segmenter!A6520</f>
        <v/>
      </c>
      <c r="B6520" t="str">
        <f>Segmenter!B6520</f>
        <v/>
      </c>
      <c r="C6520" t="str">
        <f t="shared" si="505"/>
        <v/>
      </c>
      <c r="D6520" t="str">
        <f t="shared" si="506"/>
        <v/>
      </c>
      <c r="E6520" t="str">
        <f t="shared" si="507"/>
        <v/>
      </c>
      <c r="F6520" t="str">
        <f>IF(D6520="","",INDEX(Knutepunkter!$B:$B,D6520+1))</f>
        <v/>
      </c>
      <c r="G6520" t="str">
        <f>IF(D6520="","",INDEX(Knutepunkter!$C:$C,D6520+1))</f>
        <v/>
      </c>
      <c r="H6520" t="str">
        <f>IF(D6520="","",INDEX(Knutepunkter!$D:$D,D6520+1))</f>
        <v/>
      </c>
      <c r="I6520" t="str">
        <f>IF(E6520="","",INDEX(Knutepunkter!$B:$B,E6520+1))</f>
        <v/>
      </c>
      <c r="J6520" t="str">
        <f>IF(E6520="","",INDEX(Knutepunkter!$C:$C,E6520+1))</f>
        <v/>
      </c>
      <c r="K6520" t="str">
        <f>IF(E6520="","",INDEX(Knutepunkter!$D:$D,E6520+1))</f>
        <v/>
      </c>
      <c r="L6520" t="str">
        <f t="shared" si="508"/>
        <v/>
      </c>
      <c r="M6520" t="str">
        <f t="shared" si="509"/>
        <v/>
      </c>
    </row>
    <row r="6521" spans="1:13" x14ac:dyDescent="0.3">
      <c r="A6521" t="str">
        <f>Segmenter!A6521</f>
        <v/>
      </c>
      <c r="B6521" t="str">
        <f>Segmenter!B6521</f>
        <v/>
      </c>
      <c r="C6521" t="str">
        <f t="shared" si="505"/>
        <v/>
      </c>
      <c r="D6521" t="str">
        <f t="shared" si="506"/>
        <v/>
      </c>
      <c r="E6521" t="str">
        <f t="shared" si="507"/>
        <v/>
      </c>
      <c r="F6521" t="str">
        <f>IF(D6521="","",INDEX(Knutepunkter!$B:$B,D6521+1))</f>
        <v/>
      </c>
      <c r="G6521" t="str">
        <f>IF(D6521="","",INDEX(Knutepunkter!$C:$C,D6521+1))</f>
        <v/>
      </c>
      <c r="H6521" t="str">
        <f>IF(D6521="","",INDEX(Knutepunkter!$D:$D,D6521+1))</f>
        <v/>
      </c>
      <c r="I6521" t="str">
        <f>IF(E6521="","",INDEX(Knutepunkter!$B:$B,E6521+1))</f>
        <v/>
      </c>
      <c r="J6521" t="str">
        <f>IF(E6521="","",INDEX(Knutepunkter!$C:$C,E6521+1))</f>
        <v/>
      </c>
      <c r="K6521" t="str">
        <f>IF(E6521="","",INDEX(Knutepunkter!$D:$D,E6521+1))</f>
        <v/>
      </c>
      <c r="L6521" t="str">
        <f t="shared" si="508"/>
        <v/>
      </c>
      <c r="M6521" t="str">
        <f t="shared" si="509"/>
        <v/>
      </c>
    </row>
    <row r="6522" spans="1:13" x14ac:dyDescent="0.3">
      <c r="A6522" t="str">
        <f>Segmenter!A6522</f>
        <v/>
      </c>
      <c r="B6522" t="str">
        <f>Segmenter!B6522</f>
        <v/>
      </c>
      <c r="C6522" t="str">
        <f t="shared" si="505"/>
        <v/>
      </c>
      <c r="D6522" t="str">
        <f t="shared" si="506"/>
        <v/>
      </c>
      <c r="E6522" t="str">
        <f t="shared" si="507"/>
        <v/>
      </c>
      <c r="F6522" t="str">
        <f>IF(D6522="","",INDEX(Knutepunkter!$B:$B,D6522+1))</f>
        <v/>
      </c>
      <c r="G6522" t="str">
        <f>IF(D6522="","",INDEX(Knutepunkter!$C:$C,D6522+1))</f>
        <v/>
      </c>
      <c r="H6522" t="str">
        <f>IF(D6522="","",INDEX(Knutepunkter!$D:$D,D6522+1))</f>
        <v/>
      </c>
      <c r="I6522" t="str">
        <f>IF(E6522="","",INDEX(Knutepunkter!$B:$B,E6522+1))</f>
        <v/>
      </c>
      <c r="J6522" t="str">
        <f>IF(E6522="","",INDEX(Knutepunkter!$C:$C,E6522+1))</f>
        <v/>
      </c>
      <c r="K6522" t="str">
        <f>IF(E6522="","",INDEX(Knutepunkter!$D:$D,E6522+1))</f>
        <v/>
      </c>
      <c r="L6522" t="str">
        <f t="shared" si="508"/>
        <v/>
      </c>
      <c r="M6522" t="str">
        <f t="shared" si="509"/>
        <v/>
      </c>
    </row>
    <row r="6523" spans="1:13" x14ac:dyDescent="0.3">
      <c r="A6523" t="str">
        <f>Segmenter!A6523</f>
        <v/>
      </c>
      <c r="B6523" t="str">
        <f>Segmenter!B6523</f>
        <v/>
      </c>
      <c r="C6523" t="str">
        <f t="shared" si="505"/>
        <v/>
      </c>
      <c r="D6523" t="str">
        <f t="shared" si="506"/>
        <v/>
      </c>
      <c r="E6523" t="str">
        <f t="shared" si="507"/>
        <v/>
      </c>
      <c r="F6523" t="str">
        <f>IF(D6523="","",INDEX(Knutepunkter!$B:$B,D6523+1))</f>
        <v/>
      </c>
      <c r="G6523" t="str">
        <f>IF(D6523="","",INDEX(Knutepunkter!$C:$C,D6523+1))</f>
        <v/>
      </c>
      <c r="H6523" t="str">
        <f>IF(D6523="","",INDEX(Knutepunkter!$D:$D,D6523+1))</f>
        <v/>
      </c>
      <c r="I6523" t="str">
        <f>IF(E6523="","",INDEX(Knutepunkter!$B:$B,E6523+1))</f>
        <v/>
      </c>
      <c r="J6523" t="str">
        <f>IF(E6523="","",INDEX(Knutepunkter!$C:$C,E6523+1))</f>
        <v/>
      </c>
      <c r="K6523" t="str">
        <f>IF(E6523="","",INDEX(Knutepunkter!$D:$D,E6523+1))</f>
        <v/>
      </c>
      <c r="L6523" t="str">
        <f t="shared" si="508"/>
        <v/>
      </c>
      <c r="M6523" t="str">
        <f t="shared" si="509"/>
        <v/>
      </c>
    </row>
    <row r="6524" spans="1:13" x14ac:dyDescent="0.3">
      <c r="A6524" t="str">
        <f>Segmenter!A6524</f>
        <v/>
      </c>
      <c r="B6524" t="str">
        <f>Segmenter!B6524</f>
        <v/>
      </c>
      <c r="C6524" t="str">
        <f t="shared" si="505"/>
        <v/>
      </c>
      <c r="D6524" t="str">
        <f t="shared" si="506"/>
        <v/>
      </c>
      <c r="E6524" t="str">
        <f t="shared" si="507"/>
        <v/>
      </c>
      <c r="F6524" t="str">
        <f>IF(D6524="","",INDEX(Knutepunkter!$B:$B,D6524+1))</f>
        <v/>
      </c>
      <c r="G6524" t="str">
        <f>IF(D6524="","",INDEX(Knutepunkter!$C:$C,D6524+1))</f>
        <v/>
      </c>
      <c r="H6524" t="str">
        <f>IF(D6524="","",INDEX(Knutepunkter!$D:$D,D6524+1))</f>
        <v/>
      </c>
      <c r="I6524" t="str">
        <f>IF(E6524="","",INDEX(Knutepunkter!$B:$B,E6524+1))</f>
        <v/>
      </c>
      <c r="J6524" t="str">
        <f>IF(E6524="","",INDEX(Knutepunkter!$C:$C,E6524+1))</f>
        <v/>
      </c>
      <c r="K6524" t="str">
        <f>IF(E6524="","",INDEX(Knutepunkter!$D:$D,E6524+1))</f>
        <v/>
      </c>
      <c r="L6524" t="str">
        <f t="shared" si="508"/>
        <v/>
      </c>
      <c r="M6524" t="str">
        <f t="shared" si="509"/>
        <v/>
      </c>
    </row>
    <row r="6525" spans="1:13" x14ac:dyDescent="0.3">
      <c r="A6525" t="str">
        <f>Segmenter!A6525</f>
        <v/>
      </c>
      <c r="B6525" t="str">
        <f>Segmenter!B6525</f>
        <v/>
      </c>
      <c r="C6525" t="str">
        <f t="shared" si="505"/>
        <v/>
      </c>
      <c r="D6525" t="str">
        <f t="shared" si="506"/>
        <v/>
      </c>
      <c r="E6525" t="str">
        <f t="shared" si="507"/>
        <v/>
      </c>
      <c r="F6525" t="str">
        <f>IF(D6525="","",INDEX(Knutepunkter!$B:$B,D6525+1))</f>
        <v/>
      </c>
      <c r="G6525" t="str">
        <f>IF(D6525="","",INDEX(Knutepunkter!$C:$C,D6525+1))</f>
        <v/>
      </c>
      <c r="H6525" t="str">
        <f>IF(D6525="","",INDEX(Knutepunkter!$D:$D,D6525+1))</f>
        <v/>
      </c>
      <c r="I6525" t="str">
        <f>IF(E6525="","",INDEX(Knutepunkter!$B:$B,E6525+1))</f>
        <v/>
      </c>
      <c r="J6525" t="str">
        <f>IF(E6525="","",INDEX(Knutepunkter!$C:$C,E6525+1))</f>
        <v/>
      </c>
      <c r="K6525" t="str">
        <f>IF(E6525="","",INDEX(Knutepunkter!$D:$D,E6525+1))</f>
        <v/>
      </c>
      <c r="L6525" t="str">
        <f t="shared" si="508"/>
        <v/>
      </c>
      <c r="M6525" t="str">
        <f t="shared" si="509"/>
        <v/>
      </c>
    </row>
    <row r="6526" spans="1:13" x14ac:dyDescent="0.3">
      <c r="A6526" t="str">
        <f>Segmenter!A6526</f>
        <v/>
      </c>
      <c r="B6526" t="str">
        <f>Segmenter!B6526</f>
        <v/>
      </c>
      <c r="C6526" t="str">
        <f t="shared" si="505"/>
        <v/>
      </c>
      <c r="D6526" t="str">
        <f t="shared" si="506"/>
        <v/>
      </c>
      <c r="E6526" t="str">
        <f t="shared" si="507"/>
        <v/>
      </c>
      <c r="F6526" t="str">
        <f>IF(D6526="","",INDEX(Knutepunkter!$B:$B,D6526+1))</f>
        <v/>
      </c>
      <c r="G6526" t="str">
        <f>IF(D6526="","",INDEX(Knutepunkter!$C:$C,D6526+1))</f>
        <v/>
      </c>
      <c r="H6526" t="str">
        <f>IF(D6526="","",INDEX(Knutepunkter!$D:$D,D6526+1))</f>
        <v/>
      </c>
      <c r="I6526" t="str">
        <f>IF(E6526="","",INDEX(Knutepunkter!$B:$B,E6526+1))</f>
        <v/>
      </c>
      <c r="J6526" t="str">
        <f>IF(E6526="","",INDEX(Knutepunkter!$C:$C,E6526+1))</f>
        <v/>
      </c>
      <c r="K6526" t="str">
        <f>IF(E6526="","",INDEX(Knutepunkter!$D:$D,E6526+1))</f>
        <v/>
      </c>
      <c r="L6526" t="str">
        <f t="shared" si="508"/>
        <v/>
      </c>
      <c r="M6526" t="str">
        <f t="shared" si="509"/>
        <v/>
      </c>
    </row>
    <row r="6527" spans="1:13" x14ac:dyDescent="0.3">
      <c r="A6527" t="str">
        <f>Segmenter!A6527</f>
        <v/>
      </c>
      <c r="B6527" t="str">
        <f>Segmenter!B6527</f>
        <v/>
      </c>
      <c r="C6527" t="str">
        <f t="shared" si="505"/>
        <v/>
      </c>
      <c r="D6527" t="str">
        <f t="shared" si="506"/>
        <v/>
      </c>
      <c r="E6527" t="str">
        <f t="shared" si="507"/>
        <v/>
      </c>
      <c r="F6527" t="str">
        <f>IF(D6527="","",INDEX(Knutepunkter!$B:$B,D6527+1))</f>
        <v/>
      </c>
      <c r="G6527" t="str">
        <f>IF(D6527="","",INDEX(Knutepunkter!$C:$C,D6527+1))</f>
        <v/>
      </c>
      <c r="H6527" t="str">
        <f>IF(D6527="","",INDEX(Knutepunkter!$D:$D,D6527+1))</f>
        <v/>
      </c>
      <c r="I6527" t="str">
        <f>IF(E6527="","",INDEX(Knutepunkter!$B:$B,E6527+1))</f>
        <v/>
      </c>
      <c r="J6527" t="str">
        <f>IF(E6527="","",INDEX(Knutepunkter!$C:$C,E6527+1))</f>
        <v/>
      </c>
      <c r="K6527" t="str">
        <f>IF(E6527="","",INDEX(Knutepunkter!$D:$D,E6527+1))</f>
        <v/>
      </c>
      <c r="L6527" t="str">
        <f t="shared" si="508"/>
        <v/>
      </c>
      <c r="M6527" t="str">
        <f t="shared" si="509"/>
        <v/>
      </c>
    </row>
    <row r="6528" spans="1:13" x14ac:dyDescent="0.3">
      <c r="A6528" t="str">
        <f>Segmenter!A6528</f>
        <v/>
      </c>
      <c r="B6528" t="str">
        <f>Segmenter!B6528</f>
        <v/>
      </c>
      <c r="C6528" t="str">
        <f t="shared" si="505"/>
        <v/>
      </c>
      <c r="D6528" t="str">
        <f t="shared" si="506"/>
        <v/>
      </c>
      <c r="E6528" t="str">
        <f t="shared" si="507"/>
        <v/>
      </c>
      <c r="F6528" t="str">
        <f>IF(D6528="","",INDEX(Knutepunkter!$B:$B,D6528+1))</f>
        <v/>
      </c>
      <c r="G6528" t="str">
        <f>IF(D6528="","",INDEX(Knutepunkter!$C:$C,D6528+1))</f>
        <v/>
      </c>
      <c r="H6528" t="str">
        <f>IF(D6528="","",INDEX(Knutepunkter!$D:$D,D6528+1))</f>
        <v/>
      </c>
      <c r="I6528" t="str">
        <f>IF(E6528="","",INDEX(Knutepunkter!$B:$B,E6528+1))</f>
        <v/>
      </c>
      <c r="J6528" t="str">
        <f>IF(E6528="","",INDEX(Knutepunkter!$C:$C,E6528+1))</f>
        <v/>
      </c>
      <c r="K6528" t="str">
        <f>IF(E6528="","",INDEX(Knutepunkter!$D:$D,E6528+1))</f>
        <v/>
      </c>
      <c r="L6528" t="str">
        <f t="shared" si="508"/>
        <v/>
      </c>
      <c r="M6528" t="str">
        <f t="shared" si="509"/>
        <v/>
      </c>
    </row>
    <row r="6529" spans="1:13" x14ac:dyDescent="0.3">
      <c r="A6529" t="str">
        <f>Segmenter!A6529</f>
        <v/>
      </c>
      <c r="B6529" t="str">
        <f>Segmenter!B6529</f>
        <v/>
      </c>
      <c r="C6529" t="str">
        <f t="shared" si="505"/>
        <v/>
      </c>
      <c r="D6529" t="str">
        <f t="shared" si="506"/>
        <v/>
      </c>
      <c r="E6529" t="str">
        <f t="shared" si="507"/>
        <v/>
      </c>
      <c r="F6529" t="str">
        <f>IF(D6529="","",INDEX(Knutepunkter!$B:$B,D6529+1))</f>
        <v/>
      </c>
      <c r="G6529" t="str">
        <f>IF(D6529="","",INDEX(Knutepunkter!$C:$C,D6529+1))</f>
        <v/>
      </c>
      <c r="H6529" t="str">
        <f>IF(D6529="","",INDEX(Knutepunkter!$D:$D,D6529+1))</f>
        <v/>
      </c>
      <c r="I6529" t="str">
        <f>IF(E6529="","",INDEX(Knutepunkter!$B:$B,E6529+1))</f>
        <v/>
      </c>
      <c r="J6529" t="str">
        <f>IF(E6529="","",INDEX(Knutepunkter!$C:$C,E6529+1))</f>
        <v/>
      </c>
      <c r="K6529" t="str">
        <f>IF(E6529="","",INDEX(Knutepunkter!$D:$D,E6529+1))</f>
        <v/>
      </c>
      <c r="L6529" t="str">
        <f t="shared" si="508"/>
        <v/>
      </c>
      <c r="M6529" t="str">
        <f t="shared" si="509"/>
        <v/>
      </c>
    </row>
    <row r="6530" spans="1:13" x14ac:dyDescent="0.3">
      <c r="A6530" t="str">
        <f>Segmenter!A6530</f>
        <v/>
      </c>
      <c r="B6530" t="str">
        <f>Segmenter!B6530</f>
        <v/>
      </c>
      <c r="C6530" t="str">
        <f t="shared" ref="C6530:C6593" si="510">IF(B6530="","",IF(AND(F6530=I6530,G6530=J6530,H6530&lt;&gt;K6530),"Søyle","Bjelke"))</f>
        <v/>
      </c>
      <c r="D6530" t="str">
        <f t="shared" ref="D6530:D6593" si="511">IF(B6530="","",VALUE(LEFT(B6530,FIND(" -&gt; ",B6530)-1)))</f>
        <v/>
      </c>
      <c r="E6530" t="str">
        <f t="shared" ref="E6530:E6593" si="512">IF(B6530="","",VALUE(MID(B6530,FIND(" -&gt; ",B6530)+4,99)))</f>
        <v/>
      </c>
      <c r="F6530" t="str">
        <f>IF(D6530="","",INDEX(Knutepunkter!$B:$B,D6530+1))</f>
        <v/>
      </c>
      <c r="G6530" t="str">
        <f>IF(D6530="","",INDEX(Knutepunkter!$C:$C,D6530+1))</f>
        <v/>
      </c>
      <c r="H6530" t="str">
        <f>IF(D6530="","",INDEX(Knutepunkter!$D:$D,D6530+1))</f>
        <v/>
      </c>
      <c r="I6530" t="str">
        <f>IF(E6530="","",INDEX(Knutepunkter!$B:$B,E6530+1))</f>
        <v/>
      </c>
      <c r="J6530" t="str">
        <f>IF(E6530="","",INDEX(Knutepunkter!$C:$C,E6530+1))</f>
        <v/>
      </c>
      <c r="K6530" t="str">
        <f>IF(E6530="","",INDEX(Knutepunkter!$D:$D,E6530+1))</f>
        <v/>
      </c>
      <c r="L6530" t="str">
        <f t="shared" ref="L6530:L6593" si="513">IF(B6530="","",SQRT((I6530-F6530)^2+(J6530-G6530)^2+(K6530-H6530)^2))</f>
        <v/>
      </c>
      <c r="M6530" t="str">
        <f t="shared" ref="M6530:M6593" si="514">IF(L6530="","",L6530/1000)</f>
        <v/>
      </c>
    </row>
    <row r="6531" spans="1:13" x14ac:dyDescent="0.3">
      <c r="A6531" t="str">
        <f>Segmenter!A6531</f>
        <v/>
      </c>
      <c r="B6531" t="str">
        <f>Segmenter!B6531</f>
        <v/>
      </c>
      <c r="C6531" t="str">
        <f t="shared" si="510"/>
        <v/>
      </c>
      <c r="D6531" t="str">
        <f t="shared" si="511"/>
        <v/>
      </c>
      <c r="E6531" t="str">
        <f t="shared" si="512"/>
        <v/>
      </c>
      <c r="F6531" t="str">
        <f>IF(D6531="","",INDEX(Knutepunkter!$B:$B,D6531+1))</f>
        <v/>
      </c>
      <c r="G6531" t="str">
        <f>IF(D6531="","",INDEX(Knutepunkter!$C:$C,D6531+1))</f>
        <v/>
      </c>
      <c r="H6531" t="str">
        <f>IF(D6531="","",INDEX(Knutepunkter!$D:$D,D6531+1))</f>
        <v/>
      </c>
      <c r="I6531" t="str">
        <f>IF(E6531="","",INDEX(Knutepunkter!$B:$B,E6531+1))</f>
        <v/>
      </c>
      <c r="J6531" t="str">
        <f>IF(E6531="","",INDEX(Knutepunkter!$C:$C,E6531+1))</f>
        <v/>
      </c>
      <c r="K6531" t="str">
        <f>IF(E6531="","",INDEX(Knutepunkter!$D:$D,E6531+1))</f>
        <v/>
      </c>
      <c r="L6531" t="str">
        <f t="shared" si="513"/>
        <v/>
      </c>
      <c r="M6531" t="str">
        <f t="shared" si="514"/>
        <v/>
      </c>
    </row>
    <row r="6532" spans="1:13" x14ac:dyDescent="0.3">
      <c r="A6532" t="str">
        <f>Segmenter!A6532</f>
        <v/>
      </c>
      <c r="B6532" t="str">
        <f>Segmenter!B6532</f>
        <v/>
      </c>
      <c r="C6532" t="str">
        <f t="shared" si="510"/>
        <v/>
      </c>
      <c r="D6532" t="str">
        <f t="shared" si="511"/>
        <v/>
      </c>
      <c r="E6532" t="str">
        <f t="shared" si="512"/>
        <v/>
      </c>
      <c r="F6532" t="str">
        <f>IF(D6532="","",INDEX(Knutepunkter!$B:$B,D6532+1))</f>
        <v/>
      </c>
      <c r="G6532" t="str">
        <f>IF(D6532="","",INDEX(Knutepunkter!$C:$C,D6532+1))</f>
        <v/>
      </c>
      <c r="H6532" t="str">
        <f>IF(D6532="","",INDEX(Knutepunkter!$D:$D,D6532+1))</f>
        <v/>
      </c>
      <c r="I6532" t="str">
        <f>IF(E6532="","",INDEX(Knutepunkter!$B:$B,E6532+1))</f>
        <v/>
      </c>
      <c r="J6532" t="str">
        <f>IF(E6532="","",INDEX(Knutepunkter!$C:$C,E6532+1))</f>
        <v/>
      </c>
      <c r="K6532" t="str">
        <f>IF(E6532="","",INDEX(Knutepunkter!$D:$D,E6532+1))</f>
        <v/>
      </c>
      <c r="L6532" t="str">
        <f t="shared" si="513"/>
        <v/>
      </c>
      <c r="M6532" t="str">
        <f t="shared" si="514"/>
        <v/>
      </c>
    </row>
    <row r="6533" spans="1:13" x14ac:dyDescent="0.3">
      <c r="A6533" t="str">
        <f>Segmenter!A6533</f>
        <v/>
      </c>
      <c r="B6533" t="str">
        <f>Segmenter!B6533</f>
        <v/>
      </c>
      <c r="C6533" t="str">
        <f t="shared" si="510"/>
        <v/>
      </c>
      <c r="D6533" t="str">
        <f t="shared" si="511"/>
        <v/>
      </c>
      <c r="E6533" t="str">
        <f t="shared" si="512"/>
        <v/>
      </c>
      <c r="F6533" t="str">
        <f>IF(D6533="","",INDEX(Knutepunkter!$B:$B,D6533+1))</f>
        <v/>
      </c>
      <c r="G6533" t="str">
        <f>IF(D6533="","",INDEX(Knutepunkter!$C:$C,D6533+1))</f>
        <v/>
      </c>
      <c r="H6533" t="str">
        <f>IF(D6533="","",INDEX(Knutepunkter!$D:$D,D6533+1))</f>
        <v/>
      </c>
      <c r="I6533" t="str">
        <f>IF(E6533="","",INDEX(Knutepunkter!$B:$B,E6533+1))</f>
        <v/>
      </c>
      <c r="J6533" t="str">
        <f>IF(E6533="","",INDEX(Knutepunkter!$C:$C,E6533+1))</f>
        <v/>
      </c>
      <c r="K6533" t="str">
        <f>IF(E6533="","",INDEX(Knutepunkter!$D:$D,E6533+1))</f>
        <v/>
      </c>
      <c r="L6533" t="str">
        <f t="shared" si="513"/>
        <v/>
      </c>
      <c r="M6533" t="str">
        <f t="shared" si="514"/>
        <v/>
      </c>
    </row>
    <row r="6534" spans="1:13" x14ac:dyDescent="0.3">
      <c r="A6534" t="str">
        <f>Segmenter!A6534</f>
        <v/>
      </c>
      <c r="B6534" t="str">
        <f>Segmenter!B6534</f>
        <v/>
      </c>
      <c r="C6534" t="str">
        <f t="shared" si="510"/>
        <v/>
      </c>
      <c r="D6534" t="str">
        <f t="shared" si="511"/>
        <v/>
      </c>
      <c r="E6534" t="str">
        <f t="shared" si="512"/>
        <v/>
      </c>
      <c r="F6534" t="str">
        <f>IF(D6534="","",INDEX(Knutepunkter!$B:$B,D6534+1))</f>
        <v/>
      </c>
      <c r="G6534" t="str">
        <f>IF(D6534="","",INDEX(Knutepunkter!$C:$C,D6534+1))</f>
        <v/>
      </c>
      <c r="H6534" t="str">
        <f>IF(D6534="","",INDEX(Knutepunkter!$D:$D,D6534+1))</f>
        <v/>
      </c>
      <c r="I6534" t="str">
        <f>IF(E6534="","",INDEX(Knutepunkter!$B:$B,E6534+1))</f>
        <v/>
      </c>
      <c r="J6534" t="str">
        <f>IF(E6534="","",INDEX(Knutepunkter!$C:$C,E6534+1))</f>
        <v/>
      </c>
      <c r="K6534" t="str">
        <f>IF(E6534="","",INDEX(Knutepunkter!$D:$D,E6534+1))</f>
        <v/>
      </c>
      <c r="L6534" t="str">
        <f t="shared" si="513"/>
        <v/>
      </c>
      <c r="M6534" t="str">
        <f t="shared" si="514"/>
        <v/>
      </c>
    </row>
    <row r="6535" spans="1:13" x14ac:dyDescent="0.3">
      <c r="A6535" t="str">
        <f>Segmenter!A6535</f>
        <v/>
      </c>
      <c r="B6535" t="str">
        <f>Segmenter!B6535</f>
        <v/>
      </c>
      <c r="C6535" t="str">
        <f t="shared" si="510"/>
        <v/>
      </c>
      <c r="D6535" t="str">
        <f t="shared" si="511"/>
        <v/>
      </c>
      <c r="E6535" t="str">
        <f t="shared" si="512"/>
        <v/>
      </c>
      <c r="F6535" t="str">
        <f>IF(D6535="","",INDEX(Knutepunkter!$B:$B,D6535+1))</f>
        <v/>
      </c>
      <c r="G6535" t="str">
        <f>IF(D6535="","",INDEX(Knutepunkter!$C:$C,D6535+1))</f>
        <v/>
      </c>
      <c r="H6535" t="str">
        <f>IF(D6535="","",INDEX(Knutepunkter!$D:$D,D6535+1))</f>
        <v/>
      </c>
      <c r="I6535" t="str">
        <f>IF(E6535="","",INDEX(Knutepunkter!$B:$B,E6535+1))</f>
        <v/>
      </c>
      <c r="J6535" t="str">
        <f>IF(E6535="","",INDEX(Knutepunkter!$C:$C,E6535+1))</f>
        <v/>
      </c>
      <c r="K6535" t="str">
        <f>IF(E6535="","",INDEX(Knutepunkter!$D:$D,E6535+1))</f>
        <v/>
      </c>
      <c r="L6535" t="str">
        <f t="shared" si="513"/>
        <v/>
      </c>
      <c r="M6535" t="str">
        <f t="shared" si="514"/>
        <v/>
      </c>
    </row>
    <row r="6536" spans="1:13" x14ac:dyDescent="0.3">
      <c r="A6536" t="str">
        <f>Segmenter!A6536</f>
        <v/>
      </c>
      <c r="B6536" t="str">
        <f>Segmenter!B6536</f>
        <v/>
      </c>
      <c r="C6536" t="str">
        <f t="shared" si="510"/>
        <v/>
      </c>
      <c r="D6536" t="str">
        <f t="shared" si="511"/>
        <v/>
      </c>
      <c r="E6536" t="str">
        <f t="shared" si="512"/>
        <v/>
      </c>
      <c r="F6536" t="str">
        <f>IF(D6536="","",INDEX(Knutepunkter!$B:$B,D6536+1))</f>
        <v/>
      </c>
      <c r="G6536" t="str">
        <f>IF(D6536="","",INDEX(Knutepunkter!$C:$C,D6536+1))</f>
        <v/>
      </c>
      <c r="H6536" t="str">
        <f>IF(D6536="","",INDEX(Knutepunkter!$D:$D,D6536+1))</f>
        <v/>
      </c>
      <c r="I6536" t="str">
        <f>IF(E6536="","",INDEX(Knutepunkter!$B:$B,E6536+1))</f>
        <v/>
      </c>
      <c r="J6536" t="str">
        <f>IF(E6536="","",INDEX(Knutepunkter!$C:$C,E6536+1))</f>
        <v/>
      </c>
      <c r="K6536" t="str">
        <f>IF(E6536="","",INDEX(Knutepunkter!$D:$D,E6536+1))</f>
        <v/>
      </c>
      <c r="L6536" t="str">
        <f t="shared" si="513"/>
        <v/>
      </c>
      <c r="M6536" t="str">
        <f t="shared" si="514"/>
        <v/>
      </c>
    </row>
    <row r="6537" spans="1:13" x14ac:dyDescent="0.3">
      <c r="A6537" t="str">
        <f>Segmenter!A6537</f>
        <v/>
      </c>
      <c r="B6537" t="str">
        <f>Segmenter!B6537</f>
        <v/>
      </c>
      <c r="C6537" t="str">
        <f t="shared" si="510"/>
        <v/>
      </c>
      <c r="D6537" t="str">
        <f t="shared" si="511"/>
        <v/>
      </c>
      <c r="E6537" t="str">
        <f t="shared" si="512"/>
        <v/>
      </c>
      <c r="F6537" t="str">
        <f>IF(D6537="","",INDEX(Knutepunkter!$B:$B,D6537+1))</f>
        <v/>
      </c>
      <c r="G6537" t="str">
        <f>IF(D6537="","",INDEX(Knutepunkter!$C:$C,D6537+1))</f>
        <v/>
      </c>
      <c r="H6537" t="str">
        <f>IF(D6537="","",INDEX(Knutepunkter!$D:$D,D6537+1))</f>
        <v/>
      </c>
      <c r="I6537" t="str">
        <f>IF(E6537="","",INDEX(Knutepunkter!$B:$B,E6537+1))</f>
        <v/>
      </c>
      <c r="J6537" t="str">
        <f>IF(E6537="","",INDEX(Knutepunkter!$C:$C,E6537+1))</f>
        <v/>
      </c>
      <c r="K6537" t="str">
        <f>IF(E6537="","",INDEX(Knutepunkter!$D:$D,E6537+1))</f>
        <v/>
      </c>
      <c r="L6537" t="str">
        <f t="shared" si="513"/>
        <v/>
      </c>
      <c r="M6537" t="str">
        <f t="shared" si="514"/>
        <v/>
      </c>
    </row>
    <row r="6538" spans="1:13" x14ac:dyDescent="0.3">
      <c r="A6538" t="str">
        <f>Segmenter!A6538</f>
        <v/>
      </c>
      <c r="B6538" t="str">
        <f>Segmenter!B6538</f>
        <v/>
      </c>
      <c r="C6538" t="str">
        <f t="shared" si="510"/>
        <v/>
      </c>
      <c r="D6538" t="str">
        <f t="shared" si="511"/>
        <v/>
      </c>
      <c r="E6538" t="str">
        <f t="shared" si="512"/>
        <v/>
      </c>
      <c r="F6538" t="str">
        <f>IF(D6538="","",INDEX(Knutepunkter!$B:$B,D6538+1))</f>
        <v/>
      </c>
      <c r="G6538" t="str">
        <f>IF(D6538="","",INDEX(Knutepunkter!$C:$C,D6538+1))</f>
        <v/>
      </c>
      <c r="H6538" t="str">
        <f>IF(D6538="","",INDEX(Knutepunkter!$D:$D,D6538+1))</f>
        <v/>
      </c>
      <c r="I6538" t="str">
        <f>IF(E6538="","",INDEX(Knutepunkter!$B:$B,E6538+1))</f>
        <v/>
      </c>
      <c r="J6538" t="str">
        <f>IF(E6538="","",INDEX(Knutepunkter!$C:$C,E6538+1))</f>
        <v/>
      </c>
      <c r="K6538" t="str">
        <f>IF(E6538="","",INDEX(Knutepunkter!$D:$D,E6538+1))</f>
        <v/>
      </c>
      <c r="L6538" t="str">
        <f t="shared" si="513"/>
        <v/>
      </c>
      <c r="M6538" t="str">
        <f t="shared" si="514"/>
        <v/>
      </c>
    </row>
    <row r="6539" spans="1:13" x14ac:dyDescent="0.3">
      <c r="A6539" t="str">
        <f>Segmenter!A6539</f>
        <v/>
      </c>
      <c r="B6539" t="str">
        <f>Segmenter!B6539</f>
        <v/>
      </c>
      <c r="C6539" t="str">
        <f t="shared" si="510"/>
        <v/>
      </c>
      <c r="D6539" t="str">
        <f t="shared" si="511"/>
        <v/>
      </c>
      <c r="E6539" t="str">
        <f t="shared" si="512"/>
        <v/>
      </c>
      <c r="F6539" t="str">
        <f>IF(D6539="","",INDEX(Knutepunkter!$B:$B,D6539+1))</f>
        <v/>
      </c>
      <c r="G6539" t="str">
        <f>IF(D6539="","",INDEX(Knutepunkter!$C:$C,D6539+1))</f>
        <v/>
      </c>
      <c r="H6539" t="str">
        <f>IF(D6539="","",INDEX(Knutepunkter!$D:$D,D6539+1))</f>
        <v/>
      </c>
      <c r="I6539" t="str">
        <f>IF(E6539="","",INDEX(Knutepunkter!$B:$B,E6539+1))</f>
        <v/>
      </c>
      <c r="J6539" t="str">
        <f>IF(E6539="","",INDEX(Knutepunkter!$C:$C,E6539+1))</f>
        <v/>
      </c>
      <c r="K6539" t="str">
        <f>IF(E6539="","",INDEX(Knutepunkter!$D:$D,E6539+1))</f>
        <v/>
      </c>
      <c r="L6539" t="str">
        <f t="shared" si="513"/>
        <v/>
      </c>
      <c r="M6539" t="str">
        <f t="shared" si="514"/>
        <v/>
      </c>
    </row>
    <row r="6540" spans="1:13" x14ac:dyDescent="0.3">
      <c r="A6540" t="str">
        <f>Segmenter!A6540</f>
        <v/>
      </c>
      <c r="B6540" t="str">
        <f>Segmenter!B6540</f>
        <v/>
      </c>
      <c r="C6540" t="str">
        <f t="shared" si="510"/>
        <v/>
      </c>
      <c r="D6540" t="str">
        <f t="shared" si="511"/>
        <v/>
      </c>
      <c r="E6540" t="str">
        <f t="shared" si="512"/>
        <v/>
      </c>
      <c r="F6540" t="str">
        <f>IF(D6540="","",INDEX(Knutepunkter!$B:$B,D6540+1))</f>
        <v/>
      </c>
      <c r="G6540" t="str">
        <f>IF(D6540="","",INDEX(Knutepunkter!$C:$C,D6540+1))</f>
        <v/>
      </c>
      <c r="H6540" t="str">
        <f>IF(D6540="","",INDEX(Knutepunkter!$D:$D,D6540+1))</f>
        <v/>
      </c>
      <c r="I6540" t="str">
        <f>IF(E6540="","",INDEX(Knutepunkter!$B:$B,E6540+1))</f>
        <v/>
      </c>
      <c r="J6540" t="str">
        <f>IF(E6540="","",INDEX(Knutepunkter!$C:$C,E6540+1))</f>
        <v/>
      </c>
      <c r="K6540" t="str">
        <f>IF(E6540="","",INDEX(Knutepunkter!$D:$D,E6540+1))</f>
        <v/>
      </c>
      <c r="L6540" t="str">
        <f t="shared" si="513"/>
        <v/>
      </c>
      <c r="M6540" t="str">
        <f t="shared" si="514"/>
        <v/>
      </c>
    </row>
    <row r="6541" spans="1:13" x14ac:dyDescent="0.3">
      <c r="A6541" t="str">
        <f>Segmenter!A6541</f>
        <v/>
      </c>
      <c r="B6541" t="str">
        <f>Segmenter!B6541</f>
        <v/>
      </c>
      <c r="C6541" t="str">
        <f t="shared" si="510"/>
        <v/>
      </c>
      <c r="D6541" t="str">
        <f t="shared" si="511"/>
        <v/>
      </c>
      <c r="E6541" t="str">
        <f t="shared" si="512"/>
        <v/>
      </c>
      <c r="F6541" t="str">
        <f>IF(D6541="","",INDEX(Knutepunkter!$B:$B,D6541+1))</f>
        <v/>
      </c>
      <c r="G6541" t="str">
        <f>IF(D6541="","",INDEX(Knutepunkter!$C:$C,D6541+1))</f>
        <v/>
      </c>
      <c r="H6541" t="str">
        <f>IF(D6541="","",INDEX(Knutepunkter!$D:$D,D6541+1))</f>
        <v/>
      </c>
      <c r="I6541" t="str">
        <f>IF(E6541="","",INDEX(Knutepunkter!$B:$B,E6541+1))</f>
        <v/>
      </c>
      <c r="J6541" t="str">
        <f>IF(E6541="","",INDEX(Knutepunkter!$C:$C,E6541+1))</f>
        <v/>
      </c>
      <c r="K6541" t="str">
        <f>IF(E6541="","",INDEX(Knutepunkter!$D:$D,E6541+1))</f>
        <v/>
      </c>
      <c r="L6541" t="str">
        <f t="shared" si="513"/>
        <v/>
      </c>
      <c r="M6541" t="str">
        <f t="shared" si="514"/>
        <v/>
      </c>
    </row>
    <row r="6542" spans="1:13" x14ac:dyDescent="0.3">
      <c r="A6542" t="str">
        <f>Segmenter!A6542</f>
        <v/>
      </c>
      <c r="B6542" t="str">
        <f>Segmenter!B6542</f>
        <v/>
      </c>
      <c r="C6542" t="str">
        <f t="shared" si="510"/>
        <v/>
      </c>
      <c r="D6542" t="str">
        <f t="shared" si="511"/>
        <v/>
      </c>
      <c r="E6542" t="str">
        <f t="shared" si="512"/>
        <v/>
      </c>
      <c r="F6542" t="str">
        <f>IF(D6542="","",INDEX(Knutepunkter!$B:$B,D6542+1))</f>
        <v/>
      </c>
      <c r="G6542" t="str">
        <f>IF(D6542="","",INDEX(Knutepunkter!$C:$C,D6542+1))</f>
        <v/>
      </c>
      <c r="H6542" t="str">
        <f>IF(D6542="","",INDEX(Knutepunkter!$D:$D,D6542+1))</f>
        <v/>
      </c>
      <c r="I6542" t="str">
        <f>IF(E6542="","",INDEX(Knutepunkter!$B:$B,E6542+1))</f>
        <v/>
      </c>
      <c r="J6542" t="str">
        <f>IF(E6542="","",INDEX(Knutepunkter!$C:$C,E6542+1))</f>
        <v/>
      </c>
      <c r="K6542" t="str">
        <f>IF(E6542="","",INDEX(Knutepunkter!$D:$D,E6542+1))</f>
        <v/>
      </c>
      <c r="L6542" t="str">
        <f t="shared" si="513"/>
        <v/>
      </c>
      <c r="M6542" t="str">
        <f t="shared" si="514"/>
        <v/>
      </c>
    </row>
    <row r="6543" spans="1:13" x14ac:dyDescent="0.3">
      <c r="A6543" t="str">
        <f>Segmenter!A6543</f>
        <v/>
      </c>
      <c r="B6543" t="str">
        <f>Segmenter!B6543</f>
        <v/>
      </c>
      <c r="C6543" t="str">
        <f t="shared" si="510"/>
        <v/>
      </c>
      <c r="D6543" t="str">
        <f t="shared" si="511"/>
        <v/>
      </c>
      <c r="E6543" t="str">
        <f t="shared" si="512"/>
        <v/>
      </c>
      <c r="F6543" t="str">
        <f>IF(D6543="","",INDEX(Knutepunkter!$B:$B,D6543+1))</f>
        <v/>
      </c>
      <c r="G6543" t="str">
        <f>IF(D6543="","",INDEX(Knutepunkter!$C:$C,D6543+1))</f>
        <v/>
      </c>
      <c r="H6543" t="str">
        <f>IF(D6543="","",INDEX(Knutepunkter!$D:$D,D6543+1))</f>
        <v/>
      </c>
      <c r="I6543" t="str">
        <f>IF(E6543="","",INDEX(Knutepunkter!$B:$B,E6543+1))</f>
        <v/>
      </c>
      <c r="J6543" t="str">
        <f>IF(E6543="","",INDEX(Knutepunkter!$C:$C,E6543+1))</f>
        <v/>
      </c>
      <c r="K6543" t="str">
        <f>IF(E6543="","",INDEX(Knutepunkter!$D:$D,E6543+1))</f>
        <v/>
      </c>
      <c r="L6543" t="str">
        <f t="shared" si="513"/>
        <v/>
      </c>
      <c r="M6543" t="str">
        <f t="shared" si="514"/>
        <v/>
      </c>
    </row>
    <row r="6544" spans="1:13" x14ac:dyDescent="0.3">
      <c r="A6544" t="str">
        <f>Segmenter!A6544</f>
        <v/>
      </c>
      <c r="B6544" t="str">
        <f>Segmenter!B6544</f>
        <v/>
      </c>
      <c r="C6544" t="str">
        <f t="shared" si="510"/>
        <v/>
      </c>
      <c r="D6544" t="str">
        <f t="shared" si="511"/>
        <v/>
      </c>
      <c r="E6544" t="str">
        <f t="shared" si="512"/>
        <v/>
      </c>
      <c r="F6544" t="str">
        <f>IF(D6544="","",INDEX(Knutepunkter!$B:$B,D6544+1))</f>
        <v/>
      </c>
      <c r="G6544" t="str">
        <f>IF(D6544="","",INDEX(Knutepunkter!$C:$C,D6544+1))</f>
        <v/>
      </c>
      <c r="H6544" t="str">
        <f>IF(D6544="","",INDEX(Knutepunkter!$D:$D,D6544+1))</f>
        <v/>
      </c>
      <c r="I6544" t="str">
        <f>IF(E6544="","",INDEX(Knutepunkter!$B:$B,E6544+1))</f>
        <v/>
      </c>
      <c r="J6544" t="str">
        <f>IF(E6544="","",INDEX(Knutepunkter!$C:$C,E6544+1))</f>
        <v/>
      </c>
      <c r="K6544" t="str">
        <f>IF(E6544="","",INDEX(Knutepunkter!$D:$D,E6544+1))</f>
        <v/>
      </c>
      <c r="L6544" t="str">
        <f t="shared" si="513"/>
        <v/>
      </c>
      <c r="M6544" t="str">
        <f t="shared" si="514"/>
        <v/>
      </c>
    </row>
    <row r="6545" spans="1:13" x14ac:dyDescent="0.3">
      <c r="A6545" t="str">
        <f>Segmenter!A6545</f>
        <v/>
      </c>
      <c r="B6545" t="str">
        <f>Segmenter!B6545</f>
        <v/>
      </c>
      <c r="C6545" t="str">
        <f t="shared" si="510"/>
        <v/>
      </c>
      <c r="D6545" t="str">
        <f t="shared" si="511"/>
        <v/>
      </c>
      <c r="E6545" t="str">
        <f t="shared" si="512"/>
        <v/>
      </c>
      <c r="F6545" t="str">
        <f>IF(D6545="","",INDEX(Knutepunkter!$B:$B,D6545+1))</f>
        <v/>
      </c>
      <c r="G6545" t="str">
        <f>IF(D6545="","",INDEX(Knutepunkter!$C:$C,D6545+1))</f>
        <v/>
      </c>
      <c r="H6545" t="str">
        <f>IF(D6545="","",INDEX(Knutepunkter!$D:$D,D6545+1))</f>
        <v/>
      </c>
      <c r="I6545" t="str">
        <f>IF(E6545="","",INDEX(Knutepunkter!$B:$B,E6545+1))</f>
        <v/>
      </c>
      <c r="J6545" t="str">
        <f>IF(E6545="","",INDEX(Knutepunkter!$C:$C,E6545+1))</f>
        <v/>
      </c>
      <c r="K6545" t="str">
        <f>IF(E6545="","",INDEX(Knutepunkter!$D:$D,E6545+1))</f>
        <v/>
      </c>
      <c r="L6545" t="str">
        <f t="shared" si="513"/>
        <v/>
      </c>
      <c r="M6545" t="str">
        <f t="shared" si="514"/>
        <v/>
      </c>
    </row>
    <row r="6546" spans="1:13" x14ac:dyDescent="0.3">
      <c r="A6546" t="str">
        <f>Segmenter!A6546</f>
        <v/>
      </c>
      <c r="B6546" t="str">
        <f>Segmenter!B6546</f>
        <v/>
      </c>
      <c r="C6546" t="str">
        <f t="shared" si="510"/>
        <v/>
      </c>
      <c r="D6546" t="str">
        <f t="shared" si="511"/>
        <v/>
      </c>
      <c r="E6546" t="str">
        <f t="shared" si="512"/>
        <v/>
      </c>
      <c r="F6546" t="str">
        <f>IF(D6546="","",INDEX(Knutepunkter!$B:$B,D6546+1))</f>
        <v/>
      </c>
      <c r="G6546" t="str">
        <f>IF(D6546="","",INDEX(Knutepunkter!$C:$C,D6546+1))</f>
        <v/>
      </c>
      <c r="H6546" t="str">
        <f>IF(D6546="","",INDEX(Knutepunkter!$D:$D,D6546+1))</f>
        <v/>
      </c>
      <c r="I6546" t="str">
        <f>IF(E6546="","",INDEX(Knutepunkter!$B:$B,E6546+1))</f>
        <v/>
      </c>
      <c r="J6546" t="str">
        <f>IF(E6546="","",INDEX(Knutepunkter!$C:$C,E6546+1))</f>
        <v/>
      </c>
      <c r="K6546" t="str">
        <f>IF(E6546="","",INDEX(Knutepunkter!$D:$D,E6546+1))</f>
        <v/>
      </c>
      <c r="L6546" t="str">
        <f t="shared" si="513"/>
        <v/>
      </c>
      <c r="M6546" t="str">
        <f t="shared" si="514"/>
        <v/>
      </c>
    </row>
    <row r="6547" spans="1:13" x14ac:dyDescent="0.3">
      <c r="A6547" t="str">
        <f>Segmenter!A6547</f>
        <v/>
      </c>
      <c r="B6547" t="str">
        <f>Segmenter!B6547</f>
        <v/>
      </c>
      <c r="C6547" t="str">
        <f t="shared" si="510"/>
        <v/>
      </c>
      <c r="D6547" t="str">
        <f t="shared" si="511"/>
        <v/>
      </c>
      <c r="E6547" t="str">
        <f t="shared" si="512"/>
        <v/>
      </c>
      <c r="F6547" t="str">
        <f>IF(D6547="","",INDEX(Knutepunkter!$B:$B,D6547+1))</f>
        <v/>
      </c>
      <c r="G6547" t="str">
        <f>IF(D6547="","",INDEX(Knutepunkter!$C:$C,D6547+1))</f>
        <v/>
      </c>
      <c r="H6547" t="str">
        <f>IF(D6547="","",INDEX(Knutepunkter!$D:$D,D6547+1))</f>
        <v/>
      </c>
      <c r="I6547" t="str">
        <f>IF(E6547="","",INDEX(Knutepunkter!$B:$B,E6547+1))</f>
        <v/>
      </c>
      <c r="J6547" t="str">
        <f>IF(E6547="","",INDEX(Knutepunkter!$C:$C,E6547+1))</f>
        <v/>
      </c>
      <c r="K6547" t="str">
        <f>IF(E6547="","",INDEX(Knutepunkter!$D:$D,E6547+1))</f>
        <v/>
      </c>
      <c r="L6547" t="str">
        <f t="shared" si="513"/>
        <v/>
      </c>
      <c r="M6547" t="str">
        <f t="shared" si="514"/>
        <v/>
      </c>
    </row>
    <row r="6548" spans="1:13" x14ac:dyDescent="0.3">
      <c r="A6548" t="str">
        <f>Segmenter!A6548</f>
        <v/>
      </c>
      <c r="B6548" t="str">
        <f>Segmenter!B6548</f>
        <v/>
      </c>
      <c r="C6548" t="str">
        <f t="shared" si="510"/>
        <v/>
      </c>
      <c r="D6548" t="str">
        <f t="shared" si="511"/>
        <v/>
      </c>
      <c r="E6548" t="str">
        <f t="shared" si="512"/>
        <v/>
      </c>
      <c r="F6548" t="str">
        <f>IF(D6548="","",INDEX(Knutepunkter!$B:$B,D6548+1))</f>
        <v/>
      </c>
      <c r="G6548" t="str">
        <f>IF(D6548="","",INDEX(Knutepunkter!$C:$C,D6548+1))</f>
        <v/>
      </c>
      <c r="H6548" t="str">
        <f>IF(D6548="","",INDEX(Knutepunkter!$D:$D,D6548+1))</f>
        <v/>
      </c>
      <c r="I6548" t="str">
        <f>IF(E6548="","",INDEX(Knutepunkter!$B:$B,E6548+1))</f>
        <v/>
      </c>
      <c r="J6548" t="str">
        <f>IF(E6548="","",INDEX(Knutepunkter!$C:$C,E6548+1))</f>
        <v/>
      </c>
      <c r="K6548" t="str">
        <f>IF(E6548="","",INDEX(Knutepunkter!$D:$D,E6548+1))</f>
        <v/>
      </c>
      <c r="L6548" t="str">
        <f t="shared" si="513"/>
        <v/>
      </c>
      <c r="M6548" t="str">
        <f t="shared" si="514"/>
        <v/>
      </c>
    </row>
    <row r="6549" spans="1:13" x14ac:dyDescent="0.3">
      <c r="A6549" t="str">
        <f>Segmenter!A6549</f>
        <v/>
      </c>
      <c r="B6549" t="str">
        <f>Segmenter!B6549</f>
        <v/>
      </c>
      <c r="C6549" t="str">
        <f t="shared" si="510"/>
        <v/>
      </c>
      <c r="D6549" t="str">
        <f t="shared" si="511"/>
        <v/>
      </c>
      <c r="E6549" t="str">
        <f t="shared" si="512"/>
        <v/>
      </c>
      <c r="F6549" t="str">
        <f>IF(D6549="","",INDEX(Knutepunkter!$B:$B,D6549+1))</f>
        <v/>
      </c>
      <c r="G6549" t="str">
        <f>IF(D6549="","",INDEX(Knutepunkter!$C:$C,D6549+1))</f>
        <v/>
      </c>
      <c r="H6549" t="str">
        <f>IF(D6549="","",INDEX(Knutepunkter!$D:$D,D6549+1))</f>
        <v/>
      </c>
      <c r="I6549" t="str">
        <f>IF(E6549="","",INDEX(Knutepunkter!$B:$B,E6549+1))</f>
        <v/>
      </c>
      <c r="J6549" t="str">
        <f>IF(E6549="","",INDEX(Knutepunkter!$C:$C,E6549+1))</f>
        <v/>
      </c>
      <c r="K6549" t="str">
        <f>IF(E6549="","",INDEX(Knutepunkter!$D:$D,E6549+1))</f>
        <v/>
      </c>
      <c r="L6549" t="str">
        <f t="shared" si="513"/>
        <v/>
      </c>
      <c r="M6549" t="str">
        <f t="shared" si="514"/>
        <v/>
      </c>
    </row>
    <row r="6550" spans="1:13" x14ac:dyDescent="0.3">
      <c r="A6550" t="str">
        <f>Segmenter!A6550</f>
        <v/>
      </c>
      <c r="B6550" t="str">
        <f>Segmenter!B6550</f>
        <v/>
      </c>
      <c r="C6550" t="str">
        <f t="shared" si="510"/>
        <v/>
      </c>
      <c r="D6550" t="str">
        <f t="shared" si="511"/>
        <v/>
      </c>
      <c r="E6550" t="str">
        <f t="shared" si="512"/>
        <v/>
      </c>
      <c r="F6550" t="str">
        <f>IF(D6550="","",INDEX(Knutepunkter!$B:$B,D6550+1))</f>
        <v/>
      </c>
      <c r="G6550" t="str">
        <f>IF(D6550="","",INDEX(Knutepunkter!$C:$C,D6550+1))</f>
        <v/>
      </c>
      <c r="H6550" t="str">
        <f>IF(D6550="","",INDEX(Knutepunkter!$D:$D,D6550+1))</f>
        <v/>
      </c>
      <c r="I6550" t="str">
        <f>IF(E6550="","",INDEX(Knutepunkter!$B:$B,E6550+1))</f>
        <v/>
      </c>
      <c r="J6550" t="str">
        <f>IF(E6550="","",INDEX(Knutepunkter!$C:$C,E6550+1))</f>
        <v/>
      </c>
      <c r="K6550" t="str">
        <f>IF(E6550="","",INDEX(Knutepunkter!$D:$D,E6550+1))</f>
        <v/>
      </c>
      <c r="L6550" t="str">
        <f t="shared" si="513"/>
        <v/>
      </c>
      <c r="M6550" t="str">
        <f t="shared" si="514"/>
        <v/>
      </c>
    </row>
    <row r="6551" spans="1:13" x14ac:dyDescent="0.3">
      <c r="A6551" t="str">
        <f>Segmenter!A6551</f>
        <v/>
      </c>
      <c r="B6551" t="str">
        <f>Segmenter!B6551</f>
        <v/>
      </c>
      <c r="C6551" t="str">
        <f t="shared" si="510"/>
        <v/>
      </c>
      <c r="D6551" t="str">
        <f t="shared" si="511"/>
        <v/>
      </c>
      <c r="E6551" t="str">
        <f t="shared" si="512"/>
        <v/>
      </c>
      <c r="F6551" t="str">
        <f>IF(D6551="","",INDEX(Knutepunkter!$B:$B,D6551+1))</f>
        <v/>
      </c>
      <c r="G6551" t="str">
        <f>IF(D6551="","",INDEX(Knutepunkter!$C:$C,D6551+1))</f>
        <v/>
      </c>
      <c r="H6551" t="str">
        <f>IF(D6551="","",INDEX(Knutepunkter!$D:$D,D6551+1))</f>
        <v/>
      </c>
      <c r="I6551" t="str">
        <f>IF(E6551="","",INDEX(Knutepunkter!$B:$B,E6551+1))</f>
        <v/>
      </c>
      <c r="J6551" t="str">
        <f>IF(E6551="","",INDEX(Knutepunkter!$C:$C,E6551+1))</f>
        <v/>
      </c>
      <c r="K6551" t="str">
        <f>IF(E6551="","",INDEX(Knutepunkter!$D:$D,E6551+1))</f>
        <v/>
      </c>
      <c r="L6551" t="str">
        <f t="shared" si="513"/>
        <v/>
      </c>
      <c r="M6551" t="str">
        <f t="shared" si="514"/>
        <v/>
      </c>
    </row>
    <row r="6552" spans="1:13" x14ac:dyDescent="0.3">
      <c r="A6552" t="str">
        <f>Segmenter!A6552</f>
        <v/>
      </c>
      <c r="B6552" t="str">
        <f>Segmenter!B6552</f>
        <v/>
      </c>
      <c r="C6552" t="str">
        <f t="shared" si="510"/>
        <v/>
      </c>
      <c r="D6552" t="str">
        <f t="shared" si="511"/>
        <v/>
      </c>
      <c r="E6552" t="str">
        <f t="shared" si="512"/>
        <v/>
      </c>
      <c r="F6552" t="str">
        <f>IF(D6552="","",INDEX(Knutepunkter!$B:$B,D6552+1))</f>
        <v/>
      </c>
      <c r="G6552" t="str">
        <f>IF(D6552="","",INDEX(Knutepunkter!$C:$C,D6552+1))</f>
        <v/>
      </c>
      <c r="H6552" t="str">
        <f>IF(D6552="","",INDEX(Knutepunkter!$D:$D,D6552+1))</f>
        <v/>
      </c>
      <c r="I6552" t="str">
        <f>IF(E6552="","",INDEX(Knutepunkter!$B:$B,E6552+1))</f>
        <v/>
      </c>
      <c r="J6552" t="str">
        <f>IF(E6552="","",INDEX(Knutepunkter!$C:$C,E6552+1))</f>
        <v/>
      </c>
      <c r="K6552" t="str">
        <f>IF(E6552="","",INDEX(Knutepunkter!$D:$D,E6552+1))</f>
        <v/>
      </c>
      <c r="L6552" t="str">
        <f t="shared" si="513"/>
        <v/>
      </c>
      <c r="M6552" t="str">
        <f t="shared" si="514"/>
        <v/>
      </c>
    </row>
    <row r="6553" spans="1:13" x14ac:dyDescent="0.3">
      <c r="A6553" t="str">
        <f>Segmenter!A6553</f>
        <v/>
      </c>
      <c r="B6553" t="str">
        <f>Segmenter!B6553</f>
        <v/>
      </c>
      <c r="C6553" t="str">
        <f t="shared" si="510"/>
        <v/>
      </c>
      <c r="D6553" t="str">
        <f t="shared" si="511"/>
        <v/>
      </c>
      <c r="E6553" t="str">
        <f t="shared" si="512"/>
        <v/>
      </c>
      <c r="F6553" t="str">
        <f>IF(D6553="","",INDEX(Knutepunkter!$B:$B,D6553+1))</f>
        <v/>
      </c>
      <c r="G6553" t="str">
        <f>IF(D6553="","",INDEX(Knutepunkter!$C:$C,D6553+1))</f>
        <v/>
      </c>
      <c r="H6553" t="str">
        <f>IF(D6553="","",INDEX(Knutepunkter!$D:$D,D6553+1))</f>
        <v/>
      </c>
      <c r="I6553" t="str">
        <f>IF(E6553="","",INDEX(Knutepunkter!$B:$B,E6553+1))</f>
        <v/>
      </c>
      <c r="J6553" t="str">
        <f>IF(E6553="","",INDEX(Knutepunkter!$C:$C,E6553+1))</f>
        <v/>
      </c>
      <c r="K6553" t="str">
        <f>IF(E6553="","",INDEX(Knutepunkter!$D:$D,E6553+1))</f>
        <v/>
      </c>
      <c r="L6553" t="str">
        <f t="shared" si="513"/>
        <v/>
      </c>
      <c r="M6553" t="str">
        <f t="shared" si="514"/>
        <v/>
      </c>
    </row>
    <row r="6554" spans="1:13" x14ac:dyDescent="0.3">
      <c r="A6554" t="str">
        <f>Segmenter!A6554</f>
        <v/>
      </c>
      <c r="B6554" t="str">
        <f>Segmenter!B6554</f>
        <v/>
      </c>
      <c r="C6554" t="str">
        <f t="shared" si="510"/>
        <v/>
      </c>
      <c r="D6554" t="str">
        <f t="shared" si="511"/>
        <v/>
      </c>
      <c r="E6554" t="str">
        <f t="shared" si="512"/>
        <v/>
      </c>
      <c r="F6554" t="str">
        <f>IF(D6554="","",INDEX(Knutepunkter!$B:$B,D6554+1))</f>
        <v/>
      </c>
      <c r="G6554" t="str">
        <f>IF(D6554="","",INDEX(Knutepunkter!$C:$C,D6554+1))</f>
        <v/>
      </c>
      <c r="H6554" t="str">
        <f>IF(D6554="","",INDEX(Knutepunkter!$D:$D,D6554+1))</f>
        <v/>
      </c>
      <c r="I6554" t="str">
        <f>IF(E6554="","",INDEX(Knutepunkter!$B:$B,E6554+1))</f>
        <v/>
      </c>
      <c r="J6554" t="str">
        <f>IF(E6554="","",INDEX(Knutepunkter!$C:$C,E6554+1))</f>
        <v/>
      </c>
      <c r="K6554" t="str">
        <f>IF(E6554="","",INDEX(Knutepunkter!$D:$D,E6554+1))</f>
        <v/>
      </c>
      <c r="L6554" t="str">
        <f t="shared" si="513"/>
        <v/>
      </c>
      <c r="M6554" t="str">
        <f t="shared" si="514"/>
        <v/>
      </c>
    </row>
    <row r="6555" spans="1:13" x14ac:dyDescent="0.3">
      <c r="A6555" t="str">
        <f>Segmenter!A6555</f>
        <v/>
      </c>
      <c r="B6555" t="str">
        <f>Segmenter!B6555</f>
        <v/>
      </c>
      <c r="C6555" t="str">
        <f t="shared" si="510"/>
        <v/>
      </c>
      <c r="D6555" t="str">
        <f t="shared" si="511"/>
        <v/>
      </c>
      <c r="E6555" t="str">
        <f t="shared" si="512"/>
        <v/>
      </c>
      <c r="F6555" t="str">
        <f>IF(D6555="","",INDEX(Knutepunkter!$B:$B,D6555+1))</f>
        <v/>
      </c>
      <c r="G6555" t="str">
        <f>IF(D6555="","",INDEX(Knutepunkter!$C:$C,D6555+1))</f>
        <v/>
      </c>
      <c r="H6555" t="str">
        <f>IF(D6555="","",INDEX(Knutepunkter!$D:$D,D6555+1))</f>
        <v/>
      </c>
      <c r="I6555" t="str">
        <f>IF(E6555="","",INDEX(Knutepunkter!$B:$B,E6555+1))</f>
        <v/>
      </c>
      <c r="J6555" t="str">
        <f>IF(E6555="","",INDEX(Knutepunkter!$C:$C,E6555+1))</f>
        <v/>
      </c>
      <c r="K6555" t="str">
        <f>IF(E6555="","",INDEX(Knutepunkter!$D:$D,E6555+1))</f>
        <v/>
      </c>
      <c r="L6555" t="str">
        <f t="shared" si="513"/>
        <v/>
      </c>
      <c r="M6555" t="str">
        <f t="shared" si="514"/>
        <v/>
      </c>
    </row>
    <row r="6556" spans="1:13" x14ac:dyDescent="0.3">
      <c r="A6556" t="str">
        <f>Segmenter!A6556</f>
        <v/>
      </c>
      <c r="B6556" t="str">
        <f>Segmenter!B6556</f>
        <v/>
      </c>
      <c r="C6556" t="str">
        <f t="shared" si="510"/>
        <v/>
      </c>
      <c r="D6556" t="str">
        <f t="shared" si="511"/>
        <v/>
      </c>
      <c r="E6556" t="str">
        <f t="shared" si="512"/>
        <v/>
      </c>
      <c r="F6556" t="str">
        <f>IF(D6556="","",INDEX(Knutepunkter!$B:$B,D6556+1))</f>
        <v/>
      </c>
      <c r="G6556" t="str">
        <f>IF(D6556="","",INDEX(Knutepunkter!$C:$C,D6556+1))</f>
        <v/>
      </c>
      <c r="H6556" t="str">
        <f>IF(D6556="","",INDEX(Knutepunkter!$D:$D,D6556+1))</f>
        <v/>
      </c>
      <c r="I6556" t="str">
        <f>IF(E6556="","",INDEX(Knutepunkter!$B:$B,E6556+1))</f>
        <v/>
      </c>
      <c r="J6556" t="str">
        <f>IF(E6556="","",INDEX(Knutepunkter!$C:$C,E6556+1))</f>
        <v/>
      </c>
      <c r="K6556" t="str">
        <f>IF(E6556="","",INDEX(Knutepunkter!$D:$D,E6556+1))</f>
        <v/>
      </c>
      <c r="L6556" t="str">
        <f t="shared" si="513"/>
        <v/>
      </c>
      <c r="M6556" t="str">
        <f t="shared" si="514"/>
        <v/>
      </c>
    </row>
    <row r="6557" spans="1:13" x14ac:dyDescent="0.3">
      <c r="A6557" t="str">
        <f>Segmenter!A6557</f>
        <v/>
      </c>
      <c r="B6557" t="str">
        <f>Segmenter!B6557</f>
        <v/>
      </c>
      <c r="C6557" t="str">
        <f t="shared" si="510"/>
        <v/>
      </c>
      <c r="D6557" t="str">
        <f t="shared" si="511"/>
        <v/>
      </c>
      <c r="E6557" t="str">
        <f t="shared" si="512"/>
        <v/>
      </c>
      <c r="F6557" t="str">
        <f>IF(D6557="","",INDEX(Knutepunkter!$B:$B,D6557+1))</f>
        <v/>
      </c>
      <c r="G6557" t="str">
        <f>IF(D6557="","",INDEX(Knutepunkter!$C:$C,D6557+1))</f>
        <v/>
      </c>
      <c r="H6557" t="str">
        <f>IF(D6557="","",INDEX(Knutepunkter!$D:$D,D6557+1))</f>
        <v/>
      </c>
      <c r="I6557" t="str">
        <f>IF(E6557="","",INDEX(Knutepunkter!$B:$B,E6557+1))</f>
        <v/>
      </c>
      <c r="J6557" t="str">
        <f>IF(E6557="","",INDEX(Knutepunkter!$C:$C,E6557+1))</f>
        <v/>
      </c>
      <c r="K6557" t="str">
        <f>IF(E6557="","",INDEX(Knutepunkter!$D:$D,E6557+1))</f>
        <v/>
      </c>
      <c r="L6557" t="str">
        <f t="shared" si="513"/>
        <v/>
      </c>
      <c r="M6557" t="str">
        <f t="shared" si="514"/>
        <v/>
      </c>
    </row>
    <row r="6558" spans="1:13" x14ac:dyDescent="0.3">
      <c r="A6558" t="str">
        <f>Segmenter!A6558</f>
        <v/>
      </c>
      <c r="B6558" t="str">
        <f>Segmenter!B6558</f>
        <v/>
      </c>
      <c r="C6558" t="str">
        <f t="shared" si="510"/>
        <v/>
      </c>
      <c r="D6558" t="str">
        <f t="shared" si="511"/>
        <v/>
      </c>
      <c r="E6558" t="str">
        <f t="shared" si="512"/>
        <v/>
      </c>
      <c r="F6558" t="str">
        <f>IF(D6558="","",INDEX(Knutepunkter!$B:$B,D6558+1))</f>
        <v/>
      </c>
      <c r="G6558" t="str">
        <f>IF(D6558="","",INDEX(Knutepunkter!$C:$C,D6558+1))</f>
        <v/>
      </c>
      <c r="H6558" t="str">
        <f>IF(D6558="","",INDEX(Knutepunkter!$D:$D,D6558+1))</f>
        <v/>
      </c>
      <c r="I6558" t="str">
        <f>IF(E6558="","",INDEX(Knutepunkter!$B:$B,E6558+1))</f>
        <v/>
      </c>
      <c r="J6558" t="str">
        <f>IF(E6558="","",INDEX(Knutepunkter!$C:$C,E6558+1))</f>
        <v/>
      </c>
      <c r="K6558" t="str">
        <f>IF(E6558="","",INDEX(Knutepunkter!$D:$D,E6558+1))</f>
        <v/>
      </c>
      <c r="L6558" t="str">
        <f t="shared" si="513"/>
        <v/>
      </c>
      <c r="M6558" t="str">
        <f t="shared" si="514"/>
        <v/>
      </c>
    </row>
    <row r="6559" spans="1:13" x14ac:dyDescent="0.3">
      <c r="A6559" t="str">
        <f>Segmenter!A6559</f>
        <v/>
      </c>
      <c r="B6559" t="str">
        <f>Segmenter!B6559</f>
        <v/>
      </c>
      <c r="C6559" t="str">
        <f t="shared" si="510"/>
        <v/>
      </c>
      <c r="D6559" t="str">
        <f t="shared" si="511"/>
        <v/>
      </c>
      <c r="E6559" t="str">
        <f t="shared" si="512"/>
        <v/>
      </c>
      <c r="F6559" t="str">
        <f>IF(D6559="","",INDEX(Knutepunkter!$B:$B,D6559+1))</f>
        <v/>
      </c>
      <c r="G6559" t="str">
        <f>IF(D6559="","",INDEX(Knutepunkter!$C:$C,D6559+1))</f>
        <v/>
      </c>
      <c r="H6559" t="str">
        <f>IF(D6559="","",INDEX(Knutepunkter!$D:$D,D6559+1))</f>
        <v/>
      </c>
      <c r="I6559" t="str">
        <f>IF(E6559="","",INDEX(Knutepunkter!$B:$B,E6559+1))</f>
        <v/>
      </c>
      <c r="J6559" t="str">
        <f>IF(E6559="","",INDEX(Knutepunkter!$C:$C,E6559+1))</f>
        <v/>
      </c>
      <c r="K6559" t="str">
        <f>IF(E6559="","",INDEX(Knutepunkter!$D:$D,E6559+1))</f>
        <v/>
      </c>
      <c r="L6559" t="str">
        <f t="shared" si="513"/>
        <v/>
      </c>
      <c r="M6559" t="str">
        <f t="shared" si="514"/>
        <v/>
      </c>
    </row>
    <row r="6560" spans="1:13" x14ac:dyDescent="0.3">
      <c r="A6560" t="str">
        <f>Segmenter!A6560</f>
        <v/>
      </c>
      <c r="B6560" t="str">
        <f>Segmenter!B6560</f>
        <v/>
      </c>
      <c r="C6560" t="str">
        <f t="shared" si="510"/>
        <v/>
      </c>
      <c r="D6560" t="str">
        <f t="shared" si="511"/>
        <v/>
      </c>
      <c r="E6560" t="str">
        <f t="shared" si="512"/>
        <v/>
      </c>
      <c r="F6560" t="str">
        <f>IF(D6560="","",INDEX(Knutepunkter!$B:$B,D6560+1))</f>
        <v/>
      </c>
      <c r="G6560" t="str">
        <f>IF(D6560="","",INDEX(Knutepunkter!$C:$C,D6560+1))</f>
        <v/>
      </c>
      <c r="H6560" t="str">
        <f>IF(D6560="","",INDEX(Knutepunkter!$D:$D,D6560+1))</f>
        <v/>
      </c>
      <c r="I6560" t="str">
        <f>IF(E6560="","",INDEX(Knutepunkter!$B:$B,E6560+1))</f>
        <v/>
      </c>
      <c r="J6560" t="str">
        <f>IF(E6560="","",INDEX(Knutepunkter!$C:$C,E6560+1))</f>
        <v/>
      </c>
      <c r="K6560" t="str">
        <f>IF(E6560="","",INDEX(Knutepunkter!$D:$D,E6560+1))</f>
        <v/>
      </c>
      <c r="L6560" t="str">
        <f t="shared" si="513"/>
        <v/>
      </c>
      <c r="M6560" t="str">
        <f t="shared" si="514"/>
        <v/>
      </c>
    </row>
    <row r="6561" spans="1:13" x14ac:dyDescent="0.3">
      <c r="A6561" t="str">
        <f>Segmenter!A6561</f>
        <v/>
      </c>
      <c r="B6561" t="str">
        <f>Segmenter!B6561</f>
        <v/>
      </c>
      <c r="C6561" t="str">
        <f t="shared" si="510"/>
        <v/>
      </c>
      <c r="D6561" t="str">
        <f t="shared" si="511"/>
        <v/>
      </c>
      <c r="E6561" t="str">
        <f t="shared" si="512"/>
        <v/>
      </c>
      <c r="F6561" t="str">
        <f>IF(D6561="","",INDEX(Knutepunkter!$B:$B,D6561+1))</f>
        <v/>
      </c>
      <c r="G6561" t="str">
        <f>IF(D6561="","",INDEX(Knutepunkter!$C:$C,D6561+1))</f>
        <v/>
      </c>
      <c r="H6561" t="str">
        <f>IF(D6561="","",INDEX(Knutepunkter!$D:$D,D6561+1))</f>
        <v/>
      </c>
      <c r="I6561" t="str">
        <f>IF(E6561="","",INDEX(Knutepunkter!$B:$B,E6561+1))</f>
        <v/>
      </c>
      <c r="J6561" t="str">
        <f>IF(E6561="","",INDEX(Knutepunkter!$C:$C,E6561+1))</f>
        <v/>
      </c>
      <c r="K6561" t="str">
        <f>IF(E6561="","",INDEX(Knutepunkter!$D:$D,E6561+1))</f>
        <v/>
      </c>
      <c r="L6561" t="str">
        <f t="shared" si="513"/>
        <v/>
      </c>
      <c r="M6561" t="str">
        <f t="shared" si="514"/>
        <v/>
      </c>
    </row>
    <row r="6562" spans="1:13" x14ac:dyDescent="0.3">
      <c r="A6562" t="str">
        <f>Segmenter!A6562</f>
        <v/>
      </c>
      <c r="B6562" t="str">
        <f>Segmenter!B6562</f>
        <v/>
      </c>
      <c r="C6562" t="str">
        <f t="shared" si="510"/>
        <v/>
      </c>
      <c r="D6562" t="str">
        <f t="shared" si="511"/>
        <v/>
      </c>
      <c r="E6562" t="str">
        <f t="shared" si="512"/>
        <v/>
      </c>
      <c r="F6562" t="str">
        <f>IF(D6562="","",INDEX(Knutepunkter!$B:$B,D6562+1))</f>
        <v/>
      </c>
      <c r="G6562" t="str">
        <f>IF(D6562="","",INDEX(Knutepunkter!$C:$C,D6562+1))</f>
        <v/>
      </c>
      <c r="H6562" t="str">
        <f>IF(D6562="","",INDEX(Knutepunkter!$D:$D,D6562+1))</f>
        <v/>
      </c>
      <c r="I6562" t="str">
        <f>IF(E6562="","",INDEX(Knutepunkter!$B:$B,E6562+1))</f>
        <v/>
      </c>
      <c r="J6562" t="str">
        <f>IF(E6562="","",INDEX(Knutepunkter!$C:$C,E6562+1))</f>
        <v/>
      </c>
      <c r="K6562" t="str">
        <f>IF(E6562="","",INDEX(Knutepunkter!$D:$D,E6562+1))</f>
        <v/>
      </c>
      <c r="L6562" t="str">
        <f t="shared" si="513"/>
        <v/>
      </c>
      <c r="M6562" t="str">
        <f t="shared" si="514"/>
        <v/>
      </c>
    </row>
    <row r="6563" spans="1:13" x14ac:dyDescent="0.3">
      <c r="A6563" t="str">
        <f>Segmenter!A6563</f>
        <v/>
      </c>
      <c r="B6563" t="str">
        <f>Segmenter!B6563</f>
        <v/>
      </c>
      <c r="C6563" t="str">
        <f t="shared" si="510"/>
        <v/>
      </c>
      <c r="D6563" t="str">
        <f t="shared" si="511"/>
        <v/>
      </c>
      <c r="E6563" t="str">
        <f t="shared" si="512"/>
        <v/>
      </c>
      <c r="F6563" t="str">
        <f>IF(D6563="","",INDEX(Knutepunkter!$B:$B,D6563+1))</f>
        <v/>
      </c>
      <c r="G6563" t="str">
        <f>IF(D6563="","",INDEX(Knutepunkter!$C:$C,D6563+1))</f>
        <v/>
      </c>
      <c r="H6563" t="str">
        <f>IF(D6563="","",INDEX(Knutepunkter!$D:$D,D6563+1))</f>
        <v/>
      </c>
      <c r="I6563" t="str">
        <f>IF(E6563="","",INDEX(Knutepunkter!$B:$B,E6563+1))</f>
        <v/>
      </c>
      <c r="J6563" t="str">
        <f>IF(E6563="","",INDEX(Knutepunkter!$C:$C,E6563+1))</f>
        <v/>
      </c>
      <c r="K6563" t="str">
        <f>IF(E6563="","",INDEX(Knutepunkter!$D:$D,E6563+1))</f>
        <v/>
      </c>
      <c r="L6563" t="str">
        <f t="shared" si="513"/>
        <v/>
      </c>
      <c r="M6563" t="str">
        <f t="shared" si="514"/>
        <v/>
      </c>
    </row>
    <row r="6564" spans="1:13" x14ac:dyDescent="0.3">
      <c r="A6564" t="str">
        <f>Segmenter!A6564</f>
        <v/>
      </c>
      <c r="B6564" t="str">
        <f>Segmenter!B6564</f>
        <v/>
      </c>
      <c r="C6564" t="str">
        <f t="shared" si="510"/>
        <v/>
      </c>
      <c r="D6564" t="str">
        <f t="shared" si="511"/>
        <v/>
      </c>
      <c r="E6564" t="str">
        <f t="shared" si="512"/>
        <v/>
      </c>
      <c r="F6564" t="str">
        <f>IF(D6564="","",INDEX(Knutepunkter!$B:$B,D6564+1))</f>
        <v/>
      </c>
      <c r="G6564" t="str">
        <f>IF(D6564="","",INDEX(Knutepunkter!$C:$C,D6564+1))</f>
        <v/>
      </c>
      <c r="H6564" t="str">
        <f>IF(D6564="","",INDEX(Knutepunkter!$D:$D,D6564+1))</f>
        <v/>
      </c>
      <c r="I6564" t="str">
        <f>IF(E6564="","",INDEX(Knutepunkter!$B:$B,E6564+1))</f>
        <v/>
      </c>
      <c r="J6564" t="str">
        <f>IF(E6564="","",INDEX(Knutepunkter!$C:$C,E6564+1))</f>
        <v/>
      </c>
      <c r="K6564" t="str">
        <f>IF(E6564="","",INDEX(Knutepunkter!$D:$D,E6564+1))</f>
        <v/>
      </c>
      <c r="L6564" t="str">
        <f t="shared" si="513"/>
        <v/>
      </c>
      <c r="M6564" t="str">
        <f t="shared" si="514"/>
        <v/>
      </c>
    </row>
    <row r="6565" spans="1:13" x14ac:dyDescent="0.3">
      <c r="A6565" t="str">
        <f>Segmenter!A6565</f>
        <v/>
      </c>
      <c r="B6565" t="str">
        <f>Segmenter!B6565</f>
        <v/>
      </c>
      <c r="C6565" t="str">
        <f t="shared" si="510"/>
        <v/>
      </c>
      <c r="D6565" t="str">
        <f t="shared" si="511"/>
        <v/>
      </c>
      <c r="E6565" t="str">
        <f t="shared" si="512"/>
        <v/>
      </c>
      <c r="F6565" t="str">
        <f>IF(D6565="","",INDEX(Knutepunkter!$B:$B,D6565+1))</f>
        <v/>
      </c>
      <c r="G6565" t="str">
        <f>IF(D6565="","",INDEX(Knutepunkter!$C:$C,D6565+1))</f>
        <v/>
      </c>
      <c r="H6565" t="str">
        <f>IF(D6565="","",INDEX(Knutepunkter!$D:$D,D6565+1))</f>
        <v/>
      </c>
      <c r="I6565" t="str">
        <f>IF(E6565="","",INDEX(Knutepunkter!$B:$B,E6565+1))</f>
        <v/>
      </c>
      <c r="J6565" t="str">
        <f>IF(E6565="","",INDEX(Knutepunkter!$C:$C,E6565+1))</f>
        <v/>
      </c>
      <c r="K6565" t="str">
        <f>IF(E6565="","",INDEX(Knutepunkter!$D:$D,E6565+1))</f>
        <v/>
      </c>
      <c r="L6565" t="str">
        <f t="shared" si="513"/>
        <v/>
      </c>
      <c r="M6565" t="str">
        <f t="shared" si="514"/>
        <v/>
      </c>
    </row>
    <row r="6566" spans="1:13" x14ac:dyDescent="0.3">
      <c r="A6566" t="str">
        <f>Segmenter!A6566</f>
        <v/>
      </c>
      <c r="B6566" t="str">
        <f>Segmenter!B6566</f>
        <v/>
      </c>
      <c r="C6566" t="str">
        <f t="shared" si="510"/>
        <v/>
      </c>
      <c r="D6566" t="str">
        <f t="shared" si="511"/>
        <v/>
      </c>
      <c r="E6566" t="str">
        <f t="shared" si="512"/>
        <v/>
      </c>
      <c r="F6566" t="str">
        <f>IF(D6566="","",INDEX(Knutepunkter!$B:$B,D6566+1))</f>
        <v/>
      </c>
      <c r="G6566" t="str">
        <f>IF(D6566="","",INDEX(Knutepunkter!$C:$C,D6566+1))</f>
        <v/>
      </c>
      <c r="H6566" t="str">
        <f>IF(D6566="","",INDEX(Knutepunkter!$D:$D,D6566+1))</f>
        <v/>
      </c>
      <c r="I6566" t="str">
        <f>IF(E6566="","",INDEX(Knutepunkter!$B:$B,E6566+1))</f>
        <v/>
      </c>
      <c r="J6566" t="str">
        <f>IF(E6566="","",INDEX(Knutepunkter!$C:$C,E6566+1))</f>
        <v/>
      </c>
      <c r="K6566" t="str">
        <f>IF(E6566="","",INDEX(Knutepunkter!$D:$D,E6566+1))</f>
        <v/>
      </c>
      <c r="L6566" t="str">
        <f t="shared" si="513"/>
        <v/>
      </c>
      <c r="M6566" t="str">
        <f t="shared" si="514"/>
        <v/>
      </c>
    </row>
    <row r="6567" spans="1:13" x14ac:dyDescent="0.3">
      <c r="A6567" t="str">
        <f>Segmenter!A6567</f>
        <v/>
      </c>
      <c r="B6567" t="str">
        <f>Segmenter!B6567</f>
        <v/>
      </c>
      <c r="C6567" t="str">
        <f t="shared" si="510"/>
        <v/>
      </c>
      <c r="D6567" t="str">
        <f t="shared" si="511"/>
        <v/>
      </c>
      <c r="E6567" t="str">
        <f t="shared" si="512"/>
        <v/>
      </c>
      <c r="F6567" t="str">
        <f>IF(D6567="","",INDEX(Knutepunkter!$B:$B,D6567+1))</f>
        <v/>
      </c>
      <c r="G6567" t="str">
        <f>IF(D6567="","",INDEX(Knutepunkter!$C:$C,D6567+1))</f>
        <v/>
      </c>
      <c r="H6567" t="str">
        <f>IF(D6567="","",INDEX(Knutepunkter!$D:$D,D6567+1))</f>
        <v/>
      </c>
      <c r="I6567" t="str">
        <f>IF(E6567="","",INDEX(Knutepunkter!$B:$B,E6567+1))</f>
        <v/>
      </c>
      <c r="J6567" t="str">
        <f>IF(E6567="","",INDEX(Knutepunkter!$C:$C,E6567+1))</f>
        <v/>
      </c>
      <c r="K6567" t="str">
        <f>IF(E6567="","",INDEX(Knutepunkter!$D:$D,E6567+1))</f>
        <v/>
      </c>
      <c r="L6567" t="str">
        <f t="shared" si="513"/>
        <v/>
      </c>
      <c r="M6567" t="str">
        <f t="shared" si="514"/>
        <v/>
      </c>
    </row>
    <row r="6568" spans="1:13" x14ac:dyDescent="0.3">
      <c r="A6568" t="str">
        <f>Segmenter!A6568</f>
        <v/>
      </c>
      <c r="B6568" t="str">
        <f>Segmenter!B6568</f>
        <v/>
      </c>
      <c r="C6568" t="str">
        <f t="shared" si="510"/>
        <v/>
      </c>
      <c r="D6568" t="str">
        <f t="shared" si="511"/>
        <v/>
      </c>
      <c r="E6568" t="str">
        <f t="shared" si="512"/>
        <v/>
      </c>
      <c r="F6568" t="str">
        <f>IF(D6568="","",INDEX(Knutepunkter!$B:$B,D6568+1))</f>
        <v/>
      </c>
      <c r="G6568" t="str">
        <f>IF(D6568="","",INDEX(Knutepunkter!$C:$C,D6568+1))</f>
        <v/>
      </c>
      <c r="H6568" t="str">
        <f>IF(D6568="","",INDEX(Knutepunkter!$D:$D,D6568+1))</f>
        <v/>
      </c>
      <c r="I6568" t="str">
        <f>IF(E6568="","",INDEX(Knutepunkter!$B:$B,E6568+1))</f>
        <v/>
      </c>
      <c r="J6568" t="str">
        <f>IF(E6568="","",INDEX(Knutepunkter!$C:$C,E6568+1))</f>
        <v/>
      </c>
      <c r="K6568" t="str">
        <f>IF(E6568="","",INDEX(Knutepunkter!$D:$D,E6568+1))</f>
        <v/>
      </c>
      <c r="L6568" t="str">
        <f t="shared" si="513"/>
        <v/>
      </c>
      <c r="M6568" t="str">
        <f t="shared" si="514"/>
        <v/>
      </c>
    </row>
    <row r="6569" spans="1:13" x14ac:dyDescent="0.3">
      <c r="A6569" t="str">
        <f>Segmenter!A6569</f>
        <v/>
      </c>
      <c r="B6569" t="str">
        <f>Segmenter!B6569</f>
        <v/>
      </c>
      <c r="C6569" t="str">
        <f t="shared" si="510"/>
        <v/>
      </c>
      <c r="D6569" t="str">
        <f t="shared" si="511"/>
        <v/>
      </c>
      <c r="E6569" t="str">
        <f t="shared" si="512"/>
        <v/>
      </c>
      <c r="F6569" t="str">
        <f>IF(D6569="","",INDEX(Knutepunkter!$B:$B,D6569+1))</f>
        <v/>
      </c>
      <c r="G6569" t="str">
        <f>IF(D6569="","",INDEX(Knutepunkter!$C:$C,D6569+1))</f>
        <v/>
      </c>
      <c r="H6569" t="str">
        <f>IF(D6569="","",INDEX(Knutepunkter!$D:$D,D6569+1))</f>
        <v/>
      </c>
      <c r="I6569" t="str">
        <f>IF(E6569="","",INDEX(Knutepunkter!$B:$B,E6569+1))</f>
        <v/>
      </c>
      <c r="J6569" t="str">
        <f>IF(E6569="","",INDEX(Knutepunkter!$C:$C,E6569+1))</f>
        <v/>
      </c>
      <c r="K6569" t="str">
        <f>IF(E6569="","",INDEX(Knutepunkter!$D:$D,E6569+1))</f>
        <v/>
      </c>
      <c r="L6569" t="str">
        <f t="shared" si="513"/>
        <v/>
      </c>
      <c r="M6569" t="str">
        <f t="shared" si="514"/>
        <v/>
      </c>
    </row>
    <row r="6570" spans="1:13" x14ac:dyDescent="0.3">
      <c r="A6570" t="str">
        <f>Segmenter!A6570</f>
        <v/>
      </c>
      <c r="B6570" t="str">
        <f>Segmenter!B6570</f>
        <v/>
      </c>
      <c r="C6570" t="str">
        <f t="shared" si="510"/>
        <v/>
      </c>
      <c r="D6570" t="str">
        <f t="shared" si="511"/>
        <v/>
      </c>
      <c r="E6570" t="str">
        <f t="shared" si="512"/>
        <v/>
      </c>
      <c r="F6570" t="str">
        <f>IF(D6570="","",INDEX(Knutepunkter!$B:$B,D6570+1))</f>
        <v/>
      </c>
      <c r="G6570" t="str">
        <f>IF(D6570="","",INDEX(Knutepunkter!$C:$C,D6570+1))</f>
        <v/>
      </c>
      <c r="H6570" t="str">
        <f>IF(D6570="","",INDEX(Knutepunkter!$D:$D,D6570+1))</f>
        <v/>
      </c>
      <c r="I6570" t="str">
        <f>IF(E6570="","",INDEX(Knutepunkter!$B:$B,E6570+1))</f>
        <v/>
      </c>
      <c r="J6570" t="str">
        <f>IF(E6570="","",INDEX(Knutepunkter!$C:$C,E6570+1))</f>
        <v/>
      </c>
      <c r="K6570" t="str">
        <f>IF(E6570="","",INDEX(Knutepunkter!$D:$D,E6570+1))</f>
        <v/>
      </c>
      <c r="L6570" t="str">
        <f t="shared" si="513"/>
        <v/>
      </c>
      <c r="M6570" t="str">
        <f t="shared" si="514"/>
        <v/>
      </c>
    </row>
    <row r="6571" spans="1:13" x14ac:dyDescent="0.3">
      <c r="A6571" t="str">
        <f>Segmenter!A6571</f>
        <v/>
      </c>
      <c r="B6571" t="str">
        <f>Segmenter!B6571</f>
        <v/>
      </c>
      <c r="C6571" t="str">
        <f t="shared" si="510"/>
        <v/>
      </c>
      <c r="D6571" t="str">
        <f t="shared" si="511"/>
        <v/>
      </c>
      <c r="E6571" t="str">
        <f t="shared" si="512"/>
        <v/>
      </c>
      <c r="F6571" t="str">
        <f>IF(D6571="","",INDEX(Knutepunkter!$B:$B,D6571+1))</f>
        <v/>
      </c>
      <c r="G6571" t="str">
        <f>IF(D6571="","",INDEX(Knutepunkter!$C:$C,D6571+1))</f>
        <v/>
      </c>
      <c r="H6571" t="str">
        <f>IF(D6571="","",INDEX(Knutepunkter!$D:$D,D6571+1))</f>
        <v/>
      </c>
      <c r="I6571" t="str">
        <f>IF(E6571="","",INDEX(Knutepunkter!$B:$B,E6571+1))</f>
        <v/>
      </c>
      <c r="J6571" t="str">
        <f>IF(E6571="","",INDEX(Knutepunkter!$C:$C,E6571+1))</f>
        <v/>
      </c>
      <c r="K6571" t="str">
        <f>IF(E6571="","",INDEX(Knutepunkter!$D:$D,E6571+1))</f>
        <v/>
      </c>
      <c r="L6571" t="str">
        <f t="shared" si="513"/>
        <v/>
      </c>
      <c r="M6571" t="str">
        <f t="shared" si="514"/>
        <v/>
      </c>
    </row>
    <row r="6572" spans="1:13" x14ac:dyDescent="0.3">
      <c r="A6572" t="str">
        <f>Segmenter!A6572</f>
        <v/>
      </c>
      <c r="B6572" t="str">
        <f>Segmenter!B6572</f>
        <v/>
      </c>
      <c r="C6572" t="str">
        <f t="shared" si="510"/>
        <v/>
      </c>
      <c r="D6572" t="str">
        <f t="shared" si="511"/>
        <v/>
      </c>
      <c r="E6572" t="str">
        <f t="shared" si="512"/>
        <v/>
      </c>
      <c r="F6572" t="str">
        <f>IF(D6572="","",INDEX(Knutepunkter!$B:$B,D6572+1))</f>
        <v/>
      </c>
      <c r="G6572" t="str">
        <f>IF(D6572="","",INDEX(Knutepunkter!$C:$C,D6572+1))</f>
        <v/>
      </c>
      <c r="H6572" t="str">
        <f>IF(D6572="","",INDEX(Knutepunkter!$D:$D,D6572+1))</f>
        <v/>
      </c>
      <c r="I6572" t="str">
        <f>IF(E6572="","",INDEX(Knutepunkter!$B:$B,E6572+1))</f>
        <v/>
      </c>
      <c r="J6572" t="str">
        <f>IF(E6572="","",INDEX(Knutepunkter!$C:$C,E6572+1))</f>
        <v/>
      </c>
      <c r="K6572" t="str">
        <f>IF(E6572="","",INDEX(Knutepunkter!$D:$D,E6572+1))</f>
        <v/>
      </c>
      <c r="L6572" t="str">
        <f t="shared" si="513"/>
        <v/>
      </c>
      <c r="M6572" t="str">
        <f t="shared" si="514"/>
        <v/>
      </c>
    </row>
    <row r="6573" spans="1:13" x14ac:dyDescent="0.3">
      <c r="A6573" t="str">
        <f>Segmenter!A6573</f>
        <v/>
      </c>
      <c r="B6573" t="str">
        <f>Segmenter!B6573</f>
        <v/>
      </c>
      <c r="C6573" t="str">
        <f t="shared" si="510"/>
        <v/>
      </c>
      <c r="D6573" t="str">
        <f t="shared" si="511"/>
        <v/>
      </c>
      <c r="E6573" t="str">
        <f t="shared" si="512"/>
        <v/>
      </c>
      <c r="F6573" t="str">
        <f>IF(D6573="","",INDEX(Knutepunkter!$B:$B,D6573+1))</f>
        <v/>
      </c>
      <c r="G6573" t="str">
        <f>IF(D6573="","",INDEX(Knutepunkter!$C:$C,D6573+1))</f>
        <v/>
      </c>
      <c r="H6573" t="str">
        <f>IF(D6573="","",INDEX(Knutepunkter!$D:$D,D6573+1))</f>
        <v/>
      </c>
      <c r="I6573" t="str">
        <f>IF(E6573="","",INDEX(Knutepunkter!$B:$B,E6573+1))</f>
        <v/>
      </c>
      <c r="J6573" t="str">
        <f>IF(E6573="","",INDEX(Knutepunkter!$C:$C,E6573+1))</f>
        <v/>
      </c>
      <c r="K6573" t="str">
        <f>IF(E6573="","",INDEX(Knutepunkter!$D:$D,E6573+1))</f>
        <v/>
      </c>
      <c r="L6573" t="str">
        <f t="shared" si="513"/>
        <v/>
      </c>
      <c r="M6573" t="str">
        <f t="shared" si="514"/>
        <v/>
      </c>
    </row>
    <row r="6574" spans="1:13" x14ac:dyDescent="0.3">
      <c r="A6574" t="str">
        <f>Segmenter!A6574</f>
        <v/>
      </c>
      <c r="B6574" t="str">
        <f>Segmenter!B6574</f>
        <v/>
      </c>
      <c r="C6574" t="str">
        <f t="shared" si="510"/>
        <v/>
      </c>
      <c r="D6574" t="str">
        <f t="shared" si="511"/>
        <v/>
      </c>
      <c r="E6574" t="str">
        <f t="shared" si="512"/>
        <v/>
      </c>
      <c r="F6574" t="str">
        <f>IF(D6574="","",INDEX(Knutepunkter!$B:$B,D6574+1))</f>
        <v/>
      </c>
      <c r="G6574" t="str">
        <f>IF(D6574="","",INDEX(Knutepunkter!$C:$C,D6574+1))</f>
        <v/>
      </c>
      <c r="H6574" t="str">
        <f>IF(D6574="","",INDEX(Knutepunkter!$D:$D,D6574+1))</f>
        <v/>
      </c>
      <c r="I6574" t="str">
        <f>IF(E6574="","",INDEX(Knutepunkter!$B:$B,E6574+1))</f>
        <v/>
      </c>
      <c r="J6574" t="str">
        <f>IF(E6574="","",INDEX(Knutepunkter!$C:$C,E6574+1))</f>
        <v/>
      </c>
      <c r="K6574" t="str">
        <f>IF(E6574="","",INDEX(Knutepunkter!$D:$D,E6574+1))</f>
        <v/>
      </c>
      <c r="L6574" t="str">
        <f t="shared" si="513"/>
        <v/>
      </c>
      <c r="M6574" t="str">
        <f t="shared" si="514"/>
        <v/>
      </c>
    </row>
    <row r="6575" spans="1:13" x14ac:dyDescent="0.3">
      <c r="A6575" t="str">
        <f>Segmenter!A6575</f>
        <v/>
      </c>
      <c r="B6575" t="str">
        <f>Segmenter!B6575</f>
        <v/>
      </c>
      <c r="C6575" t="str">
        <f t="shared" si="510"/>
        <v/>
      </c>
      <c r="D6575" t="str">
        <f t="shared" si="511"/>
        <v/>
      </c>
      <c r="E6575" t="str">
        <f t="shared" si="512"/>
        <v/>
      </c>
      <c r="F6575" t="str">
        <f>IF(D6575="","",INDEX(Knutepunkter!$B:$B,D6575+1))</f>
        <v/>
      </c>
      <c r="G6575" t="str">
        <f>IF(D6575="","",INDEX(Knutepunkter!$C:$C,D6575+1))</f>
        <v/>
      </c>
      <c r="H6575" t="str">
        <f>IF(D6575="","",INDEX(Knutepunkter!$D:$D,D6575+1))</f>
        <v/>
      </c>
      <c r="I6575" t="str">
        <f>IF(E6575="","",INDEX(Knutepunkter!$B:$B,E6575+1))</f>
        <v/>
      </c>
      <c r="J6575" t="str">
        <f>IF(E6575="","",INDEX(Knutepunkter!$C:$C,E6575+1))</f>
        <v/>
      </c>
      <c r="K6575" t="str">
        <f>IF(E6575="","",INDEX(Knutepunkter!$D:$D,E6575+1))</f>
        <v/>
      </c>
      <c r="L6575" t="str">
        <f t="shared" si="513"/>
        <v/>
      </c>
      <c r="M6575" t="str">
        <f t="shared" si="514"/>
        <v/>
      </c>
    </row>
    <row r="6576" spans="1:13" x14ac:dyDescent="0.3">
      <c r="A6576" t="str">
        <f>Segmenter!A6576</f>
        <v/>
      </c>
      <c r="B6576" t="str">
        <f>Segmenter!B6576</f>
        <v/>
      </c>
      <c r="C6576" t="str">
        <f t="shared" si="510"/>
        <v/>
      </c>
      <c r="D6576" t="str">
        <f t="shared" si="511"/>
        <v/>
      </c>
      <c r="E6576" t="str">
        <f t="shared" si="512"/>
        <v/>
      </c>
      <c r="F6576" t="str">
        <f>IF(D6576="","",INDEX(Knutepunkter!$B:$B,D6576+1))</f>
        <v/>
      </c>
      <c r="G6576" t="str">
        <f>IF(D6576="","",INDEX(Knutepunkter!$C:$C,D6576+1))</f>
        <v/>
      </c>
      <c r="H6576" t="str">
        <f>IF(D6576="","",INDEX(Knutepunkter!$D:$D,D6576+1))</f>
        <v/>
      </c>
      <c r="I6576" t="str">
        <f>IF(E6576="","",INDEX(Knutepunkter!$B:$B,E6576+1))</f>
        <v/>
      </c>
      <c r="J6576" t="str">
        <f>IF(E6576="","",INDEX(Knutepunkter!$C:$C,E6576+1))</f>
        <v/>
      </c>
      <c r="K6576" t="str">
        <f>IF(E6576="","",INDEX(Knutepunkter!$D:$D,E6576+1))</f>
        <v/>
      </c>
      <c r="L6576" t="str">
        <f t="shared" si="513"/>
        <v/>
      </c>
      <c r="M6576" t="str">
        <f t="shared" si="514"/>
        <v/>
      </c>
    </row>
    <row r="6577" spans="1:13" x14ac:dyDescent="0.3">
      <c r="A6577" t="str">
        <f>Segmenter!A6577</f>
        <v/>
      </c>
      <c r="B6577" t="str">
        <f>Segmenter!B6577</f>
        <v/>
      </c>
      <c r="C6577" t="str">
        <f t="shared" si="510"/>
        <v/>
      </c>
      <c r="D6577" t="str">
        <f t="shared" si="511"/>
        <v/>
      </c>
      <c r="E6577" t="str">
        <f t="shared" si="512"/>
        <v/>
      </c>
      <c r="F6577" t="str">
        <f>IF(D6577="","",INDEX(Knutepunkter!$B:$B,D6577+1))</f>
        <v/>
      </c>
      <c r="G6577" t="str">
        <f>IF(D6577="","",INDEX(Knutepunkter!$C:$C,D6577+1))</f>
        <v/>
      </c>
      <c r="H6577" t="str">
        <f>IF(D6577="","",INDEX(Knutepunkter!$D:$D,D6577+1))</f>
        <v/>
      </c>
      <c r="I6577" t="str">
        <f>IF(E6577="","",INDEX(Knutepunkter!$B:$B,E6577+1))</f>
        <v/>
      </c>
      <c r="J6577" t="str">
        <f>IF(E6577="","",INDEX(Knutepunkter!$C:$C,E6577+1))</f>
        <v/>
      </c>
      <c r="K6577" t="str">
        <f>IF(E6577="","",INDEX(Knutepunkter!$D:$D,E6577+1))</f>
        <v/>
      </c>
      <c r="L6577" t="str">
        <f t="shared" si="513"/>
        <v/>
      </c>
      <c r="M6577" t="str">
        <f t="shared" si="514"/>
        <v/>
      </c>
    </row>
    <row r="6578" spans="1:13" x14ac:dyDescent="0.3">
      <c r="A6578" t="str">
        <f>Segmenter!A6578</f>
        <v/>
      </c>
      <c r="B6578" t="str">
        <f>Segmenter!B6578</f>
        <v/>
      </c>
      <c r="C6578" t="str">
        <f t="shared" si="510"/>
        <v/>
      </c>
      <c r="D6578" t="str">
        <f t="shared" si="511"/>
        <v/>
      </c>
      <c r="E6578" t="str">
        <f t="shared" si="512"/>
        <v/>
      </c>
      <c r="F6578" t="str">
        <f>IF(D6578="","",INDEX(Knutepunkter!$B:$B,D6578+1))</f>
        <v/>
      </c>
      <c r="G6578" t="str">
        <f>IF(D6578="","",INDEX(Knutepunkter!$C:$C,D6578+1))</f>
        <v/>
      </c>
      <c r="H6578" t="str">
        <f>IF(D6578="","",INDEX(Knutepunkter!$D:$D,D6578+1))</f>
        <v/>
      </c>
      <c r="I6578" t="str">
        <f>IF(E6578="","",INDEX(Knutepunkter!$B:$B,E6578+1))</f>
        <v/>
      </c>
      <c r="J6578" t="str">
        <f>IF(E6578="","",INDEX(Knutepunkter!$C:$C,E6578+1))</f>
        <v/>
      </c>
      <c r="K6578" t="str">
        <f>IF(E6578="","",INDEX(Knutepunkter!$D:$D,E6578+1))</f>
        <v/>
      </c>
      <c r="L6578" t="str">
        <f t="shared" si="513"/>
        <v/>
      </c>
      <c r="M6578" t="str">
        <f t="shared" si="514"/>
        <v/>
      </c>
    </row>
    <row r="6579" spans="1:13" x14ac:dyDescent="0.3">
      <c r="A6579" t="str">
        <f>Segmenter!A6579</f>
        <v/>
      </c>
      <c r="B6579" t="str">
        <f>Segmenter!B6579</f>
        <v/>
      </c>
      <c r="C6579" t="str">
        <f t="shared" si="510"/>
        <v/>
      </c>
      <c r="D6579" t="str">
        <f t="shared" si="511"/>
        <v/>
      </c>
      <c r="E6579" t="str">
        <f t="shared" si="512"/>
        <v/>
      </c>
      <c r="F6579" t="str">
        <f>IF(D6579="","",INDEX(Knutepunkter!$B:$B,D6579+1))</f>
        <v/>
      </c>
      <c r="G6579" t="str">
        <f>IF(D6579="","",INDEX(Knutepunkter!$C:$C,D6579+1))</f>
        <v/>
      </c>
      <c r="H6579" t="str">
        <f>IF(D6579="","",INDEX(Knutepunkter!$D:$D,D6579+1))</f>
        <v/>
      </c>
      <c r="I6579" t="str">
        <f>IF(E6579="","",INDEX(Knutepunkter!$B:$B,E6579+1))</f>
        <v/>
      </c>
      <c r="J6579" t="str">
        <f>IF(E6579="","",INDEX(Knutepunkter!$C:$C,E6579+1))</f>
        <v/>
      </c>
      <c r="K6579" t="str">
        <f>IF(E6579="","",INDEX(Knutepunkter!$D:$D,E6579+1))</f>
        <v/>
      </c>
      <c r="L6579" t="str">
        <f t="shared" si="513"/>
        <v/>
      </c>
      <c r="M6579" t="str">
        <f t="shared" si="514"/>
        <v/>
      </c>
    </row>
    <row r="6580" spans="1:13" x14ac:dyDescent="0.3">
      <c r="A6580" t="str">
        <f>Segmenter!A6580</f>
        <v/>
      </c>
      <c r="B6580" t="str">
        <f>Segmenter!B6580</f>
        <v/>
      </c>
      <c r="C6580" t="str">
        <f t="shared" si="510"/>
        <v/>
      </c>
      <c r="D6580" t="str">
        <f t="shared" si="511"/>
        <v/>
      </c>
      <c r="E6580" t="str">
        <f t="shared" si="512"/>
        <v/>
      </c>
      <c r="F6580" t="str">
        <f>IF(D6580="","",INDEX(Knutepunkter!$B:$B,D6580+1))</f>
        <v/>
      </c>
      <c r="G6580" t="str">
        <f>IF(D6580="","",INDEX(Knutepunkter!$C:$C,D6580+1))</f>
        <v/>
      </c>
      <c r="H6580" t="str">
        <f>IF(D6580="","",INDEX(Knutepunkter!$D:$D,D6580+1))</f>
        <v/>
      </c>
      <c r="I6580" t="str">
        <f>IF(E6580="","",INDEX(Knutepunkter!$B:$B,E6580+1))</f>
        <v/>
      </c>
      <c r="J6580" t="str">
        <f>IF(E6580="","",INDEX(Knutepunkter!$C:$C,E6580+1))</f>
        <v/>
      </c>
      <c r="K6580" t="str">
        <f>IF(E6580="","",INDEX(Knutepunkter!$D:$D,E6580+1))</f>
        <v/>
      </c>
      <c r="L6580" t="str">
        <f t="shared" si="513"/>
        <v/>
      </c>
      <c r="M6580" t="str">
        <f t="shared" si="514"/>
        <v/>
      </c>
    </row>
    <row r="6581" spans="1:13" x14ac:dyDescent="0.3">
      <c r="A6581" t="str">
        <f>Segmenter!A6581</f>
        <v/>
      </c>
      <c r="B6581" t="str">
        <f>Segmenter!B6581</f>
        <v/>
      </c>
      <c r="C6581" t="str">
        <f t="shared" si="510"/>
        <v/>
      </c>
      <c r="D6581" t="str">
        <f t="shared" si="511"/>
        <v/>
      </c>
      <c r="E6581" t="str">
        <f t="shared" si="512"/>
        <v/>
      </c>
      <c r="F6581" t="str">
        <f>IF(D6581="","",INDEX(Knutepunkter!$B:$B,D6581+1))</f>
        <v/>
      </c>
      <c r="G6581" t="str">
        <f>IF(D6581="","",INDEX(Knutepunkter!$C:$C,D6581+1))</f>
        <v/>
      </c>
      <c r="H6581" t="str">
        <f>IF(D6581="","",INDEX(Knutepunkter!$D:$D,D6581+1))</f>
        <v/>
      </c>
      <c r="I6581" t="str">
        <f>IF(E6581="","",INDEX(Knutepunkter!$B:$B,E6581+1))</f>
        <v/>
      </c>
      <c r="J6581" t="str">
        <f>IF(E6581="","",INDEX(Knutepunkter!$C:$C,E6581+1))</f>
        <v/>
      </c>
      <c r="K6581" t="str">
        <f>IF(E6581="","",INDEX(Knutepunkter!$D:$D,E6581+1))</f>
        <v/>
      </c>
      <c r="L6581" t="str">
        <f t="shared" si="513"/>
        <v/>
      </c>
      <c r="M6581" t="str">
        <f t="shared" si="514"/>
        <v/>
      </c>
    </row>
    <row r="6582" spans="1:13" x14ac:dyDescent="0.3">
      <c r="A6582" t="str">
        <f>Segmenter!A6582</f>
        <v/>
      </c>
      <c r="B6582" t="str">
        <f>Segmenter!B6582</f>
        <v/>
      </c>
      <c r="C6582" t="str">
        <f t="shared" si="510"/>
        <v/>
      </c>
      <c r="D6582" t="str">
        <f t="shared" si="511"/>
        <v/>
      </c>
      <c r="E6582" t="str">
        <f t="shared" si="512"/>
        <v/>
      </c>
      <c r="F6582" t="str">
        <f>IF(D6582="","",INDEX(Knutepunkter!$B:$B,D6582+1))</f>
        <v/>
      </c>
      <c r="G6582" t="str">
        <f>IF(D6582="","",INDEX(Knutepunkter!$C:$C,D6582+1))</f>
        <v/>
      </c>
      <c r="H6582" t="str">
        <f>IF(D6582="","",INDEX(Knutepunkter!$D:$D,D6582+1))</f>
        <v/>
      </c>
      <c r="I6582" t="str">
        <f>IF(E6582="","",INDEX(Knutepunkter!$B:$B,E6582+1))</f>
        <v/>
      </c>
      <c r="J6582" t="str">
        <f>IF(E6582="","",INDEX(Knutepunkter!$C:$C,E6582+1))</f>
        <v/>
      </c>
      <c r="K6582" t="str">
        <f>IF(E6582="","",INDEX(Knutepunkter!$D:$D,E6582+1))</f>
        <v/>
      </c>
      <c r="L6582" t="str">
        <f t="shared" si="513"/>
        <v/>
      </c>
      <c r="M6582" t="str">
        <f t="shared" si="514"/>
        <v/>
      </c>
    </row>
    <row r="6583" spans="1:13" x14ac:dyDescent="0.3">
      <c r="A6583" t="str">
        <f>Segmenter!A6583</f>
        <v/>
      </c>
      <c r="B6583" t="str">
        <f>Segmenter!B6583</f>
        <v/>
      </c>
      <c r="C6583" t="str">
        <f t="shared" si="510"/>
        <v/>
      </c>
      <c r="D6583" t="str">
        <f t="shared" si="511"/>
        <v/>
      </c>
      <c r="E6583" t="str">
        <f t="shared" si="512"/>
        <v/>
      </c>
      <c r="F6583" t="str">
        <f>IF(D6583="","",INDEX(Knutepunkter!$B:$B,D6583+1))</f>
        <v/>
      </c>
      <c r="G6583" t="str">
        <f>IF(D6583="","",INDEX(Knutepunkter!$C:$C,D6583+1))</f>
        <v/>
      </c>
      <c r="H6583" t="str">
        <f>IF(D6583="","",INDEX(Knutepunkter!$D:$D,D6583+1))</f>
        <v/>
      </c>
      <c r="I6583" t="str">
        <f>IF(E6583="","",INDEX(Knutepunkter!$B:$B,E6583+1))</f>
        <v/>
      </c>
      <c r="J6583" t="str">
        <f>IF(E6583="","",INDEX(Knutepunkter!$C:$C,E6583+1))</f>
        <v/>
      </c>
      <c r="K6583" t="str">
        <f>IF(E6583="","",INDEX(Knutepunkter!$D:$D,E6583+1))</f>
        <v/>
      </c>
      <c r="L6583" t="str">
        <f t="shared" si="513"/>
        <v/>
      </c>
      <c r="M6583" t="str">
        <f t="shared" si="514"/>
        <v/>
      </c>
    </row>
    <row r="6584" spans="1:13" x14ac:dyDescent="0.3">
      <c r="A6584" t="str">
        <f>Segmenter!A6584</f>
        <v/>
      </c>
      <c r="B6584" t="str">
        <f>Segmenter!B6584</f>
        <v/>
      </c>
      <c r="C6584" t="str">
        <f t="shared" si="510"/>
        <v/>
      </c>
      <c r="D6584" t="str">
        <f t="shared" si="511"/>
        <v/>
      </c>
      <c r="E6584" t="str">
        <f t="shared" si="512"/>
        <v/>
      </c>
      <c r="F6584" t="str">
        <f>IF(D6584="","",INDEX(Knutepunkter!$B:$B,D6584+1))</f>
        <v/>
      </c>
      <c r="G6584" t="str">
        <f>IF(D6584="","",INDEX(Knutepunkter!$C:$C,D6584+1))</f>
        <v/>
      </c>
      <c r="H6584" t="str">
        <f>IF(D6584="","",INDEX(Knutepunkter!$D:$D,D6584+1))</f>
        <v/>
      </c>
      <c r="I6584" t="str">
        <f>IF(E6584="","",INDEX(Knutepunkter!$B:$B,E6584+1))</f>
        <v/>
      </c>
      <c r="J6584" t="str">
        <f>IF(E6584="","",INDEX(Knutepunkter!$C:$C,E6584+1))</f>
        <v/>
      </c>
      <c r="K6584" t="str">
        <f>IF(E6584="","",INDEX(Knutepunkter!$D:$D,E6584+1))</f>
        <v/>
      </c>
      <c r="L6584" t="str">
        <f t="shared" si="513"/>
        <v/>
      </c>
      <c r="M6584" t="str">
        <f t="shared" si="514"/>
        <v/>
      </c>
    </row>
    <row r="6585" spans="1:13" x14ac:dyDescent="0.3">
      <c r="A6585" t="str">
        <f>Segmenter!A6585</f>
        <v/>
      </c>
      <c r="B6585" t="str">
        <f>Segmenter!B6585</f>
        <v/>
      </c>
      <c r="C6585" t="str">
        <f t="shared" si="510"/>
        <v/>
      </c>
      <c r="D6585" t="str">
        <f t="shared" si="511"/>
        <v/>
      </c>
      <c r="E6585" t="str">
        <f t="shared" si="512"/>
        <v/>
      </c>
      <c r="F6585" t="str">
        <f>IF(D6585="","",INDEX(Knutepunkter!$B:$B,D6585+1))</f>
        <v/>
      </c>
      <c r="G6585" t="str">
        <f>IF(D6585="","",INDEX(Knutepunkter!$C:$C,D6585+1))</f>
        <v/>
      </c>
      <c r="H6585" t="str">
        <f>IF(D6585="","",INDEX(Knutepunkter!$D:$D,D6585+1))</f>
        <v/>
      </c>
      <c r="I6585" t="str">
        <f>IF(E6585="","",INDEX(Knutepunkter!$B:$B,E6585+1))</f>
        <v/>
      </c>
      <c r="J6585" t="str">
        <f>IF(E6585="","",INDEX(Knutepunkter!$C:$C,E6585+1))</f>
        <v/>
      </c>
      <c r="K6585" t="str">
        <f>IF(E6585="","",INDEX(Knutepunkter!$D:$D,E6585+1))</f>
        <v/>
      </c>
      <c r="L6585" t="str">
        <f t="shared" si="513"/>
        <v/>
      </c>
      <c r="M6585" t="str">
        <f t="shared" si="514"/>
        <v/>
      </c>
    </row>
    <row r="6586" spans="1:13" x14ac:dyDescent="0.3">
      <c r="A6586" t="str">
        <f>Segmenter!A6586</f>
        <v/>
      </c>
      <c r="B6586" t="str">
        <f>Segmenter!B6586</f>
        <v/>
      </c>
      <c r="C6586" t="str">
        <f t="shared" si="510"/>
        <v/>
      </c>
      <c r="D6586" t="str">
        <f t="shared" si="511"/>
        <v/>
      </c>
      <c r="E6586" t="str">
        <f t="shared" si="512"/>
        <v/>
      </c>
      <c r="F6586" t="str">
        <f>IF(D6586="","",INDEX(Knutepunkter!$B:$B,D6586+1))</f>
        <v/>
      </c>
      <c r="G6586" t="str">
        <f>IF(D6586="","",INDEX(Knutepunkter!$C:$C,D6586+1))</f>
        <v/>
      </c>
      <c r="H6586" t="str">
        <f>IF(D6586="","",INDEX(Knutepunkter!$D:$D,D6586+1))</f>
        <v/>
      </c>
      <c r="I6586" t="str">
        <f>IF(E6586="","",INDEX(Knutepunkter!$B:$B,E6586+1))</f>
        <v/>
      </c>
      <c r="J6586" t="str">
        <f>IF(E6586="","",INDEX(Knutepunkter!$C:$C,E6586+1))</f>
        <v/>
      </c>
      <c r="K6586" t="str">
        <f>IF(E6586="","",INDEX(Knutepunkter!$D:$D,E6586+1))</f>
        <v/>
      </c>
      <c r="L6586" t="str">
        <f t="shared" si="513"/>
        <v/>
      </c>
      <c r="M6586" t="str">
        <f t="shared" si="514"/>
        <v/>
      </c>
    </row>
    <row r="6587" spans="1:13" x14ac:dyDescent="0.3">
      <c r="A6587" t="str">
        <f>Segmenter!A6587</f>
        <v/>
      </c>
      <c r="B6587" t="str">
        <f>Segmenter!B6587</f>
        <v/>
      </c>
      <c r="C6587" t="str">
        <f t="shared" si="510"/>
        <v/>
      </c>
      <c r="D6587" t="str">
        <f t="shared" si="511"/>
        <v/>
      </c>
      <c r="E6587" t="str">
        <f t="shared" si="512"/>
        <v/>
      </c>
      <c r="F6587" t="str">
        <f>IF(D6587="","",INDEX(Knutepunkter!$B:$B,D6587+1))</f>
        <v/>
      </c>
      <c r="G6587" t="str">
        <f>IF(D6587="","",INDEX(Knutepunkter!$C:$C,D6587+1))</f>
        <v/>
      </c>
      <c r="H6587" t="str">
        <f>IF(D6587="","",INDEX(Knutepunkter!$D:$D,D6587+1))</f>
        <v/>
      </c>
      <c r="I6587" t="str">
        <f>IF(E6587="","",INDEX(Knutepunkter!$B:$B,E6587+1))</f>
        <v/>
      </c>
      <c r="J6587" t="str">
        <f>IF(E6587="","",INDEX(Knutepunkter!$C:$C,E6587+1))</f>
        <v/>
      </c>
      <c r="K6587" t="str">
        <f>IF(E6587="","",INDEX(Knutepunkter!$D:$D,E6587+1))</f>
        <v/>
      </c>
      <c r="L6587" t="str">
        <f t="shared" si="513"/>
        <v/>
      </c>
      <c r="M6587" t="str">
        <f t="shared" si="514"/>
        <v/>
      </c>
    </row>
    <row r="6588" spans="1:13" x14ac:dyDescent="0.3">
      <c r="A6588" t="str">
        <f>Segmenter!A6588</f>
        <v/>
      </c>
      <c r="B6588" t="str">
        <f>Segmenter!B6588</f>
        <v/>
      </c>
      <c r="C6588" t="str">
        <f t="shared" si="510"/>
        <v/>
      </c>
      <c r="D6588" t="str">
        <f t="shared" si="511"/>
        <v/>
      </c>
      <c r="E6588" t="str">
        <f t="shared" si="512"/>
        <v/>
      </c>
      <c r="F6588" t="str">
        <f>IF(D6588="","",INDEX(Knutepunkter!$B:$B,D6588+1))</f>
        <v/>
      </c>
      <c r="G6588" t="str">
        <f>IF(D6588="","",INDEX(Knutepunkter!$C:$C,D6588+1))</f>
        <v/>
      </c>
      <c r="H6588" t="str">
        <f>IF(D6588="","",INDEX(Knutepunkter!$D:$D,D6588+1))</f>
        <v/>
      </c>
      <c r="I6588" t="str">
        <f>IF(E6588="","",INDEX(Knutepunkter!$B:$B,E6588+1))</f>
        <v/>
      </c>
      <c r="J6588" t="str">
        <f>IF(E6588="","",INDEX(Knutepunkter!$C:$C,E6588+1))</f>
        <v/>
      </c>
      <c r="K6588" t="str">
        <f>IF(E6588="","",INDEX(Knutepunkter!$D:$D,E6588+1))</f>
        <v/>
      </c>
      <c r="L6588" t="str">
        <f t="shared" si="513"/>
        <v/>
      </c>
      <c r="M6588" t="str">
        <f t="shared" si="514"/>
        <v/>
      </c>
    </row>
    <row r="6589" spans="1:13" x14ac:dyDescent="0.3">
      <c r="A6589" t="str">
        <f>Segmenter!A6589</f>
        <v/>
      </c>
      <c r="B6589" t="str">
        <f>Segmenter!B6589</f>
        <v/>
      </c>
      <c r="C6589" t="str">
        <f t="shared" si="510"/>
        <v/>
      </c>
      <c r="D6589" t="str">
        <f t="shared" si="511"/>
        <v/>
      </c>
      <c r="E6589" t="str">
        <f t="shared" si="512"/>
        <v/>
      </c>
      <c r="F6589" t="str">
        <f>IF(D6589="","",INDEX(Knutepunkter!$B:$B,D6589+1))</f>
        <v/>
      </c>
      <c r="G6589" t="str">
        <f>IF(D6589="","",INDEX(Knutepunkter!$C:$C,D6589+1))</f>
        <v/>
      </c>
      <c r="H6589" t="str">
        <f>IF(D6589="","",INDEX(Knutepunkter!$D:$D,D6589+1))</f>
        <v/>
      </c>
      <c r="I6589" t="str">
        <f>IF(E6589="","",INDEX(Knutepunkter!$B:$B,E6589+1))</f>
        <v/>
      </c>
      <c r="J6589" t="str">
        <f>IF(E6589="","",INDEX(Knutepunkter!$C:$C,E6589+1))</f>
        <v/>
      </c>
      <c r="K6589" t="str">
        <f>IF(E6589="","",INDEX(Knutepunkter!$D:$D,E6589+1))</f>
        <v/>
      </c>
      <c r="L6589" t="str">
        <f t="shared" si="513"/>
        <v/>
      </c>
      <c r="M6589" t="str">
        <f t="shared" si="514"/>
        <v/>
      </c>
    </row>
    <row r="6590" spans="1:13" x14ac:dyDescent="0.3">
      <c r="A6590" t="str">
        <f>Segmenter!A6590</f>
        <v/>
      </c>
      <c r="B6590" t="str">
        <f>Segmenter!B6590</f>
        <v/>
      </c>
      <c r="C6590" t="str">
        <f t="shared" si="510"/>
        <v/>
      </c>
      <c r="D6590" t="str">
        <f t="shared" si="511"/>
        <v/>
      </c>
      <c r="E6590" t="str">
        <f t="shared" si="512"/>
        <v/>
      </c>
      <c r="F6590" t="str">
        <f>IF(D6590="","",INDEX(Knutepunkter!$B:$B,D6590+1))</f>
        <v/>
      </c>
      <c r="G6590" t="str">
        <f>IF(D6590="","",INDEX(Knutepunkter!$C:$C,D6590+1))</f>
        <v/>
      </c>
      <c r="H6590" t="str">
        <f>IF(D6590="","",INDEX(Knutepunkter!$D:$D,D6590+1))</f>
        <v/>
      </c>
      <c r="I6590" t="str">
        <f>IF(E6590="","",INDEX(Knutepunkter!$B:$B,E6590+1))</f>
        <v/>
      </c>
      <c r="J6590" t="str">
        <f>IF(E6590="","",INDEX(Knutepunkter!$C:$C,E6590+1))</f>
        <v/>
      </c>
      <c r="K6590" t="str">
        <f>IF(E6590="","",INDEX(Knutepunkter!$D:$D,E6590+1))</f>
        <v/>
      </c>
      <c r="L6590" t="str">
        <f t="shared" si="513"/>
        <v/>
      </c>
      <c r="M6590" t="str">
        <f t="shared" si="514"/>
        <v/>
      </c>
    </row>
    <row r="6591" spans="1:13" x14ac:dyDescent="0.3">
      <c r="A6591" t="str">
        <f>Segmenter!A6591</f>
        <v/>
      </c>
      <c r="B6591" t="str">
        <f>Segmenter!B6591</f>
        <v/>
      </c>
      <c r="C6591" t="str">
        <f t="shared" si="510"/>
        <v/>
      </c>
      <c r="D6591" t="str">
        <f t="shared" si="511"/>
        <v/>
      </c>
      <c r="E6591" t="str">
        <f t="shared" si="512"/>
        <v/>
      </c>
      <c r="F6591" t="str">
        <f>IF(D6591="","",INDEX(Knutepunkter!$B:$B,D6591+1))</f>
        <v/>
      </c>
      <c r="G6591" t="str">
        <f>IF(D6591="","",INDEX(Knutepunkter!$C:$C,D6591+1))</f>
        <v/>
      </c>
      <c r="H6591" t="str">
        <f>IF(D6591="","",INDEX(Knutepunkter!$D:$D,D6591+1))</f>
        <v/>
      </c>
      <c r="I6591" t="str">
        <f>IF(E6591="","",INDEX(Knutepunkter!$B:$B,E6591+1))</f>
        <v/>
      </c>
      <c r="J6591" t="str">
        <f>IF(E6591="","",INDEX(Knutepunkter!$C:$C,E6591+1))</f>
        <v/>
      </c>
      <c r="K6591" t="str">
        <f>IF(E6591="","",INDEX(Knutepunkter!$D:$D,E6591+1))</f>
        <v/>
      </c>
      <c r="L6591" t="str">
        <f t="shared" si="513"/>
        <v/>
      </c>
      <c r="M6591" t="str">
        <f t="shared" si="514"/>
        <v/>
      </c>
    </row>
    <row r="6592" spans="1:13" x14ac:dyDescent="0.3">
      <c r="A6592" t="str">
        <f>Segmenter!A6592</f>
        <v/>
      </c>
      <c r="B6592" t="str">
        <f>Segmenter!B6592</f>
        <v/>
      </c>
      <c r="C6592" t="str">
        <f t="shared" si="510"/>
        <v/>
      </c>
      <c r="D6592" t="str">
        <f t="shared" si="511"/>
        <v/>
      </c>
      <c r="E6592" t="str">
        <f t="shared" si="512"/>
        <v/>
      </c>
      <c r="F6592" t="str">
        <f>IF(D6592="","",INDEX(Knutepunkter!$B:$B,D6592+1))</f>
        <v/>
      </c>
      <c r="G6592" t="str">
        <f>IF(D6592="","",INDEX(Knutepunkter!$C:$C,D6592+1))</f>
        <v/>
      </c>
      <c r="H6592" t="str">
        <f>IF(D6592="","",INDEX(Knutepunkter!$D:$D,D6592+1))</f>
        <v/>
      </c>
      <c r="I6592" t="str">
        <f>IF(E6592="","",INDEX(Knutepunkter!$B:$B,E6592+1))</f>
        <v/>
      </c>
      <c r="J6592" t="str">
        <f>IF(E6592="","",INDEX(Knutepunkter!$C:$C,E6592+1))</f>
        <v/>
      </c>
      <c r="K6592" t="str">
        <f>IF(E6592="","",INDEX(Knutepunkter!$D:$D,E6592+1))</f>
        <v/>
      </c>
      <c r="L6592" t="str">
        <f t="shared" si="513"/>
        <v/>
      </c>
      <c r="M6592" t="str">
        <f t="shared" si="514"/>
        <v/>
      </c>
    </row>
    <row r="6593" spans="1:13" x14ac:dyDescent="0.3">
      <c r="A6593" t="str">
        <f>Segmenter!A6593</f>
        <v/>
      </c>
      <c r="B6593" t="str">
        <f>Segmenter!B6593</f>
        <v/>
      </c>
      <c r="C6593" t="str">
        <f t="shared" si="510"/>
        <v/>
      </c>
      <c r="D6593" t="str">
        <f t="shared" si="511"/>
        <v/>
      </c>
      <c r="E6593" t="str">
        <f t="shared" si="512"/>
        <v/>
      </c>
      <c r="F6593" t="str">
        <f>IF(D6593="","",INDEX(Knutepunkter!$B:$B,D6593+1))</f>
        <v/>
      </c>
      <c r="G6593" t="str">
        <f>IF(D6593="","",INDEX(Knutepunkter!$C:$C,D6593+1))</f>
        <v/>
      </c>
      <c r="H6593" t="str">
        <f>IF(D6593="","",INDEX(Knutepunkter!$D:$D,D6593+1))</f>
        <v/>
      </c>
      <c r="I6593" t="str">
        <f>IF(E6593="","",INDEX(Knutepunkter!$B:$B,E6593+1))</f>
        <v/>
      </c>
      <c r="J6593" t="str">
        <f>IF(E6593="","",INDEX(Knutepunkter!$C:$C,E6593+1))</f>
        <v/>
      </c>
      <c r="K6593" t="str">
        <f>IF(E6593="","",INDEX(Knutepunkter!$D:$D,E6593+1))</f>
        <v/>
      </c>
      <c r="L6593" t="str">
        <f t="shared" si="513"/>
        <v/>
      </c>
      <c r="M6593" t="str">
        <f t="shared" si="514"/>
        <v/>
      </c>
    </row>
    <row r="6594" spans="1:13" x14ac:dyDescent="0.3">
      <c r="A6594" t="str">
        <f>Segmenter!A6594</f>
        <v/>
      </c>
      <c r="B6594" t="str">
        <f>Segmenter!B6594</f>
        <v/>
      </c>
      <c r="C6594" t="str">
        <f t="shared" ref="C6594:C6611" si="515">IF(B6594="","",IF(AND(F6594=I6594,G6594=J6594,H6594&lt;&gt;K6594),"Søyle","Bjelke"))</f>
        <v/>
      </c>
      <c r="D6594" t="str">
        <f t="shared" ref="D6594:D6611" si="516">IF(B6594="","",VALUE(LEFT(B6594,FIND(" -&gt; ",B6594)-1)))</f>
        <v/>
      </c>
      <c r="E6594" t="str">
        <f t="shared" ref="E6594:E6611" si="517">IF(B6594="","",VALUE(MID(B6594,FIND(" -&gt; ",B6594)+4,99)))</f>
        <v/>
      </c>
      <c r="F6594" t="str">
        <f>IF(D6594="","",INDEX(Knutepunkter!$B:$B,D6594+1))</f>
        <v/>
      </c>
      <c r="G6594" t="str">
        <f>IF(D6594="","",INDEX(Knutepunkter!$C:$C,D6594+1))</f>
        <v/>
      </c>
      <c r="H6594" t="str">
        <f>IF(D6594="","",INDEX(Knutepunkter!$D:$D,D6594+1))</f>
        <v/>
      </c>
      <c r="I6594" t="str">
        <f>IF(E6594="","",INDEX(Knutepunkter!$B:$B,E6594+1))</f>
        <v/>
      </c>
      <c r="J6594" t="str">
        <f>IF(E6594="","",INDEX(Knutepunkter!$C:$C,E6594+1))</f>
        <v/>
      </c>
      <c r="K6594" t="str">
        <f>IF(E6594="","",INDEX(Knutepunkter!$D:$D,E6594+1))</f>
        <v/>
      </c>
      <c r="L6594" t="str">
        <f t="shared" ref="L6594:L6611" si="518">IF(B6594="","",SQRT((I6594-F6594)^2+(J6594-G6594)^2+(K6594-H6594)^2))</f>
        <v/>
      </c>
      <c r="M6594" t="str">
        <f t="shared" ref="M6594:M6611" si="519">IF(L6594="","",L6594/1000)</f>
        <v/>
      </c>
    </row>
    <row r="6595" spans="1:13" x14ac:dyDescent="0.3">
      <c r="A6595" t="str">
        <f>Segmenter!A6595</f>
        <v/>
      </c>
      <c r="B6595" t="str">
        <f>Segmenter!B6595</f>
        <v/>
      </c>
      <c r="C6595" t="str">
        <f t="shared" si="515"/>
        <v/>
      </c>
      <c r="D6595" t="str">
        <f t="shared" si="516"/>
        <v/>
      </c>
      <c r="E6595" t="str">
        <f t="shared" si="517"/>
        <v/>
      </c>
      <c r="F6595" t="str">
        <f>IF(D6595="","",INDEX(Knutepunkter!$B:$B,D6595+1))</f>
        <v/>
      </c>
      <c r="G6595" t="str">
        <f>IF(D6595="","",INDEX(Knutepunkter!$C:$C,D6595+1))</f>
        <v/>
      </c>
      <c r="H6595" t="str">
        <f>IF(D6595="","",INDEX(Knutepunkter!$D:$D,D6595+1))</f>
        <v/>
      </c>
      <c r="I6595" t="str">
        <f>IF(E6595="","",INDEX(Knutepunkter!$B:$B,E6595+1))</f>
        <v/>
      </c>
      <c r="J6595" t="str">
        <f>IF(E6595="","",INDEX(Knutepunkter!$C:$C,E6595+1))</f>
        <v/>
      </c>
      <c r="K6595" t="str">
        <f>IF(E6595="","",INDEX(Knutepunkter!$D:$D,E6595+1))</f>
        <v/>
      </c>
      <c r="L6595" t="str">
        <f t="shared" si="518"/>
        <v/>
      </c>
      <c r="M6595" t="str">
        <f t="shared" si="519"/>
        <v/>
      </c>
    </row>
    <row r="6596" spans="1:13" x14ac:dyDescent="0.3">
      <c r="A6596" t="str">
        <f>Segmenter!A6596</f>
        <v/>
      </c>
      <c r="B6596" t="str">
        <f>Segmenter!B6596</f>
        <v/>
      </c>
      <c r="C6596" t="str">
        <f t="shared" si="515"/>
        <v/>
      </c>
      <c r="D6596" t="str">
        <f t="shared" si="516"/>
        <v/>
      </c>
      <c r="E6596" t="str">
        <f t="shared" si="517"/>
        <v/>
      </c>
      <c r="F6596" t="str">
        <f>IF(D6596="","",INDEX(Knutepunkter!$B:$B,D6596+1))</f>
        <v/>
      </c>
      <c r="G6596" t="str">
        <f>IF(D6596="","",INDEX(Knutepunkter!$C:$C,D6596+1))</f>
        <v/>
      </c>
      <c r="H6596" t="str">
        <f>IF(D6596="","",INDEX(Knutepunkter!$D:$D,D6596+1))</f>
        <v/>
      </c>
      <c r="I6596" t="str">
        <f>IF(E6596="","",INDEX(Knutepunkter!$B:$B,E6596+1))</f>
        <v/>
      </c>
      <c r="J6596" t="str">
        <f>IF(E6596="","",INDEX(Knutepunkter!$C:$C,E6596+1))</f>
        <v/>
      </c>
      <c r="K6596" t="str">
        <f>IF(E6596="","",INDEX(Knutepunkter!$D:$D,E6596+1))</f>
        <v/>
      </c>
      <c r="L6596" t="str">
        <f t="shared" si="518"/>
        <v/>
      </c>
      <c r="M6596" t="str">
        <f t="shared" si="519"/>
        <v/>
      </c>
    </row>
    <row r="6597" spans="1:13" x14ac:dyDescent="0.3">
      <c r="A6597" t="str">
        <f>Segmenter!A6597</f>
        <v/>
      </c>
      <c r="B6597" t="str">
        <f>Segmenter!B6597</f>
        <v/>
      </c>
      <c r="C6597" t="str">
        <f t="shared" si="515"/>
        <v/>
      </c>
      <c r="D6597" t="str">
        <f t="shared" si="516"/>
        <v/>
      </c>
      <c r="E6597" t="str">
        <f t="shared" si="517"/>
        <v/>
      </c>
      <c r="F6597" t="str">
        <f>IF(D6597="","",INDEX(Knutepunkter!$B:$B,D6597+1))</f>
        <v/>
      </c>
      <c r="G6597" t="str">
        <f>IF(D6597="","",INDEX(Knutepunkter!$C:$C,D6597+1))</f>
        <v/>
      </c>
      <c r="H6597" t="str">
        <f>IF(D6597="","",INDEX(Knutepunkter!$D:$D,D6597+1))</f>
        <v/>
      </c>
      <c r="I6597" t="str">
        <f>IF(E6597="","",INDEX(Knutepunkter!$B:$B,E6597+1))</f>
        <v/>
      </c>
      <c r="J6597" t="str">
        <f>IF(E6597="","",INDEX(Knutepunkter!$C:$C,E6597+1))</f>
        <v/>
      </c>
      <c r="K6597" t="str">
        <f>IF(E6597="","",INDEX(Knutepunkter!$D:$D,E6597+1))</f>
        <v/>
      </c>
      <c r="L6597" t="str">
        <f t="shared" si="518"/>
        <v/>
      </c>
      <c r="M6597" t="str">
        <f t="shared" si="519"/>
        <v/>
      </c>
    </row>
    <row r="6598" spans="1:13" x14ac:dyDescent="0.3">
      <c r="A6598" t="str">
        <f>Segmenter!A6598</f>
        <v/>
      </c>
      <c r="B6598" t="str">
        <f>Segmenter!B6598</f>
        <v/>
      </c>
      <c r="C6598" t="str">
        <f t="shared" si="515"/>
        <v/>
      </c>
      <c r="D6598" t="str">
        <f t="shared" si="516"/>
        <v/>
      </c>
      <c r="E6598" t="str">
        <f t="shared" si="517"/>
        <v/>
      </c>
      <c r="F6598" t="str">
        <f>IF(D6598="","",INDEX(Knutepunkter!$B:$B,D6598+1))</f>
        <v/>
      </c>
      <c r="G6598" t="str">
        <f>IF(D6598="","",INDEX(Knutepunkter!$C:$C,D6598+1))</f>
        <v/>
      </c>
      <c r="H6598" t="str">
        <f>IF(D6598="","",INDEX(Knutepunkter!$D:$D,D6598+1))</f>
        <v/>
      </c>
      <c r="I6598" t="str">
        <f>IF(E6598="","",INDEX(Knutepunkter!$B:$B,E6598+1))</f>
        <v/>
      </c>
      <c r="J6598" t="str">
        <f>IF(E6598="","",INDEX(Knutepunkter!$C:$C,E6598+1))</f>
        <v/>
      </c>
      <c r="K6598" t="str">
        <f>IF(E6598="","",INDEX(Knutepunkter!$D:$D,E6598+1))</f>
        <v/>
      </c>
      <c r="L6598" t="str">
        <f t="shared" si="518"/>
        <v/>
      </c>
      <c r="M6598" t="str">
        <f t="shared" si="519"/>
        <v/>
      </c>
    </row>
    <row r="6599" spans="1:13" x14ac:dyDescent="0.3">
      <c r="A6599" t="str">
        <f>Segmenter!A6599</f>
        <v/>
      </c>
      <c r="B6599" t="str">
        <f>Segmenter!B6599</f>
        <v/>
      </c>
      <c r="C6599" t="str">
        <f t="shared" si="515"/>
        <v/>
      </c>
      <c r="D6599" t="str">
        <f t="shared" si="516"/>
        <v/>
      </c>
      <c r="E6599" t="str">
        <f t="shared" si="517"/>
        <v/>
      </c>
      <c r="F6599" t="str">
        <f>IF(D6599="","",INDEX(Knutepunkter!$B:$B,D6599+1))</f>
        <v/>
      </c>
      <c r="G6599" t="str">
        <f>IF(D6599="","",INDEX(Knutepunkter!$C:$C,D6599+1))</f>
        <v/>
      </c>
      <c r="H6599" t="str">
        <f>IF(D6599="","",INDEX(Knutepunkter!$D:$D,D6599+1))</f>
        <v/>
      </c>
      <c r="I6599" t="str">
        <f>IF(E6599="","",INDEX(Knutepunkter!$B:$B,E6599+1))</f>
        <v/>
      </c>
      <c r="J6599" t="str">
        <f>IF(E6599="","",INDEX(Knutepunkter!$C:$C,E6599+1))</f>
        <v/>
      </c>
      <c r="K6599" t="str">
        <f>IF(E6599="","",INDEX(Knutepunkter!$D:$D,E6599+1))</f>
        <v/>
      </c>
      <c r="L6599" t="str">
        <f t="shared" si="518"/>
        <v/>
      </c>
      <c r="M6599" t="str">
        <f t="shared" si="519"/>
        <v/>
      </c>
    </row>
    <row r="6600" spans="1:13" x14ac:dyDescent="0.3">
      <c r="A6600" t="str">
        <f>Segmenter!A6600</f>
        <v/>
      </c>
      <c r="B6600" t="str">
        <f>Segmenter!B6600</f>
        <v/>
      </c>
      <c r="C6600" t="str">
        <f t="shared" si="515"/>
        <v/>
      </c>
      <c r="D6600" t="str">
        <f t="shared" si="516"/>
        <v/>
      </c>
      <c r="E6600" t="str">
        <f t="shared" si="517"/>
        <v/>
      </c>
      <c r="F6600" t="str">
        <f>IF(D6600="","",INDEX(Knutepunkter!$B:$B,D6600+1))</f>
        <v/>
      </c>
      <c r="G6600" t="str">
        <f>IF(D6600="","",INDEX(Knutepunkter!$C:$C,D6600+1))</f>
        <v/>
      </c>
      <c r="H6600" t="str">
        <f>IF(D6600="","",INDEX(Knutepunkter!$D:$D,D6600+1))</f>
        <v/>
      </c>
      <c r="I6600" t="str">
        <f>IF(E6600="","",INDEX(Knutepunkter!$B:$B,E6600+1))</f>
        <v/>
      </c>
      <c r="J6600" t="str">
        <f>IF(E6600="","",INDEX(Knutepunkter!$C:$C,E6600+1))</f>
        <v/>
      </c>
      <c r="K6600" t="str">
        <f>IF(E6600="","",INDEX(Knutepunkter!$D:$D,E6600+1))</f>
        <v/>
      </c>
      <c r="L6600" t="str">
        <f t="shared" si="518"/>
        <v/>
      </c>
      <c r="M6600" t="str">
        <f t="shared" si="519"/>
        <v/>
      </c>
    </row>
    <row r="6601" spans="1:13" x14ac:dyDescent="0.3">
      <c r="A6601" t="str">
        <f>Segmenter!A6601</f>
        <v/>
      </c>
      <c r="B6601" t="str">
        <f>Segmenter!B6601</f>
        <v/>
      </c>
      <c r="C6601" t="str">
        <f t="shared" si="515"/>
        <v/>
      </c>
      <c r="D6601" t="str">
        <f t="shared" si="516"/>
        <v/>
      </c>
      <c r="E6601" t="str">
        <f t="shared" si="517"/>
        <v/>
      </c>
      <c r="F6601" t="str">
        <f>IF(D6601="","",INDEX(Knutepunkter!$B:$B,D6601+1))</f>
        <v/>
      </c>
      <c r="G6601" t="str">
        <f>IF(D6601="","",INDEX(Knutepunkter!$C:$C,D6601+1))</f>
        <v/>
      </c>
      <c r="H6601" t="str">
        <f>IF(D6601="","",INDEX(Knutepunkter!$D:$D,D6601+1))</f>
        <v/>
      </c>
      <c r="I6601" t="str">
        <f>IF(E6601="","",INDEX(Knutepunkter!$B:$B,E6601+1))</f>
        <v/>
      </c>
      <c r="J6601" t="str">
        <f>IF(E6601="","",INDEX(Knutepunkter!$C:$C,E6601+1))</f>
        <v/>
      </c>
      <c r="K6601" t="str">
        <f>IF(E6601="","",INDEX(Knutepunkter!$D:$D,E6601+1))</f>
        <v/>
      </c>
      <c r="L6601" t="str">
        <f t="shared" si="518"/>
        <v/>
      </c>
      <c r="M6601" t="str">
        <f t="shared" si="519"/>
        <v/>
      </c>
    </row>
    <row r="6602" spans="1:13" x14ac:dyDescent="0.3">
      <c r="A6602" t="str">
        <f>Segmenter!A6602</f>
        <v/>
      </c>
      <c r="B6602" t="str">
        <f>Segmenter!B6602</f>
        <v/>
      </c>
      <c r="C6602" t="str">
        <f t="shared" si="515"/>
        <v/>
      </c>
      <c r="D6602" t="str">
        <f t="shared" si="516"/>
        <v/>
      </c>
      <c r="E6602" t="str">
        <f t="shared" si="517"/>
        <v/>
      </c>
      <c r="F6602" t="str">
        <f>IF(D6602="","",INDEX(Knutepunkter!$B:$B,D6602+1))</f>
        <v/>
      </c>
      <c r="G6602" t="str">
        <f>IF(D6602="","",INDEX(Knutepunkter!$C:$C,D6602+1))</f>
        <v/>
      </c>
      <c r="H6602" t="str">
        <f>IF(D6602="","",INDEX(Knutepunkter!$D:$D,D6602+1))</f>
        <v/>
      </c>
      <c r="I6602" t="str">
        <f>IF(E6602="","",INDEX(Knutepunkter!$B:$B,E6602+1))</f>
        <v/>
      </c>
      <c r="J6602" t="str">
        <f>IF(E6602="","",INDEX(Knutepunkter!$C:$C,E6602+1))</f>
        <v/>
      </c>
      <c r="K6602" t="str">
        <f>IF(E6602="","",INDEX(Knutepunkter!$D:$D,E6602+1))</f>
        <v/>
      </c>
      <c r="L6602" t="str">
        <f t="shared" si="518"/>
        <v/>
      </c>
      <c r="M6602" t="str">
        <f t="shared" si="519"/>
        <v/>
      </c>
    </row>
    <row r="6603" spans="1:13" x14ac:dyDescent="0.3">
      <c r="A6603" t="str">
        <f>Segmenter!A6603</f>
        <v/>
      </c>
      <c r="B6603" t="str">
        <f>Segmenter!B6603</f>
        <v/>
      </c>
      <c r="C6603" t="str">
        <f t="shared" si="515"/>
        <v/>
      </c>
      <c r="D6603" t="str">
        <f t="shared" si="516"/>
        <v/>
      </c>
      <c r="E6603" t="str">
        <f t="shared" si="517"/>
        <v/>
      </c>
      <c r="F6603" t="str">
        <f>IF(D6603="","",INDEX(Knutepunkter!$B:$B,D6603+1))</f>
        <v/>
      </c>
      <c r="G6603" t="str">
        <f>IF(D6603="","",INDEX(Knutepunkter!$C:$C,D6603+1))</f>
        <v/>
      </c>
      <c r="H6603" t="str">
        <f>IF(D6603="","",INDEX(Knutepunkter!$D:$D,D6603+1))</f>
        <v/>
      </c>
      <c r="I6603" t="str">
        <f>IF(E6603="","",INDEX(Knutepunkter!$B:$B,E6603+1))</f>
        <v/>
      </c>
      <c r="J6603" t="str">
        <f>IF(E6603="","",INDEX(Knutepunkter!$C:$C,E6603+1))</f>
        <v/>
      </c>
      <c r="K6603" t="str">
        <f>IF(E6603="","",INDEX(Knutepunkter!$D:$D,E6603+1))</f>
        <v/>
      </c>
      <c r="L6603" t="str">
        <f t="shared" si="518"/>
        <v/>
      </c>
      <c r="M6603" t="str">
        <f t="shared" si="519"/>
        <v/>
      </c>
    </row>
    <row r="6604" spans="1:13" x14ac:dyDescent="0.3">
      <c r="A6604" t="str">
        <f>Segmenter!A6604</f>
        <v/>
      </c>
      <c r="B6604" t="str">
        <f>Segmenter!B6604</f>
        <v/>
      </c>
      <c r="C6604" t="str">
        <f t="shared" si="515"/>
        <v/>
      </c>
      <c r="D6604" t="str">
        <f t="shared" si="516"/>
        <v/>
      </c>
      <c r="E6604" t="str">
        <f t="shared" si="517"/>
        <v/>
      </c>
      <c r="F6604" t="str">
        <f>IF(D6604="","",INDEX(Knutepunkter!$B:$B,D6604+1))</f>
        <v/>
      </c>
      <c r="G6604" t="str">
        <f>IF(D6604="","",INDEX(Knutepunkter!$C:$C,D6604+1))</f>
        <v/>
      </c>
      <c r="H6604" t="str">
        <f>IF(D6604="","",INDEX(Knutepunkter!$D:$D,D6604+1))</f>
        <v/>
      </c>
      <c r="I6604" t="str">
        <f>IF(E6604="","",INDEX(Knutepunkter!$B:$B,E6604+1))</f>
        <v/>
      </c>
      <c r="J6604" t="str">
        <f>IF(E6604="","",INDEX(Knutepunkter!$C:$C,E6604+1))</f>
        <v/>
      </c>
      <c r="K6604" t="str">
        <f>IF(E6604="","",INDEX(Knutepunkter!$D:$D,E6604+1))</f>
        <v/>
      </c>
      <c r="L6604" t="str">
        <f t="shared" si="518"/>
        <v/>
      </c>
      <c r="M6604" t="str">
        <f t="shared" si="519"/>
        <v/>
      </c>
    </row>
    <row r="6605" spans="1:13" x14ac:dyDescent="0.3">
      <c r="A6605" t="str">
        <f>Segmenter!A6605</f>
        <v/>
      </c>
      <c r="B6605" t="str">
        <f>Segmenter!B6605</f>
        <v/>
      </c>
      <c r="C6605" t="str">
        <f t="shared" si="515"/>
        <v/>
      </c>
      <c r="D6605" t="str">
        <f t="shared" si="516"/>
        <v/>
      </c>
      <c r="E6605" t="str">
        <f t="shared" si="517"/>
        <v/>
      </c>
      <c r="F6605" t="str">
        <f>IF(D6605="","",INDEX(Knutepunkter!$B:$B,D6605+1))</f>
        <v/>
      </c>
      <c r="G6605" t="str">
        <f>IF(D6605="","",INDEX(Knutepunkter!$C:$C,D6605+1))</f>
        <v/>
      </c>
      <c r="H6605" t="str">
        <f>IF(D6605="","",INDEX(Knutepunkter!$D:$D,D6605+1))</f>
        <v/>
      </c>
      <c r="I6605" t="str">
        <f>IF(E6605="","",INDEX(Knutepunkter!$B:$B,E6605+1))</f>
        <v/>
      </c>
      <c r="J6605" t="str">
        <f>IF(E6605="","",INDEX(Knutepunkter!$C:$C,E6605+1))</f>
        <v/>
      </c>
      <c r="K6605" t="str">
        <f>IF(E6605="","",INDEX(Knutepunkter!$D:$D,E6605+1))</f>
        <v/>
      </c>
      <c r="L6605" t="str">
        <f t="shared" si="518"/>
        <v/>
      </c>
      <c r="M6605" t="str">
        <f t="shared" si="519"/>
        <v/>
      </c>
    </row>
    <row r="6606" spans="1:13" x14ac:dyDescent="0.3">
      <c r="A6606" t="str">
        <f>Segmenter!A6606</f>
        <v/>
      </c>
      <c r="B6606" t="str">
        <f>Segmenter!B6606</f>
        <v/>
      </c>
      <c r="C6606" t="str">
        <f t="shared" si="515"/>
        <v/>
      </c>
      <c r="D6606" t="str">
        <f t="shared" si="516"/>
        <v/>
      </c>
      <c r="E6606" t="str">
        <f t="shared" si="517"/>
        <v/>
      </c>
      <c r="F6606" t="str">
        <f>IF(D6606="","",INDEX(Knutepunkter!$B:$B,D6606+1))</f>
        <v/>
      </c>
      <c r="G6606" t="str">
        <f>IF(D6606="","",INDEX(Knutepunkter!$C:$C,D6606+1))</f>
        <v/>
      </c>
      <c r="H6606" t="str">
        <f>IF(D6606="","",INDEX(Knutepunkter!$D:$D,D6606+1))</f>
        <v/>
      </c>
      <c r="I6606" t="str">
        <f>IF(E6606="","",INDEX(Knutepunkter!$B:$B,E6606+1))</f>
        <v/>
      </c>
      <c r="J6606" t="str">
        <f>IF(E6606="","",INDEX(Knutepunkter!$C:$C,E6606+1))</f>
        <v/>
      </c>
      <c r="K6606" t="str">
        <f>IF(E6606="","",INDEX(Knutepunkter!$D:$D,E6606+1))</f>
        <v/>
      </c>
      <c r="L6606" t="str">
        <f t="shared" si="518"/>
        <v/>
      </c>
      <c r="M6606" t="str">
        <f t="shared" si="519"/>
        <v/>
      </c>
    </row>
    <row r="6607" spans="1:13" x14ac:dyDescent="0.3">
      <c r="A6607" t="str">
        <f>Segmenter!A6607</f>
        <v/>
      </c>
      <c r="B6607" t="str">
        <f>Segmenter!B6607</f>
        <v/>
      </c>
      <c r="C6607" t="str">
        <f t="shared" si="515"/>
        <v/>
      </c>
      <c r="D6607" t="str">
        <f t="shared" si="516"/>
        <v/>
      </c>
      <c r="E6607" t="str">
        <f t="shared" si="517"/>
        <v/>
      </c>
      <c r="F6607" t="str">
        <f>IF(D6607="","",INDEX(Knutepunkter!$B:$B,D6607+1))</f>
        <v/>
      </c>
      <c r="G6607" t="str">
        <f>IF(D6607="","",INDEX(Knutepunkter!$C:$C,D6607+1))</f>
        <v/>
      </c>
      <c r="H6607" t="str">
        <f>IF(D6607="","",INDEX(Knutepunkter!$D:$D,D6607+1))</f>
        <v/>
      </c>
      <c r="I6607" t="str">
        <f>IF(E6607="","",INDEX(Knutepunkter!$B:$B,E6607+1))</f>
        <v/>
      </c>
      <c r="J6607" t="str">
        <f>IF(E6607="","",INDEX(Knutepunkter!$C:$C,E6607+1))</f>
        <v/>
      </c>
      <c r="K6607" t="str">
        <f>IF(E6607="","",INDEX(Knutepunkter!$D:$D,E6607+1))</f>
        <v/>
      </c>
      <c r="L6607" t="str">
        <f t="shared" si="518"/>
        <v/>
      </c>
      <c r="M6607" t="str">
        <f t="shared" si="519"/>
        <v/>
      </c>
    </row>
    <row r="6608" spans="1:13" x14ac:dyDescent="0.3">
      <c r="A6608" t="str">
        <f>Segmenter!A6608</f>
        <v/>
      </c>
      <c r="B6608" t="str">
        <f>Segmenter!B6608</f>
        <v/>
      </c>
      <c r="C6608" t="str">
        <f t="shared" si="515"/>
        <v/>
      </c>
      <c r="D6608" t="str">
        <f t="shared" si="516"/>
        <v/>
      </c>
      <c r="E6608" t="str">
        <f t="shared" si="517"/>
        <v/>
      </c>
      <c r="F6608" t="str">
        <f>IF(D6608="","",INDEX(Knutepunkter!$B:$B,D6608+1))</f>
        <v/>
      </c>
      <c r="G6608" t="str">
        <f>IF(D6608="","",INDEX(Knutepunkter!$C:$C,D6608+1))</f>
        <v/>
      </c>
      <c r="H6608" t="str">
        <f>IF(D6608="","",INDEX(Knutepunkter!$D:$D,D6608+1))</f>
        <v/>
      </c>
      <c r="I6608" t="str">
        <f>IF(E6608="","",INDEX(Knutepunkter!$B:$B,E6608+1))</f>
        <v/>
      </c>
      <c r="J6608" t="str">
        <f>IF(E6608="","",INDEX(Knutepunkter!$C:$C,E6608+1))</f>
        <v/>
      </c>
      <c r="K6608" t="str">
        <f>IF(E6608="","",INDEX(Knutepunkter!$D:$D,E6608+1))</f>
        <v/>
      </c>
      <c r="L6608" t="str">
        <f t="shared" si="518"/>
        <v/>
      </c>
      <c r="M6608" t="str">
        <f t="shared" si="519"/>
        <v/>
      </c>
    </row>
    <row r="6609" spans="1:13" x14ac:dyDescent="0.3">
      <c r="A6609" t="str">
        <f>Segmenter!A6609</f>
        <v/>
      </c>
      <c r="B6609" t="str">
        <f>Segmenter!B6609</f>
        <v/>
      </c>
      <c r="C6609" t="str">
        <f t="shared" si="515"/>
        <v/>
      </c>
      <c r="D6609" t="str">
        <f t="shared" si="516"/>
        <v/>
      </c>
      <c r="E6609" t="str">
        <f t="shared" si="517"/>
        <v/>
      </c>
      <c r="F6609" t="str">
        <f>IF(D6609="","",INDEX(Knutepunkter!$B:$B,D6609+1))</f>
        <v/>
      </c>
      <c r="G6609" t="str">
        <f>IF(D6609="","",INDEX(Knutepunkter!$C:$C,D6609+1))</f>
        <v/>
      </c>
      <c r="H6609" t="str">
        <f>IF(D6609="","",INDEX(Knutepunkter!$D:$D,D6609+1))</f>
        <v/>
      </c>
      <c r="I6609" t="str">
        <f>IF(E6609="","",INDEX(Knutepunkter!$B:$B,E6609+1))</f>
        <v/>
      </c>
      <c r="J6609" t="str">
        <f>IF(E6609="","",INDEX(Knutepunkter!$C:$C,E6609+1))</f>
        <v/>
      </c>
      <c r="K6609" t="str">
        <f>IF(E6609="","",INDEX(Knutepunkter!$D:$D,E6609+1))</f>
        <v/>
      </c>
      <c r="L6609" t="str">
        <f t="shared" si="518"/>
        <v/>
      </c>
      <c r="M6609" t="str">
        <f t="shared" si="519"/>
        <v/>
      </c>
    </row>
    <row r="6610" spans="1:13" x14ac:dyDescent="0.3">
      <c r="A6610" t="str">
        <f>Segmenter!A6610</f>
        <v/>
      </c>
      <c r="B6610" t="str">
        <f>Segmenter!B6610</f>
        <v/>
      </c>
      <c r="C6610" t="str">
        <f t="shared" si="515"/>
        <v/>
      </c>
      <c r="D6610" t="str">
        <f t="shared" si="516"/>
        <v/>
      </c>
      <c r="E6610" t="str">
        <f t="shared" si="517"/>
        <v/>
      </c>
      <c r="F6610" t="str">
        <f>IF(D6610="","",INDEX(Knutepunkter!$B:$B,D6610+1))</f>
        <v/>
      </c>
      <c r="G6610" t="str">
        <f>IF(D6610="","",INDEX(Knutepunkter!$C:$C,D6610+1))</f>
        <v/>
      </c>
      <c r="H6610" t="str">
        <f>IF(D6610="","",INDEX(Knutepunkter!$D:$D,D6610+1))</f>
        <v/>
      </c>
      <c r="I6610" t="str">
        <f>IF(E6610="","",INDEX(Knutepunkter!$B:$B,E6610+1))</f>
        <v/>
      </c>
      <c r="J6610" t="str">
        <f>IF(E6610="","",INDEX(Knutepunkter!$C:$C,E6610+1))</f>
        <v/>
      </c>
      <c r="K6610" t="str">
        <f>IF(E6610="","",INDEX(Knutepunkter!$D:$D,E6610+1))</f>
        <v/>
      </c>
      <c r="L6610" t="str">
        <f t="shared" si="518"/>
        <v/>
      </c>
      <c r="M6610" t="str">
        <f t="shared" si="519"/>
        <v/>
      </c>
    </row>
    <row r="6611" spans="1:13" x14ac:dyDescent="0.3">
      <c r="A6611" t="str">
        <f>Segmenter!A6611</f>
        <v/>
      </c>
      <c r="B6611" t="str">
        <f>Segmenter!B6611</f>
        <v/>
      </c>
      <c r="C6611" t="str">
        <f t="shared" si="515"/>
        <v/>
      </c>
      <c r="D6611" t="str">
        <f t="shared" si="516"/>
        <v/>
      </c>
      <c r="E6611" t="str">
        <f t="shared" si="517"/>
        <v/>
      </c>
      <c r="F6611" t="str">
        <f>IF(D6611="","",INDEX(Knutepunkter!$B:$B,D6611+1))</f>
        <v/>
      </c>
      <c r="G6611" t="str">
        <f>IF(D6611="","",INDEX(Knutepunkter!$C:$C,D6611+1))</f>
        <v/>
      </c>
      <c r="H6611" t="str">
        <f>IF(D6611="","",INDEX(Knutepunkter!$D:$D,D6611+1))</f>
        <v/>
      </c>
      <c r="I6611" t="str">
        <f>IF(E6611="","",INDEX(Knutepunkter!$B:$B,E6611+1))</f>
        <v/>
      </c>
      <c r="J6611" t="str">
        <f>IF(E6611="","",INDEX(Knutepunkter!$C:$C,E6611+1))</f>
        <v/>
      </c>
      <c r="K6611" t="str">
        <f>IF(E6611="","",INDEX(Knutepunkter!$D:$D,E6611+1))</f>
        <v/>
      </c>
      <c r="L6611" t="str">
        <f t="shared" si="518"/>
        <v/>
      </c>
      <c r="M6611" t="str">
        <f t="shared" si="51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Knutepunkter</vt:lpstr>
      <vt:lpstr>Segmenter</vt:lpstr>
      <vt:lpstr>Punktrandbetingelser</vt:lpstr>
      <vt:lpstr>Lasttilfeller</vt:lpstr>
      <vt:lpstr>Linjelaster</vt:lpstr>
      <vt:lpstr>Info</vt:lpstr>
      <vt:lpstr>QA_IFC_kontroll</vt:lpstr>
      <vt:lpstr>FORSIDE</vt:lpstr>
      <vt:lpstr>MENGDER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Brøsholen (Student)</cp:lastModifiedBy>
  <dcterms:created xsi:type="dcterms:W3CDTF">2026-03-16T18:41:34Z</dcterms:created>
  <dcterms:modified xsi:type="dcterms:W3CDTF">2026-03-18T11:22:06Z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Enabled">
    <vt:lpwstr>true</vt:lpwstr>
  </property>
  <property fmtid="{D5CDD505-2E9C-101B-9397-08002B2CF9AE}" pid="3" name="MSIP_Label_fd05046c-7758-4c69-bef0-f1b8587ca14e_SetDate">
    <vt:lpwstr>2026-03-17T11:33:07Z</vt:lpwstr>
  </property>
  <property fmtid="{D5CDD505-2E9C-101B-9397-08002B2CF9AE}" pid="4" name="MSIP_Label_fd05046c-7758-4c69-bef0-f1b8587ca14e_Method">
    <vt:lpwstr>Standard</vt:lpwstr>
  </property>
  <property fmtid="{D5CDD505-2E9C-101B-9397-08002B2CF9AE}" pid="5" name="MSIP_Label_fd05046c-7758-4c69-bef0-f1b8587ca14e_Name">
    <vt:lpwstr>Intern</vt:lpwstr>
  </property>
  <property fmtid="{D5CDD505-2E9C-101B-9397-08002B2CF9AE}" pid="6" name="MSIP_Label_fd05046c-7758-4c69-bef0-f1b8587ca14e_SiteId">
    <vt:lpwstr>4d6d8a90-10fd-4f78-8fc1-5e28844e0292</vt:lpwstr>
  </property>
  <property fmtid="{D5CDD505-2E9C-101B-9397-08002B2CF9AE}" pid="7" name="MSIP_Label_fd05046c-7758-4c69-bef0-f1b8587ca14e_ActionId">
    <vt:lpwstr>8a89c47d-1091-4486-b607-7fe4605ac502</vt:lpwstr>
  </property>
  <property fmtid="{D5CDD505-2E9C-101B-9397-08002B2CF9AE}" pid="8" name="MSIP_Label_fd05046c-7758-4c69-bef0-f1b8587ca14e_ContentBits">
    <vt:lpwstr>0</vt:lpwstr>
  </property>
  <property fmtid="{D5CDD505-2E9C-101B-9397-08002B2CF9AE}" pid="9" name="MSIP_Label_fd05046c-7758-4c69-bef0-f1b8587ca14e_Tag">
    <vt:lpwstr>10, 3, 0, 1</vt:lpwstr>
  </property>
</Properties>
</file>